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2.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3.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theme/themeOverride3.xml" ContentType="application/vnd.openxmlformats-officedocument.themeOverride+xml"/>
  <Override PartName="/xl/charts/chart16.xml" ContentType="application/vnd.openxmlformats-officedocument.drawingml.chart+xml"/>
  <Override PartName="/xl/theme/themeOverride4.xml" ContentType="application/vnd.openxmlformats-officedocument.themeOverride+xml"/>
  <Override PartName="/xl/charts/chart17.xml" ContentType="application/vnd.openxmlformats-officedocument.drawingml.chart+xml"/>
  <Override PartName="/xl/theme/themeOverride5.xml" ContentType="application/vnd.openxmlformats-officedocument.themeOverride+xml"/>
  <Override PartName="/xl/charts/chart18.xml" ContentType="application/vnd.openxmlformats-officedocument.drawingml.chart+xml"/>
  <Override PartName="/xl/theme/themeOverride6.xml" ContentType="application/vnd.openxmlformats-officedocument.themeOverride+xml"/>
  <Override PartName="/xl/charts/chart19.xml" ContentType="application/vnd.openxmlformats-officedocument.drawingml.chart+xml"/>
  <Override PartName="/xl/theme/themeOverride7.xml" ContentType="application/vnd.openxmlformats-officedocument.themeOverride+xml"/>
  <Override PartName="/xl/charts/chart20.xml" ContentType="application/vnd.openxmlformats-officedocument.drawingml.chart+xml"/>
  <Override PartName="/xl/theme/themeOverride8.xml" ContentType="application/vnd.openxmlformats-officedocument.themeOverride+xml"/>
  <Override PartName="/xl/charts/chart21.xml" ContentType="application/vnd.openxmlformats-officedocument.drawingml.chart+xml"/>
  <Override PartName="/xl/theme/themeOverride9.xml" ContentType="application/vnd.openxmlformats-officedocument.themeOverride+xml"/>
  <Override PartName="/xl/charts/chart22.xml" ContentType="application/vnd.openxmlformats-officedocument.drawingml.chart+xml"/>
  <Override PartName="/xl/theme/themeOverride10.xml" ContentType="application/vnd.openxmlformats-officedocument.themeOverride+xml"/>
  <Override PartName="/xl/charts/chart23.xml" ContentType="application/vnd.openxmlformats-officedocument.drawingml.chart+xml"/>
  <Override PartName="/xl/theme/themeOverride11.xml" ContentType="application/vnd.openxmlformats-officedocument.themeOverride+xml"/>
  <Override PartName="/xl/charts/chart24.xml" ContentType="application/vnd.openxmlformats-officedocument.drawingml.chart+xml"/>
  <Override PartName="/xl/theme/themeOverride12.xml" ContentType="application/vnd.openxmlformats-officedocument.themeOverride+xml"/>
  <Override PartName="/xl/charts/chart25.xml" ContentType="application/vnd.openxmlformats-officedocument.drawingml.chart+xml"/>
  <Override PartName="/xl/theme/themeOverride13.xml" ContentType="application/vnd.openxmlformats-officedocument.themeOverride+xml"/>
  <Override PartName="/xl/charts/chart26.xml" ContentType="application/vnd.openxmlformats-officedocument.drawingml.chart+xml"/>
  <Override PartName="/xl/theme/themeOverride14.xml" ContentType="application/vnd.openxmlformats-officedocument.themeOverride+xml"/>
  <Override PartName="/xl/charts/chart27.xml" ContentType="application/vnd.openxmlformats-officedocument.drawingml.chart+xml"/>
  <Override PartName="/xl/theme/themeOverride15.xml" ContentType="application/vnd.openxmlformats-officedocument.themeOverride+xml"/>
  <Override PartName="/xl/charts/chart28.xml" ContentType="application/vnd.openxmlformats-officedocument.drawingml.chart+xml"/>
  <Override PartName="/xl/theme/themeOverride16.xml" ContentType="application/vnd.openxmlformats-officedocument.themeOverride+xml"/>
  <Override PartName="/xl/charts/chart29.xml" ContentType="application/vnd.openxmlformats-officedocument.drawingml.chart+xml"/>
  <Override PartName="/xl/theme/themeOverride17.xml" ContentType="application/vnd.openxmlformats-officedocument.themeOverride+xml"/>
  <Override PartName="/xl/charts/chart30.xml" ContentType="application/vnd.openxmlformats-officedocument.drawingml.chart+xml"/>
  <Override PartName="/xl/charts/chart31.xml" ContentType="application/vnd.openxmlformats-officedocument.drawingml.chart+xml"/>
  <Override PartName="/xl/theme/themeOverride18.xml" ContentType="application/vnd.openxmlformats-officedocument.themeOverride+xml"/>
  <Override PartName="/xl/charts/chart32.xml" ContentType="application/vnd.openxmlformats-officedocument.drawingml.chart+xml"/>
  <Override PartName="/xl/theme/themeOverride19.xml" ContentType="application/vnd.openxmlformats-officedocument.themeOverride+xml"/>
  <Override PartName="/xl/charts/chart33.xml" ContentType="application/vnd.openxmlformats-officedocument.drawingml.chart+xml"/>
  <Override PartName="/xl/theme/themeOverride20.xml" ContentType="application/vnd.openxmlformats-officedocument.themeOverride+xml"/>
  <Override PartName="/xl/charts/chart34.xml" ContentType="application/vnd.openxmlformats-officedocument.drawingml.chart+xml"/>
  <Override PartName="/xl/theme/themeOverride21.xml" ContentType="application/vnd.openxmlformats-officedocument.themeOverride+xml"/>
  <Override PartName="/xl/charts/chart35.xml" ContentType="application/vnd.openxmlformats-officedocument.drawingml.chart+xml"/>
  <Override PartName="/xl/theme/themeOverride22.xml" ContentType="application/vnd.openxmlformats-officedocument.themeOverride+xml"/>
  <Override PartName="/xl/charts/chart36.xml" ContentType="application/vnd.openxmlformats-officedocument.drawingml.chart+xml"/>
  <Override PartName="/xl/theme/themeOverride23.xml" ContentType="application/vnd.openxmlformats-officedocument.themeOverride+xml"/>
  <Override PartName="/xl/charts/chart37.xml" ContentType="application/vnd.openxmlformats-officedocument.drawingml.chart+xml"/>
  <Override PartName="/xl/theme/themeOverride24.xml" ContentType="application/vnd.openxmlformats-officedocument.themeOverride+xml"/>
  <Override PartName="/xl/charts/chart38.xml" ContentType="application/vnd.openxmlformats-officedocument.drawingml.chart+xml"/>
  <Override PartName="/xl/theme/themeOverride25.xml" ContentType="application/vnd.openxmlformats-officedocument.themeOverride+xml"/>
  <Override PartName="/xl/charts/chart39.xml" ContentType="application/vnd.openxmlformats-officedocument.drawingml.chart+xml"/>
  <Override PartName="/xl/theme/themeOverride26.xml" ContentType="application/vnd.openxmlformats-officedocument.themeOverride+xml"/>
  <Override PartName="/xl/charts/chart40.xml" ContentType="application/vnd.openxmlformats-officedocument.drawingml.chart+xml"/>
  <Override PartName="/xl/theme/themeOverride27.xml" ContentType="application/vnd.openxmlformats-officedocument.themeOverrid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4120" windowHeight="7305" tabRatio="944" activeTab="4"/>
  </bookViews>
  <sheets>
    <sheet name="Data Issues" sheetId="36" r:id="rId1"/>
    <sheet name="Asset Comparison" sheetId="32" r:id="rId2"/>
    <sheet name="REPEX Comparison" sheetId="22" r:id="rId3"/>
    <sheet name="Maint Comparison" sheetId="31" r:id="rId4"/>
    <sheet name="Expenditure Comparison" sheetId="34" r:id="rId5"/>
    <sheet name="Forecast OPEX" sheetId="38" r:id="rId6"/>
    <sheet name="Graphs" sheetId="37" r:id="rId7"/>
    <sheet name="2.1 Expenditure" sheetId="35" r:id="rId8"/>
    <sheet name="2.2.1 REPEX" sheetId="28" r:id="rId9"/>
    <sheet name="2.2.2 REPEX" sheetId="29" r:id="rId10"/>
    <sheet name="2.8 Maintenance" sheetId="30" r:id="rId11"/>
    <sheet name="5.2 Age Profiles" sheetId="27" r:id="rId12"/>
    <sheet name="CPI Rates" sheetId="39" r:id="rId13"/>
  </sheets>
  <definedNames>
    <definedName name="_xlnm._FilterDatabase" localSheetId="7" hidden="1">'2.1 Expenditure'!$A$4:$AD$79</definedName>
    <definedName name="_xlnm._FilterDatabase" localSheetId="8" hidden="1">'2.2.1 REPEX'!$A$4:$AM$1213</definedName>
    <definedName name="_xlnm._FilterDatabase" localSheetId="9" hidden="1">'2.2.2 REPEX'!$A$2:$L$165</definedName>
    <definedName name="_xlnm._FilterDatabase" localSheetId="10" hidden="1">'2.8 Maintenance'!$A$2:$AP$1073</definedName>
    <definedName name="_xlnm._FilterDatabase" localSheetId="11" hidden="1">'5.2 Age Profiles'!$A$2:$DM$1187</definedName>
    <definedName name="anscount" hidden="1">1</definedName>
    <definedName name="DirectCostEsc">Graphs!#REF!</definedName>
    <definedName name="DirectCostInc">'Expenditure Comparison'!$M$14</definedName>
    <definedName name="_xlnm.Extract" localSheetId="10">'2.8 Maintenance'!$AV$2</definedName>
    <definedName name="_xlnm.Print_Area" localSheetId="10">'2.8 Maintenance'!$A$1:$M$992</definedName>
    <definedName name="_xlnm.Print_Area" localSheetId="1">'Asset Comparison'!$A:$M</definedName>
    <definedName name="_xlnm.Print_Area" localSheetId="0">'Data Issues'!$A:$B</definedName>
    <definedName name="_xlnm.Print_Area" localSheetId="4">'Expenditure Comparison'!$A:$M</definedName>
    <definedName name="_xlnm.Print_Area" localSheetId="3">'Maint Comparison'!$A:$N</definedName>
    <definedName name="_xlnm.Print_Area" localSheetId="2">'REPEX Comparison'!$A:$K</definedName>
  </definedNames>
  <calcPr calcId="145621"/>
</workbook>
</file>

<file path=xl/calcChain.xml><?xml version="1.0" encoding="utf-8"?>
<calcChain xmlns="http://schemas.openxmlformats.org/spreadsheetml/2006/main">
  <c r="M20" i="34" l="1"/>
  <c r="M21" i="34"/>
  <c r="C9" i="38" l="1"/>
  <c r="G9" i="38"/>
  <c r="F9" i="38"/>
  <c r="E9" i="38"/>
  <c r="D9" i="38"/>
  <c r="A122" i="37" l="1"/>
  <c r="J122" i="37"/>
  <c r="P123" i="37" l="1"/>
  <c r="O123" i="37"/>
  <c r="N123" i="37"/>
  <c r="M123" i="37"/>
  <c r="L123" i="37"/>
  <c r="K123" i="37"/>
  <c r="K59" i="32" l="1"/>
  <c r="J59" i="32"/>
  <c r="K51" i="32"/>
  <c r="J51" i="32"/>
  <c r="K50" i="32"/>
  <c r="J50" i="32"/>
  <c r="K49" i="32"/>
  <c r="J49" i="32"/>
  <c r="K47" i="32"/>
  <c r="J47" i="32"/>
  <c r="Q67" i="32" l="1"/>
  <c r="Q65" i="32"/>
  <c r="Q58" i="32"/>
  <c r="Q57" i="32"/>
  <c r="Q56" i="32"/>
  <c r="Q55" i="32"/>
  <c r="Q54" i="32"/>
  <c r="Q53" i="32"/>
  <c r="Q52" i="32"/>
  <c r="Q46" i="32"/>
  <c r="Q42" i="32"/>
  <c r="Q41" i="32"/>
  <c r="Q38" i="32"/>
  <c r="Q37" i="32"/>
  <c r="Q45" i="32" l="1"/>
  <c r="Q44" i="32"/>
  <c r="Q39" i="32"/>
  <c r="Q43" i="32"/>
  <c r="Q48" i="32" l="1"/>
  <c r="Q61" i="32"/>
  <c r="Q62" i="32"/>
  <c r="Q40" i="32"/>
  <c r="Q60" i="32" s="1"/>
  <c r="Q63" i="32" s="1"/>
  <c r="Q66" i="32"/>
  <c r="F34" i="38" l="1"/>
  <c r="I34" i="38" s="1"/>
  <c r="C67" i="32"/>
  <c r="D67" i="32"/>
  <c r="E67" i="32"/>
  <c r="F67" i="32"/>
  <c r="O67" i="32"/>
  <c r="P67" i="32"/>
  <c r="I65" i="32"/>
  <c r="H65" i="32"/>
  <c r="G65" i="32"/>
  <c r="F65" i="32"/>
  <c r="E65" i="32"/>
  <c r="D65" i="32"/>
  <c r="C65" i="32"/>
  <c r="B65" i="32"/>
  <c r="G19" i="39" l="1"/>
  <c r="E16" i="39"/>
  <c r="F15" i="39"/>
  <c r="Q123" i="37" l="1"/>
  <c r="Z123" i="37"/>
  <c r="S122" i="37" s="1"/>
  <c r="H123" i="37"/>
  <c r="Q103" i="37"/>
  <c r="J102" i="37" s="1"/>
  <c r="Z103" i="37"/>
  <c r="S102" i="37" s="1"/>
  <c r="H103" i="37"/>
  <c r="A102" i="37" s="1"/>
  <c r="Q82" i="37"/>
  <c r="J81" i="37" s="1"/>
  <c r="Z82" i="37"/>
  <c r="S81" i="37" s="1"/>
  <c r="H82" i="37"/>
  <c r="A81" i="37" s="1"/>
  <c r="Q62" i="37"/>
  <c r="Z62" i="37"/>
  <c r="H62" i="37"/>
  <c r="A61" i="37" s="1"/>
  <c r="Q42" i="37" l="1"/>
  <c r="J41" i="37" s="1"/>
  <c r="Z42" i="37"/>
  <c r="S41" i="37" s="1"/>
  <c r="H42" i="37"/>
  <c r="A41" i="37" s="1"/>
  <c r="H22" i="37"/>
  <c r="A21" i="37" s="1"/>
  <c r="AI22" i="37"/>
  <c r="AB21" i="37" s="1"/>
  <c r="Q22" i="37"/>
  <c r="J21" i="37" s="1"/>
  <c r="Z22" i="37"/>
  <c r="S21" i="37" s="1"/>
  <c r="G15" i="38"/>
  <c r="F15" i="38"/>
  <c r="E15" i="38"/>
  <c r="D15" i="38"/>
  <c r="C15" i="38"/>
  <c r="G8" i="38"/>
  <c r="F8" i="38"/>
  <c r="E8" i="38"/>
  <c r="D8" i="38"/>
  <c r="C8" i="38"/>
  <c r="G7" i="38"/>
  <c r="F7" i="38"/>
  <c r="E7" i="38"/>
  <c r="D7" i="38"/>
  <c r="C7" i="38"/>
  <c r="G14" i="38"/>
  <c r="F14" i="38"/>
  <c r="E14" i="38"/>
  <c r="D14" i="38"/>
  <c r="C14" i="38"/>
  <c r="H11" i="38"/>
  <c r="H3" i="38"/>
  <c r="H5" i="38"/>
  <c r="H6" i="38"/>
  <c r="H2" i="38"/>
  <c r="H4" i="38"/>
  <c r="H9" i="38"/>
  <c r="H10" i="38"/>
  <c r="H12" i="38"/>
  <c r="H13" i="38"/>
  <c r="H15" i="38" l="1"/>
  <c r="H7" i="38"/>
  <c r="H8" i="38"/>
  <c r="H14" i="38"/>
  <c r="S143" i="37"/>
  <c r="H144" i="37"/>
  <c r="A143" i="37" s="1"/>
  <c r="G100" i="38" l="1"/>
  <c r="F100" i="38"/>
  <c r="E100" i="38"/>
  <c r="D100" i="38"/>
  <c r="C100" i="38"/>
  <c r="G105" i="38"/>
  <c r="F105" i="38"/>
  <c r="E105" i="38"/>
  <c r="D105" i="38"/>
  <c r="C105" i="38"/>
  <c r="H102" i="38"/>
  <c r="H97" i="38"/>
  <c r="G99" i="38"/>
  <c r="F99" i="38"/>
  <c r="E99" i="38"/>
  <c r="D99" i="38"/>
  <c r="C99" i="38"/>
  <c r="G104" i="38"/>
  <c r="F104" i="38"/>
  <c r="E104" i="38"/>
  <c r="D104" i="38"/>
  <c r="C104" i="38"/>
  <c r="H96" i="38"/>
  <c r="H98" i="38"/>
  <c r="H101" i="38"/>
  <c r="H103" i="38"/>
  <c r="P71" i="38"/>
  <c r="O71" i="38"/>
  <c r="N71" i="38"/>
  <c r="M71" i="38"/>
  <c r="L71" i="38"/>
  <c r="K71" i="38"/>
  <c r="J71" i="38"/>
  <c r="H105" i="38" l="1"/>
  <c r="H100" i="38"/>
  <c r="L72" i="38"/>
  <c r="H104" i="38"/>
  <c r="H99" i="38"/>
  <c r="Q143" i="37"/>
  <c r="AF103" i="37" l="1"/>
  <c r="AE103" i="37"/>
  <c r="AD103" i="37"/>
  <c r="AC103" i="37"/>
  <c r="AI102" i="37"/>
  <c r="L10" i="39" l="1"/>
  <c r="K10" i="39"/>
  <c r="J10" i="39"/>
  <c r="I10" i="39"/>
  <c r="H10" i="39"/>
  <c r="G10" i="39"/>
  <c r="F10" i="39"/>
  <c r="E10" i="39"/>
  <c r="D10" i="39"/>
  <c r="C10" i="39"/>
  <c r="B10" i="39"/>
  <c r="I8" i="39"/>
  <c r="J8" i="39" s="1"/>
  <c r="K8" i="39" s="1"/>
  <c r="L8" i="39" s="1"/>
  <c r="H8" i="39"/>
  <c r="F6" i="39"/>
  <c r="E6" i="39" s="1"/>
  <c r="D6" i="39" s="1"/>
  <c r="C6" i="39" s="1"/>
  <c r="B6" i="39" s="1"/>
  <c r="L22" i="34" l="1"/>
  <c r="L24" i="34"/>
  <c r="N102" i="37"/>
  <c r="N81" i="37"/>
  <c r="N61" i="37"/>
  <c r="N41" i="37"/>
  <c r="P36" i="32" l="1"/>
  <c r="P46" i="32"/>
  <c r="P47" i="32"/>
  <c r="P49" i="32"/>
  <c r="P50" i="32"/>
  <c r="P51" i="32"/>
  <c r="P59" i="32"/>
  <c r="P64" i="32"/>
  <c r="P65" i="32"/>
  <c r="O36" i="32"/>
  <c r="O46" i="32"/>
  <c r="O47" i="32"/>
  <c r="O49" i="32"/>
  <c r="O50" i="32"/>
  <c r="O51" i="32"/>
  <c r="O59" i="32"/>
  <c r="O64" i="32"/>
  <c r="O65" i="32"/>
  <c r="C46" i="32" l="1"/>
  <c r="D46" i="32"/>
  <c r="E46" i="32"/>
  <c r="F46" i="32"/>
  <c r="G46" i="32"/>
  <c r="AB1" i="37" l="1"/>
  <c r="J1" i="37"/>
  <c r="S61" i="37"/>
  <c r="J61" i="37"/>
  <c r="AI2" i="37" l="1"/>
  <c r="AF2" i="37"/>
  <c r="AE2" i="37"/>
  <c r="AD2" i="37"/>
  <c r="AC2" i="37"/>
  <c r="Q2" i="37"/>
  <c r="Z2" i="37"/>
  <c r="S1" i="37" s="1"/>
  <c r="H2" i="37" l="1"/>
  <c r="O79" i="35" l="1"/>
  <c r="O78" i="35"/>
  <c r="O77" i="35"/>
  <c r="O76" i="35"/>
  <c r="O75" i="35"/>
  <c r="O74" i="35"/>
  <c r="O73" i="35"/>
  <c r="O72" i="35"/>
  <c r="O71" i="35"/>
  <c r="O70" i="35"/>
  <c r="O69" i="35"/>
  <c r="O68" i="35"/>
  <c r="O67" i="35"/>
  <c r="O66" i="35"/>
  <c r="O65" i="35"/>
  <c r="O64" i="35"/>
  <c r="O63" i="35"/>
  <c r="O62" i="35"/>
  <c r="O61" i="35"/>
  <c r="O60" i="35"/>
  <c r="O59" i="35"/>
  <c r="O58" i="35"/>
  <c r="O57" i="35"/>
  <c r="O56" i="35"/>
  <c r="O55" i="35"/>
  <c r="O54" i="35"/>
  <c r="O53" i="35"/>
  <c r="O52" i="35"/>
  <c r="O51" i="35"/>
  <c r="O50" i="35"/>
  <c r="O49" i="35"/>
  <c r="O48" i="35"/>
  <c r="O47" i="35"/>
  <c r="O46" i="35"/>
  <c r="O45" i="35"/>
  <c r="O44" i="35"/>
  <c r="O43" i="35"/>
  <c r="O42" i="35"/>
  <c r="O41" i="35"/>
  <c r="O40" i="35"/>
  <c r="O39" i="35"/>
  <c r="O38" i="35"/>
  <c r="O37" i="35"/>
  <c r="O36" i="35"/>
  <c r="O35" i="35"/>
  <c r="O34" i="35"/>
  <c r="O33" i="35"/>
  <c r="O32" i="35"/>
  <c r="O31" i="35"/>
  <c r="O30" i="35"/>
  <c r="O29" i="35"/>
  <c r="O28" i="35"/>
  <c r="O27" i="35"/>
  <c r="O26" i="35"/>
  <c r="O25" i="35"/>
  <c r="O24" i="35"/>
  <c r="O23" i="35"/>
  <c r="O22" i="35"/>
  <c r="O21" i="35"/>
  <c r="O20" i="35"/>
  <c r="O19" i="35"/>
  <c r="O18" i="35"/>
  <c r="O17" i="35"/>
  <c r="O16" i="35"/>
  <c r="O15" i="35"/>
  <c r="O14" i="35"/>
  <c r="O13" i="35"/>
  <c r="O12" i="35"/>
  <c r="O11" i="35"/>
  <c r="O10" i="35"/>
  <c r="O9" i="35"/>
  <c r="O8" i="35"/>
  <c r="O7" i="35"/>
  <c r="O6" i="35"/>
  <c r="O5" i="35"/>
  <c r="A86" i="32" l="1"/>
  <c r="B1063" i="27" l="1"/>
  <c r="A1063" i="27" s="1"/>
  <c r="B914" i="27"/>
  <c r="A914" i="27" s="1"/>
  <c r="B785" i="27"/>
  <c r="A785" i="27" s="1"/>
  <c r="B635" i="27"/>
  <c r="A635" i="27" s="1"/>
  <c r="B457" i="27"/>
  <c r="A457" i="27" s="1"/>
  <c r="B288" i="27"/>
  <c r="B289" i="27" s="1"/>
  <c r="B290" i="27" s="1"/>
  <c r="B157" i="27"/>
  <c r="A288" i="27" l="1"/>
  <c r="B786" i="27"/>
  <c r="B636" i="27"/>
  <c r="A636" i="27" s="1"/>
  <c r="B458" i="27"/>
  <c r="A458" i="27" s="1"/>
  <c r="B915" i="27"/>
  <c r="A915" i="27" s="1"/>
  <c r="A290" i="27"/>
  <c r="B291" i="27"/>
  <c r="B158" i="27"/>
  <c r="A157" i="27"/>
  <c r="A289" i="27"/>
  <c r="B1064" i="27"/>
  <c r="B916" i="27" l="1"/>
  <c r="A916" i="27" s="1"/>
  <c r="B459" i="27"/>
  <c r="A459" i="27" s="1"/>
  <c r="B637" i="27"/>
  <c r="A637" i="27" s="1"/>
  <c r="A786" i="27"/>
  <c r="B787" i="27"/>
  <c r="A1064" i="27"/>
  <c r="B1065" i="27"/>
  <c r="B292" i="27"/>
  <c r="A291" i="27"/>
  <c r="A158" i="27"/>
  <c r="B159" i="27"/>
  <c r="L98" i="34"/>
  <c r="L99" i="34"/>
  <c r="L100" i="34"/>
  <c r="L101" i="34"/>
  <c r="L102" i="34"/>
  <c r="L103" i="34"/>
  <c r="L104" i="34"/>
  <c r="L105" i="34"/>
  <c r="L106" i="34"/>
  <c r="L94" i="34"/>
  <c r="L93" i="34"/>
  <c r="L92" i="34"/>
  <c r="L91" i="34"/>
  <c r="L90" i="34"/>
  <c r="L89" i="34"/>
  <c r="L88" i="34"/>
  <c r="L87" i="34"/>
  <c r="L86" i="34"/>
  <c r="B917" i="27" l="1"/>
  <c r="B918" i="27" s="1"/>
  <c r="B638" i="27"/>
  <c r="B639" i="27" s="1"/>
  <c r="B460" i="27"/>
  <c r="B461" i="27" s="1"/>
  <c r="A787" i="27"/>
  <c r="B788" i="27"/>
  <c r="A292" i="27"/>
  <c r="B293" i="27"/>
  <c r="B160" i="27"/>
  <c r="A159" i="27"/>
  <c r="A1065" i="27"/>
  <c r="B1066" i="27"/>
  <c r="A638" i="27" l="1"/>
  <c r="A917" i="27"/>
  <c r="A460" i="27"/>
  <c r="B789" i="27"/>
  <c r="A788" i="27"/>
  <c r="A918" i="27"/>
  <c r="B919" i="27"/>
  <c r="B294" i="27"/>
  <c r="A293" i="27"/>
  <c r="A639" i="27"/>
  <c r="B640" i="27"/>
  <c r="A461" i="27"/>
  <c r="B462" i="27"/>
  <c r="A1066" i="27"/>
  <c r="B1067" i="27"/>
  <c r="A160" i="27"/>
  <c r="B161" i="27"/>
  <c r="AM1073" i="30"/>
  <c r="AL1073" i="30"/>
  <c r="AN1073" i="30" s="1"/>
  <c r="AK1073" i="30"/>
  <c r="AM1072" i="30"/>
  <c r="AL1072" i="30"/>
  <c r="AK1072" i="30"/>
  <c r="AM1071" i="30"/>
  <c r="AL1071" i="30"/>
  <c r="AK1071" i="30"/>
  <c r="AM1070" i="30"/>
  <c r="AL1070" i="30"/>
  <c r="AK1070" i="30"/>
  <c r="AM1069" i="30"/>
  <c r="AL1069" i="30"/>
  <c r="AN1069" i="30" s="1"/>
  <c r="AK1069" i="30"/>
  <c r="AM1068" i="30"/>
  <c r="AL1068" i="30"/>
  <c r="AK1068" i="30"/>
  <c r="AM1067" i="30"/>
  <c r="AL1067" i="30"/>
  <c r="AK1067" i="30"/>
  <c r="AM1066" i="30"/>
  <c r="AL1066" i="30"/>
  <c r="AK1066" i="30"/>
  <c r="AM1065" i="30"/>
  <c r="AL1065" i="30"/>
  <c r="AN1065" i="30" s="1"/>
  <c r="AK1065" i="30"/>
  <c r="AM1064" i="30"/>
  <c r="AL1064" i="30"/>
  <c r="AK1064" i="30"/>
  <c r="AM1063" i="30"/>
  <c r="AL1063" i="30"/>
  <c r="AK1063" i="30"/>
  <c r="AM1062" i="30"/>
  <c r="AL1062" i="30"/>
  <c r="AK1062" i="30"/>
  <c r="AM1061" i="30"/>
  <c r="AL1061" i="30"/>
  <c r="AN1061" i="30" s="1"/>
  <c r="AK1061" i="30"/>
  <c r="AM1060" i="30"/>
  <c r="AL1060" i="30"/>
  <c r="AK1060" i="30"/>
  <c r="AM1059" i="30"/>
  <c r="AL1059" i="30"/>
  <c r="AK1059" i="30"/>
  <c r="AM1058" i="30"/>
  <c r="AL1058" i="30"/>
  <c r="AK1058" i="30"/>
  <c r="AM1057" i="30"/>
  <c r="AL1057" i="30"/>
  <c r="AN1057" i="30" s="1"/>
  <c r="AK1057" i="30"/>
  <c r="AM1056" i="30"/>
  <c r="AL1056" i="30"/>
  <c r="AK1056" i="30"/>
  <c r="AM1055" i="30"/>
  <c r="AL1055" i="30"/>
  <c r="AK1055" i="30"/>
  <c r="AM1054" i="30"/>
  <c r="AL1054" i="30"/>
  <c r="AK1054" i="30"/>
  <c r="AM1053" i="30"/>
  <c r="AL1053" i="30"/>
  <c r="AN1053" i="30" s="1"/>
  <c r="AK1053" i="30"/>
  <c r="AM1052" i="30"/>
  <c r="AL1052" i="30"/>
  <c r="AK1052" i="30"/>
  <c r="AM1051" i="30"/>
  <c r="AL1051" i="30"/>
  <c r="AK1051" i="30"/>
  <c r="AM1050" i="30"/>
  <c r="AL1050" i="30"/>
  <c r="AK1050" i="30"/>
  <c r="AM1049" i="30"/>
  <c r="AL1049" i="30"/>
  <c r="AN1049" i="30" s="1"/>
  <c r="AK1049" i="30"/>
  <c r="AM1048" i="30"/>
  <c r="AL1048" i="30"/>
  <c r="AK1048" i="30"/>
  <c r="AM1047" i="30"/>
  <c r="AL1047" i="30"/>
  <c r="AK1047" i="30"/>
  <c r="AM1046" i="30"/>
  <c r="AL1046" i="30"/>
  <c r="AK1046" i="30"/>
  <c r="AM1045" i="30"/>
  <c r="AL1045" i="30"/>
  <c r="AN1045" i="30" s="1"/>
  <c r="AK1045" i="30"/>
  <c r="AM1044" i="30"/>
  <c r="AL1044" i="30"/>
  <c r="AK1044" i="30"/>
  <c r="AM1043" i="30"/>
  <c r="AL1043" i="30"/>
  <c r="AK1043" i="30"/>
  <c r="AM1042" i="30"/>
  <c r="AL1042" i="30"/>
  <c r="AK1042" i="30"/>
  <c r="AM1041" i="30"/>
  <c r="AL1041" i="30"/>
  <c r="AN1041" i="30" s="1"/>
  <c r="AK1041" i="30"/>
  <c r="AM1040" i="30"/>
  <c r="AL1040" i="30"/>
  <c r="AK1040" i="30"/>
  <c r="AM1039" i="30"/>
  <c r="AL1039" i="30"/>
  <c r="AK1039" i="30"/>
  <c r="AM1038" i="30"/>
  <c r="AL1038" i="30"/>
  <c r="AK1038" i="30"/>
  <c r="AM1037" i="30"/>
  <c r="AL1037" i="30"/>
  <c r="AN1037" i="30" s="1"/>
  <c r="AK1037" i="30"/>
  <c r="AM1036" i="30"/>
  <c r="AL1036" i="30"/>
  <c r="AK1036" i="30"/>
  <c r="AM1035" i="30"/>
  <c r="AL1035" i="30"/>
  <c r="AK1035" i="30"/>
  <c r="AM1034" i="30"/>
  <c r="AL1034" i="30"/>
  <c r="AK1034" i="30"/>
  <c r="AM1033" i="30"/>
  <c r="AL1033" i="30"/>
  <c r="AN1033" i="30" s="1"/>
  <c r="AK1033" i="30"/>
  <c r="AM1032" i="30"/>
  <c r="AL1032" i="30"/>
  <c r="AK1032" i="30"/>
  <c r="AM1031" i="30"/>
  <c r="AL1031" i="30"/>
  <c r="AK1031" i="30"/>
  <c r="AM1030" i="30"/>
  <c r="AL1030" i="30"/>
  <c r="AK1030" i="30"/>
  <c r="AM1029" i="30"/>
  <c r="AL1029" i="30"/>
  <c r="AN1029" i="30" s="1"/>
  <c r="AK1029" i="30"/>
  <c r="AM1028" i="30"/>
  <c r="AL1028" i="30"/>
  <c r="AK1028" i="30"/>
  <c r="AM1027" i="30"/>
  <c r="AL1027" i="30"/>
  <c r="AK1027" i="30"/>
  <c r="AM1026" i="30"/>
  <c r="AL1026" i="30"/>
  <c r="AK1026" i="30"/>
  <c r="AM1025" i="30"/>
  <c r="AL1025" i="30"/>
  <c r="AN1025" i="30" s="1"/>
  <c r="AK1025" i="30"/>
  <c r="AM1024" i="30"/>
  <c r="AL1024" i="30"/>
  <c r="AK1024" i="30"/>
  <c r="D1073" i="30"/>
  <c r="C1073" i="30"/>
  <c r="AP1073" i="30" s="1"/>
  <c r="D1072" i="30"/>
  <c r="C1072" i="30"/>
  <c r="AP1072" i="30" s="1"/>
  <c r="D1071" i="30"/>
  <c r="C1071" i="30"/>
  <c r="AP1071" i="30" s="1"/>
  <c r="D1070" i="30"/>
  <c r="C1070" i="30"/>
  <c r="AP1070" i="30" s="1"/>
  <c r="D1069" i="30"/>
  <c r="C1069" i="30"/>
  <c r="AP1069" i="30" s="1"/>
  <c r="D1068" i="30"/>
  <c r="C1068" i="30"/>
  <c r="AP1068" i="30" s="1"/>
  <c r="D1067" i="30"/>
  <c r="C1067" i="30"/>
  <c r="AP1067" i="30" s="1"/>
  <c r="D1066" i="30"/>
  <c r="C1066" i="30"/>
  <c r="AP1066" i="30" s="1"/>
  <c r="D1065" i="30"/>
  <c r="C1065" i="30"/>
  <c r="AP1065" i="30" s="1"/>
  <c r="D1064" i="30"/>
  <c r="C1064" i="30"/>
  <c r="AP1064" i="30" s="1"/>
  <c r="D1063" i="30"/>
  <c r="C1063" i="30"/>
  <c r="AP1063" i="30" s="1"/>
  <c r="D1062" i="30"/>
  <c r="C1062" i="30"/>
  <c r="AP1062" i="30" s="1"/>
  <c r="D1061" i="30"/>
  <c r="C1061" i="30"/>
  <c r="AP1061" i="30" s="1"/>
  <c r="D1060" i="30"/>
  <c r="C1060" i="30"/>
  <c r="AP1060" i="30" s="1"/>
  <c r="D1059" i="30"/>
  <c r="C1059" i="30"/>
  <c r="AP1059" i="30" s="1"/>
  <c r="D1058" i="30"/>
  <c r="C1058" i="30"/>
  <c r="AP1058" i="30" s="1"/>
  <c r="D1057" i="30"/>
  <c r="C1057" i="30"/>
  <c r="AP1057" i="30" s="1"/>
  <c r="D1056" i="30"/>
  <c r="C1056" i="30"/>
  <c r="AP1056" i="30" s="1"/>
  <c r="D1055" i="30"/>
  <c r="C1055" i="30"/>
  <c r="AP1055" i="30" s="1"/>
  <c r="D1054" i="30"/>
  <c r="C1054" i="30"/>
  <c r="AP1054" i="30" s="1"/>
  <c r="D1053" i="30"/>
  <c r="C1053" i="30"/>
  <c r="AP1053" i="30" s="1"/>
  <c r="D1052" i="30"/>
  <c r="C1052" i="30"/>
  <c r="AP1052" i="30" s="1"/>
  <c r="D1051" i="30"/>
  <c r="C1051" i="30"/>
  <c r="AP1051" i="30" s="1"/>
  <c r="D1050" i="30"/>
  <c r="C1050" i="30"/>
  <c r="AP1050" i="30" s="1"/>
  <c r="D1049" i="30"/>
  <c r="C1049" i="30"/>
  <c r="AP1049" i="30" s="1"/>
  <c r="D1048" i="30"/>
  <c r="C1048" i="30"/>
  <c r="AP1048" i="30" s="1"/>
  <c r="D1047" i="30"/>
  <c r="C1047" i="30"/>
  <c r="AP1047" i="30" s="1"/>
  <c r="D1046" i="30"/>
  <c r="C1046" i="30"/>
  <c r="AP1046" i="30" s="1"/>
  <c r="D1045" i="30"/>
  <c r="C1045" i="30"/>
  <c r="AP1045" i="30" s="1"/>
  <c r="D1044" i="30"/>
  <c r="C1044" i="30"/>
  <c r="AP1044" i="30" s="1"/>
  <c r="D1043" i="30"/>
  <c r="C1043" i="30"/>
  <c r="AP1043" i="30" s="1"/>
  <c r="D1042" i="30"/>
  <c r="C1042" i="30"/>
  <c r="AP1042" i="30" s="1"/>
  <c r="D1041" i="30"/>
  <c r="C1041" i="30"/>
  <c r="AP1041" i="30" s="1"/>
  <c r="D1040" i="30"/>
  <c r="C1040" i="30"/>
  <c r="AP1040" i="30" s="1"/>
  <c r="D1039" i="30"/>
  <c r="C1039" i="30"/>
  <c r="AP1039" i="30" s="1"/>
  <c r="D1038" i="30"/>
  <c r="C1038" i="30"/>
  <c r="AP1038" i="30" s="1"/>
  <c r="D1037" i="30"/>
  <c r="C1037" i="30"/>
  <c r="AP1037" i="30" s="1"/>
  <c r="D1036" i="30"/>
  <c r="C1036" i="30"/>
  <c r="AP1036" i="30" s="1"/>
  <c r="D1035" i="30"/>
  <c r="C1035" i="30"/>
  <c r="AP1035" i="30" s="1"/>
  <c r="D1034" i="30"/>
  <c r="C1034" i="30"/>
  <c r="AP1034" i="30" s="1"/>
  <c r="D1033" i="30"/>
  <c r="C1033" i="30"/>
  <c r="AP1033" i="30" s="1"/>
  <c r="D1032" i="30"/>
  <c r="C1032" i="30"/>
  <c r="AP1032" i="30" s="1"/>
  <c r="D1031" i="30"/>
  <c r="C1031" i="30"/>
  <c r="AP1031" i="30" s="1"/>
  <c r="D1030" i="30"/>
  <c r="C1030" i="30"/>
  <c r="AP1030" i="30" s="1"/>
  <c r="D1029" i="30"/>
  <c r="C1029" i="30"/>
  <c r="AP1029" i="30" s="1"/>
  <c r="D1028" i="30"/>
  <c r="C1028" i="30"/>
  <c r="AP1028" i="30" s="1"/>
  <c r="D1027" i="30"/>
  <c r="C1027" i="30"/>
  <c r="AP1027" i="30" s="1"/>
  <c r="D1026" i="30"/>
  <c r="C1026" i="30"/>
  <c r="AP1026" i="30" s="1"/>
  <c r="D1025" i="30"/>
  <c r="C1025" i="30"/>
  <c r="AP1025" i="30" s="1"/>
  <c r="D1024" i="30"/>
  <c r="C1024" i="30"/>
  <c r="AP1024" i="30" s="1"/>
  <c r="A1024" i="30"/>
  <c r="B1078" i="28"/>
  <c r="B1079" i="28" s="1"/>
  <c r="AN1027" i="30" l="1"/>
  <c r="AN1031" i="30"/>
  <c r="AN1035" i="30"/>
  <c r="AN1039" i="30"/>
  <c r="AN1043" i="30"/>
  <c r="AN1047" i="30"/>
  <c r="AN1051" i="30"/>
  <c r="AN1055" i="30"/>
  <c r="AN1059" i="30"/>
  <c r="AN1063" i="30"/>
  <c r="AN1067" i="30"/>
  <c r="AN1071" i="30"/>
  <c r="AN1026" i="30"/>
  <c r="AN1030" i="30"/>
  <c r="AN1034" i="30"/>
  <c r="AN1038" i="30"/>
  <c r="AN1042" i="30"/>
  <c r="AN1046" i="30"/>
  <c r="AN1050" i="30"/>
  <c r="AN1054" i="30"/>
  <c r="AN1058" i="30"/>
  <c r="AN1062" i="30"/>
  <c r="AN1066" i="30"/>
  <c r="AN1070" i="30"/>
  <c r="AN1024" i="30"/>
  <c r="AN1028" i="30"/>
  <c r="AN1032" i="30"/>
  <c r="AN1036" i="30"/>
  <c r="AN1040" i="30"/>
  <c r="AN1044" i="30"/>
  <c r="AN1048" i="30"/>
  <c r="AN1052" i="30"/>
  <c r="AN1056" i="30"/>
  <c r="AN1060" i="30"/>
  <c r="AN1064" i="30"/>
  <c r="AN1068" i="30"/>
  <c r="AN1072" i="30"/>
  <c r="A1025" i="30"/>
  <c r="A1026" i="30" s="1"/>
  <c r="A1027" i="30" s="1"/>
  <c r="A1028" i="30" s="1"/>
  <c r="A1029" i="30" s="1"/>
  <c r="A1030" i="30" s="1"/>
  <c r="A1031" i="30" s="1"/>
  <c r="A1032" i="30" s="1"/>
  <c r="A1033" i="30" s="1"/>
  <c r="A1034" i="30" s="1"/>
  <c r="A1035" i="30" s="1"/>
  <c r="A1036" i="30" s="1"/>
  <c r="A1037" i="30" s="1"/>
  <c r="A1038" i="30" s="1"/>
  <c r="A1039" i="30" s="1"/>
  <c r="A1040" i="30" s="1"/>
  <c r="A1041" i="30" s="1"/>
  <c r="A1042" i="30" s="1"/>
  <c r="A1043" i="30" s="1"/>
  <c r="A1044" i="30" s="1"/>
  <c r="A1045" i="30" s="1"/>
  <c r="A1046" i="30" s="1"/>
  <c r="A1047" i="30" s="1"/>
  <c r="A1048" i="30" s="1"/>
  <c r="A1049" i="30" s="1"/>
  <c r="A1050" i="30" s="1"/>
  <c r="A1051" i="30" s="1"/>
  <c r="A1052" i="30" s="1"/>
  <c r="A1053" i="30" s="1"/>
  <c r="A1054" i="30" s="1"/>
  <c r="A1055" i="30" s="1"/>
  <c r="A1056" i="30" s="1"/>
  <c r="A1057" i="30" s="1"/>
  <c r="A1058" i="30" s="1"/>
  <c r="A1059" i="30" s="1"/>
  <c r="A1060" i="30" s="1"/>
  <c r="A1061" i="30" s="1"/>
  <c r="A1062" i="30" s="1"/>
  <c r="A1063" i="30" s="1"/>
  <c r="A1064" i="30" s="1"/>
  <c r="A1065" i="30" s="1"/>
  <c r="A1066" i="30" s="1"/>
  <c r="A1067" i="30" s="1"/>
  <c r="A1068" i="30" s="1"/>
  <c r="A1069" i="30" s="1"/>
  <c r="A1070" i="30" s="1"/>
  <c r="A1071" i="30" s="1"/>
  <c r="A1072" i="30" s="1"/>
  <c r="A1073" i="30" s="1"/>
  <c r="A789" i="27"/>
  <c r="B790" i="27"/>
  <c r="B463" i="27"/>
  <c r="A462" i="27"/>
  <c r="A294" i="27"/>
  <c r="B295" i="27"/>
  <c r="A1067" i="27"/>
  <c r="B1068" i="27"/>
  <c r="A640" i="27"/>
  <c r="B641" i="27"/>
  <c r="A919" i="27"/>
  <c r="B920" i="27"/>
  <c r="B162" i="27"/>
  <c r="A161" i="27"/>
  <c r="B1080" i="28"/>
  <c r="B1081" i="28" s="1"/>
  <c r="B1082" i="28" s="1"/>
  <c r="B1083" i="28" s="1"/>
  <c r="B1084" i="28" s="1"/>
  <c r="B1085" i="28" s="1"/>
  <c r="B1086" i="28" s="1"/>
  <c r="B1087" i="28" s="1"/>
  <c r="B1088" i="28" s="1"/>
  <c r="B1089" i="28" s="1"/>
  <c r="B1090" i="28" s="1"/>
  <c r="B1091" i="28" s="1"/>
  <c r="B1092" i="28" s="1"/>
  <c r="B1093" i="28" s="1"/>
  <c r="B1094" i="28" s="1"/>
  <c r="B1095" i="28" s="1"/>
  <c r="B1096" i="28" s="1"/>
  <c r="B1097" i="28" s="1"/>
  <c r="B1098" i="28" s="1"/>
  <c r="B1099" i="28" s="1"/>
  <c r="B1100" i="28" s="1"/>
  <c r="B1101" i="28" s="1"/>
  <c r="B1102" i="28" s="1"/>
  <c r="B1103" i="28" s="1"/>
  <c r="B1104" i="28" s="1"/>
  <c r="B1105" i="28" s="1"/>
  <c r="B1106" i="28" s="1"/>
  <c r="B1107" i="28" s="1"/>
  <c r="B1108" i="28" s="1"/>
  <c r="B1109" i="28" s="1"/>
  <c r="B1110" i="28" s="1"/>
  <c r="B1111" i="28" s="1"/>
  <c r="B1112" i="28" s="1"/>
  <c r="B1113" i="28" s="1"/>
  <c r="B1114" i="28" s="1"/>
  <c r="B1115" i="28" s="1"/>
  <c r="B1116" i="28" s="1"/>
  <c r="B1117" i="28" s="1"/>
  <c r="B1118" i="28" s="1"/>
  <c r="B1119" i="28" s="1"/>
  <c r="B1120" i="28" s="1"/>
  <c r="B1121" i="28" s="1"/>
  <c r="B1122" i="28" s="1"/>
  <c r="B1123" i="28" s="1"/>
  <c r="B1124" i="28" s="1"/>
  <c r="B1125" i="28" s="1"/>
  <c r="B1126" i="28" s="1"/>
  <c r="B1127" i="28" s="1"/>
  <c r="B1128" i="28" s="1"/>
  <c r="B1129" i="28" s="1"/>
  <c r="B1130" i="28" s="1"/>
  <c r="B1131" i="28" s="1"/>
  <c r="B1132" i="28" s="1"/>
  <c r="B1133" i="28" s="1"/>
  <c r="B1134" i="28" s="1"/>
  <c r="B1135" i="28" s="1"/>
  <c r="B1136" i="28" s="1"/>
  <c r="B1137" i="28" s="1"/>
  <c r="B1138" i="28" s="1"/>
  <c r="B1139" i="28" s="1"/>
  <c r="B1140" i="28" s="1"/>
  <c r="B1141" i="28" s="1"/>
  <c r="B1142" i="28" s="1"/>
  <c r="B1143" i="28" s="1"/>
  <c r="B1144" i="28" s="1"/>
  <c r="B1145" i="28" s="1"/>
  <c r="B1146" i="28" s="1"/>
  <c r="B1147" i="28" s="1"/>
  <c r="B1148" i="28" s="1"/>
  <c r="B1149" i="28" s="1"/>
  <c r="B1150" i="28" s="1"/>
  <c r="B1151" i="28" s="1"/>
  <c r="B1152" i="28" s="1"/>
  <c r="B1153" i="28" s="1"/>
  <c r="B1154" i="28" s="1"/>
  <c r="B1155" i="28" s="1"/>
  <c r="B1156" i="28" s="1"/>
  <c r="B1157" i="28" s="1"/>
  <c r="B1158" i="28" s="1"/>
  <c r="B1159" i="28" s="1"/>
  <c r="B1160" i="28" s="1"/>
  <c r="B1161" i="28" s="1"/>
  <c r="B1162" i="28" s="1"/>
  <c r="B1163" i="28" s="1"/>
  <c r="B1164" i="28" s="1"/>
  <c r="B1165" i="28" s="1"/>
  <c r="B1166" i="28" s="1"/>
  <c r="B1167" i="28" s="1"/>
  <c r="B1168" i="28" s="1"/>
  <c r="B1169" i="28" s="1"/>
  <c r="B1170" i="28" s="1"/>
  <c r="B1171" i="28" s="1"/>
  <c r="B1172" i="28" s="1"/>
  <c r="B1173" i="28" s="1"/>
  <c r="B1174" i="28" s="1"/>
  <c r="B1175" i="28" s="1"/>
  <c r="B1176" i="28" s="1"/>
  <c r="B1177" i="28" s="1"/>
  <c r="B1178" i="28" s="1"/>
  <c r="B1179" i="28" s="1"/>
  <c r="B1180" i="28" s="1"/>
  <c r="B1181" i="28" s="1"/>
  <c r="B1182" i="28" s="1"/>
  <c r="B1183" i="28" s="1"/>
  <c r="B1184" i="28" s="1"/>
  <c r="B1185" i="28" s="1"/>
  <c r="B1186" i="28" s="1"/>
  <c r="B1187" i="28" s="1"/>
  <c r="B1188" i="28" s="1"/>
  <c r="B1189" i="28" s="1"/>
  <c r="B1190" i="28" s="1"/>
  <c r="B1191" i="28" s="1"/>
  <c r="B1192" i="28" s="1"/>
  <c r="B1193" i="28" s="1"/>
  <c r="B1194" i="28" s="1"/>
  <c r="B1195" i="28" s="1"/>
  <c r="B1196" i="28" s="1"/>
  <c r="B1197" i="28" s="1"/>
  <c r="B1198" i="28" s="1"/>
  <c r="B1199" i="28" s="1"/>
  <c r="B1200" i="28" s="1"/>
  <c r="B1201" i="28" s="1"/>
  <c r="B1202" i="28" s="1"/>
  <c r="B1203" i="28" s="1"/>
  <c r="B1204" i="28" s="1"/>
  <c r="B1205" i="28" s="1"/>
  <c r="B1206" i="28" s="1"/>
  <c r="B1207" i="28" s="1"/>
  <c r="B1208" i="28" s="1"/>
  <c r="B1209" i="28" s="1"/>
  <c r="B1210" i="28" s="1"/>
  <c r="B1211" i="28" s="1"/>
  <c r="B1212" i="28" s="1"/>
  <c r="B1213" i="28" s="1"/>
  <c r="J146" i="29"/>
  <c r="J147" i="29" s="1"/>
  <c r="J148" i="29" s="1"/>
  <c r="J149" i="29" s="1"/>
  <c r="J150" i="29" s="1"/>
  <c r="J151" i="29" s="1"/>
  <c r="J152" i="29" s="1"/>
  <c r="J153" i="29" s="1"/>
  <c r="J154" i="29" s="1"/>
  <c r="J155" i="29" s="1"/>
  <c r="J156" i="29" s="1"/>
  <c r="J157" i="29" s="1"/>
  <c r="J158" i="29" s="1"/>
  <c r="J159" i="29" s="1"/>
  <c r="J160" i="29" s="1"/>
  <c r="J161" i="29" s="1"/>
  <c r="J162" i="29" s="1"/>
  <c r="J163" i="29" s="1"/>
  <c r="J164" i="29" s="1"/>
  <c r="J165" i="29" s="1"/>
  <c r="DG1187" i="27"/>
  <c r="DG1186" i="27"/>
  <c r="DG1185" i="27"/>
  <c r="DG1184" i="27"/>
  <c r="DG1183" i="27"/>
  <c r="DG1182" i="27"/>
  <c r="DG1181" i="27"/>
  <c r="DG1180" i="27"/>
  <c r="DG1179" i="27"/>
  <c r="DG1178" i="27"/>
  <c r="DG1177" i="27"/>
  <c r="DG1176" i="27"/>
  <c r="DG1175" i="27"/>
  <c r="DG1174" i="27"/>
  <c r="DG1173" i="27"/>
  <c r="DG1172" i="27"/>
  <c r="DG1171" i="27"/>
  <c r="DG1170" i="27"/>
  <c r="DG1169" i="27"/>
  <c r="DG1168" i="27"/>
  <c r="DG1167" i="27"/>
  <c r="DG1166" i="27"/>
  <c r="DG1165" i="27"/>
  <c r="DG1164" i="27"/>
  <c r="DG1163" i="27"/>
  <c r="DG1162" i="27"/>
  <c r="DG1161" i="27"/>
  <c r="DG1160" i="27"/>
  <c r="DG1159" i="27"/>
  <c r="DG1158" i="27"/>
  <c r="DG1157" i="27"/>
  <c r="DG1156" i="27"/>
  <c r="DG1155" i="27"/>
  <c r="DG1154" i="27"/>
  <c r="DG1153" i="27"/>
  <c r="DG1152" i="27"/>
  <c r="DG1151" i="27"/>
  <c r="DG1150" i="27"/>
  <c r="DG1149" i="27"/>
  <c r="DG1148" i="27"/>
  <c r="DG1147" i="27"/>
  <c r="DG1146" i="27"/>
  <c r="DG1145" i="27"/>
  <c r="DG1144" i="27"/>
  <c r="DG1143" i="27"/>
  <c r="DG1142" i="27"/>
  <c r="DG1141" i="27"/>
  <c r="DG1140" i="27"/>
  <c r="DG1139" i="27"/>
  <c r="DG1138" i="27"/>
  <c r="DG1137" i="27"/>
  <c r="DG1136" i="27"/>
  <c r="DG1135" i="27"/>
  <c r="DG1134" i="27"/>
  <c r="DG1133" i="27"/>
  <c r="DG1132" i="27"/>
  <c r="DG1131" i="27"/>
  <c r="DG1130" i="27"/>
  <c r="DG1129" i="27"/>
  <c r="DG1128" i="27"/>
  <c r="DG1127" i="27"/>
  <c r="DG1126" i="27"/>
  <c r="DG1125" i="27"/>
  <c r="DG1124" i="27"/>
  <c r="DG1123" i="27"/>
  <c r="DG1122" i="27"/>
  <c r="DG1121" i="27"/>
  <c r="DG1120" i="27"/>
  <c r="DG1119" i="27"/>
  <c r="DG1118" i="27"/>
  <c r="DG1117" i="27"/>
  <c r="DG1116" i="27"/>
  <c r="DG1115" i="27"/>
  <c r="DG1114" i="27"/>
  <c r="DG1113" i="27"/>
  <c r="DG1112" i="27"/>
  <c r="DG1111" i="27"/>
  <c r="DG1110" i="27"/>
  <c r="DG1109" i="27"/>
  <c r="DG1108" i="27"/>
  <c r="DG1107" i="27"/>
  <c r="DG1106" i="27"/>
  <c r="DG1105" i="27"/>
  <c r="DG1104" i="27"/>
  <c r="DG1103" i="27"/>
  <c r="DG1102" i="27"/>
  <c r="DG1101" i="27"/>
  <c r="DG1100" i="27"/>
  <c r="DG1099" i="27"/>
  <c r="DG1098" i="27"/>
  <c r="DG1097" i="27"/>
  <c r="DG1096" i="27"/>
  <c r="DG1095" i="27"/>
  <c r="DG1094" i="27"/>
  <c r="DG1093" i="27"/>
  <c r="DG1092" i="27"/>
  <c r="DG1091" i="27"/>
  <c r="DG1090" i="27"/>
  <c r="DG1089" i="27"/>
  <c r="DG1088" i="27"/>
  <c r="DG1087" i="27"/>
  <c r="DG1086" i="27"/>
  <c r="DG1085" i="27"/>
  <c r="DG1084" i="27"/>
  <c r="DG1083" i="27"/>
  <c r="DG1082" i="27"/>
  <c r="DG1081" i="27"/>
  <c r="DG1080" i="27"/>
  <c r="DG1079" i="27"/>
  <c r="DG1078" i="27"/>
  <c r="DG1077" i="27"/>
  <c r="DG1076" i="27"/>
  <c r="DG1075" i="27"/>
  <c r="DG1074" i="27"/>
  <c r="DG1073" i="27"/>
  <c r="DG1072" i="27"/>
  <c r="DG1071" i="27"/>
  <c r="DG1070" i="27"/>
  <c r="DG1069" i="27"/>
  <c r="DG1068" i="27"/>
  <c r="DG1067" i="27"/>
  <c r="DG1066" i="27"/>
  <c r="DG1065" i="27"/>
  <c r="DG1064" i="27"/>
  <c r="DG1063" i="27"/>
  <c r="A790" i="27" l="1"/>
  <c r="B791" i="27"/>
  <c r="A162" i="27"/>
  <c r="B163" i="27"/>
  <c r="A463" i="27"/>
  <c r="B464" i="27"/>
  <c r="A920" i="27"/>
  <c r="B921" i="27"/>
  <c r="A1068" i="27"/>
  <c r="B1069" i="27"/>
  <c r="A641" i="27"/>
  <c r="B642" i="27"/>
  <c r="B296" i="27"/>
  <c r="A295" i="27"/>
  <c r="AC79" i="35"/>
  <c r="AC78" i="35"/>
  <c r="AC77" i="35"/>
  <c r="AC76" i="35"/>
  <c r="AC75" i="35"/>
  <c r="AC74" i="35"/>
  <c r="AC73" i="35"/>
  <c r="AC72" i="35"/>
  <c r="AD71" i="35"/>
  <c r="AD72" i="35" s="1"/>
  <c r="AD73" i="35" s="1"/>
  <c r="AD74" i="35" s="1"/>
  <c r="AD75" i="35" s="1"/>
  <c r="AD76" i="35" s="1"/>
  <c r="AD77" i="35" s="1"/>
  <c r="AD78" i="35" s="1"/>
  <c r="AD79" i="35" s="1"/>
  <c r="AC71" i="35"/>
  <c r="N79" i="35"/>
  <c r="N78" i="35"/>
  <c r="N77" i="35"/>
  <c r="N76" i="35"/>
  <c r="N75" i="35"/>
  <c r="N74" i="35"/>
  <c r="N73" i="35"/>
  <c r="N72" i="35"/>
  <c r="N71" i="35"/>
  <c r="A791" i="27" l="1"/>
  <c r="B792" i="27"/>
  <c r="A296" i="27"/>
  <c r="B297" i="27"/>
  <c r="A1069" i="27"/>
  <c r="B1070" i="27"/>
  <c r="B164" i="27"/>
  <c r="A163" i="27"/>
  <c r="A642" i="27"/>
  <c r="B643" i="27"/>
  <c r="A921" i="27"/>
  <c r="B922" i="27"/>
  <c r="B465" i="27"/>
  <c r="A464" i="27"/>
  <c r="K65" i="32" l="1"/>
  <c r="AH103" i="37"/>
  <c r="AH2" i="37"/>
  <c r="A792" i="27"/>
  <c r="B793" i="27"/>
  <c r="A1070" i="27"/>
  <c r="B1071" i="27"/>
  <c r="A164" i="27"/>
  <c r="B165" i="27"/>
  <c r="A643" i="27"/>
  <c r="B644" i="27"/>
  <c r="B298" i="27"/>
  <c r="A297" i="27"/>
  <c r="A922" i="27"/>
  <c r="B923" i="27"/>
  <c r="A465" i="27"/>
  <c r="B466" i="27"/>
  <c r="C1023" i="30"/>
  <c r="AP1023" i="30" s="1"/>
  <c r="C1022" i="30"/>
  <c r="AP1022" i="30" s="1"/>
  <c r="C1021" i="30"/>
  <c r="AP1021" i="30" s="1"/>
  <c r="C1020" i="30"/>
  <c r="AP1020" i="30" s="1"/>
  <c r="C1019" i="30"/>
  <c r="AP1019" i="30" s="1"/>
  <c r="C1018" i="30"/>
  <c r="AP1018" i="30" s="1"/>
  <c r="C1017" i="30"/>
  <c r="AP1017" i="30" s="1"/>
  <c r="C1016" i="30"/>
  <c r="AP1016" i="30" s="1"/>
  <c r="C1015" i="30"/>
  <c r="AP1015" i="30" s="1"/>
  <c r="C1014" i="30"/>
  <c r="AP1014" i="30" s="1"/>
  <c r="C1013" i="30"/>
  <c r="AP1013" i="30" s="1"/>
  <c r="C1012" i="30"/>
  <c r="AP1012" i="30" s="1"/>
  <c r="C1011" i="30"/>
  <c r="AP1011" i="30" s="1"/>
  <c r="C1010" i="30"/>
  <c r="AP1010" i="30" s="1"/>
  <c r="C1009" i="30"/>
  <c r="AP1009" i="30" s="1"/>
  <c r="C1008" i="30"/>
  <c r="AP1008" i="30" s="1"/>
  <c r="C1007" i="30"/>
  <c r="AP1007" i="30" s="1"/>
  <c r="C1006" i="30"/>
  <c r="AP1006" i="30" s="1"/>
  <c r="C1005" i="30"/>
  <c r="AP1005" i="30" s="1"/>
  <c r="C1004" i="30"/>
  <c r="AP1004" i="30" s="1"/>
  <c r="C1003" i="30"/>
  <c r="AP1003" i="30" s="1"/>
  <c r="C1002" i="30"/>
  <c r="AP1002" i="30" s="1"/>
  <c r="C1001" i="30"/>
  <c r="AP1001" i="30" s="1"/>
  <c r="C1000" i="30"/>
  <c r="AP1000" i="30" s="1"/>
  <c r="C999" i="30"/>
  <c r="AP999" i="30" s="1"/>
  <c r="C998" i="30"/>
  <c r="AP998" i="30" s="1"/>
  <c r="C997" i="30"/>
  <c r="AP997" i="30" s="1"/>
  <c r="C996" i="30"/>
  <c r="AP996" i="30" s="1"/>
  <c r="C995" i="30"/>
  <c r="AP995" i="30" s="1"/>
  <c r="C994" i="30"/>
  <c r="AP994" i="30" s="1"/>
  <c r="C993" i="30"/>
  <c r="AP993" i="30" s="1"/>
  <c r="C992" i="30"/>
  <c r="AP992" i="30" s="1"/>
  <c r="C991" i="30"/>
  <c r="AP991" i="30" s="1"/>
  <c r="C990" i="30"/>
  <c r="AP990" i="30" s="1"/>
  <c r="C989" i="30"/>
  <c r="AP989" i="30" s="1"/>
  <c r="C988" i="30"/>
  <c r="AP988" i="30" s="1"/>
  <c r="C987" i="30"/>
  <c r="AP987" i="30" s="1"/>
  <c r="C986" i="30"/>
  <c r="AP986" i="30" s="1"/>
  <c r="C985" i="30"/>
  <c r="AP985" i="30" s="1"/>
  <c r="C984" i="30"/>
  <c r="AP984" i="30" s="1"/>
  <c r="C983" i="30"/>
  <c r="AP983" i="30" s="1"/>
  <c r="C982" i="30"/>
  <c r="AP982" i="30" s="1"/>
  <c r="C981" i="30"/>
  <c r="AP981" i="30" s="1"/>
  <c r="C980" i="30"/>
  <c r="AP980" i="30" s="1"/>
  <c r="C979" i="30"/>
  <c r="AP979" i="30" s="1"/>
  <c r="C978" i="30"/>
  <c r="AP978" i="30" s="1"/>
  <c r="C977" i="30"/>
  <c r="AP977" i="30" s="1"/>
  <c r="C976" i="30"/>
  <c r="AP976" i="30" s="1"/>
  <c r="C975" i="30"/>
  <c r="AP975" i="30" s="1"/>
  <c r="C974" i="30"/>
  <c r="AP974" i="30" s="1"/>
  <c r="C973" i="30"/>
  <c r="AP973" i="30" s="1"/>
  <c r="C972" i="30"/>
  <c r="AP972" i="30" s="1"/>
  <c r="C971" i="30"/>
  <c r="AP971" i="30" s="1"/>
  <c r="C970" i="30"/>
  <c r="AP970" i="30" s="1"/>
  <c r="C969" i="30"/>
  <c r="AP969" i="30" s="1"/>
  <c r="C968" i="30"/>
  <c r="AP968" i="30" s="1"/>
  <c r="C967" i="30"/>
  <c r="AP967" i="30" s="1"/>
  <c r="C966" i="30"/>
  <c r="AP966" i="30" s="1"/>
  <c r="C965" i="30"/>
  <c r="AP965" i="30" s="1"/>
  <c r="C964" i="30"/>
  <c r="AP964" i="30" s="1"/>
  <c r="C963" i="30"/>
  <c r="AP963" i="30" s="1"/>
  <c r="C962" i="30"/>
  <c r="AP962" i="30" s="1"/>
  <c r="C961" i="30"/>
  <c r="AP961" i="30" s="1"/>
  <c r="C960" i="30"/>
  <c r="AP960" i="30" s="1"/>
  <c r="C959" i="30"/>
  <c r="AP959" i="30" s="1"/>
  <c r="C958" i="30"/>
  <c r="AP958" i="30" s="1"/>
  <c r="C957" i="30"/>
  <c r="AP957" i="30" s="1"/>
  <c r="C956" i="30"/>
  <c r="AP956" i="30" s="1"/>
  <c r="C955" i="30"/>
  <c r="AP955" i="30" s="1"/>
  <c r="C954" i="30"/>
  <c r="AP954" i="30" s="1"/>
  <c r="C953" i="30"/>
  <c r="AP953" i="30" s="1"/>
  <c r="C952" i="30"/>
  <c r="AP952" i="30" s="1"/>
  <c r="C951" i="30"/>
  <c r="AP951" i="30" s="1"/>
  <c r="C950" i="30"/>
  <c r="AP950" i="30" s="1"/>
  <c r="C949" i="30"/>
  <c r="AP949" i="30" s="1"/>
  <c r="C948" i="30"/>
  <c r="AP948" i="30" s="1"/>
  <c r="C947" i="30"/>
  <c r="AP947" i="30" s="1"/>
  <c r="C946" i="30"/>
  <c r="AP946" i="30" s="1"/>
  <c r="C945" i="30"/>
  <c r="AP945" i="30" s="1"/>
  <c r="C944" i="30"/>
  <c r="AP944" i="30" s="1"/>
  <c r="C943" i="30"/>
  <c r="AP943" i="30" s="1"/>
  <c r="C942" i="30"/>
  <c r="AP942" i="30" s="1"/>
  <c r="C941" i="30"/>
  <c r="AP941" i="30" s="1"/>
  <c r="C940" i="30"/>
  <c r="AP940" i="30" s="1"/>
  <c r="C939" i="30"/>
  <c r="AP939" i="30" s="1"/>
  <c r="C938" i="30"/>
  <c r="AP938" i="30" s="1"/>
  <c r="C937" i="30"/>
  <c r="AP937" i="30" s="1"/>
  <c r="C936" i="30"/>
  <c r="AP936" i="30" s="1"/>
  <c r="C935" i="30"/>
  <c r="AP935" i="30" s="1"/>
  <c r="C934" i="30"/>
  <c r="AP934" i="30" s="1"/>
  <c r="C933" i="30"/>
  <c r="AP933" i="30" s="1"/>
  <c r="C932" i="30"/>
  <c r="AP932" i="30" s="1"/>
  <c r="C931" i="30"/>
  <c r="AP931" i="30" s="1"/>
  <c r="C930" i="30"/>
  <c r="AP930" i="30" s="1"/>
  <c r="C929" i="30"/>
  <c r="AP929" i="30" s="1"/>
  <c r="C928" i="30"/>
  <c r="AP928" i="30" s="1"/>
  <c r="C927" i="30"/>
  <c r="AP927" i="30" s="1"/>
  <c r="C926" i="30"/>
  <c r="AP926" i="30" s="1"/>
  <c r="C925" i="30"/>
  <c r="AP925" i="30" s="1"/>
  <c r="C924" i="30"/>
  <c r="AP924" i="30" s="1"/>
  <c r="C923" i="30"/>
  <c r="AP923" i="30" s="1"/>
  <c r="C922" i="30"/>
  <c r="AP922" i="30" s="1"/>
  <c r="C921" i="30"/>
  <c r="AP921" i="30" s="1"/>
  <c r="C920" i="30"/>
  <c r="AP920" i="30" s="1"/>
  <c r="C919" i="30"/>
  <c r="AP919" i="30" s="1"/>
  <c r="C918" i="30"/>
  <c r="AP918" i="30" s="1"/>
  <c r="C917" i="30"/>
  <c r="AP917" i="30" s="1"/>
  <c r="C916" i="30"/>
  <c r="AP916" i="30" s="1"/>
  <c r="C915" i="30"/>
  <c r="AP915" i="30" s="1"/>
  <c r="C914" i="30"/>
  <c r="AP914" i="30" s="1"/>
  <c r="C913" i="30"/>
  <c r="AP913" i="30" s="1"/>
  <c r="C912" i="30"/>
  <c r="AP912" i="30" s="1"/>
  <c r="C911" i="30"/>
  <c r="AP911" i="30" s="1"/>
  <c r="C910" i="30"/>
  <c r="AP910" i="30" s="1"/>
  <c r="C909" i="30"/>
  <c r="AP909" i="30" s="1"/>
  <c r="C908" i="30"/>
  <c r="AP908" i="30" s="1"/>
  <c r="C907" i="30"/>
  <c r="AP907" i="30" s="1"/>
  <c r="C906" i="30"/>
  <c r="AP906" i="30" s="1"/>
  <c r="C905" i="30"/>
  <c r="AP905" i="30" s="1"/>
  <c r="C904" i="30"/>
  <c r="AP904" i="30" s="1"/>
  <c r="C903" i="30"/>
  <c r="AP903" i="30" s="1"/>
  <c r="C902" i="30"/>
  <c r="AP902" i="30" s="1"/>
  <c r="C901" i="30"/>
  <c r="AP901" i="30" s="1"/>
  <c r="C900" i="30"/>
  <c r="AP900" i="30" s="1"/>
  <c r="C899" i="30"/>
  <c r="AP899" i="30" s="1"/>
  <c r="C898" i="30"/>
  <c r="AP898" i="30" s="1"/>
  <c r="C897" i="30"/>
  <c r="AP897" i="30" s="1"/>
  <c r="C896" i="30"/>
  <c r="AP896" i="30" s="1"/>
  <c r="C895" i="30"/>
  <c r="AP895" i="30" s="1"/>
  <c r="C894" i="30"/>
  <c r="AP894" i="30" s="1"/>
  <c r="C893" i="30"/>
  <c r="AP893" i="30" s="1"/>
  <c r="C892" i="30"/>
  <c r="AP892" i="30" s="1"/>
  <c r="C891" i="30"/>
  <c r="AP891" i="30" s="1"/>
  <c r="C890" i="30"/>
  <c r="AP890" i="30" s="1"/>
  <c r="C889" i="30"/>
  <c r="AP889" i="30" s="1"/>
  <c r="C888" i="30"/>
  <c r="AP888" i="30" s="1"/>
  <c r="C887" i="30"/>
  <c r="AP887" i="30" s="1"/>
  <c r="C886" i="30"/>
  <c r="AP886" i="30" s="1"/>
  <c r="C885" i="30"/>
  <c r="AP885" i="30" s="1"/>
  <c r="C884" i="30"/>
  <c r="AP884" i="30" s="1"/>
  <c r="C883" i="30"/>
  <c r="AP883" i="30" s="1"/>
  <c r="C882" i="30"/>
  <c r="AP882" i="30" s="1"/>
  <c r="C881" i="30"/>
  <c r="AP881" i="30" s="1"/>
  <c r="C880" i="30"/>
  <c r="AP880" i="30" s="1"/>
  <c r="C879" i="30"/>
  <c r="AP879" i="30" s="1"/>
  <c r="C878" i="30"/>
  <c r="AP878" i="30" s="1"/>
  <c r="C877" i="30"/>
  <c r="AP877" i="30" s="1"/>
  <c r="C876" i="30"/>
  <c r="AP876" i="30" s="1"/>
  <c r="C875" i="30"/>
  <c r="AP875" i="30" s="1"/>
  <c r="C874" i="30"/>
  <c r="AP874" i="30" s="1"/>
  <c r="C873" i="30"/>
  <c r="AP873" i="30" s="1"/>
  <c r="C872" i="30"/>
  <c r="AP872" i="30" s="1"/>
  <c r="C871" i="30"/>
  <c r="AP871" i="30" s="1"/>
  <c r="C870" i="30"/>
  <c r="AP870" i="30" s="1"/>
  <c r="C869" i="30"/>
  <c r="AP869" i="30" s="1"/>
  <c r="C868" i="30"/>
  <c r="AP868" i="30" s="1"/>
  <c r="C867" i="30"/>
  <c r="AP867" i="30" s="1"/>
  <c r="C866" i="30"/>
  <c r="AP866" i="30" s="1"/>
  <c r="C865" i="30"/>
  <c r="AP865" i="30" s="1"/>
  <c r="C864" i="30"/>
  <c r="AP864" i="30" s="1"/>
  <c r="C863" i="30"/>
  <c r="AP863" i="30" s="1"/>
  <c r="C862" i="30"/>
  <c r="AP862" i="30" s="1"/>
  <c r="C861" i="30"/>
  <c r="AP861" i="30" s="1"/>
  <c r="C860" i="30"/>
  <c r="AP860" i="30" s="1"/>
  <c r="C859" i="30"/>
  <c r="AP859" i="30" s="1"/>
  <c r="C858" i="30"/>
  <c r="AP858" i="30" s="1"/>
  <c r="C857" i="30"/>
  <c r="AP857" i="30" s="1"/>
  <c r="C856" i="30"/>
  <c r="AP856" i="30" s="1"/>
  <c r="C855" i="30"/>
  <c r="AP855" i="30" s="1"/>
  <c r="C854" i="30"/>
  <c r="AP854" i="30" s="1"/>
  <c r="C853" i="30"/>
  <c r="AP853" i="30" s="1"/>
  <c r="C852" i="30"/>
  <c r="AP852" i="30" s="1"/>
  <c r="C851" i="30"/>
  <c r="AP851" i="30" s="1"/>
  <c r="C850" i="30"/>
  <c r="AP850" i="30" s="1"/>
  <c r="C849" i="30"/>
  <c r="AP849" i="30" s="1"/>
  <c r="C848" i="30"/>
  <c r="AP848" i="30" s="1"/>
  <c r="C847" i="30"/>
  <c r="AP847" i="30" s="1"/>
  <c r="C846" i="30"/>
  <c r="AP846" i="30" s="1"/>
  <c r="C845" i="30"/>
  <c r="AP845" i="30" s="1"/>
  <c r="C844" i="30"/>
  <c r="AP844" i="30" s="1"/>
  <c r="C843" i="30"/>
  <c r="AP843" i="30" s="1"/>
  <c r="C842" i="30"/>
  <c r="AP842" i="30" s="1"/>
  <c r="C841" i="30"/>
  <c r="AP841" i="30" s="1"/>
  <c r="C840" i="30"/>
  <c r="AP840" i="30" s="1"/>
  <c r="C839" i="30"/>
  <c r="AP839" i="30" s="1"/>
  <c r="C838" i="30"/>
  <c r="AP838" i="30" s="1"/>
  <c r="C837" i="30"/>
  <c r="AP837" i="30" s="1"/>
  <c r="C836" i="30"/>
  <c r="AP836" i="30" s="1"/>
  <c r="C835" i="30"/>
  <c r="AP835" i="30" s="1"/>
  <c r="C834" i="30"/>
  <c r="AP834" i="30" s="1"/>
  <c r="C833" i="30"/>
  <c r="AP833" i="30" s="1"/>
  <c r="C832" i="30"/>
  <c r="AP832" i="30" s="1"/>
  <c r="C831" i="30"/>
  <c r="AP831" i="30" s="1"/>
  <c r="C830" i="30"/>
  <c r="AP830" i="30" s="1"/>
  <c r="C829" i="30"/>
  <c r="AP829" i="30" s="1"/>
  <c r="C828" i="30"/>
  <c r="AP828" i="30" s="1"/>
  <c r="C827" i="30"/>
  <c r="AP827" i="30" s="1"/>
  <c r="C826" i="30"/>
  <c r="AP826" i="30" s="1"/>
  <c r="C825" i="30"/>
  <c r="AP825" i="30" s="1"/>
  <c r="C824" i="30"/>
  <c r="AP824" i="30" s="1"/>
  <c r="C823" i="30"/>
  <c r="AP823" i="30" s="1"/>
  <c r="C822" i="30"/>
  <c r="AP822" i="30" s="1"/>
  <c r="C821" i="30"/>
  <c r="AP821" i="30" s="1"/>
  <c r="C820" i="30"/>
  <c r="AP820" i="30" s="1"/>
  <c r="C819" i="30"/>
  <c r="AP819" i="30" s="1"/>
  <c r="C818" i="30"/>
  <c r="AP818" i="30" s="1"/>
  <c r="C817" i="30"/>
  <c r="AP817" i="30" s="1"/>
  <c r="C816" i="30"/>
  <c r="AP816" i="30" s="1"/>
  <c r="C815" i="30"/>
  <c r="AP815" i="30" s="1"/>
  <c r="C814" i="30"/>
  <c r="AP814" i="30" s="1"/>
  <c r="C813" i="30"/>
  <c r="AP813" i="30" s="1"/>
  <c r="C812" i="30"/>
  <c r="AP812" i="30" s="1"/>
  <c r="C811" i="30"/>
  <c r="AP811" i="30" s="1"/>
  <c r="C810" i="30"/>
  <c r="AP810" i="30" s="1"/>
  <c r="C809" i="30"/>
  <c r="AP809" i="30" s="1"/>
  <c r="C808" i="30"/>
  <c r="AP808" i="30" s="1"/>
  <c r="C807" i="30"/>
  <c r="AP807" i="30" s="1"/>
  <c r="C806" i="30"/>
  <c r="AP806" i="30" s="1"/>
  <c r="C805" i="30"/>
  <c r="AP805" i="30" s="1"/>
  <c r="C804" i="30"/>
  <c r="AP804" i="30" s="1"/>
  <c r="C803" i="30"/>
  <c r="AP803" i="30" s="1"/>
  <c r="C802" i="30"/>
  <c r="AP802" i="30" s="1"/>
  <c r="C801" i="30"/>
  <c r="AP801" i="30" s="1"/>
  <c r="C800" i="30"/>
  <c r="AP800" i="30" s="1"/>
  <c r="C799" i="30"/>
  <c r="AP799" i="30" s="1"/>
  <c r="C798" i="30"/>
  <c r="AP798" i="30" s="1"/>
  <c r="C797" i="30"/>
  <c r="AP797" i="30" s="1"/>
  <c r="C796" i="30"/>
  <c r="AP796" i="30" s="1"/>
  <c r="C795" i="30"/>
  <c r="AP795" i="30" s="1"/>
  <c r="C794" i="30"/>
  <c r="AP794" i="30" s="1"/>
  <c r="C793" i="30"/>
  <c r="AP793" i="30" s="1"/>
  <c r="C792" i="30"/>
  <c r="AP792" i="30" s="1"/>
  <c r="C791" i="30"/>
  <c r="AP791" i="30" s="1"/>
  <c r="C790" i="30"/>
  <c r="AP790" i="30" s="1"/>
  <c r="C789" i="30"/>
  <c r="AP789" i="30" s="1"/>
  <c r="C788" i="30"/>
  <c r="AP788" i="30" s="1"/>
  <c r="C787" i="30"/>
  <c r="AP787" i="30" s="1"/>
  <c r="C786" i="30"/>
  <c r="AP786" i="30" s="1"/>
  <c r="C785" i="30"/>
  <c r="AP785" i="30" s="1"/>
  <c r="C784" i="30"/>
  <c r="AP784" i="30" s="1"/>
  <c r="C783" i="30"/>
  <c r="AP783" i="30" s="1"/>
  <c r="C782" i="30"/>
  <c r="AP782" i="30" s="1"/>
  <c r="C781" i="30"/>
  <c r="AP781" i="30" s="1"/>
  <c r="C780" i="30"/>
  <c r="AP780" i="30" s="1"/>
  <c r="C779" i="30"/>
  <c r="AP779" i="30" s="1"/>
  <c r="C778" i="30"/>
  <c r="AP778" i="30" s="1"/>
  <c r="C777" i="30"/>
  <c r="AP777" i="30" s="1"/>
  <c r="C776" i="30"/>
  <c r="AP776" i="30" s="1"/>
  <c r="C775" i="30"/>
  <c r="AP775" i="30" s="1"/>
  <c r="C774" i="30"/>
  <c r="AP774" i="30" s="1"/>
  <c r="C773" i="30"/>
  <c r="AP773" i="30" s="1"/>
  <c r="C772" i="30"/>
  <c r="AP772" i="30" s="1"/>
  <c r="C771" i="30"/>
  <c r="AP771" i="30" s="1"/>
  <c r="C770" i="30"/>
  <c r="AP770" i="30" s="1"/>
  <c r="C769" i="30"/>
  <c r="AP769" i="30" s="1"/>
  <c r="C768" i="30"/>
  <c r="AP768" i="30" s="1"/>
  <c r="C767" i="30"/>
  <c r="AP767" i="30" s="1"/>
  <c r="C766" i="30"/>
  <c r="AP766" i="30" s="1"/>
  <c r="C765" i="30"/>
  <c r="AP765" i="30" s="1"/>
  <c r="C764" i="30"/>
  <c r="AP764" i="30" s="1"/>
  <c r="C763" i="30"/>
  <c r="AP763" i="30" s="1"/>
  <c r="C762" i="30"/>
  <c r="AP762" i="30" s="1"/>
  <c r="C761" i="30"/>
  <c r="AP761" i="30" s="1"/>
  <c r="C760" i="30"/>
  <c r="AP760" i="30" s="1"/>
  <c r="C759" i="30"/>
  <c r="AP759" i="30" s="1"/>
  <c r="C758" i="30"/>
  <c r="AP758" i="30" s="1"/>
  <c r="C757" i="30"/>
  <c r="AP757" i="30" s="1"/>
  <c r="C756" i="30"/>
  <c r="AP756" i="30" s="1"/>
  <c r="C755" i="30"/>
  <c r="AP755" i="30" s="1"/>
  <c r="C754" i="30"/>
  <c r="AP754" i="30" s="1"/>
  <c r="C753" i="30"/>
  <c r="AP753" i="30" s="1"/>
  <c r="C752" i="30"/>
  <c r="AP752" i="30" s="1"/>
  <c r="C751" i="30"/>
  <c r="AP751" i="30" s="1"/>
  <c r="C750" i="30"/>
  <c r="AP750" i="30" s="1"/>
  <c r="C749" i="30"/>
  <c r="AP749" i="30" s="1"/>
  <c r="C748" i="30"/>
  <c r="AP748" i="30" s="1"/>
  <c r="C747" i="30"/>
  <c r="AP747" i="30" s="1"/>
  <c r="C746" i="30"/>
  <c r="AP746" i="30" s="1"/>
  <c r="C745" i="30"/>
  <c r="AP745" i="30" s="1"/>
  <c r="C744" i="30"/>
  <c r="AP744" i="30" s="1"/>
  <c r="C743" i="30"/>
  <c r="AP743" i="30" s="1"/>
  <c r="C742" i="30"/>
  <c r="AP742" i="30" s="1"/>
  <c r="C741" i="30"/>
  <c r="AP741" i="30" s="1"/>
  <c r="C740" i="30"/>
  <c r="AP740" i="30" s="1"/>
  <c r="C739" i="30"/>
  <c r="AP739" i="30" s="1"/>
  <c r="C738" i="30"/>
  <c r="AP738" i="30" s="1"/>
  <c r="C737" i="30"/>
  <c r="AP737" i="30" s="1"/>
  <c r="C736" i="30"/>
  <c r="AP736" i="30" s="1"/>
  <c r="C735" i="30"/>
  <c r="AP735" i="30" s="1"/>
  <c r="C734" i="30"/>
  <c r="AP734" i="30" s="1"/>
  <c r="C733" i="30"/>
  <c r="AP733" i="30" s="1"/>
  <c r="C732" i="30"/>
  <c r="AP732" i="30" s="1"/>
  <c r="C731" i="30"/>
  <c r="AP731" i="30" s="1"/>
  <c r="C730" i="30"/>
  <c r="AP730" i="30" s="1"/>
  <c r="C729" i="30"/>
  <c r="AP729" i="30" s="1"/>
  <c r="C728" i="30"/>
  <c r="AP728" i="30" s="1"/>
  <c r="C727" i="30"/>
  <c r="AP727" i="30" s="1"/>
  <c r="C726" i="30"/>
  <c r="AP726" i="30" s="1"/>
  <c r="C725" i="30"/>
  <c r="AP725" i="30" s="1"/>
  <c r="C724" i="30"/>
  <c r="AP724" i="30" s="1"/>
  <c r="C723" i="30"/>
  <c r="AP723" i="30" s="1"/>
  <c r="C722" i="30"/>
  <c r="AP722" i="30" s="1"/>
  <c r="C721" i="30"/>
  <c r="AP721" i="30" s="1"/>
  <c r="C720" i="30"/>
  <c r="AP720" i="30" s="1"/>
  <c r="C719" i="30"/>
  <c r="AP719" i="30" s="1"/>
  <c r="C718" i="30"/>
  <c r="AP718" i="30" s="1"/>
  <c r="C717" i="30"/>
  <c r="AP717" i="30" s="1"/>
  <c r="C716" i="30"/>
  <c r="AP716" i="30" s="1"/>
  <c r="C715" i="30"/>
  <c r="AP715" i="30" s="1"/>
  <c r="C714" i="30"/>
  <c r="AP714" i="30" s="1"/>
  <c r="C713" i="30"/>
  <c r="AP713" i="30" s="1"/>
  <c r="C712" i="30"/>
  <c r="AP712" i="30" s="1"/>
  <c r="C711" i="30"/>
  <c r="AP711" i="30" s="1"/>
  <c r="C710" i="30"/>
  <c r="AP710" i="30" s="1"/>
  <c r="C709" i="30"/>
  <c r="AP709" i="30" s="1"/>
  <c r="C708" i="30"/>
  <c r="AP708" i="30" s="1"/>
  <c r="C707" i="30"/>
  <c r="AP707" i="30" s="1"/>
  <c r="C706" i="30"/>
  <c r="AP706" i="30" s="1"/>
  <c r="C705" i="30"/>
  <c r="AP705" i="30" s="1"/>
  <c r="C704" i="30"/>
  <c r="AP704" i="30" s="1"/>
  <c r="C703" i="30"/>
  <c r="AP703" i="30" s="1"/>
  <c r="C702" i="30"/>
  <c r="AP702" i="30" s="1"/>
  <c r="C701" i="30"/>
  <c r="AP701" i="30" s="1"/>
  <c r="C700" i="30"/>
  <c r="AP700" i="30" s="1"/>
  <c r="C699" i="30"/>
  <c r="AP699" i="30" s="1"/>
  <c r="C698" i="30"/>
  <c r="AP698" i="30" s="1"/>
  <c r="C697" i="30"/>
  <c r="AP697" i="30" s="1"/>
  <c r="C696" i="30"/>
  <c r="AP696" i="30" s="1"/>
  <c r="C695" i="30"/>
  <c r="AP695" i="30" s="1"/>
  <c r="C694" i="30"/>
  <c r="AP694" i="30" s="1"/>
  <c r="C693" i="30"/>
  <c r="AP693" i="30" s="1"/>
  <c r="C692" i="30"/>
  <c r="AP692" i="30" s="1"/>
  <c r="C691" i="30"/>
  <c r="AP691" i="30" s="1"/>
  <c r="C690" i="30"/>
  <c r="AP690" i="30" s="1"/>
  <c r="C689" i="30"/>
  <c r="AP689" i="30" s="1"/>
  <c r="C688" i="30"/>
  <c r="AP688" i="30" s="1"/>
  <c r="C687" i="30"/>
  <c r="AP687" i="30" s="1"/>
  <c r="C686" i="30"/>
  <c r="AP686" i="30" s="1"/>
  <c r="C685" i="30"/>
  <c r="AP685" i="30" s="1"/>
  <c r="C684" i="30"/>
  <c r="AP684" i="30" s="1"/>
  <c r="C683" i="30"/>
  <c r="AP683" i="30" s="1"/>
  <c r="C682" i="30"/>
  <c r="AP682" i="30" s="1"/>
  <c r="C681" i="30"/>
  <c r="AP681" i="30" s="1"/>
  <c r="C680" i="30"/>
  <c r="AP680" i="30" s="1"/>
  <c r="C679" i="30"/>
  <c r="AP679" i="30" s="1"/>
  <c r="C678" i="30"/>
  <c r="AP678" i="30" s="1"/>
  <c r="C677" i="30"/>
  <c r="AP677" i="30" s="1"/>
  <c r="C676" i="30"/>
  <c r="AP676" i="30" s="1"/>
  <c r="C675" i="30"/>
  <c r="AP675" i="30" s="1"/>
  <c r="C674" i="30"/>
  <c r="AP674" i="30" s="1"/>
  <c r="C673" i="30"/>
  <c r="AP673" i="30" s="1"/>
  <c r="C672" i="30"/>
  <c r="AP672" i="30" s="1"/>
  <c r="C671" i="30"/>
  <c r="AP671" i="30" s="1"/>
  <c r="C670" i="30"/>
  <c r="AP670" i="30" s="1"/>
  <c r="C669" i="30"/>
  <c r="AP669" i="30" s="1"/>
  <c r="C668" i="30"/>
  <c r="AP668" i="30" s="1"/>
  <c r="C667" i="30"/>
  <c r="AP667" i="30" s="1"/>
  <c r="C666" i="30"/>
  <c r="AP666" i="30" s="1"/>
  <c r="C665" i="30"/>
  <c r="AP665" i="30" s="1"/>
  <c r="C664" i="30"/>
  <c r="AP664" i="30" s="1"/>
  <c r="C663" i="30"/>
  <c r="AP663" i="30" s="1"/>
  <c r="C662" i="30"/>
  <c r="AP662" i="30" s="1"/>
  <c r="C661" i="30"/>
  <c r="AP661" i="30" s="1"/>
  <c r="C660" i="30"/>
  <c r="AP660" i="30" s="1"/>
  <c r="C659" i="30"/>
  <c r="AP659" i="30" s="1"/>
  <c r="C658" i="30"/>
  <c r="AP658" i="30" s="1"/>
  <c r="C657" i="30"/>
  <c r="AP657" i="30" s="1"/>
  <c r="C656" i="30"/>
  <c r="AP656" i="30" s="1"/>
  <c r="C655" i="30"/>
  <c r="AP655" i="30" s="1"/>
  <c r="C654" i="30"/>
  <c r="AP654" i="30" s="1"/>
  <c r="C653" i="30"/>
  <c r="AP653" i="30" s="1"/>
  <c r="C652" i="30"/>
  <c r="AP652" i="30" s="1"/>
  <c r="C651" i="30"/>
  <c r="AP651" i="30" s="1"/>
  <c r="C650" i="30"/>
  <c r="AP650" i="30" s="1"/>
  <c r="C649" i="30"/>
  <c r="AP649" i="30" s="1"/>
  <c r="C648" i="30"/>
  <c r="AP648" i="30" s="1"/>
  <c r="C647" i="30"/>
  <c r="AP647" i="30" s="1"/>
  <c r="C646" i="30"/>
  <c r="AP646" i="30" s="1"/>
  <c r="C645" i="30"/>
  <c r="AP645" i="30" s="1"/>
  <c r="C644" i="30"/>
  <c r="AP644" i="30" s="1"/>
  <c r="C643" i="30"/>
  <c r="AP643" i="30" s="1"/>
  <c r="C642" i="30"/>
  <c r="AP642" i="30" s="1"/>
  <c r="C641" i="30"/>
  <c r="AP641" i="30" s="1"/>
  <c r="C640" i="30"/>
  <c r="AP640" i="30" s="1"/>
  <c r="C639" i="30"/>
  <c r="AP639" i="30" s="1"/>
  <c r="C638" i="30"/>
  <c r="AP638" i="30" s="1"/>
  <c r="C637" i="30"/>
  <c r="AP637" i="30" s="1"/>
  <c r="C636" i="30"/>
  <c r="AP636" i="30" s="1"/>
  <c r="C635" i="30"/>
  <c r="AP635" i="30" s="1"/>
  <c r="C634" i="30"/>
  <c r="AP634" i="30" s="1"/>
  <c r="C633" i="30"/>
  <c r="AP633" i="30" s="1"/>
  <c r="C632" i="30"/>
  <c r="AP632" i="30" s="1"/>
  <c r="C631" i="30"/>
  <c r="AP631" i="30" s="1"/>
  <c r="C630" i="30"/>
  <c r="AP630" i="30" s="1"/>
  <c r="C629" i="30"/>
  <c r="AP629" i="30" s="1"/>
  <c r="C628" i="30"/>
  <c r="AP628" i="30" s="1"/>
  <c r="C627" i="30"/>
  <c r="AP627" i="30" s="1"/>
  <c r="C626" i="30"/>
  <c r="AP626" i="30" s="1"/>
  <c r="C625" i="30"/>
  <c r="AP625" i="30" s="1"/>
  <c r="C624" i="30"/>
  <c r="AP624" i="30" s="1"/>
  <c r="C623" i="30"/>
  <c r="AP623" i="30" s="1"/>
  <c r="C622" i="30"/>
  <c r="AP622" i="30" s="1"/>
  <c r="C621" i="30"/>
  <c r="AP621" i="30" s="1"/>
  <c r="C620" i="30"/>
  <c r="AP620" i="30" s="1"/>
  <c r="C619" i="30"/>
  <c r="AP619" i="30" s="1"/>
  <c r="C618" i="30"/>
  <c r="AP618" i="30" s="1"/>
  <c r="C617" i="30"/>
  <c r="AP617" i="30" s="1"/>
  <c r="C616" i="30"/>
  <c r="AP616" i="30" s="1"/>
  <c r="C615" i="30"/>
  <c r="AP615" i="30" s="1"/>
  <c r="C614" i="30"/>
  <c r="AP614" i="30" s="1"/>
  <c r="C613" i="30"/>
  <c r="AP613" i="30" s="1"/>
  <c r="C612" i="30"/>
  <c r="AP612" i="30" s="1"/>
  <c r="C611" i="30"/>
  <c r="AP611" i="30" s="1"/>
  <c r="C610" i="30"/>
  <c r="AP610" i="30" s="1"/>
  <c r="C609" i="30"/>
  <c r="AP609" i="30" s="1"/>
  <c r="C608" i="30"/>
  <c r="AP608" i="30" s="1"/>
  <c r="C607" i="30"/>
  <c r="AP607" i="30" s="1"/>
  <c r="C606" i="30"/>
  <c r="AP606" i="30" s="1"/>
  <c r="C605" i="30"/>
  <c r="AP605" i="30" s="1"/>
  <c r="C604" i="30"/>
  <c r="AP604" i="30" s="1"/>
  <c r="C603" i="30"/>
  <c r="AP603" i="30" s="1"/>
  <c r="C602" i="30"/>
  <c r="AP602" i="30" s="1"/>
  <c r="C601" i="30"/>
  <c r="AP601" i="30" s="1"/>
  <c r="C600" i="30"/>
  <c r="AP600" i="30" s="1"/>
  <c r="C599" i="30"/>
  <c r="AP599" i="30" s="1"/>
  <c r="C598" i="30"/>
  <c r="AP598" i="30" s="1"/>
  <c r="C597" i="30"/>
  <c r="AP597" i="30" s="1"/>
  <c r="C596" i="30"/>
  <c r="AP596" i="30" s="1"/>
  <c r="C595" i="30"/>
  <c r="AP595" i="30" s="1"/>
  <c r="C594" i="30"/>
  <c r="AP594" i="30" s="1"/>
  <c r="C593" i="30"/>
  <c r="AP593" i="30" s="1"/>
  <c r="C592" i="30"/>
  <c r="AP592" i="30" s="1"/>
  <c r="C591" i="30"/>
  <c r="AP591" i="30" s="1"/>
  <c r="C590" i="30"/>
  <c r="AP590" i="30" s="1"/>
  <c r="C589" i="30"/>
  <c r="AP589" i="30" s="1"/>
  <c r="C588" i="30"/>
  <c r="AP588" i="30" s="1"/>
  <c r="C587" i="30"/>
  <c r="AP587" i="30" s="1"/>
  <c r="C586" i="30"/>
  <c r="AP586" i="30" s="1"/>
  <c r="C585" i="30"/>
  <c r="AP585" i="30" s="1"/>
  <c r="C584" i="30"/>
  <c r="AP584" i="30" s="1"/>
  <c r="C583" i="30"/>
  <c r="AP583" i="30" s="1"/>
  <c r="C582" i="30"/>
  <c r="AP582" i="30" s="1"/>
  <c r="C581" i="30"/>
  <c r="AP581" i="30" s="1"/>
  <c r="C580" i="30"/>
  <c r="AP580" i="30" s="1"/>
  <c r="C579" i="30"/>
  <c r="AP579" i="30" s="1"/>
  <c r="C578" i="30"/>
  <c r="AP578" i="30" s="1"/>
  <c r="C577" i="30"/>
  <c r="AP577" i="30" s="1"/>
  <c r="C576" i="30"/>
  <c r="AP576" i="30" s="1"/>
  <c r="C575" i="30"/>
  <c r="AP575" i="30" s="1"/>
  <c r="C574" i="30"/>
  <c r="AP574" i="30" s="1"/>
  <c r="C573" i="30"/>
  <c r="AP573" i="30" s="1"/>
  <c r="C572" i="30"/>
  <c r="AP572" i="30" s="1"/>
  <c r="C571" i="30"/>
  <c r="AP571" i="30" s="1"/>
  <c r="C570" i="30"/>
  <c r="AP570" i="30" s="1"/>
  <c r="C569" i="30"/>
  <c r="AP569" i="30" s="1"/>
  <c r="C568" i="30"/>
  <c r="AP568" i="30" s="1"/>
  <c r="C567" i="30"/>
  <c r="AP567" i="30" s="1"/>
  <c r="C566" i="30"/>
  <c r="AP566" i="30" s="1"/>
  <c r="C565" i="30"/>
  <c r="AP565" i="30" s="1"/>
  <c r="C564" i="30"/>
  <c r="AP564" i="30" s="1"/>
  <c r="C563" i="30"/>
  <c r="AP563" i="30" s="1"/>
  <c r="C562" i="30"/>
  <c r="AP562" i="30" s="1"/>
  <c r="C561" i="30"/>
  <c r="AP561" i="30" s="1"/>
  <c r="C560" i="30"/>
  <c r="AP560" i="30" s="1"/>
  <c r="C559" i="30"/>
  <c r="AP559" i="30" s="1"/>
  <c r="C558" i="30"/>
  <c r="AP558" i="30" s="1"/>
  <c r="C557" i="30"/>
  <c r="AP557" i="30" s="1"/>
  <c r="C556" i="30"/>
  <c r="AP556" i="30" s="1"/>
  <c r="C555" i="30"/>
  <c r="AP555" i="30" s="1"/>
  <c r="C554" i="30"/>
  <c r="AP554" i="30" s="1"/>
  <c r="C553" i="30"/>
  <c r="AP553" i="30" s="1"/>
  <c r="C552" i="30"/>
  <c r="AP552" i="30" s="1"/>
  <c r="C551" i="30"/>
  <c r="AP551" i="30" s="1"/>
  <c r="C550" i="30"/>
  <c r="AP550" i="30" s="1"/>
  <c r="C549" i="30"/>
  <c r="AP549" i="30" s="1"/>
  <c r="C548" i="30"/>
  <c r="AP548" i="30" s="1"/>
  <c r="C547" i="30"/>
  <c r="AP547" i="30" s="1"/>
  <c r="C546" i="30"/>
  <c r="AP546" i="30" s="1"/>
  <c r="C545" i="30"/>
  <c r="AP545" i="30" s="1"/>
  <c r="C544" i="30"/>
  <c r="AP544" i="30" s="1"/>
  <c r="C543" i="30"/>
  <c r="AP543" i="30" s="1"/>
  <c r="C542" i="30"/>
  <c r="AP542" i="30" s="1"/>
  <c r="C541" i="30"/>
  <c r="AP541" i="30" s="1"/>
  <c r="C540" i="30"/>
  <c r="AP540" i="30" s="1"/>
  <c r="C539" i="30"/>
  <c r="AP539" i="30" s="1"/>
  <c r="C538" i="30"/>
  <c r="AP538" i="30" s="1"/>
  <c r="C537" i="30"/>
  <c r="AP537" i="30" s="1"/>
  <c r="C536" i="30"/>
  <c r="AP536" i="30" s="1"/>
  <c r="C535" i="30"/>
  <c r="AP535" i="30" s="1"/>
  <c r="C534" i="30"/>
  <c r="AP534" i="30" s="1"/>
  <c r="C533" i="30"/>
  <c r="AP533" i="30" s="1"/>
  <c r="C532" i="30"/>
  <c r="AP532" i="30" s="1"/>
  <c r="C531" i="30"/>
  <c r="AP531" i="30" s="1"/>
  <c r="C530" i="30"/>
  <c r="AP530" i="30" s="1"/>
  <c r="C529" i="30"/>
  <c r="AP529" i="30" s="1"/>
  <c r="C528" i="30"/>
  <c r="AP528" i="30" s="1"/>
  <c r="C527" i="30"/>
  <c r="AP527" i="30" s="1"/>
  <c r="C526" i="30"/>
  <c r="AP526" i="30" s="1"/>
  <c r="C525" i="30"/>
  <c r="AP525" i="30" s="1"/>
  <c r="C524" i="30"/>
  <c r="AP524" i="30" s="1"/>
  <c r="C523" i="30"/>
  <c r="AP523" i="30" s="1"/>
  <c r="C522" i="30"/>
  <c r="AP522" i="30" s="1"/>
  <c r="C521" i="30"/>
  <c r="AP521" i="30" s="1"/>
  <c r="C520" i="30"/>
  <c r="AP520" i="30" s="1"/>
  <c r="C519" i="30"/>
  <c r="AP519" i="30" s="1"/>
  <c r="C518" i="30"/>
  <c r="AP518" i="30" s="1"/>
  <c r="C517" i="30"/>
  <c r="AP517" i="30" s="1"/>
  <c r="C516" i="30"/>
  <c r="AP516" i="30" s="1"/>
  <c r="C515" i="30"/>
  <c r="AP515" i="30" s="1"/>
  <c r="C514" i="30"/>
  <c r="AP514" i="30" s="1"/>
  <c r="C513" i="30"/>
  <c r="AP513" i="30" s="1"/>
  <c r="C512" i="30"/>
  <c r="AP512" i="30" s="1"/>
  <c r="C511" i="30"/>
  <c r="AP511" i="30" s="1"/>
  <c r="C510" i="30"/>
  <c r="AP510" i="30" s="1"/>
  <c r="C509" i="30"/>
  <c r="AP509" i="30" s="1"/>
  <c r="C508" i="30"/>
  <c r="AP508" i="30" s="1"/>
  <c r="C507" i="30"/>
  <c r="AP507" i="30" s="1"/>
  <c r="C506" i="30"/>
  <c r="AP506" i="30" s="1"/>
  <c r="C505" i="30"/>
  <c r="AP505" i="30" s="1"/>
  <c r="C504" i="30"/>
  <c r="AP504" i="30" s="1"/>
  <c r="C503" i="30"/>
  <c r="AP503" i="30" s="1"/>
  <c r="C502" i="30"/>
  <c r="AP502" i="30" s="1"/>
  <c r="C501" i="30"/>
  <c r="AP501" i="30" s="1"/>
  <c r="C500" i="30"/>
  <c r="AP500" i="30" s="1"/>
  <c r="C499" i="30"/>
  <c r="AP499" i="30" s="1"/>
  <c r="C498" i="30"/>
  <c r="AP498" i="30" s="1"/>
  <c r="C497" i="30"/>
  <c r="AP497" i="30" s="1"/>
  <c r="C496" i="30"/>
  <c r="AP496" i="30" s="1"/>
  <c r="C495" i="30"/>
  <c r="AP495" i="30" s="1"/>
  <c r="C494" i="30"/>
  <c r="AP494" i="30" s="1"/>
  <c r="C493" i="30"/>
  <c r="AP493" i="30" s="1"/>
  <c r="C492" i="30"/>
  <c r="AP492" i="30" s="1"/>
  <c r="C491" i="30"/>
  <c r="AP491" i="30" s="1"/>
  <c r="C490" i="30"/>
  <c r="AP490" i="30" s="1"/>
  <c r="C489" i="30"/>
  <c r="AP489" i="30" s="1"/>
  <c r="C488" i="30"/>
  <c r="AP488" i="30" s="1"/>
  <c r="C487" i="30"/>
  <c r="AP487" i="30" s="1"/>
  <c r="C486" i="30"/>
  <c r="AP486" i="30" s="1"/>
  <c r="C485" i="30"/>
  <c r="AP485" i="30" s="1"/>
  <c r="C484" i="30"/>
  <c r="AP484" i="30" s="1"/>
  <c r="C483" i="30"/>
  <c r="AP483" i="30" s="1"/>
  <c r="C482" i="30"/>
  <c r="AP482" i="30" s="1"/>
  <c r="C481" i="30"/>
  <c r="AP481" i="30" s="1"/>
  <c r="C480" i="30"/>
  <c r="AP480" i="30" s="1"/>
  <c r="C479" i="30"/>
  <c r="AP479" i="30" s="1"/>
  <c r="C478" i="30"/>
  <c r="AP478" i="30" s="1"/>
  <c r="C477" i="30"/>
  <c r="AP477" i="30" s="1"/>
  <c r="C476" i="30"/>
  <c r="AP476" i="30" s="1"/>
  <c r="C475" i="30"/>
  <c r="AP475" i="30" s="1"/>
  <c r="C474" i="30"/>
  <c r="AP474" i="30" s="1"/>
  <c r="C473" i="30"/>
  <c r="AP473" i="30" s="1"/>
  <c r="C472" i="30"/>
  <c r="AP472" i="30" s="1"/>
  <c r="C471" i="30"/>
  <c r="AP471" i="30" s="1"/>
  <c r="C470" i="30"/>
  <c r="AP470" i="30" s="1"/>
  <c r="C469" i="30"/>
  <c r="AP469" i="30" s="1"/>
  <c r="C468" i="30"/>
  <c r="AP468" i="30" s="1"/>
  <c r="C467" i="30"/>
  <c r="AP467" i="30" s="1"/>
  <c r="C466" i="30"/>
  <c r="AP466" i="30" s="1"/>
  <c r="C465" i="30"/>
  <c r="AP465" i="30" s="1"/>
  <c r="C464" i="30"/>
  <c r="AP464" i="30" s="1"/>
  <c r="C463" i="30"/>
  <c r="AP463" i="30" s="1"/>
  <c r="C462" i="30"/>
  <c r="AP462" i="30" s="1"/>
  <c r="C461" i="30"/>
  <c r="AP461" i="30" s="1"/>
  <c r="C460" i="30"/>
  <c r="AP460" i="30" s="1"/>
  <c r="C459" i="30"/>
  <c r="AP459" i="30" s="1"/>
  <c r="C458" i="30"/>
  <c r="AP458" i="30" s="1"/>
  <c r="C457" i="30"/>
  <c r="AP457" i="30" s="1"/>
  <c r="C456" i="30"/>
  <c r="AP456" i="30" s="1"/>
  <c r="C455" i="30"/>
  <c r="AP455" i="30" s="1"/>
  <c r="C454" i="30"/>
  <c r="AP454" i="30" s="1"/>
  <c r="C453" i="30"/>
  <c r="AP453" i="30" s="1"/>
  <c r="C452" i="30"/>
  <c r="AP452" i="30" s="1"/>
  <c r="C451" i="30"/>
  <c r="AP451" i="30" s="1"/>
  <c r="C450" i="30"/>
  <c r="AP450" i="30" s="1"/>
  <c r="C449" i="30"/>
  <c r="AP449" i="30" s="1"/>
  <c r="C448" i="30"/>
  <c r="AP448" i="30" s="1"/>
  <c r="C447" i="30"/>
  <c r="AP447" i="30" s="1"/>
  <c r="C446" i="30"/>
  <c r="AP446" i="30" s="1"/>
  <c r="C445" i="30"/>
  <c r="AP445" i="30" s="1"/>
  <c r="C444" i="30"/>
  <c r="AP444" i="30" s="1"/>
  <c r="C443" i="30"/>
  <c r="AP443" i="30" s="1"/>
  <c r="C442" i="30"/>
  <c r="AP442" i="30" s="1"/>
  <c r="C441" i="30"/>
  <c r="AP441" i="30" s="1"/>
  <c r="C440" i="30"/>
  <c r="AP440" i="30" s="1"/>
  <c r="C439" i="30"/>
  <c r="AP439" i="30" s="1"/>
  <c r="C438" i="30"/>
  <c r="AP438" i="30" s="1"/>
  <c r="C437" i="30"/>
  <c r="AP437" i="30" s="1"/>
  <c r="C436" i="30"/>
  <c r="AP436" i="30" s="1"/>
  <c r="C435" i="30"/>
  <c r="AP435" i="30" s="1"/>
  <c r="C434" i="30"/>
  <c r="AP434" i="30" s="1"/>
  <c r="C433" i="30"/>
  <c r="AP433" i="30" s="1"/>
  <c r="C432" i="30"/>
  <c r="AP432" i="30" s="1"/>
  <c r="C431" i="30"/>
  <c r="AP431" i="30" s="1"/>
  <c r="C430" i="30"/>
  <c r="AP430" i="30" s="1"/>
  <c r="C429" i="30"/>
  <c r="AP429" i="30" s="1"/>
  <c r="C428" i="30"/>
  <c r="AP428" i="30" s="1"/>
  <c r="C427" i="30"/>
  <c r="AP427" i="30" s="1"/>
  <c r="C426" i="30"/>
  <c r="AP426" i="30" s="1"/>
  <c r="C425" i="30"/>
  <c r="AP425" i="30" s="1"/>
  <c r="C424" i="30"/>
  <c r="AP424" i="30" s="1"/>
  <c r="C423" i="30"/>
  <c r="AP423" i="30" s="1"/>
  <c r="C422" i="30"/>
  <c r="AP422" i="30" s="1"/>
  <c r="C421" i="30"/>
  <c r="AP421" i="30" s="1"/>
  <c r="C420" i="30"/>
  <c r="AP420" i="30" s="1"/>
  <c r="C419" i="30"/>
  <c r="AP419" i="30" s="1"/>
  <c r="C418" i="30"/>
  <c r="AP418" i="30" s="1"/>
  <c r="C417" i="30"/>
  <c r="AP417" i="30" s="1"/>
  <c r="C416" i="30"/>
  <c r="AP416" i="30" s="1"/>
  <c r="C415" i="30"/>
  <c r="AP415" i="30" s="1"/>
  <c r="C414" i="30"/>
  <c r="AP414" i="30" s="1"/>
  <c r="C413" i="30"/>
  <c r="AP413" i="30" s="1"/>
  <c r="C412" i="30"/>
  <c r="AP412" i="30" s="1"/>
  <c r="C411" i="30"/>
  <c r="AP411" i="30" s="1"/>
  <c r="C410" i="30"/>
  <c r="AP410" i="30" s="1"/>
  <c r="C409" i="30"/>
  <c r="AP409" i="30" s="1"/>
  <c r="C408" i="30"/>
  <c r="AP408" i="30" s="1"/>
  <c r="C407" i="30"/>
  <c r="AP407" i="30" s="1"/>
  <c r="C406" i="30"/>
  <c r="AP406" i="30" s="1"/>
  <c r="C405" i="30"/>
  <c r="AP405" i="30" s="1"/>
  <c r="C404" i="30"/>
  <c r="AP404" i="30" s="1"/>
  <c r="C403" i="30"/>
  <c r="AP403" i="30" s="1"/>
  <c r="C402" i="30"/>
  <c r="AP402" i="30" s="1"/>
  <c r="C401" i="30"/>
  <c r="AP401" i="30" s="1"/>
  <c r="C400" i="30"/>
  <c r="AP400" i="30" s="1"/>
  <c r="C399" i="30"/>
  <c r="AP399" i="30" s="1"/>
  <c r="C398" i="30"/>
  <c r="AP398" i="30" s="1"/>
  <c r="C397" i="30"/>
  <c r="AP397" i="30" s="1"/>
  <c r="C396" i="30"/>
  <c r="AP396" i="30" s="1"/>
  <c r="C395" i="30"/>
  <c r="AP395" i="30" s="1"/>
  <c r="C394" i="30"/>
  <c r="AP394" i="30" s="1"/>
  <c r="C393" i="30"/>
  <c r="AP393" i="30" s="1"/>
  <c r="C392" i="30"/>
  <c r="AP392" i="30" s="1"/>
  <c r="C391" i="30"/>
  <c r="AP391" i="30" s="1"/>
  <c r="C390" i="30"/>
  <c r="AP390" i="30" s="1"/>
  <c r="C389" i="30"/>
  <c r="AP389" i="30" s="1"/>
  <c r="C388" i="30"/>
  <c r="AP388" i="30" s="1"/>
  <c r="C387" i="30"/>
  <c r="AP387" i="30" s="1"/>
  <c r="C386" i="30"/>
  <c r="AP386" i="30" s="1"/>
  <c r="C385" i="30"/>
  <c r="AP385" i="30" s="1"/>
  <c r="C384" i="30"/>
  <c r="AP384" i="30" s="1"/>
  <c r="C383" i="30"/>
  <c r="AP383" i="30" s="1"/>
  <c r="C382" i="30"/>
  <c r="AP382" i="30" s="1"/>
  <c r="C381" i="30"/>
  <c r="AP381" i="30" s="1"/>
  <c r="C380" i="30"/>
  <c r="AP380" i="30" s="1"/>
  <c r="C379" i="30"/>
  <c r="AP379" i="30" s="1"/>
  <c r="C378" i="30"/>
  <c r="AP378" i="30" s="1"/>
  <c r="C377" i="30"/>
  <c r="AP377" i="30" s="1"/>
  <c r="C376" i="30"/>
  <c r="AP376" i="30" s="1"/>
  <c r="C375" i="30"/>
  <c r="AP375" i="30" s="1"/>
  <c r="C374" i="30"/>
  <c r="AP374" i="30" s="1"/>
  <c r="C373" i="30"/>
  <c r="AP373" i="30" s="1"/>
  <c r="C372" i="30"/>
  <c r="AP372" i="30" s="1"/>
  <c r="C371" i="30"/>
  <c r="AP371" i="30" s="1"/>
  <c r="C370" i="30"/>
  <c r="AP370" i="30" s="1"/>
  <c r="C369" i="30"/>
  <c r="AP369" i="30" s="1"/>
  <c r="C368" i="30"/>
  <c r="AP368" i="30" s="1"/>
  <c r="C367" i="30"/>
  <c r="AP367" i="30" s="1"/>
  <c r="C366" i="30"/>
  <c r="AP366" i="30" s="1"/>
  <c r="C365" i="30"/>
  <c r="AP365" i="30" s="1"/>
  <c r="C364" i="30"/>
  <c r="AP364" i="30" s="1"/>
  <c r="C363" i="30"/>
  <c r="AP363" i="30" s="1"/>
  <c r="C362" i="30"/>
  <c r="AP362" i="30" s="1"/>
  <c r="C361" i="30"/>
  <c r="AP361" i="30" s="1"/>
  <c r="C360" i="30"/>
  <c r="AP360" i="30" s="1"/>
  <c r="C359" i="30"/>
  <c r="AP359" i="30" s="1"/>
  <c r="C358" i="30"/>
  <c r="AP358" i="30" s="1"/>
  <c r="C357" i="30"/>
  <c r="AP357" i="30" s="1"/>
  <c r="C356" i="30"/>
  <c r="AP356" i="30" s="1"/>
  <c r="C355" i="30"/>
  <c r="AP355" i="30" s="1"/>
  <c r="C354" i="30"/>
  <c r="AP354" i="30" s="1"/>
  <c r="C353" i="30"/>
  <c r="AP353" i="30" s="1"/>
  <c r="C352" i="30"/>
  <c r="AP352" i="30" s="1"/>
  <c r="C351" i="30"/>
  <c r="AP351" i="30" s="1"/>
  <c r="C350" i="30"/>
  <c r="AP350" i="30" s="1"/>
  <c r="C349" i="30"/>
  <c r="AP349" i="30" s="1"/>
  <c r="C348" i="30"/>
  <c r="AP348" i="30" s="1"/>
  <c r="C347" i="30"/>
  <c r="AP347" i="30" s="1"/>
  <c r="C346" i="30"/>
  <c r="AP346" i="30" s="1"/>
  <c r="C345" i="30"/>
  <c r="AP345" i="30" s="1"/>
  <c r="C344" i="30"/>
  <c r="AP344" i="30" s="1"/>
  <c r="C343" i="30"/>
  <c r="AP343" i="30" s="1"/>
  <c r="C342" i="30"/>
  <c r="AP342" i="30" s="1"/>
  <c r="C341" i="30"/>
  <c r="AP341" i="30" s="1"/>
  <c r="C340" i="30"/>
  <c r="AP340" i="30" s="1"/>
  <c r="C339" i="30"/>
  <c r="AP339" i="30" s="1"/>
  <c r="C338" i="30"/>
  <c r="AP338" i="30" s="1"/>
  <c r="C337" i="30"/>
  <c r="AP337" i="30" s="1"/>
  <c r="C336" i="30"/>
  <c r="AP336" i="30" s="1"/>
  <c r="C335" i="30"/>
  <c r="AP335" i="30" s="1"/>
  <c r="C334" i="30"/>
  <c r="AP334" i="30" s="1"/>
  <c r="C333" i="30"/>
  <c r="AP333" i="30" s="1"/>
  <c r="C332" i="30"/>
  <c r="AP332" i="30" s="1"/>
  <c r="C331" i="30"/>
  <c r="AP331" i="30" s="1"/>
  <c r="C330" i="30"/>
  <c r="AP330" i="30" s="1"/>
  <c r="C329" i="30"/>
  <c r="AP329" i="30" s="1"/>
  <c r="C328" i="30"/>
  <c r="AP328" i="30" s="1"/>
  <c r="C327" i="30"/>
  <c r="AP327" i="30" s="1"/>
  <c r="C326" i="30"/>
  <c r="AP326" i="30" s="1"/>
  <c r="C325" i="30"/>
  <c r="AP325" i="30" s="1"/>
  <c r="C324" i="30"/>
  <c r="AP324" i="30" s="1"/>
  <c r="C323" i="30"/>
  <c r="AP323" i="30" s="1"/>
  <c r="C322" i="30"/>
  <c r="AP322" i="30" s="1"/>
  <c r="C321" i="30"/>
  <c r="AP321" i="30" s="1"/>
  <c r="C320" i="30"/>
  <c r="AP320" i="30" s="1"/>
  <c r="C319" i="30"/>
  <c r="AP319" i="30" s="1"/>
  <c r="C318" i="30"/>
  <c r="AP318" i="30" s="1"/>
  <c r="C317" i="30"/>
  <c r="AP317" i="30" s="1"/>
  <c r="C316" i="30"/>
  <c r="AP316" i="30" s="1"/>
  <c r="C315" i="30"/>
  <c r="AP315" i="30" s="1"/>
  <c r="C314" i="30"/>
  <c r="AP314" i="30" s="1"/>
  <c r="C313" i="30"/>
  <c r="AP313" i="30" s="1"/>
  <c r="C312" i="30"/>
  <c r="AP312" i="30" s="1"/>
  <c r="C311" i="30"/>
  <c r="AP311" i="30" s="1"/>
  <c r="C310" i="30"/>
  <c r="AP310" i="30" s="1"/>
  <c r="C309" i="30"/>
  <c r="AP309" i="30" s="1"/>
  <c r="C308" i="30"/>
  <c r="AP308" i="30" s="1"/>
  <c r="C307" i="30"/>
  <c r="AP307" i="30" s="1"/>
  <c r="C306" i="30"/>
  <c r="AP306" i="30" s="1"/>
  <c r="C305" i="30"/>
  <c r="AP305" i="30" s="1"/>
  <c r="C304" i="30"/>
  <c r="AP304" i="30" s="1"/>
  <c r="C303" i="30"/>
  <c r="AP303" i="30" s="1"/>
  <c r="C302" i="30"/>
  <c r="AP302" i="30" s="1"/>
  <c r="C301" i="30"/>
  <c r="AP301" i="30" s="1"/>
  <c r="C300" i="30"/>
  <c r="AP300" i="30" s="1"/>
  <c r="C299" i="30"/>
  <c r="AP299" i="30" s="1"/>
  <c r="C298" i="30"/>
  <c r="AP298" i="30" s="1"/>
  <c r="C297" i="30"/>
  <c r="AP297" i="30" s="1"/>
  <c r="C296" i="30"/>
  <c r="AP296" i="30" s="1"/>
  <c r="C295" i="30"/>
  <c r="AP295" i="30" s="1"/>
  <c r="C294" i="30"/>
  <c r="AP294" i="30" s="1"/>
  <c r="C293" i="30"/>
  <c r="AP293" i="30" s="1"/>
  <c r="C292" i="30"/>
  <c r="AP292" i="30" s="1"/>
  <c r="C291" i="30"/>
  <c r="AP291" i="30" s="1"/>
  <c r="C290" i="30"/>
  <c r="AP290" i="30" s="1"/>
  <c r="C289" i="30"/>
  <c r="AP289" i="30" s="1"/>
  <c r="C288" i="30"/>
  <c r="AP288" i="30" s="1"/>
  <c r="C287" i="30"/>
  <c r="AP287" i="30" s="1"/>
  <c r="C286" i="30"/>
  <c r="AP286" i="30" s="1"/>
  <c r="C285" i="30"/>
  <c r="AP285" i="30" s="1"/>
  <c r="C284" i="30"/>
  <c r="AP284" i="30" s="1"/>
  <c r="C283" i="30"/>
  <c r="AP283" i="30" s="1"/>
  <c r="C282" i="30"/>
  <c r="AP282" i="30" s="1"/>
  <c r="C281" i="30"/>
  <c r="AP281" i="30" s="1"/>
  <c r="C280" i="30"/>
  <c r="AP280" i="30" s="1"/>
  <c r="C279" i="30"/>
  <c r="AP279" i="30" s="1"/>
  <c r="C278" i="30"/>
  <c r="AP278" i="30" s="1"/>
  <c r="C277" i="30"/>
  <c r="AP277" i="30" s="1"/>
  <c r="C276" i="30"/>
  <c r="AP276" i="30" s="1"/>
  <c r="C275" i="30"/>
  <c r="AP275" i="30" s="1"/>
  <c r="C274" i="30"/>
  <c r="AP274" i="30" s="1"/>
  <c r="C273" i="30"/>
  <c r="AP273" i="30" s="1"/>
  <c r="C272" i="30"/>
  <c r="AP272" i="30" s="1"/>
  <c r="C271" i="30"/>
  <c r="AP271" i="30" s="1"/>
  <c r="C270" i="30"/>
  <c r="AP270" i="30" s="1"/>
  <c r="C269" i="30"/>
  <c r="AP269" i="30" s="1"/>
  <c r="C268" i="30"/>
  <c r="AP268" i="30" s="1"/>
  <c r="C267" i="30"/>
  <c r="AP267" i="30" s="1"/>
  <c r="C266" i="30"/>
  <c r="AP266" i="30" s="1"/>
  <c r="C265" i="30"/>
  <c r="AP265" i="30" s="1"/>
  <c r="C264" i="30"/>
  <c r="AP264" i="30" s="1"/>
  <c r="C263" i="30"/>
  <c r="AP263" i="30" s="1"/>
  <c r="C262" i="30"/>
  <c r="AP262" i="30" s="1"/>
  <c r="C261" i="30"/>
  <c r="AP261" i="30" s="1"/>
  <c r="C260" i="30"/>
  <c r="AP260" i="30" s="1"/>
  <c r="C259" i="30"/>
  <c r="AP259" i="30" s="1"/>
  <c r="C258" i="30"/>
  <c r="AP258" i="30" s="1"/>
  <c r="C257" i="30"/>
  <c r="AP257" i="30" s="1"/>
  <c r="C256" i="30"/>
  <c r="AP256" i="30" s="1"/>
  <c r="C255" i="30"/>
  <c r="AP255" i="30" s="1"/>
  <c r="C254" i="30"/>
  <c r="AP254" i="30" s="1"/>
  <c r="C253" i="30"/>
  <c r="AP253" i="30" s="1"/>
  <c r="C252" i="30"/>
  <c r="AP252" i="30" s="1"/>
  <c r="C251" i="30"/>
  <c r="AP251" i="30" s="1"/>
  <c r="C250" i="30"/>
  <c r="AP250" i="30" s="1"/>
  <c r="C249" i="30"/>
  <c r="AP249" i="30" s="1"/>
  <c r="C248" i="30"/>
  <c r="AP248" i="30" s="1"/>
  <c r="C247" i="30"/>
  <c r="AP247" i="30" s="1"/>
  <c r="C246" i="30"/>
  <c r="AP246" i="30" s="1"/>
  <c r="C245" i="30"/>
  <c r="AP245" i="30" s="1"/>
  <c r="C244" i="30"/>
  <c r="AP244" i="30" s="1"/>
  <c r="C243" i="30"/>
  <c r="AP243" i="30" s="1"/>
  <c r="C242" i="30"/>
  <c r="AP242" i="30" s="1"/>
  <c r="C241" i="30"/>
  <c r="AP241" i="30" s="1"/>
  <c r="C240" i="30"/>
  <c r="AP240" i="30" s="1"/>
  <c r="C239" i="30"/>
  <c r="AP239" i="30" s="1"/>
  <c r="C238" i="30"/>
  <c r="AP238" i="30" s="1"/>
  <c r="C237" i="30"/>
  <c r="AP237" i="30" s="1"/>
  <c r="C236" i="30"/>
  <c r="AP236" i="30" s="1"/>
  <c r="C235" i="30"/>
  <c r="AP235" i="30" s="1"/>
  <c r="C234" i="30"/>
  <c r="AP234" i="30" s="1"/>
  <c r="C233" i="30"/>
  <c r="AP233" i="30" s="1"/>
  <c r="C232" i="30"/>
  <c r="AP232" i="30" s="1"/>
  <c r="C231" i="30"/>
  <c r="AP231" i="30" s="1"/>
  <c r="C230" i="30"/>
  <c r="AP230" i="30" s="1"/>
  <c r="C229" i="30"/>
  <c r="AP229" i="30" s="1"/>
  <c r="C228" i="30"/>
  <c r="AP228" i="30" s="1"/>
  <c r="C227" i="30"/>
  <c r="AP227" i="30" s="1"/>
  <c r="C226" i="30"/>
  <c r="AP226" i="30" s="1"/>
  <c r="C225" i="30"/>
  <c r="AP225" i="30" s="1"/>
  <c r="C224" i="30"/>
  <c r="AP224" i="30" s="1"/>
  <c r="C223" i="30"/>
  <c r="AP223" i="30" s="1"/>
  <c r="C222" i="30"/>
  <c r="AP222" i="30" s="1"/>
  <c r="C221" i="30"/>
  <c r="AP221" i="30" s="1"/>
  <c r="C220" i="30"/>
  <c r="AP220" i="30" s="1"/>
  <c r="C219" i="30"/>
  <c r="AP219" i="30" s="1"/>
  <c r="C218" i="30"/>
  <c r="AP218" i="30" s="1"/>
  <c r="C217" i="30"/>
  <c r="AP217" i="30" s="1"/>
  <c r="C216" i="30"/>
  <c r="AP216" i="30" s="1"/>
  <c r="C215" i="30"/>
  <c r="AP215" i="30" s="1"/>
  <c r="C214" i="30"/>
  <c r="AP214" i="30" s="1"/>
  <c r="C213" i="30"/>
  <c r="AP213" i="30" s="1"/>
  <c r="C212" i="30"/>
  <c r="AP212" i="30" s="1"/>
  <c r="C211" i="30"/>
  <c r="AP211" i="30" s="1"/>
  <c r="C210" i="30"/>
  <c r="AP210" i="30" s="1"/>
  <c r="C209" i="30"/>
  <c r="AP209" i="30" s="1"/>
  <c r="C208" i="30"/>
  <c r="AP208" i="30" s="1"/>
  <c r="C207" i="30"/>
  <c r="AP207" i="30" s="1"/>
  <c r="C206" i="30"/>
  <c r="AP206" i="30" s="1"/>
  <c r="C205" i="30"/>
  <c r="AP205" i="30" s="1"/>
  <c r="C204" i="30"/>
  <c r="AP204" i="30" s="1"/>
  <c r="C203" i="30"/>
  <c r="AP203" i="30" s="1"/>
  <c r="C202" i="30"/>
  <c r="AP202" i="30" s="1"/>
  <c r="C201" i="30"/>
  <c r="AP201" i="30" s="1"/>
  <c r="C200" i="30"/>
  <c r="AP200" i="30" s="1"/>
  <c r="C199" i="30"/>
  <c r="AP199" i="30" s="1"/>
  <c r="C198" i="30"/>
  <c r="AP198" i="30" s="1"/>
  <c r="C197" i="30"/>
  <c r="AP197" i="30" s="1"/>
  <c r="C196" i="30"/>
  <c r="AP196" i="30" s="1"/>
  <c r="C195" i="30"/>
  <c r="AP195" i="30" s="1"/>
  <c r="C194" i="30"/>
  <c r="AP194" i="30" s="1"/>
  <c r="C193" i="30"/>
  <c r="AP193" i="30" s="1"/>
  <c r="C192" i="30"/>
  <c r="AP192" i="30" s="1"/>
  <c r="C191" i="30"/>
  <c r="AP191" i="30" s="1"/>
  <c r="C190" i="30"/>
  <c r="AP190" i="30" s="1"/>
  <c r="C189" i="30"/>
  <c r="AP189" i="30" s="1"/>
  <c r="C188" i="30"/>
  <c r="AP188" i="30" s="1"/>
  <c r="C187" i="30"/>
  <c r="AP187" i="30" s="1"/>
  <c r="C186" i="30"/>
  <c r="AP186" i="30" s="1"/>
  <c r="C185" i="30"/>
  <c r="AP185" i="30" s="1"/>
  <c r="C184" i="30"/>
  <c r="AP184" i="30" s="1"/>
  <c r="C183" i="30"/>
  <c r="AP183" i="30" s="1"/>
  <c r="C182" i="30"/>
  <c r="AP182" i="30" s="1"/>
  <c r="C181" i="30"/>
  <c r="AP181" i="30" s="1"/>
  <c r="C180" i="30"/>
  <c r="AP180" i="30" s="1"/>
  <c r="C179" i="30"/>
  <c r="AP179" i="30" s="1"/>
  <c r="C178" i="30"/>
  <c r="AP178" i="30" s="1"/>
  <c r="C177" i="30"/>
  <c r="AP177" i="30" s="1"/>
  <c r="C176" i="30"/>
  <c r="AP176" i="30" s="1"/>
  <c r="C175" i="30"/>
  <c r="AP175" i="30" s="1"/>
  <c r="C174" i="30"/>
  <c r="AP174" i="30" s="1"/>
  <c r="C173" i="30"/>
  <c r="AP173" i="30" s="1"/>
  <c r="C172" i="30"/>
  <c r="AP172" i="30" s="1"/>
  <c r="C171" i="30"/>
  <c r="AP171" i="30" s="1"/>
  <c r="C170" i="30"/>
  <c r="AP170" i="30" s="1"/>
  <c r="C169" i="30"/>
  <c r="AP169" i="30" s="1"/>
  <c r="C168" i="30"/>
  <c r="AP168" i="30" s="1"/>
  <c r="C167" i="30"/>
  <c r="AP167" i="30" s="1"/>
  <c r="C166" i="30"/>
  <c r="AP166" i="30" s="1"/>
  <c r="C165" i="30"/>
  <c r="AP165" i="30" s="1"/>
  <c r="C164" i="30"/>
  <c r="AP164" i="30" s="1"/>
  <c r="C163" i="30"/>
  <c r="AP163" i="30" s="1"/>
  <c r="C162" i="30"/>
  <c r="AP162" i="30" s="1"/>
  <c r="C161" i="30"/>
  <c r="AP161" i="30" s="1"/>
  <c r="C160" i="30"/>
  <c r="AP160" i="30" s="1"/>
  <c r="C159" i="30"/>
  <c r="AP159" i="30" s="1"/>
  <c r="C158" i="30"/>
  <c r="AP158" i="30" s="1"/>
  <c r="C157" i="30"/>
  <c r="AP157" i="30" s="1"/>
  <c r="C156" i="30"/>
  <c r="AP156" i="30" s="1"/>
  <c r="C155" i="30"/>
  <c r="AP155" i="30" s="1"/>
  <c r="C154" i="30"/>
  <c r="AP154" i="30" s="1"/>
  <c r="C153" i="30"/>
  <c r="AP153" i="30" s="1"/>
  <c r="C152" i="30"/>
  <c r="AP152" i="30" s="1"/>
  <c r="C151" i="30"/>
  <c r="AP151" i="30" s="1"/>
  <c r="C150" i="30"/>
  <c r="AP150" i="30" s="1"/>
  <c r="C149" i="30"/>
  <c r="AP149" i="30" s="1"/>
  <c r="C148" i="30"/>
  <c r="AP148" i="30" s="1"/>
  <c r="C147" i="30"/>
  <c r="AP147" i="30" s="1"/>
  <c r="C146" i="30"/>
  <c r="AP146" i="30" s="1"/>
  <c r="C145" i="30"/>
  <c r="AP145" i="30" s="1"/>
  <c r="C144" i="30"/>
  <c r="AP144" i="30" s="1"/>
  <c r="C143" i="30"/>
  <c r="AP143" i="30" s="1"/>
  <c r="C142" i="30"/>
  <c r="AP142" i="30" s="1"/>
  <c r="C141" i="30"/>
  <c r="AP141" i="30" s="1"/>
  <c r="C140" i="30"/>
  <c r="AP140" i="30" s="1"/>
  <c r="C139" i="30"/>
  <c r="AP139" i="30" s="1"/>
  <c r="C138" i="30"/>
  <c r="AP138" i="30" s="1"/>
  <c r="C137" i="30"/>
  <c r="AP137" i="30" s="1"/>
  <c r="C136" i="30"/>
  <c r="AP136" i="30" s="1"/>
  <c r="C135" i="30"/>
  <c r="AP135" i="30" s="1"/>
  <c r="C134" i="30"/>
  <c r="AP134" i="30" s="1"/>
  <c r="C133" i="30"/>
  <c r="AP133" i="30" s="1"/>
  <c r="C132" i="30"/>
  <c r="AP132" i="30" s="1"/>
  <c r="C131" i="30"/>
  <c r="AP131" i="30" s="1"/>
  <c r="C130" i="30"/>
  <c r="AP130" i="30" s="1"/>
  <c r="C129" i="30"/>
  <c r="AP129" i="30" s="1"/>
  <c r="C128" i="30"/>
  <c r="AP128" i="30" s="1"/>
  <c r="C127" i="30"/>
  <c r="AP127" i="30" s="1"/>
  <c r="C126" i="30"/>
  <c r="AP126" i="30" s="1"/>
  <c r="C125" i="30"/>
  <c r="AP125" i="30" s="1"/>
  <c r="C124" i="30"/>
  <c r="AP124" i="30" s="1"/>
  <c r="C123" i="30"/>
  <c r="AP123" i="30" s="1"/>
  <c r="C122" i="30"/>
  <c r="AP122" i="30" s="1"/>
  <c r="C121" i="30"/>
  <c r="AP121" i="30" s="1"/>
  <c r="C120" i="30"/>
  <c r="AP120" i="30" s="1"/>
  <c r="C119" i="30"/>
  <c r="AP119" i="30" s="1"/>
  <c r="C118" i="30"/>
  <c r="AP118" i="30" s="1"/>
  <c r="C117" i="30"/>
  <c r="AP117" i="30" s="1"/>
  <c r="C116" i="30"/>
  <c r="AP116" i="30" s="1"/>
  <c r="C115" i="30"/>
  <c r="AP115" i="30" s="1"/>
  <c r="C114" i="30"/>
  <c r="AP114" i="30" s="1"/>
  <c r="C113" i="30"/>
  <c r="AP113" i="30" s="1"/>
  <c r="C112" i="30"/>
  <c r="AP112" i="30" s="1"/>
  <c r="C111" i="30"/>
  <c r="AP111" i="30" s="1"/>
  <c r="C110" i="30"/>
  <c r="AP110" i="30" s="1"/>
  <c r="C109" i="30"/>
  <c r="AP109" i="30" s="1"/>
  <c r="C108" i="30"/>
  <c r="AP108" i="30" s="1"/>
  <c r="C107" i="30"/>
  <c r="AP107" i="30" s="1"/>
  <c r="C106" i="30"/>
  <c r="AP106" i="30" s="1"/>
  <c r="C105" i="30"/>
  <c r="AP105" i="30" s="1"/>
  <c r="C104" i="30"/>
  <c r="AP104" i="30" s="1"/>
  <c r="C103" i="30"/>
  <c r="AP103" i="30" s="1"/>
  <c r="C102" i="30"/>
  <c r="AP102" i="30" s="1"/>
  <c r="C101" i="30"/>
  <c r="AP101" i="30" s="1"/>
  <c r="C100" i="30"/>
  <c r="AP100" i="30" s="1"/>
  <c r="C99" i="30"/>
  <c r="AP99" i="30" s="1"/>
  <c r="C98" i="30"/>
  <c r="AP98" i="30" s="1"/>
  <c r="C97" i="30"/>
  <c r="AP97" i="30" s="1"/>
  <c r="C96" i="30"/>
  <c r="AP96" i="30" s="1"/>
  <c r="C95" i="30"/>
  <c r="AP95" i="30" s="1"/>
  <c r="C94" i="30"/>
  <c r="AP94" i="30" s="1"/>
  <c r="C93" i="30"/>
  <c r="AP93" i="30" s="1"/>
  <c r="C92" i="30"/>
  <c r="AP92" i="30" s="1"/>
  <c r="C91" i="30"/>
  <c r="AP91" i="30" s="1"/>
  <c r="C90" i="30"/>
  <c r="AP90" i="30" s="1"/>
  <c r="C89" i="30"/>
  <c r="AP89" i="30" s="1"/>
  <c r="C88" i="30"/>
  <c r="AP88" i="30" s="1"/>
  <c r="C87" i="30"/>
  <c r="AP87" i="30" s="1"/>
  <c r="C86" i="30"/>
  <c r="AP86" i="30" s="1"/>
  <c r="C85" i="30"/>
  <c r="AP85" i="30" s="1"/>
  <c r="C84" i="30"/>
  <c r="AP84" i="30" s="1"/>
  <c r="C83" i="30"/>
  <c r="AP83" i="30" s="1"/>
  <c r="C82" i="30"/>
  <c r="AP82" i="30" s="1"/>
  <c r="C81" i="30"/>
  <c r="AP81" i="30" s="1"/>
  <c r="C80" i="30"/>
  <c r="AP80" i="30" s="1"/>
  <c r="C79" i="30"/>
  <c r="AP79" i="30" s="1"/>
  <c r="C78" i="30"/>
  <c r="AP78" i="30" s="1"/>
  <c r="C77" i="30"/>
  <c r="AP77" i="30" s="1"/>
  <c r="C76" i="30"/>
  <c r="AP76" i="30" s="1"/>
  <c r="C75" i="30"/>
  <c r="AP75" i="30" s="1"/>
  <c r="C74" i="30"/>
  <c r="AP74" i="30" s="1"/>
  <c r="C73" i="30"/>
  <c r="AP73" i="30" s="1"/>
  <c r="C72" i="30"/>
  <c r="AP72" i="30" s="1"/>
  <c r="C71" i="30"/>
  <c r="AP71" i="30" s="1"/>
  <c r="C70" i="30"/>
  <c r="AP70" i="30" s="1"/>
  <c r="C69" i="30"/>
  <c r="AP69" i="30" s="1"/>
  <c r="C68" i="30"/>
  <c r="AP68" i="30" s="1"/>
  <c r="C67" i="30"/>
  <c r="AP67" i="30" s="1"/>
  <c r="C66" i="30"/>
  <c r="AP66" i="30" s="1"/>
  <c r="C65" i="30"/>
  <c r="AP65" i="30" s="1"/>
  <c r="C64" i="30"/>
  <c r="AP64" i="30" s="1"/>
  <c r="C63" i="30"/>
  <c r="AP63" i="30" s="1"/>
  <c r="C62" i="30"/>
  <c r="AP62" i="30" s="1"/>
  <c r="C61" i="30"/>
  <c r="AP61" i="30" s="1"/>
  <c r="C60" i="30"/>
  <c r="AP60" i="30" s="1"/>
  <c r="C59" i="30"/>
  <c r="AP59" i="30" s="1"/>
  <c r="C58" i="30"/>
  <c r="AP58" i="30" s="1"/>
  <c r="C57" i="30"/>
  <c r="AP57" i="30" s="1"/>
  <c r="C56" i="30"/>
  <c r="AP56" i="30" s="1"/>
  <c r="C55" i="30"/>
  <c r="AP55" i="30" s="1"/>
  <c r="C54" i="30"/>
  <c r="AP54" i="30" s="1"/>
  <c r="C53" i="30"/>
  <c r="AP53" i="30" s="1"/>
  <c r="C52" i="30"/>
  <c r="AP52" i="30" s="1"/>
  <c r="C51" i="30"/>
  <c r="AP51" i="30" s="1"/>
  <c r="C50" i="30"/>
  <c r="AP50" i="30" s="1"/>
  <c r="C49" i="30"/>
  <c r="AP49" i="30" s="1"/>
  <c r="C48" i="30"/>
  <c r="AP48" i="30" s="1"/>
  <c r="C47" i="30"/>
  <c r="AP47" i="30" s="1"/>
  <c r="C46" i="30"/>
  <c r="AP46" i="30" s="1"/>
  <c r="C45" i="30"/>
  <c r="AP45" i="30" s="1"/>
  <c r="C44" i="30"/>
  <c r="AP44" i="30" s="1"/>
  <c r="C43" i="30"/>
  <c r="AP43" i="30" s="1"/>
  <c r="C42" i="30"/>
  <c r="AP42" i="30" s="1"/>
  <c r="C41" i="30"/>
  <c r="AP41" i="30" s="1"/>
  <c r="C40" i="30"/>
  <c r="AP40" i="30" s="1"/>
  <c r="C39" i="30"/>
  <c r="AP39" i="30" s="1"/>
  <c r="C38" i="30"/>
  <c r="AP38" i="30" s="1"/>
  <c r="C37" i="30"/>
  <c r="AP37" i="30" s="1"/>
  <c r="C36" i="30"/>
  <c r="AP36" i="30" s="1"/>
  <c r="C35" i="30"/>
  <c r="AP35" i="30" s="1"/>
  <c r="C34" i="30"/>
  <c r="AP34" i="30" s="1"/>
  <c r="C33" i="30"/>
  <c r="AP33" i="30" s="1"/>
  <c r="C32" i="30"/>
  <c r="AP32" i="30" s="1"/>
  <c r="C31" i="30"/>
  <c r="AP31" i="30" s="1"/>
  <c r="C30" i="30"/>
  <c r="AP30" i="30" s="1"/>
  <c r="C29" i="30"/>
  <c r="AP29" i="30" s="1"/>
  <c r="C28" i="30"/>
  <c r="AP28" i="30" s="1"/>
  <c r="C27" i="30"/>
  <c r="AP27" i="30" s="1"/>
  <c r="C26" i="30"/>
  <c r="AP26" i="30" s="1"/>
  <c r="C25" i="30"/>
  <c r="AP25" i="30" s="1"/>
  <c r="C24" i="30"/>
  <c r="AP24" i="30" s="1"/>
  <c r="C23" i="30"/>
  <c r="AP23" i="30" s="1"/>
  <c r="C22" i="30"/>
  <c r="AP22" i="30" s="1"/>
  <c r="C21" i="30"/>
  <c r="AP21" i="30" s="1"/>
  <c r="C20" i="30"/>
  <c r="AP20" i="30" s="1"/>
  <c r="C19" i="30"/>
  <c r="AP19" i="30" s="1"/>
  <c r="C18" i="30"/>
  <c r="AP18" i="30" s="1"/>
  <c r="C17" i="30"/>
  <c r="AP17" i="30" s="1"/>
  <c r="C16" i="30"/>
  <c r="AP16" i="30" s="1"/>
  <c r="C15" i="30"/>
  <c r="AP15" i="30" s="1"/>
  <c r="C14" i="30"/>
  <c r="AP14" i="30" s="1"/>
  <c r="C13" i="30"/>
  <c r="AP13" i="30" s="1"/>
  <c r="C12" i="30"/>
  <c r="AP12" i="30" s="1"/>
  <c r="C11" i="30"/>
  <c r="AP11" i="30" s="1"/>
  <c r="C10" i="30"/>
  <c r="AP10" i="30" s="1"/>
  <c r="C9" i="30"/>
  <c r="AP9" i="30" s="1"/>
  <c r="C8" i="30"/>
  <c r="AP8" i="30" s="1"/>
  <c r="C7" i="30"/>
  <c r="AP7" i="30" s="1"/>
  <c r="C6" i="30"/>
  <c r="AP6" i="30" s="1"/>
  <c r="C5" i="30"/>
  <c r="AP5" i="30" s="1"/>
  <c r="C4" i="30"/>
  <c r="AP4" i="30" s="1"/>
  <c r="C3" i="30"/>
  <c r="AP3" i="30" s="1"/>
  <c r="J65" i="32" l="1"/>
  <c r="AG103" i="37"/>
  <c r="AG2" i="37"/>
  <c r="A793" i="27"/>
  <c r="B794" i="27"/>
  <c r="B166" i="27"/>
  <c r="A165" i="27"/>
  <c r="A923" i="27"/>
  <c r="B924" i="27"/>
  <c r="A644" i="27"/>
  <c r="B645" i="27"/>
  <c r="A1071" i="27"/>
  <c r="B1072" i="27"/>
  <c r="B467" i="27"/>
  <c r="A466" i="27"/>
  <c r="A298" i="27"/>
  <c r="B299" i="27"/>
  <c r="AC28" i="35"/>
  <c r="AC27" i="35"/>
  <c r="AC26" i="35"/>
  <c r="AC25" i="35"/>
  <c r="AC24" i="35"/>
  <c r="AC23" i="35"/>
  <c r="AC22" i="35"/>
  <c r="AC21" i="35"/>
  <c r="AC20" i="35"/>
  <c r="AC19" i="35"/>
  <c r="AC18" i="35"/>
  <c r="AC17" i="35"/>
  <c r="AC16" i="35"/>
  <c r="AC15" i="35"/>
  <c r="AC14" i="35"/>
  <c r="AC13" i="35"/>
  <c r="AC12" i="35"/>
  <c r="AC11" i="35"/>
  <c r="AC10" i="35"/>
  <c r="AC9" i="35"/>
  <c r="AC8" i="35"/>
  <c r="AC7" i="35"/>
  <c r="AC6" i="35"/>
  <c r="AC5" i="35"/>
  <c r="AC70" i="35"/>
  <c r="AC69" i="35"/>
  <c r="AC68" i="35"/>
  <c r="AC67" i="35"/>
  <c r="AC66" i="35"/>
  <c r="AC65" i="35"/>
  <c r="AC64" i="35"/>
  <c r="AC63" i="35"/>
  <c r="AC62" i="35"/>
  <c r="AC61" i="35"/>
  <c r="AC60" i="35"/>
  <c r="AC59" i="35"/>
  <c r="AC58" i="35"/>
  <c r="AC57" i="35"/>
  <c r="AC56" i="35"/>
  <c r="AC55" i="35"/>
  <c r="AC54" i="35"/>
  <c r="AC53" i="35"/>
  <c r="AC52" i="35"/>
  <c r="AC51" i="35"/>
  <c r="AC50" i="35"/>
  <c r="AC49" i="35"/>
  <c r="AC48" i="35"/>
  <c r="AC47" i="35"/>
  <c r="AC46" i="35"/>
  <c r="AC45" i="35"/>
  <c r="AC44" i="35"/>
  <c r="AC43" i="35"/>
  <c r="AC42" i="35"/>
  <c r="AC41" i="35"/>
  <c r="AC40" i="35"/>
  <c r="AC39" i="35"/>
  <c r="AC38" i="35"/>
  <c r="AC37" i="35"/>
  <c r="AC36" i="35"/>
  <c r="AC35" i="35"/>
  <c r="AC34" i="35"/>
  <c r="AC33" i="35"/>
  <c r="AC32" i="35"/>
  <c r="AC31" i="35"/>
  <c r="AC30" i="35"/>
  <c r="AC29" i="35"/>
  <c r="N70" i="35"/>
  <c r="N69" i="35"/>
  <c r="N68" i="35"/>
  <c r="N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N41" i="35"/>
  <c r="N40" i="35"/>
  <c r="N39" i="35"/>
  <c r="N38" i="35"/>
  <c r="N37" i="35"/>
  <c r="N36" i="35"/>
  <c r="N35" i="35"/>
  <c r="N34" i="35"/>
  <c r="N33" i="35"/>
  <c r="N32" i="35"/>
  <c r="N31" i="35"/>
  <c r="N30" i="35"/>
  <c r="N29" i="35"/>
  <c r="N28" i="35"/>
  <c r="N27" i="35"/>
  <c r="N26" i="35"/>
  <c r="N25" i="35"/>
  <c r="N24" i="35"/>
  <c r="N23" i="35"/>
  <c r="N22" i="35"/>
  <c r="N21" i="35"/>
  <c r="N20" i="35"/>
  <c r="N19" i="35"/>
  <c r="N18" i="35"/>
  <c r="N17" i="35"/>
  <c r="N16" i="35"/>
  <c r="N15" i="35"/>
  <c r="N14" i="35"/>
  <c r="N13" i="35"/>
  <c r="N12" i="35"/>
  <c r="N11" i="35"/>
  <c r="N10" i="35"/>
  <c r="N9" i="35"/>
  <c r="N8" i="35"/>
  <c r="N7" i="35"/>
  <c r="N6" i="35"/>
  <c r="N5" i="35"/>
  <c r="AD62" i="35"/>
  <c r="AD63" i="35" s="1"/>
  <c r="AD64" i="35" s="1"/>
  <c r="AD65" i="35" s="1"/>
  <c r="AD66" i="35" s="1"/>
  <c r="AD67" i="35" s="1"/>
  <c r="AD68" i="35" s="1"/>
  <c r="AD69" i="35" s="1"/>
  <c r="AD70" i="35" s="1"/>
  <c r="AD53" i="35"/>
  <c r="AD54" i="35" s="1"/>
  <c r="AD55" i="35" s="1"/>
  <c r="AD56" i="35" s="1"/>
  <c r="AD57" i="35" s="1"/>
  <c r="AD58" i="35" s="1"/>
  <c r="AD59" i="35" s="1"/>
  <c r="AD60" i="35" s="1"/>
  <c r="AD61" i="35" s="1"/>
  <c r="AD44" i="35"/>
  <c r="AD45" i="35" s="1"/>
  <c r="AD46" i="35" s="1"/>
  <c r="AD47" i="35" s="1"/>
  <c r="AD48" i="35" s="1"/>
  <c r="AD49" i="35" s="1"/>
  <c r="AD50" i="35" s="1"/>
  <c r="AD51" i="35" s="1"/>
  <c r="AD52" i="35" s="1"/>
  <c r="AD33" i="35"/>
  <c r="AD34" i="35" s="1"/>
  <c r="AD35" i="35" s="1"/>
  <c r="AD36" i="35" s="1"/>
  <c r="AD37" i="35" s="1"/>
  <c r="AD38" i="35" s="1"/>
  <c r="AD39" i="35" s="1"/>
  <c r="AD40" i="35" s="1"/>
  <c r="AD41" i="35" s="1"/>
  <c r="AD42" i="35" s="1"/>
  <c r="AD43" i="35" s="1"/>
  <c r="AD23" i="35"/>
  <c r="AD24" i="35" s="1"/>
  <c r="AD25" i="35" s="1"/>
  <c r="AD26" i="35" s="1"/>
  <c r="AD27" i="35" s="1"/>
  <c r="AD28" i="35" s="1"/>
  <c r="AD29" i="35" s="1"/>
  <c r="AD30" i="35" s="1"/>
  <c r="AD31" i="35" s="1"/>
  <c r="AD32" i="35" s="1"/>
  <c r="AD14" i="35"/>
  <c r="AD15" i="35" s="1"/>
  <c r="AD16" i="35" s="1"/>
  <c r="AD17" i="35" s="1"/>
  <c r="AD18" i="35" s="1"/>
  <c r="AD19" i="35" s="1"/>
  <c r="AD20" i="35" s="1"/>
  <c r="AD21" i="35" s="1"/>
  <c r="AD22" i="35" s="1"/>
  <c r="B795" i="27" l="1"/>
  <c r="A794" i="27"/>
  <c r="A645" i="27"/>
  <c r="B646" i="27"/>
  <c r="A924" i="27"/>
  <c r="B925" i="27"/>
  <c r="B300" i="27"/>
  <c r="A299" i="27"/>
  <c r="A1072" i="27"/>
  <c r="B1073" i="27"/>
  <c r="A467" i="27"/>
  <c r="B468" i="27"/>
  <c r="A166" i="27"/>
  <c r="B167" i="27"/>
  <c r="AD5" i="35"/>
  <c r="A795" i="27" l="1"/>
  <c r="B796" i="27"/>
  <c r="B469" i="27"/>
  <c r="A468" i="27"/>
  <c r="A1073" i="27"/>
  <c r="B1074" i="27"/>
  <c r="A925" i="27"/>
  <c r="B926" i="27"/>
  <c r="B168" i="27"/>
  <c r="A167" i="27"/>
  <c r="A646" i="27"/>
  <c r="B647" i="27"/>
  <c r="A300" i="27"/>
  <c r="B301" i="27"/>
  <c r="AD6" i="35"/>
  <c r="AD7" i="35" s="1"/>
  <c r="AD8" i="35" s="1"/>
  <c r="AD9" i="35" s="1"/>
  <c r="AD10" i="35" s="1"/>
  <c r="AD11" i="35" s="1"/>
  <c r="AD12" i="35" s="1"/>
  <c r="AD13" i="35" s="1"/>
  <c r="B80" i="34"/>
  <c r="E80" i="34"/>
  <c r="F10" i="34"/>
  <c r="B8" i="34"/>
  <c r="I7" i="34"/>
  <c r="C6" i="34"/>
  <c r="E6" i="34"/>
  <c r="I4" i="34"/>
  <c r="B11" i="34"/>
  <c r="D5" i="34"/>
  <c r="E11" i="34"/>
  <c r="I9" i="34"/>
  <c r="D7" i="34" l="1"/>
  <c r="I80" i="34"/>
  <c r="K80" i="34" s="1"/>
  <c r="D78" i="34"/>
  <c r="F3" i="34"/>
  <c r="F16" i="34" s="1"/>
  <c r="D10" i="34"/>
  <c r="D23" i="34" s="1"/>
  <c r="E79" i="34"/>
  <c r="F23" i="34"/>
  <c r="F9" i="34"/>
  <c r="B7" i="34"/>
  <c r="F5" i="34"/>
  <c r="D9" i="34"/>
  <c r="C3" i="34"/>
  <c r="C16" i="34" s="1"/>
  <c r="C65" i="34" s="1"/>
  <c r="I8" i="34"/>
  <c r="E10" i="34"/>
  <c r="C10" i="34"/>
  <c r="C23" i="34" s="1"/>
  <c r="I11" i="34"/>
  <c r="K11" i="34" s="1"/>
  <c r="F7" i="34"/>
  <c r="D11" i="34"/>
  <c r="C5" i="34"/>
  <c r="C18" i="34" s="1"/>
  <c r="C67" i="34" s="1"/>
  <c r="I6" i="34"/>
  <c r="K6" i="34" s="1"/>
  <c r="E4" i="34"/>
  <c r="K4" i="34" s="1"/>
  <c r="C4" i="34"/>
  <c r="F76" i="34"/>
  <c r="D76" i="34"/>
  <c r="I75" i="34"/>
  <c r="I82" i="34"/>
  <c r="F81" i="34"/>
  <c r="I5" i="34"/>
  <c r="I18" i="34" s="1"/>
  <c r="I67" i="34" s="1"/>
  <c r="E7" i="34"/>
  <c r="K7" i="34" s="1"/>
  <c r="C11" i="34"/>
  <c r="B10" i="34"/>
  <c r="B23" i="34" s="1"/>
  <c r="F8" i="34"/>
  <c r="F21" i="34" s="1"/>
  <c r="F70" i="34" s="1"/>
  <c r="D8" i="34"/>
  <c r="B9" i="34"/>
  <c r="I3" i="34"/>
  <c r="I16" i="34" s="1"/>
  <c r="I65" i="34" s="1"/>
  <c r="E9" i="34"/>
  <c r="K9" i="34" s="1"/>
  <c r="D3" i="34"/>
  <c r="B4" i="34"/>
  <c r="B17" i="34" s="1"/>
  <c r="B66" i="34" s="1"/>
  <c r="F6" i="34"/>
  <c r="J6" i="34" s="1"/>
  <c r="D6" i="34"/>
  <c r="I76" i="34"/>
  <c r="E76" i="34"/>
  <c r="B76" i="34"/>
  <c r="E75" i="34"/>
  <c r="C82" i="34"/>
  <c r="E3" i="34"/>
  <c r="C7" i="34"/>
  <c r="C20" i="34" s="1"/>
  <c r="C69" i="34" s="1"/>
  <c r="B6" i="34"/>
  <c r="F4" i="34"/>
  <c r="J4" i="34" s="1"/>
  <c r="D4" i="34"/>
  <c r="D17" i="34" s="1"/>
  <c r="D66" i="34" s="1"/>
  <c r="B5" i="34"/>
  <c r="B18" i="34" s="1"/>
  <c r="B67" i="34" s="1"/>
  <c r="F11" i="34"/>
  <c r="J11" i="34" s="1"/>
  <c r="E5" i="34"/>
  <c r="C9" i="34"/>
  <c r="C19" i="34" s="1"/>
  <c r="C68" i="34" s="1"/>
  <c r="I10" i="34"/>
  <c r="I23" i="34" s="1"/>
  <c r="E8" i="34"/>
  <c r="K8" i="34" s="1"/>
  <c r="C8" i="34"/>
  <c r="F80" i="34"/>
  <c r="J80" i="34" s="1"/>
  <c r="D80" i="34"/>
  <c r="I79" i="34"/>
  <c r="K79" i="34" s="1"/>
  <c r="E74" i="34"/>
  <c r="I77" i="34"/>
  <c r="C80" i="34"/>
  <c r="F74" i="34"/>
  <c r="F79" i="34"/>
  <c r="J79" i="34" s="1"/>
  <c r="C79" i="34"/>
  <c r="F78" i="34"/>
  <c r="B78" i="34"/>
  <c r="E77" i="34"/>
  <c r="C76" i="34"/>
  <c r="B74" i="34"/>
  <c r="F75" i="34"/>
  <c r="C75" i="34"/>
  <c r="E82" i="34"/>
  <c r="I74" i="34"/>
  <c r="D81" i="34"/>
  <c r="C77" i="34"/>
  <c r="H10" i="34"/>
  <c r="L10" i="34" s="1"/>
  <c r="G3" i="34"/>
  <c r="G16" i="34" s="1"/>
  <c r="G65" i="34" s="1"/>
  <c r="D79" i="34"/>
  <c r="B79" i="34"/>
  <c r="I78" i="34"/>
  <c r="E78" i="34"/>
  <c r="C78" i="34"/>
  <c r="D74" i="34"/>
  <c r="F77" i="34"/>
  <c r="D77" i="34"/>
  <c r="G11" i="34"/>
  <c r="H9" i="34"/>
  <c r="L9" i="34" s="1"/>
  <c r="H8" i="34"/>
  <c r="L8" i="34" s="1"/>
  <c r="H7" i="34"/>
  <c r="L7" i="34" s="1"/>
  <c r="D75" i="34"/>
  <c r="B75" i="34"/>
  <c r="F82" i="34"/>
  <c r="D82" i="34"/>
  <c r="B82" i="34"/>
  <c r="I81" i="34"/>
  <c r="E81" i="34"/>
  <c r="C81" i="34"/>
  <c r="G7" i="34"/>
  <c r="H5" i="34"/>
  <c r="L5" i="34" s="1"/>
  <c r="H4" i="34"/>
  <c r="L4" i="34" s="1"/>
  <c r="H3" i="34"/>
  <c r="L3" i="34" s="1"/>
  <c r="G10" i="34"/>
  <c r="G23" i="34" s="1"/>
  <c r="G9" i="34"/>
  <c r="G8" i="34"/>
  <c r="H6" i="34"/>
  <c r="L6" i="34" s="1"/>
  <c r="H11" i="34"/>
  <c r="L11" i="34" s="1"/>
  <c r="G6" i="34"/>
  <c r="G5" i="34"/>
  <c r="G4" i="34"/>
  <c r="B20" i="34"/>
  <c r="B69" i="34" s="1"/>
  <c r="F17" i="34"/>
  <c r="F66" i="34" s="1"/>
  <c r="C21" i="34"/>
  <c r="C70" i="34" s="1"/>
  <c r="B16" i="34"/>
  <c r="B65" i="34" s="1"/>
  <c r="I21" i="34"/>
  <c r="I70" i="34" s="1"/>
  <c r="F20" i="34"/>
  <c r="F69" i="34" s="1"/>
  <c r="I19" i="34"/>
  <c r="I68" i="34" s="1"/>
  <c r="E17" i="34"/>
  <c r="E66" i="34" s="1"/>
  <c r="D18" i="34"/>
  <c r="D67" i="34" s="1"/>
  <c r="I17" i="34"/>
  <c r="I66" i="34" s="1"/>
  <c r="E19" i="34"/>
  <c r="E68" i="34" s="1"/>
  <c r="I20" i="34"/>
  <c r="I69" i="34" s="1"/>
  <c r="D20" i="34"/>
  <c r="D69" i="34" s="1"/>
  <c r="B21" i="34"/>
  <c r="B70" i="34" s="1"/>
  <c r="E20" i="34"/>
  <c r="E69" i="34" s="1"/>
  <c r="D21" i="34"/>
  <c r="D70" i="34" s="1"/>
  <c r="D16" i="34"/>
  <c r="D65" i="34" s="1"/>
  <c r="C74" i="34"/>
  <c r="G77" i="34"/>
  <c r="H79" i="34"/>
  <c r="H78" i="34"/>
  <c r="H77" i="34"/>
  <c r="H18" i="34"/>
  <c r="H80" i="34"/>
  <c r="H75" i="34"/>
  <c r="H74" i="34"/>
  <c r="G82" i="34"/>
  <c r="B81" i="34"/>
  <c r="H76" i="34"/>
  <c r="G80" i="34"/>
  <c r="G79" i="34"/>
  <c r="G78" i="34"/>
  <c r="B77" i="34"/>
  <c r="G81" i="34"/>
  <c r="G76" i="34"/>
  <c r="H82" i="34"/>
  <c r="G75" i="34"/>
  <c r="H81" i="34"/>
  <c r="G74" i="34"/>
  <c r="A796" i="27"/>
  <c r="B797" i="27"/>
  <c r="B302" i="27"/>
  <c r="A301" i="27"/>
  <c r="A926" i="27"/>
  <c r="B927" i="27"/>
  <c r="A647" i="27"/>
  <c r="B648" i="27"/>
  <c r="A1074" i="27"/>
  <c r="B1075" i="27"/>
  <c r="A168" i="27"/>
  <c r="B169" i="27"/>
  <c r="A469" i="27"/>
  <c r="B470" i="27"/>
  <c r="A15" i="32"/>
  <c r="J89" i="29"/>
  <c r="J90" i="29" s="1"/>
  <c r="J91" i="29" s="1"/>
  <c r="J92" i="29" s="1"/>
  <c r="J93" i="29" s="1"/>
  <c r="J94" i="29" s="1"/>
  <c r="J95" i="29" s="1"/>
  <c r="J96" i="29" s="1"/>
  <c r="J97" i="29" s="1"/>
  <c r="J98" i="29" s="1"/>
  <c r="J99" i="29" s="1"/>
  <c r="J100" i="29" s="1"/>
  <c r="J101" i="29" s="1"/>
  <c r="J102" i="29" s="1"/>
  <c r="J103" i="29" s="1"/>
  <c r="J104" i="29" s="1"/>
  <c r="J105" i="29" s="1"/>
  <c r="J106" i="29" s="1"/>
  <c r="J107" i="29" s="1"/>
  <c r="J128" i="29"/>
  <c r="J129" i="29" s="1"/>
  <c r="J130" i="29" s="1"/>
  <c r="J131" i="29" s="1"/>
  <c r="J132" i="29" s="1"/>
  <c r="J133" i="29" s="1"/>
  <c r="J134" i="29" s="1"/>
  <c r="J135" i="29" s="1"/>
  <c r="J136" i="29" s="1"/>
  <c r="J137" i="29" s="1"/>
  <c r="J138" i="29" s="1"/>
  <c r="J139" i="29" s="1"/>
  <c r="J140" i="29" s="1"/>
  <c r="J141" i="29" s="1"/>
  <c r="J142" i="29" s="1"/>
  <c r="J143" i="29" s="1"/>
  <c r="J144" i="29" s="1"/>
  <c r="J145" i="29" s="1"/>
  <c r="J108" i="29"/>
  <c r="J109" i="29" s="1"/>
  <c r="J110" i="29" s="1"/>
  <c r="J111" i="29" s="1"/>
  <c r="J112" i="29" s="1"/>
  <c r="J113" i="29" s="1"/>
  <c r="J114" i="29" s="1"/>
  <c r="J115" i="29" s="1"/>
  <c r="J116" i="29" s="1"/>
  <c r="J117" i="29" s="1"/>
  <c r="J118" i="29" s="1"/>
  <c r="J119" i="29" s="1"/>
  <c r="J120" i="29" s="1"/>
  <c r="J121" i="29" s="1"/>
  <c r="J122" i="29" s="1"/>
  <c r="J123" i="29" s="1"/>
  <c r="J124" i="29" s="1"/>
  <c r="J125" i="29" s="1"/>
  <c r="J126" i="29" s="1"/>
  <c r="J127" i="29" s="1"/>
  <c r="J74" i="29"/>
  <c r="J75" i="29" s="1"/>
  <c r="J76" i="29" s="1"/>
  <c r="J77" i="29" s="1"/>
  <c r="J78" i="29" s="1"/>
  <c r="J79" i="29" s="1"/>
  <c r="J80" i="29" s="1"/>
  <c r="J81" i="29" s="1"/>
  <c r="J82" i="29" s="1"/>
  <c r="J83" i="29" s="1"/>
  <c r="J84" i="29" s="1"/>
  <c r="J85" i="29" s="1"/>
  <c r="J86" i="29" s="1"/>
  <c r="J87" i="29" s="1"/>
  <c r="J88" i="29" s="1"/>
  <c r="J53" i="29"/>
  <c r="J35" i="29"/>
  <c r="J36" i="29" s="1"/>
  <c r="J37" i="29" s="1"/>
  <c r="J38" i="29" s="1"/>
  <c r="J39" i="29" s="1"/>
  <c r="J40" i="29" s="1"/>
  <c r="J41" i="29" s="1"/>
  <c r="J42" i="29" s="1"/>
  <c r="J43" i="29" s="1"/>
  <c r="J44" i="29" s="1"/>
  <c r="J45" i="29" s="1"/>
  <c r="J46" i="29" s="1"/>
  <c r="J47" i="29" s="1"/>
  <c r="J48" i="29" s="1"/>
  <c r="J49" i="29" s="1"/>
  <c r="J50" i="29" s="1"/>
  <c r="J51" i="29" s="1"/>
  <c r="J52" i="29" s="1"/>
  <c r="J3" i="29"/>
  <c r="A81" i="32"/>
  <c r="A82" i="32"/>
  <c r="A83" i="32"/>
  <c r="A84" i="32"/>
  <c r="A85" i="32"/>
  <c r="A79" i="32"/>
  <c r="E21" i="34" l="1"/>
  <c r="E70" i="34" s="1"/>
  <c r="I12" i="34"/>
  <c r="F19" i="34"/>
  <c r="F68" i="34" s="1"/>
  <c r="K10" i="34"/>
  <c r="J5" i="34"/>
  <c r="K81" i="34"/>
  <c r="J81" i="34"/>
  <c r="K82" i="34"/>
  <c r="J82" i="34"/>
  <c r="K3" i="34"/>
  <c r="E12" i="34"/>
  <c r="E16" i="34"/>
  <c r="B123" i="37" s="1"/>
  <c r="K77" i="34"/>
  <c r="J77" i="34"/>
  <c r="K74" i="34"/>
  <c r="J74" i="34"/>
  <c r="E18" i="34"/>
  <c r="E67" i="34" s="1"/>
  <c r="K5" i="34"/>
  <c r="K18" i="34" s="1"/>
  <c r="K67" i="34" s="1"/>
  <c r="J7" i="34"/>
  <c r="D12" i="34"/>
  <c r="K75" i="34"/>
  <c r="J75" i="34"/>
  <c r="J8" i="34"/>
  <c r="J9" i="34"/>
  <c r="J19" i="34" s="1"/>
  <c r="J68" i="34" s="1"/>
  <c r="J3" i="34"/>
  <c r="K76" i="34"/>
  <c r="J76" i="34"/>
  <c r="E23" i="34"/>
  <c r="K78" i="34"/>
  <c r="J78" i="34"/>
  <c r="J10" i="34"/>
  <c r="F65" i="34"/>
  <c r="H67" i="34"/>
  <c r="M18" i="34"/>
  <c r="M67" i="34" s="1"/>
  <c r="F18" i="34"/>
  <c r="F67" i="34" s="1"/>
  <c r="F12" i="34"/>
  <c r="B19" i="34"/>
  <c r="B68" i="34" s="1"/>
  <c r="C12" i="34"/>
  <c r="D19" i="34"/>
  <c r="D68" i="34" s="1"/>
  <c r="K23" i="34"/>
  <c r="D123" i="37"/>
  <c r="V123" i="37"/>
  <c r="U123" i="37"/>
  <c r="C123" i="37"/>
  <c r="K16" i="34"/>
  <c r="B12" i="34"/>
  <c r="C17" i="34"/>
  <c r="C66" i="34" s="1"/>
  <c r="J23" i="34"/>
  <c r="J18" i="34"/>
  <c r="J67" i="34" s="1"/>
  <c r="H23" i="34"/>
  <c r="L23" i="34" s="1"/>
  <c r="L12" i="34"/>
  <c r="L18" i="34"/>
  <c r="L67" i="34" s="1"/>
  <c r="I25" i="34"/>
  <c r="H16" i="34"/>
  <c r="H65" i="34" s="1"/>
  <c r="K21" i="34"/>
  <c r="K70" i="34" s="1"/>
  <c r="G20" i="34"/>
  <c r="G69" i="34" s="1"/>
  <c r="H20" i="34"/>
  <c r="H69" i="34" s="1"/>
  <c r="G18" i="34"/>
  <c r="G67" i="34" s="1"/>
  <c r="H17" i="34"/>
  <c r="M17" i="34" s="1"/>
  <c r="J16" i="34"/>
  <c r="K17" i="34"/>
  <c r="K66" i="34" s="1"/>
  <c r="J20" i="34"/>
  <c r="J69" i="34" s="1"/>
  <c r="J21" i="34"/>
  <c r="J70" i="34" s="1"/>
  <c r="K20" i="34"/>
  <c r="K69" i="34" s="1"/>
  <c r="J17" i="34"/>
  <c r="J66" i="34" s="1"/>
  <c r="G19" i="34"/>
  <c r="G68" i="34" s="1"/>
  <c r="H19" i="34"/>
  <c r="M19" i="34" s="1"/>
  <c r="D25" i="34"/>
  <c r="C25" i="34"/>
  <c r="K19" i="34"/>
  <c r="K68" i="34" s="1"/>
  <c r="G17" i="34"/>
  <c r="G66" i="34" s="1"/>
  <c r="G21" i="34"/>
  <c r="G70" i="34" s="1"/>
  <c r="H21" i="34"/>
  <c r="H70" i="34" s="1"/>
  <c r="J54" i="29"/>
  <c r="J55" i="29" s="1"/>
  <c r="J56" i="29" s="1"/>
  <c r="J57" i="29" s="1"/>
  <c r="J58" i="29" s="1"/>
  <c r="J59" i="29" s="1"/>
  <c r="J60" i="29" s="1"/>
  <c r="J61" i="29" s="1"/>
  <c r="J62" i="29" s="1"/>
  <c r="J63" i="29" s="1"/>
  <c r="J64" i="29" s="1"/>
  <c r="J65" i="29" s="1"/>
  <c r="J66" i="29" s="1"/>
  <c r="J67" i="29" s="1"/>
  <c r="J68" i="29" s="1"/>
  <c r="J69" i="29" s="1"/>
  <c r="J70" i="29" s="1"/>
  <c r="J71" i="29" s="1"/>
  <c r="J72" i="29" s="1"/>
  <c r="J73" i="29" s="1"/>
  <c r="H12" i="34"/>
  <c r="G12" i="34"/>
  <c r="A797" i="27"/>
  <c r="B798" i="27"/>
  <c r="B471" i="27"/>
  <c r="A470" i="27"/>
  <c r="A1075" i="27"/>
  <c r="B1076" i="27"/>
  <c r="B170" i="27"/>
  <c r="A169" i="27"/>
  <c r="A648" i="27"/>
  <c r="B649" i="27"/>
  <c r="A927" i="27"/>
  <c r="B928" i="27"/>
  <c r="A302" i="27"/>
  <c r="B303" i="27"/>
  <c r="J4" i="29"/>
  <c r="J5" i="29" s="1"/>
  <c r="J6" i="29" s="1"/>
  <c r="J7" i="29" s="1"/>
  <c r="J8" i="29" s="1"/>
  <c r="J9" i="29" s="1"/>
  <c r="J10" i="29" s="1"/>
  <c r="J11" i="29" s="1"/>
  <c r="J12" i="29" s="1"/>
  <c r="J13" i="29" s="1"/>
  <c r="J14" i="29" s="1"/>
  <c r="J15" i="29" s="1"/>
  <c r="J16" i="29" s="1"/>
  <c r="J17" i="29" s="1"/>
  <c r="J18" i="29" s="1"/>
  <c r="J19" i="29" s="1"/>
  <c r="J20" i="29" s="1"/>
  <c r="J21" i="29" s="1"/>
  <c r="J22" i="29" s="1"/>
  <c r="J23" i="29" s="1"/>
  <c r="J24" i="29" s="1"/>
  <c r="J25" i="29" s="1"/>
  <c r="J26" i="29" s="1"/>
  <c r="J27" i="29" s="1"/>
  <c r="J28" i="29" s="1"/>
  <c r="J29" i="29" s="1"/>
  <c r="J30" i="29" s="1"/>
  <c r="J31" i="29" s="1"/>
  <c r="J32" i="29" s="1"/>
  <c r="J33" i="29" s="1"/>
  <c r="J34" i="29" s="1"/>
  <c r="A69" i="32"/>
  <c r="B25" i="34" l="1"/>
  <c r="J25" i="34"/>
  <c r="K65" i="34"/>
  <c r="K25" i="34"/>
  <c r="J12" i="34"/>
  <c r="E65" i="34"/>
  <c r="E25" i="34"/>
  <c r="T123" i="37"/>
  <c r="K12" i="34"/>
  <c r="J65" i="34"/>
  <c r="F25" i="34"/>
  <c r="M68" i="34"/>
  <c r="H68" i="34"/>
  <c r="M66" i="34"/>
  <c r="H66" i="34"/>
  <c r="M69" i="34"/>
  <c r="M70" i="34"/>
  <c r="E123" i="37"/>
  <c r="M16" i="34"/>
  <c r="M65" i="34" s="1"/>
  <c r="Y123" i="37"/>
  <c r="G123" i="37"/>
  <c r="F123" i="37"/>
  <c r="X123" i="37"/>
  <c r="L17" i="34"/>
  <c r="L66" i="34" s="1"/>
  <c r="L19" i="34"/>
  <c r="L68" i="34" s="1"/>
  <c r="L20" i="34"/>
  <c r="L69" i="34" s="1"/>
  <c r="L21" i="34"/>
  <c r="L70" i="34" s="1"/>
  <c r="L16" i="34"/>
  <c r="AC22" i="37"/>
  <c r="AE22" i="37"/>
  <c r="AD22" i="37"/>
  <c r="H25" i="34"/>
  <c r="G25" i="34"/>
  <c r="I20" i="32"/>
  <c r="E20" i="32"/>
  <c r="I19" i="32"/>
  <c r="E19" i="32"/>
  <c r="I18" i="32"/>
  <c r="I41" i="32" s="1"/>
  <c r="E18" i="32"/>
  <c r="I17" i="32"/>
  <c r="E17" i="32"/>
  <c r="H20" i="32"/>
  <c r="D20" i="32"/>
  <c r="H19" i="32"/>
  <c r="D19" i="32"/>
  <c r="H18" i="32"/>
  <c r="D18" i="32"/>
  <c r="H17" i="32"/>
  <c r="D17" i="32"/>
  <c r="G20" i="32"/>
  <c r="C20" i="32"/>
  <c r="G19" i="32"/>
  <c r="C19" i="32"/>
  <c r="G18" i="32"/>
  <c r="C18" i="32"/>
  <c r="G17" i="32"/>
  <c r="C17" i="32"/>
  <c r="B20" i="32"/>
  <c r="F20" i="32"/>
  <c r="B19" i="32"/>
  <c r="F19" i="32"/>
  <c r="B18" i="32"/>
  <c r="F18" i="32"/>
  <c r="B17" i="32"/>
  <c r="F17" i="32"/>
  <c r="A798" i="27"/>
  <c r="B799" i="27"/>
  <c r="B304" i="27"/>
  <c r="A303" i="27"/>
  <c r="A649" i="27"/>
  <c r="B650" i="27"/>
  <c r="A471" i="27"/>
  <c r="B472" i="27"/>
  <c r="A928" i="27"/>
  <c r="B929" i="27"/>
  <c r="A1076" i="27"/>
  <c r="B1077" i="27"/>
  <c r="A170" i="27"/>
  <c r="B171" i="27"/>
  <c r="DG1062" i="27"/>
  <c r="DG1061" i="27"/>
  <c r="DG1060" i="27"/>
  <c r="DG1059" i="27"/>
  <c r="DG1058" i="27"/>
  <c r="DG1057" i="27"/>
  <c r="DG1056" i="27"/>
  <c r="DG1055" i="27"/>
  <c r="DG1054" i="27"/>
  <c r="DG1053" i="27"/>
  <c r="DG1052" i="27"/>
  <c r="DG1051" i="27"/>
  <c r="DG1050" i="27"/>
  <c r="DG1049" i="27"/>
  <c r="DG1048" i="27"/>
  <c r="DG1047" i="27"/>
  <c r="DG1046" i="27"/>
  <c r="DG1045" i="27"/>
  <c r="DG1044" i="27"/>
  <c r="DG1043" i="27"/>
  <c r="DG1042" i="27"/>
  <c r="DG1041" i="27"/>
  <c r="DG1040" i="27"/>
  <c r="DG1039" i="27"/>
  <c r="DG1038" i="27"/>
  <c r="DG1037" i="27"/>
  <c r="DG1036" i="27"/>
  <c r="DG1035" i="27"/>
  <c r="DG1034" i="27"/>
  <c r="DG1033" i="27"/>
  <c r="DG1032" i="27"/>
  <c r="DG1031" i="27"/>
  <c r="DG1030" i="27"/>
  <c r="DG1029" i="27"/>
  <c r="DG1028" i="27"/>
  <c r="DG1027" i="27"/>
  <c r="DG1026" i="27"/>
  <c r="DG1025" i="27"/>
  <c r="DG1024" i="27"/>
  <c r="DG1023" i="27"/>
  <c r="DG1022" i="27"/>
  <c r="DG1021" i="27"/>
  <c r="DG1020" i="27"/>
  <c r="DG1019" i="27"/>
  <c r="DG1018" i="27"/>
  <c r="DG1017" i="27"/>
  <c r="DG1016" i="27"/>
  <c r="DG1015" i="27"/>
  <c r="DG1014" i="27"/>
  <c r="DG1013" i="27"/>
  <c r="DG1012" i="27"/>
  <c r="DG1011" i="27"/>
  <c r="DG1010" i="27"/>
  <c r="DG1009" i="27"/>
  <c r="DG1008" i="27"/>
  <c r="DG1007" i="27"/>
  <c r="DG1006" i="27"/>
  <c r="DG1005" i="27"/>
  <c r="DG1004" i="27"/>
  <c r="DG1003" i="27"/>
  <c r="DG1002" i="27"/>
  <c r="DG1001" i="27"/>
  <c r="DG1000" i="27"/>
  <c r="DG999" i="27"/>
  <c r="DG998" i="27"/>
  <c r="DG997" i="27"/>
  <c r="DG996" i="27"/>
  <c r="DG995" i="27"/>
  <c r="DG994" i="27"/>
  <c r="DG993" i="27"/>
  <c r="DG992" i="27"/>
  <c r="DG991" i="27"/>
  <c r="DG990" i="27"/>
  <c r="DG989" i="27"/>
  <c r="DG988" i="27"/>
  <c r="DG987" i="27"/>
  <c r="DG986" i="27"/>
  <c r="DG985" i="27"/>
  <c r="DG984" i="27"/>
  <c r="DG983" i="27"/>
  <c r="DG982" i="27"/>
  <c r="DG981" i="27"/>
  <c r="DG980" i="27"/>
  <c r="DG979" i="27"/>
  <c r="DG978" i="27"/>
  <c r="DG977" i="27"/>
  <c r="DG976" i="27"/>
  <c r="DG975" i="27"/>
  <c r="DG974" i="27"/>
  <c r="DG973" i="27"/>
  <c r="DG972" i="27"/>
  <c r="DG971" i="27"/>
  <c r="DG970" i="27"/>
  <c r="DG969" i="27"/>
  <c r="DG968" i="27"/>
  <c r="DG967" i="27"/>
  <c r="DG966" i="27"/>
  <c r="DG965" i="27"/>
  <c r="DG964" i="27"/>
  <c r="DG963" i="27"/>
  <c r="DG962" i="27"/>
  <c r="DG961" i="27"/>
  <c r="DG960" i="27"/>
  <c r="DG959" i="27"/>
  <c r="DG958" i="27"/>
  <c r="DG957" i="27"/>
  <c r="DG956" i="27"/>
  <c r="DG955" i="27"/>
  <c r="DG954" i="27"/>
  <c r="DG953" i="27"/>
  <c r="DG952" i="27"/>
  <c r="DG951" i="27"/>
  <c r="DG950" i="27"/>
  <c r="DG949" i="27"/>
  <c r="DG948" i="27"/>
  <c r="DG947" i="27"/>
  <c r="DG946" i="27"/>
  <c r="DG945" i="27"/>
  <c r="DG944" i="27"/>
  <c r="DG943" i="27"/>
  <c r="DG942" i="27"/>
  <c r="DG941" i="27"/>
  <c r="DG940" i="27"/>
  <c r="DG939" i="27"/>
  <c r="DG938" i="27"/>
  <c r="DG937" i="27"/>
  <c r="DG936" i="27"/>
  <c r="DG935" i="27"/>
  <c r="DG934" i="27"/>
  <c r="DG933" i="27"/>
  <c r="DG932" i="27"/>
  <c r="DG931" i="27"/>
  <c r="DG930" i="27"/>
  <c r="DG929" i="27"/>
  <c r="DG928" i="27"/>
  <c r="DG927" i="27"/>
  <c r="DG926" i="27"/>
  <c r="DG925" i="27"/>
  <c r="DG924" i="27"/>
  <c r="DG923" i="27"/>
  <c r="DG922" i="27"/>
  <c r="DG921" i="27"/>
  <c r="DG920" i="27"/>
  <c r="DG919" i="27"/>
  <c r="DG918" i="27"/>
  <c r="DG917" i="27"/>
  <c r="DG916" i="27"/>
  <c r="DG915" i="27"/>
  <c r="DG914" i="27"/>
  <c r="DG913" i="27"/>
  <c r="DG912" i="27"/>
  <c r="DG911" i="27"/>
  <c r="DG910" i="27"/>
  <c r="DG909" i="27"/>
  <c r="DG908" i="27"/>
  <c r="DG907" i="27"/>
  <c r="DG906" i="27"/>
  <c r="DG905" i="27"/>
  <c r="DG904" i="27"/>
  <c r="DG903" i="27"/>
  <c r="DG902" i="27"/>
  <c r="DG901" i="27"/>
  <c r="DG900" i="27"/>
  <c r="DG899" i="27"/>
  <c r="DG898" i="27"/>
  <c r="DG897" i="27"/>
  <c r="DG896" i="27"/>
  <c r="DG895" i="27"/>
  <c r="DG894" i="27"/>
  <c r="DG893" i="27"/>
  <c r="DG892" i="27"/>
  <c r="DG891" i="27"/>
  <c r="DG890" i="27"/>
  <c r="DG889" i="27"/>
  <c r="DG888" i="27"/>
  <c r="DG887" i="27"/>
  <c r="DG886" i="27"/>
  <c r="DG885" i="27"/>
  <c r="DG884" i="27"/>
  <c r="DG883" i="27"/>
  <c r="DG882" i="27"/>
  <c r="DG881" i="27"/>
  <c r="DG880" i="27"/>
  <c r="DG879" i="27"/>
  <c r="DG878" i="27"/>
  <c r="DG877" i="27"/>
  <c r="DG876" i="27"/>
  <c r="DG875" i="27"/>
  <c r="DG874" i="27"/>
  <c r="DG873" i="27"/>
  <c r="DG872" i="27"/>
  <c r="DG871" i="27"/>
  <c r="DG870" i="27"/>
  <c r="DG869" i="27"/>
  <c r="DG868" i="27"/>
  <c r="DG867" i="27"/>
  <c r="DG866" i="27"/>
  <c r="DG865" i="27"/>
  <c r="DG864" i="27"/>
  <c r="DG863" i="27"/>
  <c r="DG862" i="27"/>
  <c r="DG861" i="27"/>
  <c r="DG860" i="27"/>
  <c r="DG859" i="27"/>
  <c r="DG858" i="27"/>
  <c r="DG857" i="27"/>
  <c r="DG856" i="27"/>
  <c r="DG855" i="27"/>
  <c r="DG854" i="27"/>
  <c r="DG853" i="27"/>
  <c r="DG852" i="27"/>
  <c r="DG851" i="27"/>
  <c r="DG850" i="27"/>
  <c r="DG849" i="27"/>
  <c r="DG848" i="27"/>
  <c r="DG847" i="27"/>
  <c r="DG846" i="27"/>
  <c r="DG845" i="27"/>
  <c r="DG844" i="27"/>
  <c r="DG843" i="27"/>
  <c r="DG842" i="27"/>
  <c r="DG841" i="27"/>
  <c r="DG840" i="27"/>
  <c r="DG839" i="27"/>
  <c r="DG838" i="27"/>
  <c r="DG837" i="27"/>
  <c r="DG836" i="27"/>
  <c r="DG835" i="27"/>
  <c r="DG834" i="27"/>
  <c r="DG833" i="27"/>
  <c r="DG832" i="27"/>
  <c r="DG831" i="27"/>
  <c r="DG830" i="27"/>
  <c r="DG829" i="27"/>
  <c r="DG828" i="27"/>
  <c r="DG827" i="27"/>
  <c r="DG826" i="27"/>
  <c r="DG825" i="27"/>
  <c r="DG824" i="27"/>
  <c r="DG823" i="27"/>
  <c r="DG822" i="27"/>
  <c r="DG821" i="27"/>
  <c r="DG820" i="27"/>
  <c r="DG819" i="27"/>
  <c r="DG818" i="27"/>
  <c r="DG817" i="27"/>
  <c r="DG816" i="27"/>
  <c r="DG815" i="27"/>
  <c r="DG814" i="27"/>
  <c r="DG813" i="27"/>
  <c r="DG812" i="27"/>
  <c r="DG811" i="27"/>
  <c r="DG810" i="27"/>
  <c r="DG809" i="27"/>
  <c r="DG808" i="27"/>
  <c r="DG807" i="27"/>
  <c r="DG806" i="27"/>
  <c r="DG805" i="27"/>
  <c r="DG804" i="27"/>
  <c r="DG803" i="27"/>
  <c r="DG802" i="27"/>
  <c r="DG801" i="27"/>
  <c r="DG800" i="27"/>
  <c r="DG799" i="27"/>
  <c r="DG798" i="27"/>
  <c r="DG797" i="27"/>
  <c r="DG796" i="27"/>
  <c r="DG795" i="27"/>
  <c r="DG794" i="27"/>
  <c r="DG793" i="27"/>
  <c r="DG792" i="27"/>
  <c r="DG791" i="27"/>
  <c r="DG790" i="27"/>
  <c r="DG789" i="27"/>
  <c r="DG788" i="27"/>
  <c r="DG787" i="27"/>
  <c r="DG786" i="27"/>
  <c r="DG785" i="27"/>
  <c r="DG784" i="27"/>
  <c r="DG783" i="27"/>
  <c r="DG782" i="27"/>
  <c r="DG781" i="27"/>
  <c r="DG780" i="27"/>
  <c r="DG779" i="27"/>
  <c r="DG778" i="27"/>
  <c r="DG777" i="27"/>
  <c r="DG776" i="27"/>
  <c r="DG775" i="27"/>
  <c r="DG774" i="27"/>
  <c r="DG773" i="27"/>
  <c r="DG772" i="27"/>
  <c r="DG771" i="27"/>
  <c r="DG770" i="27"/>
  <c r="DG769" i="27"/>
  <c r="DG768" i="27"/>
  <c r="DG767" i="27"/>
  <c r="DG766" i="27"/>
  <c r="DG765" i="27"/>
  <c r="DG764" i="27"/>
  <c r="DG763" i="27"/>
  <c r="DG762" i="27"/>
  <c r="DG761" i="27"/>
  <c r="DG760" i="27"/>
  <c r="DG759" i="27"/>
  <c r="DG758" i="27"/>
  <c r="DG757" i="27"/>
  <c r="DG756" i="27"/>
  <c r="DG755" i="27"/>
  <c r="DG754" i="27"/>
  <c r="DG753" i="27"/>
  <c r="DG752" i="27"/>
  <c r="DG751" i="27"/>
  <c r="DG750" i="27"/>
  <c r="DG749" i="27"/>
  <c r="DG748" i="27"/>
  <c r="DG747" i="27"/>
  <c r="DG746" i="27"/>
  <c r="DG745" i="27"/>
  <c r="DG744" i="27"/>
  <c r="DG743" i="27"/>
  <c r="DG742" i="27"/>
  <c r="DG741" i="27"/>
  <c r="DG740" i="27"/>
  <c r="DG739" i="27"/>
  <c r="DG738" i="27"/>
  <c r="DG737" i="27"/>
  <c r="DG736" i="27"/>
  <c r="DG735" i="27"/>
  <c r="DG734" i="27"/>
  <c r="DG733" i="27"/>
  <c r="DG732" i="27"/>
  <c r="DG731" i="27"/>
  <c r="DG730" i="27"/>
  <c r="DG729" i="27"/>
  <c r="DG728" i="27"/>
  <c r="DG727" i="27"/>
  <c r="DG726" i="27"/>
  <c r="DG725" i="27"/>
  <c r="DG724" i="27"/>
  <c r="DG723" i="27"/>
  <c r="DG722" i="27"/>
  <c r="DG721" i="27"/>
  <c r="DG720" i="27"/>
  <c r="DG719" i="27"/>
  <c r="DG718" i="27"/>
  <c r="DG717" i="27"/>
  <c r="DG716" i="27"/>
  <c r="DG715" i="27"/>
  <c r="DG714" i="27"/>
  <c r="DG713" i="27"/>
  <c r="DG712" i="27"/>
  <c r="DG711" i="27"/>
  <c r="DG710" i="27"/>
  <c r="DG709" i="27"/>
  <c r="DG708" i="27"/>
  <c r="DG707" i="27"/>
  <c r="DG706" i="27"/>
  <c r="DG705" i="27"/>
  <c r="DG704" i="27"/>
  <c r="DG703" i="27"/>
  <c r="DG702" i="27"/>
  <c r="DG701" i="27"/>
  <c r="DG700" i="27"/>
  <c r="DG699" i="27"/>
  <c r="DG698" i="27"/>
  <c r="DG697" i="27"/>
  <c r="DG696" i="27"/>
  <c r="DG695" i="27"/>
  <c r="DG694" i="27"/>
  <c r="DG693" i="27"/>
  <c r="DG692" i="27"/>
  <c r="DG691" i="27"/>
  <c r="DG690" i="27"/>
  <c r="DG689" i="27"/>
  <c r="DG688" i="27"/>
  <c r="DG687" i="27"/>
  <c r="DG686" i="27"/>
  <c r="DG685" i="27"/>
  <c r="DG684" i="27"/>
  <c r="DG683" i="27"/>
  <c r="DG682" i="27"/>
  <c r="DG681" i="27"/>
  <c r="DG680" i="27"/>
  <c r="DG679" i="27"/>
  <c r="DG678" i="27"/>
  <c r="DG677" i="27"/>
  <c r="DG676" i="27"/>
  <c r="DG675" i="27"/>
  <c r="DG674" i="27"/>
  <c r="DG673" i="27"/>
  <c r="DG672" i="27"/>
  <c r="DG671" i="27"/>
  <c r="DG670" i="27"/>
  <c r="DG669" i="27"/>
  <c r="DG668" i="27"/>
  <c r="DG667" i="27"/>
  <c r="DG666" i="27"/>
  <c r="DG665" i="27"/>
  <c r="DG664" i="27"/>
  <c r="DG663" i="27"/>
  <c r="DG662" i="27"/>
  <c r="DG661" i="27"/>
  <c r="DG660" i="27"/>
  <c r="DG659" i="27"/>
  <c r="DG658" i="27"/>
  <c r="DG657" i="27"/>
  <c r="DG656" i="27"/>
  <c r="DG655" i="27"/>
  <c r="DG654" i="27"/>
  <c r="DG653" i="27"/>
  <c r="DG652" i="27"/>
  <c r="DG651" i="27"/>
  <c r="DG650" i="27"/>
  <c r="DG649" i="27"/>
  <c r="DG648" i="27"/>
  <c r="DG647" i="27"/>
  <c r="DG646" i="27"/>
  <c r="DG645" i="27"/>
  <c r="DG644" i="27"/>
  <c r="DG643" i="27"/>
  <c r="DG642" i="27"/>
  <c r="DG641" i="27"/>
  <c r="DG640" i="27"/>
  <c r="DG639" i="27"/>
  <c r="DG638" i="27"/>
  <c r="DG637" i="27"/>
  <c r="DG636" i="27"/>
  <c r="DG635" i="27"/>
  <c r="DG634" i="27"/>
  <c r="DG633" i="27"/>
  <c r="DG632" i="27"/>
  <c r="DG631" i="27"/>
  <c r="DG630" i="27"/>
  <c r="DG629" i="27"/>
  <c r="DG628" i="27"/>
  <c r="DG627" i="27"/>
  <c r="DG626" i="27"/>
  <c r="DG625" i="27"/>
  <c r="DG624" i="27"/>
  <c r="DG623" i="27"/>
  <c r="DG622" i="27"/>
  <c r="DG621" i="27"/>
  <c r="DG620" i="27"/>
  <c r="DG619" i="27"/>
  <c r="DG618" i="27"/>
  <c r="DG617" i="27"/>
  <c r="DG616" i="27"/>
  <c r="DG615" i="27"/>
  <c r="DG614" i="27"/>
  <c r="DG613" i="27"/>
  <c r="DG612" i="27"/>
  <c r="DG611" i="27"/>
  <c r="DG610" i="27"/>
  <c r="DG609" i="27"/>
  <c r="DG608" i="27"/>
  <c r="DG607" i="27"/>
  <c r="DG606" i="27"/>
  <c r="DG605" i="27"/>
  <c r="DG604" i="27"/>
  <c r="DG603" i="27"/>
  <c r="DG602" i="27"/>
  <c r="DG601" i="27"/>
  <c r="DG600" i="27"/>
  <c r="DG599" i="27"/>
  <c r="DG598" i="27"/>
  <c r="DG597" i="27"/>
  <c r="DG596" i="27"/>
  <c r="DG595" i="27"/>
  <c r="DG594" i="27"/>
  <c r="DG593" i="27"/>
  <c r="DG592" i="27"/>
  <c r="DG591" i="27"/>
  <c r="DG590" i="27"/>
  <c r="DG589" i="27"/>
  <c r="DG588" i="27"/>
  <c r="DG587" i="27"/>
  <c r="DG586" i="27"/>
  <c r="DG585" i="27"/>
  <c r="DG584" i="27"/>
  <c r="DG583" i="27"/>
  <c r="DG582" i="27"/>
  <c r="DG581" i="27"/>
  <c r="DG580" i="27"/>
  <c r="DG579" i="27"/>
  <c r="DG578" i="27"/>
  <c r="DG577" i="27"/>
  <c r="DG576" i="27"/>
  <c r="DG575" i="27"/>
  <c r="DG574" i="27"/>
  <c r="DG573" i="27"/>
  <c r="DG572" i="27"/>
  <c r="DG571" i="27"/>
  <c r="DG570" i="27"/>
  <c r="DG569" i="27"/>
  <c r="DG568" i="27"/>
  <c r="DG567" i="27"/>
  <c r="DG566" i="27"/>
  <c r="DG565" i="27"/>
  <c r="DG564" i="27"/>
  <c r="DG563" i="27"/>
  <c r="DG562" i="27"/>
  <c r="DG561" i="27"/>
  <c r="DG560" i="27"/>
  <c r="DG559" i="27"/>
  <c r="DG558" i="27"/>
  <c r="DG557" i="27"/>
  <c r="DG556" i="27"/>
  <c r="DG555" i="27"/>
  <c r="DG554" i="27"/>
  <c r="DG553" i="27"/>
  <c r="DG552" i="27"/>
  <c r="DG551" i="27"/>
  <c r="DG550" i="27"/>
  <c r="DG549" i="27"/>
  <c r="DG548" i="27"/>
  <c r="DG547" i="27"/>
  <c r="DG546" i="27"/>
  <c r="DG545" i="27"/>
  <c r="DG544" i="27"/>
  <c r="DG543" i="27"/>
  <c r="DG542" i="27"/>
  <c r="DG541" i="27"/>
  <c r="DG540" i="27"/>
  <c r="DG539" i="27"/>
  <c r="DG538" i="27"/>
  <c r="DG537" i="27"/>
  <c r="DG536" i="27"/>
  <c r="DG535" i="27"/>
  <c r="DG534" i="27"/>
  <c r="DG533" i="27"/>
  <c r="DG532" i="27"/>
  <c r="DG531" i="27"/>
  <c r="DG530" i="27"/>
  <c r="DG529" i="27"/>
  <c r="DG528" i="27"/>
  <c r="DG527" i="27"/>
  <c r="DG526" i="27"/>
  <c r="DG525" i="27"/>
  <c r="DG524" i="27"/>
  <c r="DG523" i="27"/>
  <c r="DG522" i="27"/>
  <c r="DG521" i="27"/>
  <c r="DG520" i="27"/>
  <c r="DG519" i="27"/>
  <c r="DG518" i="27"/>
  <c r="DG517" i="27"/>
  <c r="DG516" i="27"/>
  <c r="DG515" i="27"/>
  <c r="DG514" i="27"/>
  <c r="DG513" i="27"/>
  <c r="DG512" i="27"/>
  <c r="DG511" i="27"/>
  <c r="DG510" i="27"/>
  <c r="DG509" i="27"/>
  <c r="DG508" i="27"/>
  <c r="DG507" i="27"/>
  <c r="DG506" i="27"/>
  <c r="DG505" i="27"/>
  <c r="DG504" i="27"/>
  <c r="DG503" i="27"/>
  <c r="DG502" i="27"/>
  <c r="DG501" i="27"/>
  <c r="DG500" i="27"/>
  <c r="DG499" i="27"/>
  <c r="DG498" i="27"/>
  <c r="DG497" i="27"/>
  <c r="DG496" i="27"/>
  <c r="DG495" i="27"/>
  <c r="DG494" i="27"/>
  <c r="DG493" i="27"/>
  <c r="DG492" i="27"/>
  <c r="DG491" i="27"/>
  <c r="DG490" i="27"/>
  <c r="DG489" i="27"/>
  <c r="DG488" i="27"/>
  <c r="DG487" i="27"/>
  <c r="DG486" i="27"/>
  <c r="DG485" i="27"/>
  <c r="DG484" i="27"/>
  <c r="DG483" i="27"/>
  <c r="DG482" i="27"/>
  <c r="DG481" i="27"/>
  <c r="DG480" i="27"/>
  <c r="DG479" i="27"/>
  <c r="DG478" i="27"/>
  <c r="DG477" i="27"/>
  <c r="DG476" i="27"/>
  <c r="DG475" i="27"/>
  <c r="DG474" i="27"/>
  <c r="DG473" i="27"/>
  <c r="DG472" i="27"/>
  <c r="DG471" i="27"/>
  <c r="DG470" i="27"/>
  <c r="DG469" i="27"/>
  <c r="DG468" i="27"/>
  <c r="DG467" i="27"/>
  <c r="DG466" i="27"/>
  <c r="DG465" i="27"/>
  <c r="DG464" i="27"/>
  <c r="DG463" i="27"/>
  <c r="DG462" i="27"/>
  <c r="DG461" i="27"/>
  <c r="DG460" i="27"/>
  <c r="DG459" i="27"/>
  <c r="DG458" i="27"/>
  <c r="DG457" i="27"/>
  <c r="DG456" i="27"/>
  <c r="DG455" i="27"/>
  <c r="DG454" i="27"/>
  <c r="DG453" i="27"/>
  <c r="DG452" i="27"/>
  <c r="DG451" i="27"/>
  <c r="DG450" i="27"/>
  <c r="DG449" i="27"/>
  <c r="DG448" i="27"/>
  <c r="DG447" i="27"/>
  <c r="DG446" i="27"/>
  <c r="DG445" i="27"/>
  <c r="DG444" i="27"/>
  <c r="DG443" i="27"/>
  <c r="DG442" i="27"/>
  <c r="DG441" i="27"/>
  <c r="DG440" i="27"/>
  <c r="DG439" i="27"/>
  <c r="DG438" i="27"/>
  <c r="DG437" i="27"/>
  <c r="DG436" i="27"/>
  <c r="DG435" i="27"/>
  <c r="DG434" i="27"/>
  <c r="DG433" i="27"/>
  <c r="DG432" i="27"/>
  <c r="DG431" i="27"/>
  <c r="DG430" i="27"/>
  <c r="DG429" i="27"/>
  <c r="DG428" i="27"/>
  <c r="DG427" i="27"/>
  <c r="DG426" i="27"/>
  <c r="DG425" i="27"/>
  <c r="DG424" i="27"/>
  <c r="DG423" i="27"/>
  <c r="DG422" i="27"/>
  <c r="DG421" i="27"/>
  <c r="DG420" i="27"/>
  <c r="DG419" i="27"/>
  <c r="DG418" i="27"/>
  <c r="DG417" i="27"/>
  <c r="DG416" i="27"/>
  <c r="DG415" i="27"/>
  <c r="DG414" i="27"/>
  <c r="DG413" i="27"/>
  <c r="DG412" i="27"/>
  <c r="DG411" i="27"/>
  <c r="DG410" i="27"/>
  <c r="DG409" i="27"/>
  <c r="DG408" i="27"/>
  <c r="DG407" i="27"/>
  <c r="DG406" i="27"/>
  <c r="DG405" i="27"/>
  <c r="DG404" i="27"/>
  <c r="DG403" i="27"/>
  <c r="DG402" i="27"/>
  <c r="DG401" i="27"/>
  <c r="DG400" i="27"/>
  <c r="DG399" i="27"/>
  <c r="DG398" i="27"/>
  <c r="DG397" i="27"/>
  <c r="DG396" i="27"/>
  <c r="DG395" i="27"/>
  <c r="DG394" i="27"/>
  <c r="DG393" i="27"/>
  <c r="DG392" i="27"/>
  <c r="DG391" i="27"/>
  <c r="DG390" i="27"/>
  <c r="DG389" i="27"/>
  <c r="DG388" i="27"/>
  <c r="DG387" i="27"/>
  <c r="DG386" i="27"/>
  <c r="DG385" i="27"/>
  <c r="DG384" i="27"/>
  <c r="DG383" i="27"/>
  <c r="DG382" i="27"/>
  <c r="DG381" i="27"/>
  <c r="DG380" i="27"/>
  <c r="DG379" i="27"/>
  <c r="DG378" i="27"/>
  <c r="DG377" i="27"/>
  <c r="DG376" i="27"/>
  <c r="DG375" i="27"/>
  <c r="DG374" i="27"/>
  <c r="DG373" i="27"/>
  <c r="DG372" i="27"/>
  <c r="DG371" i="27"/>
  <c r="DG370" i="27"/>
  <c r="DG369" i="27"/>
  <c r="DG368" i="27"/>
  <c r="DG367" i="27"/>
  <c r="DG366" i="27"/>
  <c r="DG365" i="27"/>
  <c r="DG364" i="27"/>
  <c r="DG363" i="27"/>
  <c r="DG362" i="27"/>
  <c r="DG361" i="27"/>
  <c r="DG360" i="27"/>
  <c r="DG359" i="27"/>
  <c r="DG358" i="27"/>
  <c r="DG357" i="27"/>
  <c r="DG356" i="27"/>
  <c r="DG355" i="27"/>
  <c r="DG354" i="27"/>
  <c r="DG353" i="27"/>
  <c r="DG352" i="27"/>
  <c r="DG351" i="27"/>
  <c r="DG350" i="27"/>
  <c r="DG349" i="27"/>
  <c r="DG348" i="27"/>
  <c r="DG347" i="27"/>
  <c r="DG346" i="27"/>
  <c r="DG345" i="27"/>
  <c r="DG344" i="27"/>
  <c r="DG343" i="27"/>
  <c r="DG342" i="27"/>
  <c r="DG341" i="27"/>
  <c r="DG340" i="27"/>
  <c r="DG339" i="27"/>
  <c r="DG338" i="27"/>
  <c r="DG337" i="27"/>
  <c r="DG336" i="27"/>
  <c r="DG335" i="27"/>
  <c r="DG334" i="27"/>
  <c r="DG333" i="27"/>
  <c r="DG332" i="27"/>
  <c r="DG331" i="27"/>
  <c r="DG330" i="27"/>
  <c r="DG329" i="27"/>
  <c r="DG328" i="27"/>
  <c r="DG327" i="27"/>
  <c r="DG326" i="27"/>
  <c r="DG325" i="27"/>
  <c r="DG324" i="27"/>
  <c r="DG323" i="27"/>
  <c r="DG322" i="27"/>
  <c r="DG321" i="27"/>
  <c r="DG320" i="27"/>
  <c r="DG319" i="27"/>
  <c r="DG318" i="27"/>
  <c r="DG317" i="27"/>
  <c r="DG316" i="27"/>
  <c r="DG315" i="27"/>
  <c r="DG314" i="27"/>
  <c r="DG313" i="27"/>
  <c r="DG312" i="27"/>
  <c r="DG311" i="27"/>
  <c r="DG310" i="27"/>
  <c r="DG309" i="27"/>
  <c r="DG308" i="27"/>
  <c r="DG307" i="27"/>
  <c r="DG306" i="27"/>
  <c r="DG305" i="27"/>
  <c r="DG304" i="27"/>
  <c r="DG303" i="27"/>
  <c r="DG302" i="27"/>
  <c r="DG301" i="27"/>
  <c r="DG300" i="27"/>
  <c r="DG299" i="27"/>
  <c r="DG298" i="27"/>
  <c r="DG297" i="27"/>
  <c r="DG296" i="27"/>
  <c r="DG295" i="27"/>
  <c r="DG294" i="27"/>
  <c r="DG293" i="27"/>
  <c r="DG292" i="27"/>
  <c r="DG291" i="27"/>
  <c r="DG290" i="27"/>
  <c r="DG289" i="27"/>
  <c r="DG288" i="27"/>
  <c r="DG287" i="27"/>
  <c r="DG286" i="27"/>
  <c r="DG285" i="27"/>
  <c r="DG284" i="27"/>
  <c r="DG283" i="27"/>
  <c r="DG282" i="27"/>
  <c r="DG281" i="27"/>
  <c r="DG280" i="27"/>
  <c r="DG279" i="27"/>
  <c r="DG278" i="27"/>
  <c r="DG277" i="27"/>
  <c r="DG276" i="27"/>
  <c r="DG275" i="27"/>
  <c r="DG274" i="27"/>
  <c r="DG273" i="27"/>
  <c r="DG272" i="27"/>
  <c r="DG271" i="27"/>
  <c r="DG270" i="27"/>
  <c r="DG269" i="27"/>
  <c r="DG268" i="27"/>
  <c r="DG267" i="27"/>
  <c r="DG266" i="27"/>
  <c r="DG265" i="27"/>
  <c r="DG264" i="27"/>
  <c r="DG263" i="27"/>
  <c r="DG262" i="27"/>
  <c r="DG261" i="27"/>
  <c r="DG260" i="27"/>
  <c r="DG259" i="27"/>
  <c r="DG258" i="27"/>
  <c r="DG257" i="27"/>
  <c r="DG256" i="27"/>
  <c r="DG255" i="27"/>
  <c r="DG254" i="27"/>
  <c r="DG253" i="27"/>
  <c r="DG252" i="27"/>
  <c r="DG251" i="27"/>
  <c r="DG250" i="27"/>
  <c r="DG249" i="27"/>
  <c r="DG248" i="27"/>
  <c r="DG247" i="27"/>
  <c r="DG246" i="27"/>
  <c r="DG245" i="27"/>
  <c r="DG244" i="27"/>
  <c r="DG243" i="27"/>
  <c r="DG242" i="27"/>
  <c r="DG241" i="27"/>
  <c r="DG240" i="27"/>
  <c r="DG239" i="27"/>
  <c r="DG238" i="27"/>
  <c r="DG237" i="27"/>
  <c r="DG236" i="27"/>
  <c r="DG235" i="27"/>
  <c r="DG234" i="27"/>
  <c r="DG233" i="27"/>
  <c r="DG232" i="27"/>
  <c r="DG231" i="27"/>
  <c r="DG230" i="27"/>
  <c r="DG229" i="27"/>
  <c r="DG228" i="27"/>
  <c r="DG227" i="27"/>
  <c r="DG226" i="27"/>
  <c r="DG225" i="27"/>
  <c r="DG224" i="27"/>
  <c r="DG223" i="27"/>
  <c r="DG222" i="27"/>
  <c r="DG221" i="27"/>
  <c r="DG220" i="27"/>
  <c r="DG219" i="27"/>
  <c r="DG218" i="27"/>
  <c r="DG217" i="27"/>
  <c r="DG216" i="27"/>
  <c r="DG215" i="27"/>
  <c r="DG214" i="27"/>
  <c r="DG213" i="27"/>
  <c r="DG212" i="27"/>
  <c r="DG211" i="27"/>
  <c r="DG210" i="27"/>
  <c r="DG209" i="27"/>
  <c r="DG208" i="27"/>
  <c r="DG207" i="27"/>
  <c r="DG206" i="27"/>
  <c r="DG205" i="27"/>
  <c r="DG204" i="27"/>
  <c r="DG203" i="27"/>
  <c r="DG202" i="27"/>
  <c r="DG201" i="27"/>
  <c r="DG200" i="27"/>
  <c r="DG199" i="27"/>
  <c r="DG198" i="27"/>
  <c r="DG197" i="27"/>
  <c r="DG196" i="27"/>
  <c r="DG195" i="27"/>
  <c r="DG194" i="27"/>
  <c r="DG193" i="27"/>
  <c r="DG192" i="27"/>
  <c r="DG191" i="27"/>
  <c r="DG190" i="27"/>
  <c r="DG189" i="27"/>
  <c r="DG188" i="27"/>
  <c r="DG187" i="27"/>
  <c r="DG186" i="27"/>
  <c r="DG185" i="27"/>
  <c r="DG184" i="27"/>
  <c r="DG183" i="27"/>
  <c r="DG182" i="27"/>
  <c r="DG181" i="27"/>
  <c r="DG180" i="27"/>
  <c r="DG179" i="27"/>
  <c r="DG178" i="27"/>
  <c r="DG177" i="27"/>
  <c r="DG176" i="27"/>
  <c r="DG175" i="27"/>
  <c r="DG174" i="27"/>
  <c r="DG173" i="27"/>
  <c r="DG172" i="27"/>
  <c r="DG171" i="27"/>
  <c r="DG170" i="27"/>
  <c r="DG169" i="27"/>
  <c r="DG168" i="27"/>
  <c r="DG167" i="27"/>
  <c r="DG166" i="27"/>
  <c r="DG165" i="27"/>
  <c r="DG164" i="27"/>
  <c r="DG163" i="27"/>
  <c r="DG162" i="27"/>
  <c r="DG161" i="27"/>
  <c r="DG160" i="27"/>
  <c r="DG159" i="27"/>
  <c r="DG158" i="27"/>
  <c r="DG157" i="27"/>
  <c r="DG156" i="27"/>
  <c r="DG155" i="27"/>
  <c r="DG154" i="27"/>
  <c r="DG153" i="27"/>
  <c r="DG152" i="27"/>
  <c r="DG151" i="27"/>
  <c r="DG150" i="27"/>
  <c r="DG149" i="27"/>
  <c r="DG148" i="27"/>
  <c r="DG147" i="27"/>
  <c r="DG146" i="27"/>
  <c r="DG145" i="27"/>
  <c r="DG144" i="27"/>
  <c r="DG143" i="27"/>
  <c r="DG142" i="27"/>
  <c r="DG141" i="27"/>
  <c r="DG140" i="27"/>
  <c r="DG139" i="27"/>
  <c r="DG138" i="27"/>
  <c r="DG137" i="27"/>
  <c r="DG136" i="27"/>
  <c r="DG135" i="27"/>
  <c r="DG134" i="27"/>
  <c r="DG133" i="27"/>
  <c r="DG132" i="27"/>
  <c r="DG131" i="27"/>
  <c r="DG130" i="27"/>
  <c r="DG129" i="27"/>
  <c r="DG128" i="27"/>
  <c r="DG127" i="27"/>
  <c r="DG126" i="27"/>
  <c r="DG125" i="27"/>
  <c r="DG124" i="27"/>
  <c r="DG123" i="27"/>
  <c r="DG122" i="27"/>
  <c r="DG121" i="27"/>
  <c r="DG120" i="27"/>
  <c r="DG119" i="27"/>
  <c r="DG118" i="27"/>
  <c r="DG117" i="27"/>
  <c r="DG116" i="27"/>
  <c r="DG115" i="27"/>
  <c r="DG114" i="27"/>
  <c r="DG113" i="27"/>
  <c r="DG112" i="27"/>
  <c r="DG111" i="27"/>
  <c r="DG110" i="27"/>
  <c r="DG109" i="27"/>
  <c r="DG108" i="27"/>
  <c r="DG107" i="27"/>
  <c r="DG106" i="27"/>
  <c r="DG105" i="27"/>
  <c r="DG104" i="27"/>
  <c r="DG103" i="27"/>
  <c r="DG102" i="27"/>
  <c r="DG101" i="27"/>
  <c r="DG100" i="27"/>
  <c r="DG99" i="27"/>
  <c r="DG98" i="27"/>
  <c r="DG97" i="27"/>
  <c r="DG96" i="27"/>
  <c r="DG95" i="27"/>
  <c r="DG94" i="27"/>
  <c r="DG93" i="27"/>
  <c r="DG92" i="27"/>
  <c r="DG91" i="27"/>
  <c r="DG90" i="27"/>
  <c r="DG89" i="27"/>
  <c r="DG88" i="27"/>
  <c r="DG87" i="27"/>
  <c r="DG86" i="27"/>
  <c r="DG85" i="27"/>
  <c r="DG84" i="27"/>
  <c r="DG83" i="27"/>
  <c r="DG82" i="27"/>
  <c r="DG81" i="27"/>
  <c r="DG80" i="27"/>
  <c r="DG79" i="27"/>
  <c r="DG78" i="27"/>
  <c r="DG77" i="27"/>
  <c r="DG76" i="27"/>
  <c r="DG75" i="27"/>
  <c r="DG74" i="27"/>
  <c r="DG73" i="27"/>
  <c r="DG72" i="27"/>
  <c r="DG71" i="27"/>
  <c r="DG70" i="27"/>
  <c r="DG69" i="27"/>
  <c r="DG68" i="27"/>
  <c r="DG67" i="27"/>
  <c r="DG66" i="27"/>
  <c r="DG65" i="27"/>
  <c r="DG64" i="27"/>
  <c r="DG63" i="27"/>
  <c r="DG62" i="27"/>
  <c r="DG61" i="27"/>
  <c r="DG60" i="27"/>
  <c r="DG59" i="27"/>
  <c r="DG58" i="27"/>
  <c r="DG57" i="27"/>
  <c r="DG56" i="27"/>
  <c r="DG55" i="27"/>
  <c r="DG54" i="27"/>
  <c r="DG53" i="27"/>
  <c r="DG52" i="27"/>
  <c r="DG51" i="27"/>
  <c r="DG50" i="27"/>
  <c r="DG49" i="27"/>
  <c r="DG48" i="27"/>
  <c r="DG47" i="27"/>
  <c r="DG46" i="27"/>
  <c r="DG45" i="27"/>
  <c r="DG44" i="27"/>
  <c r="DG43" i="27"/>
  <c r="DG42" i="27"/>
  <c r="DG41" i="27"/>
  <c r="DG40" i="27"/>
  <c r="DG39" i="27"/>
  <c r="DG38" i="27"/>
  <c r="DG37" i="27"/>
  <c r="DG36" i="27"/>
  <c r="DG35" i="27"/>
  <c r="DG34" i="27"/>
  <c r="DG33" i="27"/>
  <c r="DG32" i="27"/>
  <c r="DG31" i="27"/>
  <c r="DG30" i="27"/>
  <c r="DG29" i="27"/>
  <c r="DG28" i="27"/>
  <c r="DG27" i="27"/>
  <c r="DG26" i="27"/>
  <c r="DG25" i="27"/>
  <c r="DG24" i="27"/>
  <c r="DG23" i="27"/>
  <c r="DG22" i="27"/>
  <c r="DG21" i="27"/>
  <c r="DG20" i="27"/>
  <c r="DG19" i="27"/>
  <c r="DG18" i="27"/>
  <c r="DG17" i="27"/>
  <c r="DG16" i="27"/>
  <c r="DG15" i="27"/>
  <c r="DG14" i="27"/>
  <c r="DG13" i="27"/>
  <c r="DG12" i="27"/>
  <c r="DG11" i="27"/>
  <c r="DG10" i="27"/>
  <c r="DG9" i="27"/>
  <c r="DG8" i="27"/>
  <c r="DG7" i="27"/>
  <c r="DG6" i="27"/>
  <c r="DG5" i="27"/>
  <c r="DG4" i="27"/>
  <c r="B54" i="32"/>
  <c r="I54" i="32"/>
  <c r="D54" i="32"/>
  <c r="C54" i="32"/>
  <c r="K17" i="32" l="1"/>
  <c r="J17" i="32"/>
  <c r="K19" i="32"/>
  <c r="J19" i="32"/>
  <c r="K18" i="32"/>
  <c r="J18" i="32"/>
  <c r="K20" i="32"/>
  <c r="J20" i="32"/>
  <c r="W123" i="37"/>
  <c r="L65" i="34"/>
  <c r="L25" i="34"/>
  <c r="AH22" i="37"/>
  <c r="AG22" i="37"/>
  <c r="AF22" i="37"/>
  <c r="A799" i="27"/>
  <c r="B800" i="27"/>
  <c r="B172" i="27"/>
  <c r="A171" i="27"/>
  <c r="A1077" i="27"/>
  <c r="B1078" i="27"/>
  <c r="B473" i="27"/>
  <c r="A472" i="27"/>
  <c r="A650" i="27"/>
  <c r="B651" i="27"/>
  <c r="A929" i="27"/>
  <c r="B930" i="27"/>
  <c r="A304" i="27"/>
  <c r="B305" i="27"/>
  <c r="A43" i="22"/>
  <c r="M25" i="34" l="1"/>
  <c r="A800" i="27"/>
  <c r="B801" i="27"/>
  <c r="A473" i="27"/>
  <c r="B474" i="27"/>
  <c r="B306" i="27"/>
  <c r="A305" i="27"/>
  <c r="A651" i="27"/>
  <c r="B652" i="27"/>
  <c r="A1078" i="27"/>
  <c r="B1079" i="27"/>
  <c r="A930" i="27"/>
  <c r="B931" i="27"/>
  <c r="A172" i="27"/>
  <c r="B173" i="27"/>
  <c r="A1" i="22"/>
  <c r="A125" i="22"/>
  <c r="A143" i="22"/>
  <c r="B933" i="28"/>
  <c r="B934" i="28" s="1"/>
  <c r="B935" i="28" s="1"/>
  <c r="B936" i="28" s="1"/>
  <c r="B937" i="28" s="1"/>
  <c r="B938" i="28" s="1"/>
  <c r="B939" i="28" s="1"/>
  <c r="B940" i="28" s="1"/>
  <c r="B941" i="28" s="1"/>
  <c r="B942" i="28" s="1"/>
  <c r="B943" i="28" s="1"/>
  <c r="B944" i="28" s="1"/>
  <c r="B945" i="28" s="1"/>
  <c r="B946" i="28" s="1"/>
  <c r="B947" i="28" s="1"/>
  <c r="B948" i="28" s="1"/>
  <c r="B949" i="28" s="1"/>
  <c r="B950" i="28" s="1"/>
  <c r="B951" i="28" s="1"/>
  <c r="B952" i="28" s="1"/>
  <c r="B953" i="28" s="1"/>
  <c r="B954" i="28" s="1"/>
  <c r="B955" i="28" s="1"/>
  <c r="B956" i="28" s="1"/>
  <c r="B957" i="28" s="1"/>
  <c r="B958" i="28" s="1"/>
  <c r="B959" i="28" s="1"/>
  <c r="B960" i="28" s="1"/>
  <c r="B961" i="28" s="1"/>
  <c r="B962" i="28" s="1"/>
  <c r="B963" i="28" s="1"/>
  <c r="B964" i="28" s="1"/>
  <c r="B965" i="28" s="1"/>
  <c r="B966" i="28" s="1"/>
  <c r="B967" i="28" s="1"/>
  <c r="B968" i="28" s="1"/>
  <c r="B969" i="28" s="1"/>
  <c r="B970" i="28" s="1"/>
  <c r="B971" i="28" s="1"/>
  <c r="B972" i="28" s="1"/>
  <c r="B973" i="28" s="1"/>
  <c r="B974" i="28" s="1"/>
  <c r="B975" i="28" s="1"/>
  <c r="B976" i="28" s="1"/>
  <c r="B977" i="28" s="1"/>
  <c r="B978" i="28" s="1"/>
  <c r="B979" i="28" s="1"/>
  <c r="B980" i="28" s="1"/>
  <c r="B981" i="28" s="1"/>
  <c r="B982" i="28" s="1"/>
  <c r="B983" i="28" s="1"/>
  <c r="B984" i="28" s="1"/>
  <c r="B985" i="28" s="1"/>
  <c r="B986" i="28" s="1"/>
  <c r="B987" i="28" s="1"/>
  <c r="B988" i="28" s="1"/>
  <c r="B989" i="28" s="1"/>
  <c r="B990" i="28" s="1"/>
  <c r="B991" i="28" s="1"/>
  <c r="B992" i="28" s="1"/>
  <c r="B993" i="28" s="1"/>
  <c r="B994" i="28" s="1"/>
  <c r="B995" i="28" s="1"/>
  <c r="B996" i="28" s="1"/>
  <c r="B997" i="28" s="1"/>
  <c r="B998" i="28" s="1"/>
  <c r="B999" i="28" s="1"/>
  <c r="B1000" i="28" s="1"/>
  <c r="B1001" i="28" s="1"/>
  <c r="B1002" i="28" s="1"/>
  <c r="B1003" i="28" s="1"/>
  <c r="B1004" i="28" s="1"/>
  <c r="B1005" i="28" s="1"/>
  <c r="B1006" i="28" s="1"/>
  <c r="B1007" i="28" s="1"/>
  <c r="B1008" i="28" s="1"/>
  <c r="B1009" i="28" s="1"/>
  <c r="B1010" i="28" s="1"/>
  <c r="B1011" i="28" s="1"/>
  <c r="B1012" i="28" s="1"/>
  <c r="B1013" i="28" s="1"/>
  <c r="B1014" i="28" s="1"/>
  <c r="B1015" i="28" s="1"/>
  <c r="B1016" i="28" s="1"/>
  <c r="B1017" i="28" s="1"/>
  <c r="B1018" i="28" s="1"/>
  <c r="B1019" i="28" s="1"/>
  <c r="B1020" i="28" s="1"/>
  <c r="B1021" i="28" s="1"/>
  <c r="B1022" i="28" s="1"/>
  <c r="B1023" i="28" s="1"/>
  <c r="B1024" i="28" s="1"/>
  <c r="B1025" i="28" s="1"/>
  <c r="B1026" i="28" s="1"/>
  <c r="B1027" i="28" s="1"/>
  <c r="B1028" i="28" s="1"/>
  <c r="B1029" i="28" s="1"/>
  <c r="B1030" i="28" s="1"/>
  <c r="B1031" i="28" s="1"/>
  <c r="B1032" i="28" s="1"/>
  <c r="B1033" i="28" s="1"/>
  <c r="B1034" i="28" s="1"/>
  <c r="B1035" i="28" s="1"/>
  <c r="B1036" i="28" s="1"/>
  <c r="B1037" i="28" s="1"/>
  <c r="B1038" i="28" s="1"/>
  <c r="B1039" i="28" s="1"/>
  <c r="B1040" i="28" s="1"/>
  <c r="B1041" i="28" s="1"/>
  <c r="B1042" i="28" s="1"/>
  <c r="B1043" i="28" s="1"/>
  <c r="B1044" i="28" s="1"/>
  <c r="B1045" i="28" s="1"/>
  <c r="B1046" i="28" s="1"/>
  <c r="B1047" i="28" s="1"/>
  <c r="B1048" i="28" s="1"/>
  <c r="B1049" i="28" s="1"/>
  <c r="B1050" i="28" s="1"/>
  <c r="B1051" i="28" s="1"/>
  <c r="B1052" i="28" s="1"/>
  <c r="B1053" i="28" s="1"/>
  <c r="B1054" i="28" s="1"/>
  <c r="B1055" i="28" s="1"/>
  <c r="B1056" i="28" s="1"/>
  <c r="B1057" i="28" s="1"/>
  <c r="B1058" i="28" s="1"/>
  <c r="B1059" i="28" s="1"/>
  <c r="B1060" i="28" s="1"/>
  <c r="B1061" i="28" s="1"/>
  <c r="B1062" i="28" s="1"/>
  <c r="B1063" i="28" s="1"/>
  <c r="B1064" i="28" s="1"/>
  <c r="B1065" i="28" s="1"/>
  <c r="B1066" i="28" s="1"/>
  <c r="B1067" i="28" s="1"/>
  <c r="B1068" i="28" s="1"/>
  <c r="B1069" i="28" s="1"/>
  <c r="B1070" i="28" s="1"/>
  <c r="B1071" i="28" s="1"/>
  <c r="B1072" i="28" s="1"/>
  <c r="B1073" i="28" s="1"/>
  <c r="B1074" i="28" s="1"/>
  <c r="B1075" i="28" s="1"/>
  <c r="B1076" i="28" s="1"/>
  <c r="B1077" i="28" s="1"/>
  <c r="A801" i="27" l="1"/>
  <c r="B802" i="27"/>
  <c r="B174" i="27"/>
  <c r="A173" i="27"/>
  <c r="A652" i="27"/>
  <c r="B653" i="27"/>
  <c r="A306" i="27"/>
  <c r="B307" i="27"/>
  <c r="A931" i="27"/>
  <c r="B932" i="27"/>
  <c r="A1079" i="27"/>
  <c r="B1080" i="27"/>
  <c r="B475" i="27"/>
  <c r="A474" i="27"/>
  <c r="A22" i="32"/>
  <c r="A1" i="32"/>
  <c r="B803" i="27" l="1"/>
  <c r="A802" i="27"/>
  <c r="A932" i="27"/>
  <c r="B933" i="27"/>
  <c r="A174" i="27"/>
  <c r="B175" i="27"/>
  <c r="A1080" i="27"/>
  <c r="B1081" i="27"/>
  <c r="B308" i="27"/>
  <c r="A307" i="27"/>
  <c r="A653" i="27"/>
  <c r="B654" i="27"/>
  <c r="A475" i="27"/>
  <c r="B476" i="27"/>
  <c r="AM1023" i="30"/>
  <c r="AL1023" i="30"/>
  <c r="AK1023" i="30"/>
  <c r="AM1022" i="30"/>
  <c r="AL1022" i="30"/>
  <c r="AK1022" i="30"/>
  <c r="AM1021" i="30"/>
  <c r="AL1021" i="30"/>
  <c r="AK1021" i="30"/>
  <c r="D1023" i="30"/>
  <c r="D1022" i="30"/>
  <c r="D1021" i="30"/>
  <c r="AM1020" i="30"/>
  <c r="AL1020" i="30"/>
  <c r="AK1020" i="30"/>
  <c r="AM1019" i="30"/>
  <c r="AL1019" i="30"/>
  <c r="AK1019" i="30"/>
  <c r="AM1018" i="30"/>
  <c r="AL1018" i="30"/>
  <c r="AK1018" i="30"/>
  <c r="AM1017" i="30"/>
  <c r="AL1017" i="30"/>
  <c r="AK1017" i="30"/>
  <c r="AM1016" i="30"/>
  <c r="AL1016" i="30"/>
  <c r="AK1016" i="30"/>
  <c r="AM1015" i="30"/>
  <c r="AL1015" i="30"/>
  <c r="AK1015" i="30"/>
  <c r="AM1014" i="30"/>
  <c r="AL1014" i="30"/>
  <c r="AK1014" i="30"/>
  <c r="AM1013" i="30"/>
  <c r="AL1013" i="30"/>
  <c r="AK1013" i="30"/>
  <c r="AM1012" i="30"/>
  <c r="AL1012" i="30"/>
  <c r="AK1012" i="30"/>
  <c r="AM1011" i="30"/>
  <c r="AL1011" i="30"/>
  <c r="AK1011" i="30"/>
  <c r="AM1010" i="30"/>
  <c r="AL1010" i="30"/>
  <c r="AK1010" i="30"/>
  <c r="AM1009" i="30"/>
  <c r="AL1009" i="30"/>
  <c r="AK1009" i="30"/>
  <c r="AM1008" i="30"/>
  <c r="AL1008" i="30"/>
  <c r="AK1008" i="30"/>
  <c r="AM1007" i="30"/>
  <c r="AL1007" i="30"/>
  <c r="AK1007" i="30"/>
  <c r="AM1006" i="30"/>
  <c r="AL1006" i="30"/>
  <c r="AK1006" i="30"/>
  <c r="AM1005" i="30"/>
  <c r="AL1005" i="30"/>
  <c r="AK1005" i="30"/>
  <c r="AM1004" i="30"/>
  <c r="AL1004" i="30"/>
  <c r="AK1004" i="30"/>
  <c r="AM1003" i="30"/>
  <c r="AL1003" i="30"/>
  <c r="AK1003" i="30"/>
  <c r="AM1002" i="30"/>
  <c r="AL1002" i="30"/>
  <c r="AK1002" i="30"/>
  <c r="AM1001" i="30"/>
  <c r="AL1001" i="30"/>
  <c r="AK1001" i="30"/>
  <c r="AM1000" i="30"/>
  <c r="AL1000" i="30"/>
  <c r="AK1000" i="30"/>
  <c r="AM999" i="30"/>
  <c r="AL999" i="30"/>
  <c r="AK999" i="30"/>
  <c r="AM998" i="30"/>
  <c r="AL998" i="30"/>
  <c r="AK998" i="30"/>
  <c r="AM997" i="30"/>
  <c r="AL997" i="30"/>
  <c r="AK997" i="30"/>
  <c r="AM996" i="30"/>
  <c r="AL996" i="30"/>
  <c r="AK996" i="30"/>
  <c r="AM995" i="30"/>
  <c r="AL995" i="30"/>
  <c r="AK995" i="30"/>
  <c r="AM994" i="30"/>
  <c r="AL994" i="30"/>
  <c r="AK994" i="30"/>
  <c r="AM993" i="30"/>
  <c r="AL993" i="30"/>
  <c r="AK993" i="30"/>
  <c r="AM992" i="30"/>
  <c r="AL992" i="30"/>
  <c r="AK992" i="30"/>
  <c r="AM991" i="30"/>
  <c r="AL991" i="30"/>
  <c r="AK991" i="30"/>
  <c r="AM990" i="30"/>
  <c r="AL990" i="30"/>
  <c r="AK990" i="30"/>
  <c r="AM989" i="30"/>
  <c r="AL989" i="30"/>
  <c r="AK989" i="30"/>
  <c r="AM988" i="30"/>
  <c r="AL988" i="30"/>
  <c r="AK988" i="30"/>
  <c r="AM987" i="30"/>
  <c r="AL987" i="30"/>
  <c r="AK987" i="30"/>
  <c r="AM986" i="30"/>
  <c r="AL986" i="30"/>
  <c r="AK986" i="30"/>
  <c r="AM985" i="30"/>
  <c r="AL985" i="30"/>
  <c r="AK985" i="30"/>
  <c r="AM984" i="30"/>
  <c r="AL984" i="30"/>
  <c r="AK984" i="30"/>
  <c r="AM983" i="30"/>
  <c r="AL983" i="30"/>
  <c r="AK983" i="30"/>
  <c r="AM982" i="30"/>
  <c r="AL982" i="30"/>
  <c r="AK982" i="30"/>
  <c r="AM981" i="30"/>
  <c r="AL981" i="30"/>
  <c r="AK981" i="30"/>
  <c r="AM980" i="30"/>
  <c r="AL980" i="30"/>
  <c r="AK980" i="30"/>
  <c r="AM979" i="30"/>
  <c r="AL979" i="30"/>
  <c r="AK979" i="30"/>
  <c r="AM978" i="30"/>
  <c r="AL978" i="30"/>
  <c r="AK978" i="30"/>
  <c r="AM977" i="30"/>
  <c r="AL977" i="30"/>
  <c r="AK977" i="30"/>
  <c r="AM976" i="30"/>
  <c r="AL976" i="30"/>
  <c r="AK976" i="30"/>
  <c r="AM975" i="30"/>
  <c r="AL975" i="30"/>
  <c r="AK975" i="30"/>
  <c r="AM974" i="30"/>
  <c r="AL974" i="30"/>
  <c r="AK974" i="30"/>
  <c r="AM973" i="30"/>
  <c r="AL973" i="30"/>
  <c r="AK973" i="30"/>
  <c r="AM972" i="30"/>
  <c r="AL972" i="30"/>
  <c r="AK972" i="30"/>
  <c r="AM971" i="30"/>
  <c r="AL971" i="30"/>
  <c r="AK971" i="30"/>
  <c r="AM970" i="30"/>
  <c r="AL970" i="30"/>
  <c r="AK970" i="30"/>
  <c r="AM969" i="30"/>
  <c r="AL969" i="30"/>
  <c r="AK969" i="30"/>
  <c r="AM163" i="30"/>
  <c r="AL163" i="30"/>
  <c r="AK163" i="30"/>
  <c r="AM162" i="30"/>
  <c r="AL162" i="30"/>
  <c r="AK162" i="30"/>
  <c r="AM161" i="30"/>
  <c r="AL161" i="30"/>
  <c r="AK161" i="30"/>
  <c r="AM160" i="30"/>
  <c r="AL160" i="30"/>
  <c r="AK160" i="30"/>
  <c r="AM159" i="30"/>
  <c r="AL159" i="30"/>
  <c r="AK159" i="30"/>
  <c r="AM158" i="30"/>
  <c r="AL158" i="30"/>
  <c r="AK158" i="30"/>
  <c r="AM157" i="30"/>
  <c r="AL157" i="30"/>
  <c r="AK157" i="30"/>
  <c r="AM156" i="30"/>
  <c r="AL156" i="30"/>
  <c r="AK156" i="30"/>
  <c r="AM155" i="30"/>
  <c r="AL155" i="30"/>
  <c r="AK155" i="30"/>
  <c r="AM154" i="30"/>
  <c r="AL154" i="30"/>
  <c r="AK154" i="30"/>
  <c r="AM153" i="30"/>
  <c r="AL153" i="30"/>
  <c r="AK153" i="30"/>
  <c r="AM152" i="30"/>
  <c r="AL152" i="30"/>
  <c r="AK152" i="30"/>
  <c r="AM151" i="30"/>
  <c r="AL151" i="30"/>
  <c r="AK151" i="30"/>
  <c r="AM150" i="30"/>
  <c r="AL150" i="30"/>
  <c r="AK150" i="30"/>
  <c r="AM149" i="30"/>
  <c r="AL149" i="30"/>
  <c r="AK149" i="30"/>
  <c r="AM148" i="30"/>
  <c r="AL148" i="30"/>
  <c r="AK148" i="30"/>
  <c r="AM147" i="30"/>
  <c r="AL147" i="30"/>
  <c r="AK147" i="30"/>
  <c r="AM146" i="30"/>
  <c r="AL146" i="30"/>
  <c r="AK146" i="30"/>
  <c r="AM145" i="30"/>
  <c r="AL145" i="30"/>
  <c r="AK145" i="30"/>
  <c r="AM144" i="30"/>
  <c r="AL144" i="30"/>
  <c r="AK144" i="30"/>
  <c r="AM143" i="30"/>
  <c r="AL143" i="30"/>
  <c r="AK143" i="30"/>
  <c r="AM142" i="30"/>
  <c r="AL142" i="30"/>
  <c r="AK142" i="30"/>
  <c r="AM141" i="30"/>
  <c r="AL141" i="30"/>
  <c r="AK141" i="30"/>
  <c r="AM140" i="30"/>
  <c r="AL140" i="30"/>
  <c r="AK140" i="30"/>
  <c r="AM139" i="30"/>
  <c r="AL139" i="30"/>
  <c r="AK139" i="30"/>
  <c r="AM138" i="30"/>
  <c r="AL138" i="30"/>
  <c r="AK138" i="30"/>
  <c r="AM137" i="30"/>
  <c r="AL137" i="30"/>
  <c r="AK137" i="30"/>
  <c r="AM136" i="30"/>
  <c r="AL136" i="30"/>
  <c r="AK136" i="30"/>
  <c r="AM135" i="30"/>
  <c r="AL135" i="30"/>
  <c r="AK135" i="30"/>
  <c r="AM134" i="30"/>
  <c r="AL134" i="30"/>
  <c r="AK134" i="30"/>
  <c r="AM133" i="30"/>
  <c r="AL133" i="30"/>
  <c r="AK133" i="30"/>
  <c r="AM132" i="30"/>
  <c r="AL132" i="30"/>
  <c r="AK132" i="30"/>
  <c r="AM131" i="30"/>
  <c r="AL131" i="30"/>
  <c r="AK131" i="30"/>
  <c r="AM130" i="30"/>
  <c r="AL130" i="30"/>
  <c r="AK130" i="30"/>
  <c r="AM129" i="30"/>
  <c r="AL129" i="30"/>
  <c r="AK129" i="30"/>
  <c r="AM128" i="30"/>
  <c r="AL128" i="30"/>
  <c r="AK128" i="30"/>
  <c r="AM127" i="30"/>
  <c r="AL127" i="30"/>
  <c r="AK127" i="30"/>
  <c r="AM126" i="30"/>
  <c r="AL126" i="30"/>
  <c r="AK126" i="30"/>
  <c r="AM125" i="30"/>
  <c r="AL125" i="30"/>
  <c r="AK125" i="30"/>
  <c r="AM124" i="30"/>
  <c r="AL124" i="30"/>
  <c r="AK124" i="30"/>
  <c r="AM123" i="30"/>
  <c r="AL123" i="30"/>
  <c r="AK123" i="30"/>
  <c r="AM122" i="30"/>
  <c r="AL122" i="30"/>
  <c r="AK122" i="30"/>
  <c r="AM121" i="30"/>
  <c r="AL121" i="30"/>
  <c r="AK121" i="30"/>
  <c r="AM120" i="30"/>
  <c r="AL120" i="30"/>
  <c r="AK120" i="30"/>
  <c r="AM119" i="30"/>
  <c r="AL119" i="30"/>
  <c r="AK119" i="30"/>
  <c r="AM118" i="30"/>
  <c r="AL118" i="30"/>
  <c r="AN118" i="30" s="1"/>
  <c r="AK118" i="30"/>
  <c r="AM117" i="30"/>
  <c r="AL117" i="30"/>
  <c r="AK117" i="30"/>
  <c r="AM116" i="30"/>
  <c r="AL116" i="30"/>
  <c r="AK116" i="30"/>
  <c r="AM115" i="30"/>
  <c r="AL115" i="30"/>
  <c r="AK115" i="30"/>
  <c r="AM114" i="30"/>
  <c r="AL114" i="30"/>
  <c r="AN114" i="30" s="1"/>
  <c r="AK114" i="30"/>
  <c r="AM113" i="30"/>
  <c r="AL113" i="30"/>
  <c r="AK113" i="30"/>
  <c r="AM112" i="30"/>
  <c r="AL112" i="30"/>
  <c r="AK112" i="30"/>
  <c r="AM111" i="30"/>
  <c r="AL111" i="30"/>
  <c r="AK111" i="30"/>
  <c r="AM110" i="30"/>
  <c r="AL110" i="30"/>
  <c r="AN110" i="30" s="1"/>
  <c r="AK110" i="30"/>
  <c r="AM109" i="30"/>
  <c r="AL109" i="30"/>
  <c r="AK109" i="30"/>
  <c r="AM108" i="30"/>
  <c r="AL108" i="30"/>
  <c r="AK108" i="30"/>
  <c r="AM107" i="30"/>
  <c r="AL107" i="30"/>
  <c r="AK107" i="30"/>
  <c r="AM106" i="30"/>
  <c r="AL106" i="30"/>
  <c r="AN106" i="30" s="1"/>
  <c r="AK106" i="30"/>
  <c r="AM105" i="30"/>
  <c r="AL105" i="30"/>
  <c r="AK105" i="30"/>
  <c r="AM104" i="30"/>
  <c r="AL104" i="30"/>
  <c r="AK104" i="30"/>
  <c r="AM103" i="30"/>
  <c r="AL103" i="30"/>
  <c r="AK103" i="30"/>
  <c r="AM102" i="30"/>
  <c r="AL102" i="30"/>
  <c r="AN102" i="30" s="1"/>
  <c r="AK102" i="30"/>
  <c r="AM101" i="30"/>
  <c r="AL101" i="30"/>
  <c r="AK101" i="30"/>
  <c r="AM100" i="30"/>
  <c r="AL100" i="30"/>
  <c r="AK100" i="30"/>
  <c r="AM99" i="30"/>
  <c r="AL99" i="30"/>
  <c r="AK99" i="30"/>
  <c r="AM98" i="30"/>
  <c r="AL98" i="30"/>
  <c r="AN98" i="30" s="1"/>
  <c r="AK98" i="30"/>
  <c r="AM97" i="30"/>
  <c r="AL97" i="30"/>
  <c r="AK97" i="30"/>
  <c r="AM96" i="30"/>
  <c r="AL96" i="30"/>
  <c r="AK96" i="30"/>
  <c r="AM95" i="30"/>
  <c r="AL95" i="30"/>
  <c r="AK95" i="30"/>
  <c r="AM94" i="30"/>
  <c r="AL94" i="30"/>
  <c r="AN94" i="30" s="1"/>
  <c r="AK94" i="30"/>
  <c r="AM93" i="30"/>
  <c r="AL93" i="30"/>
  <c r="AK93" i="30"/>
  <c r="AM92" i="30"/>
  <c r="AL92" i="30"/>
  <c r="AK92" i="30"/>
  <c r="AM91" i="30"/>
  <c r="AL91" i="30"/>
  <c r="AK91" i="30"/>
  <c r="AM90" i="30"/>
  <c r="AL90" i="30"/>
  <c r="AN90" i="30" s="1"/>
  <c r="AK90" i="30"/>
  <c r="AM89" i="30"/>
  <c r="AL89" i="30"/>
  <c r="AK89" i="30"/>
  <c r="AM88" i="30"/>
  <c r="AL88" i="30"/>
  <c r="AK88" i="30"/>
  <c r="AM87" i="30"/>
  <c r="AL87" i="30"/>
  <c r="AK87" i="30"/>
  <c r="AM86" i="30"/>
  <c r="AL86" i="30"/>
  <c r="AN86" i="30" s="1"/>
  <c r="AK86" i="30"/>
  <c r="AM85" i="30"/>
  <c r="AL85" i="30"/>
  <c r="AK85" i="30"/>
  <c r="AM84" i="30"/>
  <c r="AL84" i="30"/>
  <c r="AK84" i="30"/>
  <c r="AM83" i="30"/>
  <c r="AL83" i="30"/>
  <c r="AK83" i="30"/>
  <c r="AM82" i="30"/>
  <c r="AL82" i="30"/>
  <c r="AN82" i="30" s="1"/>
  <c r="AK82" i="30"/>
  <c r="AM81" i="30"/>
  <c r="AL81" i="30"/>
  <c r="AK81" i="30"/>
  <c r="AM80" i="30"/>
  <c r="AL80" i="30"/>
  <c r="AK80" i="30"/>
  <c r="AM79" i="30"/>
  <c r="AL79" i="30"/>
  <c r="AK79" i="30"/>
  <c r="AM78" i="30"/>
  <c r="AL78" i="30"/>
  <c r="AN78" i="30" s="1"/>
  <c r="AK78" i="30"/>
  <c r="AM77" i="30"/>
  <c r="AL77" i="30"/>
  <c r="AK77" i="30"/>
  <c r="AM76" i="30"/>
  <c r="AL76" i="30"/>
  <c r="AK76" i="30"/>
  <c r="AM75" i="30"/>
  <c r="AL75" i="30"/>
  <c r="AK75" i="30"/>
  <c r="AM74" i="30"/>
  <c r="AL74" i="30"/>
  <c r="AN74" i="30" s="1"/>
  <c r="AK74" i="30"/>
  <c r="AM73" i="30"/>
  <c r="AL73" i="30"/>
  <c r="AK73" i="30"/>
  <c r="AM72" i="30"/>
  <c r="AL72" i="30"/>
  <c r="AK72" i="30"/>
  <c r="AM71" i="30"/>
  <c r="AL71" i="30"/>
  <c r="AK71" i="30"/>
  <c r="AM70" i="30"/>
  <c r="AL70" i="30"/>
  <c r="AK70" i="30"/>
  <c r="AM69" i="30"/>
  <c r="AL69" i="30"/>
  <c r="AK69" i="30"/>
  <c r="AM68" i="30"/>
  <c r="AL68" i="30"/>
  <c r="AK68" i="30"/>
  <c r="AM67" i="30"/>
  <c r="AL67" i="30"/>
  <c r="AK67" i="30"/>
  <c r="AM66" i="30"/>
  <c r="AL66" i="30"/>
  <c r="AK66" i="30"/>
  <c r="AM65" i="30"/>
  <c r="AL65" i="30"/>
  <c r="AK65" i="30"/>
  <c r="AM64" i="30"/>
  <c r="AL64" i="30"/>
  <c r="AK64" i="30"/>
  <c r="AM63" i="30"/>
  <c r="AL63" i="30"/>
  <c r="AK63" i="30"/>
  <c r="AM62" i="30"/>
  <c r="AL62" i="30"/>
  <c r="AK62" i="30"/>
  <c r="AM61" i="30"/>
  <c r="AL61" i="30"/>
  <c r="AK61" i="30"/>
  <c r="AM60" i="30"/>
  <c r="AL60" i="30"/>
  <c r="AK60" i="30"/>
  <c r="AM59" i="30"/>
  <c r="AL59" i="30"/>
  <c r="AK59" i="30"/>
  <c r="AM58" i="30"/>
  <c r="AL58" i="30"/>
  <c r="AK58" i="30"/>
  <c r="AM57" i="30"/>
  <c r="AL57" i="30"/>
  <c r="AK57" i="30"/>
  <c r="AM56" i="30"/>
  <c r="AL56" i="30"/>
  <c r="AK56" i="30"/>
  <c r="AM55" i="30"/>
  <c r="AL55" i="30"/>
  <c r="AK55" i="30"/>
  <c r="AM54" i="30"/>
  <c r="AL54" i="30"/>
  <c r="AK54" i="30"/>
  <c r="AM53" i="30"/>
  <c r="AL53" i="30"/>
  <c r="AK53" i="30"/>
  <c r="AM52" i="30"/>
  <c r="AL52" i="30"/>
  <c r="AK52" i="30"/>
  <c r="AM51" i="30"/>
  <c r="AL51" i="30"/>
  <c r="AK51" i="30"/>
  <c r="AM50" i="30"/>
  <c r="AL50" i="30"/>
  <c r="AK50" i="30"/>
  <c r="AM49" i="30"/>
  <c r="AL49" i="30"/>
  <c r="AK49" i="30"/>
  <c r="AM48" i="30"/>
  <c r="AL48" i="30"/>
  <c r="AK48" i="30"/>
  <c r="AM47" i="30"/>
  <c r="AL47" i="30"/>
  <c r="AK47" i="30"/>
  <c r="AM46" i="30"/>
  <c r="AL46" i="30"/>
  <c r="AK46" i="30"/>
  <c r="AM45" i="30"/>
  <c r="AL45" i="30"/>
  <c r="AK45" i="30"/>
  <c r="AM44" i="30"/>
  <c r="AL44" i="30"/>
  <c r="AK44" i="30"/>
  <c r="AM43" i="30"/>
  <c r="AL43" i="30"/>
  <c r="AK43" i="30"/>
  <c r="AM42" i="30"/>
  <c r="AL42" i="30"/>
  <c r="AK42" i="30"/>
  <c r="AM41" i="30"/>
  <c r="AL41" i="30"/>
  <c r="AK41" i="30"/>
  <c r="AM40" i="30"/>
  <c r="AL40" i="30"/>
  <c r="AK40" i="30"/>
  <c r="AM39" i="30"/>
  <c r="AL39" i="30"/>
  <c r="AK39" i="30"/>
  <c r="AM38" i="30"/>
  <c r="AL38" i="30"/>
  <c r="AK38" i="30"/>
  <c r="AM37" i="30"/>
  <c r="AL37" i="30"/>
  <c r="AK37" i="30"/>
  <c r="AM36" i="30"/>
  <c r="AL36" i="30"/>
  <c r="AK36" i="30"/>
  <c r="AM35" i="30"/>
  <c r="AL35" i="30"/>
  <c r="AK35" i="30"/>
  <c r="AM34" i="30"/>
  <c r="AL34" i="30"/>
  <c r="AK34" i="30"/>
  <c r="AM33" i="30"/>
  <c r="AL33" i="30"/>
  <c r="AK33" i="30"/>
  <c r="AM32" i="30"/>
  <c r="AL32" i="30"/>
  <c r="AK32" i="30"/>
  <c r="AM31" i="30"/>
  <c r="AL31" i="30"/>
  <c r="AK31" i="30"/>
  <c r="AM30" i="30"/>
  <c r="AL30" i="30"/>
  <c r="AK30" i="30"/>
  <c r="AM29" i="30"/>
  <c r="AL29" i="30"/>
  <c r="AK29" i="30"/>
  <c r="AM28" i="30"/>
  <c r="AL28" i="30"/>
  <c r="AK28" i="30"/>
  <c r="AM27" i="30"/>
  <c r="AL27" i="30"/>
  <c r="AK27" i="30"/>
  <c r="AM26" i="30"/>
  <c r="AL26" i="30"/>
  <c r="AK26" i="30"/>
  <c r="AM25" i="30"/>
  <c r="AL25" i="30"/>
  <c r="AK25" i="30"/>
  <c r="AM24" i="30"/>
  <c r="AL24" i="30"/>
  <c r="AK24" i="30"/>
  <c r="AM23" i="30"/>
  <c r="AL23" i="30"/>
  <c r="AK23" i="30"/>
  <c r="AM22" i="30"/>
  <c r="AL22" i="30"/>
  <c r="AK22" i="30"/>
  <c r="AM21" i="30"/>
  <c r="AL21" i="30"/>
  <c r="AK21" i="30"/>
  <c r="AM20" i="30"/>
  <c r="AL20" i="30"/>
  <c r="AK20" i="30"/>
  <c r="AM19" i="30"/>
  <c r="AL19" i="30"/>
  <c r="AK19" i="30"/>
  <c r="AM18" i="30"/>
  <c r="AL18" i="30"/>
  <c r="AK18" i="30"/>
  <c r="AM17" i="30"/>
  <c r="AL17" i="30"/>
  <c r="AK17" i="30"/>
  <c r="AM16" i="30"/>
  <c r="AL16" i="30"/>
  <c r="AK16" i="30"/>
  <c r="AM15" i="30"/>
  <c r="AL15" i="30"/>
  <c r="AK15" i="30"/>
  <c r="AM14" i="30"/>
  <c r="AL14" i="30"/>
  <c r="AK14" i="30"/>
  <c r="AM13" i="30"/>
  <c r="AL13" i="30"/>
  <c r="AK13" i="30"/>
  <c r="AM12" i="30"/>
  <c r="AL12" i="30"/>
  <c r="AK12" i="30"/>
  <c r="AM11" i="30"/>
  <c r="AL11" i="30"/>
  <c r="AK11" i="30"/>
  <c r="AM10" i="30"/>
  <c r="AL10" i="30"/>
  <c r="AK10" i="30"/>
  <c r="AM9" i="30"/>
  <c r="AL9" i="30"/>
  <c r="AK9" i="30"/>
  <c r="AM8" i="30"/>
  <c r="AL8" i="30"/>
  <c r="AK8" i="30"/>
  <c r="AM7" i="30"/>
  <c r="AL7" i="30"/>
  <c r="AK7" i="30"/>
  <c r="AM6" i="30"/>
  <c r="AL6" i="30"/>
  <c r="AK6" i="30"/>
  <c r="AM5" i="30"/>
  <c r="AL5" i="30"/>
  <c r="AK5" i="30"/>
  <c r="AM4" i="30"/>
  <c r="AL4" i="30"/>
  <c r="AK4" i="30"/>
  <c r="AM3" i="30"/>
  <c r="AL3" i="30"/>
  <c r="AK3" i="30"/>
  <c r="D1020" i="30"/>
  <c r="D1019" i="30"/>
  <c r="D1018" i="30"/>
  <c r="D1017" i="30"/>
  <c r="D1016" i="30"/>
  <c r="D1015" i="30"/>
  <c r="D1014" i="30"/>
  <c r="D1013" i="30"/>
  <c r="D1012" i="30"/>
  <c r="D1011" i="30"/>
  <c r="D1010" i="30"/>
  <c r="D1009" i="30"/>
  <c r="D1008" i="30"/>
  <c r="D1007" i="30"/>
  <c r="D1006" i="30"/>
  <c r="D1005" i="30"/>
  <c r="D1004" i="30"/>
  <c r="D1003" i="30"/>
  <c r="D1002" i="30"/>
  <c r="D1001" i="30"/>
  <c r="D1000" i="30"/>
  <c r="D999" i="30"/>
  <c r="D998" i="30"/>
  <c r="D997" i="30"/>
  <c r="D996" i="30"/>
  <c r="D995" i="30"/>
  <c r="D994" i="30"/>
  <c r="D993" i="30"/>
  <c r="A993" i="30"/>
  <c r="A994" i="30" s="1"/>
  <c r="C43" i="31"/>
  <c r="C29" i="31"/>
  <c r="C15" i="31"/>
  <c r="C1" i="31"/>
  <c r="AN75" i="30" l="1"/>
  <c r="AN79" i="30"/>
  <c r="AN83" i="30"/>
  <c r="AN87" i="30"/>
  <c r="AN91" i="30"/>
  <c r="AN95" i="30"/>
  <c r="AN99" i="30"/>
  <c r="AN107" i="30"/>
  <c r="AN111" i="30"/>
  <c r="AN115" i="30"/>
  <c r="AN77" i="30"/>
  <c r="AN81" i="30"/>
  <c r="AN85" i="30"/>
  <c r="AN89" i="30"/>
  <c r="AN93" i="30"/>
  <c r="AN97" i="30"/>
  <c r="AN101" i="30"/>
  <c r="AN105" i="30"/>
  <c r="AN109" i="30"/>
  <c r="AN113" i="30"/>
  <c r="AN117" i="30"/>
  <c r="AN103" i="30"/>
  <c r="AN76" i="30"/>
  <c r="AN80" i="30"/>
  <c r="AN84" i="30"/>
  <c r="AN88" i="30"/>
  <c r="AN92" i="30"/>
  <c r="AN96" i="30"/>
  <c r="AN100" i="30"/>
  <c r="AN104" i="30"/>
  <c r="AN108" i="30"/>
  <c r="AN112" i="30"/>
  <c r="AN116" i="30"/>
  <c r="A803" i="27"/>
  <c r="B804" i="27"/>
  <c r="A654" i="27"/>
  <c r="B655" i="27"/>
  <c r="A1081" i="27"/>
  <c r="B1082" i="27"/>
  <c r="B477" i="27"/>
  <c r="A476" i="27"/>
  <c r="B176" i="27"/>
  <c r="A175" i="27"/>
  <c r="A933" i="27"/>
  <c r="B934" i="27"/>
  <c r="A308" i="27"/>
  <c r="B309" i="27"/>
  <c r="AN135" i="30"/>
  <c r="AN139" i="30"/>
  <c r="AN151" i="30"/>
  <c r="AN155" i="30"/>
  <c r="AN159" i="30"/>
  <c r="AN163" i="30"/>
  <c r="AN972" i="30"/>
  <c r="AN980" i="30"/>
  <c r="AN36" i="30"/>
  <c r="AN40" i="30"/>
  <c r="AN34" i="30"/>
  <c r="AN133" i="30"/>
  <c r="AN141" i="30"/>
  <c r="AN974" i="30"/>
  <c r="AN978" i="30"/>
  <c r="AN982" i="30"/>
  <c r="AN6" i="30"/>
  <c r="AN14" i="30"/>
  <c r="AN18" i="30"/>
  <c r="AN22" i="30"/>
  <c r="AN26" i="30"/>
  <c r="AN30" i="30"/>
  <c r="AN38" i="30"/>
  <c r="AN42" i="30"/>
  <c r="AN46" i="30"/>
  <c r="AN50" i="30"/>
  <c r="AN54" i="30"/>
  <c r="AN58" i="30"/>
  <c r="AN62" i="30"/>
  <c r="AN66" i="30"/>
  <c r="AN70" i="30"/>
  <c r="AN1022" i="30"/>
  <c r="AN145" i="30"/>
  <c r="AN146" i="30"/>
  <c r="AN119" i="30"/>
  <c r="AN122" i="30"/>
  <c r="AN123" i="30"/>
  <c r="AN127" i="30"/>
  <c r="AN130" i="30"/>
  <c r="AN124" i="30"/>
  <c r="AN128" i="30"/>
  <c r="AN136" i="30"/>
  <c r="AN143" i="30"/>
  <c r="AN150" i="30"/>
  <c r="AN3" i="30"/>
  <c r="AN137" i="30"/>
  <c r="AN72" i="30"/>
  <c r="AN132" i="30"/>
  <c r="AN140" i="30"/>
  <c r="AN13" i="30"/>
  <c r="AN37" i="30"/>
  <c r="AN41" i="30"/>
  <c r="AN45" i="30"/>
  <c r="AN49" i="30"/>
  <c r="AN53" i="30"/>
  <c r="AN57" i="30"/>
  <c r="AN61" i="30"/>
  <c r="AN65" i="30"/>
  <c r="AN69" i="30"/>
  <c r="AN73" i="30"/>
  <c r="AN986" i="30"/>
  <c r="AN990" i="30"/>
  <c r="AN994" i="30"/>
  <c r="AN998" i="30"/>
  <c r="AN1010" i="30"/>
  <c r="AN1014" i="30"/>
  <c r="AN1018" i="30"/>
  <c r="AN120" i="30"/>
  <c r="AN7" i="30"/>
  <c r="AN11" i="30"/>
  <c r="AN15" i="30"/>
  <c r="AN19" i="30"/>
  <c r="AN23" i="30"/>
  <c r="AN27" i="30"/>
  <c r="AN31" i="30"/>
  <c r="AN39" i="30"/>
  <c r="AN43" i="30"/>
  <c r="AN51" i="30"/>
  <c r="AN55" i="30"/>
  <c r="AN984" i="30"/>
  <c r="AN988" i="30"/>
  <c r="AN992" i="30"/>
  <c r="AN996" i="30"/>
  <c r="AN1004" i="30"/>
  <c r="AN1008" i="30"/>
  <c r="AN1012" i="30"/>
  <c r="AN1016" i="30"/>
  <c r="AN1020" i="30"/>
  <c r="AN1023" i="30"/>
  <c r="AN5" i="30"/>
  <c r="AN17" i="30"/>
  <c r="AN129" i="30"/>
  <c r="AN144" i="30"/>
  <c r="AN152" i="30"/>
  <c r="AN156" i="30"/>
  <c r="AN160" i="30"/>
  <c r="AN969" i="30"/>
  <c r="AN973" i="30"/>
  <c r="AN977" i="30"/>
  <c r="AN981" i="30"/>
  <c r="AN1005" i="30"/>
  <c r="AN1009" i="30"/>
  <c r="AN67" i="30"/>
  <c r="AN154" i="30"/>
  <c r="AN158" i="30"/>
  <c r="AN162" i="30"/>
  <c r="AN21" i="30"/>
  <c r="AN25" i="30"/>
  <c r="AN29" i="30"/>
  <c r="AN121" i="30"/>
  <c r="AN149" i="30"/>
  <c r="AN153" i="30"/>
  <c r="AN157" i="30"/>
  <c r="AN161" i="30"/>
  <c r="AN970" i="30"/>
  <c r="AN1002" i="30"/>
  <c r="AN1006" i="30"/>
  <c r="AN1021" i="30"/>
  <c r="AN4" i="30"/>
  <c r="AN8" i="30"/>
  <c r="AN12" i="30"/>
  <c r="AN16" i="30"/>
  <c r="AN20" i="30"/>
  <c r="AN24" i="30"/>
  <c r="AN28" i="30"/>
  <c r="AN44" i="30"/>
  <c r="AN48" i="30"/>
  <c r="AN52" i="30"/>
  <c r="AN56" i="30"/>
  <c r="AN60" i="30"/>
  <c r="AN64" i="30"/>
  <c r="AN68" i="30"/>
  <c r="AN985" i="30"/>
  <c r="AN989" i="30"/>
  <c r="AN993" i="30"/>
  <c r="AN997" i="30"/>
  <c r="AN1001" i="30"/>
  <c r="AN1013" i="30"/>
  <c r="AN1017" i="30"/>
  <c r="AN35" i="30"/>
  <c r="AN47" i="30"/>
  <c r="AN59" i="30"/>
  <c r="AN63" i="30"/>
  <c r="AN71" i="30"/>
  <c r="AN131" i="30"/>
  <c r="AN134" i="30"/>
  <c r="AN138" i="30"/>
  <c r="AN142" i="30"/>
  <c r="AN971" i="30"/>
  <c r="AN979" i="30"/>
  <c r="AN983" i="30"/>
  <c r="AN987" i="30"/>
  <c r="AN991" i="30"/>
  <c r="AN995" i="30"/>
  <c r="AN1003" i="30"/>
  <c r="AN1007" i="30"/>
  <c r="AN1011" i="30"/>
  <c r="AN1015" i="30"/>
  <c r="AN1019" i="30"/>
  <c r="A995" i="30"/>
  <c r="A996" i="30" s="1"/>
  <c r="A997" i="30" s="1"/>
  <c r="A998" i="30" s="1"/>
  <c r="A999" i="30" s="1"/>
  <c r="A1000" i="30" s="1"/>
  <c r="A1001" i="30" s="1"/>
  <c r="A1002" i="30" s="1"/>
  <c r="A1003" i="30" s="1"/>
  <c r="A1004" i="30" s="1"/>
  <c r="A1005" i="30" s="1"/>
  <c r="A1006" i="30" s="1"/>
  <c r="A1007" i="30" s="1"/>
  <c r="A1008" i="30" s="1"/>
  <c r="A1009" i="30" s="1"/>
  <c r="A1010" i="30" s="1"/>
  <c r="A1011" i="30" s="1"/>
  <c r="A1012" i="30" s="1"/>
  <c r="A1013" i="30" s="1"/>
  <c r="A1014" i="30" s="1"/>
  <c r="A1015" i="30" s="1"/>
  <c r="A1016" i="30" s="1"/>
  <c r="A1017" i="30" s="1"/>
  <c r="A1018" i="30" s="1"/>
  <c r="A1019" i="30" s="1"/>
  <c r="A1020" i="30" s="1"/>
  <c r="A1021" i="30" s="1"/>
  <c r="A1022" i="30" s="1"/>
  <c r="A1023" i="30" s="1"/>
  <c r="A804" i="27" l="1"/>
  <c r="B805" i="27"/>
  <c r="A655" i="27"/>
  <c r="B656" i="27"/>
  <c r="A176" i="27"/>
  <c r="B177" i="27"/>
  <c r="A477" i="27"/>
  <c r="B478" i="27"/>
  <c r="A934" i="27"/>
  <c r="B935" i="27"/>
  <c r="A1082" i="27"/>
  <c r="B1083" i="27"/>
  <c r="B310" i="27"/>
  <c r="A309" i="27"/>
  <c r="AM968" i="30"/>
  <c r="AL968" i="30"/>
  <c r="AK968" i="30"/>
  <c r="AM967" i="30"/>
  <c r="AL967" i="30"/>
  <c r="AK967" i="30"/>
  <c r="AM966" i="30"/>
  <c r="AL966" i="30"/>
  <c r="AK966" i="30"/>
  <c r="AM965" i="30"/>
  <c r="AL965" i="30"/>
  <c r="AK965" i="30"/>
  <c r="AM964" i="30"/>
  <c r="AL964" i="30"/>
  <c r="AK964" i="30"/>
  <c r="AM963" i="30"/>
  <c r="AL963" i="30"/>
  <c r="AK963" i="30"/>
  <c r="AM962" i="30"/>
  <c r="AL962" i="30"/>
  <c r="AK962" i="30"/>
  <c r="AM961" i="30"/>
  <c r="AL961" i="30"/>
  <c r="AK961" i="30"/>
  <c r="AM960" i="30"/>
  <c r="AL960" i="30"/>
  <c r="AK960" i="30"/>
  <c r="AM959" i="30"/>
  <c r="AL959" i="30"/>
  <c r="AK959" i="30"/>
  <c r="AM958" i="30"/>
  <c r="AL958" i="30"/>
  <c r="AK958" i="30"/>
  <c r="AM957" i="30"/>
  <c r="AL957" i="30"/>
  <c r="AK957" i="30"/>
  <c r="AM956" i="30"/>
  <c r="AL956" i="30"/>
  <c r="AK956" i="30"/>
  <c r="AM955" i="30"/>
  <c r="AL955" i="30"/>
  <c r="AK955" i="30"/>
  <c r="AM954" i="30"/>
  <c r="AL954" i="30"/>
  <c r="AK954" i="30"/>
  <c r="AM953" i="30"/>
  <c r="AL953" i="30"/>
  <c r="AK953" i="30"/>
  <c r="AM952" i="30"/>
  <c r="AL952" i="30"/>
  <c r="AK952" i="30"/>
  <c r="AM951" i="30"/>
  <c r="AL951" i="30"/>
  <c r="AK951" i="30"/>
  <c r="AM950" i="30"/>
  <c r="AL950" i="30"/>
  <c r="AK950" i="30"/>
  <c r="AM949" i="30"/>
  <c r="AL949" i="30"/>
  <c r="AK949" i="30"/>
  <c r="AM948" i="30"/>
  <c r="AL948" i="30"/>
  <c r="AK948" i="30"/>
  <c r="AM947" i="30"/>
  <c r="AL947" i="30"/>
  <c r="AK947" i="30"/>
  <c r="AM946" i="30"/>
  <c r="AL946" i="30"/>
  <c r="AK946" i="30"/>
  <c r="AM945" i="30"/>
  <c r="AL945" i="30"/>
  <c r="AK945" i="30"/>
  <c r="AM944" i="30"/>
  <c r="AL944" i="30"/>
  <c r="AK944" i="30"/>
  <c r="AM943" i="30"/>
  <c r="AL943" i="30"/>
  <c r="AK943" i="30"/>
  <c r="AM942" i="30"/>
  <c r="AL942" i="30"/>
  <c r="AK942" i="30"/>
  <c r="AM941" i="30"/>
  <c r="AL941" i="30"/>
  <c r="AK941" i="30"/>
  <c r="AM940" i="30"/>
  <c r="AL940" i="30"/>
  <c r="AK940" i="30"/>
  <c r="AM939" i="30"/>
  <c r="AL939" i="30"/>
  <c r="AK939" i="30"/>
  <c r="AM938" i="30"/>
  <c r="AL938" i="30"/>
  <c r="AK938" i="30"/>
  <c r="AM937" i="30"/>
  <c r="AL937" i="30"/>
  <c r="AK937" i="30"/>
  <c r="AM936" i="30"/>
  <c r="AL936" i="30"/>
  <c r="AK936" i="30"/>
  <c r="AM935" i="30"/>
  <c r="AL935" i="30"/>
  <c r="AK935" i="30"/>
  <c r="AM934" i="30"/>
  <c r="AL934" i="30"/>
  <c r="AK934" i="30"/>
  <c r="AM933" i="30"/>
  <c r="AL933" i="30"/>
  <c r="AK933" i="30"/>
  <c r="AM932" i="30"/>
  <c r="AL932" i="30"/>
  <c r="AK932" i="30"/>
  <c r="AM931" i="30"/>
  <c r="AL931" i="30"/>
  <c r="AK931" i="30"/>
  <c r="AM930" i="30"/>
  <c r="AL930" i="30"/>
  <c r="AK930" i="30"/>
  <c r="AM929" i="30"/>
  <c r="AL929" i="30"/>
  <c r="AK929" i="30"/>
  <c r="AM928" i="30"/>
  <c r="AL928" i="30"/>
  <c r="AK928" i="30"/>
  <c r="AM927" i="30"/>
  <c r="AL927" i="30"/>
  <c r="AK927" i="30"/>
  <c r="AM926" i="30"/>
  <c r="AL926" i="30"/>
  <c r="AK926" i="30"/>
  <c r="AM925" i="30"/>
  <c r="AL925" i="30"/>
  <c r="AK925" i="30"/>
  <c r="AM924" i="30"/>
  <c r="AL924" i="30"/>
  <c r="AK924" i="30"/>
  <c r="AM923" i="30"/>
  <c r="AL923" i="30"/>
  <c r="AK923" i="30"/>
  <c r="AM922" i="30"/>
  <c r="AL922" i="30"/>
  <c r="AK922" i="30"/>
  <c r="AM921" i="30"/>
  <c r="AL921" i="30"/>
  <c r="AK921" i="30"/>
  <c r="AM920" i="30"/>
  <c r="AL920" i="30"/>
  <c r="AK920" i="30"/>
  <c r="AM919" i="30"/>
  <c r="AL919" i="30"/>
  <c r="AK919" i="30"/>
  <c r="AM918" i="30"/>
  <c r="AL918" i="30"/>
  <c r="AK918" i="30"/>
  <c r="AM917" i="30"/>
  <c r="AL917" i="30"/>
  <c r="AK917" i="30"/>
  <c r="AM916" i="30"/>
  <c r="AL916" i="30"/>
  <c r="AK916" i="30"/>
  <c r="AM915" i="30"/>
  <c r="AL915" i="30"/>
  <c r="AK915" i="30"/>
  <c r="AM914" i="30"/>
  <c r="AL914" i="30"/>
  <c r="AK914" i="30"/>
  <c r="AM913" i="30"/>
  <c r="AL913" i="30"/>
  <c r="AK913" i="30"/>
  <c r="AM912" i="30"/>
  <c r="AL912" i="30"/>
  <c r="AK912" i="30"/>
  <c r="AM911" i="30"/>
  <c r="AL911" i="30"/>
  <c r="AK911" i="30"/>
  <c r="AM910" i="30"/>
  <c r="AL910" i="30"/>
  <c r="AK910" i="30"/>
  <c r="AM909" i="30"/>
  <c r="AL909" i="30"/>
  <c r="AK909" i="30"/>
  <c r="AM908" i="30"/>
  <c r="AL908" i="30"/>
  <c r="AK908" i="30"/>
  <c r="AM907" i="30"/>
  <c r="AL907" i="30"/>
  <c r="AK907" i="30"/>
  <c r="AM906" i="30"/>
  <c r="AL906" i="30"/>
  <c r="AK906" i="30"/>
  <c r="AM905" i="30"/>
  <c r="AL905" i="30"/>
  <c r="AK905" i="30"/>
  <c r="AM904" i="30"/>
  <c r="AL904" i="30"/>
  <c r="AK904" i="30"/>
  <c r="AM903" i="30"/>
  <c r="AL903" i="30"/>
  <c r="AK903" i="30"/>
  <c r="AM902" i="30"/>
  <c r="AL902" i="30"/>
  <c r="AK902" i="30"/>
  <c r="AM901" i="30"/>
  <c r="AL901" i="30"/>
  <c r="AK901" i="30"/>
  <c r="AM900" i="30"/>
  <c r="AL900" i="30"/>
  <c r="AK900" i="30"/>
  <c r="AM899" i="30"/>
  <c r="AL899" i="30"/>
  <c r="AK899" i="30"/>
  <c r="AM898" i="30"/>
  <c r="AL898" i="30"/>
  <c r="AK898" i="30"/>
  <c r="AM897" i="30"/>
  <c r="AL897" i="30"/>
  <c r="AK897" i="30"/>
  <c r="AM896" i="30"/>
  <c r="AL896" i="30"/>
  <c r="AK896" i="30"/>
  <c r="AM895" i="30"/>
  <c r="AL895" i="30"/>
  <c r="AK895" i="30"/>
  <c r="AM894" i="30"/>
  <c r="AL894" i="30"/>
  <c r="AK894" i="30"/>
  <c r="AM893" i="30"/>
  <c r="AL893" i="30"/>
  <c r="AK893" i="30"/>
  <c r="AM892" i="30"/>
  <c r="AL892" i="30"/>
  <c r="AK892" i="30"/>
  <c r="AM891" i="30"/>
  <c r="AL891" i="30"/>
  <c r="AK891" i="30"/>
  <c r="AM890" i="30"/>
  <c r="AL890" i="30"/>
  <c r="AK890" i="30"/>
  <c r="AM889" i="30"/>
  <c r="AL889" i="30"/>
  <c r="AK889" i="30"/>
  <c r="AM888" i="30"/>
  <c r="AL888" i="30"/>
  <c r="AK888" i="30"/>
  <c r="AM887" i="30"/>
  <c r="AL887" i="30"/>
  <c r="AK887" i="30"/>
  <c r="AM886" i="30"/>
  <c r="AL886" i="30"/>
  <c r="AK886" i="30"/>
  <c r="AM885" i="30"/>
  <c r="AL885" i="30"/>
  <c r="AK885" i="30"/>
  <c r="AM884" i="30"/>
  <c r="AL884" i="30"/>
  <c r="AK884" i="30"/>
  <c r="AM883" i="30"/>
  <c r="AL883" i="30"/>
  <c r="AK883" i="30"/>
  <c r="AM882" i="30"/>
  <c r="AL882" i="30"/>
  <c r="AK882" i="30"/>
  <c r="AM881" i="30"/>
  <c r="AL881" i="30"/>
  <c r="AK881" i="30"/>
  <c r="AM880" i="30"/>
  <c r="AL880" i="30"/>
  <c r="AK880" i="30"/>
  <c r="AM879" i="30"/>
  <c r="AL879" i="30"/>
  <c r="AK879" i="30"/>
  <c r="AM878" i="30"/>
  <c r="AL878" i="30"/>
  <c r="AK878" i="30"/>
  <c r="AM877" i="30"/>
  <c r="AL877" i="30"/>
  <c r="AK877" i="30"/>
  <c r="AM876" i="30"/>
  <c r="AL876" i="30"/>
  <c r="AK876" i="30"/>
  <c r="AM875" i="30"/>
  <c r="AL875" i="30"/>
  <c r="AK875" i="30"/>
  <c r="AM874" i="30"/>
  <c r="AL874" i="30"/>
  <c r="AK874" i="30"/>
  <c r="AM873" i="30"/>
  <c r="AL873" i="30"/>
  <c r="AK873" i="30"/>
  <c r="AM872" i="30"/>
  <c r="AL872" i="30"/>
  <c r="AK872" i="30"/>
  <c r="AM871" i="30"/>
  <c r="AL871" i="30"/>
  <c r="AK871" i="30"/>
  <c r="AM870" i="30"/>
  <c r="AL870" i="30"/>
  <c r="AK870" i="30"/>
  <c r="AM869" i="30"/>
  <c r="AL869" i="30"/>
  <c r="AK869" i="30"/>
  <c r="AM868" i="30"/>
  <c r="AL868" i="30"/>
  <c r="AK868" i="30"/>
  <c r="AM867" i="30"/>
  <c r="AL867" i="30"/>
  <c r="AK867" i="30"/>
  <c r="AM866" i="30"/>
  <c r="AL866" i="30"/>
  <c r="AK866" i="30"/>
  <c r="AM865" i="30"/>
  <c r="AL865" i="30"/>
  <c r="AK865" i="30"/>
  <c r="AM864" i="30"/>
  <c r="AL864" i="30"/>
  <c r="AK864" i="30"/>
  <c r="AM863" i="30"/>
  <c r="AL863" i="30"/>
  <c r="AK863" i="30"/>
  <c r="AM862" i="30"/>
  <c r="AL862" i="30"/>
  <c r="AK862" i="30"/>
  <c r="AM861" i="30"/>
  <c r="AL861" i="30"/>
  <c r="AK861" i="30"/>
  <c r="AM860" i="30"/>
  <c r="AL860" i="30"/>
  <c r="AK860" i="30"/>
  <c r="AM859" i="30"/>
  <c r="AL859" i="30"/>
  <c r="AK859" i="30"/>
  <c r="AM858" i="30"/>
  <c r="AL858" i="30"/>
  <c r="AK858" i="30"/>
  <c r="AM857" i="30"/>
  <c r="AL857" i="30"/>
  <c r="AK857" i="30"/>
  <c r="AM856" i="30"/>
  <c r="AL856" i="30"/>
  <c r="AK856" i="30"/>
  <c r="AM855" i="30"/>
  <c r="AL855" i="30"/>
  <c r="AK855" i="30"/>
  <c r="AM854" i="30"/>
  <c r="AL854" i="30"/>
  <c r="AK854" i="30"/>
  <c r="AM853" i="30"/>
  <c r="AL853" i="30"/>
  <c r="AK853" i="30"/>
  <c r="AM852" i="30"/>
  <c r="AL852" i="30"/>
  <c r="AK852" i="30"/>
  <c r="AM851" i="30"/>
  <c r="AL851" i="30"/>
  <c r="AK851" i="30"/>
  <c r="AM850" i="30"/>
  <c r="AL850" i="30"/>
  <c r="AK850" i="30"/>
  <c r="AM849" i="30"/>
  <c r="AL849" i="30"/>
  <c r="AK849" i="30"/>
  <c r="AM848" i="30"/>
  <c r="AL848" i="30"/>
  <c r="AK848" i="30"/>
  <c r="AM847" i="30"/>
  <c r="AL847" i="30"/>
  <c r="AK847" i="30"/>
  <c r="AM846" i="30"/>
  <c r="AL846" i="30"/>
  <c r="AK846" i="30"/>
  <c r="AM845" i="30"/>
  <c r="AL845" i="30"/>
  <c r="AK845" i="30"/>
  <c r="AM844" i="30"/>
  <c r="AL844" i="30"/>
  <c r="AK844" i="30"/>
  <c r="AM843" i="30"/>
  <c r="AL843" i="30"/>
  <c r="AK843" i="30"/>
  <c r="AM842" i="30"/>
  <c r="AL842" i="30"/>
  <c r="AK842" i="30"/>
  <c r="AM841" i="30"/>
  <c r="AL841" i="30"/>
  <c r="AK841" i="30"/>
  <c r="AM840" i="30"/>
  <c r="AL840" i="30"/>
  <c r="AK840" i="30"/>
  <c r="AM839" i="30"/>
  <c r="AL839" i="30"/>
  <c r="AK839" i="30"/>
  <c r="AM838" i="30"/>
  <c r="AL838" i="30"/>
  <c r="AK838" i="30"/>
  <c r="AM837" i="30"/>
  <c r="AL837" i="30"/>
  <c r="AK837" i="30"/>
  <c r="AM836" i="30"/>
  <c r="AL836" i="30"/>
  <c r="AK836" i="30"/>
  <c r="AM835" i="30"/>
  <c r="AL835" i="30"/>
  <c r="AK835" i="30"/>
  <c r="AM834" i="30"/>
  <c r="AL834" i="30"/>
  <c r="AK834" i="30"/>
  <c r="AM833" i="30"/>
  <c r="AL833" i="30"/>
  <c r="AK833" i="30"/>
  <c r="AM832" i="30"/>
  <c r="AL832" i="30"/>
  <c r="AK832" i="30"/>
  <c r="AM831" i="30"/>
  <c r="AL831" i="30"/>
  <c r="AK831" i="30"/>
  <c r="AM830" i="30"/>
  <c r="AL830" i="30"/>
  <c r="AK830" i="30"/>
  <c r="AM829" i="30"/>
  <c r="AL829" i="30"/>
  <c r="AK829" i="30"/>
  <c r="AM828" i="30"/>
  <c r="AL828" i="30"/>
  <c r="AK828" i="30"/>
  <c r="AM827" i="30"/>
  <c r="AL827" i="30"/>
  <c r="AK827" i="30"/>
  <c r="AM826" i="30"/>
  <c r="AL826" i="30"/>
  <c r="AK826" i="30"/>
  <c r="AM825" i="30"/>
  <c r="AL825" i="30"/>
  <c r="AK825" i="30"/>
  <c r="AM824" i="30"/>
  <c r="AL824" i="30"/>
  <c r="AK824" i="30"/>
  <c r="AM823" i="30"/>
  <c r="AL823" i="30"/>
  <c r="AK823" i="30"/>
  <c r="AM822" i="30"/>
  <c r="AL822" i="30"/>
  <c r="AK822" i="30"/>
  <c r="AM821" i="30"/>
  <c r="AL821" i="30"/>
  <c r="AK821" i="30"/>
  <c r="AM820" i="30"/>
  <c r="AL820" i="30"/>
  <c r="AK820" i="30"/>
  <c r="AM819" i="30"/>
  <c r="AL819" i="30"/>
  <c r="AK819" i="30"/>
  <c r="AM818" i="30"/>
  <c r="AL818" i="30"/>
  <c r="AK818" i="30"/>
  <c r="AM817" i="30"/>
  <c r="AL817" i="30"/>
  <c r="AK817" i="30"/>
  <c r="AM816" i="30"/>
  <c r="AL816" i="30"/>
  <c r="AK816" i="30"/>
  <c r="AM815" i="30"/>
  <c r="AL815" i="30"/>
  <c r="AK815" i="30"/>
  <c r="AM814" i="30"/>
  <c r="AL814" i="30"/>
  <c r="AK814" i="30"/>
  <c r="AM813" i="30"/>
  <c r="AL813" i="30"/>
  <c r="AK813" i="30"/>
  <c r="AM812" i="30"/>
  <c r="AL812" i="30"/>
  <c r="AK812" i="30"/>
  <c r="AM811" i="30"/>
  <c r="AL811" i="30"/>
  <c r="AK811" i="30"/>
  <c r="AM810" i="30"/>
  <c r="AL810" i="30"/>
  <c r="AK810" i="30"/>
  <c r="AM809" i="30"/>
  <c r="AL809" i="30"/>
  <c r="AK809" i="30"/>
  <c r="AM808" i="30"/>
  <c r="AL808" i="30"/>
  <c r="AK808" i="30"/>
  <c r="AM807" i="30"/>
  <c r="AL807" i="30"/>
  <c r="AK807" i="30"/>
  <c r="AM806" i="30"/>
  <c r="AL806" i="30"/>
  <c r="AK806" i="30"/>
  <c r="AM805" i="30"/>
  <c r="AL805" i="30"/>
  <c r="AK805" i="30"/>
  <c r="AM804" i="30"/>
  <c r="AL804" i="30"/>
  <c r="AK804" i="30"/>
  <c r="AM803" i="30"/>
  <c r="AL803" i="30"/>
  <c r="AK803" i="30"/>
  <c r="AM802" i="30"/>
  <c r="AL802" i="30"/>
  <c r="AK802" i="30"/>
  <c r="AM801" i="30"/>
  <c r="AL801" i="30"/>
  <c r="AK801" i="30"/>
  <c r="AM800" i="30"/>
  <c r="AL800" i="30"/>
  <c r="AK800" i="30"/>
  <c r="AM799" i="30"/>
  <c r="AL799" i="30"/>
  <c r="AK799" i="30"/>
  <c r="AM798" i="30"/>
  <c r="AL798" i="30"/>
  <c r="AK798" i="30"/>
  <c r="AM797" i="30"/>
  <c r="AL797" i="30"/>
  <c r="AK797" i="30"/>
  <c r="AM796" i="30"/>
  <c r="AL796" i="30"/>
  <c r="AK796" i="30"/>
  <c r="AM795" i="30"/>
  <c r="AL795" i="30"/>
  <c r="AK795" i="30"/>
  <c r="AM794" i="30"/>
  <c r="AL794" i="30"/>
  <c r="AK794" i="30"/>
  <c r="AM793" i="30"/>
  <c r="AL793" i="30"/>
  <c r="AK793" i="30"/>
  <c r="AM792" i="30"/>
  <c r="AL792" i="30"/>
  <c r="AK792" i="30"/>
  <c r="AM791" i="30"/>
  <c r="AL791" i="30"/>
  <c r="AK791" i="30"/>
  <c r="AM790" i="30"/>
  <c r="AL790" i="30"/>
  <c r="AK790" i="30"/>
  <c r="AM789" i="30"/>
  <c r="AL789" i="30"/>
  <c r="AK789" i="30"/>
  <c r="AM788" i="30"/>
  <c r="AL788" i="30"/>
  <c r="AK788" i="30"/>
  <c r="AM787" i="30"/>
  <c r="AL787" i="30"/>
  <c r="AK787" i="30"/>
  <c r="AM786" i="30"/>
  <c r="AL786" i="30"/>
  <c r="AK786" i="30"/>
  <c r="AM785" i="30"/>
  <c r="AL785" i="30"/>
  <c r="AK785" i="30"/>
  <c r="AM784" i="30"/>
  <c r="AL784" i="30"/>
  <c r="AK784" i="30"/>
  <c r="AM783" i="30"/>
  <c r="AL783" i="30"/>
  <c r="AK783" i="30"/>
  <c r="AM782" i="30"/>
  <c r="AL782" i="30"/>
  <c r="AK782" i="30"/>
  <c r="AM781" i="30"/>
  <c r="AL781" i="30"/>
  <c r="AK781" i="30"/>
  <c r="AM780" i="30"/>
  <c r="AL780" i="30"/>
  <c r="AK780" i="30"/>
  <c r="AM779" i="30"/>
  <c r="AL779" i="30"/>
  <c r="AK779" i="30"/>
  <c r="AM778" i="30"/>
  <c r="AL778" i="30"/>
  <c r="AK778" i="30"/>
  <c r="AM777" i="30"/>
  <c r="AL777" i="30"/>
  <c r="AK777" i="30"/>
  <c r="AM776" i="30"/>
  <c r="AL776" i="30"/>
  <c r="AK776" i="30"/>
  <c r="AM775" i="30"/>
  <c r="AL775" i="30"/>
  <c r="AK775" i="30"/>
  <c r="AM774" i="30"/>
  <c r="AL774" i="30"/>
  <c r="AK774" i="30"/>
  <c r="AM773" i="30"/>
  <c r="AL773" i="30"/>
  <c r="AK773" i="30"/>
  <c r="AM772" i="30"/>
  <c r="AL772" i="30"/>
  <c r="AK772" i="30"/>
  <c r="AM771" i="30"/>
  <c r="AL771" i="30"/>
  <c r="AK771" i="30"/>
  <c r="AM770" i="30"/>
  <c r="AL770" i="30"/>
  <c r="AK770" i="30"/>
  <c r="AM769" i="30"/>
  <c r="AL769" i="30"/>
  <c r="AK769" i="30"/>
  <c r="AM768" i="30"/>
  <c r="AL768" i="30"/>
  <c r="AK768" i="30"/>
  <c r="AM767" i="30"/>
  <c r="AL767" i="30"/>
  <c r="AK767" i="30"/>
  <c r="AM766" i="30"/>
  <c r="AL766" i="30"/>
  <c r="AK766" i="30"/>
  <c r="AM765" i="30"/>
  <c r="AL765" i="30"/>
  <c r="AK765" i="30"/>
  <c r="AM764" i="30"/>
  <c r="AL764" i="30"/>
  <c r="AK764" i="30"/>
  <c r="AM763" i="30"/>
  <c r="AL763" i="30"/>
  <c r="AK763" i="30"/>
  <c r="AM762" i="30"/>
  <c r="AL762" i="30"/>
  <c r="AK762" i="30"/>
  <c r="AM761" i="30"/>
  <c r="AL761" i="30"/>
  <c r="AK761" i="30"/>
  <c r="AM760" i="30"/>
  <c r="AL760" i="30"/>
  <c r="AK760" i="30"/>
  <c r="AM759" i="30"/>
  <c r="AL759" i="30"/>
  <c r="AK759" i="30"/>
  <c r="AM758" i="30"/>
  <c r="AL758" i="30"/>
  <c r="AK758" i="30"/>
  <c r="AM757" i="30"/>
  <c r="AL757" i="30"/>
  <c r="AK757" i="30"/>
  <c r="AM756" i="30"/>
  <c r="AL756" i="30"/>
  <c r="AK756" i="30"/>
  <c r="AM755" i="30"/>
  <c r="AL755" i="30"/>
  <c r="AK755" i="30"/>
  <c r="AM754" i="30"/>
  <c r="AL754" i="30"/>
  <c r="AK754" i="30"/>
  <c r="AM753" i="30"/>
  <c r="AL753" i="30"/>
  <c r="AK753" i="30"/>
  <c r="AM752" i="30"/>
  <c r="AL752" i="30"/>
  <c r="AK752" i="30"/>
  <c r="AM751" i="30"/>
  <c r="AL751" i="30"/>
  <c r="AK751" i="30"/>
  <c r="AM750" i="30"/>
  <c r="AL750" i="30"/>
  <c r="AK750" i="30"/>
  <c r="AM749" i="30"/>
  <c r="AL749" i="30"/>
  <c r="AK749" i="30"/>
  <c r="AM748" i="30"/>
  <c r="AL748" i="30"/>
  <c r="AK748" i="30"/>
  <c r="AM747" i="30"/>
  <c r="AL747" i="30"/>
  <c r="AK747" i="30"/>
  <c r="AM746" i="30"/>
  <c r="AL746" i="30"/>
  <c r="AK746" i="30"/>
  <c r="AM745" i="30"/>
  <c r="AL745" i="30"/>
  <c r="AK745" i="30"/>
  <c r="AM744" i="30"/>
  <c r="AL744" i="30"/>
  <c r="AK744" i="30"/>
  <c r="AM743" i="30"/>
  <c r="AL743" i="30"/>
  <c r="AK743" i="30"/>
  <c r="AM742" i="30"/>
  <c r="AL742" i="30"/>
  <c r="AK742" i="30"/>
  <c r="AM741" i="30"/>
  <c r="AL741" i="30"/>
  <c r="AK741" i="30"/>
  <c r="AM740" i="30"/>
  <c r="AL740" i="30"/>
  <c r="AK740" i="30"/>
  <c r="AM739" i="30"/>
  <c r="AL739" i="30"/>
  <c r="AK739" i="30"/>
  <c r="AM738" i="30"/>
  <c r="AL738" i="30"/>
  <c r="AK738" i="30"/>
  <c r="AM737" i="30"/>
  <c r="AL737" i="30"/>
  <c r="AK737" i="30"/>
  <c r="AM736" i="30"/>
  <c r="AL736" i="30"/>
  <c r="AK736" i="30"/>
  <c r="AM735" i="30"/>
  <c r="AL735" i="30"/>
  <c r="AK735" i="30"/>
  <c r="AM734" i="30"/>
  <c r="AL734" i="30"/>
  <c r="AK734" i="30"/>
  <c r="AM733" i="30"/>
  <c r="AL733" i="30"/>
  <c r="AK733" i="30"/>
  <c r="AM732" i="30"/>
  <c r="AL732" i="30"/>
  <c r="AK732" i="30"/>
  <c r="AM731" i="30"/>
  <c r="AL731" i="30"/>
  <c r="AK731" i="30"/>
  <c r="AM730" i="30"/>
  <c r="AL730" i="30"/>
  <c r="AK730" i="30"/>
  <c r="AM729" i="30"/>
  <c r="AL729" i="30"/>
  <c r="AK729" i="30"/>
  <c r="AM728" i="30"/>
  <c r="AL728" i="30"/>
  <c r="AK728" i="30"/>
  <c r="AM727" i="30"/>
  <c r="AL727" i="30"/>
  <c r="AK727" i="30"/>
  <c r="AM726" i="30"/>
  <c r="AL726" i="30"/>
  <c r="AK726" i="30"/>
  <c r="AM725" i="30"/>
  <c r="AL725" i="30"/>
  <c r="AK725" i="30"/>
  <c r="AM724" i="30"/>
  <c r="AL724" i="30"/>
  <c r="AK724" i="30"/>
  <c r="AM723" i="30"/>
  <c r="AL723" i="30"/>
  <c r="AK723" i="30"/>
  <c r="AM722" i="30"/>
  <c r="AL722" i="30"/>
  <c r="AK722" i="30"/>
  <c r="AM721" i="30"/>
  <c r="AL721" i="30"/>
  <c r="AK721" i="30"/>
  <c r="AM720" i="30"/>
  <c r="AL720" i="30"/>
  <c r="AK720" i="30"/>
  <c r="AM719" i="30"/>
  <c r="AL719" i="30"/>
  <c r="AK719" i="30"/>
  <c r="AM718" i="30"/>
  <c r="AL718" i="30"/>
  <c r="AK718" i="30"/>
  <c r="AM717" i="30"/>
  <c r="AL717" i="30"/>
  <c r="AK717" i="30"/>
  <c r="AM716" i="30"/>
  <c r="AL716" i="30"/>
  <c r="AK716" i="30"/>
  <c r="AM715" i="30"/>
  <c r="AL715" i="30"/>
  <c r="AK715" i="30"/>
  <c r="AM714" i="30"/>
  <c r="AL714" i="30"/>
  <c r="AK714" i="30"/>
  <c r="AM713" i="30"/>
  <c r="AL713" i="30"/>
  <c r="AK713" i="30"/>
  <c r="AM712" i="30"/>
  <c r="AL712" i="30"/>
  <c r="AK712" i="30"/>
  <c r="AM711" i="30"/>
  <c r="AL711" i="30"/>
  <c r="AK711" i="30"/>
  <c r="AM710" i="30"/>
  <c r="AL710" i="30"/>
  <c r="AK710" i="30"/>
  <c r="AM709" i="30"/>
  <c r="AL709" i="30"/>
  <c r="AK709" i="30"/>
  <c r="AM708" i="30"/>
  <c r="AL708" i="30"/>
  <c r="AK708" i="30"/>
  <c r="AM707" i="30"/>
  <c r="AL707" i="30"/>
  <c r="AK707" i="30"/>
  <c r="AM706" i="30"/>
  <c r="AL706" i="30"/>
  <c r="AK706" i="30"/>
  <c r="AM705" i="30"/>
  <c r="AL705" i="30"/>
  <c r="AK705" i="30"/>
  <c r="AM704" i="30"/>
  <c r="AL704" i="30"/>
  <c r="AK704" i="30"/>
  <c r="AM703" i="30"/>
  <c r="AL703" i="30"/>
  <c r="AK703" i="30"/>
  <c r="AM702" i="30"/>
  <c r="AL702" i="30"/>
  <c r="AK702" i="30"/>
  <c r="AM701" i="30"/>
  <c r="AL701" i="30"/>
  <c r="AK701" i="30"/>
  <c r="AM700" i="30"/>
  <c r="AL700" i="30"/>
  <c r="AK700" i="30"/>
  <c r="AM699" i="30"/>
  <c r="AL699" i="30"/>
  <c r="AK699" i="30"/>
  <c r="AM698" i="30"/>
  <c r="AL698" i="30"/>
  <c r="AK698" i="30"/>
  <c r="AM697" i="30"/>
  <c r="AL697" i="30"/>
  <c r="AK697" i="30"/>
  <c r="AM696" i="30"/>
  <c r="AL696" i="30"/>
  <c r="AK696" i="30"/>
  <c r="AM695" i="30"/>
  <c r="AL695" i="30"/>
  <c r="AK695" i="30"/>
  <c r="AM694" i="30"/>
  <c r="AL694" i="30"/>
  <c r="AK694" i="30"/>
  <c r="AM693" i="30"/>
  <c r="AL693" i="30"/>
  <c r="AK693" i="30"/>
  <c r="AM692" i="30"/>
  <c r="AL692" i="30"/>
  <c r="AK692" i="30"/>
  <c r="AM691" i="30"/>
  <c r="AL691" i="30"/>
  <c r="AK691" i="30"/>
  <c r="AM690" i="30"/>
  <c r="AL690" i="30"/>
  <c r="AK690" i="30"/>
  <c r="AM689" i="30"/>
  <c r="AL689" i="30"/>
  <c r="AK689" i="30"/>
  <c r="AM688" i="30"/>
  <c r="AL688" i="30"/>
  <c r="AK688" i="30"/>
  <c r="AM687" i="30"/>
  <c r="AL687" i="30"/>
  <c r="AK687" i="30"/>
  <c r="AM686" i="30"/>
  <c r="AL686" i="30"/>
  <c r="AK686" i="30"/>
  <c r="AM685" i="30"/>
  <c r="AL685" i="30"/>
  <c r="AK685" i="30"/>
  <c r="AM684" i="30"/>
  <c r="AL684" i="30"/>
  <c r="AK684" i="30"/>
  <c r="AM683" i="30"/>
  <c r="AL683" i="30"/>
  <c r="AK683" i="30"/>
  <c r="AM682" i="30"/>
  <c r="AL682" i="30"/>
  <c r="AK682" i="30"/>
  <c r="AM681" i="30"/>
  <c r="AL681" i="30"/>
  <c r="AK681" i="30"/>
  <c r="AM680" i="30"/>
  <c r="AL680" i="30"/>
  <c r="AK680" i="30"/>
  <c r="AM679" i="30"/>
  <c r="AL679" i="30"/>
  <c r="AK679" i="30"/>
  <c r="AM678" i="30"/>
  <c r="AL678" i="30"/>
  <c r="AK678" i="30"/>
  <c r="AM677" i="30"/>
  <c r="AL677" i="30"/>
  <c r="AK677" i="30"/>
  <c r="AM676" i="30"/>
  <c r="AL676" i="30"/>
  <c r="AK676" i="30"/>
  <c r="AM675" i="30"/>
  <c r="AL675" i="30"/>
  <c r="AK675" i="30"/>
  <c r="AM674" i="30"/>
  <c r="AL674" i="30"/>
  <c r="AK674" i="30"/>
  <c r="AM673" i="30"/>
  <c r="AL673" i="30"/>
  <c r="AK673" i="30"/>
  <c r="AM672" i="30"/>
  <c r="AL672" i="30"/>
  <c r="AK672" i="30"/>
  <c r="AM671" i="30"/>
  <c r="AL671" i="30"/>
  <c r="AK671" i="30"/>
  <c r="AM670" i="30"/>
  <c r="AL670" i="30"/>
  <c r="AK670" i="30"/>
  <c r="AM669" i="30"/>
  <c r="AL669" i="30"/>
  <c r="AK669" i="30"/>
  <c r="AM668" i="30"/>
  <c r="AL668" i="30"/>
  <c r="AK668" i="30"/>
  <c r="AM667" i="30"/>
  <c r="AL667" i="30"/>
  <c r="AK667" i="30"/>
  <c r="AM666" i="30"/>
  <c r="AL666" i="30"/>
  <c r="AK666" i="30"/>
  <c r="AM665" i="30"/>
  <c r="AL665" i="30"/>
  <c r="AK665" i="30"/>
  <c r="AM664" i="30"/>
  <c r="AL664" i="30"/>
  <c r="AK664" i="30"/>
  <c r="AM663" i="30"/>
  <c r="AL663" i="30"/>
  <c r="AK663" i="30"/>
  <c r="AM662" i="30"/>
  <c r="AL662" i="30"/>
  <c r="AK662" i="30"/>
  <c r="AM661" i="30"/>
  <c r="AL661" i="30"/>
  <c r="AK661" i="30"/>
  <c r="AM660" i="30"/>
  <c r="AL660" i="30"/>
  <c r="AK660" i="30"/>
  <c r="AM659" i="30"/>
  <c r="AL659" i="30"/>
  <c r="AK659" i="30"/>
  <c r="AM658" i="30"/>
  <c r="AL658" i="30"/>
  <c r="AK658" i="30"/>
  <c r="AM657" i="30"/>
  <c r="AL657" i="30"/>
  <c r="AK657" i="30"/>
  <c r="AM656" i="30"/>
  <c r="AL656" i="30"/>
  <c r="AK656" i="30"/>
  <c r="AM655" i="30"/>
  <c r="AL655" i="30"/>
  <c r="AK655" i="30"/>
  <c r="AM654" i="30"/>
  <c r="AL654" i="30"/>
  <c r="AK654" i="30"/>
  <c r="AM653" i="30"/>
  <c r="AL653" i="30"/>
  <c r="AK653" i="30"/>
  <c r="AM652" i="30"/>
  <c r="AL652" i="30"/>
  <c r="AK652" i="30"/>
  <c r="AM651" i="30"/>
  <c r="AL651" i="30"/>
  <c r="AK651" i="30"/>
  <c r="AM650" i="30"/>
  <c r="AL650" i="30"/>
  <c r="AK650" i="30"/>
  <c r="AM649" i="30"/>
  <c r="AL649" i="30"/>
  <c r="AK649" i="30"/>
  <c r="AM648" i="30"/>
  <c r="AL648" i="30"/>
  <c r="AK648" i="30"/>
  <c r="AM647" i="30"/>
  <c r="AL647" i="30"/>
  <c r="AK647" i="30"/>
  <c r="AM646" i="30"/>
  <c r="AL646" i="30"/>
  <c r="AK646" i="30"/>
  <c r="AM645" i="30"/>
  <c r="AL645" i="30"/>
  <c r="AK645" i="30"/>
  <c r="AM644" i="30"/>
  <c r="AL644" i="30"/>
  <c r="AK644" i="30"/>
  <c r="AM643" i="30"/>
  <c r="AL643" i="30"/>
  <c r="AK643" i="30"/>
  <c r="AM642" i="30"/>
  <c r="AL642" i="30"/>
  <c r="AK642" i="30"/>
  <c r="AM641" i="30"/>
  <c r="AL641" i="30"/>
  <c r="AK641" i="30"/>
  <c r="AM640" i="30"/>
  <c r="AL640" i="30"/>
  <c r="AK640" i="30"/>
  <c r="AM639" i="30"/>
  <c r="AL639" i="30"/>
  <c r="AK639" i="30"/>
  <c r="AM638" i="30"/>
  <c r="AL638" i="30"/>
  <c r="AK638" i="30"/>
  <c r="AM637" i="30"/>
  <c r="AL637" i="30"/>
  <c r="AK637" i="30"/>
  <c r="AM636" i="30"/>
  <c r="AL636" i="30"/>
  <c r="AK636" i="30"/>
  <c r="AM635" i="30"/>
  <c r="AL635" i="30"/>
  <c r="AK635" i="30"/>
  <c r="AM634" i="30"/>
  <c r="AL634" i="30"/>
  <c r="AK634" i="30"/>
  <c r="AM633" i="30"/>
  <c r="AL633" i="30"/>
  <c r="AK633" i="30"/>
  <c r="AM632" i="30"/>
  <c r="AL632" i="30"/>
  <c r="AK632" i="30"/>
  <c r="AM631" i="30"/>
  <c r="AL631" i="30"/>
  <c r="AK631" i="30"/>
  <c r="AM630" i="30"/>
  <c r="AL630" i="30"/>
  <c r="AK630" i="30"/>
  <c r="AM629" i="30"/>
  <c r="AL629" i="30"/>
  <c r="AK629" i="30"/>
  <c r="AM628" i="30"/>
  <c r="AL628" i="30"/>
  <c r="AK628" i="30"/>
  <c r="AM627" i="30"/>
  <c r="AL627" i="30"/>
  <c r="AK627" i="30"/>
  <c r="AM626" i="30"/>
  <c r="AL626" i="30"/>
  <c r="AK626" i="30"/>
  <c r="AM625" i="30"/>
  <c r="AL625" i="30"/>
  <c r="AK625" i="30"/>
  <c r="AM624" i="30"/>
  <c r="AL624" i="30"/>
  <c r="AK624" i="30"/>
  <c r="AM623" i="30"/>
  <c r="AL623" i="30"/>
  <c r="AK623" i="30"/>
  <c r="AM622" i="30"/>
  <c r="AL622" i="30"/>
  <c r="AK622" i="30"/>
  <c r="AM621" i="30"/>
  <c r="AL621" i="30"/>
  <c r="AK621" i="30"/>
  <c r="AM620" i="30"/>
  <c r="AL620" i="30"/>
  <c r="AK620" i="30"/>
  <c r="AM619" i="30"/>
  <c r="AL619" i="30"/>
  <c r="AK619" i="30"/>
  <c r="AM618" i="30"/>
  <c r="AL618" i="30"/>
  <c r="AK618" i="30"/>
  <c r="AM617" i="30"/>
  <c r="AL617" i="30"/>
  <c r="AK617" i="30"/>
  <c r="AM616" i="30"/>
  <c r="AL616" i="30"/>
  <c r="AK616" i="30"/>
  <c r="AM615" i="30"/>
  <c r="AL615" i="30"/>
  <c r="AK615" i="30"/>
  <c r="AM614" i="30"/>
  <c r="AL614" i="30"/>
  <c r="AK614" i="30"/>
  <c r="AM613" i="30"/>
  <c r="AL613" i="30"/>
  <c r="AK613" i="30"/>
  <c r="AM612" i="30"/>
  <c r="AL612" i="30"/>
  <c r="AK612" i="30"/>
  <c r="AM611" i="30"/>
  <c r="AL611" i="30"/>
  <c r="AK611" i="30"/>
  <c r="AM610" i="30"/>
  <c r="AL610" i="30"/>
  <c r="AK610" i="30"/>
  <c r="AM609" i="30"/>
  <c r="AL609" i="30"/>
  <c r="AK609" i="30"/>
  <c r="AM608" i="30"/>
  <c r="AL608" i="30"/>
  <c r="AK608" i="30"/>
  <c r="AM607" i="30"/>
  <c r="AL607" i="30"/>
  <c r="AK607" i="30"/>
  <c r="AM606" i="30"/>
  <c r="AL606" i="30"/>
  <c r="AK606" i="30"/>
  <c r="AM605" i="30"/>
  <c r="AL605" i="30"/>
  <c r="AK605" i="30"/>
  <c r="AM604" i="30"/>
  <c r="AL604" i="30"/>
  <c r="AK604" i="30"/>
  <c r="AM603" i="30"/>
  <c r="AL603" i="30"/>
  <c r="AK603" i="30"/>
  <c r="AM602" i="30"/>
  <c r="AL602" i="30"/>
  <c r="AK602" i="30"/>
  <c r="AM601" i="30"/>
  <c r="AL601" i="30"/>
  <c r="AK601" i="30"/>
  <c r="AM600" i="30"/>
  <c r="AL600" i="30"/>
  <c r="AK600" i="30"/>
  <c r="AM599" i="30"/>
  <c r="AL599" i="30"/>
  <c r="AK599" i="30"/>
  <c r="AM598" i="30"/>
  <c r="AL598" i="30"/>
  <c r="AK598" i="30"/>
  <c r="AM597" i="30"/>
  <c r="AL597" i="30"/>
  <c r="AK597" i="30"/>
  <c r="AM596" i="30"/>
  <c r="AL596" i="30"/>
  <c r="AK596" i="30"/>
  <c r="AM595" i="30"/>
  <c r="AL595" i="30"/>
  <c r="AK595" i="30"/>
  <c r="AM594" i="30"/>
  <c r="AL594" i="30"/>
  <c r="AK594" i="30"/>
  <c r="AM593" i="30"/>
  <c r="AL593" i="30"/>
  <c r="AK593" i="30"/>
  <c r="AM592" i="30"/>
  <c r="AL592" i="30"/>
  <c r="AK592" i="30"/>
  <c r="AM591" i="30"/>
  <c r="AL591" i="30"/>
  <c r="AK591" i="30"/>
  <c r="AM590" i="30"/>
  <c r="AL590" i="30"/>
  <c r="AK590" i="30"/>
  <c r="AM589" i="30"/>
  <c r="AL589" i="30"/>
  <c r="AK589" i="30"/>
  <c r="AM588" i="30"/>
  <c r="AL588" i="30"/>
  <c r="AK588" i="30"/>
  <c r="AM587" i="30"/>
  <c r="AL587" i="30"/>
  <c r="AK587" i="30"/>
  <c r="AM586" i="30"/>
  <c r="AL586" i="30"/>
  <c r="AK586" i="30"/>
  <c r="AM585" i="30"/>
  <c r="AL585" i="30"/>
  <c r="AK585" i="30"/>
  <c r="AM584" i="30"/>
  <c r="AL584" i="30"/>
  <c r="AK584" i="30"/>
  <c r="AM583" i="30"/>
  <c r="AL583" i="30"/>
  <c r="AK583" i="30"/>
  <c r="AM582" i="30"/>
  <c r="AL582" i="30"/>
  <c r="AK582" i="30"/>
  <c r="AM581" i="30"/>
  <c r="AL581" i="30"/>
  <c r="AK581" i="30"/>
  <c r="AM580" i="30"/>
  <c r="AL580" i="30"/>
  <c r="AK580" i="30"/>
  <c r="AM579" i="30"/>
  <c r="AL579" i="30"/>
  <c r="AK579" i="30"/>
  <c r="AM578" i="30"/>
  <c r="AL578" i="30"/>
  <c r="AK578" i="30"/>
  <c r="AM577" i="30"/>
  <c r="AL577" i="30"/>
  <c r="AK577" i="30"/>
  <c r="AM576" i="30"/>
  <c r="AL576" i="30"/>
  <c r="AK576" i="30"/>
  <c r="AM575" i="30"/>
  <c r="AL575" i="30"/>
  <c r="AK575" i="30"/>
  <c r="AM574" i="30"/>
  <c r="AL574" i="30"/>
  <c r="AK574" i="30"/>
  <c r="AM573" i="30"/>
  <c r="AL573" i="30"/>
  <c r="AK573" i="30"/>
  <c r="AM572" i="30"/>
  <c r="AL572" i="30"/>
  <c r="AK572" i="30"/>
  <c r="AM571" i="30"/>
  <c r="AL571" i="30"/>
  <c r="AK571" i="30"/>
  <c r="AM570" i="30"/>
  <c r="AL570" i="30"/>
  <c r="AK570" i="30"/>
  <c r="AM569" i="30"/>
  <c r="AL569" i="30"/>
  <c r="AK569" i="30"/>
  <c r="AM568" i="30"/>
  <c r="AL568" i="30"/>
  <c r="AK568" i="30"/>
  <c r="AM567" i="30"/>
  <c r="AL567" i="30"/>
  <c r="AK567" i="30"/>
  <c r="AM566" i="30"/>
  <c r="AL566" i="30"/>
  <c r="AK566" i="30"/>
  <c r="AM565" i="30"/>
  <c r="AL565" i="30"/>
  <c r="AK565" i="30"/>
  <c r="AM564" i="30"/>
  <c r="AL564" i="30"/>
  <c r="AK564" i="30"/>
  <c r="AM563" i="30"/>
  <c r="AL563" i="30"/>
  <c r="AK563" i="30"/>
  <c r="AM562" i="30"/>
  <c r="AL562" i="30"/>
  <c r="AK562" i="30"/>
  <c r="AM561" i="30"/>
  <c r="AL561" i="30"/>
  <c r="AK561" i="30"/>
  <c r="AM560" i="30"/>
  <c r="AL560" i="30"/>
  <c r="AK560" i="30"/>
  <c r="AM559" i="30"/>
  <c r="AL559" i="30"/>
  <c r="AK559" i="30"/>
  <c r="AM558" i="30"/>
  <c r="AL558" i="30"/>
  <c r="AK558" i="30"/>
  <c r="AM557" i="30"/>
  <c r="AL557" i="30"/>
  <c r="AK557" i="30"/>
  <c r="AM556" i="30"/>
  <c r="AL556" i="30"/>
  <c r="AK556" i="30"/>
  <c r="AM555" i="30"/>
  <c r="AL555" i="30"/>
  <c r="AK555" i="30"/>
  <c r="AM554" i="30"/>
  <c r="AL554" i="30"/>
  <c r="AK554" i="30"/>
  <c r="AM553" i="30"/>
  <c r="AL553" i="30"/>
  <c r="AK553" i="30"/>
  <c r="AM552" i="30"/>
  <c r="AL552" i="30"/>
  <c r="AK552" i="30"/>
  <c r="AM551" i="30"/>
  <c r="AL551" i="30"/>
  <c r="AK551" i="30"/>
  <c r="AM550" i="30"/>
  <c r="AL550" i="30"/>
  <c r="AK550" i="30"/>
  <c r="AM549" i="30"/>
  <c r="AL549" i="30"/>
  <c r="AK549" i="30"/>
  <c r="AM548" i="30"/>
  <c r="AL548" i="30"/>
  <c r="AK548" i="30"/>
  <c r="AM547" i="30"/>
  <c r="AL547" i="30"/>
  <c r="AK547" i="30"/>
  <c r="AM546" i="30"/>
  <c r="AL546" i="30"/>
  <c r="AK546" i="30"/>
  <c r="AM545" i="30"/>
  <c r="AL545" i="30"/>
  <c r="AK545" i="30"/>
  <c r="AM544" i="30"/>
  <c r="AL544" i="30"/>
  <c r="AK544" i="30"/>
  <c r="AM543" i="30"/>
  <c r="AL543" i="30"/>
  <c r="AK543" i="30"/>
  <c r="AM542" i="30"/>
  <c r="AL542" i="30"/>
  <c r="AK542" i="30"/>
  <c r="AM541" i="30"/>
  <c r="AL541" i="30"/>
  <c r="AK541" i="30"/>
  <c r="AM540" i="30"/>
  <c r="AL540" i="30"/>
  <c r="AK540" i="30"/>
  <c r="AM539" i="30"/>
  <c r="AL539" i="30"/>
  <c r="AK539" i="30"/>
  <c r="AM538" i="30"/>
  <c r="AL538" i="30"/>
  <c r="AK538" i="30"/>
  <c r="AM537" i="30"/>
  <c r="AL537" i="30"/>
  <c r="AK537" i="30"/>
  <c r="AM536" i="30"/>
  <c r="AL536" i="30"/>
  <c r="AK536" i="30"/>
  <c r="AM535" i="30"/>
  <c r="AL535" i="30"/>
  <c r="AK535" i="30"/>
  <c r="AM534" i="30"/>
  <c r="AL534" i="30"/>
  <c r="AK534" i="30"/>
  <c r="AM533" i="30"/>
  <c r="AL533" i="30"/>
  <c r="AK533" i="30"/>
  <c r="AM532" i="30"/>
  <c r="AL532" i="30"/>
  <c r="AK532" i="30"/>
  <c r="AM531" i="30"/>
  <c r="AL531" i="30"/>
  <c r="AK531" i="30"/>
  <c r="AM530" i="30"/>
  <c r="AL530" i="30"/>
  <c r="AK530" i="30"/>
  <c r="AM529" i="30"/>
  <c r="AL529" i="30"/>
  <c r="AK529" i="30"/>
  <c r="AM528" i="30"/>
  <c r="AL528" i="30"/>
  <c r="AK528" i="30"/>
  <c r="AM527" i="30"/>
  <c r="AL527" i="30"/>
  <c r="AK527" i="30"/>
  <c r="AM526" i="30"/>
  <c r="AL526" i="30"/>
  <c r="AK526" i="30"/>
  <c r="AM525" i="30"/>
  <c r="AL525" i="30"/>
  <c r="AK525" i="30"/>
  <c r="AM524" i="30"/>
  <c r="AL524" i="30"/>
  <c r="AK524" i="30"/>
  <c r="AM523" i="30"/>
  <c r="AL523" i="30"/>
  <c r="AK523" i="30"/>
  <c r="AM522" i="30"/>
  <c r="AL522" i="30"/>
  <c r="AK522" i="30"/>
  <c r="AM521" i="30"/>
  <c r="AL521" i="30"/>
  <c r="AK521" i="30"/>
  <c r="AM520" i="30"/>
  <c r="AL520" i="30"/>
  <c r="AK520" i="30"/>
  <c r="AM519" i="30"/>
  <c r="AL519" i="30"/>
  <c r="AK519" i="30"/>
  <c r="AM518" i="30"/>
  <c r="AL518" i="30"/>
  <c r="AK518" i="30"/>
  <c r="AM517" i="30"/>
  <c r="AL517" i="30"/>
  <c r="AK517" i="30"/>
  <c r="AM516" i="30"/>
  <c r="AL516" i="30"/>
  <c r="AK516" i="30"/>
  <c r="AM515" i="30"/>
  <c r="AL515" i="30"/>
  <c r="AK515" i="30"/>
  <c r="AM514" i="30"/>
  <c r="AL514" i="30"/>
  <c r="AK514" i="30"/>
  <c r="AM513" i="30"/>
  <c r="AL513" i="30"/>
  <c r="AK513" i="30"/>
  <c r="AM512" i="30"/>
  <c r="AL512" i="30"/>
  <c r="AK512" i="30"/>
  <c r="AM511" i="30"/>
  <c r="AL511" i="30"/>
  <c r="AK511" i="30"/>
  <c r="AM510" i="30"/>
  <c r="AL510" i="30"/>
  <c r="AK510" i="30"/>
  <c r="AM509" i="30"/>
  <c r="AL509" i="30"/>
  <c r="AK509" i="30"/>
  <c r="AM508" i="30"/>
  <c r="AL508" i="30"/>
  <c r="AK508" i="30"/>
  <c r="AM507" i="30"/>
  <c r="AL507" i="30"/>
  <c r="AK507" i="30"/>
  <c r="AM506" i="30"/>
  <c r="AL506" i="30"/>
  <c r="AK506" i="30"/>
  <c r="AM505" i="30"/>
  <c r="AL505" i="30"/>
  <c r="AK505" i="30"/>
  <c r="AM504" i="30"/>
  <c r="AL504" i="30"/>
  <c r="AK504" i="30"/>
  <c r="AM503" i="30"/>
  <c r="AL503" i="30"/>
  <c r="AK503" i="30"/>
  <c r="AM502" i="30"/>
  <c r="AL502" i="30"/>
  <c r="AK502" i="30"/>
  <c r="AM501" i="30"/>
  <c r="AL501" i="30"/>
  <c r="AK501" i="30"/>
  <c r="AM500" i="30"/>
  <c r="AL500" i="30"/>
  <c r="AK500" i="30"/>
  <c r="AM499" i="30"/>
  <c r="AL499" i="30"/>
  <c r="AK499" i="30"/>
  <c r="AM498" i="30"/>
  <c r="AL498" i="30"/>
  <c r="AK498" i="30"/>
  <c r="AM497" i="30"/>
  <c r="AL497" i="30"/>
  <c r="AK497" i="30"/>
  <c r="AM496" i="30"/>
  <c r="AL496" i="30"/>
  <c r="AK496" i="30"/>
  <c r="AM495" i="30"/>
  <c r="AL495" i="30"/>
  <c r="AK495" i="30"/>
  <c r="AM494" i="30"/>
  <c r="AL494" i="30"/>
  <c r="AK494" i="30"/>
  <c r="AM493" i="30"/>
  <c r="AL493" i="30"/>
  <c r="AK493" i="30"/>
  <c r="AM492" i="30"/>
  <c r="AL492" i="30"/>
  <c r="AK492" i="30"/>
  <c r="AM491" i="30"/>
  <c r="AL491" i="30"/>
  <c r="AK491" i="30"/>
  <c r="AM490" i="30"/>
  <c r="AL490" i="30"/>
  <c r="AK490" i="30"/>
  <c r="AM489" i="30"/>
  <c r="AL489" i="30"/>
  <c r="AK489" i="30"/>
  <c r="AM488" i="30"/>
  <c r="AL488" i="30"/>
  <c r="AK488" i="30"/>
  <c r="AM487" i="30"/>
  <c r="AL487" i="30"/>
  <c r="AK487" i="30"/>
  <c r="AM486" i="30"/>
  <c r="AL486" i="30"/>
  <c r="AK486" i="30"/>
  <c r="AM485" i="30"/>
  <c r="AL485" i="30"/>
  <c r="AK485" i="30"/>
  <c r="AM484" i="30"/>
  <c r="AL484" i="30"/>
  <c r="AK484" i="30"/>
  <c r="AM483" i="30"/>
  <c r="AL483" i="30"/>
  <c r="AK483" i="30"/>
  <c r="AM482" i="30"/>
  <c r="AL482" i="30"/>
  <c r="AK482" i="30"/>
  <c r="AM481" i="30"/>
  <c r="AL481" i="30"/>
  <c r="AK481" i="30"/>
  <c r="AM480" i="30"/>
  <c r="AL480" i="30"/>
  <c r="AK480" i="30"/>
  <c r="AM479" i="30"/>
  <c r="AL479" i="30"/>
  <c r="AK479" i="30"/>
  <c r="AM478" i="30"/>
  <c r="AL478" i="30"/>
  <c r="AK478" i="30"/>
  <c r="AM477" i="30"/>
  <c r="AL477" i="30"/>
  <c r="AK477" i="30"/>
  <c r="AM476" i="30"/>
  <c r="AL476" i="30"/>
  <c r="AK476" i="30"/>
  <c r="AM475" i="30"/>
  <c r="AL475" i="30"/>
  <c r="AK475" i="30"/>
  <c r="AM474" i="30"/>
  <c r="AL474" i="30"/>
  <c r="AK474" i="30"/>
  <c r="AM473" i="30"/>
  <c r="AL473" i="30"/>
  <c r="AK473" i="30"/>
  <c r="AM472" i="30"/>
  <c r="AL472" i="30"/>
  <c r="AK472" i="30"/>
  <c r="AM471" i="30"/>
  <c r="AL471" i="30"/>
  <c r="AK471" i="30"/>
  <c r="AM470" i="30"/>
  <c r="AL470" i="30"/>
  <c r="AK470" i="30"/>
  <c r="AM469" i="30"/>
  <c r="AL469" i="30"/>
  <c r="AK469" i="30"/>
  <c r="AM468" i="30"/>
  <c r="AL468" i="30"/>
  <c r="AK468" i="30"/>
  <c r="AM467" i="30"/>
  <c r="AL467" i="30"/>
  <c r="AK467" i="30"/>
  <c r="AM466" i="30"/>
  <c r="AL466" i="30"/>
  <c r="AK466" i="30"/>
  <c r="AM465" i="30"/>
  <c r="AL465" i="30"/>
  <c r="AK465" i="30"/>
  <c r="AM464" i="30"/>
  <c r="AL464" i="30"/>
  <c r="AK464" i="30"/>
  <c r="AM463" i="30"/>
  <c r="AL463" i="30"/>
  <c r="AK463" i="30"/>
  <c r="AM462" i="30"/>
  <c r="AL462" i="30"/>
  <c r="AK462" i="30"/>
  <c r="AM461" i="30"/>
  <c r="AL461" i="30"/>
  <c r="AK461" i="30"/>
  <c r="AM460" i="30"/>
  <c r="AL460" i="30"/>
  <c r="AK460" i="30"/>
  <c r="AM459" i="30"/>
  <c r="AL459" i="30"/>
  <c r="AK459" i="30"/>
  <c r="AM458" i="30"/>
  <c r="AL458" i="30"/>
  <c r="AK458" i="30"/>
  <c r="AM457" i="30"/>
  <c r="AL457" i="30"/>
  <c r="AK457" i="30"/>
  <c r="AM456" i="30"/>
  <c r="AL456" i="30"/>
  <c r="AK456" i="30"/>
  <c r="AM455" i="30"/>
  <c r="AL455" i="30"/>
  <c r="AK455" i="30"/>
  <c r="AM454" i="30"/>
  <c r="AL454" i="30"/>
  <c r="AK454" i="30"/>
  <c r="AM453" i="30"/>
  <c r="AL453" i="30"/>
  <c r="AK453" i="30"/>
  <c r="AM452" i="30"/>
  <c r="AL452" i="30"/>
  <c r="AK452" i="30"/>
  <c r="AM451" i="30"/>
  <c r="AL451" i="30"/>
  <c r="AK451" i="30"/>
  <c r="AM450" i="30"/>
  <c r="AL450" i="30"/>
  <c r="AK450" i="30"/>
  <c r="AM449" i="30"/>
  <c r="AL449" i="30"/>
  <c r="AK449" i="30"/>
  <c r="AM448" i="30"/>
  <c r="AL448" i="30"/>
  <c r="AK448" i="30"/>
  <c r="AM447" i="30"/>
  <c r="AL447" i="30"/>
  <c r="AK447" i="30"/>
  <c r="AM446" i="30"/>
  <c r="AL446" i="30"/>
  <c r="AK446" i="30"/>
  <c r="AM445" i="30"/>
  <c r="AL445" i="30"/>
  <c r="AK445" i="30"/>
  <c r="AM444" i="30"/>
  <c r="AL444" i="30"/>
  <c r="AK444" i="30"/>
  <c r="AM443" i="30"/>
  <c r="AL443" i="30"/>
  <c r="AK443" i="30"/>
  <c r="AM442" i="30"/>
  <c r="AL442" i="30"/>
  <c r="AK442" i="30"/>
  <c r="AM441" i="30"/>
  <c r="AL441" i="30"/>
  <c r="AK441" i="30"/>
  <c r="AM440" i="30"/>
  <c r="AL440" i="30"/>
  <c r="AK440" i="30"/>
  <c r="AM439" i="30"/>
  <c r="AL439" i="30"/>
  <c r="AK439" i="30"/>
  <c r="AM438" i="30"/>
  <c r="AL438" i="30"/>
  <c r="AK438" i="30"/>
  <c r="AM437" i="30"/>
  <c r="AL437" i="30"/>
  <c r="AK437" i="30"/>
  <c r="AM436" i="30"/>
  <c r="AL436" i="30"/>
  <c r="AK436" i="30"/>
  <c r="AM435" i="30"/>
  <c r="AL435" i="30"/>
  <c r="AK435" i="30"/>
  <c r="AM434" i="30"/>
  <c r="AL434" i="30"/>
  <c r="AK434" i="30"/>
  <c r="AM433" i="30"/>
  <c r="AL433" i="30"/>
  <c r="AK433" i="30"/>
  <c r="AM432" i="30"/>
  <c r="AL432" i="30"/>
  <c r="AK432" i="30"/>
  <c r="AM431" i="30"/>
  <c r="AL431" i="30"/>
  <c r="AK431" i="30"/>
  <c r="AM430" i="30"/>
  <c r="AL430" i="30"/>
  <c r="AK430" i="30"/>
  <c r="AM429" i="30"/>
  <c r="AL429" i="30"/>
  <c r="AK429" i="30"/>
  <c r="AM428" i="30"/>
  <c r="AL428" i="30"/>
  <c r="AK428" i="30"/>
  <c r="AM427" i="30"/>
  <c r="AL427" i="30"/>
  <c r="AK427" i="30"/>
  <c r="AM426" i="30"/>
  <c r="AL426" i="30"/>
  <c r="AK426" i="30"/>
  <c r="AM425" i="30"/>
  <c r="AL425" i="30"/>
  <c r="AK425" i="30"/>
  <c r="AM424" i="30"/>
  <c r="AL424" i="30"/>
  <c r="AK424" i="30"/>
  <c r="AM423" i="30"/>
  <c r="AL423" i="30"/>
  <c r="AK423" i="30"/>
  <c r="AM422" i="30"/>
  <c r="AL422" i="30"/>
  <c r="AK422" i="30"/>
  <c r="AM421" i="30"/>
  <c r="AL421" i="30"/>
  <c r="AK421" i="30"/>
  <c r="AM420" i="30"/>
  <c r="AL420" i="30"/>
  <c r="AK420" i="30"/>
  <c r="AM419" i="30"/>
  <c r="AL419" i="30"/>
  <c r="AK419" i="30"/>
  <c r="AM418" i="30"/>
  <c r="AL418" i="30"/>
  <c r="AK418" i="30"/>
  <c r="AM417" i="30"/>
  <c r="AL417" i="30"/>
  <c r="AK417" i="30"/>
  <c r="AM416" i="30"/>
  <c r="AL416" i="30"/>
  <c r="AK416" i="30"/>
  <c r="AM415" i="30"/>
  <c r="AL415" i="30"/>
  <c r="AK415" i="30"/>
  <c r="AM414" i="30"/>
  <c r="AL414" i="30"/>
  <c r="AK414" i="30"/>
  <c r="AM413" i="30"/>
  <c r="AL413" i="30"/>
  <c r="AK413" i="30"/>
  <c r="AM412" i="30"/>
  <c r="AL412" i="30"/>
  <c r="AK412" i="30"/>
  <c r="AM411" i="30"/>
  <c r="AL411" i="30"/>
  <c r="AK411" i="30"/>
  <c r="AM410" i="30"/>
  <c r="AL410" i="30"/>
  <c r="AK410" i="30"/>
  <c r="AM409" i="30"/>
  <c r="AL409" i="30"/>
  <c r="AK409" i="30"/>
  <c r="AM408" i="30"/>
  <c r="AL408" i="30"/>
  <c r="AK408" i="30"/>
  <c r="AM407" i="30"/>
  <c r="AL407" i="30"/>
  <c r="AK407" i="30"/>
  <c r="AM406" i="30"/>
  <c r="AL406" i="30"/>
  <c r="AK406" i="30"/>
  <c r="AM405" i="30"/>
  <c r="AL405" i="30"/>
  <c r="AK405" i="30"/>
  <c r="AM404" i="30"/>
  <c r="AL404" i="30"/>
  <c r="AK404" i="30"/>
  <c r="AM403" i="30"/>
  <c r="AL403" i="30"/>
  <c r="AK403" i="30"/>
  <c r="AM402" i="30"/>
  <c r="AL402" i="30"/>
  <c r="AK402" i="30"/>
  <c r="AM401" i="30"/>
  <c r="AL401" i="30"/>
  <c r="AK401" i="30"/>
  <c r="AM400" i="30"/>
  <c r="AL400" i="30"/>
  <c r="AK400" i="30"/>
  <c r="AM399" i="30"/>
  <c r="AL399" i="30"/>
  <c r="AK399" i="30"/>
  <c r="AM398" i="30"/>
  <c r="AL398" i="30"/>
  <c r="AK398" i="30"/>
  <c r="AM397" i="30"/>
  <c r="AL397" i="30"/>
  <c r="AK397" i="30"/>
  <c r="AM396" i="30"/>
  <c r="AL396" i="30"/>
  <c r="AK396" i="30"/>
  <c r="AM395" i="30"/>
  <c r="AL395" i="30"/>
  <c r="AK395" i="30"/>
  <c r="AM394" i="30"/>
  <c r="AL394" i="30"/>
  <c r="AK394" i="30"/>
  <c r="AM393" i="30"/>
  <c r="AL393" i="30"/>
  <c r="AK393" i="30"/>
  <c r="AM392" i="30"/>
  <c r="AL392" i="30"/>
  <c r="AK392" i="30"/>
  <c r="AM391" i="30"/>
  <c r="AL391" i="30"/>
  <c r="AK391" i="30"/>
  <c r="AM390" i="30"/>
  <c r="AL390" i="30"/>
  <c r="AK390" i="30"/>
  <c r="AM389" i="30"/>
  <c r="AL389" i="30"/>
  <c r="AK389" i="30"/>
  <c r="AM388" i="30"/>
  <c r="AL388" i="30"/>
  <c r="AK388" i="30"/>
  <c r="AM387" i="30"/>
  <c r="AL387" i="30"/>
  <c r="AK387" i="30"/>
  <c r="AM386" i="30"/>
  <c r="AL386" i="30"/>
  <c r="AK386" i="30"/>
  <c r="AM385" i="30"/>
  <c r="AL385" i="30"/>
  <c r="AK385" i="30"/>
  <c r="AM384" i="30"/>
  <c r="AL384" i="30"/>
  <c r="AK384" i="30"/>
  <c r="AM383" i="30"/>
  <c r="AL383" i="30"/>
  <c r="AK383" i="30"/>
  <c r="AM382" i="30"/>
  <c r="AL382" i="30"/>
  <c r="AK382" i="30"/>
  <c r="AM381" i="30"/>
  <c r="AL381" i="30"/>
  <c r="AK381" i="30"/>
  <c r="AM380" i="30"/>
  <c r="AL380" i="30"/>
  <c r="AK380" i="30"/>
  <c r="AM379" i="30"/>
  <c r="AL379" i="30"/>
  <c r="AK379" i="30"/>
  <c r="AM378" i="30"/>
  <c r="AL378" i="30"/>
  <c r="AK378" i="30"/>
  <c r="AM377" i="30"/>
  <c r="AL377" i="30"/>
  <c r="AK377" i="30"/>
  <c r="AM376" i="30"/>
  <c r="AL376" i="30"/>
  <c r="AK376" i="30"/>
  <c r="AM375" i="30"/>
  <c r="AL375" i="30"/>
  <c r="AK375" i="30"/>
  <c r="AM374" i="30"/>
  <c r="AL374" i="30"/>
  <c r="AK374" i="30"/>
  <c r="AM373" i="30"/>
  <c r="AL373" i="30"/>
  <c r="AK373" i="30"/>
  <c r="AM372" i="30"/>
  <c r="AL372" i="30"/>
  <c r="AK372" i="30"/>
  <c r="AM371" i="30"/>
  <c r="AL371" i="30"/>
  <c r="AK371" i="30"/>
  <c r="AM370" i="30"/>
  <c r="AL370" i="30"/>
  <c r="AK370" i="30"/>
  <c r="AM369" i="30"/>
  <c r="AL369" i="30"/>
  <c r="AK369" i="30"/>
  <c r="AM368" i="30"/>
  <c r="AL368" i="30"/>
  <c r="AK368" i="30"/>
  <c r="AM367" i="30"/>
  <c r="AL367" i="30"/>
  <c r="AK367" i="30"/>
  <c r="AM366" i="30"/>
  <c r="AL366" i="30"/>
  <c r="AK366" i="30"/>
  <c r="AM365" i="30"/>
  <c r="AL365" i="30"/>
  <c r="AK365" i="30"/>
  <c r="AM364" i="30"/>
  <c r="AL364" i="30"/>
  <c r="AK364" i="30"/>
  <c r="AM363" i="30"/>
  <c r="AL363" i="30"/>
  <c r="AK363" i="30"/>
  <c r="AM362" i="30"/>
  <c r="AL362" i="30"/>
  <c r="AK362" i="30"/>
  <c r="AM361" i="30"/>
  <c r="AL361" i="30"/>
  <c r="AK361" i="30"/>
  <c r="AM360" i="30"/>
  <c r="AL360" i="30"/>
  <c r="AK360" i="30"/>
  <c r="AM359" i="30"/>
  <c r="AL359" i="30"/>
  <c r="AK359" i="30"/>
  <c r="AM358" i="30"/>
  <c r="AL358" i="30"/>
  <c r="AK358" i="30"/>
  <c r="AM357" i="30"/>
  <c r="AL357" i="30"/>
  <c r="AK357" i="30"/>
  <c r="AM356" i="30"/>
  <c r="AL356" i="30"/>
  <c r="AK356" i="30"/>
  <c r="AM355" i="30"/>
  <c r="AL355" i="30"/>
  <c r="AK355" i="30"/>
  <c r="AM354" i="30"/>
  <c r="AL354" i="30"/>
  <c r="AK354" i="30"/>
  <c r="AM353" i="30"/>
  <c r="AL353" i="30"/>
  <c r="AK353" i="30"/>
  <c r="AM352" i="30"/>
  <c r="AL352" i="30"/>
  <c r="AK352" i="30"/>
  <c r="AM351" i="30"/>
  <c r="AL351" i="30"/>
  <c r="AK351" i="30"/>
  <c r="AM350" i="30"/>
  <c r="AL350" i="30"/>
  <c r="AK350" i="30"/>
  <c r="AM349" i="30"/>
  <c r="AL349" i="30"/>
  <c r="AK349" i="30"/>
  <c r="AM348" i="30"/>
  <c r="AL348" i="30"/>
  <c r="AK348" i="30"/>
  <c r="AM347" i="30"/>
  <c r="AL347" i="30"/>
  <c r="AK347" i="30"/>
  <c r="AM346" i="30"/>
  <c r="AL346" i="30"/>
  <c r="AK346" i="30"/>
  <c r="AM345" i="30"/>
  <c r="AL345" i="30"/>
  <c r="AK345" i="30"/>
  <c r="AM344" i="30"/>
  <c r="AL344" i="30"/>
  <c r="AK344" i="30"/>
  <c r="AM343" i="30"/>
  <c r="AL343" i="30"/>
  <c r="AK343" i="30"/>
  <c r="AM342" i="30"/>
  <c r="AL342" i="30"/>
  <c r="AK342" i="30"/>
  <c r="AM341" i="30"/>
  <c r="AL341" i="30"/>
  <c r="AK341" i="30"/>
  <c r="AM340" i="30"/>
  <c r="AL340" i="30"/>
  <c r="AK340" i="30"/>
  <c r="AM339" i="30"/>
  <c r="AL339" i="30"/>
  <c r="AK339" i="30"/>
  <c r="AM338" i="30"/>
  <c r="AL338" i="30"/>
  <c r="AK338" i="30"/>
  <c r="AM337" i="30"/>
  <c r="AL337" i="30"/>
  <c r="AK337" i="30"/>
  <c r="AM336" i="30"/>
  <c r="AL336" i="30"/>
  <c r="AK336" i="30"/>
  <c r="AM335" i="30"/>
  <c r="AL335" i="30"/>
  <c r="AK335" i="30"/>
  <c r="AM334" i="30"/>
  <c r="AL334" i="30"/>
  <c r="AK334" i="30"/>
  <c r="AM333" i="30"/>
  <c r="AL333" i="30"/>
  <c r="AK333" i="30"/>
  <c r="AM332" i="30"/>
  <c r="AL332" i="30"/>
  <c r="AK332" i="30"/>
  <c r="AM331" i="30"/>
  <c r="AL331" i="30"/>
  <c r="AK331" i="30"/>
  <c r="AM330" i="30"/>
  <c r="AL330" i="30"/>
  <c r="AK330" i="30"/>
  <c r="AM329" i="30"/>
  <c r="AL329" i="30"/>
  <c r="AK329" i="30"/>
  <c r="AM328" i="30"/>
  <c r="AL328" i="30"/>
  <c r="AK328" i="30"/>
  <c r="AM327" i="30"/>
  <c r="AL327" i="30"/>
  <c r="AK327" i="30"/>
  <c r="AM326" i="30"/>
  <c r="AL326" i="30"/>
  <c r="AK326" i="30"/>
  <c r="AM325" i="30"/>
  <c r="AL325" i="30"/>
  <c r="AK325" i="30"/>
  <c r="AM324" i="30"/>
  <c r="AL324" i="30"/>
  <c r="AK324" i="30"/>
  <c r="AM323" i="30"/>
  <c r="AL323" i="30"/>
  <c r="AK323" i="30"/>
  <c r="AM322" i="30"/>
  <c r="AL322" i="30"/>
  <c r="AK322" i="30"/>
  <c r="AM321" i="30"/>
  <c r="AL321" i="30"/>
  <c r="AK321" i="30"/>
  <c r="AM320" i="30"/>
  <c r="AL320" i="30"/>
  <c r="AK320" i="30"/>
  <c r="AM319" i="30"/>
  <c r="AL319" i="30"/>
  <c r="AK319" i="30"/>
  <c r="AM318" i="30"/>
  <c r="AL318" i="30"/>
  <c r="AK318" i="30"/>
  <c r="AM317" i="30"/>
  <c r="AL317" i="30"/>
  <c r="AK317" i="30"/>
  <c r="AM316" i="30"/>
  <c r="AL316" i="30"/>
  <c r="AK316" i="30"/>
  <c r="AM315" i="30"/>
  <c r="AL315" i="30"/>
  <c r="AK315" i="30"/>
  <c r="AM314" i="30"/>
  <c r="AL314" i="30"/>
  <c r="AK314" i="30"/>
  <c r="AM313" i="30"/>
  <c r="AL313" i="30"/>
  <c r="AK313" i="30"/>
  <c r="AM312" i="30"/>
  <c r="AL312" i="30"/>
  <c r="AK312" i="30"/>
  <c r="AM311" i="30"/>
  <c r="AL311" i="30"/>
  <c r="AK311" i="30"/>
  <c r="AM310" i="30"/>
  <c r="AL310" i="30"/>
  <c r="AK310" i="30"/>
  <c r="AM309" i="30"/>
  <c r="AL309" i="30"/>
  <c r="AK309" i="30"/>
  <c r="AM308" i="30"/>
  <c r="AL308" i="30"/>
  <c r="AK308" i="30"/>
  <c r="AM307" i="30"/>
  <c r="AL307" i="30"/>
  <c r="AK307" i="30"/>
  <c r="AM306" i="30"/>
  <c r="AL306" i="30"/>
  <c r="AK306" i="30"/>
  <c r="AM305" i="30"/>
  <c r="AL305" i="30"/>
  <c r="AK305" i="30"/>
  <c r="AM304" i="30"/>
  <c r="AL304" i="30"/>
  <c r="AK304" i="30"/>
  <c r="AM303" i="30"/>
  <c r="AL303" i="30"/>
  <c r="AK303" i="30"/>
  <c r="AM302" i="30"/>
  <c r="AL302" i="30"/>
  <c r="AK302" i="30"/>
  <c r="AM301" i="30"/>
  <c r="AL301" i="30"/>
  <c r="AK301" i="30"/>
  <c r="AM300" i="30"/>
  <c r="AL300" i="30"/>
  <c r="AK300" i="30"/>
  <c r="AM299" i="30"/>
  <c r="AL299" i="30"/>
  <c r="AK299" i="30"/>
  <c r="AM298" i="30"/>
  <c r="AL298" i="30"/>
  <c r="AK298" i="30"/>
  <c r="AM297" i="30"/>
  <c r="AL297" i="30"/>
  <c r="AK297" i="30"/>
  <c r="AM296" i="30"/>
  <c r="AL296" i="30"/>
  <c r="AK296" i="30"/>
  <c r="AM295" i="30"/>
  <c r="AL295" i="30"/>
  <c r="AK295" i="30"/>
  <c r="AM294" i="30"/>
  <c r="AL294" i="30"/>
  <c r="AK294" i="30"/>
  <c r="AM293" i="30"/>
  <c r="AL293" i="30"/>
  <c r="AK293" i="30"/>
  <c r="AM292" i="30"/>
  <c r="AL292" i="30"/>
  <c r="AK292" i="30"/>
  <c r="AM291" i="30"/>
  <c r="AL291" i="30"/>
  <c r="AK291" i="30"/>
  <c r="AM290" i="30"/>
  <c r="AL290" i="30"/>
  <c r="AK290" i="30"/>
  <c r="AM289" i="30"/>
  <c r="AL289" i="30"/>
  <c r="AK289" i="30"/>
  <c r="AM288" i="30"/>
  <c r="AL288" i="30"/>
  <c r="AK288" i="30"/>
  <c r="AM287" i="30"/>
  <c r="AL287" i="30"/>
  <c r="AK287" i="30"/>
  <c r="AM286" i="30"/>
  <c r="AL286" i="30"/>
  <c r="AK286" i="30"/>
  <c r="AM285" i="30"/>
  <c r="AL285" i="30"/>
  <c r="AK285" i="30"/>
  <c r="AM284" i="30"/>
  <c r="AL284" i="30"/>
  <c r="AK284" i="30"/>
  <c r="AM283" i="30"/>
  <c r="AL283" i="30"/>
  <c r="AK283" i="30"/>
  <c r="AM282" i="30"/>
  <c r="AL282" i="30"/>
  <c r="AK282" i="30"/>
  <c r="AM281" i="30"/>
  <c r="AL281" i="30"/>
  <c r="AK281" i="30"/>
  <c r="AM280" i="30"/>
  <c r="AL280" i="30"/>
  <c r="AK280" i="30"/>
  <c r="AM279" i="30"/>
  <c r="AL279" i="30"/>
  <c r="AK279" i="30"/>
  <c r="AM278" i="30"/>
  <c r="AL278" i="30"/>
  <c r="AK278" i="30"/>
  <c r="AM277" i="30"/>
  <c r="AL277" i="30"/>
  <c r="AK277" i="30"/>
  <c r="AM276" i="30"/>
  <c r="AL276" i="30"/>
  <c r="AK276" i="30"/>
  <c r="AM275" i="30"/>
  <c r="AL275" i="30"/>
  <c r="AK275" i="30"/>
  <c r="AM274" i="30"/>
  <c r="AL274" i="30"/>
  <c r="AK274" i="30"/>
  <c r="AM273" i="30"/>
  <c r="AL273" i="30"/>
  <c r="AK273" i="30"/>
  <c r="AM272" i="30"/>
  <c r="AL272" i="30"/>
  <c r="AK272" i="30"/>
  <c r="AM271" i="30"/>
  <c r="AL271" i="30"/>
  <c r="AK271" i="30"/>
  <c r="AM270" i="30"/>
  <c r="AL270" i="30"/>
  <c r="AK270" i="30"/>
  <c r="AM269" i="30"/>
  <c r="AL269" i="30"/>
  <c r="AK269" i="30"/>
  <c r="AM268" i="30"/>
  <c r="AL268" i="30"/>
  <c r="AK268" i="30"/>
  <c r="AM267" i="30"/>
  <c r="AL267" i="30"/>
  <c r="AK267" i="30"/>
  <c r="AM266" i="30"/>
  <c r="AL266" i="30"/>
  <c r="AK266" i="30"/>
  <c r="AM265" i="30"/>
  <c r="AL265" i="30"/>
  <c r="AK265" i="30"/>
  <c r="AM264" i="30"/>
  <c r="AL264" i="30"/>
  <c r="AK264" i="30"/>
  <c r="AM263" i="30"/>
  <c r="AL263" i="30"/>
  <c r="AK263" i="30"/>
  <c r="AM262" i="30"/>
  <c r="AL262" i="30"/>
  <c r="AK262" i="30"/>
  <c r="AM261" i="30"/>
  <c r="AL261" i="30"/>
  <c r="AK261" i="30"/>
  <c r="AM260" i="30"/>
  <c r="AL260" i="30"/>
  <c r="AK260" i="30"/>
  <c r="AM259" i="30"/>
  <c r="AL259" i="30"/>
  <c r="AK259" i="30"/>
  <c r="AM258" i="30"/>
  <c r="AL258" i="30"/>
  <c r="AK258" i="30"/>
  <c r="AM257" i="30"/>
  <c r="AL257" i="30"/>
  <c r="AK257" i="30"/>
  <c r="AM256" i="30"/>
  <c r="AL256" i="30"/>
  <c r="AK256" i="30"/>
  <c r="AM255" i="30"/>
  <c r="AL255" i="30"/>
  <c r="AK255" i="30"/>
  <c r="AM254" i="30"/>
  <c r="AL254" i="30"/>
  <c r="AK254" i="30"/>
  <c r="AM253" i="30"/>
  <c r="AL253" i="30"/>
  <c r="AK253" i="30"/>
  <c r="AM252" i="30"/>
  <c r="AL252" i="30"/>
  <c r="AK252" i="30"/>
  <c r="AM251" i="30"/>
  <c r="AL251" i="30"/>
  <c r="AK251" i="30"/>
  <c r="AM250" i="30"/>
  <c r="AL250" i="30"/>
  <c r="AK250" i="30"/>
  <c r="AM249" i="30"/>
  <c r="AL249" i="30"/>
  <c r="AK249" i="30"/>
  <c r="AM248" i="30"/>
  <c r="AL248" i="30"/>
  <c r="AK248" i="30"/>
  <c r="AM247" i="30"/>
  <c r="AL247" i="30"/>
  <c r="AK247" i="30"/>
  <c r="AM246" i="30"/>
  <c r="AL246" i="30"/>
  <c r="AK246" i="30"/>
  <c r="AM245" i="30"/>
  <c r="AL245" i="30"/>
  <c r="AK245" i="30"/>
  <c r="AM244" i="30"/>
  <c r="AL244" i="30"/>
  <c r="AK244" i="30"/>
  <c r="AM243" i="30"/>
  <c r="AL243" i="30"/>
  <c r="AK243" i="30"/>
  <c r="AM242" i="30"/>
  <c r="AL242" i="30"/>
  <c r="AK242" i="30"/>
  <c r="AM241" i="30"/>
  <c r="AL241" i="30"/>
  <c r="AK241" i="30"/>
  <c r="AM240" i="30"/>
  <c r="AL240" i="30"/>
  <c r="AK240" i="30"/>
  <c r="AM239" i="30"/>
  <c r="AL239" i="30"/>
  <c r="AK239" i="30"/>
  <c r="AM238" i="30"/>
  <c r="AL238" i="30"/>
  <c r="AK238" i="30"/>
  <c r="AM237" i="30"/>
  <c r="AL237" i="30"/>
  <c r="AK237" i="30"/>
  <c r="AM236" i="30"/>
  <c r="AL236" i="30"/>
  <c r="AK236" i="30"/>
  <c r="AM235" i="30"/>
  <c r="AL235" i="30"/>
  <c r="AK235" i="30"/>
  <c r="AM234" i="30"/>
  <c r="AL234" i="30"/>
  <c r="AK234" i="30"/>
  <c r="AM233" i="30"/>
  <c r="AL233" i="30"/>
  <c r="AK233" i="30"/>
  <c r="AM232" i="30"/>
  <c r="AL232" i="30"/>
  <c r="AK232" i="30"/>
  <c r="AM231" i="30"/>
  <c r="AL231" i="30"/>
  <c r="AK231" i="30"/>
  <c r="AM230" i="30"/>
  <c r="AL230" i="30"/>
  <c r="AK230" i="30"/>
  <c r="AM229" i="30"/>
  <c r="AL229" i="30"/>
  <c r="AK229" i="30"/>
  <c r="AM228" i="30"/>
  <c r="AL228" i="30"/>
  <c r="AK228" i="30"/>
  <c r="AM227" i="30"/>
  <c r="AL227" i="30"/>
  <c r="AK227" i="30"/>
  <c r="AM226" i="30"/>
  <c r="AL226" i="30"/>
  <c r="AK226" i="30"/>
  <c r="AM225" i="30"/>
  <c r="AL225" i="30"/>
  <c r="AK225" i="30"/>
  <c r="AM224" i="30"/>
  <c r="AL224" i="30"/>
  <c r="AK224" i="30"/>
  <c r="AM223" i="30"/>
  <c r="AL223" i="30"/>
  <c r="AK223" i="30"/>
  <c r="AM222" i="30"/>
  <c r="AL222" i="30"/>
  <c r="AK222" i="30"/>
  <c r="AM221" i="30"/>
  <c r="AL221" i="30"/>
  <c r="AK221" i="30"/>
  <c r="AM220" i="30"/>
  <c r="AL220" i="30"/>
  <c r="AK220" i="30"/>
  <c r="AM219" i="30"/>
  <c r="AL219" i="30"/>
  <c r="AK219" i="30"/>
  <c r="AM218" i="30"/>
  <c r="AL218" i="30"/>
  <c r="AK218" i="30"/>
  <c r="AM217" i="30"/>
  <c r="AL217" i="30"/>
  <c r="AK217" i="30"/>
  <c r="AM216" i="30"/>
  <c r="AL216" i="30"/>
  <c r="AK216" i="30"/>
  <c r="AM215" i="30"/>
  <c r="AL215" i="30"/>
  <c r="AK215" i="30"/>
  <c r="AM214" i="30"/>
  <c r="AL214" i="30"/>
  <c r="AK214" i="30"/>
  <c r="AM213" i="30"/>
  <c r="AL213" i="30"/>
  <c r="AK213" i="30"/>
  <c r="AM212" i="30"/>
  <c r="AL212" i="30"/>
  <c r="AK212" i="30"/>
  <c r="AM211" i="30"/>
  <c r="AL211" i="30"/>
  <c r="AK211" i="30"/>
  <c r="AM210" i="30"/>
  <c r="AL210" i="30"/>
  <c r="AK210" i="30"/>
  <c r="AM209" i="30"/>
  <c r="AL209" i="30"/>
  <c r="AK209" i="30"/>
  <c r="AM208" i="30"/>
  <c r="AL208" i="30"/>
  <c r="AK208" i="30"/>
  <c r="AM207" i="30"/>
  <c r="AL207" i="30"/>
  <c r="AK207" i="30"/>
  <c r="AM206" i="30"/>
  <c r="AL206" i="30"/>
  <c r="AK206" i="30"/>
  <c r="AM205" i="30"/>
  <c r="AL205" i="30"/>
  <c r="AK205" i="30"/>
  <c r="AM204" i="30"/>
  <c r="AL204" i="30"/>
  <c r="AK204" i="30"/>
  <c r="AM203" i="30"/>
  <c r="AL203" i="30"/>
  <c r="AK203" i="30"/>
  <c r="AM202" i="30"/>
  <c r="AL202" i="30"/>
  <c r="AK202" i="30"/>
  <c r="AM201" i="30"/>
  <c r="AL201" i="30"/>
  <c r="AK201" i="30"/>
  <c r="AM200" i="30"/>
  <c r="AL200" i="30"/>
  <c r="AK200" i="30"/>
  <c r="AM199" i="30"/>
  <c r="AL199" i="30"/>
  <c r="AK199" i="30"/>
  <c r="AM198" i="30"/>
  <c r="AL198" i="30"/>
  <c r="AK198" i="30"/>
  <c r="AM197" i="30"/>
  <c r="AL197" i="30"/>
  <c r="AK197" i="30"/>
  <c r="AM196" i="30"/>
  <c r="AL196" i="30"/>
  <c r="AK196" i="30"/>
  <c r="AM195" i="30"/>
  <c r="AL195" i="30"/>
  <c r="AK195" i="30"/>
  <c r="AM194" i="30"/>
  <c r="AL194" i="30"/>
  <c r="AK194" i="30"/>
  <c r="AM193" i="30"/>
  <c r="AL193" i="30"/>
  <c r="AK193" i="30"/>
  <c r="AM192" i="30"/>
  <c r="AL192" i="30"/>
  <c r="AK192" i="30"/>
  <c r="AM191" i="30"/>
  <c r="AL191" i="30"/>
  <c r="AK191" i="30"/>
  <c r="AM190" i="30"/>
  <c r="AL190" i="30"/>
  <c r="AK190" i="30"/>
  <c r="AM189" i="30"/>
  <c r="AL189" i="30"/>
  <c r="AK189" i="30"/>
  <c r="AM188" i="30"/>
  <c r="AL188" i="30"/>
  <c r="AK188" i="30"/>
  <c r="AM187" i="30"/>
  <c r="AL187" i="30"/>
  <c r="AK187" i="30"/>
  <c r="AM186" i="30"/>
  <c r="AL186" i="30"/>
  <c r="AK186" i="30"/>
  <c r="AM185" i="30"/>
  <c r="AL185" i="30"/>
  <c r="AK185" i="30"/>
  <c r="AM184" i="30"/>
  <c r="AL184" i="30"/>
  <c r="AK184" i="30"/>
  <c r="AM183" i="30"/>
  <c r="AL183" i="30"/>
  <c r="AK183" i="30"/>
  <c r="AM182" i="30"/>
  <c r="AL182" i="30"/>
  <c r="AK182" i="30"/>
  <c r="AM181" i="30"/>
  <c r="AL181" i="30"/>
  <c r="AK181" i="30"/>
  <c r="AM180" i="30"/>
  <c r="AL180" i="30"/>
  <c r="AK180" i="30"/>
  <c r="AM179" i="30"/>
  <c r="AL179" i="30"/>
  <c r="AK179" i="30"/>
  <c r="AM178" i="30"/>
  <c r="AL178" i="30"/>
  <c r="AK178" i="30"/>
  <c r="AM177" i="30"/>
  <c r="AL177" i="30"/>
  <c r="AK177" i="30"/>
  <c r="AM176" i="30"/>
  <c r="AL176" i="30"/>
  <c r="AK176" i="30"/>
  <c r="AM175" i="30"/>
  <c r="AL175" i="30"/>
  <c r="AK175" i="30"/>
  <c r="AM174" i="30"/>
  <c r="AL174" i="30"/>
  <c r="AK174" i="30"/>
  <c r="AM173" i="30"/>
  <c r="AL173" i="30"/>
  <c r="AK173" i="30"/>
  <c r="AM172" i="30"/>
  <c r="AL172" i="30"/>
  <c r="AK172" i="30"/>
  <c r="AM171" i="30"/>
  <c r="AL171" i="30"/>
  <c r="AK171" i="30"/>
  <c r="AM170" i="30"/>
  <c r="AL170" i="30"/>
  <c r="AK170" i="30"/>
  <c r="AM169" i="30"/>
  <c r="AL169" i="30"/>
  <c r="AK169" i="30"/>
  <c r="AM168" i="30"/>
  <c r="AL168" i="30"/>
  <c r="AK168" i="30"/>
  <c r="AM167" i="30"/>
  <c r="AL167" i="30"/>
  <c r="AK167" i="30"/>
  <c r="AM166" i="30"/>
  <c r="AL166" i="30"/>
  <c r="AK166" i="30"/>
  <c r="AM165" i="30"/>
  <c r="AL165" i="30"/>
  <c r="AK165" i="30"/>
  <c r="AM164" i="30"/>
  <c r="AL164" i="30"/>
  <c r="AK164" i="30"/>
  <c r="A805" i="27" l="1"/>
  <c r="B806" i="27"/>
  <c r="B178" i="27"/>
  <c r="A177" i="27"/>
  <c r="A310" i="27"/>
  <c r="B311" i="27"/>
  <c r="A1083" i="27"/>
  <c r="B1084" i="27"/>
  <c r="A935" i="27"/>
  <c r="B936" i="27"/>
  <c r="B479" i="27"/>
  <c r="A478" i="27"/>
  <c r="A656" i="27"/>
  <c r="B657" i="27"/>
  <c r="D992" i="30"/>
  <c r="D991" i="30"/>
  <c r="D990" i="30"/>
  <c r="D989" i="30"/>
  <c r="D988" i="30"/>
  <c r="D987" i="30"/>
  <c r="D986" i="30"/>
  <c r="D985" i="30"/>
  <c r="D984" i="30"/>
  <c r="D983" i="30"/>
  <c r="D982" i="30"/>
  <c r="D981" i="30"/>
  <c r="D980" i="30"/>
  <c r="D979" i="30"/>
  <c r="D978" i="30"/>
  <c r="D977" i="30"/>
  <c r="D976" i="30"/>
  <c r="D975" i="30"/>
  <c r="D974" i="30"/>
  <c r="D973" i="30"/>
  <c r="D972" i="30"/>
  <c r="D971" i="30"/>
  <c r="D970" i="30"/>
  <c r="D969" i="30"/>
  <c r="D968" i="30"/>
  <c r="D967" i="30"/>
  <c r="D966" i="30"/>
  <c r="D965" i="30"/>
  <c r="D964" i="30"/>
  <c r="D963" i="30"/>
  <c r="D962" i="30"/>
  <c r="D961" i="30"/>
  <c r="D960" i="30"/>
  <c r="D959" i="30"/>
  <c r="D958" i="30"/>
  <c r="D957" i="30"/>
  <c r="D956" i="30"/>
  <c r="D955" i="30"/>
  <c r="D954" i="30"/>
  <c r="D953" i="30"/>
  <c r="D952" i="30"/>
  <c r="D951" i="30"/>
  <c r="D950" i="30"/>
  <c r="D949" i="30"/>
  <c r="D948" i="30"/>
  <c r="D947" i="30"/>
  <c r="D946" i="30"/>
  <c r="D945" i="30"/>
  <c r="D944" i="30"/>
  <c r="D943" i="30"/>
  <c r="D942" i="30"/>
  <c r="D941" i="30"/>
  <c r="D940" i="30"/>
  <c r="D939" i="30"/>
  <c r="D938" i="30"/>
  <c r="D937" i="30"/>
  <c r="D936" i="30"/>
  <c r="D935" i="30"/>
  <c r="D934" i="30"/>
  <c r="D933" i="30"/>
  <c r="D932" i="30"/>
  <c r="D931" i="30"/>
  <c r="D930" i="30"/>
  <c r="D929" i="30"/>
  <c r="D928" i="30"/>
  <c r="D927" i="30"/>
  <c r="D926" i="30"/>
  <c r="D925" i="30"/>
  <c r="D924" i="30"/>
  <c r="D923" i="30"/>
  <c r="D922" i="30"/>
  <c r="D921" i="30"/>
  <c r="D920" i="30"/>
  <c r="D919" i="30"/>
  <c r="D918" i="30"/>
  <c r="D917" i="30"/>
  <c r="D916" i="30"/>
  <c r="D915" i="30"/>
  <c r="D914" i="30"/>
  <c r="D913" i="30"/>
  <c r="D912" i="30"/>
  <c r="D911" i="30"/>
  <c r="D910" i="30"/>
  <c r="D909" i="30"/>
  <c r="D908" i="30"/>
  <c r="D907" i="30"/>
  <c r="D906" i="30"/>
  <c r="D905" i="30"/>
  <c r="D904" i="30"/>
  <c r="D903" i="30"/>
  <c r="D902" i="30"/>
  <c r="D901" i="30"/>
  <c r="D900" i="30"/>
  <c r="D899" i="30"/>
  <c r="D898" i="30"/>
  <c r="D897" i="30"/>
  <c r="D896" i="30"/>
  <c r="D895" i="30"/>
  <c r="D894" i="30"/>
  <c r="D893" i="30"/>
  <c r="D892" i="30"/>
  <c r="D891" i="30"/>
  <c r="D890" i="30"/>
  <c r="D889" i="30"/>
  <c r="D888" i="30"/>
  <c r="D887" i="30"/>
  <c r="D886" i="30"/>
  <c r="D885" i="30"/>
  <c r="D884" i="30"/>
  <c r="D883" i="30"/>
  <c r="D882" i="30"/>
  <c r="D881" i="30"/>
  <c r="D880" i="30"/>
  <c r="D879" i="30"/>
  <c r="D878" i="30"/>
  <c r="D877" i="30"/>
  <c r="D876" i="30"/>
  <c r="D875" i="30"/>
  <c r="D874" i="30"/>
  <c r="D873" i="30"/>
  <c r="D872" i="30"/>
  <c r="D871" i="30"/>
  <c r="D870" i="30"/>
  <c r="D869" i="30"/>
  <c r="D868" i="30"/>
  <c r="D867" i="30"/>
  <c r="D866" i="30"/>
  <c r="D865" i="30"/>
  <c r="D864" i="30"/>
  <c r="D863" i="30"/>
  <c r="D862" i="30"/>
  <c r="D861" i="30"/>
  <c r="D860" i="30"/>
  <c r="D859" i="30"/>
  <c r="D858" i="30"/>
  <c r="D857" i="30"/>
  <c r="D856" i="30"/>
  <c r="D855" i="30"/>
  <c r="D854" i="30"/>
  <c r="D853" i="30"/>
  <c r="D852" i="30"/>
  <c r="D851" i="30"/>
  <c r="D850" i="30"/>
  <c r="D849" i="30"/>
  <c r="D848" i="30"/>
  <c r="D847" i="30"/>
  <c r="D846" i="30"/>
  <c r="D845" i="30"/>
  <c r="D844" i="30"/>
  <c r="D843" i="30"/>
  <c r="D842" i="30"/>
  <c r="D841" i="30"/>
  <c r="D840" i="30"/>
  <c r="D839" i="30"/>
  <c r="D838" i="30"/>
  <c r="D837" i="30"/>
  <c r="D836" i="30"/>
  <c r="D835" i="30"/>
  <c r="D834" i="30"/>
  <c r="D833" i="30"/>
  <c r="D832" i="30"/>
  <c r="D831" i="30"/>
  <c r="D830" i="30"/>
  <c r="D829" i="30"/>
  <c r="D828" i="30"/>
  <c r="D827" i="30"/>
  <c r="D826" i="30"/>
  <c r="D825" i="30"/>
  <c r="D824" i="30"/>
  <c r="D823" i="30"/>
  <c r="D822" i="30"/>
  <c r="D821" i="30"/>
  <c r="D820" i="30"/>
  <c r="D819" i="30"/>
  <c r="D818" i="30"/>
  <c r="D817" i="30"/>
  <c r="D816" i="30"/>
  <c r="D815" i="30"/>
  <c r="D814" i="30"/>
  <c r="D813" i="30"/>
  <c r="D812" i="30"/>
  <c r="D811" i="30"/>
  <c r="D810" i="30"/>
  <c r="D809" i="30"/>
  <c r="D808" i="30"/>
  <c r="D807" i="30"/>
  <c r="D806" i="30"/>
  <c r="D805" i="30"/>
  <c r="D804" i="30"/>
  <c r="D803" i="30"/>
  <c r="D802" i="30"/>
  <c r="D801" i="30"/>
  <c r="D800" i="30"/>
  <c r="D799" i="30"/>
  <c r="D798" i="30"/>
  <c r="D797" i="30"/>
  <c r="D796" i="30"/>
  <c r="D795" i="30"/>
  <c r="D794" i="30"/>
  <c r="D793" i="30"/>
  <c r="D792" i="30"/>
  <c r="D791" i="30"/>
  <c r="D790" i="30"/>
  <c r="D789" i="30"/>
  <c r="D788" i="30"/>
  <c r="D787" i="30"/>
  <c r="D786" i="30"/>
  <c r="D785" i="30"/>
  <c r="D784" i="30"/>
  <c r="D783" i="30"/>
  <c r="D782" i="30"/>
  <c r="D781" i="30"/>
  <c r="D780" i="30"/>
  <c r="D779" i="30"/>
  <c r="D778" i="30"/>
  <c r="D777" i="30"/>
  <c r="D776" i="30"/>
  <c r="D775" i="30"/>
  <c r="D774" i="30"/>
  <c r="D773" i="30"/>
  <c r="D772" i="30"/>
  <c r="D771" i="30"/>
  <c r="D770" i="30"/>
  <c r="D769" i="30"/>
  <c r="D768" i="30"/>
  <c r="D767" i="30"/>
  <c r="D766" i="30"/>
  <c r="D765" i="30"/>
  <c r="D764" i="30"/>
  <c r="D763" i="30"/>
  <c r="D762" i="30"/>
  <c r="D761" i="30"/>
  <c r="D760" i="30"/>
  <c r="D759" i="30"/>
  <c r="D758" i="30"/>
  <c r="D757" i="30"/>
  <c r="D756" i="30"/>
  <c r="D755" i="30"/>
  <c r="D754" i="30"/>
  <c r="D753" i="30"/>
  <c r="D752" i="30"/>
  <c r="D751" i="30"/>
  <c r="D750" i="30"/>
  <c r="D749" i="30"/>
  <c r="D748" i="30"/>
  <c r="D747" i="30"/>
  <c r="D746" i="30"/>
  <c r="D745" i="30"/>
  <c r="D744" i="30"/>
  <c r="D743" i="30"/>
  <c r="D742" i="30"/>
  <c r="D741" i="30"/>
  <c r="D740" i="30"/>
  <c r="D739" i="30"/>
  <c r="D738" i="30"/>
  <c r="D737" i="30"/>
  <c r="D736" i="30"/>
  <c r="D735" i="30"/>
  <c r="D734" i="30"/>
  <c r="D733" i="30"/>
  <c r="D732" i="30"/>
  <c r="D731" i="30"/>
  <c r="D730" i="30"/>
  <c r="D729" i="30"/>
  <c r="D728" i="30"/>
  <c r="D727" i="30"/>
  <c r="D726" i="30"/>
  <c r="D725" i="30"/>
  <c r="D724" i="30"/>
  <c r="D723" i="30"/>
  <c r="D722" i="30"/>
  <c r="D721" i="30"/>
  <c r="D720" i="30"/>
  <c r="D719" i="30"/>
  <c r="D718" i="30"/>
  <c r="D717" i="30"/>
  <c r="D716" i="30"/>
  <c r="D715" i="30"/>
  <c r="D714" i="30"/>
  <c r="D713" i="30"/>
  <c r="D712" i="30"/>
  <c r="D711" i="30"/>
  <c r="D710" i="30"/>
  <c r="D709" i="30"/>
  <c r="D708" i="30"/>
  <c r="D707" i="30"/>
  <c r="D706" i="30"/>
  <c r="D705" i="30"/>
  <c r="D704" i="30"/>
  <c r="D703" i="30"/>
  <c r="D702" i="30"/>
  <c r="D701" i="30"/>
  <c r="D700" i="30"/>
  <c r="D699" i="30"/>
  <c r="D698" i="30"/>
  <c r="D697" i="30"/>
  <c r="D696" i="30"/>
  <c r="D695" i="30"/>
  <c r="D694" i="30"/>
  <c r="D693" i="30"/>
  <c r="D692" i="30"/>
  <c r="D691" i="30"/>
  <c r="D690" i="30"/>
  <c r="D689" i="30"/>
  <c r="D688" i="30"/>
  <c r="D687" i="30"/>
  <c r="D686" i="30"/>
  <c r="D685" i="30"/>
  <c r="D684" i="30"/>
  <c r="D683" i="30"/>
  <c r="D682" i="30"/>
  <c r="D681" i="30"/>
  <c r="D680" i="30"/>
  <c r="D679" i="30"/>
  <c r="D678" i="30"/>
  <c r="D677" i="30"/>
  <c r="D676" i="30"/>
  <c r="D675" i="30"/>
  <c r="D674" i="30"/>
  <c r="D673" i="30"/>
  <c r="D672" i="30"/>
  <c r="D671" i="30"/>
  <c r="D670" i="30"/>
  <c r="D669" i="30"/>
  <c r="D668" i="30"/>
  <c r="D667" i="30"/>
  <c r="D666" i="30"/>
  <c r="D665" i="30"/>
  <c r="D664" i="30"/>
  <c r="D663" i="30"/>
  <c r="D662" i="30"/>
  <c r="D661" i="30"/>
  <c r="D660" i="30"/>
  <c r="D659" i="30"/>
  <c r="D658" i="30"/>
  <c r="D657" i="30"/>
  <c r="D656" i="30"/>
  <c r="D655" i="30"/>
  <c r="D654" i="30"/>
  <c r="D653" i="30"/>
  <c r="D652" i="30"/>
  <c r="D651" i="30"/>
  <c r="D650" i="30"/>
  <c r="D649" i="30"/>
  <c r="D648" i="30"/>
  <c r="D647" i="30"/>
  <c r="D646" i="30"/>
  <c r="D645" i="30"/>
  <c r="D644" i="30"/>
  <c r="D643" i="30"/>
  <c r="D642" i="30"/>
  <c r="D641" i="30"/>
  <c r="D640" i="30"/>
  <c r="D639" i="30"/>
  <c r="D638" i="30"/>
  <c r="D637" i="30"/>
  <c r="D636" i="30"/>
  <c r="D635" i="30"/>
  <c r="D634" i="30"/>
  <c r="D633" i="30"/>
  <c r="D632" i="30"/>
  <c r="D631" i="30"/>
  <c r="D630" i="30"/>
  <c r="D629" i="30"/>
  <c r="D628" i="30"/>
  <c r="D627" i="30"/>
  <c r="D626" i="30"/>
  <c r="D625" i="30"/>
  <c r="D624" i="30"/>
  <c r="D623" i="30"/>
  <c r="D622" i="30"/>
  <c r="D621" i="30"/>
  <c r="D620" i="30"/>
  <c r="D619" i="30"/>
  <c r="D618" i="30"/>
  <c r="D617" i="30"/>
  <c r="D616" i="30"/>
  <c r="D615" i="30"/>
  <c r="D614" i="30"/>
  <c r="D613" i="30"/>
  <c r="D612" i="30"/>
  <c r="D611" i="30"/>
  <c r="D610" i="30"/>
  <c r="D609" i="30"/>
  <c r="D608" i="30"/>
  <c r="D607" i="30"/>
  <c r="D606" i="30"/>
  <c r="D605" i="30"/>
  <c r="D604" i="30"/>
  <c r="D603" i="30"/>
  <c r="D602" i="30"/>
  <c r="D601" i="30"/>
  <c r="D600" i="30"/>
  <c r="D599" i="30"/>
  <c r="D598" i="30"/>
  <c r="D597" i="30"/>
  <c r="D596" i="30"/>
  <c r="D595" i="30"/>
  <c r="D594" i="30"/>
  <c r="D593" i="30"/>
  <c r="D592" i="30"/>
  <c r="D591" i="30"/>
  <c r="D590" i="30"/>
  <c r="D589" i="30"/>
  <c r="D588" i="30"/>
  <c r="D587" i="30"/>
  <c r="D586" i="30"/>
  <c r="D585" i="30"/>
  <c r="D584" i="30"/>
  <c r="D583" i="30"/>
  <c r="D582" i="30"/>
  <c r="D581" i="30"/>
  <c r="D580" i="30"/>
  <c r="D579" i="30"/>
  <c r="D578" i="30"/>
  <c r="D577" i="30"/>
  <c r="D576" i="30"/>
  <c r="D575" i="30"/>
  <c r="D574" i="30"/>
  <c r="D573" i="30"/>
  <c r="D572" i="30"/>
  <c r="D571" i="30"/>
  <c r="D570" i="30"/>
  <c r="D569" i="30"/>
  <c r="D568" i="30"/>
  <c r="D567" i="30"/>
  <c r="D566" i="30"/>
  <c r="D565" i="30"/>
  <c r="D564" i="30"/>
  <c r="D563" i="30"/>
  <c r="D562" i="30"/>
  <c r="D561" i="30"/>
  <c r="D560" i="30"/>
  <c r="D559" i="30"/>
  <c r="D558" i="30"/>
  <c r="D557" i="30"/>
  <c r="D556" i="30"/>
  <c r="D555" i="30"/>
  <c r="D554" i="30"/>
  <c r="D553" i="30"/>
  <c r="D552" i="30"/>
  <c r="D551" i="30"/>
  <c r="D550" i="30"/>
  <c r="D549" i="30"/>
  <c r="D548" i="30"/>
  <c r="D547" i="30"/>
  <c r="D546" i="30"/>
  <c r="D545" i="30"/>
  <c r="D544" i="30"/>
  <c r="D543" i="30"/>
  <c r="D542" i="30"/>
  <c r="D541" i="30"/>
  <c r="D540" i="30"/>
  <c r="D539" i="30"/>
  <c r="D538" i="30"/>
  <c r="D537" i="30"/>
  <c r="D536" i="30"/>
  <c r="D535" i="30"/>
  <c r="D534" i="30"/>
  <c r="D533" i="30"/>
  <c r="D532" i="30"/>
  <c r="D531" i="30"/>
  <c r="D530" i="30"/>
  <c r="D529" i="30"/>
  <c r="D528" i="30"/>
  <c r="D527" i="30"/>
  <c r="D526" i="30"/>
  <c r="D525" i="30"/>
  <c r="D524" i="30"/>
  <c r="D523" i="30"/>
  <c r="D522" i="30"/>
  <c r="D521" i="30"/>
  <c r="D520" i="30"/>
  <c r="D519" i="30"/>
  <c r="D518" i="30"/>
  <c r="D517" i="30"/>
  <c r="D516" i="30"/>
  <c r="D515" i="30"/>
  <c r="D514" i="30"/>
  <c r="D513" i="30"/>
  <c r="D512" i="30"/>
  <c r="D511" i="30"/>
  <c r="D510" i="30"/>
  <c r="D509" i="30"/>
  <c r="D508" i="30"/>
  <c r="D507" i="30"/>
  <c r="D506" i="30"/>
  <c r="D505" i="30"/>
  <c r="D504" i="30"/>
  <c r="D503" i="30"/>
  <c r="D502" i="30"/>
  <c r="D501" i="30"/>
  <c r="D500" i="30"/>
  <c r="D499" i="30"/>
  <c r="D498" i="30"/>
  <c r="D497" i="30"/>
  <c r="D496" i="30"/>
  <c r="D495" i="30"/>
  <c r="D494" i="30"/>
  <c r="D493" i="30"/>
  <c r="D492" i="30"/>
  <c r="D491" i="30"/>
  <c r="D490" i="30"/>
  <c r="D489" i="30"/>
  <c r="D488" i="30"/>
  <c r="D487" i="30"/>
  <c r="D486" i="30"/>
  <c r="D485" i="30"/>
  <c r="D484" i="30"/>
  <c r="D483" i="30"/>
  <c r="D482" i="30"/>
  <c r="D481" i="30"/>
  <c r="D480" i="30"/>
  <c r="D479" i="30"/>
  <c r="D478" i="30"/>
  <c r="D477" i="30"/>
  <c r="D476" i="30"/>
  <c r="D475" i="30"/>
  <c r="D474" i="30"/>
  <c r="D473" i="30"/>
  <c r="D472" i="30"/>
  <c r="D471" i="30"/>
  <c r="D470" i="30"/>
  <c r="D469" i="30"/>
  <c r="D468" i="30"/>
  <c r="D467" i="30"/>
  <c r="D466" i="30"/>
  <c r="D465" i="30"/>
  <c r="D464" i="30"/>
  <c r="D463" i="30"/>
  <c r="D462" i="30"/>
  <c r="D461" i="30"/>
  <c r="D460" i="30"/>
  <c r="D459" i="30"/>
  <c r="D458" i="30"/>
  <c r="D457" i="30"/>
  <c r="D456" i="30"/>
  <c r="D455" i="30"/>
  <c r="D454" i="30"/>
  <c r="D453" i="30"/>
  <c r="D452" i="30"/>
  <c r="D451" i="30"/>
  <c r="D450" i="30"/>
  <c r="D449" i="30"/>
  <c r="D448" i="30"/>
  <c r="D447" i="30"/>
  <c r="D446" i="30"/>
  <c r="D445" i="30"/>
  <c r="D444" i="30"/>
  <c r="D443" i="30"/>
  <c r="D442" i="30"/>
  <c r="D441" i="30"/>
  <c r="D440" i="30"/>
  <c r="D439" i="30"/>
  <c r="D438" i="30"/>
  <c r="D437" i="30"/>
  <c r="D436" i="30"/>
  <c r="D435" i="30"/>
  <c r="D434" i="30"/>
  <c r="D433" i="30"/>
  <c r="D432" i="30"/>
  <c r="D431" i="30"/>
  <c r="D430" i="30"/>
  <c r="D429" i="30"/>
  <c r="D428" i="30"/>
  <c r="D427" i="30"/>
  <c r="D426" i="30"/>
  <c r="D425" i="30"/>
  <c r="D424" i="30"/>
  <c r="D423" i="30"/>
  <c r="D422" i="30"/>
  <c r="D421" i="30"/>
  <c r="D420" i="30"/>
  <c r="D419" i="30"/>
  <c r="D418" i="30"/>
  <c r="D417" i="30"/>
  <c r="D416" i="30"/>
  <c r="D415" i="30"/>
  <c r="D414" i="30"/>
  <c r="D413" i="30"/>
  <c r="D412" i="30"/>
  <c r="D411" i="30"/>
  <c r="D410" i="30"/>
  <c r="D409" i="30"/>
  <c r="D408" i="30"/>
  <c r="D407" i="30"/>
  <c r="D406" i="30"/>
  <c r="D405" i="30"/>
  <c r="D404" i="30"/>
  <c r="D403" i="30"/>
  <c r="D402" i="30"/>
  <c r="D401" i="30"/>
  <c r="D400" i="30"/>
  <c r="D399" i="30"/>
  <c r="D398" i="30"/>
  <c r="D397" i="30"/>
  <c r="D396" i="30"/>
  <c r="D395" i="30"/>
  <c r="D394" i="30"/>
  <c r="D393" i="30"/>
  <c r="D392" i="30"/>
  <c r="D391" i="30"/>
  <c r="D390" i="30"/>
  <c r="D389" i="30"/>
  <c r="D388" i="30"/>
  <c r="D387" i="30"/>
  <c r="D386" i="30"/>
  <c r="D385" i="30"/>
  <c r="D384" i="30"/>
  <c r="D383" i="30"/>
  <c r="D382" i="30"/>
  <c r="D381" i="30"/>
  <c r="D380" i="30"/>
  <c r="D379" i="30"/>
  <c r="D378" i="30"/>
  <c r="D377" i="30"/>
  <c r="D376" i="30"/>
  <c r="D375" i="30"/>
  <c r="D374" i="30"/>
  <c r="D373" i="30"/>
  <c r="D372" i="30"/>
  <c r="D371" i="30"/>
  <c r="D370" i="30"/>
  <c r="D369" i="30"/>
  <c r="D368" i="30"/>
  <c r="D367" i="30"/>
  <c r="D366" i="30"/>
  <c r="D365" i="30"/>
  <c r="D364" i="30"/>
  <c r="D363" i="30"/>
  <c r="D362" i="30"/>
  <c r="D361" i="30"/>
  <c r="D360" i="30"/>
  <c r="D359" i="30"/>
  <c r="D358" i="30"/>
  <c r="D357" i="30"/>
  <c r="D356" i="30"/>
  <c r="D355" i="30"/>
  <c r="D354" i="30"/>
  <c r="D353" i="30"/>
  <c r="D352" i="30"/>
  <c r="D351" i="30"/>
  <c r="D350" i="30"/>
  <c r="D349" i="30"/>
  <c r="D348" i="30"/>
  <c r="D347" i="30"/>
  <c r="D346" i="30"/>
  <c r="D345" i="30"/>
  <c r="D344" i="30"/>
  <c r="D343" i="30"/>
  <c r="D342" i="30"/>
  <c r="D341" i="30"/>
  <c r="D340" i="30"/>
  <c r="D339" i="30"/>
  <c r="D338" i="30"/>
  <c r="D337" i="30"/>
  <c r="D336" i="30"/>
  <c r="D335" i="30"/>
  <c r="D334" i="30"/>
  <c r="D333" i="30"/>
  <c r="D332" i="30"/>
  <c r="D331" i="30"/>
  <c r="D330" i="30"/>
  <c r="D329" i="30"/>
  <c r="D328" i="30"/>
  <c r="D327" i="30"/>
  <c r="D326" i="30"/>
  <c r="D325" i="30"/>
  <c r="D324" i="30"/>
  <c r="D323" i="30"/>
  <c r="D322" i="30"/>
  <c r="D321" i="30"/>
  <c r="D320" i="30"/>
  <c r="D319" i="30"/>
  <c r="D318" i="30"/>
  <c r="D317" i="30"/>
  <c r="D316" i="30"/>
  <c r="D315" i="30"/>
  <c r="D314" i="30"/>
  <c r="D313" i="30"/>
  <c r="D312" i="30"/>
  <c r="D311" i="30"/>
  <c r="D310" i="30"/>
  <c r="D309" i="30"/>
  <c r="D308" i="30"/>
  <c r="D307" i="30"/>
  <c r="D306" i="30"/>
  <c r="D305" i="30"/>
  <c r="D304" i="30"/>
  <c r="D303"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2"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1" i="30"/>
  <c r="D60" i="30"/>
  <c r="D59" i="30"/>
  <c r="D58" i="30"/>
  <c r="D57"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4" i="30"/>
  <c r="D13" i="30"/>
  <c r="D12" i="30"/>
  <c r="D11" i="30"/>
  <c r="D10" i="30"/>
  <c r="D9" i="30"/>
  <c r="D8" i="30"/>
  <c r="D7" i="30"/>
  <c r="D6" i="30"/>
  <c r="D5" i="30"/>
  <c r="D4" i="30"/>
  <c r="D3" i="30"/>
  <c r="A806" i="27" l="1"/>
  <c r="B807" i="27"/>
  <c r="A479" i="27"/>
  <c r="B480" i="27"/>
  <c r="A657" i="27"/>
  <c r="B658" i="27"/>
  <c r="A936" i="27"/>
  <c r="B937" i="27"/>
  <c r="A178" i="27"/>
  <c r="B179" i="27"/>
  <c r="A1084" i="27"/>
  <c r="B1085" i="27"/>
  <c r="B312" i="27"/>
  <c r="A311" i="27"/>
  <c r="A969" i="30"/>
  <c r="A970" i="30" s="1"/>
  <c r="A119" i="30"/>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807" i="27" l="1"/>
  <c r="B808" i="27"/>
  <c r="A1085" i="27"/>
  <c r="B1086" i="27"/>
  <c r="A658" i="27"/>
  <c r="B659" i="27"/>
  <c r="B180" i="27"/>
  <c r="A179" i="27"/>
  <c r="A937" i="27"/>
  <c r="B938" i="27"/>
  <c r="B481" i="27"/>
  <c r="A480" i="27"/>
  <c r="A312" i="27"/>
  <c r="B313" i="27"/>
  <c r="A971" i="30"/>
  <c r="A972" i="30" s="1"/>
  <c r="A973" i="30" s="1"/>
  <c r="A974" i="30" s="1"/>
  <c r="A975" i="30" s="1"/>
  <c r="A976" i="30" s="1"/>
  <c r="A977" i="30" s="1"/>
  <c r="A978" i="30" s="1"/>
  <c r="A979" i="30" s="1"/>
  <c r="A980" i="30" s="1"/>
  <c r="A981" i="30" s="1"/>
  <c r="A982" i="30" s="1"/>
  <c r="A983" i="30" s="1"/>
  <c r="A984" i="30" s="1"/>
  <c r="A985" i="30" s="1"/>
  <c r="A986" i="30" s="1"/>
  <c r="A987" i="30" s="1"/>
  <c r="A988" i="30" s="1"/>
  <c r="A989" i="30" s="1"/>
  <c r="A990" i="30" s="1"/>
  <c r="A991" i="30" s="1"/>
  <c r="A992" i="30" s="1"/>
  <c r="B797" i="28"/>
  <c r="B798" i="28" s="1"/>
  <c r="B799" i="28" s="1"/>
  <c r="B800" i="28" s="1"/>
  <c r="B801" i="28" s="1"/>
  <c r="B802" i="28" s="1"/>
  <c r="B803" i="28" s="1"/>
  <c r="B804" i="28" s="1"/>
  <c r="B805" i="28" s="1"/>
  <c r="B806" i="28" s="1"/>
  <c r="B807" i="28" s="1"/>
  <c r="B808" i="28" s="1"/>
  <c r="B809" i="28" s="1"/>
  <c r="B810" i="28" s="1"/>
  <c r="B811" i="28" s="1"/>
  <c r="B812" i="28" s="1"/>
  <c r="B813" i="28" s="1"/>
  <c r="B814" i="28" s="1"/>
  <c r="B815" i="28" s="1"/>
  <c r="B816" i="28" s="1"/>
  <c r="B817" i="28" s="1"/>
  <c r="B818" i="28" s="1"/>
  <c r="B819" i="28" s="1"/>
  <c r="B820" i="28" s="1"/>
  <c r="B821" i="28" s="1"/>
  <c r="B822" i="28" s="1"/>
  <c r="B823" i="28" s="1"/>
  <c r="B824" i="28" s="1"/>
  <c r="B825" i="28" s="1"/>
  <c r="B826" i="28" s="1"/>
  <c r="B827" i="28" s="1"/>
  <c r="B828" i="28" s="1"/>
  <c r="B829" i="28" s="1"/>
  <c r="B830" i="28" s="1"/>
  <c r="B831" i="28" s="1"/>
  <c r="B832" i="28" s="1"/>
  <c r="B833" i="28" s="1"/>
  <c r="B834" i="28" s="1"/>
  <c r="B835" i="28" s="1"/>
  <c r="B836" i="28" s="1"/>
  <c r="B837" i="28" s="1"/>
  <c r="B838" i="28" s="1"/>
  <c r="B839" i="28" s="1"/>
  <c r="B840" i="28" s="1"/>
  <c r="B841" i="28" s="1"/>
  <c r="B842" i="28" s="1"/>
  <c r="B843" i="28" s="1"/>
  <c r="B844" i="28" s="1"/>
  <c r="B845" i="28" s="1"/>
  <c r="B846" i="28" s="1"/>
  <c r="B847" i="28" s="1"/>
  <c r="B848" i="28" s="1"/>
  <c r="B849" i="28" s="1"/>
  <c r="B850" i="28" s="1"/>
  <c r="B851" i="28" s="1"/>
  <c r="B852" i="28" s="1"/>
  <c r="B853" i="28" s="1"/>
  <c r="B854" i="28" s="1"/>
  <c r="B855" i="28" s="1"/>
  <c r="B856" i="28" s="1"/>
  <c r="B857" i="28" s="1"/>
  <c r="B858" i="28" s="1"/>
  <c r="B859" i="28" s="1"/>
  <c r="B860" i="28" s="1"/>
  <c r="B861" i="28" s="1"/>
  <c r="B862" i="28" s="1"/>
  <c r="B863" i="28" s="1"/>
  <c r="B864" i="28" s="1"/>
  <c r="B865" i="28" s="1"/>
  <c r="B866" i="28" s="1"/>
  <c r="B867" i="28" s="1"/>
  <c r="B868" i="28" s="1"/>
  <c r="B869" i="28" s="1"/>
  <c r="B870" i="28" s="1"/>
  <c r="B871" i="28" s="1"/>
  <c r="B872" i="28" s="1"/>
  <c r="B873" i="28" s="1"/>
  <c r="B874" i="28" s="1"/>
  <c r="B875" i="28" s="1"/>
  <c r="B876" i="28" s="1"/>
  <c r="B877" i="28" s="1"/>
  <c r="B878" i="28" s="1"/>
  <c r="B879" i="28" s="1"/>
  <c r="B880" i="28" s="1"/>
  <c r="B881" i="28" s="1"/>
  <c r="B882" i="28" s="1"/>
  <c r="B883" i="28" s="1"/>
  <c r="B884" i="28" s="1"/>
  <c r="B885" i="28" s="1"/>
  <c r="B886" i="28" s="1"/>
  <c r="B887" i="28" s="1"/>
  <c r="B888" i="28" s="1"/>
  <c r="B889" i="28" s="1"/>
  <c r="B890" i="28" s="1"/>
  <c r="B891" i="28" s="1"/>
  <c r="B892" i="28" s="1"/>
  <c r="B893" i="28" s="1"/>
  <c r="B894" i="28" s="1"/>
  <c r="B895" i="28" s="1"/>
  <c r="B896" i="28" s="1"/>
  <c r="B897" i="28" s="1"/>
  <c r="B898" i="28" s="1"/>
  <c r="B899" i="28" s="1"/>
  <c r="B900" i="28" s="1"/>
  <c r="B901" i="28" s="1"/>
  <c r="B902" i="28" s="1"/>
  <c r="B903" i="28" s="1"/>
  <c r="B904" i="28" s="1"/>
  <c r="B905" i="28" s="1"/>
  <c r="B906" i="28" s="1"/>
  <c r="B907" i="28" s="1"/>
  <c r="B908" i="28" s="1"/>
  <c r="B909" i="28" s="1"/>
  <c r="B910" i="28" s="1"/>
  <c r="B911" i="28" s="1"/>
  <c r="B912" i="28" s="1"/>
  <c r="B913" i="28" s="1"/>
  <c r="B914" i="28" s="1"/>
  <c r="B915" i="28" s="1"/>
  <c r="B916" i="28" s="1"/>
  <c r="B917" i="28" s="1"/>
  <c r="B918" i="28" s="1"/>
  <c r="B919" i="28" s="1"/>
  <c r="B920" i="28" s="1"/>
  <c r="B921" i="28" s="1"/>
  <c r="B922" i="28" s="1"/>
  <c r="B923" i="28" s="1"/>
  <c r="B924" i="28" s="1"/>
  <c r="B925" i="28" s="1"/>
  <c r="B926" i="28" s="1"/>
  <c r="B927" i="28" s="1"/>
  <c r="B928" i="28" s="1"/>
  <c r="B929" i="28" s="1"/>
  <c r="B930" i="28" s="1"/>
  <c r="B931" i="28" s="1"/>
  <c r="B932" i="28" s="1"/>
  <c r="B809" i="27" l="1"/>
  <c r="A808" i="27"/>
  <c r="A659" i="27"/>
  <c r="B660" i="27"/>
  <c r="A481" i="27"/>
  <c r="B482" i="27"/>
  <c r="A180" i="27"/>
  <c r="B181" i="27"/>
  <c r="B314" i="27"/>
  <c r="A313" i="27"/>
  <c r="A938" i="27"/>
  <c r="B939" i="27"/>
  <c r="A1086" i="27"/>
  <c r="B1087" i="27"/>
  <c r="A141" i="30"/>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A539" i="30" s="1"/>
  <c r="A540" i="30" s="1"/>
  <c r="A541" i="30" s="1"/>
  <c r="A542" i="30" s="1"/>
  <c r="A543" i="30" s="1"/>
  <c r="A544" i="30" s="1"/>
  <c r="A545" i="30" s="1"/>
  <c r="A546" i="30" s="1"/>
  <c r="A547" i="30" s="1"/>
  <c r="A548" i="30" s="1"/>
  <c r="A549" i="30" s="1"/>
  <c r="A550" i="30" s="1"/>
  <c r="A551" i="30" s="1"/>
  <c r="A552" i="30" s="1"/>
  <c r="A553" i="30" s="1"/>
  <c r="A554" i="30" s="1"/>
  <c r="A555" i="30" s="1"/>
  <c r="A556" i="30" s="1"/>
  <c r="A557" i="30" s="1"/>
  <c r="A558" i="30" s="1"/>
  <c r="A559" i="30" s="1"/>
  <c r="A560" i="30" s="1"/>
  <c r="A561" i="30" s="1"/>
  <c r="A562" i="30" s="1"/>
  <c r="A563" i="30" s="1"/>
  <c r="A564" i="30" s="1"/>
  <c r="A565" i="30" s="1"/>
  <c r="A566" i="30" s="1"/>
  <c r="A567" i="30" s="1"/>
  <c r="A568" i="30" s="1"/>
  <c r="A569" i="30" s="1"/>
  <c r="A570" i="30" s="1"/>
  <c r="A571" i="30" s="1"/>
  <c r="A572" i="30" s="1"/>
  <c r="A573" i="30" s="1"/>
  <c r="A574" i="30" s="1"/>
  <c r="A575" i="30" s="1"/>
  <c r="A576" i="30" s="1"/>
  <c r="A577" i="30" s="1"/>
  <c r="A578" i="30" s="1"/>
  <c r="A579" i="30" s="1"/>
  <c r="A580" i="30" s="1"/>
  <c r="A581" i="30" s="1"/>
  <c r="A582" i="30" s="1"/>
  <c r="A583" i="30" s="1"/>
  <c r="A584" i="30" s="1"/>
  <c r="A585" i="30" s="1"/>
  <c r="A586" i="30" s="1"/>
  <c r="A587" i="30" s="1"/>
  <c r="A588" i="30" s="1"/>
  <c r="A589" i="30" s="1"/>
  <c r="A590" i="30" s="1"/>
  <c r="A591" i="30" s="1"/>
  <c r="A592" i="30" s="1"/>
  <c r="A593" i="30" s="1"/>
  <c r="A594" i="30" s="1"/>
  <c r="A595" i="30" s="1"/>
  <c r="A596" i="30" s="1"/>
  <c r="A597" i="30" s="1"/>
  <c r="A598" i="30" s="1"/>
  <c r="A599" i="30" s="1"/>
  <c r="A600" i="30" s="1"/>
  <c r="A601" i="30" s="1"/>
  <c r="A602" i="30" s="1"/>
  <c r="A603" i="30" s="1"/>
  <c r="A604" i="30" s="1"/>
  <c r="A605" i="30" s="1"/>
  <c r="A606" i="30" s="1"/>
  <c r="A607" i="30" s="1"/>
  <c r="A608" i="30" s="1"/>
  <c r="A609" i="30" s="1"/>
  <c r="A610" i="30" s="1"/>
  <c r="A611" i="30" s="1"/>
  <c r="A612" i="30" s="1"/>
  <c r="A613" i="30" s="1"/>
  <c r="A614" i="30" s="1"/>
  <c r="A615" i="30" s="1"/>
  <c r="A616" i="30" s="1"/>
  <c r="A617" i="30" s="1"/>
  <c r="A618" i="30" s="1"/>
  <c r="A619" i="30" s="1"/>
  <c r="A620" i="30" s="1"/>
  <c r="A621" i="30" s="1"/>
  <c r="A622" i="30" s="1"/>
  <c r="A623" i="30" s="1"/>
  <c r="A624" i="30" s="1"/>
  <c r="A625" i="30" s="1"/>
  <c r="A626" i="30" s="1"/>
  <c r="A627" i="30" s="1"/>
  <c r="A628" i="30" s="1"/>
  <c r="A629" i="30" s="1"/>
  <c r="A630" i="30" s="1"/>
  <c r="A631" i="30" s="1"/>
  <c r="A632" i="30" s="1"/>
  <c r="A633" i="30" s="1"/>
  <c r="A634" i="30" s="1"/>
  <c r="A635" i="30" s="1"/>
  <c r="A636" i="30" s="1"/>
  <c r="A637" i="30" s="1"/>
  <c r="A638" i="30" s="1"/>
  <c r="A639" i="30" s="1"/>
  <c r="A640" i="30" s="1"/>
  <c r="A641" i="30" s="1"/>
  <c r="A642" i="30" s="1"/>
  <c r="A643" i="30" s="1"/>
  <c r="A644" i="30" s="1"/>
  <c r="A645" i="30" s="1"/>
  <c r="A646" i="30" s="1"/>
  <c r="A647" i="30" s="1"/>
  <c r="A648" i="30" s="1"/>
  <c r="A649" i="30" s="1"/>
  <c r="A650" i="30" s="1"/>
  <c r="A651" i="30" s="1"/>
  <c r="A652" i="30" s="1"/>
  <c r="A653" i="30" s="1"/>
  <c r="A654" i="30" s="1"/>
  <c r="A655" i="30" s="1"/>
  <c r="A656" i="30" s="1"/>
  <c r="A657" i="30" s="1"/>
  <c r="A658" i="30" s="1"/>
  <c r="A659" i="30" s="1"/>
  <c r="A660" i="30" s="1"/>
  <c r="A661" i="30" s="1"/>
  <c r="A662" i="30" s="1"/>
  <c r="A663" i="30" s="1"/>
  <c r="A664" i="30" s="1"/>
  <c r="A665" i="30" s="1"/>
  <c r="A666" i="30" s="1"/>
  <c r="A667" i="30" s="1"/>
  <c r="A668" i="30" s="1"/>
  <c r="A669" i="30" s="1"/>
  <c r="A670" i="30" s="1"/>
  <c r="A671" i="30" s="1"/>
  <c r="A672" i="30" s="1"/>
  <c r="A673" i="30" s="1"/>
  <c r="A674" i="30" s="1"/>
  <c r="A675" i="30" s="1"/>
  <c r="A676" i="30" s="1"/>
  <c r="A677" i="30" s="1"/>
  <c r="A678" i="30" s="1"/>
  <c r="A679" i="30" s="1"/>
  <c r="A680" i="30" s="1"/>
  <c r="A681" i="30" s="1"/>
  <c r="A682" i="30" s="1"/>
  <c r="A683" i="30" s="1"/>
  <c r="A684" i="30" s="1"/>
  <c r="A685" i="30" s="1"/>
  <c r="A686" i="30" s="1"/>
  <c r="A687" i="30" s="1"/>
  <c r="A688" i="30" s="1"/>
  <c r="A689" i="30" s="1"/>
  <c r="A690" i="30" s="1"/>
  <c r="A691" i="30" s="1"/>
  <c r="A692" i="30" s="1"/>
  <c r="A693" i="30" s="1"/>
  <c r="A694" i="30" s="1"/>
  <c r="A695" i="30" s="1"/>
  <c r="A696" i="30" s="1"/>
  <c r="A697" i="30" s="1"/>
  <c r="A698" i="30" s="1"/>
  <c r="A699" i="30" s="1"/>
  <c r="A700" i="30" s="1"/>
  <c r="A701" i="30" s="1"/>
  <c r="A702" i="30" s="1"/>
  <c r="A703" i="30" s="1"/>
  <c r="A704" i="30" s="1"/>
  <c r="A705" i="30" s="1"/>
  <c r="A706" i="30" s="1"/>
  <c r="A707" i="30" s="1"/>
  <c r="A708" i="30" s="1"/>
  <c r="A709" i="30" s="1"/>
  <c r="A710" i="30" s="1"/>
  <c r="A711" i="30" s="1"/>
  <c r="A712" i="30" s="1"/>
  <c r="A713" i="30" s="1"/>
  <c r="A714" i="30" s="1"/>
  <c r="A715" i="30" s="1"/>
  <c r="A716" i="30" s="1"/>
  <c r="A717" i="30" s="1"/>
  <c r="A718" i="30" s="1"/>
  <c r="A719" i="30" s="1"/>
  <c r="A720" i="30" s="1"/>
  <c r="A721" i="30" s="1"/>
  <c r="A722" i="30" s="1"/>
  <c r="A723" i="30" s="1"/>
  <c r="A724" i="30" s="1"/>
  <c r="A725" i="30" s="1"/>
  <c r="A726" i="30" s="1"/>
  <c r="A727" i="30" s="1"/>
  <c r="A728" i="30" s="1"/>
  <c r="A729" i="30" s="1"/>
  <c r="A730" i="30" s="1"/>
  <c r="A731" i="30" s="1"/>
  <c r="A732" i="30" s="1"/>
  <c r="A733" i="30" s="1"/>
  <c r="A734" i="30" s="1"/>
  <c r="A735" i="30" s="1"/>
  <c r="A736" i="30" s="1"/>
  <c r="A737" i="30" s="1"/>
  <c r="A738" i="30" s="1"/>
  <c r="A739" i="30" s="1"/>
  <c r="A740" i="30" s="1"/>
  <c r="A741" i="30" s="1"/>
  <c r="A742" i="30" s="1"/>
  <c r="A743" i="30" s="1"/>
  <c r="A744" i="30" s="1"/>
  <c r="A745" i="30" s="1"/>
  <c r="A746" i="30" s="1"/>
  <c r="A747" i="30" s="1"/>
  <c r="A748" i="30" s="1"/>
  <c r="A749" i="30" s="1"/>
  <c r="A750" i="30" s="1"/>
  <c r="A751" i="30" s="1"/>
  <c r="A752" i="30" s="1"/>
  <c r="A753" i="30" s="1"/>
  <c r="A754" i="30" s="1"/>
  <c r="A755" i="30" s="1"/>
  <c r="A756" i="30" s="1"/>
  <c r="A757" i="30" s="1"/>
  <c r="A758" i="30" s="1"/>
  <c r="A759" i="30" s="1"/>
  <c r="A760" i="30" s="1"/>
  <c r="A761" i="30" s="1"/>
  <c r="A762" i="30" s="1"/>
  <c r="A763" i="30" s="1"/>
  <c r="A764" i="30" s="1"/>
  <c r="A765" i="30" s="1"/>
  <c r="A766" i="30" s="1"/>
  <c r="A767" i="30" s="1"/>
  <c r="A768" i="30" s="1"/>
  <c r="A769" i="30" s="1"/>
  <c r="A770" i="30" s="1"/>
  <c r="A771" i="30" s="1"/>
  <c r="A772" i="30" s="1"/>
  <c r="A773" i="30" s="1"/>
  <c r="A774" i="30" s="1"/>
  <c r="A775" i="30" s="1"/>
  <c r="A776" i="30" s="1"/>
  <c r="A777" i="30" s="1"/>
  <c r="A778" i="30" s="1"/>
  <c r="A779" i="30" s="1"/>
  <c r="A780" i="30" s="1"/>
  <c r="A781" i="30" s="1"/>
  <c r="A782" i="30" s="1"/>
  <c r="A783" i="30" s="1"/>
  <c r="A784" i="30" s="1"/>
  <c r="A785" i="30" s="1"/>
  <c r="A786" i="30" s="1"/>
  <c r="A787" i="30" s="1"/>
  <c r="A788" i="30" s="1"/>
  <c r="A789" i="30" s="1"/>
  <c r="A790" i="30" s="1"/>
  <c r="A791" i="30" s="1"/>
  <c r="A792" i="30" s="1"/>
  <c r="A793" i="30" s="1"/>
  <c r="A794" i="30" s="1"/>
  <c r="A795" i="30" s="1"/>
  <c r="A796" i="30" s="1"/>
  <c r="A797" i="30" s="1"/>
  <c r="A798" i="30" s="1"/>
  <c r="A799" i="30" s="1"/>
  <c r="A800" i="30" s="1"/>
  <c r="A801" i="30" s="1"/>
  <c r="A802" i="30" s="1"/>
  <c r="A803" i="30" s="1"/>
  <c r="A804" i="30" s="1"/>
  <c r="A805" i="30" s="1"/>
  <c r="A806" i="30" s="1"/>
  <c r="A807" i="30" s="1"/>
  <c r="A808" i="30" s="1"/>
  <c r="A809" i="30" s="1"/>
  <c r="A810" i="30" s="1"/>
  <c r="A811" i="30" s="1"/>
  <c r="A812" i="30" s="1"/>
  <c r="A813" i="30" s="1"/>
  <c r="A814" i="30" s="1"/>
  <c r="A815" i="30" s="1"/>
  <c r="A816" i="30" s="1"/>
  <c r="A817" i="30" s="1"/>
  <c r="A818" i="30" s="1"/>
  <c r="A819" i="30" s="1"/>
  <c r="A820" i="30" s="1"/>
  <c r="A821" i="30" s="1"/>
  <c r="A822" i="30" s="1"/>
  <c r="A823" i="30" s="1"/>
  <c r="A824" i="30" s="1"/>
  <c r="A825" i="30" s="1"/>
  <c r="A826" i="30" s="1"/>
  <c r="A827" i="30" s="1"/>
  <c r="A828" i="30" s="1"/>
  <c r="A829" i="30" s="1"/>
  <c r="A830" i="30" s="1"/>
  <c r="A831" i="30" s="1"/>
  <c r="A832" i="30" s="1"/>
  <c r="A833" i="30" s="1"/>
  <c r="A834" i="30" s="1"/>
  <c r="A835" i="30" s="1"/>
  <c r="A836" i="30" s="1"/>
  <c r="A837" i="30" s="1"/>
  <c r="A838" i="30" s="1"/>
  <c r="A839" i="30" s="1"/>
  <c r="A840" i="30" s="1"/>
  <c r="A841" i="30" s="1"/>
  <c r="A842" i="30" s="1"/>
  <c r="A843" i="30" s="1"/>
  <c r="A844" i="30" s="1"/>
  <c r="A845" i="30" s="1"/>
  <c r="A846" i="30" s="1"/>
  <c r="A847" i="30" s="1"/>
  <c r="A848" i="30" s="1"/>
  <c r="A849" i="30" s="1"/>
  <c r="A850" i="30" s="1"/>
  <c r="A851" i="30" s="1"/>
  <c r="A852" i="30" s="1"/>
  <c r="A853" i="30" s="1"/>
  <c r="A854" i="30" s="1"/>
  <c r="A855" i="30" s="1"/>
  <c r="A856" i="30" s="1"/>
  <c r="A857" i="30" s="1"/>
  <c r="A858" i="30" s="1"/>
  <c r="A859" i="30" s="1"/>
  <c r="A860" i="30" s="1"/>
  <c r="A861" i="30" s="1"/>
  <c r="A862" i="30" s="1"/>
  <c r="A863" i="30" s="1"/>
  <c r="A864" i="30" s="1"/>
  <c r="A865" i="30" s="1"/>
  <c r="A866" i="30" s="1"/>
  <c r="A867" i="30" s="1"/>
  <c r="A868" i="30" s="1"/>
  <c r="A869" i="30" s="1"/>
  <c r="A870" i="30" s="1"/>
  <c r="A871" i="30" s="1"/>
  <c r="A872" i="30" s="1"/>
  <c r="A873" i="30" s="1"/>
  <c r="A874" i="30" s="1"/>
  <c r="A875" i="30" s="1"/>
  <c r="A876" i="30" s="1"/>
  <c r="A877" i="30" s="1"/>
  <c r="A878" i="30" s="1"/>
  <c r="A879" i="30" s="1"/>
  <c r="A880" i="30" s="1"/>
  <c r="A881" i="30" s="1"/>
  <c r="A882" i="30" s="1"/>
  <c r="A883" i="30" s="1"/>
  <c r="A884" i="30" s="1"/>
  <c r="A885" i="30" s="1"/>
  <c r="A886" i="30" s="1"/>
  <c r="A887" i="30" s="1"/>
  <c r="A888" i="30" s="1"/>
  <c r="A889" i="30" s="1"/>
  <c r="A890" i="30" s="1"/>
  <c r="A891" i="30" s="1"/>
  <c r="A892" i="30" s="1"/>
  <c r="A893" i="30" s="1"/>
  <c r="A894" i="30" s="1"/>
  <c r="A895" i="30" s="1"/>
  <c r="A896" i="30" s="1"/>
  <c r="A897" i="30" s="1"/>
  <c r="A898" i="30" s="1"/>
  <c r="A899" i="30" s="1"/>
  <c r="A900" i="30" s="1"/>
  <c r="A901" i="30" s="1"/>
  <c r="A902" i="30" s="1"/>
  <c r="A903" i="30" s="1"/>
  <c r="A904" i="30" s="1"/>
  <c r="A905" i="30" s="1"/>
  <c r="A906" i="30" s="1"/>
  <c r="A907" i="30" s="1"/>
  <c r="A908" i="30" s="1"/>
  <c r="A909" i="30" s="1"/>
  <c r="A910" i="30" s="1"/>
  <c r="A911" i="30" s="1"/>
  <c r="A912" i="30" s="1"/>
  <c r="A913" i="30" s="1"/>
  <c r="A914" i="30" s="1"/>
  <c r="A915" i="30" s="1"/>
  <c r="A916" i="30" s="1"/>
  <c r="A917" i="30" s="1"/>
  <c r="A918" i="30" s="1"/>
  <c r="A919" i="30" s="1"/>
  <c r="A920" i="30" s="1"/>
  <c r="A921" i="30" s="1"/>
  <c r="A922" i="30" s="1"/>
  <c r="A923" i="30" s="1"/>
  <c r="A924" i="30" s="1"/>
  <c r="A925" i="30" s="1"/>
  <c r="A926" i="30" s="1"/>
  <c r="A927" i="30" s="1"/>
  <c r="A928" i="30" s="1"/>
  <c r="A929" i="30" s="1"/>
  <c r="A930" i="30" s="1"/>
  <c r="A931" i="30" s="1"/>
  <c r="A932" i="30" s="1"/>
  <c r="A933" i="30" s="1"/>
  <c r="A934" i="30" s="1"/>
  <c r="A935" i="30" s="1"/>
  <c r="A936" i="30" s="1"/>
  <c r="A937" i="30" s="1"/>
  <c r="A938" i="30" s="1"/>
  <c r="A939" i="30" s="1"/>
  <c r="A940" i="30" s="1"/>
  <c r="A941" i="30" s="1"/>
  <c r="A942" i="30" s="1"/>
  <c r="A943" i="30" s="1"/>
  <c r="A944" i="30" s="1"/>
  <c r="A945" i="30" s="1"/>
  <c r="A946" i="30" s="1"/>
  <c r="A947" i="30" s="1"/>
  <c r="A948" i="30" s="1"/>
  <c r="A949" i="30" s="1"/>
  <c r="A950" i="30" s="1"/>
  <c r="A951" i="30" s="1"/>
  <c r="A952" i="30" s="1"/>
  <c r="A953" i="30" s="1"/>
  <c r="A954" i="30" s="1"/>
  <c r="A955" i="30" s="1"/>
  <c r="A956" i="30" s="1"/>
  <c r="A957" i="30" s="1"/>
  <c r="A958" i="30" s="1"/>
  <c r="A959" i="30" s="1"/>
  <c r="A960" i="30" s="1"/>
  <c r="A961" i="30" s="1"/>
  <c r="A962" i="30" s="1"/>
  <c r="A963" i="30" s="1"/>
  <c r="A964" i="30" s="1"/>
  <c r="A965" i="30" s="1"/>
  <c r="A966" i="30" s="1"/>
  <c r="A967" i="30" s="1"/>
  <c r="A968" i="30" s="1"/>
  <c r="A69" i="30"/>
  <c r="A26" i="30"/>
  <c r="A3" i="30"/>
  <c r="A27" i="30" l="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M148" i="31"/>
  <c r="M136" i="31"/>
  <c r="M132" i="31"/>
  <c r="M121" i="31"/>
  <c r="L148" i="31"/>
  <c r="L136" i="31"/>
  <c r="L132" i="31"/>
  <c r="L121" i="31"/>
  <c r="M155" i="31"/>
  <c r="M145" i="31"/>
  <c r="M139" i="31"/>
  <c r="M122" i="31"/>
  <c r="M120" i="31"/>
  <c r="L145" i="31"/>
  <c r="L155" i="31"/>
  <c r="L139" i="31"/>
  <c r="L120" i="31"/>
  <c r="L122" i="31"/>
  <c r="A70" i="30"/>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809" i="27"/>
  <c r="B810" i="27"/>
  <c r="A1087" i="27"/>
  <c r="B1088" i="27"/>
  <c r="A939" i="27"/>
  <c r="B940" i="27"/>
  <c r="B182" i="27"/>
  <c r="A181" i="27"/>
  <c r="B483" i="27"/>
  <c r="A482" i="27"/>
  <c r="A660" i="27"/>
  <c r="B661" i="27"/>
  <c r="A314" i="27"/>
  <c r="B315" i="27"/>
  <c r="A4" i="30"/>
  <c r="A5" i="30" s="1"/>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I20" i="31" l="1"/>
  <c r="I19" i="31"/>
  <c r="I37" i="31"/>
  <c r="J31" i="31"/>
  <c r="N31" i="31" s="1"/>
  <c r="O31" i="31" s="1"/>
  <c r="I26" i="31"/>
  <c r="J20" i="31"/>
  <c r="N20" i="31" s="1"/>
  <c r="O20" i="31" s="1"/>
  <c r="J38" i="31"/>
  <c r="N38" i="31" s="1"/>
  <c r="O38" i="31" s="1"/>
  <c r="I25" i="31"/>
  <c r="J19" i="31"/>
  <c r="N19" i="31" s="1"/>
  <c r="O19" i="31" s="1"/>
  <c r="J37" i="31"/>
  <c r="N37" i="31" s="1"/>
  <c r="O37" i="31" s="1"/>
  <c r="I38" i="31"/>
  <c r="I33" i="31"/>
  <c r="I24" i="31"/>
  <c r="I22" i="31"/>
  <c r="I40" i="31"/>
  <c r="J34" i="31"/>
  <c r="N34" i="31" s="1"/>
  <c r="O34" i="31" s="1"/>
  <c r="I21" i="31"/>
  <c r="I39" i="31"/>
  <c r="J33" i="31"/>
  <c r="N33" i="31" s="1"/>
  <c r="O33" i="31" s="1"/>
  <c r="I23" i="31"/>
  <c r="J25" i="31"/>
  <c r="N25" i="31" s="1"/>
  <c r="O25" i="31" s="1"/>
  <c r="J32" i="31"/>
  <c r="N32" i="31" s="1"/>
  <c r="O32" i="31" s="1"/>
  <c r="J21" i="31"/>
  <c r="N21" i="31" s="1"/>
  <c r="O21" i="31" s="1"/>
  <c r="J39" i="31"/>
  <c r="N39" i="31" s="1"/>
  <c r="O39" i="31" s="1"/>
  <c r="J22" i="31"/>
  <c r="N22" i="31" s="1"/>
  <c r="O22" i="31" s="1"/>
  <c r="I18" i="31"/>
  <c r="I36" i="31"/>
  <c r="J18" i="31"/>
  <c r="N18" i="31" s="1"/>
  <c r="O18" i="31" s="1"/>
  <c r="I17" i="31"/>
  <c r="I35" i="31"/>
  <c r="J26" i="31"/>
  <c r="N26" i="31" s="1"/>
  <c r="O26" i="31" s="1"/>
  <c r="J17" i="31"/>
  <c r="N17" i="31" s="1"/>
  <c r="O17" i="31" s="1"/>
  <c r="J35" i="31"/>
  <c r="N35" i="31" s="1"/>
  <c r="O35" i="31" s="1"/>
  <c r="J40" i="31"/>
  <c r="N40" i="31" s="1"/>
  <c r="O40" i="31" s="1"/>
  <c r="J24" i="31"/>
  <c r="N24" i="31" s="1"/>
  <c r="O24" i="31" s="1"/>
  <c r="I32" i="31"/>
  <c r="J36" i="31"/>
  <c r="N36" i="31" s="1"/>
  <c r="O36" i="31" s="1"/>
  <c r="J23" i="31"/>
  <c r="N23" i="31" s="1"/>
  <c r="O23" i="31" s="1"/>
  <c r="I31" i="31"/>
  <c r="I34" i="31"/>
  <c r="D109" i="31"/>
  <c r="F109" i="31"/>
  <c r="G114" i="31"/>
  <c r="I109" i="31"/>
  <c r="L114" i="31"/>
  <c r="L109" i="31"/>
  <c r="M114" i="31"/>
  <c r="E114" i="31"/>
  <c r="G109" i="31"/>
  <c r="J114" i="31"/>
  <c r="J109" i="31"/>
  <c r="K114" i="31"/>
  <c r="M109" i="31"/>
  <c r="E109" i="31"/>
  <c r="H114" i="31"/>
  <c r="K111" i="31"/>
  <c r="J4" i="31"/>
  <c r="H109" i="31"/>
  <c r="I114" i="31"/>
  <c r="K109" i="31"/>
  <c r="D114" i="31"/>
  <c r="F114" i="31"/>
  <c r="A810" i="27"/>
  <c r="B811" i="27"/>
  <c r="B316" i="27"/>
  <c r="A315" i="27"/>
  <c r="A1088" i="27"/>
  <c r="B1089" i="27"/>
  <c r="A483" i="27"/>
  <c r="B484" i="27"/>
  <c r="A182" i="27"/>
  <c r="B183" i="27"/>
  <c r="A661" i="27"/>
  <c r="B662" i="27"/>
  <c r="A940" i="27"/>
  <c r="B941" i="27"/>
  <c r="E122" i="31"/>
  <c r="K120" i="31"/>
  <c r="E120" i="31"/>
  <c r="H120" i="31"/>
  <c r="D120" i="31"/>
  <c r="D136" i="31"/>
  <c r="E132" i="31"/>
  <c r="H155" i="31"/>
  <c r="F145" i="31"/>
  <c r="D139" i="31"/>
  <c r="K148" i="31"/>
  <c r="G132" i="31"/>
  <c r="E121" i="31"/>
  <c r="H121" i="31"/>
  <c r="K121" i="31"/>
  <c r="G139" i="31"/>
  <c r="G148" i="31"/>
  <c r="E145" i="31"/>
  <c r="H148" i="31"/>
  <c r="K52" i="31"/>
  <c r="H52" i="31"/>
  <c r="G48" i="31"/>
  <c r="E53" i="31"/>
  <c r="D49" i="31"/>
  <c r="I52" i="31"/>
  <c r="H48" i="31"/>
  <c r="F53" i="31"/>
  <c r="E49" i="31"/>
  <c r="K54" i="31"/>
  <c r="G46" i="31"/>
  <c r="E51" i="31"/>
  <c r="D47" i="31"/>
  <c r="H46" i="31"/>
  <c r="F51" i="31"/>
  <c r="E47" i="31"/>
  <c r="J122" i="31"/>
  <c r="J50" i="31"/>
  <c r="J145" i="31"/>
  <c r="J51" i="31"/>
  <c r="E136" i="31"/>
  <c r="E155" i="31"/>
  <c r="I132" i="31"/>
  <c r="F139" i="31"/>
  <c r="G120" i="31"/>
  <c r="D121" i="31"/>
  <c r="I120" i="31"/>
  <c r="K122" i="31"/>
  <c r="H136" i="31"/>
  <c r="D145" i="31"/>
  <c r="D155" i="31"/>
  <c r="E139" i="31"/>
  <c r="H122" i="31"/>
  <c r="G121" i="31"/>
  <c r="I53" i="31"/>
  <c r="H49" i="31"/>
  <c r="F54" i="31"/>
  <c r="E50" i="31"/>
  <c r="D45" i="31"/>
  <c r="I49" i="31"/>
  <c r="G54" i="31"/>
  <c r="F50" i="31"/>
  <c r="E45" i="31"/>
  <c r="K50" i="31"/>
  <c r="I51" i="31"/>
  <c r="H47" i="31"/>
  <c r="F52" i="31"/>
  <c r="E48" i="31"/>
  <c r="K48" i="31"/>
  <c r="I47" i="31"/>
  <c r="G52" i="31"/>
  <c r="F48" i="31"/>
  <c r="D53" i="31"/>
  <c r="J155" i="31"/>
  <c r="J47" i="31"/>
  <c r="J148" i="31"/>
  <c r="J46" i="31"/>
  <c r="J52" i="31"/>
  <c r="J48" i="31"/>
  <c r="D122" i="31"/>
  <c r="F132" i="31"/>
  <c r="G145" i="31"/>
  <c r="F155" i="31"/>
  <c r="K145" i="31"/>
  <c r="H139" i="31"/>
  <c r="H145" i="31"/>
  <c r="I121" i="31"/>
  <c r="F136" i="31"/>
  <c r="D148" i="31"/>
  <c r="G136" i="31"/>
  <c r="I136" i="31"/>
  <c r="K132" i="31"/>
  <c r="I145" i="31"/>
  <c r="F121" i="31"/>
  <c r="F122" i="31"/>
  <c r="I122" i="31"/>
  <c r="E148" i="31"/>
  <c r="K45" i="31"/>
  <c r="I50" i="31"/>
  <c r="H45" i="31"/>
  <c r="E46" i="31"/>
  <c r="K46" i="31"/>
  <c r="I45" i="31"/>
  <c r="F46" i="31"/>
  <c r="D51" i="31"/>
  <c r="K47" i="31"/>
  <c r="I48" i="31"/>
  <c r="G53" i="31"/>
  <c r="F49" i="31"/>
  <c r="D54" i="31"/>
  <c r="K51" i="31"/>
  <c r="H53" i="31"/>
  <c r="G49" i="31"/>
  <c r="E54" i="31"/>
  <c r="D50" i="31"/>
  <c r="J136" i="31"/>
  <c r="J132" i="31"/>
  <c r="J49" i="31"/>
  <c r="J120" i="31"/>
  <c r="K139" i="31"/>
  <c r="G122" i="31"/>
  <c r="H132" i="31"/>
  <c r="I155" i="31"/>
  <c r="F148" i="31"/>
  <c r="K155" i="31"/>
  <c r="I139" i="31"/>
  <c r="F120" i="31"/>
  <c r="G155" i="31"/>
  <c r="D132" i="31"/>
  <c r="K136" i="31"/>
  <c r="I148" i="31"/>
  <c r="K49" i="31"/>
  <c r="I46" i="31"/>
  <c r="G51" i="31"/>
  <c r="F47" i="31"/>
  <c r="D52" i="31"/>
  <c r="K53" i="31"/>
  <c r="H51" i="31"/>
  <c r="G47" i="31"/>
  <c r="E52" i="31"/>
  <c r="D48" i="31"/>
  <c r="H54" i="31"/>
  <c r="G50" i="31"/>
  <c r="F45" i="31"/>
  <c r="I54" i="31"/>
  <c r="H50" i="31"/>
  <c r="G45" i="31"/>
  <c r="D46" i="31"/>
  <c r="J54" i="31"/>
  <c r="J53" i="31"/>
  <c r="J121" i="31"/>
  <c r="J45" i="31"/>
  <c r="J139" i="31"/>
  <c r="H18" i="31"/>
  <c r="H37" i="31"/>
  <c r="H35" i="31"/>
  <c r="H25" i="31"/>
  <c r="H40" i="31"/>
  <c r="H39" i="31"/>
  <c r="H33" i="31"/>
  <c r="H32" i="31"/>
  <c r="H22" i="31"/>
  <c r="H21" i="31"/>
  <c r="H36" i="31"/>
  <c r="H24" i="31"/>
  <c r="H23" i="31"/>
  <c r="H34" i="31"/>
  <c r="H17" i="31"/>
  <c r="H38" i="31"/>
  <c r="H20" i="31"/>
  <c r="H31" i="31"/>
  <c r="H26" i="31"/>
  <c r="H19" i="31"/>
  <c r="D38" i="31"/>
  <c r="E33" i="31"/>
  <c r="D35" i="31"/>
  <c r="G40" i="31"/>
  <c r="D17" i="31"/>
  <c r="K19" i="31"/>
  <c r="F24" i="31"/>
  <c r="E26" i="31"/>
  <c r="G32" i="31"/>
  <c r="F34" i="31"/>
  <c r="E36" i="31"/>
  <c r="D23" i="31"/>
  <c r="K25" i="31"/>
  <c r="E18" i="31"/>
  <c r="D33" i="31"/>
  <c r="K35" i="31"/>
  <c r="G38" i="31"/>
  <c r="F40" i="31"/>
  <c r="K17" i="31"/>
  <c r="G21" i="31"/>
  <c r="E24" i="31"/>
  <c r="D39" i="31"/>
  <c r="F32" i="31"/>
  <c r="E34" i="31"/>
  <c r="D22" i="31"/>
  <c r="K23" i="31"/>
  <c r="D31" i="31"/>
  <c r="F38" i="31"/>
  <c r="G19" i="31"/>
  <c r="M19" i="31" s="1"/>
  <c r="F21" i="31"/>
  <c r="D37" i="31"/>
  <c r="K39" i="31"/>
  <c r="E32" i="31"/>
  <c r="D20" i="31"/>
  <c r="K22" i="31"/>
  <c r="G25" i="31"/>
  <c r="K31" i="31"/>
  <c r="G35" i="31"/>
  <c r="M35" i="31" s="1"/>
  <c r="E38" i="31"/>
  <c r="D26" i="31"/>
  <c r="G17" i="31"/>
  <c r="F19" i="31"/>
  <c r="E21" i="31"/>
  <c r="D36" i="31"/>
  <c r="K37" i="31"/>
  <c r="D18" i="31"/>
  <c r="K20" i="31"/>
  <c r="G23" i="31"/>
  <c r="M23" i="31" s="1"/>
  <c r="F25" i="31"/>
  <c r="K33" i="31"/>
  <c r="E40" i="31"/>
  <c r="G33" i="31"/>
  <c r="F35" i="31"/>
  <c r="D24" i="31"/>
  <c r="K26" i="31"/>
  <c r="F17" i="31"/>
  <c r="E19" i="31"/>
  <c r="D34" i="31"/>
  <c r="K36" i="31"/>
  <c r="G39" i="31"/>
  <c r="M39" i="31" s="1"/>
  <c r="K18" i="31"/>
  <c r="G22" i="31"/>
  <c r="F23" i="31"/>
  <c r="E25" i="31"/>
  <c r="D40" i="31"/>
  <c r="G31" i="31"/>
  <c r="F33" i="31"/>
  <c r="E35" i="31"/>
  <c r="K24" i="31"/>
  <c r="E17" i="31"/>
  <c r="D32" i="31"/>
  <c r="K34" i="31"/>
  <c r="G37" i="31"/>
  <c r="M37" i="31" s="1"/>
  <c r="F39" i="31"/>
  <c r="G20" i="31"/>
  <c r="M20" i="31" s="1"/>
  <c r="F22" i="31"/>
  <c r="E23" i="31"/>
  <c r="K40" i="31"/>
  <c r="F31" i="31"/>
  <c r="D21" i="31"/>
  <c r="G26" i="31"/>
  <c r="M26" i="31" s="1"/>
  <c r="K32" i="31"/>
  <c r="G36" i="31"/>
  <c r="M36" i="31" s="1"/>
  <c r="F37" i="31"/>
  <c r="E39" i="31"/>
  <c r="G18" i="31"/>
  <c r="F20" i="31"/>
  <c r="E22" i="31"/>
  <c r="K38" i="31"/>
  <c r="E31" i="31"/>
  <c r="D19" i="31"/>
  <c r="K21" i="31"/>
  <c r="G24" i="31"/>
  <c r="M24" i="31" s="1"/>
  <c r="F26" i="31"/>
  <c r="G34" i="31"/>
  <c r="M34" i="31" s="1"/>
  <c r="F36" i="31"/>
  <c r="E37" i="31"/>
  <c r="D25" i="31"/>
  <c r="F18" i="31"/>
  <c r="E20" i="31"/>
  <c r="I11" i="31"/>
  <c r="B638" i="28"/>
  <c r="A638" i="28" s="1"/>
  <c r="B451" i="28"/>
  <c r="B452" i="28" s="1"/>
  <c r="B298" i="28"/>
  <c r="B160" i="28"/>
  <c r="B161" i="28" s="1"/>
  <c r="M33" i="31" l="1"/>
  <c r="M32" i="31"/>
  <c r="L20" i="31"/>
  <c r="L23" i="31"/>
  <c r="L22" i="31"/>
  <c r="L40" i="31"/>
  <c r="L18" i="31"/>
  <c r="I6" i="31"/>
  <c r="M38" i="31"/>
  <c r="M51" i="31"/>
  <c r="L51" i="31"/>
  <c r="M18" i="31"/>
  <c r="M31" i="31"/>
  <c r="M41" i="31" s="1"/>
  <c r="G41" i="31"/>
  <c r="M22" i="31"/>
  <c r="L31" i="31"/>
  <c r="L34" i="31"/>
  <c r="L21" i="31"/>
  <c r="L39" i="31"/>
  <c r="L37" i="31"/>
  <c r="M45" i="31"/>
  <c r="G55" i="31"/>
  <c r="L45" i="31"/>
  <c r="L50" i="31"/>
  <c r="M50" i="31"/>
  <c r="M47" i="31"/>
  <c r="L47" i="31"/>
  <c r="L52" i="31"/>
  <c r="M52" i="31"/>
  <c r="L46" i="31"/>
  <c r="M46" i="31"/>
  <c r="L48" i="31"/>
  <c r="M48" i="31"/>
  <c r="G27" i="31"/>
  <c r="M17" i="31"/>
  <c r="M25" i="31"/>
  <c r="M21" i="31"/>
  <c r="M40" i="31"/>
  <c r="L19" i="31"/>
  <c r="L38" i="31"/>
  <c r="L24" i="31"/>
  <c r="L32" i="31"/>
  <c r="L25" i="31"/>
  <c r="M49" i="31"/>
  <c r="L49" i="31"/>
  <c r="L54" i="31"/>
  <c r="M54" i="31"/>
  <c r="L26" i="31"/>
  <c r="L17" i="31"/>
  <c r="L36" i="31"/>
  <c r="L33" i="31"/>
  <c r="L35" i="31"/>
  <c r="M53" i="31"/>
  <c r="L53" i="31"/>
  <c r="J7" i="31"/>
  <c r="H27" i="31"/>
  <c r="H55" i="31"/>
  <c r="H41" i="31"/>
  <c r="J9" i="31"/>
  <c r="J65" i="31" s="1"/>
  <c r="J3" i="31"/>
  <c r="J59" i="31" s="1"/>
  <c r="J6" i="31"/>
  <c r="J62" i="31" s="1"/>
  <c r="J5" i="31"/>
  <c r="N3" i="31"/>
  <c r="N27" i="31"/>
  <c r="O4" i="31"/>
  <c r="N4" i="31"/>
  <c r="O41" i="31"/>
  <c r="N41" i="31"/>
  <c r="O10" i="31"/>
  <c r="N10" i="31"/>
  <c r="O12" i="31"/>
  <c r="N12" i="31"/>
  <c r="O7" i="31"/>
  <c r="N7" i="31"/>
  <c r="O9" i="31"/>
  <c r="N9" i="31"/>
  <c r="O6" i="31"/>
  <c r="N6" i="31"/>
  <c r="O8" i="31"/>
  <c r="N8" i="31"/>
  <c r="O11" i="31"/>
  <c r="N11" i="31"/>
  <c r="O5" i="31"/>
  <c r="N5" i="31"/>
  <c r="O45" i="31"/>
  <c r="N45" i="31"/>
  <c r="N54" i="31"/>
  <c r="O54" i="31"/>
  <c r="O49" i="31"/>
  <c r="O63" i="31" s="1"/>
  <c r="N49" i="31"/>
  <c r="N63" i="31" s="1"/>
  <c r="O52" i="31"/>
  <c r="N52" i="31"/>
  <c r="N46" i="31"/>
  <c r="O46" i="31"/>
  <c r="N50" i="31"/>
  <c r="O50" i="31"/>
  <c r="O53" i="31"/>
  <c r="O67" i="31" s="1"/>
  <c r="N53" i="31"/>
  <c r="N67" i="31" s="1"/>
  <c r="O48" i="31"/>
  <c r="N48" i="31"/>
  <c r="N47" i="31"/>
  <c r="O47" i="31"/>
  <c r="N51" i="31"/>
  <c r="O51" i="31"/>
  <c r="O114" i="31"/>
  <c r="N114" i="31"/>
  <c r="N109" i="31"/>
  <c r="O109" i="31"/>
  <c r="E5" i="31"/>
  <c r="E61" i="31" s="1"/>
  <c r="J8" i="31"/>
  <c r="J64" i="31" s="1"/>
  <c r="I8" i="31"/>
  <c r="I64" i="31" s="1"/>
  <c r="J12" i="31"/>
  <c r="J11" i="31"/>
  <c r="J67" i="31" s="1"/>
  <c r="J10" i="31"/>
  <c r="J66" i="31" s="1"/>
  <c r="D12" i="31"/>
  <c r="G7" i="31"/>
  <c r="D9" i="31"/>
  <c r="D65" i="31" s="1"/>
  <c r="G12" i="31"/>
  <c r="A298" i="28"/>
  <c r="A811" i="27"/>
  <c r="B812" i="27"/>
  <c r="B184" i="27"/>
  <c r="A183" i="27"/>
  <c r="A1089" i="27"/>
  <c r="B1090" i="27"/>
  <c r="A941" i="27"/>
  <c r="B942" i="27"/>
  <c r="A662" i="27"/>
  <c r="B663" i="27"/>
  <c r="B485" i="27"/>
  <c r="A484" i="27"/>
  <c r="A316" i="27"/>
  <c r="B317" i="27"/>
  <c r="J27" i="31"/>
  <c r="J41" i="31"/>
  <c r="J55" i="31"/>
  <c r="J63" i="31"/>
  <c r="J61" i="31"/>
  <c r="J60" i="31"/>
  <c r="G8" i="31"/>
  <c r="K7" i="31"/>
  <c r="K3" i="31"/>
  <c r="K12" i="31"/>
  <c r="H9" i="31"/>
  <c r="H65" i="31" s="1"/>
  <c r="K8" i="31"/>
  <c r="F12" i="31"/>
  <c r="D7" i="31"/>
  <c r="D63" i="31" s="1"/>
  <c r="E8" i="31"/>
  <c r="E64" i="31" s="1"/>
  <c r="G9" i="31"/>
  <c r="K9" i="31"/>
  <c r="G4" i="31"/>
  <c r="F3" i="31"/>
  <c r="F59" i="31" s="1"/>
  <c r="E10" i="31"/>
  <c r="E66" i="31" s="1"/>
  <c r="G10" i="31"/>
  <c r="I10" i="31"/>
  <c r="I66" i="31" s="1"/>
  <c r="I7" i="31"/>
  <c r="I63" i="31" s="1"/>
  <c r="H7" i="31"/>
  <c r="H63" i="31" s="1"/>
  <c r="I5" i="31"/>
  <c r="I61" i="31" s="1"/>
  <c r="E11" i="31"/>
  <c r="E67" i="31" s="1"/>
  <c r="K4" i="31"/>
  <c r="D4" i="31"/>
  <c r="D60" i="31" s="1"/>
  <c r="G11" i="31"/>
  <c r="F9" i="31"/>
  <c r="E3" i="31"/>
  <c r="E59" i="31" s="1"/>
  <c r="I12" i="31"/>
  <c r="H6" i="31"/>
  <c r="H62" i="31" s="1"/>
  <c r="H11" i="31"/>
  <c r="H8" i="31"/>
  <c r="H10" i="31"/>
  <c r="H3" i="31"/>
  <c r="H12" i="31"/>
  <c r="H5" i="31"/>
  <c r="H61" i="31" s="1"/>
  <c r="H4" i="31"/>
  <c r="H60" i="31" s="1"/>
  <c r="I9" i="31"/>
  <c r="E7" i="31"/>
  <c r="E63" i="31" s="1"/>
  <c r="K27" i="31"/>
  <c r="E12" i="31"/>
  <c r="E9" i="31"/>
  <c r="E65" i="31" s="1"/>
  <c r="E27" i="31"/>
  <c r="D27" i="31"/>
  <c r="I3" i="31"/>
  <c r="I59" i="31" s="1"/>
  <c r="F27" i="31"/>
  <c r="E55" i="31"/>
  <c r="I27" i="31"/>
  <c r="F4" i="31"/>
  <c r="G5" i="31"/>
  <c r="F11" i="31"/>
  <c r="F6" i="31"/>
  <c r="F62" i="31" s="1"/>
  <c r="D10" i="31"/>
  <c r="D8" i="31"/>
  <c r="D5" i="31"/>
  <c r="D61" i="31" s="1"/>
  <c r="K41" i="31"/>
  <c r="G3" i="31"/>
  <c r="D3" i="31"/>
  <c r="G6" i="31"/>
  <c r="I41" i="31"/>
  <c r="D55" i="31"/>
  <c r="F7" i="31"/>
  <c r="F63" i="31" s="1"/>
  <c r="K10" i="31"/>
  <c r="K5" i="31"/>
  <c r="K61" i="31" s="1"/>
  <c r="D11" i="31"/>
  <c r="F41" i="31"/>
  <c r="D6" i="31"/>
  <c r="D62" i="31" s="1"/>
  <c r="I62" i="31"/>
  <c r="I55" i="31"/>
  <c r="I4" i="31"/>
  <c r="E4" i="31"/>
  <c r="E41" i="31"/>
  <c r="F10" i="31"/>
  <c r="F66" i="31" s="1"/>
  <c r="F8" i="31"/>
  <c r="K55" i="31"/>
  <c r="F5" i="31"/>
  <c r="F61" i="31" s="1"/>
  <c r="D41" i="31"/>
  <c r="F55" i="31"/>
  <c r="K11" i="31"/>
  <c r="K67" i="31" s="1"/>
  <c r="E6" i="31"/>
  <c r="E62" i="31" s="1"/>
  <c r="K6" i="31"/>
  <c r="K62" i="31" s="1"/>
  <c r="I67" i="31"/>
  <c r="A161" i="28"/>
  <c r="B162" i="28"/>
  <c r="A160" i="28"/>
  <c r="B299" i="28"/>
  <c r="A452" i="28"/>
  <c r="B453" i="28"/>
  <c r="A451" i="28"/>
  <c r="B639" i="28"/>
  <c r="M5" i="31" l="1"/>
  <c r="L5" i="31"/>
  <c r="L41" i="31"/>
  <c r="M3" i="31"/>
  <c r="G13" i="31"/>
  <c r="L3" i="31"/>
  <c r="M9" i="31"/>
  <c r="L9" i="31"/>
  <c r="L65" i="31" s="1"/>
  <c r="M27" i="31"/>
  <c r="L55" i="31"/>
  <c r="M11" i="31"/>
  <c r="L11" i="31"/>
  <c r="L67" i="31" s="1"/>
  <c r="M10" i="31"/>
  <c r="L10" i="31"/>
  <c r="M7" i="31"/>
  <c r="L7" i="31"/>
  <c r="M8" i="31"/>
  <c r="L8" i="31"/>
  <c r="M12" i="31"/>
  <c r="L12" i="31"/>
  <c r="O61" i="31"/>
  <c r="M6" i="31"/>
  <c r="L6" i="31"/>
  <c r="M4" i="31"/>
  <c r="M60" i="31" s="1"/>
  <c r="L4" i="31"/>
  <c r="N61" i="31"/>
  <c r="L27" i="31"/>
  <c r="M55" i="31"/>
  <c r="N65" i="31"/>
  <c r="O62" i="31"/>
  <c r="N64" i="31"/>
  <c r="O66" i="31"/>
  <c r="O60" i="31"/>
  <c r="H13" i="31"/>
  <c r="O65" i="31"/>
  <c r="G63" i="31"/>
  <c r="G60" i="31"/>
  <c r="N60" i="31"/>
  <c r="N62" i="31"/>
  <c r="N66" i="31"/>
  <c r="O64" i="31"/>
  <c r="N96" i="31"/>
  <c r="N103" i="31"/>
  <c r="N84" i="31"/>
  <c r="N91" i="31"/>
  <c r="O103" i="31"/>
  <c r="O96" i="31"/>
  <c r="N13" i="31"/>
  <c r="O3" i="31"/>
  <c r="O13" i="31" s="1"/>
  <c r="O27" i="31"/>
  <c r="N55" i="31"/>
  <c r="N59" i="31"/>
  <c r="O55" i="31"/>
  <c r="L64" i="31"/>
  <c r="M63" i="31"/>
  <c r="M64" i="31"/>
  <c r="K96" i="31"/>
  <c r="K99" i="31"/>
  <c r="K103" i="31"/>
  <c r="G84" i="31"/>
  <c r="G91" i="31"/>
  <c r="K84" i="31"/>
  <c r="K87" i="31"/>
  <c r="K91" i="31"/>
  <c r="J91" i="31"/>
  <c r="J84" i="31"/>
  <c r="E96" i="31"/>
  <c r="E103" i="31"/>
  <c r="F91" i="31"/>
  <c r="F84" i="31"/>
  <c r="E91" i="31"/>
  <c r="E84" i="31"/>
  <c r="H84" i="31"/>
  <c r="H91" i="31"/>
  <c r="I91" i="31"/>
  <c r="I84" i="31"/>
  <c r="H96" i="31"/>
  <c r="H103" i="31"/>
  <c r="D96" i="31"/>
  <c r="D103" i="31"/>
  <c r="F96" i="31"/>
  <c r="F103" i="31"/>
  <c r="G103" i="31"/>
  <c r="G96" i="31"/>
  <c r="D91" i="31"/>
  <c r="D84" i="31"/>
  <c r="I103" i="31"/>
  <c r="I96" i="31"/>
  <c r="J96" i="31"/>
  <c r="J103" i="31"/>
  <c r="A812" i="27"/>
  <c r="B813" i="27"/>
  <c r="A485" i="27"/>
  <c r="B486" i="27"/>
  <c r="B318" i="27"/>
  <c r="A317" i="27"/>
  <c r="A663" i="27"/>
  <c r="B664" i="27"/>
  <c r="A1090" i="27"/>
  <c r="B1091" i="27"/>
  <c r="A942" i="27"/>
  <c r="B943" i="27"/>
  <c r="A184" i="27"/>
  <c r="B185" i="27"/>
  <c r="J13" i="31"/>
  <c r="K63" i="31"/>
  <c r="K60" i="31"/>
  <c r="L59" i="31"/>
  <c r="M65" i="31"/>
  <c r="M62" i="31"/>
  <c r="M67" i="31"/>
  <c r="M66" i="31"/>
  <c r="M61" i="31"/>
  <c r="G65" i="31"/>
  <c r="G61" i="31"/>
  <c r="L61" i="31"/>
  <c r="G62" i="31"/>
  <c r="L62" i="31"/>
  <c r="L66" i="31"/>
  <c r="L63" i="31"/>
  <c r="D64" i="31"/>
  <c r="F64" i="31"/>
  <c r="H64" i="31"/>
  <c r="H67" i="31"/>
  <c r="G66" i="31"/>
  <c r="K66" i="31"/>
  <c r="I65" i="31"/>
  <c r="H66" i="31"/>
  <c r="F67" i="31"/>
  <c r="G67" i="31"/>
  <c r="D67" i="31"/>
  <c r="K64" i="31"/>
  <c r="D66" i="31"/>
  <c r="F65" i="31"/>
  <c r="G64" i="31"/>
  <c r="H59" i="31"/>
  <c r="K59" i="31"/>
  <c r="K65" i="31"/>
  <c r="I60" i="31"/>
  <c r="F60" i="31"/>
  <c r="E60" i="31"/>
  <c r="D59" i="31"/>
  <c r="D13" i="31"/>
  <c r="F13" i="31"/>
  <c r="I13" i="31"/>
  <c r="G59" i="31"/>
  <c r="K13" i="31"/>
  <c r="E13" i="31"/>
  <c r="A639" i="28"/>
  <c r="B640" i="28"/>
  <c r="B454" i="28"/>
  <c r="A453" i="28"/>
  <c r="B163" i="28"/>
  <c r="A162" i="28"/>
  <c r="A299" i="28"/>
  <c r="B300" i="28"/>
  <c r="M13" i="31" l="1"/>
  <c r="L13" i="31"/>
  <c r="M59" i="31"/>
  <c r="O59" i="31"/>
  <c r="O72" i="31"/>
  <c r="O79" i="31"/>
  <c r="N72" i="31"/>
  <c r="N79" i="31"/>
  <c r="O84" i="31"/>
  <c r="O91" i="31"/>
  <c r="L96" i="31"/>
  <c r="L103" i="31"/>
  <c r="M103" i="31"/>
  <c r="M96" i="31"/>
  <c r="L84" i="31"/>
  <c r="L91" i="31"/>
  <c r="M91" i="31"/>
  <c r="M84" i="31"/>
  <c r="F79" i="31"/>
  <c r="F72" i="31"/>
  <c r="K75" i="31"/>
  <c r="K79" i="31"/>
  <c r="K72" i="31"/>
  <c r="G79" i="31"/>
  <c r="G72" i="31"/>
  <c r="D79" i="31"/>
  <c r="D72" i="31"/>
  <c r="H79" i="31"/>
  <c r="H72" i="31"/>
  <c r="E72" i="31"/>
  <c r="E79" i="31"/>
  <c r="I72" i="31"/>
  <c r="I79" i="31"/>
  <c r="J79" i="31"/>
  <c r="J72" i="31"/>
  <c r="A813" i="27"/>
  <c r="B814" i="27"/>
  <c r="B186" i="27"/>
  <c r="A185" i="27"/>
  <c r="A943" i="27"/>
  <c r="B944" i="27"/>
  <c r="A1091" i="27"/>
  <c r="B1092" i="27"/>
  <c r="A318" i="27"/>
  <c r="B319" i="27"/>
  <c r="A664" i="27"/>
  <c r="B665" i="27"/>
  <c r="B487" i="27"/>
  <c r="A486" i="27"/>
  <c r="L60" i="31"/>
  <c r="A300" i="28"/>
  <c r="B301" i="28"/>
  <c r="A640" i="28"/>
  <c r="B641" i="28"/>
  <c r="A163" i="28"/>
  <c r="B164" i="28"/>
  <c r="A454" i="28"/>
  <c r="B455" i="28"/>
  <c r="M72" i="31" l="1"/>
  <c r="M79" i="31"/>
  <c r="L79" i="31"/>
  <c r="L72" i="31"/>
  <c r="A814" i="27"/>
  <c r="B815" i="27"/>
  <c r="A665" i="27"/>
  <c r="B666" i="27"/>
  <c r="A319" i="27"/>
  <c r="B320" i="27"/>
  <c r="A944" i="27"/>
  <c r="B945" i="27"/>
  <c r="A1092" i="27"/>
  <c r="B1093" i="27"/>
  <c r="A487" i="27"/>
  <c r="B488" i="27"/>
  <c r="A186" i="27"/>
  <c r="B187" i="27"/>
  <c r="A641" i="28"/>
  <c r="B642" i="28"/>
  <c r="B165" i="28"/>
  <c r="A164" i="28"/>
  <c r="A301" i="28"/>
  <c r="B302" i="28"/>
  <c r="B456" i="28"/>
  <c r="A455" i="28"/>
  <c r="A815" i="27" l="1"/>
  <c r="B816" i="27"/>
  <c r="B188" i="27"/>
  <c r="A187" i="27"/>
  <c r="A1093" i="27"/>
  <c r="B1094" i="27"/>
  <c r="A945" i="27"/>
  <c r="B946" i="27"/>
  <c r="A666" i="27"/>
  <c r="B667" i="27"/>
  <c r="B489" i="27"/>
  <c r="A488" i="27"/>
  <c r="A320" i="27"/>
  <c r="B321" i="27"/>
  <c r="A642" i="28"/>
  <c r="B643" i="28"/>
  <c r="A302" i="28"/>
  <c r="B303" i="28"/>
  <c r="A456" i="28"/>
  <c r="B457" i="28"/>
  <c r="A165" i="28"/>
  <c r="B166" i="28"/>
  <c r="A816" i="27" l="1"/>
  <c r="B817" i="27"/>
  <c r="A946" i="27"/>
  <c r="B947" i="27"/>
  <c r="A489" i="27"/>
  <c r="B490" i="27"/>
  <c r="A188" i="27"/>
  <c r="B189" i="27"/>
  <c r="A667" i="27"/>
  <c r="B668" i="27"/>
  <c r="A1094" i="27"/>
  <c r="B1095" i="27"/>
  <c r="A321" i="27"/>
  <c r="B322" i="27"/>
  <c r="B167" i="28"/>
  <c r="A166" i="28"/>
  <c r="A643" i="28"/>
  <c r="B644" i="28"/>
  <c r="B458" i="28"/>
  <c r="A457" i="28"/>
  <c r="A303" i="28"/>
  <c r="B304" i="28"/>
  <c r="A817" i="27" l="1"/>
  <c r="B818" i="27"/>
  <c r="A947" i="27"/>
  <c r="B948" i="27"/>
  <c r="A322" i="27"/>
  <c r="B323" i="27"/>
  <c r="A668" i="27"/>
  <c r="B669" i="27"/>
  <c r="B491" i="27"/>
  <c r="A490" i="27"/>
  <c r="A1095" i="27"/>
  <c r="B1096" i="27"/>
  <c r="B190" i="27"/>
  <c r="A189" i="27"/>
  <c r="A458" i="28"/>
  <c r="B459" i="28"/>
  <c r="A167" i="28"/>
  <c r="B168" i="28"/>
  <c r="A644" i="28"/>
  <c r="B645" i="28"/>
  <c r="A304" i="28"/>
  <c r="B305" i="28"/>
  <c r="A818" i="27" l="1"/>
  <c r="B819" i="27"/>
  <c r="A1096" i="27"/>
  <c r="B1097" i="27"/>
  <c r="B324" i="27"/>
  <c r="A323" i="27"/>
  <c r="A669" i="27"/>
  <c r="B670" i="27"/>
  <c r="A948" i="27"/>
  <c r="B949" i="27"/>
  <c r="A190" i="27"/>
  <c r="B191" i="27"/>
  <c r="A491" i="27"/>
  <c r="B492" i="27"/>
  <c r="A305" i="28"/>
  <c r="B306" i="28"/>
  <c r="A645" i="28"/>
  <c r="B646" i="28"/>
  <c r="B169" i="28"/>
  <c r="A168" i="28"/>
  <c r="B460" i="28"/>
  <c r="A459" i="28"/>
  <c r="A819" i="27" l="1"/>
  <c r="B820" i="27"/>
  <c r="B192" i="27"/>
  <c r="A191" i="27"/>
  <c r="B493" i="27"/>
  <c r="A492" i="27"/>
  <c r="A670" i="27"/>
  <c r="B671" i="27"/>
  <c r="A324" i="27"/>
  <c r="B325" i="27"/>
  <c r="A949" i="27"/>
  <c r="B950" i="27"/>
  <c r="A1097" i="27"/>
  <c r="B1098" i="27"/>
  <c r="A306" i="28"/>
  <c r="B307" i="28"/>
  <c r="A646" i="28"/>
  <c r="B647" i="28"/>
  <c r="A460" i="28"/>
  <c r="B461" i="28"/>
  <c r="A169" i="28"/>
  <c r="B170" i="28"/>
  <c r="A820" i="27" l="1"/>
  <c r="B821" i="27"/>
  <c r="A950" i="27"/>
  <c r="B951" i="27"/>
  <c r="A493" i="27"/>
  <c r="B494" i="27"/>
  <c r="A192" i="27"/>
  <c r="B193" i="27"/>
  <c r="A1098" i="27"/>
  <c r="B1099" i="27"/>
  <c r="B326" i="27"/>
  <c r="A325" i="27"/>
  <c r="A671" i="27"/>
  <c r="B672" i="27"/>
  <c r="A647" i="28"/>
  <c r="B648" i="28"/>
  <c r="B462" i="28"/>
  <c r="A461" i="28"/>
  <c r="B171" i="28"/>
  <c r="A170" i="28"/>
  <c r="A307" i="28"/>
  <c r="B308" i="28"/>
  <c r="A821" i="27" l="1"/>
  <c r="B822" i="27"/>
  <c r="B194" i="27"/>
  <c r="A193" i="27"/>
  <c r="A326" i="27"/>
  <c r="B327" i="27"/>
  <c r="A672" i="27"/>
  <c r="B673" i="27"/>
  <c r="A1099" i="27"/>
  <c r="B1100" i="27"/>
  <c r="B495" i="27"/>
  <c r="A494" i="27"/>
  <c r="A951" i="27"/>
  <c r="B952" i="27"/>
  <c r="A648" i="28"/>
  <c r="B649" i="28"/>
  <c r="A308" i="28"/>
  <c r="B309" i="28"/>
  <c r="A171" i="28"/>
  <c r="B172" i="28"/>
  <c r="A462" i="28"/>
  <c r="B463" i="28"/>
  <c r="A822" i="27" l="1"/>
  <c r="B823" i="27"/>
  <c r="A194" i="27"/>
  <c r="B195" i="27"/>
  <c r="A952" i="27"/>
  <c r="B953" i="27"/>
  <c r="A673" i="27"/>
  <c r="B674" i="27"/>
  <c r="A327" i="27"/>
  <c r="B328" i="27"/>
  <c r="A1100" i="27"/>
  <c r="B1101" i="27"/>
  <c r="A495" i="27"/>
  <c r="B496" i="27"/>
  <c r="B464" i="28"/>
  <c r="A463" i="28"/>
  <c r="A172" i="28"/>
  <c r="B173" i="28"/>
  <c r="A309" i="28"/>
  <c r="B310" i="28"/>
  <c r="A649" i="28"/>
  <c r="B650" i="28"/>
  <c r="A823" i="27" l="1"/>
  <c r="B824" i="27"/>
  <c r="A1101" i="27"/>
  <c r="B1102" i="27"/>
  <c r="A674" i="27"/>
  <c r="B675" i="27"/>
  <c r="B196" i="27"/>
  <c r="A195" i="27"/>
  <c r="B497" i="27"/>
  <c r="A496" i="27"/>
  <c r="A328" i="27"/>
  <c r="B329" i="27"/>
  <c r="A953" i="27"/>
  <c r="B954" i="27"/>
  <c r="A310" i="28"/>
  <c r="B311" i="28"/>
  <c r="A650" i="28"/>
  <c r="B651" i="28"/>
  <c r="A173" i="28"/>
  <c r="B174" i="28"/>
  <c r="A464" i="28"/>
  <c r="B465" i="28"/>
  <c r="B825" i="27" l="1"/>
  <c r="A824" i="27"/>
  <c r="A497" i="27"/>
  <c r="B498" i="27"/>
  <c r="A329" i="27"/>
  <c r="B330" i="27"/>
  <c r="A1102" i="27"/>
  <c r="B1103" i="27"/>
  <c r="A196" i="27"/>
  <c r="B197" i="27"/>
  <c r="A954" i="27"/>
  <c r="B955" i="27"/>
  <c r="A675" i="27"/>
  <c r="B676" i="27"/>
  <c r="A174" i="28"/>
  <c r="B175" i="28"/>
  <c r="A311" i="28"/>
  <c r="B312" i="28"/>
  <c r="B466" i="28"/>
  <c r="A465" i="28"/>
  <c r="A651" i="28"/>
  <c r="B652" i="28"/>
  <c r="A825" i="27" l="1"/>
  <c r="B826" i="27"/>
  <c r="A955" i="27"/>
  <c r="B956" i="27"/>
  <c r="A1103" i="27"/>
  <c r="B1104" i="27"/>
  <c r="A676" i="27"/>
  <c r="B677" i="27"/>
  <c r="B198" i="27"/>
  <c r="A197" i="27"/>
  <c r="A330" i="27"/>
  <c r="B331" i="27"/>
  <c r="B499" i="27"/>
  <c r="A498" i="27"/>
  <c r="A466" i="28"/>
  <c r="B467" i="28"/>
  <c r="A312" i="28"/>
  <c r="B313" i="28"/>
  <c r="A652" i="28"/>
  <c r="B653" i="28"/>
  <c r="A175" i="28"/>
  <c r="B176" i="28"/>
  <c r="B827" i="27" l="1"/>
  <c r="A826" i="27"/>
  <c r="A956" i="27"/>
  <c r="B957" i="27"/>
  <c r="A499" i="27"/>
  <c r="B500" i="27"/>
  <c r="A198" i="27"/>
  <c r="B199" i="27"/>
  <c r="B332" i="27"/>
  <c r="A331" i="27"/>
  <c r="A677" i="27"/>
  <c r="B678" i="27"/>
  <c r="A1104" i="27"/>
  <c r="B1105" i="27"/>
  <c r="A176" i="28"/>
  <c r="B177" i="28"/>
  <c r="A313" i="28"/>
  <c r="B314" i="28"/>
  <c r="A653" i="28"/>
  <c r="B654" i="28"/>
  <c r="B468" i="28"/>
  <c r="A467" i="28"/>
  <c r="A827" i="27" l="1"/>
  <c r="B828" i="27"/>
  <c r="A332" i="27"/>
  <c r="B333" i="27"/>
  <c r="A678" i="27"/>
  <c r="B679" i="27"/>
  <c r="B200" i="27"/>
  <c r="A199" i="27"/>
  <c r="A957" i="27"/>
  <c r="B958" i="27"/>
  <c r="A1105" i="27"/>
  <c r="B1106" i="27"/>
  <c r="B501" i="27"/>
  <c r="A500" i="27"/>
  <c r="A468" i="28"/>
  <c r="B469" i="28"/>
  <c r="A314" i="28"/>
  <c r="B315" i="28"/>
  <c r="A654" i="28"/>
  <c r="B655" i="28"/>
  <c r="A177" i="28"/>
  <c r="B178" i="28"/>
  <c r="A828" i="27" l="1"/>
  <c r="B829" i="27"/>
  <c r="A501" i="27"/>
  <c r="B502" i="27"/>
  <c r="A1106" i="27"/>
  <c r="B1107" i="27"/>
  <c r="A200" i="27"/>
  <c r="B201" i="27"/>
  <c r="A958" i="27"/>
  <c r="B959" i="27"/>
  <c r="A679" i="27"/>
  <c r="B680" i="27"/>
  <c r="B334" i="27"/>
  <c r="A333" i="27"/>
  <c r="A178" i="28"/>
  <c r="B179" i="28"/>
  <c r="A655" i="28"/>
  <c r="B656" i="28"/>
  <c r="A315" i="28"/>
  <c r="B316" i="28"/>
  <c r="B470" i="28"/>
  <c r="A469" i="28"/>
  <c r="A829" i="27" l="1"/>
  <c r="B830" i="27"/>
  <c r="B202" i="27"/>
  <c r="A201" i="27"/>
  <c r="B503" i="27"/>
  <c r="A502" i="27"/>
  <c r="A959" i="27"/>
  <c r="B960" i="27"/>
  <c r="A1107" i="27"/>
  <c r="B1108" i="27"/>
  <c r="A334" i="27"/>
  <c r="B335" i="27"/>
  <c r="A680" i="27"/>
  <c r="B681" i="27"/>
  <c r="A316" i="28"/>
  <c r="B317" i="28"/>
  <c r="A656" i="28"/>
  <c r="B657" i="28"/>
  <c r="A179" i="28"/>
  <c r="B180" i="28"/>
  <c r="A470" i="28"/>
  <c r="B471" i="28"/>
  <c r="A830" i="27" l="1"/>
  <c r="B831" i="27"/>
  <c r="A681" i="27"/>
  <c r="B682" i="27"/>
  <c r="A1108" i="27"/>
  <c r="B1109" i="27"/>
  <c r="A503" i="27"/>
  <c r="B504" i="27"/>
  <c r="A335" i="27"/>
  <c r="B336" i="27"/>
  <c r="A960" i="27"/>
  <c r="B961" i="27"/>
  <c r="A202" i="27"/>
  <c r="B203" i="27"/>
  <c r="A180" i="28"/>
  <c r="B181" i="28"/>
  <c r="A657" i="28"/>
  <c r="B658" i="28"/>
  <c r="B472" i="28"/>
  <c r="A471" i="28"/>
  <c r="A317" i="28"/>
  <c r="B318" i="28"/>
  <c r="A831" i="27" l="1"/>
  <c r="B832" i="27"/>
  <c r="A961" i="27"/>
  <c r="B962" i="27"/>
  <c r="A336" i="27"/>
  <c r="B337" i="27"/>
  <c r="B204" i="27"/>
  <c r="A203" i="27"/>
  <c r="B505" i="27"/>
  <c r="A504" i="27"/>
  <c r="A1109" i="27"/>
  <c r="B1110" i="27"/>
  <c r="A682" i="27"/>
  <c r="B683" i="27"/>
  <c r="A658" i="28"/>
  <c r="B659" i="28"/>
  <c r="A181" i="28"/>
  <c r="B182" i="28"/>
  <c r="A318" i="28"/>
  <c r="B319" i="28"/>
  <c r="A472" i="28"/>
  <c r="B473" i="28"/>
  <c r="A832" i="27" l="1"/>
  <c r="B833" i="27"/>
  <c r="A683" i="27"/>
  <c r="B684" i="27"/>
  <c r="A1110" i="27"/>
  <c r="B1111" i="27"/>
  <c r="A337" i="27"/>
  <c r="B338" i="27"/>
  <c r="A962" i="27"/>
  <c r="B963" i="27"/>
  <c r="A505" i="27"/>
  <c r="B506" i="27"/>
  <c r="A204" i="27"/>
  <c r="B205" i="27"/>
  <c r="A319" i="28"/>
  <c r="B320" i="28"/>
  <c r="A659" i="28"/>
  <c r="B660" i="28"/>
  <c r="B474" i="28"/>
  <c r="A473" i="28"/>
  <c r="A182" i="28"/>
  <c r="B183" i="28"/>
  <c r="A833" i="27" l="1"/>
  <c r="B834" i="27"/>
  <c r="B206" i="27"/>
  <c r="A205" i="27"/>
  <c r="A963" i="27"/>
  <c r="B964" i="27"/>
  <c r="A338" i="27"/>
  <c r="B339" i="27"/>
  <c r="A1111" i="27"/>
  <c r="B1112" i="27"/>
  <c r="B507" i="27"/>
  <c r="A506" i="27"/>
  <c r="A684" i="27"/>
  <c r="B685" i="27"/>
  <c r="A474" i="28"/>
  <c r="B475" i="28"/>
  <c r="A183" i="28"/>
  <c r="B184" i="28"/>
  <c r="A660" i="28"/>
  <c r="B661" i="28"/>
  <c r="A320" i="28"/>
  <c r="B321" i="28"/>
  <c r="A834" i="27" l="1"/>
  <c r="B835" i="27"/>
  <c r="A685" i="27"/>
  <c r="B686" i="27"/>
  <c r="A1112" i="27"/>
  <c r="B1113" i="27"/>
  <c r="A964" i="27"/>
  <c r="B965" i="27"/>
  <c r="A339" i="27"/>
  <c r="B340" i="27"/>
  <c r="A507" i="27"/>
  <c r="B508" i="27"/>
  <c r="A206" i="27"/>
  <c r="B207" i="27"/>
  <c r="A321" i="28"/>
  <c r="B322" i="28"/>
  <c r="A661" i="28"/>
  <c r="B662" i="28"/>
  <c r="B476" i="28"/>
  <c r="A475" i="28"/>
  <c r="A184" i="28"/>
  <c r="B185" i="28"/>
  <c r="A835" i="27" l="1"/>
  <c r="B836" i="27"/>
  <c r="B208" i="27"/>
  <c r="A207" i="27"/>
  <c r="A340" i="27"/>
  <c r="B341" i="27"/>
  <c r="A965" i="27"/>
  <c r="B966" i="27"/>
  <c r="B509" i="27"/>
  <c r="A508" i="27"/>
  <c r="A1113" i="27"/>
  <c r="B1114" i="27"/>
  <c r="A686" i="27"/>
  <c r="B687" i="27"/>
  <c r="A476" i="28"/>
  <c r="B477" i="28"/>
  <c r="A185" i="28"/>
  <c r="B186" i="28"/>
  <c r="A662" i="28"/>
  <c r="B663" i="28"/>
  <c r="A322" i="28"/>
  <c r="B323" i="28"/>
  <c r="A836" i="27" l="1"/>
  <c r="B837" i="27"/>
  <c r="A1114" i="27"/>
  <c r="B1115" i="27"/>
  <c r="A509" i="27"/>
  <c r="B510" i="27"/>
  <c r="A687" i="27"/>
  <c r="B688" i="27"/>
  <c r="A341" i="27"/>
  <c r="B342" i="27"/>
  <c r="A966" i="27"/>
  <c r="B967" i="27"/>
  <c r="A208" i="27"/>
  <c r="B209" i="27"/>
  <c r="A186" i="28"/>
  <c r="B187" i="28"/>
  <c r="A323" i="28"/>
  <c r="B324" i="28"/>
  <c r="A663" i="28"/>
  <c r="B664" i="28"/>
  <c r="B478" i="28"/>
  <c r="A477" i="28"/>
  <c r="A837" i="27" l="1"/>
  <c r="B838" i="27"/>
  <c r="A967" i="27"/>
  <c r="B968" i="27"/>
  <c r="A1115" i="27"/>
  <c r="B1116" i="27"/>
  <c r="B210" i="27"/>
  <c r="A209" i="27"/>
  <c r="A342" i="27"/>
  <c r="B343" i="27"/>
  <c r="B511" i="27"/>
  <c r="A510" i="27"/>
  <c r="A688" i="27"/>
  <c r="B689" i="27"/>
  <c r="A664" i="28"/>
  <c r="B665" i="28"/>
  <c r="A187" i="28"/>
  <c r="B188" i="28"/>
  <c r="A324" i="28"/>
  <c r="B325" i="28"/>
  <c r="A478" i="28"/>
  <c r="B479" i="28"/>
  <c r="A838" i="27" l="1"/>
  <c r="B839" i="27"/>
  <c r="A689" i="27"/>
  <c r="B690" i="27"/>
  <c r="A210" i="27"/>
  <c r="B211" i="27"/>
  <c r="A343" i="27"/>
  <c r="B344" i="27"/>
  <c r="A1116" i="27"/>
  <c r="B1117" i="27"/>
  <c r="A968" i="27"/>
  <c r="B969" i="27"/>
  <c r="A511" i="27"/>
  <c r="B512" i="27"/>
  <c r="A188" i="28"/>
  <c r="B189" i="28"/>
  <c r="B480" i="28"/>
  <c r="A479" i="28"/>
  <c r="A325" i="28"/>
  <c r="B326" i="28"/>
  <c r="A665" i="28"/>
  <c r="B666" i="28"/>
  <c r="A839" i="27" l="1"/>
  <c r="B840" i="27"/>
  <c r="B513" i="27"/>
  <c r="A512" i="27"/>
  <c r="A1117" i="27"/>
  <c r="B1118" i="27"/>
  <c r="B212" i="27"/>
  <c r="A211" i="27"/>
  <c r="A969" i="27"/>
  <c r="B970" i="27"/>
  <c r="A344" i="27"/>
  <c r="B345" i="27"/>
  <c r="A690" i="27"/>
  <c r="B691" i="27"/>
  <c r="A480" i="28"/>
  <c r="B481" i="28"/>
  <c r="A326" i="28"/>
  <c r="B327" i="28"/>
  <c r="A189" i="28"/>
  <c r="B190" i="28"/>
  <c r="A666" i="28"/>
  <c r="B667" i="28"/>
  <c r="B841" i="27" l="1"/>
  <c r="A840" i="27"/>
  <c r="A691" i="27"/>
  <c r="B692" i="27"/>
  <c r="A345" i="27"/>
  <c r="B346" i="27"/>
  <c r="A1118" i="27"/>
  <c r="B1119" i="27"/>
  <c r="A970" i="27"/>
  <c r="B971" i="27"/>
  <c r="A212" i="27"/>
  <c r="B213" i="27"/>
  <c r="A513" i="27"/>
  <c r="B514" i="27"/>
  <c r="A327" i="28"/>
  <c r="B328" i="28"/>
  <c r="A667" i="28"/>
  <c r="B668" i="28"/>
  <c r="A190" i="28"/>
  <c r="B191" i="28"/>
  <c r="B482" i="28"/>
  <c r="A481" i="28"/>
  <c r="B842" i="27" l="1"/>
  <c r="A841" i="27"/>
  <c r="B515" i="27"/>
  <c r="A514" i="27"/>
  <c r="A971" i="27"/>
  <c r="B972" i="27"/>
  <c r="A692" i="27"/>
  <c r="B693" i="27"/>
  <c r="B214" i="27"/>
  <c r="A213" i="27"/>
  <c r="A1119" i="27"/>
  <c r="B1120" i="27"/>
  <c r="A346" i="27"/>
  <c r="B347" i="27"/>
  <c r="A482" i="28"/>
  <c r="B483" i="28"/>
  <c r="A191" i="28"/>
  <c r="B192" i="28"/>
  <c r="A328" i="28"/>
  <c r="B329" i="28"/>
  <c r="A668" i="28"/>
  <c r="B669" i="28"/>
  <c r="A842" i="27" l="1"/>
  <c r="B843" i="27"/>
  <c r="A1120" i="27"/>
  <c r="B1121" i="27"/>
  <c r="A693" i="27"/>
  <c r="B694" i="27"/>
  <c r="A972" i="27"/>
  <c r="B973" i="27"/>
  <c r="A347" i="27"/>
  <c r="B348" i="27"/>
  <c r="A214" i="27"/>
  <c r="B215" i="27"/>
  <c r="A515" i="27"/>
  <c r="B516" i="27"/>
  <c r="A669" i="28"/>
  <c r="B670" i="28"/>
  <c r="A192" i="28"/>
  <c r="B193" i="28"/>
  <c r="A329" i="28"/>
  <c r="B330" i="28"/>
  <c r="B484" i="28"/>
  <c r="A483" i="28"/>
  <c r="A843" i="27" l="1"/>
  <c r="B844" i="27"/>
  <c r="B517" i="27"/>
  <c r="A516" i="27"/>
  <c r="A973" i="27"/>
  <c r="B974" i="27"/>
  <c r="A1121" i="27"/>
  <c r="B1122" i="27"/>
  <c r="B216" i="27"/>
  <c r="A215" i="27"/>
  <c r="A348" i="27"/>
  <c r="B349" i="27"/>
  <c r="A694" i="27"/>
  <c r="B695" i="27"/>
  <c r="A484" i="28"/>
  <c r="B485" i="28"/>
  <c r="A330" i="28"/>
  <c r="B331" i="28"/>
  <c r="A193" i="28"/>
  <c r="B194" i="28"/>
  <c r="A670" i="28"/>
  <c r="B671" i="28"/>
  <c r="A844" i="27" l="1"/>
  <c r="B845" i="27"/>
  <c r="A216" i="27"/>
  <c r="B217" i="27"/>
  <c r="A349" i="27"/>
  <c r="B350" i="27"/>
  <c r="A1122" i="27"/>
  <c r="B1123" i="27"/>
  <c r="A974" i="27"/>
  <c r="B975" i="27"/>
  <c r="A695" i="27"/>
  <c r="B696" i="27"/>
  <c r="A517" i="27"/>
  <c r="B518" i="27"/>
  <c r="A194" i="28"/>
  <c r="B195" i="28"/>
  <c r="B486" i="28"/>
  <c r="A485" i="28"/>
  <c r="A671" i="28"/>
  <c r="B672" i="28"/>
  <c r="A331" i="28"/>
  <c r="B332" i="28"/>
  <c r="A845" i="27" l="1"/>
  <c r="B846" i="27"/>
  <c r="A696" i="27"/>
  <c r="B697" i="27"/>
  <c r="B519" i="27"/>
  <c r="A518" i="27"/>
  <c r="A975" i="27"/>
  <c r="B976" i="27"/>
  <c r="A1123" i="27"/>
  <c r="B1124" i="27"/>
  <c r="B218" i="27"/>
  <c r="A217" i="27"/>
  <c r="A350" i="27"/>
  <c r="B351" i="27"/>
  <c r="A332" i="28"/>
  <c r="B333" i="28"/>
  <c r="A486" i="28"/>
  <c r="B487" i="28"/>
  <c r="A672" i="28"/>
  <c r="B673" i="28"/>
  <c r="A195" i="28"/>
  <c r="B196" i="28"/>
  <c r="A846" i="27" l="1"/>
  <c r="B847" i="27"/>
  <c r="A218" i="27"/>
  <c r="B219" i="27"/>
  <c r="A351" i="27"/>
  <c r="B352" i="27"/>
  <c r="A1124" i="27"/>
  <c r="B1125" i="27"/>
  <c r="A519" i="27"/>
  <c r="B520" i="27"/>
  <c r="A976" i="27"/>
  <c r="B977" i="27"/>
  <c r="A697" i="27"/>
  <c r="B698" i="27"/>
  <c r="A673" i="28"/>
  <c r="B674" i="28"/>
  <c r="A333" i="28"/>
  <c r="B334" i="28"/>
  <c r="A196" i="28"/>
  <c r="B197" i="28"/>
  <c r="B488" i="28"/>
  <c r="A487" i="28"/>
  <c r="A847" i="27" l="1"/>
  <c r="B848" i="27"/>
  <c r="A698" i="27"/>
  <c r="B699" i="27"/>
  <c r="A1125" i="27"/>
  <c r="B1126" i="27"/>
  <c r="A352" i="27"/>
  <c r="B353" i="27"/>
  <c r="A977" i="27"/>
  <c r="B978" i="27"/>
  <c r="B521" i="27"/>
  <c r="A520" i="27"/>
  <c r="B220" i="27"/>
  <c r="A219" i="27"/>
  <c r="A334" i="28"/>
  <c r="B335" i="28"/>
  <c r="A488" i="28"/>
  <c r="B489" i="28"/>
  <c r="A197" i="28"/>
  <c r="B198" i="28"/>
  <c r="A674" i="28"/>
  <c r="B675" i="28"/>
  <c r="B849" i="27" l="1"/>
  <c r="A848" i="27"/>
  <c r="A353" i="27"/>
  <c r="B354" i="27"/>
  <c r="A220" i="27"/>
  <c r="B221" i="27"/>
  <c r="A521" i="27"/>
  <c r="B522" i="27"/>
  <c r="A978" i="27"/>
  <c r="B979" i="27"/>
  <c r="A1126" i="27"/>
  <c r="B1127" i="27"/>
  <c r="A699" i="27"/>
  <c r="B700" i="27"/>
  <c r="A675" i="28"/>
  <c r="B676" i="28"/>
  <c r="B490" i="28"/>
  <c r="A489" i="28"/>
  <c r="A198" i="28"/>
  <c r="B199" i="28"/>
  <c r="A335" i="28"/>
  <c r="B336" i="28"/>
  <c r="A849" i="27" l="1"/>
  <c r="B850" i="27"/>
  <c r="A700" i="27"/>
  <c r="B701" i="27"/>
  <c r="A979" i="27"/>
  <c r="B980" i="27"/>
  <c r="B523" i="27"/>
  <c r="A522" i="27"/>
  <c r="A1127" i="27"/>
  <c r="B1128" i="27"/>
  <c r="B222" i="27"/>
  <c r="A221" i="27"/>
  <c r="A354" i="27"/>
  <c r="B355" i="27"/>
  <c r="A336" i="28"/>
  <c r="B337" i="28"/>
  <c r="A490" i="28"/>
  <c r="B491" i="28"/>
  <c r="A199" i="28"/>
  <c r="B200" i="28"/>
  <c r="A676" i="28"/>
  <c r="B677" i="28"/>
  <c r="A850" i="27" l="1"/>
  <c r="B851" i="27"/>
  <c r="A355" i="27"/>
  <c r="B356" i="27"/>
  <c r="A980" i="27"/>
  <c r="B981" i="27"/>
  <c r="A1128" i="27"/>
  <c r="B1129" i="27"/>
  <c r="A701" i="27"/>
  <c r="B702" i="27"/>
  <c r="A222" i="27"/>
  <c r="B223" i="27"/>
  <c r="A523" i="27"/>
  <c r="B524" i="27"/>
  <c r="A677" i="28"/>
  <c r="B678" i="28"/>
  <c r="B492" i="28"/>
  <c r="A491" i="28"/>
  <c r="A200" i="28"/>
  <c r="B201" i="28"/>
  <c r="A337" i="28"/>
  <c r="B338" i="28"/>
  <c r="A851" i="27" l="1"/>
  <c r="B852" i="27"/>
  <c r="B525" i="27"/>
  <c r="A524" i="27"/>
  <c r="A702" i="27"/>
  <c r="B703" i="27"/>
  <c r="A981" i="27"/>
  <c r="B982" i="27"/>
  <c r="B224" i="27"/>
  <c r="A223" i="27"/>
  <c r="A1129" i="27"/>
  <c r="B1130" i="27"/>
  <c r="A356" i="27"/>
  <c r="B357" i="27"/>
  <c r="A201" i="28"/>
  <c r="B202" i="28"/>
  <c r="A492" i="28"/>
  <c r="B493" i="28"/>
  <c r="A338" i="28"/>
  <c r="B339" i="28"/>
  <c r="A678" i="28"/>
  <c r="B679" i="28"/>
  <c r="A852" i="27" l="1"/>
  <c r="B853" i="27"/>
  <c r="A224" i="27"/>
  <c r="B225" i="27"/>
  <c r="A357" i="27"/>
  <c r="B358" i="27"/>
  <c r="A1130" i="27"/>
  <c r="B1131" i="27"/>
  <c r="A703" i="27"/>
  <c r="B704" i="27"/>
  <c r="A982" i="27"/>
  <c r="B983" i="27"/>
  <c r="A525" i="27"/>
  <c r="B526" i="27"/>
  <c r="B494" i="28"/>
  <c r="A493" i="28"/>
  <c r="A679" i="28"/>
  <c r="B680" i="28"/>
  <c r="A339" i="28"/>
  <c r="B340" i="28"/>
  <c r="A202" i="28"/>
  <c r="B203" i="28"/>
  <c r="A853" i="27" l="1"/>
  <c r="B854" i="27"/>
  <c r="B527" i="27"/>
  <c r="A526" i="27"/>
  <c r="A704" i="27"/>
  <c r="B705" i="27"/>
  <c r="A1131" i="27"/>
  <c r="B1132" i="27"/>
  <c r="B226" i="27"/>
  <c r="A225" i="27"/>
  <c r="A983" i="27"/>
  <c r="B984" i="27"/>
  <c r="A358" i="27"/>
  <c r="B359" i="27"/>
  <c r="A340" i="28"/>
  <c r="B341" i="28"/>
  <c r="A494" i="28"/>
  <c r="B495" i="28"/>
  <c r="A680" i="28"/>
  <c r="B681" i="28"/>
  <c r="A203" i="28"/>
  <c r="B204" i="28"/>
  <c r="A854" i="27" l="1"/>
  <c r="B855" i="27"/>
  <c r="A705" i="27"/>
  <c r="B706" i="27"/>
  <c r="A226" i="27"/>
  <c r="B227" i="27"/>
  <c r="A359" i="27"/>
  <c r="B360" i="27"/>
  <c r="A984" i="27"/>
  <c r="B985" i="27"/>
  <c r="A1132" i="27"/>
  <c r="B1133" i="27"/>
  <c r="A527" i="27"/>
  <c r="B528" i="27"/>
  <c r="A681" i="28"/>
  <c r="B682" i="28"/>
  <c r="B496" i="28"/>
  <c r="A495" i="28"/>
  <c r="A204" i="28"/>
  <c r="B205" i="28"/>
  <c r="A341" i="28"/>
  <c r="B342" i="28"/>
  <c r="B856" i="27" l="1"/>
  <c r="A855" i="27"/>
  <c r="B529" i="27"/>
  <c r="A528" i="27"/>
  <c r="A985" i="27"/>
  <c r="B986" i="27"/>
  <c r="B228" i="27"/>
  <c r="A227" i="27"/>
  <c r="A1133" i="27"/>
  <c r="B1134" i="27"/>
  <c r="A360" i="27"/>
  <c r="B361" i="27"/>
  <c r="A706" i="27"/>
  <c r="B707" i="27"/>
  <c r="A496" i="28"/>
  <c r="B497" i="28"/>
  <c r="A205" i="28"/>
  <c r="B206" i="28"/>
  <c r="A682" i="28"/>
  <c r="B683" i="28"/>
  <c r="A342" i="28"/>
  <c r="B343" i="28"/>
  <c r="A856" i="27" l="1"/>
  <c r="B857" i="27"/>
  <c r="A361" i="27"/>
  <c r="B362" i="27"/>
  <c r="A986" i="27"/>
  <c r="B987" i="27"/>
  <c r="A1134" i="27"/>
  <c r="B1135" i="27"/>
  <c r="A707" i="27"/>
  <c r="B708" i="27"/>
  <c r="A228" i="27"/>
  <c r="B229" i="27"/>
  <c r="A529" i="27"/>
  <c r="B530" i="27"/>
  <c r="A343" i="28"/>
  <c r="B344" i="28"/>
  <c r="A683" i="28"/>
  <c r="B684" i="28"/>
  <c r="A206" i="28"/>
  <c r="B207" i="28"/>
  <c r="B498" i="28"/>
  <c r="A497" i="28"/>
  <c r="A857" i="27" l="1"/>
  <c r="B858" i="27"/>
  <c r="B531" i="27"/>
  <c r="A530" i="27"/>
  <c r="A708" i="27"/>
  <c r="B709" i="27"/>
  <c r="A987" i="27"/>
  <c r="B988" i="27"/>
  <c r="A362" i="27"/>
  <c r="B363" i="27"/>
  <c r="B230" i="27"/>
  <c r="A229" i="27"/>
  <c r="A1135" i="27"/>
  <c r="B1136" i="27"/>
  <c r="A684" i="28"/>
  <c r="B685" i="28"/>
  <c r="A207" i="28"/>
  <c r="B208" i="28"/>
  <c r="A344" i="28"/>
  <c r="B345" i="28"/>
  <c r="A498" i="28"/>
  <c r="B499" i="28"/>
  <c r="A858" i="27" l="1"/>
  <c r="B859" i="27"/>
  <c r="A230" i="27"/>
  <c r="B231" i="27"/>
  <c r="B1137" i="27"/>
  <c r="A1136" i="27"/>
  <c r="A363" i="27"/>
  <c r="B364" i="27"/>
  <c r="A709" i="27"/>
  <c r="B710" i="27"/>
  <c r="A988" i="27"/>
  <c r="B989" i="27"/>
  <c r="A531" i="27"/>
  <c r="B532" i="27"/>
  <c r="B500" i="28"/>
  <c r="A499" i="28"/>
  <c r="A345" i="28"/>
  <c r="B346" i="28"/>
  <c r="A685" i="28"/>
  <c r="B686" i="28"/>
  <c r="A208" i="28"/>
  <c r="B209" i="28"/>
  <c r="B860" i="27" l="1"/>
  <c r="A859" i="27"/>
  <c r="B533" i="27"/>
  <c r="A532" i="27"/>
  <c r="A989" i="27"/>
  <c r="B990" i="27"/>
  <c r="A364" i="27"/>
  <c r="B365" i="27"/>
  <c r="A710" i="27"/>
  <c r="B711" i="27"/>
  <c r="B232" i="27"/>
  <c r="A231" i="27"/>
  <c r="A1137" i="27"/>
  <c r="B1138" i="27"/>
  <c r="A209" i="28"/>
  <c r="B210" i="28"/>
  <c r="A346" i="28"/>
  <c r="B347" i="28"/>
  <c r="A686" i="28"/>
  <c r="B687" i="28"/>
  <c r="A500" i="28"/>
  <c r="B501" i="28"/>
  <c r="A860" i="27" l="1"/>
  <c r="B861" i="27"/>
  <c r="A232" i="27"/>
  <c r="B233" i="27"/>
  <c r="B1139" i="27"/>
  <c r="A1138" i="27"/>
  <c r="A711" i="27"/>
  <c r="B712" i="27"/>
  <c r="A990" i="27"/>
  <c r="B991" i="27"/>
  <c r="A365" i="27"/>
  <c r="B366" i="27"/>
  <c r="A533" i="27"/>
  <c r="B534" i="27"/>
  <c r="B502" i="28"/>
  <c r="A501" i="28"/>
  <c r="A687" i="28"/>
  <c r="B688" i="28"/>
  <c r="A210" i="28"/>
  <c r="B211" i="28"/>
  <c r="A347" i="28"/>
  <c r="B348" i="28"/>
  <c r="A861" i="27" l="1"/>
  <c r="B862" i="27"/>
  <c r="B535" i="27"/>
  <c r="A534" i="27"/>
  <c r="A1139" i="27"/>
  <c r="B1140" i="27"/>
  <c r="A366" i="27"/>
  <c r="B367" i="27"/>
  <c r="A991" i="27"/>
  <c r="B992" i="27"/>
  <c r="A712" i="27"/>
  <c r="B713" i="27"/>
  <c r="B234" i="27"/>
  <c r="A233" i="27"/>
  <c r="A348" i="28"/>
  <c r="B349" i="28"/>
  <c r="A688" i="28"/>
  <c r="B689" i="28"/>
  <c r="A211" i="28"/>
  <c r="B212" i="28"/>
  <c r="A502" i="28"/>
  <c r="B503" i="28"/>
  <c r="A862" i="27" l="1"/>
  <c r="B863" i="27"/>
  <c r="A992" i="27"/>
  <c r="B993" i="27"/>
  <c r="B1141" i="27"/>
  <c r="A1140" i="27"/>
  <c r="A713" i="27"/>
  <c r="B714" i="27"/>
  <c r="A367" i="27"/>
  <c r="B368" i="27"/>
  <c r="A234" i="27"/>
  <c r="B235" i="27"/>
  <c r="A535" i="27"/>
  <c r="B536" i="27"/>
  <c r="B504" i="28"/>
  <c r="A503" i="28"/>
  <c r="A212" i="28"/>
  <c r="B213" i="28"/>
  <c r="A349" i="28"/>
  <c r="B350" i="28"/>
  <c r="A689" i="28"/>
  <c r="B690" i="28"/>
  <c r="A863" i="27" l="1"/>
  <c r="B864" i="27"/>
  <c r="B537" i="27"/>
  <c r="A536" i="27"/>
  <c r="A714" i="27"/>
  <c r="B715" i="27"/>
  <c r="A1141" i="27"/>
  <c r="B1142" i="27"/>
  <c r="B236" i="27"/>
  <c r="A235" i="27"/>
  <c r="A368" i="27"/>
  <c r="B369" i="27"/>
  <c r="A993" i="27"/>
  <c r="B994" i="27"/>
  <c r="A690" i="28"/>
  <c r="B691" i="28"/>
  <c r="A213" i="28"/>
  <c r="B214" i="28"/>
  <c r="A350" i="28"/>
  <c r="B351" i="28"/>
  <c r="A504" i="28"/>
  <c r="B505" i="28"/>
  <c r="A864" i="27" l="1"/>
  <c r="B865" i="27"/>
  <c r="A994" i="27"/>
  <c r="B995" i="27"/>
  <c r="A369" i="27"/>
  <c r="B370" i="27"/>
  <c r="B1143" i="27"/>
  <c r="A1142" i="27"/>
  <c r="A715" i="27"/>
  <c r="B716" i="27"/>
  <c r="A236" i="27"/>
  <c r="B237" i="27"/>
  <c r="A537" i="27"/>
  <c r="B538" i="27"/>
  <c r="A214" i="28"/>
  <c r="B215" i="28"/>
  <c r="B506" i="28"/>
  <c r="A505" i="28"/>
  <c r="A351" i="28"/>
  <c r="B352" i="28"/>
  <c r="A691" i="28"/>
  <c r="B692" i="28"/>
  <c r="A865" i="27" l="1"/>
  <c r="B866" i="27"/>
  <c r="B238" i="27"/>
  <c r="A237" i="27"/>
  <c r="B539" i="27"/>
  <c r="A538" i="27"/>
  <c r="A370" i="27"/>
  <c r="B371" i="27"/>
  <c r="A716" i="27"/>
  <c r="B717" i="27"/>
  <c r="A995" i="27"/>
  <c r="B996" i="27"/>
  <c r="A1143" i="27"/>
  <c r="B1144" i="27"/>
  <c r="A506" i="28"/>
  <c r="B507" i="28"/>
  <c r="A352" i="28"/>
  <c r="B353" i="28"/>
  <c r="A215" i="28"/>
  <c r="B216" i="28"/>
  <c r="A692" i="28"/>
  <c r="B693" i="28"/>
  <c r="A866" i="27" l="1"/>
  <c r="B867" i="27"/>
  <c r="B1145" i="27"/>
  <c r="A1144" i="27"/>
  <c r="A717" i="27"/>
  <c r="B718" i="27"/>
  <c r="A539" i="27"/>
  <c r="B540" i="27"/>
  <c r="A996" i="27"/>
  <c r="B997" i="27"/>
  <c r="A371" i="27"/>
  <c r="B372" i="27"/>
  <c r="A238" i="27"/>
  <c r="B239" i="27"/>
  <c r="A693" i="28"/>
  <c r="B694" i="28"/>
  <c r="A353" i="28"/>
  <c r="B354" i="28"/>
  <c r="A216" i="28"/>
  <c r="B217" i="28"/>
  <c r="B508" i="28"/>
  <c r="A507" i="28"/>
  <c r="A867" i="27" l="1"/>
  <c r="B868" i="27"/>
  <c r="B240" i="27"/>
  <c r="A239" i="27"/>
  <c r="A372" i="27"/>
  <c r="B373" i="27"/>
  <c r="B541" i="27"/>
  <c r="A540" i="27"/>
  <c r="A718" i="27"/>
  <c r="B719" i="27"/>
  <c r="A997" i="27"/>
  <c r="B998" i="27"/>
  <c r="A1145" i="27"/>
  <c r="B1146" i="27"/>
  <c r="A217" i="28"/>
  <c r="B218" i="28"/>
  <c r="A354" i="28"/>
  <c r="B355" i="28"/>
  <c r="A694" i="28"/>
  <c r="B695" i="28"/>
  <c r="A508" i="28"/>
  <c r="B509" i="28"/>
  <c r="A868" i="27" l="1"/>
  <c r="B869" i="27"/>
  <c r="B1147" i="27"/>
  <c r="A1146" i="27"/>
  <c r="A719" i="27"/>
  <c r="B720" i="27"/>
  <c r="A373" i="27"/>
  <c r="B374" i="27"/>
  <c r="A998" i="27"/>
  <c r="B999" i="27"/>
  <c r="A541" i="27"/>
  <c r="B542" i="27"/>
  <c r="A240" i="27"/>
  <c r="B241" i="27"/>
  <c r="B510" i="28"/>
  <c r="A509" i="28"/>
  <c r="A695" i="28"/>
  <c r="B696" i="28"/>
  <c r="A355" i="28"/>
  <c r="B356" i="28"/>
  <c r="A218" i="28"/>
  <c r="B219" i="28"/>
  <c r="A869" i="27" l="1"/>
  <c r="B870" i="27"/>
  <c r="B242" i="27"/>
  <c r="A241" i="27"/>
  <c r="A999" i="27"/>
  <c r="B1000" i="27"/>
  <c r="A720" i="27"/>
  <c r="B721" i="27"/>
  <c r="A1147" i="27"/>
  <c r="B1148" i="27"/>
  <c r="B543" i="27"/>
  <c r="A542" i="27"/>
  <c r="A374" i="27"/>
  <c r="B375" i="27"/>
  <c r="A356" i="28"/>
  <c r="B357" i="28"/>
  <c r="A696" i="28"/>
  <c r="B697" i="28"/>
  <c r="A219" i="28"/>
  <c r="B220" i="28"/>
  <c r="A510" i="28"/>
  <c r="B511" i="28"/>
  <c r="A870" i="27" l="1"/>
  <c r="B871" i="27"/>
  <c r="A543" i="27"/>
  <c r="B544" i="27"/>
  <c r="A375" i="27"/>
  <c r="B376" i="27"/>
  <c r="B1149" i="27"/>
  <c r="A1148" i="27"/>
  <c r="A1000" i="27"/>
  <c r="B1001" i="27"/>
  <c r="A721" i="27"/>
  <c r="B722" i="27"/>
  <c r="A242" i="27"/>
  <c r="B243" i="27"/>
  <c r="A220" i="28"/>
  <c r="B221" i="28"/>
  <c r="A697" i="28"/>
  <c r="B698" i="28"/>
  <c r="A357" i="28"/>
  <c r="B358" i="28"/>
  <c r="B512" i="28"/>
  <c r="A511" i="28"/>
  <c r="A871" i="27" l="1"/>
  <c r="B872" i="27"/>
  <c r="B244" i="27"/>
  <c r="A243" i="27"/>
  <c r="A1149" i="27"/>
  <c r="B1150" i="27"/>
  <c r="A722" i="27"/>
  <c r="B723" i="27"/>
  <c r="A1001" i="27"/>
  <c r="B1002" i="27"/>
  <c r="A376" i="27"/>
  <c r="B377" i="27"/>
  <c r="B545" i="27"/>
  <c r="A544" i="27"/>
  <c r="A698" i="28"/>
  <c r="B699" i="28"/>
  <c r="A358" i="28"/>
  <c r="B359" i="28"/>
  <c r="A221" i="28"/>
  <c r="B222" i="28"/>
  <c r="A512" i="28"/>
  <c r="B513" i="28"/>
  <c r="A872" i="27" l="1"/>
  <c r="B873" i="27"/>
  <c r="A1002" i="27"/>
  <c r="B1003" i="27"/>
  <c r="B1151" i="27"/>
  <c r="A1150" i="27"/>
  <c r="A377" i="27"/>
  <c r="B378" i="27"/>
  <c r="A723" i="27"/>
  <c r="B724" i="27"/>
  <c r="A545" i="27"/>
  <c r="B546" i="27"/>
  <c r="A244" i="27"/>
  <c r="B245" i="27"/>
  <c r="A222" i="28"/>
  <c r="B223" i="28"/>
  <c r="A359" i="28"/>
  <c r="B360" i="28"/>
  <c r="B514" i="28"/>
  <c r="A513" i="28"/>
  <c r="A699" i="28"/>
  <c r="B700" i="28"/>
  <c r="A873" i="27" l="1"/>
  <c r="B874" i="27"/>
  <c r="B246" i="27"/>
  <c r="A245" i="27"/>
  <c r="A378" i="27"/>
  <c r="B379" i="27"/>
  <c r="A1151" i="27"/>
  <c r="B1152" i="27"/>
  <c r="B547" i="27"/>
  <c r="A546" i="27"/>
  <c r="A724" i="27"/>
  <c r="B725" i="27"/>
  <c r="A1003" i="27"/>
  <c r="B1004" i="27"/>
  <c r="A700" i="28"/>
  <c r="B701" i="28"/>
  <c r="A514" i="28"/>
  <c r="B515" i="28"/>
  <c r="A360" i="28"/>
  <c r="B361" i="28"/>
  <c r="A223" i="28"/>
  <c r="B224" i="28"/>
  <c r="A874" i="27" l="1"/>
  <c r="B875" i="27"/>
  <c r="A1004" i="27"/>
  <c r="B1005" i="27"/>
  <c r="A725" i="27"/>
  <c r="B726" i="27"/>
  <c r="B1153" i="27"/>
  <c r="A1152" i="27"/>
  <c r="A379" i="27"/>
  <c r="B380" i="27"/>
  <c r="A547" i="27"/>
  <c r="B548" i="27"/>
  <c r="A246" i="27"/>
  <c r="B247" i="27"/>
  <c r="A224" i="28"/>
  <c r="B225" i="28"/>
  <c r="A361" i="28"/>
  <c r="B362" i="28"/>
  <c r="A515" i="28"/>
  <c r="B516" i="28"/>
  <c r="A701" i="28"/>
  <c r="B702" i="28"/>
  <c r="A875" i="27" l="1"/>
  <c r="B876" i="27"/>
  <c r="B248" i="27"/>
  <c r="A247" i="27"/>
  <c r="A726" i="27"/>
  <c r="B727" i="27"/>
  <c r="B549" i="27"/>
  <c r="A548" i="27"/>
  <c r="A380" i="27"/>
  <c r="B381" i="27"/>
  <c r="A1005" i="27"/>
  <c r="B1006" i="27"/>
  <c r="A1153" i="27"/>
  <c r="B1154" i="27"/>
  <c r="A702" i="28"/>
  <c r="B703" i="28"/>
  <c r="A362" i="28"/>
  <c r="B363" i="28"/>
  <c r="A516" i="28"/>
  <c r="B517" i="28"/>
  <c r="A225" i="28"/>
  <c r="B226" i="28"/>
  <c r="A876" i="27" l="1"/>
  <c r="B877" i="27"/>
  <c r="A549" i="27"/>
  <c r="B550" i="27"/>
  <c r="B1155" i="27"/>
  <c r="A1154" i="27"/>
  <c r="A381" i="27"/>
  <c r="B382" i="27"/>
  <c r="A727" i="27"/>
  <c r="B728" i="27"/>
  <c r="A1006" i="27"/>
  <c r="B1007" i="27"/>
  <c r="A248" i="27"/>
  <c r="B249" i="27"/>
  <c r="A226" i="28"/>
  <c r="B227" i="28"/>
  <c r="A517" i="28"/>
  <c r="B518" i="28"/>
  <c r="A363" i="28"/>
  <c r="B364" i="28"/>
  <c r="A703" i="28"/>
  <c r="B704" i="28"/>
  <c r="A877" i="27" l="1"/>
  <c r="B878" i="27"/>
  <c r="A1007" i="27"/>
  <c r="B1008" i="27"/>
  <c r="B250" i="27"/>
  <c r="A249" i="27"/>
  <c r="A382" i="27"/>
  <c r="B383" i="27"/>
  <c r="B551" i="27"/>
  <c r="A550" i="27"/>
  <c r="A728" i="27"/>
  <c r="B729" i="27"/>
  <c r="A1155" i="27"/>
  <c r="B1156" i="27"/>
  <c r="A704" i="28"/>
  <c r="B705" i="28"/>
  <c r="A364" i="28"/>
  <c r="B365" i="28"/>
  <c r="A518" i="28"/>
  <c r="B519" i="28"/>
  <c r="A227" i="28"/>
  <c r="B228" i="28"/>
  <c r="A878" i="27" l="1"/>
  <c r="B879" i="27"/>
  <c r="B1157" i="27"/>
  <c r="A1156" i="27"/>
  <c r="A729" i="27"/>
  <c r="B730" i="27"/>
  <c r="A383" i="27"/>
  <c r="B384" i="27"/>
  <c r="A250" i="27"/>
  <c r="B251" i="27"/>
  <c r="A1008" i="27"/>
  <c r="B1009" i="27"/>
  <c r="A551" i="27"/>
  <c r="B552" i="27"/>
  <c r="A365" i="28"/>
  <c r="B366" i="28"/>
  <c r="A228" i="28"/>
  <c r="B229" i="28"/>
  <c r="B520" i="28"/>
  <c r="A519" i="28"/>
  <c r="A705" i="28"/>
  <c r="B706" i="28"/>
  <c r="A879" i="27" l="1"/>
  <c r="B880" i="27"/>
  <c r="B553" i="27"/>
  <c r="A552" i="27"/>
  <c r="B252" i="27"/>
  <c r="A251" i="27"/>
  <c r="A730" i="27"/>
  <c r="B731" i="27"/>
  <c r="A1009" i="27"/>
  <c r="B1010" i="27"/>
  <c r="A384" i="27"/>
  <c r="B385" i="27"/>
  <c r="A1157" i="27"/>
  <c r="B1158" i="27"/>
  <c r="A366" i="28"/>
  <c r="B367" i="28"/>
  <c r="A520" i="28"/>
  <c r="B521" i="28"/>
  <c r="A706" i="28"/>
  <c r="B707" i="28"/>
  <c r="A229" i="28"/>
  <c r="B230" i="28"/>
  <c r="A880" i="27" l="1"/>
  <c r="B881" i="27"/>
  <c r="B1159" i="27"/>
  <c r="A1158" i="27"/>
  <c r="A731" i="27"/>
  <c r="B732" i="27"/>
  <c r="A1010" i="27"/>
  <c r="B1011" i="27"/>
  <c r="A385" i="27"/>
  <c r="B386" i="27"/>
  <c r="A252" i="27"/>
  <c r="B253" i="27"/>
  <c r="A553" i="27"/>
  <c r="B554" i="27"/>
  <c r="A230" i="28"/>
  <c r="B231" i="28"/>
  <c r="A521" i="28"/>
  <c r="B522" i="28"/>
  <c r="A707" i="28"/>
  <c r="B708" i="28"/>
  <c r="A367" i="28"/>
  <c r="B368" i="28"/>
  <c r="A881" i="27" l="1"/>
  <c r="B882" i="27"/>
  <c r="B555" i="27"/>
  <c r="A554" i="27"/>
  <c r="A386" i="27"/>
  <c r="B387" i="27"/>
  <c r="A1011" i="27"/>
  <c r="B1012" i="27"/>
  <c r="A732" i="27"/>
  <c r="B733" i="27"/>
  <c r="B254" i="27"/>
  <c r="A253" i="27"/>
  <c r="A1159" i="27"/>
  <c r="B1160" i="27"/>
  <c r="A708" i="28"/>
  <c r="B709" i="28"/>
  <c r="A522" i="28"/>
  <c r="B523" i="28"/>
  <c r="A368" i="28"/>
  <c r="B369" i="28"/>
  <c r="A231" i="28"/>
  <c r="B232" i="28"/>
  <c r="A882" i="27" l="1"/>
  <c r="B883" i="27"/>
  <c r="A254" i="27"/>
  <c r="B255" i="27"/>
  <c r="B1161" i="27"/>
  <c r="A1160" i="27"/>
  <c r="A733" i="27"/>
  <c r="B734" i="27"/>
  <c r="A387" i="27"/>
  <c r="B388" i="27"/>
  <c r="A1012" i="27"/>
  <c r="B1013" i="27"/>
  <c r="A555" i="27"/>
  <c r="B556" i="27"/>
  <c r="A232" i="28"/>
  <c r="B233" i="28"/>
  <c r="A523" i="28"/>
  <c r="B524" i="28"/>
  <c r="A369" i="28"/>
  <c r="B370" i="28"/>
  <c r="A709" i="28"/>
  <c r="B710" i="28"/>
  <c r="A883" i="27" l="1"/>
  <c r="B884" i="27"/>
  <c r="B557" i="27"/>
  <c r="A556" i="27"/>
  <c r="A1013" i="27"/>
  <c r="B1014" i="27"/>
  <c r="A1161" i="27"/>
  <c r="B1162" i="27"/>
  <c r="A388" i="27"/>
  <c r="B389" i="27"/>
  <c r="A734" i="27"/>
  <c r="B735" i="27"/>
  <c r="B256" i="27"/>
  <c r="A255" i="27"/>
  <c r="A370" i="28"/>
  <c r="B371" i="28"/>
  <c r="A710" i="28"/>
  <c r="B711" i="28"/>
  <c r="A524" i="28"/>
  <c r="B525" i="28"/>
  <c r="A233" i="28"/>
  <c r="B234" i="28"/>
  <c r="A884" i="27" l="1"/>
  <c r="B885" i="27"/>
  <c r="A389" i="27"/>
  <c r="B390" i="27"/>
  <c r="B1163" i="27"/>
  <c r="A1162" i="27"/>
  <c r="A1014" i="27"/>
  <c r="B1015" i="27"/>
  <c r="A256" i="27"/>
  <c r="B257" i="27"/>
  <c r="A735" i="27"/>
  <c r="B736" i="27"/>
  <c r="A557" i="27"/>
  <c r="B558" i="27"/>
  <c r="A234" i="28"/>
  <c r="B235" i="28"/>
  <c r="A525" i="28"/>
  <c r="B526" i="28"/>
  <c r="A711" i="28"/>
  <c r="B712" i="28"/>
  <c r="A371" i="28"/>
  <c r="B372" i="28"/>
  <c r="A885" i="27" l="1"/>
  <c r="B886" i="27"/>
  <c r="B559" i="27"/>
  <c r="A558" i="27"/>
  <c r="B258" i="27"/>
  <c r="A257" i="27"/>
  <c r="A1163" i="27"/>
  <c r="B1164" i="27"/>
  <c r="A736" i="27"/>
  <c r="B737" i="27"/>
  <c r="A1015" i="27"/>
  <c r="B1016" i="27"/>
  <c r="A390" i="27"/>
  <c r="B391" i="27"/>
  <c r="A712" i="28"/>
  <c r="B713" i="28"/>
  <c r="A526" i="28"/>
  <c r="B527" i="28"/>
  <c r="A372" i="28"/>
  <c r="B373" i="28"/>
  <c r="A235" i="28"/>
  <c r="B236" i="28"/>
  <c r="A886" i="27" l="1"/>
  <c r="B887" i="27"/>
  <c r="A391" i="27"/>
  <c r="B392" i="27"/>
  <c r="A737" i="27"/>
  <c r="B738" i="27"/>
  <c r="B1165" i="27"/>
  <c r="A1164" i="27"/>
  <c r="A1016" i="27"/>
  <c r="B1017" i="27"/>
  <c r="A258" i="27"/>
  <c r="B259" i="27"/>
  <c r="A559" i="27"/>
  <c r="B560" i="27"/>
  <c r="A236" i="28"/>
  <c r="B237" i="28"/>
  <c r="A527" i="28"/>
  <c r="B528" i="28"/>
  <c r="A373" i="28"/>
  <c r="B374" i="28"/>
  <c r="A713" i="28"/>
  <c r="B714" i="28"/>
  <c r="A887" i="27" l="1"/>
  <c r="B888" i="27"/>
  <c r="B561" i="27"/>
  <c r="A560" i="27"/>
  <c r="B1018" i="27"/>
  <c r="A1017" i="27"/>
  <c r="A738" i="27"/>
  <c r="B739" i="27"/>
  <c r="B260" i="27"/>
  <c r="A259" i="27"/>
  <c r="A392" i="27"/>
  <c r="B393" i="27"/>
  <c r="A1165" i="27"/>
  <c r="B1166" i="27"/>
  <c r="A714" i="28"/>
  <c r="B715" i="28"/>
  <c r="A374" i="28"/>
  <c r="B375" i="28"/>
  <c r="A528" i="28"/>
  <c r="B529" i="28"/>
  <c r="A237" i="28"/>
  <c r="B238" i="28"/>
  <c r="A888" i="27" l="1"/>
  <c r="B889" i="27"/>
  <c r="B1167" i="27"/>
  <c r="A1166" i="27"/>
  <c r="A739" i="27"/>
  <c r="B740" i="27"/>
  <c r="A1018" i="27"/>
  <c r="B1019" i="27"/>
  <c r="A393" i="27"/>
  <c r="B394" i="27"/>
  <c r="A260" i="27"/>
  <c r="B261" i="27"/>
  <c r="A561" i="27"/>
  <c r="B562" i="27"/>
  <c r="A238" i="28"/>
  <c r="B239" i="28"/>
  <c r="A529" i="28"/>
  <c r="B530" i="28"/>
  <c r="A375" i="28"/>
  <c r="B376" i="28"/>
  <c r="A715" i="28"/>
  <c r="B716" i="28"/>
  <c r="A889" i="27" l="1"/>
  <c r="B890" i="27"/>
  <c r="B563" i="27"/>
  <c r="A562" i="27"/>
  <c r="A1019" i="27"/>
  <c r="B1020" i="27"/>
  <c r="B262" i="27"/>
  <c r="A261" i="27"/>
  <c r="A394" i="27"/>
  <c r="B395" i="27"/>
  <c r="A740" i="27"/>
  <c r="B741" i="27"/>
  <c r="A1167" i="27"/>
  <c r="B1168" i="27"/>
  <c r="A376" i="28"/>
  <c r="B377" i="28"/>
  <c r="A530" i="28"/>
  <c r="B531" i="28"/>
  <c r="A716" i="28"/>
  <c r="B717" i="28"/>
  <c r="A239" i="28"/>
  <c r="B240" i="28"/>
  <c r="A890" i="27" l="1"/>
  <c r="B891" i="27"/>
  <c r="B1169" i="27"/>
  <c r="A1168" i="27"/>
  <c r="A395" i="27"/>
  <c r="B396" i="27"/>
  <c r="A1020" i="27"/>
  <c r="B1021" i="27"/>
  <c r="A741" i="27"/>
  <c r="B742" i="27"/>
  <c r="A262" i="27"/>
  <c r="B263" i="27"/>
  <c r="A563" i="27"/>
  <c r="B564" i="27"/>
  <c r="A717" i="28"/>
  <c r="B718" i="28"/>
  <c r="A240" i="28"/>
  <c r="B241" i="28"/>
  <c r="A531" i="28"/>
  <c r="B532" i="28"/>
  <c r="A377" i="28"/>
  <c r="B378" i="28"/>
  <c r="A891" i="27" l="1"/>
  <c r="B892" i="27"/>
  <c r="B565" i="27"/>
  <c r="A564" i="27"/>
  <c r="A742" i="27"/>
  <c r="B743" i="27"/>
  <c r="A396" i="27"/>
  <c r="B397" i="27"/>
  <c r="B264" i="27"/>
  <c r="A263" i="27"/>
  <c r="A1021" i="27"/>
  <c r="B1022" i="27"/>
  <c r="A1169" i="27"/>
  <c r="B1170" i="27"/>
  <c r="A532" i="28"/>
  <c r="B533" i="28"/>
  <c r="A378" i="28"/>
  <c r="B379" i="28"/>
  <c r="A241" i="28"/>
  <c r="B242" i="28"/>
  <c r="A718" i="28"/>
  <c r="B719" i="28"/>
  <c r="A892" i="27" l="1"/>
  <c r="B893" i="27"/>
  <c r="A264" i="27"/>
  <c r="B265" i="27"/>
  <c r="B1171" i="27"/>
  <c r="A1170" i="27"/>
  <c r="A1022" i="27"/>
  <c r="B1023" i="27"/>
  <c r="A397" i="27"/>
  <c r="B398" i="27"/>
  <c r="A743" i="27"/>
  <c r="B744" i="27"/>
  <c r="A565" i="27"/>
  <c r="B566" i="27"/>
  <c r="A242" i="28"/>
  <c r="B243" i="28"/>
  <c r="A719" i="28"/>
  <c r="B720" i="28"/>
  <c r="A379" i="28"/>
  <c r="B380" i="28"/>
  <c r="A533" i="28"/>
  <c r="B534" i="28"/>
  <c r="A893" i="27" l="1"/>
  <c r="B894" i="27"/>
  <c r="B567" i="27"/>
  <c r="A566" i="27"/>
  <c r="A398" i="27"/>
  <c r="B399" i="27"/>
  <c r="A1171" i="27"/>
  <c r="B1172" i="27"/>
  <c r="A744" i="27"/>
  <c r="B745" i="27"/>
  <c r="A1023" i="27"/>
  <c r="B1024" i="27"/>
  <c r="B266" i="27"/>
  <c r="A265" i="27"/>
  <c r="A534" i="28"/>
  <c r="B535" i="28"/>
  <c r="A380" i="28"/>
  <c r="B381" i="28"/>
  <c r="A720" i="28"/>
  <c r="B721" i="28"/>
  <c r="A243" i="28"/>
  <c r="B244" i="28"/>
  <c r="A894" i="27" l="1"/>
  <c r="B895" i="27"/>
  <c r="A266" i="27"/>
  <c r="B267" i="27"/>
  <c r="A1024" i="27"/>
  <c r="B1025" i="27"/>
  <c r="A745" i="27"/>
  <c r="B746" i="27"/>
  <c r="B1173" i="27"/>
  <c r="A1172" i="27"/>
  <c r="A399" i="27"/>
  <c r="B400" i="27"/>
  <c r="A567" i="27"/>
  <c r="B568" i="27"/>
  <c r="A721" i="28"/>
  <c r="B722" i="28"/>
  <c r="A381" i="28"/>
  <c r="B382" i="28"/>
  <c r="A244" i="28"/>
  <c r="B245" i="28"/>
  <c r="A535" i="28"/>
  <c r="B536" i="28"/>
  <c r="B896" i="27" l="1"/>
  <c r="A895" i="27"/>
  <c r="B569" i="27"/>
  <c r="A568" i="27"/>
  <c r="A400" i="27"/>
  <c r="B401" i="27"/>
  <c r="A1025" i="27"/>
  <c r="B1026" i="27"/>
  <c r="A1173" i="27"/>
  <c r="B1174" i="27"/>
  <c r="A746" i="27"/>
  <c r="B747" i="27"/>
  <c r="B268" i="27"/>
  <c r="A267" i="27"/>
  <c r="A536" i="28"/>
  <c r="B537" i="28"/>
  <c r="A382" i="28"/>
  <c r="B383" i="28"/>
  <c r="A245" i="28"/>
  <c r="B246" i="28"/>
  <c r="A722" i="28"/>
  <c r="B723" i="28"/>
  <c r="A896" i="27" l="1"/>
  <c r="B897" i="27"/>
  <c r="A268" i="27"/>
  <c r="B269" i="27"/>
  <c r="A747" i="27"/>
  <c r="B748" i="27"/>
  <c r="B1175" i="27"/>
  <c r="A1174" i="27"/>
  <c r="A401" i="27"/>
  <c r="B402" i="27"/>
  <c r="A1026" i="27"/>
  <c r="B1027" i="27"/>
  <c r="A569" i="27"/>
  <c r="B570" i="27"/>
  <c r="A246" i="28"/>
  <c r="B247" i="28"/>
  <c r="A723" i="28"/>
  <c r="B724" i="28"/>
  <c r="A383" i="28"/>
  <c r="B384" i="28"/>
  <c r="A537" i="28"/>
  <c r="B538" i="28"/>
  <c r="A897" i="27" l="1"/>
  <c r="B898" i="27"/>
  <c r="B571" i="27"/>
  <c r="A570" i="27"/>
  <c r="A1027" i="27"/>
  <c r="B1028" i="27"/>
  <c r="A748" i="27"/>
  <c r="B749" i="27"/>
  <c r="A1175" i="27"/>
  <c r="B1176" i="27"/>
  <c r="A402" i="27"/>
  <c r="B403" i="27"/>
  <c r="B270" i="27"/>
  <c r="A269" i="27"/>
  <c r="A538" i="28"/>
  <c r="B539" i="28"/>
  <c r="A384" i="28"/>
  <c r="B385" i="28"/>
  <c r="A724" i="28"/>
  <c r="B725" i="28"/>
  <c r="A247" i="28"/>
  <c r="B248" i="28"/>
  <c r="A898" i="27" l="1"/>
  <c r="B899" i="27"/>
  <c r="A270" i="27"/>
  <c r="B271" i="27"/>
  <c r="A403" i="27"/>
  <c r="B404" i="27"/>
  <c r="B1177" i="27"/>
  <c r="A1176" i="27"/>
  <c r="A1028" i="27"/>
  <c r="B1029" i="27"/>
  <c r="A749" i="27"/>
  <c r="B750" i="27"/>
  <c r="A571" i="27"/>
  <c r="B572" i="27"/>
  <c r="A725" i="28"/>
  <c r="B726" i="28"/>
  <c r="A385" i="28"/>
  <c r="B386" i="28"/>
  <c r="A248" i="28"/>
  <c r="B249" i="28"/>
  <c r="A539" i="28"/>
  <c r="B540" i="28"/>
  <c r="A899" i="27" l="1"/>
  <c r="B900" i="27"/>
  <c r="B573" i="27"/>
  <c r="A572" i="27"/>
  <c r="A750" i="27"/>
  <c r="B751" i="27"/>
  <c r="A1177" i="27"/>
  <c r="B1178" i="27"/>
  <c r="A1029" i="27"/>
  <c r="B1030" i="27"/>
  <c r="A404" i="27"/>
  <c r="B405" i="27"/>
  <c r="B272" i="27"/>
  <c r="A271" i="27"/>
  <c r="A540" i="28"/>
  <c r="B541" i="28"/>
  <c r="A386" i="28"/>
  <c r="B387" i="28"/>
  <c r="A249" i="28"/>
  <c r="B250" i="28"/>
  <c r="A726" i="28"/>
  <c r="B727" i="28"/>
  <c r="A900" i="27" l="1"/>
  <c r="B901" i="27"/>
  <c r="A272" i="27"/>
  <c r="B273" i="27"/>
  <c r="A1030" i="27"/>
  <c r="B1031" i="27"/>
  <c r="B1179" i="27"/>
  <c r="A1178" i="27"/>
  <c r="A751" i="27"/>
  <c r="B752" i="27"/>
  <c r="A405" i="27"/>
  <c r="B406" i="27"/>
  <c r="A573" i="27"/>
  <c r="B574" i="27"/>
  <c r="A727" i="28"/>
  <c r="B728" i="28"/>
  <c r="A250" i="28"/>
  <c r="B251" i="28"/>
  <c r="A387" i="28"/>
  <c r="B388" i="28"/>
  <c r="A541" i="28"/>
  <c r="B542" i="28"/>
  <c r="A901" i="27" l="1"/>
  <c r="B902" i="27"/>
  <c r="B575" i="27"/>
  <c r="A574" i="27"/>
  <c r="A406" i="27"/>
  <c r="B407" i="27"/>
  <c r="A752" i="27"/>
  <c r="B753" i="27"/>
  <c r="A1031" i="27"/>
  <c r="B1032" i="27"/>
  <c r="B274" i="27"/>
  <c r="A273" i="27"/>
  <c r="A1179" i="27"/>
  <c r="B1180" i="27"/>
  <c r="A388" i="28"/>
  <c r="B389" i="28"/>
  <c r="A251" i="28"/>
  <c r="B252" i="28"/>
  <c r="A542" i="28"/>
  <c r="B543" i="28"/>
  <c r="A728" i="28"/>
  <c r="B729" i="28"/>
  <c r="A902" i="27" l="1"/>
  <c r="B903" i="27"/>
  <c r="B1181" i="27"/>
  <c r="A1180" i="27"/>
  <c r="A1032" i="27"/>
  <c r="B1033" i="27"/>
  <c r="A407" i="27"/>
  <c r="B408" i="27"/>
  <c r="A753" i="27"/>
  <c r="B754" i="27"/>
  <c r="A274" i="27"/>
  <c r="B275" i="27"/>
  <c r="A575" i="27"/>
  <c r="B576" i="27"/>
  <c r="A252" i="28"/>
  <c r="B253" i="28"/>
  <c r="A543" i="28"/>
  <c r="B544" i="28"/>
  <c r="A389" i="28"/>
  <c r="B390" i="28"/>
  <c r="A729" i="28"/>
  <c r="B730" i="28"/>
  <c r="B904" i="27" l="1"/>
  <c r="A903" i="27"/>
  <c r="B577" i="27"/>
  <c r="A576" i="27"/>
  <c r="B276" i="27"/>
  <c r="A275" i="27"/>
  <c r="A1033" i="27"/>
  <c r="B1034" i="27"/>
  <c r="A754" i="27"/>
  <c r="B755" i="27"/>
  <c r="A408" i="27"/>
  <c r="B409" i="27"/>
  <c r="A1181" i="27"/>
  <c r="B1182" i="27"/>
  <c r="A544" i="28"/>
  <c r="B545" i="28"/>
  <c r="A390" i="28"/>
  <c r="B391" i="28"/>
  <c r="A253" i="28"/>
  <c r="B254" i="28"/>
  <c r="A730" i="28"/>
  <c r="B731" i="28"/>
  <c r="A904" i="27" l="1"/>
  <c r="B905" i="27"/>
  <c r="A409" i="27"/>
  <c r="B410" i="27"/>
  <c r="B1183" i="27"/>
  <c r="A1182" i="27"/>
  <c r="A755" i="27"/>
  <c r="B756" i="27"/>
  <c r="A1034" i="27"/>
  <c r="B1035" i="27"/>
  <c r="A276" i="27"/>
  <c r="B277" i="27"/>
  <c r="A577" i="27"/>
  <c r="B578" i="27"/>
  <c r="A254" i="28"/>
  <c r="B255" i="28"/>
  <c r="A391" i="28"/>
  <c r="B392" i="28"/>
  <c r="A545" i="28"/>
  <c r="B546" i="28"/>
  <c r="A731" i="28"/>
  <c r="B732" i="28"/>
  <c r="B906" i="27" l="1"/>
  <c r="A905" i="27"/>
  <c r="B579" i="27"/>
  <c r="A578" i="27"/>
  <c r="A1035" i="27"/>
  <c r="B1036" i="27"/>
  <c r="A1183" i="27"/>
  <c r="B1184" i="27"/>
  <c r="B278" i="27"/>
  <c r="A277" i="27"/>
  <c r="A756" i="27"/>
  <c r="B757" i="27"/>
  <c r="A410" i="27"/>
  <c r="B411" i="27"/>
  <c r="A392" i="28"/>
  <c r="B393" i="28"/>
  <c r="A546" i="28"/>
  <c r="B547" i="28"/>
  <c r="A732" i="28"/>
  <c r="B733" i="28"/>
  <c r="A255" i="28"/>
  <c r="B256" i="28"/>
  <c r="A906" i="27" l="1"/>
  <c r="B907" i="27"/>
  <c r="A411" i="27"/>
  <c r="B412" i="27"/>
  <c r="B1185" i="27"/>
  <c r="A1184" i="27"/>
  <c r="A278" i="27"/>
  <c r="B279" i="27"/>
  <c r="A757" i="27"/>
  <c r="B758" i="27"/>
  <c r="A1036" i="27"/>
  <c r="B1037" i="27"/>
  <c r="A579" i="27"/>
  <c r="B580" i="27"/>
  <c r="A733" i="28"/>
  <c r="B734" i="28"/>
  <c r="A547" i="28"/>
  <c r="B548" i="28"/>
  <c r="A256" i="28"/>
  <c r="B257" i="28"/>
  <c r="A393" i="28"/>
  <c r="B394" i="28"/>
  <c r="A907" i="27" l="1"/>
  <c r="B908" i="27"/>
  <c r="B581" i="27"/>
  <c r="A580" i="27"/>
  <c r="A1185" i="27"/>
  <c r="B1186" i="27"/>
  <c r="A1037" i="27"/>
  <c r="B1038" i="27"/>
  <c r="A758" i="27"/>
  <c r="B759" i="27"/>
  <c r="B280" i="27"/>
  <c r="A279" i="27"/>
  <c r="A412" i="27"/>
  <c r="B413" i="27"/>
  <c r="A548" i="28"/>
  <c r="B549" i="28"/>
  <c r="A394" i="28"/>
  <c r="B395" i="28"/>
  <c r="A257" i="28"/>
  <c r="B258" i="28"/>
  <c r="A734" i="28"/>
  <c r="B735" i="28"/>
  <c r="A908" i="27" l="1"/>
  <c r="B909" i="27"/>
  <c r="A1038" i="27"/>
  <c r="B1039" i="27"/>
  <c r="A280" i="27"/>
  <c r="B281" i="27"/>
  <c r="A413" i="27"/>
  <c r="B414" i="27"/>
  <c r="A759" i="27"/>
  <c r="B760" i="27"/>
  <c r="B1187" i="27"/>
  <c r="A1186" i="27"/>
  <c r="A581" i="27"/>
  <c r="B582" i="27"/>
  <c r="A258" i="28"/>
  <c r="B259" i="28"/>
  <c r="A549" i="28"/>
  <c r="B550" i="28"/>
  <c r="A735" i="28"/>
  <c r="B736" i="28"/>
  <c r="A395" i="28"/>
  <c r="B396" i="28"/>
  <c r="A909" i="27" l="1"/>
  <c r="B910" i="27"/>
  <c r="B583" i="27"/>
  <c r="A582" i="27"/>
  <c r="A760" i="27"/>
  <c r="B761" i="27"/>
  <c r="B282" i="27"/>
  <c r="A281" i="27"/>
  <c r="A414" i="27"/>
  <c r="B415" i="27"/>
  <c r="A1039" i="27"/>
  <c r="B1040" i="27"/>
  <c r="A1187" i="27"/>
  <c r="A396" i="28"/>
  <c r="B397" i="28"/>
  <c r="A550" i="28"/>
  <c r="B551" i="28"/>
  <c r="A736" i="28"/>
  <c r="B737" i="28"/>
  <c r="A259" i="28"/>
  <c r="B260" i="28"/>
  <c r="A910" i="27" l="1"/>
  <c r="B911" i="27"/>
  <c r="A1040" i="27"/>
  <c r="B1041" i="27"/>
  <c r="A282" i="27"/>
  <c r="B283" i="27"/>
  <c r="A415" i="27"/>
  <c r="B416" i="27"/>
  <c r="A761" i="27"/>
  <c r="B762" i="27"/>
  <c r="A583" i="27"/>
  <c r="B584" i="27"/>
  <c r="A737" i="28"/>
  <c r="B738" i="28"/>
  <c r="A397" i="28"/>
  <c r="B398" i="28"/>
  <c r="A260" i="28"/>
  <c r="B261" i="28"/>
  <c r="A551" i="28"/>
  <c r="B552" i="28"/>
  <c r="A911" i="27" l="1"/>
  <c r="B912" i="27"/>
  <c r="A416" i="27"/>
  <c r="B417" i="27"/>
  <c r="B585" i="27"/>
  <c r="A584" i="27"/>
  <c r="A762" i="27"/>
  <c r="B763" i="27"/>
  <c r="B284" i="27"/>
  <c r="A283" i="27"/>
  <c r="A1041" i="27"/>
  <c r="B1042" i="27"/>
  <c r="A261" i="28"/>
  <c r="B262" i="28"/>
  <c r="A552" i="28"/>
  <c r="B553" i="28"/>
  <c r="A398" i="28"/>
  <c r="B399" i="28"/>
  <c r="A738" i="28"/>
  <c r="B739" i="28"/>
  <c r="A912" i="27" l="1"/>
  <c r="B913" i="27"/>
  <c r="A913" i="27" s="1"/>
  <c r="A284" i="27"/>
  <c r="B285" i="27"/>
  <c r="A585" i="27"/>
  <c r="B586" i="27"/>
  <c r="A1042" i="27"/>
  <c r="B1043" i="27"/>
  <c r="A763" i="27"/>
  <c r="B764" i="27"/>
  <c r="A417" i="27"/>
  <c r="B418" i="27"/>
  <c r="A553" i="28"/>
  <c r="B554" i="28"/>
  <c r="A739" i="28"/>
  <c r="B740" i="28"/>
  <c r="A399" i="28"/>
  <c r="B400" i="28"/>
  <c r="A262" i="28"/>
  <c r="B263" i="28"/>
  <c r="B5" i="28"/>
  <c r="AC2" i="28"/>
  <c r="AD2" i="28" s="1"/>
  <c r="R2" i="28"/>
  <c r="S2" i="28" s="1"/>
  <c r="T2" i="28" s="1"/>
  <c r="U2" i="28" s="1"/>
  <c r="V2" i="28" s="1"/>
  <c r="G2" i="28"/>
  <c r="G1" i="28" s="1"/>
  <c r="B3" i="27"/>
  <c r="A764" i="27" l="1"/>
  <c r="B765" i="27"/>
  <c r="B587" i="27"/>
  <c r="A586" i="27"/>
  <c r="A418" i="27"/>
  <c r="B419" i="27"/>
  <c r="A1043" i="27"/>
  <c r="B1044" i="27"/>
  <c r="B286" i="27"/>
  <c r="A285" i="27"/>
  <c r="A3" i="27"/>
  <c r="B4" i="27"/>
  <c r="A4" i="27" s="1"/>
  <c r="B6" i="28"/>
  <c r="A400" i="28"/>
  <c r="B401" i="28"/>
  <c r="A554" i="28"/>
  <c r="B555" i="28"/>
  <c r="A263" i="28"/>
  <c r="B264" i="28"/>
  <c r="A740" i="28"/>
  <c r="B741" i="28"/>
  <c r="A5" i="28"/>
  <c r="R1" i="28"/>
  <c r="AC1" i="28"/>
  <c r="H2" i="28"/>
  <c r="W2" i="28"/>
  <c r="X2" i="28" s="1"/>
  <c r="Y2" i="28" s="1"/>
  <c r="Z2" i="28" s="1"/>
  <c r="V1" i="28"/>
  <c r="AE2" i="28"/>
  <c r="AF2" i="28" s="1"/>
  <c r="AG2" i="28" s="1"/>
  <c r="AH2" i="28" s="1"/>
  <c r="AD1" i="28"/>
  <c r="T1" i="28"/>
  <c r="U1" i="28"/>
  <c r="DG3" i="27"/>
  <c r="I1" i="27"/>
  <c r="A1044" i="27" l="1"/>
  <c r="B1045" i="27"/>
  <c r="A419" i="27"/>
  <c r="B420" i="27"/>
  <c r="A587" i="27"/>
  <c r="B588" i="27"/>
  <c r="A765" i="27"/>
  <c r="B766" i="27"/>
  <c r="A286" i="27"/>
  <c r="B287" i="27"/>
  <c r="A287" i="27" s="1"/>
  <c r="W1" i="28"/>
  <c r="B5" i="27"/>
  <c r="A6" i="28"/>
  <c r="B7" i="28"/>
  <c r="B742" i="28"/>
  <c r="A741" i="28"/>
  <c r="A555" i="28"/>
  <c r="B556" i="28"/>
  <c r="A264" i="28"/>
  <c r="B265" i="28"/>
  <c r="A401" i="28"/>
  <c r="B402" i="28"/>
  <c r="Y1" i="28"/>
  <c r="X1" i="28"/>
  <c r="I2" i="28"/>
  <c r="H1" i="28"/>
  <c r="AG1" i="28"/>
  <c r="AF1" i="28"/>
  <c r="AE1" i="28"/>
  <c r="AA2" i="28"/>
  <c r="Z1" i="28"/>
  <c r="AI2" i="28"/>
  <c r="AH1" i="28"/>
  <c r="S1" i="28"/>
  <c r="J1" i="27"/>
  <c r="A5" i="27" l="1"/>
  <c r="A766" i="27"/>
  <c r="B767" i="27"/>
  <c r="A420" i="27"/>
  <c r="B421" i="27"/>
  <c r="B589" i="27"/>
  <c r="A588" i="27"/>
  <c r="A1045" i="27"/>
  <c r="B1046" i="27"/>
  <c r="B6" i="27"/>
  <c r="B8" i="28"/>
  <c r="A7" i="28"/>
  <c r="A265" i="28"/>
  <c r="B266" i="28"/>
  <c r="A556" i="28"/>
  <c r="B557" i="28"/>
  <c r="A402" i="28"/>
  <c r="B403" i="28"/>
  <c r="A742" i="28"/>
  <c r="B743" i="28"/>
  <c r="J2" i="28"/>
  <c r="I1" i="28"/>
  <c r="AJ2" i="28"/>
  <c r="AI1" i="28"/>
  <c r="AB2" i="28"/>
  <c r="AB1" i="28" s="1"/>
  <c r="AA1" i="28"/>
  <c r="K1" i="27"/>
  <c r="B7" i="27" l="1"/>
  <c r="A1046" i="27"/>
  <c r="B1047" i="27"/>
  <c r="A421" i="27"/>
  <c r="B422" i="27"/>
  <c r="A767" i="27"/>
  <c r="B768" i="27"/>
  <c r="A589" i="27"/>
  <c r="B590" i="27"/>
  <c r="A6" i="27"/>
  <c r="B9" i="28"/>
  <c r="A8" i="28"/>
  <c r="A557" i="28"/>
  <c r="B558" i="28"/>
  <c r="B744" i="28"/>
  <c r="A743" i="28"/>
  <c r="A403" i="28"/>
  <c r="B404" i="28"/>
  <c r="A266" i="28"/>
  <c r="B267" i="28"/>
  <c r="B8" i="27"/>
  <c r="K2" i="28"/>
  <c r="J1" i="28"/>
  <c r="AK2" i="28"/>
  <c r="AJ1" i="28"/>
  <c r="L1" i="27"/>
  <c r="A7" i="27" l="1"/>
  <c r="A768" i="27"/>
  <c r="B769" i="27"/>
  <c r="A1047" i="27"/>
  <c r="B1048" i="27"/>
  <c r="B591" i="27"/>
  <c r="A590" i="27"/>
  <c r="A422" i="27"/>
  <c r="B423" i="27"/>
  <c r="B10" i="28"/>
  <c r="A9" i="28"/>
  <c r="A404" i="28"/>
  <c r="B405" i="28"/>
  <c r="A558" i="28"/>
  <c r="B559" i="28"/>
  <c r="A267" i="28"/>
  <c r="B268" i="28"/>
  <c r="A744" i="28"/>
  <c r="B745" i="28"/>
  <c r="B9" i="27"/>
  <c r="A8" i="27"/>
  <c r="K1" i="28"/>
  <c r="L2" i="28"/>
  <c r="AL2" i="28"/>
  <c r="AK1" i="28"/>
  <c r="M1" i="27"/>
  <c r="A423" i="27" l="1"/>
  <c r="B424" i="27"/>
  <c r="A1048" i="27"/>
  <c r="B1049" i="27"/>
  <c r="A769" i="27"/>
  <c r="B770" i="27"/>
  <c r="A591" i="27"/>
  <c r="B592" i="27"/>
  <c r="A10" i="28"/>
  <c r="B11" i="28"/>
  <c r="A559" i="28"/>
  <c r="B560" i="28"/>
  <c r="B746" i="28"/>
  <c r="A745" i="28"/>
  <c r="A268" i="28"/>
  <c r="B269" i="28"/>
  <c r="A405" i="28"/>
  <c r="B406" i="28"/>
  <c r="B10" i="27"/>
  <c r="A9" i="27"/>
  <c r="L1" i="28"/>
  <c r="M2" i="28"/>
  <c r="AM2" i="28"/>
  <c r="AM1" i="28" s="1"/>
  <c r="AL1" i="28"/>
  <c r="N1" i="27"/>
  <c r="B593" i="27" l="1"/>
  <c r="A592" i="27"/>
  <c r="A1049" i="27"/>
  <c r="B1050" i="27"/>
  <c r="A770" i="27"/>
  <c r="B771" i="27"/>
  <c r="A424" i="27"/>
  <c r="B425" i="27"/>
  <c r="B12" i="28"/>
  <c r="A11" i="28"/>
  <c r="A269" i="28"/>
  <c r="B270" i="28"/>
  <c r="A560" i="28"/>
  <c r="B561" i="28"/>
  <c r="A406" i="28"/>
  <c r="B407" i="28"/>
  <c r="A746" i="28"/>
  <c r="B747" i="28"/>
  <c r="B11" i="27"/>
  <c r="A10" i="27"/>
  <c r="N2" i="28"/>
  <c r="M1" i="28"/>
  <c r="O1" i="27"/>
  <c r="A425" i="27" l="1"/>
  <c r="B426" i="27"/>
  <c r="A1050" i="27"/>
  <c r="B1051" i="27"/>
  <c r="A771" i="27"/>
  <c r="B772" i="27"/>
  <c r="A593" i="27"/>
  <c r="B594" i="27"/>
  <c r="B13" i="28"/>
  <c r="A12" i="28"/>
  <c r="B748" i="28"/>
  <c r="A747" i="28"/>
  <c r="A561" i="28"/>
  <c r="B562" i="28"/>
  <c r="A407" i="28"/>
  <c r="B408" i="28"/>
  <c r="A270" i="28"/>
  <c r="B271" i="28"/>
  <c r="B12" i="27"/>
  <c r="A11" i="27"/>
  <c r="O2" i="28"/>
  <c r="N1" i="28"/>
  <c r="P1" i="27"/>
  <c r="A772" i="27" l="1"/>
  <c r="B773" i="27"/>
  <c r="B595" i="27"/>
  <c r="A594" i="27"/>
  <c r="A1051" i="27"/>
  <c r="B1052" i="27"/>
  <c r="A426" i="27"/>
  <c r="B427" i="27"/>
  <c r="A13" i="28"/>
  <c r="B14" i="28"/>
  <c r="A271" i="28"/>
  <c r="B272" i="28"/>
  <c r="A408" i="28"/>
  <c r="B409" i="28"/>
  <c r="A562" i="28"/>
  <c r="B563" i="28"/>
  <c r="A748" i="28"/>
  <c r="B749" i="28"/>
  <c r="B13" i="27"/>
  <c r="A12" i="27"/>
  <c r="O1" i="28"/>
  <c r="P2" i="28"/>
  <c r="Q1" i="27"/>
  <c r="A1052" i="27" l="1"/>
  <c r="B1053" i="27"/>
  <c r="A427" i="27"/>
  <c r="B428" i="27"/>
  <c r="A595" i="27"/>
  <c r="B596" i="27"/>
  <c r="A773" i="27"/>
  <c r="B774" i="27"/>
  <c r="A14" i="28"/>
  <c r="B15" i="28"/>
  <c r="A563" i="28"/>
  <c r="B564" i="28"/>
  <c r="A409" i="28"/>
  <c r="B410" i="28"/>
  <c r="B750" i="28"/>
  <c r="A749" i="28"/>
  <c r="A272" i="28"/>
  <c r="B273" i="28"/>
  <c r="B14" i="27"/>
  <c r="A13" i="27"/>
  <c r="P1" i="28"/>
  <c r="Q2" i="28"/>
  <c r="Q1" i="28" s="1"/>
  <c r="R1" i="27"/>
  <c r="A774" i="27" l="1"/>
  <c r="B775" i="27"/>
  <c r="A428" i="27"/>
  <c r="B429" i="27"/>
  <c r="B597" i="27"/>
  <c r="A596" i="27"/>
  <c r="A1053" i="27"/>
  <c r="B1054" i="27"/>
  <c r="A15" i="28"/>
  <c r="B16" i="28"/>
  <c r="A410" i="28"/>
  <c r="B411" i="28"/>
  <c r="A273" i="28"/>
  <c r="B274" i="28"/>
  <c r="A564" i="28"/>
  <c r="B565" i="28"/>
  <c r="A750" i="28"/>
  <c r="B751" i="28"/>
  <c r="B15" i="27"/>
  <c r="A14" i="27"/>
  <c r="S1" i="27"/>
  <c r="A597" i="27" l="1"/>
  <c r="B598" i="27"/>
  <c r="A1054" i="27"/>
  <c r="B1055" i="27"/>
  <c r="A429" i="27"/>
  <c r="B430" i="27"/>
  <c r="A775" i="27"/>
  <c r="B776" i="27"/>
  <c r="A16" i="28"/>
  <c r="B17" i="28"/>
  <c r="A565" i="28"/>
  <c r="B566" i="28"/>
  <c r="A411" i="28"/>
  <c r="B412" i="28"/>
  <c r="B752" i="28"/>
  <c r="A751" i="28"/>
  <c r="A274" i="28"/>
  <c r="B275" i="28"/>
  <c r="B16" i="27"/>
  <c r="A15" i="27"/>
  <c r="T1" i="27"/>
  <c r="A430" i="27" l="1"/>
  <c r="B431" i="27"/>
  <c r="A776" i="27"/>
  <c r="B777" i="27"/>
  <c r="A1055" i="27"/>
  <c r="B1056" i="27"/>
  <c r="B599" i="27"/>
  <c r="A598" i="27"/>
  <c r="B18" i="28"/>
  <c r="A17" i="28"/>
  <c r="A275" i="28"/>
  <c r="B276" i="28"/>
  <c r="A412" i="28"/>
  <c r="B413" i="28"/>
  <c r="A566" i="28"/>
  <c r="B567" i="28"/>
  <c r="A752" i="28"/>
  <c r="B753" i="28"/>
  <c r="B17" i="27"/>
  <c r="A16" i="27"/>
  <c r="U1" i="27"/>
  <c r="V1" i="27" s="1"/>
  <c r="W1" i="27" s="1"/>
  <c r="X1" i="27" s="1"/>
  <c r="Y1" i="27" s="1"/>
  <c r="Z1" i="27" s="1"/>
  <c r="AA1" i="27" s="1"/>
  <c r="AB1" i="27" s="1"/>
  <c r="AC1" i="27" s="1"/>
  <c r="AD1" i="27" s="1"/>
  <c r="AE1" i="27" s="1"/>
  <c r="AF1" i="27" s="1"/>
  <c r="AG1" i="27" s="1"/>
  <c r="AH1" i="27" s="1"/>
  <c r="AI1" i="27" s="1"/>
  <c r="AJ1" i="27" s="1"/>
  <c r="AK1" i="27" s="1"/>
  <c r="AL1" i="27" s="1"/>
  <c r="AM1" i="27" s="1"/>
  <c r="AN1" i="27" s="1"/>
  <c r="AO1" i="27" s="1"/>
  <c r="AP1" i="27" s="1"/>
  <c r="AQ1" i="27" s="1"/>
  <c r="AR1" i="27" s="1"/>
  <c r="AS1" i="27" s="1"/>
  <c r="AT1" i="27" s="1"/>
  <c r="AU1" i="27" s="1"/>
  <c r="AV1" i="27" s="1"/>
  <c r="AW1" i="27" s="1"/>
  <c r="AX1" i="27" s="1"/>
  <c r="AY1" i="27" s="1"/>
  <c r="AZ1" i="27" s="1"/>
  <c r="BA1" i="27" s="1"/>
  <c r="BB1" i="27" s="1"/>
  <c r="BC1" i="27" s="1"/>
  <c r="BD1" i="27" s="1"/>
  <c r="BE1" i="27" s="1"/>
  <c r="BF1" i="27" s="1"/>
  <c r="BG1" i="27" s="1"/>
  <c r="BH1" i="27" s="1"/>
  <c r="BI1" i="27" s="1"/>
  <c r="BJ1" i="27" s="1"/>
  <c r="BK1" i="27" s="1"/>
  <c r="BL1" i="27" s="1"/>
  <c r="BM1" i="27" s="1"/>
  <c r="BN1" i="27" s="1"/>
  <c r="BO1" i="27" s="1"/>
  <c r="BP1" i="27" s="1"/>
  <c r="BQ1" i="27" s="1"/>
  <c r="BR1" i="27" s="1"/>
  <c r="BS1" i="27" s="1"/>
  <c r="BT1" i="27" s="1"/>
  <c r="BU1" i="27" s="1"/>
  <c r="BV1" i="27" s="1"/>
  <c r="BW1" i="27" s="1"/>
  <c r="BX1" i="27" s="1"/>
  <c r="BY1" i="27" s="1"/>
  <c r="BZ1" i="27" s="1"/>
  <c r="CA1" i="27" s="1"/>
  <c r="CB1" i="27" s="1"/>
  <c r="CC1" i="27" s="1"/>
  <c r="CD1" i="27" s="1"/>
  <c r="CE1" i="27" s="1"/>
  <c r="CF1" i="27" s="1"/>
  <c r="CG1" i="27" s="1"/>
  <c r="CH1" i="27" s="1"/>
  <c r="CI1" i="27" s="1"/>
  <c r="CJ1" i="27" s="1"/>
  <c r="CK1" i="27" s="1"/>
  <c r="CL1" i="27" s="1"/>
  <c r="CM1" i="27" s="1"/>
  <c r="CN1" i="27" s="1"/>
  <c r="CO1" i="27" s="1"/>
  <c r="CP1" i="27" s="1"/>
  <c r="CQ1" i="27" s="1"/>
  <c r="CR1" i="27" s="1"/>
  <c r="CS1" i="27" s="1"/>
  <c r="CT1" i="27" s="1"/>
  <c r="CU1" i="27" s="1"/>
  <c r="CV1" i="27" s="1"/>
  <c r="CW1" i="27" s="1"/>
  <c r="CX1" i="27" s="1"/>
  <c r="CY1" i="27" s="1"/>
  <c r="CZ1" i="27" s="1"/>
  <c r="DA1" i="27" s="1"/>
  <c r="DB1" i="27" s="1"/>
  <c r="DC1" i="27" s="1"/>
  <c r="DD1" i="27" s="1"/>
  <c r="DE1" i="27" s="1"/>
  <c r="DF1" i="27" s="1"/>
  <c r="A777" i="27" l="1"/>
  <c r="B778" i="27"/>
  <c r="A599" i="27"/>
  <c r="B600" i="27"/>
  <c r="A1056" i="27"/>
  <c r="B1057" i="27"/>
  <c r="A431" i="27"/>
  <c r="B432" i="27"/>
  <c r="DH1094" i="27"/>
  <c r="DI1094" i="27" s="1"/>
  <c r="DH1137" i="27"/>
  <c r="DI1137" i="27" s="1"/>
  <c r="DH1115" i="27"/>
  <c r="DI1115" i="27" s="1"/>
  <c r="DH1069" i="27"/>
  <c r="DI1069" i="27" s="1"/>
  <c r="DH1166" i="27"/>
  <c r="DI1166" i="27" s="1"/>
  <c r="DH1074" i="27"/>
  <c r="DI1074" i="27" s="1"/>
  <c r="DH1099" i="27"/>
  <c r="DI1099" i="27" s="1"/>
  <c r="DH1087" i="27"/>
  <c r="DI1087" i="27" s="1"/>
  <c r="DH1150" i="27"/>
  <c r="DI1150" i="27" s="1"/>
  <c r="DH1172" i="27"/>
  <c r="DI1172" i="27" s="1"/>
  <c r="DH1085" i="27"/>
  <c r="DI1085" i="27" s="1"/>
  <c r="DH1139" i="27"/>
  <c r="DI1139" i="27" s="1"/>
  <c r="DH1098" i="27"/>
  <c r="DI1098" i="27" s="1"/>
  <c r="DH1128" i="27"/>
  <c r="DI1128" i="27" s="1"/>
  <c r="DH1148" i="27"/>
  <c r="DI1148" i="27" s="1"/>
  <c r="DH1154" i="27"/>
  <c r="DI1154" i="27" s="1"/>
  <c r="DH1170" i="27"/>
  <c r="DI1170" i="27" s="1"/>
  <c r="DH1109" i="27"/>
  <c r="DI1109" i="27" s="1"/>
  <c r="DH1122" i="27"/>
  <c r="DI1122" i="27" s="1"/>
  <c r="DH1093" i="27"/>
  <c r="DI1093" i="27" s="1"/>
  <c r="DH1080" i="27"/>
  <c r="DI1080" i="27" s="1"/>
  <c r="DH1066" i="27"/>
  <c r="DI1066" i="27" s="1"/>
  <c r="DH1178" i="27"/>
  <c r="DI1178" i="27" s="1"/>
  <c r="DH1180" i="27"/>
  <c r="DI1180" i="27" s="1"/>
  <c r="DH1096" i="27"/>
  <c r="DI1096" i="27" s="1"/>
  <c r="DH1088" i="27"/>
  <c r="DI1088" i="27" s="1"/>
  <c r="DH1165" i="27"/>
  <c r="DI1165" i="27" s="1"/>
  <c r="DH1186" i="27"/>
  <c r="DI1186" i="27" s="1"/>
  <c r="DH1160" i="27"/>
  <c r="DI1160" i="27" s="1"/>
  <c r="DH1068" i="27"/>
  <c r="DI1068" i="27" s="1"/>
  <c r="DH1149" i="27"/>
  <c r="DI1149" i="27" s="1"/>
  <c r="DH1125" i="27"/>
  <c r="DI1125" i="27" s="1"/>
  <c r="DH1067" i="27"/>
  <c r="DI1067" i="27" s="1"/>
  <c r="DH1092" i="27"/>
  <c r="DI1092" i="27" s="1"/>
  <c r="DH1132" i="27"/>
  <c r="DI1132" i="27" s="1"/>
  <c r="DH1138" i="27"/>
  <c r="DI1138" i="27" s="1"/>
  <c r="DH1159" i="27"/>
  <c r="DI1159" i="27" s="1"/>
  <c r="DH1110" i="27"/>
  <c r="DI1110" i="27" s="1"/>
  <c r="DH1079" i="27"/>
  <c r="DI1079" i="27" s="1"/>
  <c r="DH1131" i="27"/>
  <c r="DI1131" i="27" s="1"/>
  <c r="DH1117" i="27"/>
  <c r="DI1117" i="27" s="1"/>
  <c r="DH1101" i="27"/>
  <c r="DI1101" i="27" s="1"/>
  <c r="DH1143" i="27"/>
  <c r="DI1143" i="27" s="1"/>
  <c r="DH1090" i="27"/>
  <c r="DI1090" i="27" s="1"/>
  <c r="DH1162" i="27"/>
  <c r="DI1162" i="27" s="1"/>
  <c r="DH1097" i="27"/>
  <c r="DI1097" i="27" s="1"/>
  <c r="DH1181" i="27"/>
  <c r="DI1181" i="27" s="1"/>
  <c r="DH1167" i="27"/>
  <c r="DI1167" i="27" s="1"/>
  <c r="DH1152" i="27"/>
  <c r="DI1152" i="27" s="1"/>
  <c r="DH1126" i="27"/>
  <c r="DI1126" i="27" s="1"/>
  <c r="DH1144" i="27"/>
  <c r="DI1144" i="27" s="1"/>
  <c r="DH1095" i="27"/>
  <c r="DI1095" i="27" s="1"/>
  <c r="DH1153" i="27"/>
  <c r="DI1153" i="27" s="1"/>
  <c r="DH1179" i="27"/>
  <c r="DI1179" i="27" s="1"/>
  <c r="DH1182" i="27"/>
  <c r="DI1182" i="27" s="1"/>
  <c r="DH1130" i="27"/>
  <c r="DI1130" i="27" s="1"/>
  <c r="DH1084" i="27"/>
  <c r="DI1084" i="27" s="1"/>
  <c r="DH1072" i="27"/>
  <c r="DI1072" i="27" s="1"/>
  <c r="DH1105" i="27"/>
  <c r="DI1105" i="27" s="1"/>
  <c r="DH1111" i="27"/>
  <c r="DI1111" i="27" s="1"/>
  <c r="DH1123" i="27"/>
  <c r="DI1123" i="27" s="1"/>
  <c r="DH1114" i="27"/>
  <c r="DI1114" i="27" s="1"/>
  <c r="DH1104" i="27"/>
  <c r="DI1104" i="27" s="1"/>
  <c r="DH1107" i="27"/>
  <c r="DI1107" i="27" s="1"/>
  <c r="DH1081" i="27"/>
  <c r="DI1081" i="27" s="1"/>
  <c r="DH1121" i="27"/>
  <c r="DI1121" i="27" s="1"/>
  <c r="DH1083" i="27"/>
  <c r="DI1083" i="27" s="1"/>
  <c r="DH1185" i="27"/>
  <c r="DI1185" i="27" s="1"/>
  <c r="DH1141" i="27"/>
  <c r="DI1141" i="27" s="1"/>
  <c r="DH1142" i="27"/>
  <c r="DI1142" i="27" s="1"/>
  <c r="DH1118" i="27"/>
  <c r="DI1118" i="27" s="1"/>
  <c r="DH1155" i="27"/>
  <c r="DI1155" i="27" s="1"/>
  <c r="DH1176" i="27"/>
  <c r="DI1176" i="27" s="1"/>
  <c r="DH1135" i="27"/>
  <c r="DI1135" i="27" s="1"/>
  <c r="DH1134" i="27"/>
  <c r="DI1134" i="27" s="1"/>
  <c r="DH1129" i="27"/>
  <c r="DI1129" i="27" s="1"/>
  <c r="DH1103" i="27"/>
  <c r="DI1103" i="27" s="1"/>
  <c r="DH1136" i="27"/>
  <c r="DI1136" i="27" s="1"/>
  <c r="DH1076" i="27"/>
  <c r="DI1076" i="27" s="1"/>
  <c r="DH1102" i="27"/>
  <c r="DI1102" i="27" s="1"/>
  <c r="DH1161" i="27"/>
  <c r="DI1161" i="27" s="1"/>
  <c r="DH1065" i="27"/>
  <c r="DI1065" i="27" s="1"/>
  <c r="DH1078" i="27"/>
  <c r="DI1078" i="27" s="1"/>
  <c r="DH1164" i="27"/>
  <c r="DI1164" i="27" s="1"/>
  <c r="DH1064" i="27"/>
  <c r="DI1064" i="27" s="1"/>
  <c r="DH1070" i="27"/>
  <c r="DI1070" i="27" s="1"/>
  <c r="DH1075" i="27"/>
  <c r="DI1075" i="27" s="1"/>
  <c r="DH1158" i="27"/>
  <c r="DI1158" i="27" s="1"/>
  <c r="DH1175" i="27"/>
  <c r="DI1175" i="27" s="1"/>
  <c r="DH1146" i="27"/>
  <c r="DI1146" i="27" s="1"/>
  <c r="DH1187" i="27"/>
  <c r="DI1187" i="27" s="1"/>
  <c r="DH1173" i="27"/>
  <c r="DI1173" i="27" s="1"/>
  <c r="DH1089" i="27"/>
  <c r="DI1089" i="27" s="1"/>
  <c r="DH1106" i="27"/>
  <c r="DI1106" i="27" s="1"/>
  <c r="DH1177" i="27"/>
  <c r="DI1177" i="27" s="1"/>
  <c r="DH1120" i="27"/>
  <c r="DI1120" i="27" s="1"/>
  <c r="DH1174" i="27"/>
  <c r="DI1174" i="27" s="1"/>
  <c r="DH1119" i="27"/>
  <c r="DI1119" i="27" s="1"/>
  <c r="DH1116" i="27"/>
  <c r="DI1116" i="27" s="1"/>
  <c r="DH1168" i="27"/>
  <c r="DI1168" i="27" s="1"/>
  <c r="DH1169" i="27"/>
  <c r="DI1169" i="27" s="1"/>
  <c r="DH1082" i="27"/>
  <c r="DI1082" i="27" s="1"/>
  <c r="DH1091" i="27"/>
  <c r="DI1091" i="27" s="1"/>
  <c r="DH1100" i="27"/>
  <c r="DI1100" i="27" s="1"/>
  <c r="DH1073" i="27"/>
  <c r="DI1073" i="27" s="1"/>
  <c r="DH1147" i="27"/>
  <c r="DI1147" i="27" s="1"/>
  <c r="DH1112" i="27"/>
  <c r="DI1112" i="27" s="1"/>
  <c r="DH1124" i="27"/>
  <c r="DI1124" i="27" s="1"/>
  <c r="DH1183" i="27"/>
  <c r="DI1183" i="27" s="1"/>
  <c r="DH1108" i="27"/>
  <c r="DI1108" i="27" s="1"/>
  <c r="DH1145" i="27"/>
  <c r="DI1145" i="27" s="1"/>
  <c r="DH1151" i="27"/>
  <c r="DI1151" i="27" s="1"/>
  <c r="DH1086" i="27"/>
  <c r="DI1086" i="27" s="1"/>
  <c r="DH1157" i="27"/>
  <c r="DI1157" i="27" s="1"/>
  <c r="DH1184" i="27"/>
  <c r="DI1184" i="27" s="1"/>
  <c r="DH1133" i="27"/>
  <c r="DI1133" i="27" s="1"/>
  <c r="DH1127" i="27"/>
  <c r="DI1127" i="27" s="1"/>
  <c r="DH1140" i="27"/>
  <c r="DI1140" i="27" s="1"/>
  <c r="DH1063" i="27"/>
  <c r="DI1063" i="27" s="1"/>
  <c r="DH1071" i="27"/>
  <c r="DI1071" i="27" s="1"/>
  <c r="DH1163" i="27"/>
  <c r="DI1163" i="27" s="1"/>
  <c r="DH1077" i="27"/>
  <c r="DI1077" i="27" s="1"/>
  <c r="DH1171" i="27"/>
  <c r="DI1171" i="27" s="1"/>
  <c r="DH1156" i="27"/>
  <c r="DI1156" i="27" s="1"/>
  <c r="DH1113" i="27"/>
  <c r="DI1113" i="27" s="1"/>
  <c r="DH779" i="27"/>
  <c r="DI779" i="27" s="1"/>
  <c r="DH788" i="27"/>
  <c r="DI788" i="27" s="1"/>
  <c r="DH391" i="27"/>
  <c r="DI391" i="27" s="1"/>
  <c r="DH952" i="27"/>
  <c r="DI952" i="27" s="1"/>
  <c r="DH657" i="27"/>
  <c r="DI657" i="27" s="1"/>
  <c r="DH344" i="27"/>
  <c r="DI344" i="27" s="1"/>
  <c r="DH795" i="27"/>
  <c r="DI795" i="27" s="1"/>
  <c r="DH619" i="27"/>
  <c r="DI619" i="27" s="1"/>
  <c r="DH564" i="27"/>
  <c r="DI564" i="27" s="1"/>
  <c r="DH412" i="27"/>
  <c r="DI412" i="27" s="1"/>
  <c r="DH720" i="27"/>
  <c r="DI720" i="27" s="1"/>
  <c r="DH605" i="27"/>
  <c r="DI605" i="27" s="1"/>
  <c r="DH232" i="27"/>
  <c r="DI232" i="27" s="1"/>
  <c r="DH643" i="27"/>
  <c r="DI643" i="27" s="1"/>
  <c r="DH881" i="27"/>
  <c r="DI881" i="27" s="1"/>
  <c r="DH606" i="27"/>
  <c r="DI606" i="27" s="1"/>
  <c r="DH374" i="27"/>
  <c r="DI374" i="27" s="1"/>
  <c r="DH985" i="27"/>
  <c r="DI985" i="27" s="1"/>
  <c r="DH800" i="27"/>
  <c r="DI800" i="27" s="1"/>
  <c r="DH944" i="27"/>
  <c r="DI944" i="27" s="1"/>
  <c r="DH744" i="27"/>
  <c r="DI744" i="27" s="1"/>
  <c r="DH390" i="27"/>
  <c r="DI390" i="27" s="1"/>
  <c r="DH671" i="27"/>
  <c r="DI671" i="27" s="1"/>
  <c r="DH362" i="27"/>
  <c r="DI362" i="27" s="1"/>
  <c r="DH246" i="27"/>
  <c r="DI246" i="27" s="1"/>
  <c r="DH571" i="27"/>
  <c r="DI571" i="27" s="1"/>
  <c r="DH811" i="27"/>
  <c r="DI811" i="27" s="1"/>
  <c r="DH289" i="27"/>
  <c r="DI289" i="27" s="1"/>
  <c r="DH721" i="27"/>
  <c r="DI721" i="27" s="1"/>
  <c r="DH89" i="27"/>
  <c r="DI89" i="27" s="1"/>
  <c r="DH160" i="27"/>
  <c r="DI160" i="27" s="1"/>
  <c r="DH971" i="27"/>
  <c r="DI971" i="27" s="1"/>
  <c r="DH807" i="27"/>
  <c r="DI807" i="27" s="1"/>
  <c r="DH359" i="27"/>
  <c r="DI359" i="27" s="1"/>
  <c r="DH817" i="27"/>
  <c r="DI817" i="27" s="1"/>
  <c r="DH993" i="27"/>
  <c r="DI993" i="27" s="1"/>
  <c r="DH82" i="27"/>
  <c r="DI82" i="27" s="1"/>
  <c r="DH980" i="27"/>
  <c r="DI980" i="27" s="1"/>
  <c r="DH482" i="27"/>
  <c r="DI482" i="27" s="1"/>
  <c r="DH327" i="27"/>
  <c r="DI327" i="27" s="1"/>
  <c r="DH655" i="27"/>
  <c r="DI655" i="27" s="1"/>
  <c r="DH226" i="27"/>
  <c r="DI226" i="27" s="1"/>
  <c r="DH674" i="27"/>
  <c r="DI674" i="27" s="1"/>
  <c r="DH903" i="27"/>
  <c r="DI903" i="27" s="1"/>
  <c r="DH635" i="27"/>
  <c r="DI635" i="27" s="1"/>
  <c r="DH933" i="27"/>
  <c r="DI933" i="27" s="1"/>
  <c r="DH806" i="27"/>
  <c r="DI806" i="27" s="1"/>
  <c r="DH1020" i="27"/>
  <c r="DI1020" i="27" s="1"/>
  <c r="DH199" i="27"/>
  <c r="DI199" i="27" s="1"/>
  <c r="DH876" i="27"/>
  <c r="DI876" i="27" s="1"/>
  <c r="DH803" i="27"/>
  <c r="DI803" i="27" s="1"/>
  <c r="DH1024" i="27"/>
  <c r="DI1024" i="27" s="1"/>
  <c r="DH1041" i="27"/>
  <c r="DI1041" i="27" s="1"/>
  <c r="DH303" i="27"/>
  <c r="DI303" i="27" s="1"/>
  <c r="DH921" i="27"/>
  <c r="DI921" i="27" s="1"/>
  <c r="DH26" i="27"/>
  <c r="DI26" i="27" s="1"/>
  <c r="DH64" i="27"/>
  <c r="DI64" i="27" s="1"/>
  <c r="DH651" i="27"/>
  <c r="DI651" i="27" s="1"/>
  <c r="DH591" i="27"/>
  <c r="DI591" i="27" s="1"/>
  <c r="DH415" i="27"/>
  <c r="DI415" i="27" s="1"/>
  <c r="DH335" i="27"/>
  <c r="DI335" i="27" s="1"/>
  <c r="DH986" i="27"/>
  <c r="DI986" i="27" s="1"/>
  <c r="DH107" i="27"/>
  <c r="DI107" i="27" s="1"/>
  <c r="DH114" i="27"/>
  <c r="DI114" i="27" s="1"/>
  <c r="DH411" i="27"/>
  <c r="DI411" i="27" s="1"/>
  <c r="DH784" i="27"/>
  <c r="DI784" i="27" s="1"/>
  <c r="DH119" i="27"/>
  <c r="DI119" i="27" s="1"/>
  <c r="DH41" i="27"/>
  <c r="DI41" i="27" s="1"/>
  <c r="DH1057" i="27"/>
  <c r="DI1057" i="27" s="1"/>
  <c r="DH341" i="27"/>
  <c r="DI341" i="27" s="1"/>
  <c r="DH646" i="27"/>
  <c r="DI646" i="27" s="1"/>
  <c r="DH175" i="27"/>
  <c r="DI175" i="27" s="1"/>
  <c r="DH1035" i="27"/>
  <c r="DI1035" i="27" s="1"/>
  <c r="DH45" i="27"/>
  <c r="DI45" i="27" s="1"/>
  <c r="DH446" i="27"/>
  <c r="DI446" i="27" s="1"/>
  <c r="DH891" i="27"/>
  <c r="DI891" i="27" s="1"/>
  <c r="DH207" i="27"/>
  <c r="DI207" i="27" s="1"/>
  <c r="DH1011" i="27"/>
  <c r="DI1011" i="27" s="1"/>
  <c r="DH288" i="27"/>
  <c r="DI288" i="27" s="1"/>
  <c r="DH892" i="27"/>
  <c r="DI892" i="27" s="1"/>
  <c r="DH379" i="27"/>
  <c r="DI379" i="27" s="1"/>
  <c r="DH143" i="27"/>
  <c r="DI143" i="27" s="1"/>
  <c r="DH407" i="27"/>
  <c r="DI407" i="27" s="1"/>
  <c r="DH69" i="27"/>
  <c r="DI69" i="27" s="1"/>
  <c r="DH774" i="27"/>
  <c r="DI774" i="27" s="1"/>
  <c r="DH487" i="27"/>
  <c r="DI487" i="27" s="1"/>
  <c r="DH1009" i="27"/>
  <c r="DI1009" i="27" s="1"/>
  <c r="DH848" i="27"/>
  <c r="DI848" i="27" s="1"/>
  <c r="DH109" i="27"/>
  <c r="DI109" i="27" s="1"/>
  <c r="DH870" i="27"/>
  <c r="DI870" i="27" s="1"/>
  <c r="DH142" i="27"/>
  <c r="DI142" i="27" s="1"/>
  <c r="DH616" i="27"/>
  <c r="DI616" i="27" s="1"/>
  <c r="DH499" i="27"/>
  <c r="DI499" i="27" s="1"/>
  <c r="DH474" i="27"/>
  <c r="DI474" i="27" s="1"/>
  <c r="DH700" i="27"/>
  <c r="DI700" i="27" s="1"/>
  <c r="DH501" i="27"/>
  <c r="DI501" i="27" s="1"/>
  <c r="DH879" i="27"/>
  <c r="DI879" i="27" s="1"/>
  <c r="DH84" i="27"/>
  <c r="DI84" i="27" s="1"/>
  <c r="DH725" i="27"/>
  <c r="DI725" i="27" s="1"/>
  <c r="DH216" i="27"/>
  <c r="DI216" i="27" s="1"/>
  <c r="DH715" i="27"/>
  <c r="DI715" i="27" s="1"/>
  <c r="DH627" i="27"/>
  <c r="DI627" i="27" s="1"/>
  <c r="DH529" i="27"/>
  <c r="DI529" i="27" s="1"/>
  <c r="DH620" i="27"/>
  <c r="DI620" i="27" s="1"/>
  <c r="DH77" i="27"/>
  <c r="DI77" i="27" s="1"/>
  <c r="DH117" i="27"/>
  <c r="DI117" i="27" s="1"/>
  <c r="DH874" i="27"/>
  <c r="DI874" i="27" s="1"/>
  <c r="DH968" i="27"/>
  <c r="DI968" i="27" s="1"/>
  <c r="DH387" i="27"/>
  <c r="DI387" i="27" s="1"/>
  <c r="DH581" i="27"/>
  <c r="DI581" i="27" s="1"/>
  <c r="DH164" i="27"/>
  <c r="DI164" i="27" s="1"/>
  <c r="DH131" i="27"/>
  <c r="DI131" i="27" s="1"/>
  <c r="DH799" i="27"/>
  <c r="DI799" i="27" s="1"/>
  <c r="DH121" i="27"/>
  <c r="DI121" i="27" s="1"/>
  <c r="DH884" i="27"/>
  <c r="DI884" i="27" s="1"/>
  <c r="DH536" i="27"/>
  <c r="DI536" i="27" s="1"/>
  <c r="DH772" i="27"/>
  <c r="DI772" i="27" s="1"/>
  <c r="DH305" i="27"/>
  <c r="DI305" i="27" s="1"/>
  <c r="DH358" i="27"/>
  <c r="DI358" i="27" s="1"/>
  <c r="DH818" i="27"/>
  <c r="DI818" i="27" s="1"/>
  <c r="DH563" i="27"/>
  <c r="DI563" i="27" s="1"/>
  <c r="DH88" i="27"/>
  <c r="DI88" i="27" s="1"/>
  <c r="DH485" i="27"/>
  <c r="DI485" i="27" s="1"/>
  <c r="DH202" i="27"/>
  <c r="DI202" i="27" s="1"/>
  <c r="DH422" i="27"/>
  <c r="DI422" i="27" s="1"/>
  <c r="DH679" i="27"/>
  <c r="DI679" i="27" s="1"/>
  <c r="DH454" i="27"/>
  <c r="DI454" i="27" s="1"/>
  <c r="DH421" i="27"/>
  <c r="DI421" i="27" s="1"/>
  <c r="DH650" i="27"/>
  <c r="DI650" i="27" s="1"/>
  <c r="DH34" i="27"/>
  <c r="DI34" i="27" s="1"/>
  <c r="DH924" i="27"/>
  <c r="DI924" i="27" s="1"/>
  <c r="DH231" i="27"/>
  <c r="DI231" i="27" s="1"/>
  <c r="DH1018" i="27"/>
  <c r="DI1018" i="27" s="1"/>
  <c r="DH856" i="27"/>
  <c r="DI856" i="27" s="1"/>
  <c r="DH447" i="27"/>
  <c r="DI447" i="27" s="1"/>
  <c r="DH936" i="27"/>
  <c r="DI936" i="27" s="1"/>
  <c r="DH489" i="27"/>
  <c r="DI489" i="27" s="1"/>
  <c r="DH517" i="27"/>
  <c r="DI517" i="27" s="1"/>
  <c r="DH53" i="27"/>
  <c r="DI53" i="27" s="1"/>
  <c r="DH871" i="27"/>
  <c r="DI871" i="27" s="1"/>
  <c r="DH437" i="27"/>
  <c r="DI437" i="27" s="1"/>
  <c r="DH405" i="27"/>
  <c r="DI405" i="27" s="1"/>
  <c r="DH640" i="27"/>
  <c r="DI640" i="27" s="1"/>
  <c r="DH52" i="27"/>
  <c r="DI52" i="27" s="1"/>
  <c r="DH926" i="27"/>
  <c r="DI926" i="27" s="1"/>
  <c r="DH180" i="27"/>
  <c r="DI180" i="27" s="1"/>
  <c r="DH919" i="27"/>
  <c r="DI919" i="27" s="1"/>
  <c r="DH507" i="27"/>
  <c r="DI507" i="27" s="1"/>
  <c r="DH212" i="27"/>
  <c r="DI212" i="27" s="1"/>
  <c r="DH587" i="27"/>
  <c r="DI587" i="27" s="1"/>
  <c r="DH15" i="27"/>
  <c r="DI15" i="27" s="1"/>
  <c r="DH95" i="27"/>
  <c r="DI95" i="27" s="1"/>
  <c r="DH937" i="27"/>
  <c r="DI937" i="27" s="1"/>
  <c r="DH320" i="27"/>
  <c r="DI320" i="27" s="1"/>
  <c r="DH996" i="27"/>
  <c r="DI996" i="27" s="1"/>
  <c r="DH155" i="27"/>
  <c r="DI155" i="27" s="1"/>
  <c r="DH551" i="27"/>
  <c r="DI551" i="27" s="1"/>
  <c r="DH1023" i="27"/>
  <c r="DI1023" i="27" s="1"/>
  <c r="DH242" i="27"/>
  <c r="DI242" i="27" s="1"/>
  <c r="DH261" i="27"/>
  <c r="DI261" i="27" s="1"/>
  <c r="DH915" i="27"/>
  <c r="DI915" i="27" s="1"/>
  <c r="DH299" i="27"/>
  <c r="DI299" i="27" s="1"/>
  <c r="DH684" i="27"/>
  <c r="DI684" i="27" s="1"/>
  <c r="DH147" i="27"/>
  <c r="DI147" i="27" s="1"/>
  <c r="DH28" i="27"/>
  <c r="DI28" i="27" s="1"/>
  <c r="DH1025" i="27"/>
  <c r="DI1025" i="27" s="1"/>
  <c r="DH440" i="27"/>
  <c r="DI440" i="27" s="1"/>
  <c r="DH460" i="27"/>
  <c r="DI460" i="27" s="1"/>
  <c r="DH991" i="27"/>
  <c r="DI991" i="27" s="1"/>
  <c r="DH439" i="27"/>
  <c r="DI439" i="27" s="1"/>
  <c r="DH642" i="27"/>
  <c r="DI642" i="27" s="1"/>
  <c r="DH527" i="27"/>
  <c r="DI527" i="27" s="1"/>
  <c r="DH453" i="27"/>
  <c r="DI453" i="27" s="1"/>
  <c r="DH398" i="27"/>
  <c r="DI398" i="27" s="1"/>
  <c r="DH603" i="27"/>
  <c r="DI603" i="27" s="1"/>
  <c r="DH941" i="27"/>
  <c r="DI941" i="27" s="1"/>
  <c r="DH96" i="27"/>
  <c r="DI96" i="27" s="1"/>
  <c r="DH404" i="27"/>
  <c r="DI404" i="27" s="1"/>
  <c r="DH343" i="27"/>
  <c r="DI343" i="27" s="1"/>
  <c r="DH935" i="27"/>
  <c r="DI935" i="27" s="1"/>
  <c r="DH842" i="27"/>
  <c r="DI842" i="27" s="1"/>
  <c r="DH243" i="27"/>
  <c r="DI243" i="27" s="1"/>
  <c r="DH12" i="27"/>
  <c r="DI12" i="27" s="1"/>
  <c r="DH1054" i="27"/>
  <c r="DI1054" i="27" s="1"/>
  <c r="DH810" i="27"/>
  <c r="DI810" i="27" s="1"/>
  <c r="DH418" i="27"/>
  <c r="DI418" i="27" s="1"/>
  <c r="DH979" i="27"/>
  <c r="DI979" i="27" s="1"/>
  <c r="DH238" i="27"/>
  <c r="DI238" i="27" s="1"/>
  <c r="DH938" i="27"/>
  <c r="DI938" i="27" s="1"/>
  <c r="DH506" i="27"/>
  <c r="DI506" i="27" s="1"/>
  <c r="DH476" i="27"/>
  <c r="DI476" i="27" s="1"/>
  <c r="DH957" i="27"/>
  <c r="DI957" i="27" s="1"/>
  <c r="DH436" i="27"/>
  <c r="DI436" i="27" s="1"/>
  <c r="DH472" i="27"/>
  <c r="DI472" i="27" s="1"/>
  <c r="DH766" i="27"/>
  <c r="DI766" i="27" s="1"/>
  <c r="DH94" i="27"/>
  <c r="DI94" i="27" s="1"/>
  <c r="DH556" i="27"/>
  <c r="DI556" i="27" s="1"/>
  <c r="DH742" i="27"/>
  <c r="DI742" i="27" s="1"/>
  <c r="DH361" i="27"/>
  <c r="DI361" i="27" s="1"/>
  <c r="DH813" i="27"/>
  <c r="DI813" i="27" s="1"/>
  <c r="DH277" i="27"/>
  <c r="DI277" i="27" s="1"/>
  <c r="DH512" i="27"/>
  <c r="DI512" i="27" s="1"/>
  <c r="DH599" i="27"/>
  <c r="DI599" i="27" s="1"/>
  <c r="DH93" i="27"/>
  <c r="DI93" i="27" s="1"/>
  <c r="DH925" i="27"/>
  <c r="DI925" i="27" s="1"/>
  <c r="DH983" i="27"/>
  <c r="DI983" i="27" s="1"/>
  <c r="DH280" i="27"/>
  <c r="DI280" i="27" s="1"/>
  <c r="DH698" i="27"/>
  <c r="DI698" i="27" s="1"/>
  <c r="DH306" i="27"/>
  <c r="DI306" i="27" s="1"/>
  <c r="DH1040" i="27"/>
  <c r="DI1040" i="27" s="1"/>
  <c r="DH5" i="27"/>
  <c r="DI5" i="27" s="1"/>
  <c r="DH139" i="27"/>
  <c r="DI139" i="27" s="1"/>
  <c r="DH815" i="27"/>
  <c r="DI815" i="27" s="1"/>
  <c r="DH300" i="27"/>
  <c r="DI300" i="27" s="1"/>
  <c r="DH840" i="27"/>
  <c r="DI840" i="27" s="1"/>
  <c r="DH755" i="27"/>
  <c r="DI755" i="27" s="1"/>
  <c r="DH353" i="27"/>
  <c r="DI353" i="27" s="1"/>
  <c r="DH268" i="27"/>
  <c r="DI268" i="27" s="1"/>
  <c r="DH920" i="27"/>
  <c r="DI920" i="27" s="1"/>
  <c r="DH54" i="27"/>
  <c r="DI54" i="27" s="1"/>
  <c r="DH537" i="27"/>
  <c r="DI537" i="27" s="1"/>
  <c r="DH293" i="27"/>
  <c r="DI293" i="27" s="1"/>
  <c r="DH1007" i="27"/>
  <c r="DI1007" i="27" s="1"/>
  <c r="DH532" i="27"/>
  <c r="DI532" i="27" s="1"/>
  <c r="DH30" i="27"/>
  <c r="DI30" i="27" s="1"/>
  <c r="DH481" i="27"/>
  <c r="DI481" i="27" s="1"/>
  <c r="DH762" i="27"/>
  <c r="DI762" i="27" s="1"/>
  <c r="DH60" i="27"/>
  <c r="DI60" i="27" s="1"/>
  <c r="DH816" i="27"/>
  <c r="DI816" i="27" s="1"/>
  <c r="DH65" i="27"/>
  <c r="DI65" i="27" s="1"/>
  <c r="DH707" i="27"/>
  <c r="DI707" i="27" s="1"/>
  <c r="DH1013" i="27"/>
  <c r="DI1013" i="27" s="1"/>
  <c r="DH541" i="27"/>
  <c r="DI541" i="27" s="1"/>
  <c r="DH745" i="27"/>
  <c r="DI745" i="27" s="1"/>
  <c r="DH236" i="27"/>
  <c r="DI236" i="27" s="1"/>
  <c r="DH687" i="27"/>
  <c r="DI687" i="27" s="1"/>
  <c r="DH414" i="27"/>
  <c r="DI414" i="27" s="1"/>
  <c r="DH165" i="27"/>
  <c r="DI165" i="27" s="1"/>
  <c r="DH445" i="27"/>
  <c r="DI445" i="27" s="1"/>
  <c r="DH730" i="27"/>
  <c r="DI730" i="27" s="1"/>
  <c r="DH694" i="27"/>
  <c r="DI694" i="27" s="1"/>
  <c r="DH931" i="27"/>
  <c r="DI931" i="27" s="1"/>
  <c r="DH1043" i="27"/>
  <c r="DI1043" i="27" s="1"/>
  <c r="DH600" i="27"/>
  <c r="DI600" i="27" s="1"/>
  <c r="DH21" i="27"/>
  <c r="DI21" i="27" s="1"/>
  <c r="DH802" i="27"/>
  <c r="DI802" i="27" s="1"/>
  <c r="DH367" i="27"/>
  <c r="DI367" i="27" s="1"/>
  <c r="DH441" i="27"/>
  <c r="DI441" i="27" s="1"/>
  <c r="DH614" i="27"/>
  <c r="DI614" i="27" s="1"/>
  <c r="DH319" i="27"/>
  <c r="DI319" i="27" s="1"/>
  <c r="DH561" i="27"/>
  <c r="DI561" i="27" s="1"/>
  <c r="DH649" i="27"/>
  <c r="DI649" i="27" s="1"/>
  <c r="DH37" i="27"/>
  <c r="DI37" i="27" s="1"/>
  <c r="DH570" i="27"/>
  <c r="DI570" i="27" s="1"/>
  <c r="DH166" i="27"/>
  <c r="DI166" i="27" s="1"/>
  <c r="DH797" i="27"/>
  <c r="DI797" i="27" s="1"/>
  <c r="DH469" i="27"/>
  <c r="DI469" i="27" s="1"/>
  <c r="DH256" i="27"/>
  <c r="DI256" i="27" s="1"/>
  <c r="DH513" i="27"/>
  <c r="DI513" i="27" s="1"/>
  <c r="DH350" i="27"/>
  <c r="DI350" i="27" s="1"/>
  <c r="DH911" i="27"/>
  <c r="DI911" i="27" s="1"/>
  <c r="DH323" i="27"/>
  <c r="DI323" i="27" s="1"/>
  <c r="DH13" i="27"/>
  <c r="DI13" i="27" s="1"/>
  <c r="DH488" i="27"/>
  <c r="DI488" i="27" s="1"/>
  <c r="DH298" i="27"/>
  <c r="DI298" i="27" s="1"/>
  <c r="DH1047" i="27"/>
  <c r="DI1047" i="27" s="1"/>
  <c r="DH786" i="27"/>
  <c r="DI786" i="27" s="1"/>
  <c r="DH819" i="27"/>
  <c r="DI819" i="27" s="1"/>
  <c r="DH85" i="27"/>
  <c r="DI85" i="27" s="1"/>
  <c r="DH908" i="27"/>
  <c r="DI908" i="27" s="1"/>
  <c r="DH522" i="27"/>
  <c r="DI522" i="27" s="1"/>
  <c r="DH579" i="27"/>
  <c r="DI579" i="27" s="1"/>
  <c r="DH843" i="27"/>
  <c r="DI843" i="27" s="1"/>
  <c r="DH213" i="27"/>
  <c r="DI213" i="27" s="1"/>
  <c r="DH667" i="27"/>
  <c r="DI667" i="27" s="1"/>
  <c r="DH92" i="27"/>
  <c r="DI92" i="27" s="1"/>
  <c r="DH1008" i="27"/>
  <c r="DI1008" i="27" s="1"/>
  <c r="DH520" i="27"/>
  <c r="DI520" i="27" s="1"/>
  <c r="DH397" i="27"/>
  <c r="DI397" i="27" s="1"/>
  <c r="DH673" i="27"/>
  <c r="DI673" i="27" s="1"/>
  <c r="DH116" i="27"/>
  <c r="DI116" i="27" s="1"/>
  <c r="DH918" i="27"/>
  <c r="DI918" i="27" s="1"/>
  <c r="DH157" i="27"/>
  <c r="DI157" i="27" s="1"/>
  <c r="DH823" i="27"/>
  <c r="DI823" i="27" s="1"/>
  <c r="DH628" i="27"/>
  <c r="DI628" i="27" s="1"/>
  <c r="DH731" i="27"/>
  <c r="DI731" i="27" s="1"/>
  <c r="DH33" i="27"/>
  <c r="DI33" i="27" s="1"/>
  <c r="DH572" i="27"/>
  <c r="DI572" i="27" s="1"/>
  <c r="DH847" i="27"/>
  <c r="DI847" i="27" s="1"/>
  <c r="DH123" i="27"/>
  <c r="DI123" i="27" s="1"/>
  <c r="DH732" i="27"/>
  <c r="DI732" i="27" s="1"/>
  <c r="DH146" i="27"/>
  <c r="DI146" i="27" s="1"/>
  <c r="DH1005" i="27"/>
  <c r="DI1005" i="27" s="1"/>
  <c r="DH852" i="27"/>
  <c r="DI852" i="27" s="1"/>
  <c r="DH181" i="27"/>
  <c r="DI181" i="27" s="1"/>
  <c r="DH676" i="27"/>
  <c r="DI676" i="27" s="1"/>
  <c r="DH958" i="27"/>
  <c r="DI958" i="27" s="1"/>
  <c r="DH950" i="27"/>
  <c r="DI950" i="27" s="1"/>
  <c r="DH566" i="27"/>
  <c r="DI566" i="27" s="1"/>
  <c r="DH173" i="27"/>
  <c r="DI173" i="27" s="1"/>
  <c r="DH862" i="27"/>
  <c r="DI862" i="27" s="1"/>
  <c r="DH8" i="27"/>
  <c r="DI8" i="27" s="1"/>
  <c r="DH118" i="27"/>
  <c r="DI118" i="27" s="1"/>
  <c r="DH1049" i="27"/>
  <c r="DI1049" i="27" s="1"/>
  <c r="DH426" i="27"/>
  <c r="DI426" i="27" s="1"/>
  <c r="DH670" i="27"/>
  <c r="DI670" i="27" s="1"/>
  <c r="DH567" i="27"/>
  <c r="DI567" i="27" s="1"/>
  <c r="DH516" i="27"/>
  <c r="DI516" i="27" s="1"/>
  <c r="DH783" i="27"/>
  <c r="DI783" i="27" s="1"/>
  <c r="DH523" i="27"/>
  <c r="DI523" i="27" s="1"/>
  <c r="DH630" i="27"/>
  <c r="DI630" i="27" s="1"/>
  <c r="DH321" i="27"/>
  <c r="DI321" i="27" s="1"/>
  <c r="DH922" i="27"/>
  <c r="DI922" i="27" s="1"/>
  <c r="DH538" i="27"/>
  <c r="DI538" i="27" s="1"/>
  <c r="DH314" i="27"/>
  <c r="DI314" i="27" s="1"/>
  <c r="DH747" i="27"/>
  <c r="DI747" i="27" s="1"/>
  <c r="DH736" i="27"/>
  <c r="DI736" i="27" s="1"/>
  <c r="DH438" i="27"/>
  <c r="DI438" i="27" s="1"/>
  <c r="DH252" i="27"/>
  <c r="DI252" i="27" s="1"/>
  <c r="DH1015" i="27"/>
  <c r="DI1015" i="27" s="1"/>
  <c r="DH535" i="27"/>
  <c r="DI535" i="27" s="1"/>
  <c r="DH62" i="27"/>
  <c r="DI62" i="27" s="1"/>
  <c r="DH900" i="27"/>
  <c r="DI900" i="27" s="1"/>
  <c r="DH877" i="27"/>
  <c r="DI877" i="27" s="1"/>
  <c r="DH442" i="27"/>
  <c r="DI442" i="27" s="1"/>
  <c r="DH332" i="27"/>
  <c r="DI332" i="27" s="1"/>
  <c r="DH455" i="27"/>
  <c r="DI455" i="27" s="1"/>
  <c r="DH728" i="27"/>
  <c r="DI728" i="27" s="1"/>
  <c r="DH349" i="27"/>
  <c r="DI349" i="27" s="1"/>
  <c r="DH318" i="27"/>
  <c r="DI318" i="27" s="1"/>
  <c r="DH366" i="27"/>
  <c r="DI366" i="27" s="1"/>
  <c r="DH712" i="27"/>
  <c r="DI712" i="27" s="1"/>
  <c r="DH174" i="27"/>
  <c r="DI174" i="27" s="1"/>
  <c r="DH548" i="27"/>
  <c r="DI548" i="27" s="1"/>
  <c r="DH223" i="27"/>
  <c r="DI223" i="27" s="1"/>
  <c r="DH304" i="27"/>
  <c r="DI304" i="27" s="1"/>
  <c r="DH696" i="27"/>
  <c r="DI696" i="27" s="1"/>
  <c r="DH452" i="27"/>
  <c r="DI452" i="27" s="1"/>
  <c r="DH894" i="27"/>
  <c r="DI894" i="27" s="1"/>
  <c r="DH263" i="27"/>
  <c r="DI263" i="27" s="1"/>
  <c r="DH372" i="27"/>
  <c r="DI372" i="27" s="1"/>
  <c r="DH724" i="27"/>
  <c r="DI724" i="27" s="1"/>
  <c r="DH152" i="27"/>
  <c r="DI152" i="27" s="1"/>
  <c r="DH565" i="27"/>
  <c r="DI565" i="27" s="1"/>
  <c r="DH51" i="27"/>
  <c r="DI51" i="27" s="1"/>
  <c r="DH333" i="27"/>
  <c r="DI333" i="27" s="1"/>
  <c r="DH896" i="27"/>
  <c r="DI896" i="27" s="1"/>
  <c r="DH554" i="27"/>
  <c r="DI554" i="27" s="1"/>
  <c r="DH495" i="27"/>
  <c r="DI495" i="27" s="1"/>
  <c r="DH162" i="27"/>
  <c r="DI162" i="27" s="1"/>
  <c r="DH722" i="27"/>
  <c r="DI722" i="27" s="1"/>
  <c r="DH409" i="27"/>
  <c r="DI409" i="27" s="1"/>
  <c r="DH496" i="27"/>
  <c r="DI496" i="27" s="1"/>
  <c r="DH988" i="27"/>
  <c r="DI988" i="27" s="1"/>
  <c r="DH492" i="27"/>
  <c r="DI492" i="27" s="1"/>
  <c r="DH120" i="27"/>
  <c r="DI120" i="27" s="1"/>
  <c r="DH863" i="27"/>
  <c r="DI863" i="27" s="1"/>
  <c r="DH660" i="27"/>
  <c r="DI660" i="27" s="1"/>
  <c r="DH776" i="27"/>
  <c r="DI776" i="27" s="1"/>
  <c r="DH191" i="27"/>
  <c r="DI191" i="27" s="1"/>
  <c r="DH239" i="27"/>
  <c r="DI239" i="27" s="1"/>
  <c r="DH719" i="27"/>
  <c r="DI719" i="27" s="1"/>
  <c r="DH416" i="27"/>
  <c r="DI416" i="27" s="1"/>
  <c r="DH607" i="27"/>
  <c r="DI607" i="27" s="1"/>
  <c r="DH224" i="27"/>
  <c r="DI224" i="27" s="1"/>
  <c r="DH833" i="27"/>
  <c r="DI833" i="27" s="1"/>
  <c r="DH311" i="27"/>
  <c r="DI311" i="27" s="1"/>
  <c r="DH267" i="27"/>
  <c r="DI267" i="27" s="1"/>
  <c r="DH490" i="27"/>
  <c r="DI490" i="27" s="1"/>
  <c r="DH992" i="27"/>
  <c r="DI992" i="27" s="1"/>
  <c r="DH211" i="27"/>
  <c r="DI211" i="27" s="1"/>
  <c r="DH183" i="27"/>
  <c r="DI183" i="27" s="1"/>
  <c r="DH947" i="27"/>
  <c r="DI947" i="27" s="1"/>
  <c r="DH49" i="27"/>
  <c r="DI49" i="27" s="1"/>
  <c r="DH904" i="27"/>
  <c r="DI904" i="27" s="1"/>
  <c r="DH531" i="27"/>
  <c r="DI531" i="27" s="1"/>
  <c r="DH221" i="27"/>
  <c r="DI221" i="27" s="1"/>
  <c r="DH550" i="27"/>
  <c r="DI550" i="27" s="1"/>
  <c r="DH237" i="27"/>
  <c r="DI237" i="27" s="1"/>
  <c r="DH1030" i="27"/>
  <c r="DI1030" i="27" s="1"/>
  <c r="DH662" i="27"/>
  <c r="DI662" i="27" s="1"/>
  <c r="DH220" i="27"/>
  <c r="DI220" i="27" s="1"/>
  <c r="DH549" i="27"/>
  <c r="DI549" i="27" s="1"/>
  <c r="DH127" i="27"/>
  <c r="DI127" i="27" s="1"/>
  <c r="DH282" i="27"/>
  <c r="DI282" i="27" s="1"/>
  <c r="DH647" i="27"/>
  <c r="DI647" i="27" s="1"/>
  <c r="DH48" i="27"/>
  <c r="DI48" i="27" s="1"/>
  <c r="DH703" i="27"/>
  <c r="DI703" i="27" s="1"/>
  <c r="DH845" i="27"/>
  <c r="DI845" i="27" s="1"/>
  <c r="DH824" i="27"/>
  <c r="DI824" i="27" s="1"/>
  <c r="DH794" i="27"/>
  <c r="DI794" i="27" s="1"/>
  <c r="DH557" i="27"/>
  <c r="DI557" i="27" s="1"/>
  <c r="DH253" i="27"/>
  <c r="DI253" i="27" s="1"/>
  <c r="DH534" i="27"/>
  <c r="DI534" i="27" s="1"/>
  <c r="DH266" i="27"/>
  <c r="DI266" i="27" s="1"/>
  <c r="DH733" i="27"/>
  <c r="DI733" i="27" s="1"/>
  <c r="DH408" i="27"/>
  <c r="DI408" i="27" s="1"/>
  <c r="DH977" i="27"/>
  <c r="DI977" i="27" s="1"/>
  <c r="DH792" i="27"/>
  <c r="DI792" i="27" s="1"/>
  <c r="DH345" i="27"/>
  <c r="DI345" i="27" s="1"/>
  <c r="DH602" i="27"/>
  <c r="DI602" i="27" s="1"/>
  <c r="DH189" i="27"/>
  <c r="DI189" i="27" s="1"/>
  <c r="DH435" i="27"/>
  <c r="DI435" i="27" s="1"/>
  <c r="DH4" i="27"/>
  <c r="DI4" i="27" s="1"/>
  <c r="DH814" i="27"/>
  <c r="DI814" i="27" s="1"/>
  <c r="DH539" i="27"/>
  <c r="DI539" i="27" s="1"/>
  <c r="DH562" i="27"/>
  <c r="DI562" i="27" s="1"/>
  <c r="DH386" i="27"/>
  <c r="DI386" i="27" s="1"/>
  <c r="DH990" i="27"/>
  <c r="DI990" i="27" s="1"/>
  <c r="DH543" i="27"/>
  <c r="DI543" i="27" s="1"/>
  <c r="DH855" i="27"/>
  <c r="DI855" i="27" s="1"/>
  <c r="DH72" i="27"/>
  <c r="DI72" i="27" s="1"/>
  <c r="DH502" i="27"/>
  <c r="DI502" i="27" s="1"/>
  <c r="DH425" i="27"/>
  <c r="DI425" i="27" s="1"/>
  <c r="DH336" i="27"/>
  <c r="DI336" i="27" s="1"/>
  <c r="DH808" i="27"/>
  <c r="DI808" i="27" s="1"/>
  <c r="DH39" i="27"/>
  <c r="DI39" i="27" s="1"/>
  <c r="DH878" i="27"/>
  <c r="DI878" i="27" s="1"/>
  <c r="DH837" i="27"/>
  <c r="DI837" i="27" s="1"/>
  <c r="DH668" i="27"/>
  <c r="DI668" i="27" s="1"/>
  <c r="DH40" i="27"/>
  <c r="DI40" i="27" s="1"/>
  <c r="DH283" i="27"/>
  <c r="DI283" i="27" s="1"/>
  <c r="DH949" i="27"/>
  <c r="DI949" i="27" s="1"/>
  <c r="DH765" i="27"/>
  <c r="DI765" i="27" s="1"/>
  <c r="DH159" i="27"/>
  <c r="DI159" i="27" s="1"/>
  <c r="DH625" i="27"/>
  <c r="DI625" i="27" s="1"/>
  <c r="DH337" i="27"/>
  <c r="DI337" i="27" s="1"/>
  <c r="DH1050" i="27"/>
  <c r="DI1050" i="27" s="1"/>
  <c r="DH198" i="27"/>
  <c r="DI198" i="27" s="1"/>
  <c r="DH71" i="27"/>
  <c r="DI71" i="27" s="1"/>
  <c r="DH217" i="27"/>
  <c r="DI217" i="27" s="1"/>
  <c r="DH836" i="27"/>
  <c r="DI836" i="27" s="1"/>
  <c r="DH316" i="27"/>
  <c r="DI316" i="27" s="1"/>
  <c r="DH710" i="27"/>
  <c r="DI710" i="27" s="1"/>
  <c r="DH285" i="27"/>
  <c r="DI285" i="27" s="1"/>
  <c r="DH831" i="27"/>
  <c r="DI831" i="27" s="1"/>
  <c r="DH898" i="27"/>
  <c r="DI898" i="27" s="1"/>
  <c r="DH61" i="27"/>
  <c r="DI61" i="27" s="1"/>
  <c r="DH857" i="27"/>
  <c r="DI857" i="27" s="1"/>
  <c r="DH365" i="27"/>
  <c r="DI365" i="27" s="1"/>
  <c r="DH423" i="27"/>
  <c r="DI423" i="27" s="1"/>
  <c r="DH726" i="27"/>
  <c r="DI726" i="27" s="1"/>
  <c r="DH9" i="27"/>
  <c r="DI9" i="27" s="1"/>
  <c r="DH461" i="27"/>
  <c r="DI461" i="27" s="1"/>
  <c r="DH403" i="27"/>
  <c r="DI403" i="27" s="1"/>
  <c r="DH355" i="27"/>
  <c r="DI355" i="27" s="1"/>
  <c r="DH790" i="27"/>
  <c r="DI790" i="27" s="1"/>
  <c r="DH241" i="27"/>
  <c r="DI241" i="27" s="1"/>
  <c r="DH748" i="27"/>
  <c r="DI748" i="27" s="1"/>
  <c r="DH940" i="27"/>
  <c r="DI940" i="27" s="1"/>
  <c r="DH218" i="27"/>
  <c r="DI218" i="27" s="1"/>
  <c r="DH544" i="27"/>
  <c r="DI544" i="27" s="1"/>
  <c r="DH373" i="27"/>
  <c r="DI373" i="27" s="1"/>
  <c r="DH959" i="27"/>
  <c r="DI959" i="27" s="1"/>
  <c r="DH982" i="27"/>
  <c r="DI982" i="27" s="1"/>
  <c r="DH270" i="27"/>
  <c r="DI270" i="27" s="1"/>
  <c r="DH838" i="27"/>
  <c r="DI838" i="27" s="1"/>
  <c r="DH67" i="27"/>
  <c r="DI67" i="27" s="1"/>
  <c r="DH893" i="27"/>
  <c r="DI893" i="27" s="1"/>
  <c r="DH1036" i="27"/>
  <c r="DI1036" i="27" s="1"/>
  <c r="DH555" i="27"/>
  <c r="DI555" i="27" s="1"/>
  <c r="DH839" i="27"/>
  <c r="DI839" i="27" s="1"/>
  <c r="DH887" i="27"/>
  <c r="DI887" i="27" s="1"/>
  <c r="DH172" i="27"/>
  <c r="DI172" i="27" s="1"/>
  <c r="DH431" i="27"/>
  <c r="DI431" i="27" s="1"/>
  <c r="DH106" i="27"/>
  <c r="DI106" i="27" s="1"/>
  <c r="DH825" i="27"/>
  <c r="DI825" i="27" s="1"/>
  <c r="DH322" i="27"/>
  <c r="DI322" i="27" s="1"/>
  <c r="DH276" i="27"/>
  <c r="DI276" i="27" s="1"/>
  <c r="DH740" i="27"/>
  <c r="DI740" i="27" s="1"/>
  <c r="DH916" i="27"/>
  <c r="DI916" i="27" s="1"/>
  <c r="DH57" i="27"/>
  <c r="DI57" i="27" s="1"/>
  <c r="DH1037" i="27"/>
  <c r="DI1037" i="27" s="1"/>
  <c r="DH56" i="27"/>
  <c r="DI56" i="27" s="1"/>
  <c r="DH533" i="27"/>
  <c r="DI533" i="27" s="1"/>
  <c r="DH427" i="27"/>
  <c r="DI427" i="27" s="1"/>
  <c r="DH661" i="27"/>
  <c r="DI661" i="27" s="1"/>
  <c r="DH948" i="27"/>
  <c r="DI948" i="27" s="1"/>
  <c r="DH129" i="27"/>
  <c r="DI129" i="27" s="1"/>
  <c r="DH1026" i="27"/>
  <c r="DI1026" i="27" s="1"/>
  <c r="DH519" i="27"/>
  <c r="DI519" i="27" s="1"/>
  <c r="DH247" i="27"/>
  <c r="DI247" i="27" s="1"/>
  <c r="DH695" i="27"/>
  <c r="DI695" i="27" s="1"/>
  <c r="DH597" i="27"/>
  <c r="DI597" i="27" s="1"/>
  <c r="DH552" i="27"/>
  <c r="DI552" i="27" s="1"/>
  <c r="DH653" i="27"/>
  <c r="DI653" i="27" s="1"/>
  <c r="DH29" i="27"/>
  <c r="DI29" i="27" s="1"/>
  <c r="DH626" i="27"/>
  <c r="DI626" i="27" s="1"/>
  <c r="DH638" i="27"/>
  <c r="DI638" i="27" s="1"/>
  <c r="DH113" i="27"/>
  <c r="DI113" i="27" s="1"/>
  <c r="DH897" i="27"/>
  <c r="DI897" i="27" s="1"/>
  <c r="DH717" i="27"/>
  <c r="DI717" i="27" s="1"/>
  <c r="DH370" i="27"/>
  <c r="DI370" i="27" s="1"/>
  <c r="DH767" i="27"/>
  <c r="DI767" i="27" s="1"/>
  <c r="DH428" i="27"/>
  <c r="DI428" i="27" s="1"/>
  <c r="DH756" i="27"/>
  <c r="DI756" i="27" s="1"/>
  <c r="DH592" i="27"/>
  <c r="DI592" i="27" s="1"/>
  <c r="DH265" i="27"/>
  <c r="DI265" i="27" s="1"/>
  <c r="DH1039" i="27"/>
  <c r="DI1039" i="27" s="1"/>
  <c r="DH381" i="27"/>
  <c r="DI381" i="27" s="1"/>
  <c r="DH1003" i="27"/>
  <c r="DI1003" i="27" s="1"/>
  <c r="DH214" i="27"/>
  <c r="DI214" i="27" s="1"/>
  <c r="DH714" i="27"/>
  <c r="DI714" i="27" s="1"/>
  <c r="DH98" i="27"/>
  <c r="DI98" i="27" s="1"/>
  <c r="DH702" i="27"/>
  <c r="DI702" i="27" s="1"/>
  <c r="DH604" i="27"/>
  <c r="DI604" i="27" s="1"/>
  <c r="DH14" i="27"/>
  <c r="DI14" i="27" s="1"/>
  <c r="DH785" i="27"/>
  <c r="DI785" i="27" s="1"/>
  <c r="DH515" i="27"/>
  <c r="DI515" i="27" s="1"/>
  <c r="DH589" i="27"/>
  <c r="DI589" i="27" s="1"/>
  <c r="DH945" i="27"/>
  <c r="DI945" i="27" s="1"/>
  <c r="DH254" i="27"/>
  <c r="DI254" i="27" s="1"/>
  <c r="DH866" i="27"/>
  <c r="DI866" i="27" s="1"/>
  <c r="DH681" i="27"/>
  <c r="DI681" i="27" s="1"/>
  <c r="DH75" i="27"/>
  <c r="DI75" i="27" s="1"/>
  <c r="DH890" i="27"/>
  <c r="DI890" i="27" s="1"/>
  <c r="DH290" i="27"/>
  <c r="DI290" i="27" s="1"/>
  <c r="DH292" i="27"/>
  <c r="DI292" i="27" s="1"/>
  <c r="DH654" i="27"/>
  <c r="DI654" i="27" s="1"/>
  <c r="DH371" i="27"/>
  <c r="DI371" i="27" s="1"/>
  <c r="DH467" i="27"/>
  <c r="DI467" i="27" s="1"/>
  <c r="DH832" i="27"/>
  <c r="DI832" i="27" s="1"/>
  <c r="DH782" i="27"/>
  <c r="DI782" i="27" s="1"/>
  <c r="DH641" i="27"/>
  <c r="DI641" i="27" s="1"/>
  <c r="DH193" i="27"/>
  <c r="DI193" i="27" s="1"/>
  <c r="DH400" i="27"/>
  <c r="DI400" i="27" s="1"/>
  <c r="DH135" i="27"/>
  <c r="DI135" i="27" s="1"/>
  <c r="DH500" i="27"/>
  <c r="DI500" i="27" s="1"/>
  <c r="DH770" i="27"/>
  <c r="DI770" i="27" s="1"/>
  <c r="DH42" i="27"/>
  <c r="DI42" i="27" s="1"/>
  <c r="DH629" i="27"/>
  <c r="DI629" i="27" s="1"/>
  <c r="DH951" i="27"/>
  <c r="DI951" i="27" s="1"/>
  <c r="DH188" i="27"/>
  <c r="DI188" i="27" s="1"/>
  <c r="DH138" i="27"/>
  <c r="DI138" i="27" s="1"/>
  <c r="DH763" i="27"/>
  <c r="DI763" i="27" s="1"/>
  <c r="DH101" i="27"/>
  <c r="DI101" i="27" s="1"/>
  <c r="DH669" i="27"/>
  <c r="DI669" i="27" s="1"/>
  <c r="DH347" i="27"/>
  <c r="DI347" i="27" s="1"/>
  <c r="DH577" i="27"/>
  <c r="DI577" i="27" s="1"/>
  <c r="DH284" i="27"/>
  <c r="DI284" i="27" s="1"/>
  <c r="DH910" i="27"/>
  <c r="DI910" i="27" s="1"/>
  <c r="DH19" i="27"/>
  <c r="DI19" i="27" s="1"/>
  <c r="DH821" i="27"/>
  <c r="DI821" i="27" s="1"/>
  <c r="DH989" i="27"/>
  <c r="DI989" i="27" s="1"/>
  <c r="DH357" i="27"/>
  <c r="DI357" i="27" s="1"/>
  <c r="DH595" i="27"/>
  <c r="DI595" i="27" s="1"/>
  <c r="DH888" i="27"/>
  <c r="DI888" i="27" s="1"/>
  <c r="DH505" i="27"/>
  <c r="DI505" i="27" s="1"/>
  <c r="DH195" i="27"/>
  <c r="DI195" i="27" s="1"/>
  <c r="DH778" i="27"/>
  <c r="DI778" i="27" s="1"/>
  <c r="DH338" i="27"/>
  <c r="DI338" i="27" s="1"/>
  <c r="DH178" i="27"/>
  <c r="DI178" i="27" s="1"/>
  <c r="DH665" i="27"/>
  <c r="DI665" i="27" s="1"/>
  <c r="DH530" i="27"/>
  <c r="DI530" i="27" s="1"/>
  <c r="DH134" i="27"/>
  <c r="DI134" i="27" s="1"/>
  <c r="DH229" i="27"/>
  <c r="DI229" i="27" s="1"/>
  <c r="DH768" i="27"/>
  <c r="DI768" i="27" s="1"/>
  <c r="DH24" i="27"/>
  <c r="DI24" i="27" s="1"/>
  <c r="DH689" i="27"/>
  <c r="DI689" i="27" s="1"/>
  <c r="DH392" i="27"/>
  <c r="DI392" i="27" s="1"/>
  <c r="DH17" i="27"/>
  <c r="DI17" i="27" s="1"/>
  <c r="DH1033" i="27"/>
  <c r="DI1033" i="27" s="1"/>
  <c r="DH185" i="27"/>
  <c r="DI185" i="27" s="1"/>
  <c r="DH610" i="27"/>
  <c r="DI610" i="27" s="1"/>
  <c r="DH909" i="27"/>
  <c r="DI909" i="27" s="1"/>
  <c r="DH115" i="27"/>
  <c r="DI115" i="27" s="1"/>
  <c r="DH434" i="27"/>
  <c r="DI434" i="27" s="1"/>
  <c r="DH287" i="27"/>
  <c r="DI287" i="27" s="1"/>
  <c r="DH377" i="27"/>
  <c r="DI377" i="27" s="1"/>
  <c r="DH704" i="27"/>
  <c r="DI704" i="27" s="1"/>
  <c r="DH194" i="27"/>
  <c r="DI194" i="27" s="1"/>
  <c r="DH553" i="27"/>
  <c r="DI553" i="27" s="1"/>
  <c r="DH99" i="27"/>
  <c r="DI99" i="27" s="1"/>
  <c r="DH586" i="27"/>
  <c r="DI586" i="27" s="1"/>
  <c r="DH484" i="27"/>
  <c r="DI484" i="27" s="1"/>
  <c r="DH433" i="27"/>
  <c r="DI433" i="27" s="1"/>
  <c r="DH780" i="27"/>
  <c r="DI780" i="27" s="1"/>
  <c r="DH133" i="27"/>
  <c r="DI133" i="27" s="1"/>
  <c r="DH771" i="27"/>
  <c r="DI771" i="27" s="1"/>
  <c r="DH163" i="27"/>
  <c r="DI163" i="27" s="1"/>
  <c r="DH826" i="27"/>
  <c r="DI826" i="27" s="1"/>
  <c r="DH462" i="27"/>
  <c r="DI462" i="27" s="1"/>
  <c r="DH458" i="27"/>
  <c r="DI458" i="27" s="1"/>
  <c r="DH875" i="27"/>
  <c r="DI875" i="27" s="1"/>
  <c r="DH132" i="27"/>
  <c r="DI132" i="27" s="1"/>
  <c r="DH593" i="27"/>
  <c r="DI593" i="27" s="1"/>
  <c r="DH137" i="27"/>
  <c r="DI137" i="27" s="1"/>
  <c r="DH976" i="27"/>
  <c r="DI976" i="27" s="1"/>
  <c r="DH459" i="27"/>
  <c r="DI459" i="27" s="1"/>
  <c r="DH448" i="27"/>
  <c r="DI448" i="27" s="1"/>
  <c r="DH737" i="27"/>
  <c r="DI737" i="27" s="1"/>
  <c r="DH91" i="27"/>
  <c r="DI91" i="27" s="1"/>
  <c r="DH380" i="27"/>
  <c r="DI380" i="27" s="1"/>
  <c r="DH1016" i="27"/>
  <c r="DI1016" i="27" s="1"/>
  <c r="DH171" i="27"/>
  <c r="DI171" i="27" s="1"/>
  <c r="DH867" i="27"/>
  <c r="DI867" i="27" s="1"/>
  <c r="DH443" i="27"/>
  <c r="DI443" i="27" s="1"/>
  <c r="DH417" i="27"/>
  <c r="DI417" i="27" s="1"/>
  <c r="DH709" i="27"/>
  <c r="DI709" i="27" s="1"/>
  <c r="DH68" i="27"/>
  <c r="DI68" i="27" s="1"/>
  <c r="DH851" i="27"/>
  <c r="DI851" i="27" s="1"/>
  <c r="DH31" i="27"/>
  <c r="DI31" i="27" s="1"/>
  <c r="DH716" i="27"/>
  <c r="DI716" i="27" s="1"/>
  <c r="DH612" i="27"/>
  <c r="DI612" i="27" s="1"/>
  <c r="DH141" i="27"/>
  <c r="DI141" i="27" s="1"/>
  <c r="DH753" i="27"/>
  <c r="DI753" i="27" s="1"/>
  <c r="DH396" i="27"/>
  <c r="DI396" i="27" s="1"/>
  <c r="DH200" i="27"/>
  <c r="DI200" i="27" s="1"/>
  <c r="DH939" i="27"/>
  <c r="DI939" i="27" s="1"/>
  <c r="DH965" i="27"/>
  <c r="DI965" i="27" s="1"/>
  <c r="DH569" i="27"/>
  <c r="DI569" i="27" s="1"/>
  <c r="DH820" i="27"/>
  <c r="DI820" i="27" s="1"/>
  <c r="DH1006" i="27"/>
  <c r="DI1006" i="27" s="1"/>
  <c r="DH348" i="27"/>
  <c r="DI348" i="27" s="1"/>
  <c r="DH388" i="27"/>
  <c r="DI388" i="27" s="1"/>
  <c r="DH170" i="27"/>
  <c r="DI170" i="27" s="1"/>
  <c r="DH618" i="27"/>
  <c r="DI618" i="27" s="1"/>
  <c r="DH302" i="27"/>
  <c r="DI302" i="27" s="1"/>
  <c r="DH66" i="27"/>
  <c r="DI66" i="27" s="1"/>
  <c r="DH942" i="27"/>
  <c r="DI942" i="27" s="1"/>
  <c r="DH382" i="27"/>
  <c r="DI382" i="27" s="1"/>
  <c r="DH659" i="27"/>
  <c r="DI659" i="27" s="1"/>
  <c r="DH144" i="27"/>
  <c r="DI144" i="27" s="1"/>
  <c r="DH1038" i="27"/>
  <c r="DI1038" i="27" s="1"/>
  <c r="DH110" i="27"/>
  <c r="DI110" i="27" s="1"/>
  <c r="DH636" i="27"/>
  <c r="DI636" i="27" s="1"/>
  <c r="DH764" i="27"/>
  <c r="DI764" i="27" s="1"/>
  <c r="DH1029" i="27"/>
  <c r="DI1029" i="27" s="1"/>
  <c r="DH999" i="27"/>
  <c r="DI999" i="27" s="1"/>
  <c r="DH395" i="27"/>
  <c r="DI395" i="27" s="1"/>
  <c r="DH955" i="27"/>
  <c r="DI955" i="27" s="1"/>
  <c r="DH63" i="27"/>
  <c r="DI63" i="27" s="1"/>
  <c r="DH872" i="27"/>
  <c r="DI872" i="27" s="1"/>
  <c r="DH601" i="27"/>
  <c r="DI601" i="27" s="1"/>
  <c r="DH201" i="27"/>
  <c r="DI201" i="27" s="1"/>
  <c r="DH410" i="27"/>
  <c r="DI410" i="27" s="1"/>
  <c r="DH981" i="27"/>
  <c r="DI981" i="27" s="1"/>
  <c r="DH804" i="27"/>
  <c r="DI804" i="27" s="1"/>
  <c r="DH260" i="27"/>
  <c r="DI260" i="27" s="1"/>
  <c r="DH759" i="27"/>
  <c r="DI759" i="27" s="1"/>
  <c r="DH25" i="27"/>
  <c r="DI25" i="27" s="1"/>
  <c r="DH140" i="27"/>
  <c r="DI140" i="27" s="1"/>
  <c r="DH932" i="27"/>
  <c r="DI932" i="27" s="1"/>
  <c r="DH128" i="27"/>
  <c r="DI128" i="27" s="1"/>
  <c r="DH738" i="27"/>
  <c r="DI738" i="27" s="1"/>
  <c r="DH1034" i="27"/>
  <c r="DI1034" i="27" s="1"/>
  <c r="DH420" i="27"/>
  <c r="DI420" i="27" s="1"/>
  <c r="DH622" i="27"/>
  <c r="DI622" i="27" s="1"/>
  <c r="DH385" i="27"/>
  <c r="DI385" i="27" s="1"/>
  <c r="DH1004" i="27"/>
  <c r="DI1004" i="27" s="1"/>
  <c r="DH526" i="27"/>
  <c r="DI526" i="27" s="1"/>
  <c r="DH310" i="27"/>
  <c r="DI310" i="27" s="1"/>
  <c r="DH575" i="27"/>
  <c r="DI575" i="27" s="1"/>
  <c r="DH1062" i="27"/>
  <c r="DI1062" i="27" s="1"/>
  <c r="DH686" i="27"/>
  <c r="DI686" i="27" s="1"/>
  <c r="DH153" i="27"/>
  <c r="DI153" i="27" s="1"/>
  <c r="DH705" i="27"/>
  <c r="DI705" i="27" s="1"/>
  <c r="DH1021" i="27"/>
  <c r="DI1021" i="27" s="1"/>
  <c r="DH835" i="27"/>
  <c r="DI835" i="27" s="1"/>
  <c r="DH273" i="27"/>
  <c r="DI273" i="27" s="1"/>
  <c r="DH419" i="27"/>
  <c r="DI419" i="27" s="1"/>
  <c r="DH204" i="27"/>
  <c r="DI204" i="27" s="1"/>
  <c r="DH905" i="27"/>
  <c r="DI905" i="27" s="1"/>
  <c r="DH558" i="27"/>
  <c r="DI558" i="27" s="1"/>
  <c r="DH1019" i="27"/>
  <c r="DI1019" i="27" s="1"/>
  <c r="DH192" i="27"/>
  <c r="DI192" i="27" s="1"/>
  <c r="DH1053" i="27"/>
  <c r="DI1053" i="27" s="1"/>
  <c r="DH378" i="27"/>
  <c r="DI378" i="27" s="1"/>
  <c r="DH540" i="27"/>
  <c r="DI540" i="27" s="1"/>
  <c r="DH36" i="27"/>
  <c r="DI36" i="27" s="1"/>
  <c r="DH841" i="27"/>
  <c r="DI841" i="27" s="1"/>
  <c r="DH43" i="27"/>
  <c r="DI43" i="27" s="1"/>
  <c r="DH264" i="27"/>
  <c r="DI264" i="27" s="1"/>
  <c r="DH880" i="27"/>
  <c r="DI880" i="27" s="1"/>
  <c r="DH656" i="27"/>
  <c r="DI656" i="27" s="1"/>
  <c r="DH272" i="27"/>
  <c r="DI272" i="27" s="1"/>
  <c r="DH664" i="27"/>
  <c r="DI664" i="27" s="1"/>
  <c r="DH108" i="27"/>
  <c r="DI108" i="27" s="1"/>
  <c r="DH913" i="27"/>
  <c r="DI913" i="27" s="1"/>
  <c r="DH491" i="27"/>
  <c r="DI491" i="27" s="1"/>
  <c r="DH363" i="27"/>
  <c r="DI363" i="27" s="1"/>
  <c r="DH470" i="27"/>
  <c r="DI470" i="27" s="1"/>
  <c r="DH274" i="27"/>
  <c r="DI274" i="27" s="1"/>
  <c r="DH525" i="27"/>
  <c r="DI525" i="27" s="1"/>
  <c r="DH850" i="27"/>
  <c r="DI850" i="27" s="1"/>
  <c r="DH20" i="27"/>
  <c r="DI20" i="27" s="1"/>
  <c r="DH827" i="27"/>
  <c r="DI827" i="27" s="1"/>
  <c r="DH208" i="27"/>
  <c r="DI208" i="27" s="1"/>
  <c r="DH259" i="27"/>
  <c r="DI259" i="27" s="1"/>
  <c r="DH760" i="27"/>
  <c r="DI760" i="27" s="1"/>
  <c r="DH205" i="27"/>
  <c r="DI205" i="27" s="1"/>
  <c r="DH793" i="27"/>
  <c r="DI793" i="27" s="1"/>
  <c r="DH1044" i="27"/>
  <c r="DI1044" i="27" s="1"/>
  <c r="DH317" i="27"/>
  <c r="DI317" i="27" s="1"/>
  <c r="DH923" i="27"/>
  <c r="DI923" i="27" s="1"/>
  <c r="DH727" i="27"/>
  <c r="DI727" i="27" s="1"/>
  <c r="DH678" i="27"/>
  <c r="DI678" i="27" s="1"/>
  <c r="DH1055" i="27"/>
  <c r="DI1055" i="27" s="1"/>
  <c r="DH761" i="27"/>
  <c r="DI761" i="27" s="1"/>
  <c r="DH953" i="27"/>
  <c r="DI953" i="27" s="1"/>
  <c r="DH346" i="27"/>
  <c r="DI346" i="27" s="1"/>
  <c r="DH255" i="27"/>
  <c r="DI255" i="27" s="1"/>
  <c r="DH249" i="27"/>
  <c r="DI249" i="27" s="1"/>
  <c r="DH860" i="27"/>
  <c r="DI860" i="27" s="1"/>
  <c r="DH1014" i="27"/>
  <c r="DI1014" i="27" s="1"/>
  <c r="DH244" i="27"/>
  <c r="DI244" i="27" s="1"/>
  <c r="DH190" i="27"/>
  <c r="DI190" i="27" s="1"/>
  <c r="DH869" i="27"/>
  <c r="DI869" i="27" s="1"/>
  <c r="DH632" i="27"/>
  <c r="DI632" i="27" s="1"/>
  <c r="DH934" i="27"/>
  <c r="DI934" i="27" s="1"/>
  <c r="DH902" i="27"/>
  <c r="DI902" i="27" s="1"/>
  <c r="DH150" i="27"/>
  <c r="DI150" i="27" s="1"/>
  <c r="DH576" i="27"/>
  <c r="DI576" i="27" s="1"/>
  <c r="DH666" i="27"/>
  <c r="DI666" i="27" s="1"/>
  <c r="DH7" i="27"/>
  <c r="DI7" i="27" s="1"/>
  <c r="DH451" i="27"/>
  <c r="DI451" i="27" s="1"/>
  <c r="DH613" i="27"/>
  <c r="DI613" i="27" s="1"/>
  <c r="DH151" i="27"/>
  <c r="DI151" i="27" s="1"/>
  <c r="DH399" i="27"/>
  <c r="DI399" i="27" s="1"/>
  <c r="DH521" i="27"/>
  <c r="DI521" i="27" s="1"/>
  <c r="DH998" i="27"/>
  <c r="DI998" i="27" s="1"/>
  <c r="DH777" i="27"/>
  <c r="DI777" i="27" s="1"/>
  <c r="DH648" i="27"/>
  <c r="DI648" i="27" s="1"/>
  <c r="DH465" i="27"/>
  <c r="DI465" i="27" s="1"/>
  <c r="DH161" i="27"/>
  <c r="DI161" i="27" s="1"/>
  <c r="DH623" i="27"/>
  <c r="DI623" i="27" s="1"/>
  <c r="DH706" i="27"/>
  <c r="DI706" i="27" s="1"/>
  <c r="DH295" i="27"/>
  <c r="DI295" i="27" s="1"/>
  <c r="DH946" i="27"/>
  <c r="DI946" i="27" s="1"/>
  <c r="DH79" i="27"/>
  <c r="DI79" i="27" s="1"/>
  <c r="DH80" i="27"/>
  <c r="DI80" i="27" s="1"/>
  <c r="DH699" i="27"/>
  <c r="DI699" i="27" s="1"/>
  <c r="DH583" i="27"/>
  <c r="DI583" i="27" s="1"/>
  <c r="DH805" i="27"/>
  <c r="DI805" i="27" s="1"/>
  <c r="DH308" i="27"/>
  <c r="DI308" i="27" s="1"/>
  <c r="DH546" i="27"/>
  <c r="DI546" i="27" s="1"/>
  <c r="DH801" i="27"/>
  <c r="DI801" i="27" s="1"/>
  <c r="DH228" i="27"/>
  <c r="DI228" i="27" s="1"/>
  <c r="DH865" i="27"/>
  <c r="DI865" i="27" s="1"/>
  <c r="DH352" i="27"/>
  <c r="DI352" i="27" s="1"/>
  <c r="DH511" i="27"/>
  <c r="DI511" i="27" s="1"/>
  <c r="DH741" i="27"/>
  <c r="DI741" i="27" s="1"/>
  <c r="DH326" i="27"/>
  <c r="DI326" i="27" s="1"/>
  <c r="DH360" i="27"/>
  <c r="DI360" i="27" s="1"/>
  <c r="DH560" i="27"/>
  <c r="DI560" i="27" s="1"/>
  <c r="DH608" i="27"/>
  <c r="DI608" i="27" s="1"/>
  <c r="DH886" i="27"/>
  <c r="DI886" i="27" s="1"/>
  <c r="DH573" i="27"/>
  <c r="DI573" i="27" s="1"/>
  <c r="DH672" i="27"/>
  <c r="DI672" i="27" s="1"/>
  <c r="DH757" i="27"/>
  <c r="DI757" i="27" s="1"/>
  <c r="DH1027" i="27"/>
  <c r="DI1027" i="27" s="1"/>
  <c r="DH351" i="27"/>
  <c r="DI351" i="27" s="1"/>
  <c r="DH1002" i="27"/>
  <c r="DI1002" i="27" s="1"/>
  <c r="DH90" i="27"/>
  <c r="DI90" i="27" s="1"/>
  <c r="DH257" i="27"/>
  <c r="DI257" i="27" s="1"/>
  <c r="DH917" i="27"/>
  <c r="DI917" i="27" s="1"/>
  <c r="DH22" i="27"/>
  <c r="DI22" i="27" s="1"/>
  <c r="DH789" i="27"/>
  <c r="DI789" i="27" s="1"/>
  <c r="DH508" i="27"/>
  <c r="DI508" i="27" s="1"/>
  <c r="DH994" i="27"/>
  <c r="DI994" i="27" s="1"/>
  <c r="DH100" i="27"/>
  <c r="DI100" i="27" s="1"/>
  <c r="DH27" i="27"/>
  <c r="DI27" i="27" s="1"/>
  <c r="DH598" i="27"/>
  <c r="DI598" i="27" s="1"/>
  <c r="DH340" i="27"/>
  <c r="DI340" i="27" s="1"/>
  <c r="DH690" i="27"/>
  <c r="DI690" i="27" s="1"/>
  <c r="DH1059" i="27"/>
  <c r="DI1059" i="27" s="1"/>
  <c r="DH329" i="27"/>
  <c r="DI329" i="27" s="1"/>
  <c r="DH401" i="27"/>
  <c r="DI401" i="27" s="1"/>
  <c r="DH829" i="27"/>
  <c r="DI829" i="27" s="1"/>
  <c r="DH286" i="27"/>
  <c r="DI286" i="27" s="1"/>
  <c r="DH503" i="27"/>
  <c r="DI503" i="27" s="1"/>
  <c r="DH675" i="27"/>
  <c r="DI675" i="27" s="1"/>
  <c r="DH853" i="27"/>
  <c r="DI853" i="27" s="1"/>
  <c r="DH225" i="27"/>
  <c r="DI225" i="27" s="1"/>
  <c r="DH475" i="27"/>
  <c r="DI475" i="27" s="1"/>
  <c r="DH984" i="27"/>
  <c r="DI984" i="27" s="1"/>
  <c r="DH997" i="27"/>
  <c r="DI997" i="27" s="1"/>
  <c r="DH177" i="27"/>
  <c r="DI177" i="27" s="1"/>
  <c r="DH970" i="27"/>
  <c r="DI970" i="27" s="1"/>
  <c r="DH23" i="27"/>
  <c r="DI23" i="27" s="1"/>
  <c r="DH609" i="27"/>
  <c r="DI609" i="27" s="1"/>
  <c r="DH624" i="27"/>
  <c r="DI624" i="27" s="1"/>
  <c r="DH47" i="27"/>
  <c r="DI47" i="27" s="1"/>
  <c r="DH927" i="27"/>
  <c r="DI927" i="27" s="1"/>
  <c r="DH723" i="27"/>
  <c r="DI723" i="27" s="1"/>
  <c r="DH882" i="27"/>
  <c r="DI882" i="27" s="1"/>
  <c r="DH301" i="27"/>
  <c r="DI301" i="27" s="1"/>
  <c r="DH324" i="27"/>
  <c r="DI324" i="27" s="1"/>
  <c r="DH854" i="27"/>
  <c r="DI854" i="27" s="1"/>
  <c r="DH210" i="27"/>
  <c r="DI210" i="27" s="1"/>
  <c r="DH912" i="27"/>
  <c r="DI912" i="27" s="1"/>
  <c r="DH1028" i="27"/>
  <c r="DI1028" i="27" s="1"/>
  <c r="DH124" i="27"/>
  <c r="DI124" i="27" s="1"/>
  <c r="DH235" i="27"/>
  <c r="DI235" i="27" s="1"/>
  <c r="DH864" i="27"/>
  <c r="DI864" i="27" s="1"/>
  <c r="DH861" i="27"/>
  <c r="DI861" i="27" s="1"/>
  <c r="DH479" i="27"/>
  <c r="DI479" i="27" s="1"/>
  <c r="DH1052" i="27"/>
  <c r="DI1052" i="27" s="1"/>
  <c r="DH312" i="27"/>
  <c r="DI312" i="27" s="1"/>
  <c r="DH729" i="27"/>
  <c r="DI729" i="27" s="1"/>
  <c r="DH156" i="27"/>
  <c r="DI156" i="27" s="1"/>
  <c r="DH46" i="27"/>
  <c r="DI46" i="27" s="1"/>
  <c r="DH713" i="27"/>
  <c r="DI713" i="27" s="1"/>
  <c r="DH585" i="27"/>
  <c r="DI585" i="27" s="1"/>
  <c r="DH494" i="27"/>
  <c r="DI494" i="27" s="1"/>
  <c r="DH294" i="27"/>
  <c r="DI294" i="27" s="1"/>
  <c r="DH954" i="27"/>
  <c r="DI954" i="27" s="1"/>
  <c r="DH176" i="27"/>
  <c r="DI176" i="27" s="1"/>
  <c r="DH203" i="27"/>
  <c r="DI203" i="27" s="1"/>
  <c r="DH943" i="27"/>
  <c r="DI943" i="27" s="1"/>
  <c r="DH590" i="27"/>
  <c r="DI590" i="27" s="1"/>
  <c r="DH889" i="27"/>
  <c r="DI889" i="27" s="1"/>
  <c r="DH430" i="27"/>
  <c r="DI430" i="27" s="1"/>
  <c r="DH588" i="27"/>
  <c r="DI588" i="27" s="1"/>
  <c r="DH158" i="27"/>
  <c r="DI158" i="27" s="1"/>
  <c r="DH464" i="27"/>
  <c r="DI464" i="27" s="1"/>
  <c r="DH718" i="27"/>
  <c r="DI718" i="27" s="1"/>
  <c r="DH787" i="27"/>
  <c r="DI787" i="27" s="1"/>
  <c r="DH10" i="27"/>
  <c r="DI10" i="27" s="1"/>
  <c r="DH830" i="27"/>
  <c r="DI830" i="27" s="1"/>
  <c r="DH486" i="27"/>
  <c r="DI486" i="27" s="1"/>
  <c r="DH354" i="27"/>
  <c r="DI354" i="27" s="1"/>
  <c r="DH633" i="27"/>
  <c r="DI633" i="27" s="1"/>
  <c r="DH148" i="27"/>
  <c r="DI148" i="27" s="1"/>
  <c r="DH291" i="27"/>
  <c r="DI291" i="27" s="1"/>
  <c r="DH743" i="27"/>
  <c r="DI743" i="27" s="1"/>
  <c r="DH393" i="27"/>
  <c r="DI393" i="27" s="1"/>
  <c r="DH677" i="27"/>
  <c r="DI677" i="27" s="1"/>
  <c r="DH456" i="27"/>
  <c r="DI456" i="27" s="1"/>
  <c r="DH313" i="27"/>
  <c r="DI313" i="27" s="1"/>
  <c r="DH594" i="27"/>
  <c r="DI594" i="27" s="1"/>
  <c r="DH186" i="27"/>
  <c r="DI186" i="27" s="1"/>
  <c r="DH859" i="27"/>
  <c r="DI859" i="27" s="1"/>
  <c r="DH429" i="27"/>
  <c r="DI429" i="27" s="1"/>
  <c r="DH975" i="27"/>
  <c r="DI975" i="27" s="1"/>
  <c r="DH339" i="27"/>
  <c r="DI339" i="27" s="1"/>
  <c r="DH477" i="27"/>
  <c r="DI477" i="27" s="1"/>
  <c r="DH16" i="27"/>
  <c r="DI16" i="27" s="1"/>
  <c r="DH735" i="27"/>
  <c r="DI735" i="27" s="1"/>
  <c r="DH334" i="27"/>
  <c r="DI334" i="27" s="1"/>
  <c r="DH233" i="27"/>
  <c r="DI233" i="27" s="1"/>
  <c r="DH1060" i="27"/>
  <c r="DI1060" i="27" s="1"/>
  <c r="DH281" i="27"/>
  <c r="DI281" i="27" s="1"/>
  <c r="DH688" i="27"/>
  <c r="DI688" i="27" s="1"/>
  <c r="DH179" i="27"/>
  <c r="DI179" i="27" s="1"/>
  <c r="DH752" i="27"/>
  <c r="DI752" i="27" s="1"/>
  <c r="DH356" i="27"/>
  <c r="DI356" i="27" s="1"/>
  <c r="DH307" i="27"/>
  <c r="DI307" i="27" s="1"/>
  <c r="DH510" i="27"/>
  <c r="DI510" i="27" s="1"/>
  <c r="DH325" i="27"/>
  <c r="DI325" i="27" s="1"/>
  <c r="DH858" i="27"/>
  <c r="DI858" i="27" s="1"/>
  <c r="DH145" i="27"/>
  <c r="DI145" i="27" s="1"/>
  <c r="DH868" i="27"/>
  <c r="DI868" i="27" s="1"/>
  <c r="DH1022" i="27"/>
  <c r="DI1022" i="27" s="1"/>
  <c r="DH206" i="27"/>
  <c r="DI206" i="27" s="1"/>
  <c r="DH209" i="27"/>
  <c r="DI209" i="27" s="1"/>
  <c r="DH634" i="27"/>
  <c r="DI634" i="27" s="1"/>
  <c r="DH1000" i="27"/>
  <c r="DI1000" i="27" s="1"/>
  <c r="DH296" i="27"/>
  <c r="DI296" i="27" s="1"/>
  <c r="DH663" i="27"/>
  <c r="DI663" i="27" s="1"/>
  <c r="DH105" i="27"/>
  <c r="DI105" i="27" s="1"/>
  <c r="DH1042" i="27"/>
  <c r="DI1042" i="27" s="1"/>
  <c r="DH596" i="27"/>
  <c r="DI596" i="27" s="1"/>
  <c r="DH269" i="27"/>
  <c r="DI269" i="27" s="1"/>
  <c r="DH580" i="27"/>
  <c r="DI580" i="27" s="1"/>
  <c r="DH369" i="27"/>
  <c r="DI369" i="27" s="1"/>
  <c r="DH1061" i="27"/>
  <c r="DI1061" i="27" s="1"/>
  <c r="DH697" i="27"/>
  <c r="DI697" i="27" s="1"/>
  <c r="DH330" i="27"/>
  <c r="DI330" i="27" s="1"/>
  <c r="DH611" i="27"/>
  <c r="DI611" i="27" s="1"/>
  <c r="DH167" i="27"/>
  <c r="DI167" i="27" s="1"/>
  <c r="DH973" i="27"/>
  <c r="DI973" i="27" s="1"/>
  <c r="DH796" i="27"/>
  <c r="DI796" i="27" s="1"/>
  <c r="DH251" i="27"/>
  <c r="DI251" i="27" s="1"/>
  <c r="DH846" i="27"/>
  <c r="DI846" i="27" s="1"/>
  <c r="DH406" i="27"/>
  <c r="DI406" i="27" s="1"/>
  <c r="DH1046" i="27"/>
  <c r="DI1046" i="27" s="1"/>
  <c r="DH901" i="27"/>
  <c r="DI901" i="27" s="1"/>
  <c r="DH504" i="27"/>
  <c r="DI504" i="27" s="1"/>
  <c r="DH967" i="27"/>
  <c r="DI967" i="27" s="1"/>
  <c r="DH524" i="27"/>
  <c r="DI524" i="27" s="1"/>
  <c r="DH450" i="27"/>
  <c r="DI450" i="27" s="1"/>
  <c r="DH38" i="27"/>
  <c r="DI38" i="27" s="1"/>
  <c r="DH578" i="27"/>
  <c r="DI578" i="27" s="1"/>
  <c r="DH812" i="27"/>
  <c r="DI812" i="27" s="1"/>
  <c r="DH739" i="27"/>
  <c r="DI739" i="27" s="1"/>
  <c r="DH1045" i="27"/>
  <c r="DI1045" i="27" s="1"/>
  <c r="DH895" i="27"/>
  <c r="DI895" i="27" s="1"/>
  <c r="DH734" i="27"/>
  <c r="DI734" i="27" s="1"/>
  <c r="DH279" i="27"/>
  <c r="DI279" i="27" s="1"/>
  <c r="DH834" i="27"/>
  <c r="DI834" i="27" s="1"/>
  <c r="DH478" i="27"/>
  <c r="DI478" i="27" s="1"/>
  <c r="DH844" i="27"/>
  <c r="DI844" i="27" s="1"/>
  <c r="DH683" i="27"/>
  <c r="DI683" i="27" s="1"/>
  <c r="DH444" i="27"/>
  <c r="DI444" i="27" s="1"/>
  <c r="DH498" i="27"/>
  <c r="DI498" i="27" s="1"/>
  <c r="DH126" i="27"/>
  <c r="DI126" i="27" s="1"/>
  <c r="DH315" i="27"/>
  <c r="DI315" i="27" s="1"/>
  <c r="DH463" i="27"/>
  <c r="DI463" i="27" s="1"/>
  <c r="DH680" i="27"/>
  <c r="DI680" i="27" s="1"/>
  <c r="DH136" i="27"/>
  <c r="DI136" i="27" s="1"/>
  <c r="DH914" i="27"/>
  <c r="DI914" i="27" s="1"/>
  <c r="DH389" i="27"/>
  <c r="DI389" i="27" s="1"/>
  <c r="DH81" i="27"/>
  <c r="DI81" i="27" s="1"/>
  <c r="DH1056" i="27"/>
  <c r="DI1056" i="27" s="1"/>
  <c r="DH297" i="27"/>
  <c r="DI297" i="27" s="1"/>
  <c r="DH964" i="27"/>
  <c r="DI964" i="27" s="1"/>
  <c r="DH493" i="27"/>
  <c r="DI493" i="27" s="1"/>
  <c r="DH883" i="27"/>
  <c r="DI883" i="27" s="1"/>
  <c r="DH245" i="27"/>
  <c r="DI245" i="27" s="1"/>
  <c r="DH196" i="27"/>
  <c r="DI196" i="27" s="1"/>
  <c r="DH652" i="27"/>
  <c r="DI652" i="27" s="1"/>
  <c r="DH227" i="27"/>
  <c r="DI227" i="27" s="1"/>
  <c r="DH899" i="27"/>
  <c r="DI899" i="27" s="1"/>
  <c r="DH222" i="27"/>
  <c r="DI222" i="27" s="1"/>
  <c r="DH995" i="27"/>
  <c r="DI995" i="27" s="1"/>
  <c r="DH750" i="27"/>
  <c r="DI750" i="27" s="1"/>
  <c r="DH6" i="27"/>
  <c r="DI6" i="27" s="1"/>
  <c r="DH617" i="27"/>
  <c r="DI617" i="27" s="1"/>
  <c r="DH582" i="27"/>
  <c r="DI582" i="27" s="1"/>
  <c r="DH773" i="27"/>
  <c r="DI773" i="27" s="1"/>
  <c r="DH956" i="27"/>
  <c r="DI956" i="27" s="1"/>
  <c r="DH234" i="27"/>
  <c r="DI234" i="27" s="1"/>
  <c r="DH974" i="27"/>
  <c r="DI974" i="27" s="1"/>
  <c r="DH749" i="27"/>
  <c r="DI749" i="27" s="1"/>
  <c r="DH574" i="27"/>
  <c r="DI574" i="27" s="1"/>
  <c r="DH219" i="27"/>
  <c r="DI219" i="27" s="1"/>
  <c r="DH693" i="27"/>
  <c r="DI693" i="27" s="1"/>
  <c r="DH262" i="27"/>
  <c r="DI262" i="27" s="1"/>
  <c r="DH545" i="27"/>
  <c r="DI545" i="27" s="1"/>
  <c r="DH708" i="27"/>
  <c r="DI708" i="27" s="1"/>
  <c r="DH692" i="27"/>
  <c r="DI692" i="27" s="1"/>
  <c r="DH1032" i="27"/>
  <c r="DI1032" i="27" s="1"/>
  <c r="DH746" i="27"/>
  <c r="DI746" i="27" s="1"/>
  <c r="DH775" i="27"/>
  <c r="DI775" i="27" s="1"/>
  <c r="DH413" i="27"/>
  <c r="DI413" i="27" s="1"/>
  <c r="DH769" i="27"/>
  <c r="DI769" i="27" s="1"/>
  <c r="DH960" i="27"/>
  <c r="DI960" i="27" s="1"/>
  <c r="DH258" i="27"/>
  <c r="DI258" i="27" s="1"/>
  <c r="DH1012" i="27"/>
  <c r="DI1012" i="27" s="1"/>
  <c r="DH542" i="27"/>
  <c r="DI542" i="27" s="1"/>
  <c r="DH184" i="27"/>
  <c r="DI184" i="27" s="1"/>
  <c r="DH468" i="27"/>
  <c r="DI468" i="27" s="1"/>
  <c r="DH182" i="27"/>
  <c r="DI182" i="27" s="1"/>
  <c r="DH215" i="27"/>
  <c r="DI215" i="27" s="1"/>
  <c r="DH639" i="27"/>
  <c r="DI639" i="27" s="1"/>
  <c r="DH76" i="27"/>
  <c r="DI76" i="27" s="1"/>
  <c r="DH621" i="27"/>
  <c r="DI621" i="27" s="1"/>
  <c r="DH1001" i="27"/>
  <c r="DI1001" i="27" s="1"/>
  <c r="DH514" i="27"/>
  <c r="DI514" i="27" s="1"/>
  <c r="DH32" i="27"/>
  <c r="DI32" i="27" s="1"/>
  <c r="DH822" i="27"/>
  <c r="DI822" i="27" s="1"/>
  <c r="DH471" i="27"/>
  <c r="DI471" i="27" s="1"/>
  <c r="DH364" i="27"/>
  <c r="DI364" i="27" s="1"/>
  <c r="DH518" i="27"/>
  <c r="DI518" i="27" s="1"/>
  <c r="DH125" i="27"/>
  <c r="DI125" i="27" s="1"/>
  <c r="DH86" i="27"/>
  <c r="DI86" i="27" s="1"/>
  <c r="DH754" i="27"/>
  <c r="DI754" i="27" s="1"/>
  <c r="DH271" i="27"/>
  <c r="DI271" i="27" s="1"/>
  <c r="DH809" i="27"/>
  <c r="DI809" i="27" s="1"/>
  <c r="DH906" i="27"/>
  <c r="DI906" i="27" s="1"/>
  <c r="DH929" i="27"/>
  <c r="DI929" i="27" s="1"/>
  <c r="DH11" i="27"/>
  <c r="DI11" i="27" s="1"/>
  <c r="DH44" i="27"/>
  <c r="DI44" i="27" s="1"/>
  <c r="DH798" i="27"/>
  <c r="DI798" i="27" s="1"/>
  <c r="DH331" i="27"/>
  <c r="DI331" i="27" s="1"/>
  <c r="DH978" i="27"/>
  <c r="DI978" i="27" s="1"/>
  <c r="DH122" i="27"/>
  <c r="DI122" i="27" s="1"/>
  <c r="DH130" i="27"/>
  <c r="DI130" i="27" s="1"/>
  <c r="DH961" i="27"/>
  <c r="DI961" i="27" s="1"/>
  <c r="DH432" i="27"/>
  <c r="DI432" i="27" s="1"/>
  <c r="DH849" i="27"/>
  <c r="DI849" i="27" s="1"/>
  <c r="DH375" i="27"/>
  <c r="DI375" i="27" s="1"/>
  <c r="DH104" i="27"/>
  <c r="DI104" i="27" s="1"/>
  <c r="DH497" i="27"/>
  <c r="DI497" i="27" s="1"/>
  <c r="DH55" i="27"/>
  <c r="DI55" i="27" s="1"/>
  <c r="DH907" i="27"/>
  <c r="DI907" i="27" s="1"/>
  <c r="DH278" i="27"/>
  <c r="DI278" i="27" s="1"/>
  <c r="DH384" i="27"/>
  <c r="DI384" i="27" s="1"/>
  <c r="DH637" i="27"/>
  <c r="DI637" i="27" s="1"/>
  <c r="DH376" i="27"/>
  <c r="DI376" i="27" s="1"/>
  <c r="DH342" i="27"/>
  <c r="DI342" i="27" s="1"/>
  <c r="DH873" i="27"/>
  <c r="DI873" i="27" s="1"/>
  <c r="DH102" i="27"/>
  <c r="DI102" i="27" s="1"/>
  <c r="DH480" i="27"/>
  <c r="DI480" i="27" s="1"/>
  <c r="DH424" i="27"/>
  <c r="DI424" i="27" s="1"/>
  <c r="DH615" i="27"/>
  <c r="DI615" i="27" s="1"/>
  <c r="DH1048" i="27"/>
  <c r="DI1048" i="27" s="1"/>
  <c r="DH97" i="27"/>
  <c r="DI97" i="27" s="1"/>
  <c r="DH682" i="27"/>
  <c r="DI682" i="27" s="1"/>
  <c r="DH1051" i="27"/>
  <c r="DI1051" i="27" s="1"/>
  <c r="DH35" i="27"/>
  <c r="DI35" i="27" s="1"/>
  <c r="DH483" i="27"/>
  <c r="DI483" i="27" s="1"/>
  <c r="DH154" i="27"/>
  <c r="DI154" i="27" s="1"/>
  <c r="DH969" i="27"/>
  <c r="DI969" i="27" s="1"/>
  <c r="DH568" i="27"/>
  <c r="DI568" i="27" s="1"/>
  <c r="DH240" i="27"/>
  <c r="DI240" i="27" s="1"/>
  <c r="DH658" i="27"/>
  <c r="DI658" i="27" s="1"/>
  <c r="DH70" i="27"/>
  <c r="DI70" i="27" s="1"/>
  <c r="DH644" i="27"/>
  <c r="DI644" i="27" s="1"/>
  <c r="DH1058" i="27"/>
  <c r="DI1058" i="27" s="1"/>
  <c r="DH328" i="27"/>
  <c r="DI328" i="27" s="1"/>
  <c r="DH197" i="27"/>
  <c r="DI197" i="27" s="1"/>
  <c r="DH645" i="27"/>
  <c r="DI645" i="27" s="1"/>
  <c r="DH449" i="27"/>
  <c r="DI449" i="27" s="1"/>
  <c r="DH781" i="27"/>
  <c r="DI781" i="27" s="1"/>
  <c r="DH230" i="27"/>
  <c r="DI230" i="27" s="1"/>
  <c r="DH987" i="27"/>
  <c r="DI987" i="27" s="1"/>
  <c r="DH685" i="27"/>
  <c r="DI685" i="27" s="1"/>
  <c r="DH966" i="27"/>
  <c r="DI966" i="27" s="1"/>
  <c r="DH928" i="27"/>
  <c r="DI928" i="27" s="1"/>
  <c r="DH691" i="27"/>
  <c r="DI691" i="27" s="1"/>
  <c r="DH701" i="27"/>
  <c r="DI701" i="27" s="1"/>
  <c r="DH250" i="27"/>
  <c r="DI250" i="27" s="1"/>
  <c r="DH18" i="27"/>
  <c r="DI18" i="27" s="1"/>
  <c r="DH473" i="27"/>
  <c r="DI473" i="27" s="1"/>
  <c r="DH309" i="27"/>
  <c r="DI309" i="27" s="1"/>
  <c r="DH547" i="27"/>
  <c r="DI547" i="27" s="1"/>
  <c r="DH402" i="27"/>
  <c r="DI402" i="27" s="1"/>
  <c r="DH187" i="27"/>
  <c r="DI187" i="27" s="1"/>
  <c r="DH509" i="27"/>
  <c r="DI509" i="27" s="1"/>
  <c r="DH78" i="27"/>
  <c r="DI78" i="27" s="1"/>
  <c r="DH457" i="27"/>
  <c r="DI457" i="27" s="1"/>
  <c r="DH275" i="27"/>
  <c r="DI275" i="27" s="1"/>
  <c r="DH631" i="27"/>
  <c r="DI631" i="27" s="1"/>
  <c r="DH711" i="27"/>
  <c r="DI711" i="27" s="1"/>
  <c r="DH149" i="27"/>
  <c r="DI149" i="27" s="1"/>
  <c r="DH828" i="27"/>
  <c r="DI828" i="27" s="1"/>
  <c r="DH248" i="27"/>
  <c r="DI248" i="27" s="1"/>
  <c r="DH87" i="27"/>
  <c r="DI87" i="27" s="1"/>
  <c r="DH1031" i="27"/>
  <c r="DI1031" i="27" s="1"/>
  <c r="DH112" i="27"/>
  <c r="DI112" i="27" s="1"/>
  <c r="DH59" i="27"/>
  <c r="DI59" i="27" s="1"/>
  <c r="DH1017" i="27"/>
  <c r="DI1017" i="27" s="1"/>
  <c r="DH169" i="27"/>
  <c r="DI169" i="27" s="1"/>
  <c r="DH559" i="27"/>
  <c r="DI559" i="27" s="1"/>
  <c r="DH584" i="27"/>
  <c r="DI584" i="27" s="1"/>
  <c r="DH963" i="27"/>
  <c r="DI963" i="27" s="1"/>
  <c r="DH168" i="27"/>
  <c r="DI168" i="27" s="1"/>
  <c r="DH103" i="27"/>
  <c r="DI103" i="27" s="1"/>
  <c r="DH528" i="27"/>
  <c r="DI528" i="27" s="1"/>
  <c r="DH383" i="27"/>
  <c r="DI383" i="27" s="1"/>
  <c r="DH751" i="27"/>
  <c r="DI751" i="27" s="1"/>
  <c r="DH368" i="27"/>
  <c r="DI368" i="27" s="1"/>
  <c r="DH758" i="27"/>
  <c r="DI758" i="27" s="1"/>
  <c r="DH962" i="27"/>
  <c r="DI962" i="27" s="1"/>
  <c r="DH50" i="27"/>
  <c r="DI50" i="27" s="1"/>
  <c r="DH466" i="27"/>
  <c r="DI466" i="27" s="1"/>
  <c r="DH972" i="27"/>
  <c r="DI972" i="27" s="1"/>
  <c r="DH1010" i="27"/>
  <c r="DI1010" i="27" s="1"/>
  <c r="DH74" i="27"/>
  <c r="DI74" i="27" s="1"/>
  <c r="DH73" i="27"/>
  <c r="DI73" i="27" s="1"/>
  <c r="DH930" i="27"/>
  <c r="DI930" i="27" s="1"/>
  <c r="DH83" i="27"/>
  <c r="DI83" i="27" s="1"/>
  <c r="DH885" i="27"/>
  <c r="DI885" i="27" s="1"/>
  <c r="DH58" i="27"/>
  <c r="DI58" i="27" s="1"/>
  <c r="DH791" i="27"/>
  <c r="DI791" i="27" s="1"/>
  <c r="DH111" i="27"/>
  <c r="DI111" i="27" s="1"/>
  <c r="DH394" i="27"/>
  <c r="DI394" i="27" s="1"/>
  <c r="A18" i="28"/>
  <c r="B19" i="28"/>
  <c r="A567" i="28"/>
  <c r="B568" i="28"/>
  <c r="A413" i="28"/>
  <c r="B414" i="28"/>
  <c r="B754" i="28"/>
  <c r="A753" i="28"/>
  <c r="A276" i="28"/>
  <c r="B277" i="28"/>
  <c r="B18" i="27"/>
  <c r="A17" i="27"/>
  <c r="DH3" i="27"/>
  <c r="DI3" i="27" s="1"/>
  <c r="A432" i="27" l="1"/>
  <c r="B433" i="27"/>
  <c r="B601" i="27"/>
  <c r="A600" i="27"/>
  <c r="A1057" i="27"/>
  <c r="B1058" i="27"/>
  <c r="A778" i="27"/>
  <c r="B779" i="27"/>
  <c r="A19" i="28"/>
  <c r="B20" i="28"/>
  <c r="A414" i="28"/>
  <c r="B415" i="28"/>
  <c r="A277" i="28"/>
  <c r="B278" i="28"/>
  <c r="A568" i="28"/>
  <c r="B569" i="28"/>
  <c r="A754" i="28"/>
  <c r="B755" i="28"/>
  <c r="B19" i="27"/>
  <c r="A18" i="27"/>
  <c r="A779" i="27" l="1"/>
  <c r="B780" i="27"/>
  <c r="A601" i="27"/>
  <c r="B602" i="27"/>
  <c r="A1058" i="27"/>
  <c r="B1059" i="27"/>
  <c r="A433" i="27"/>
  <c r="B434" i="27"/>
  <c r="A20" i="28"/>
  <c r="B21" i="28"/>
  <c r="A569" i="28"/>
  <c r="B570" i="28"/>
  <c r="A415" i="28"/>
  <c r="B416" i="28"/>
  <c r="B756" i="28"/>
  <c r="A755" i="28"/>
  <c r="A278" i="28"/>
  <c r="B279" i="28"/>
  <c r="B20" i="27"/>
  <c r="A19" i="27"/>
  <c r="A434" i="27" l="1"/>
  <c r="B435" i="27"/>
  <c r="B603" i="27"/>
  <c r="A602" i="27"/>
  <c r="A1059" i="27"/>
  <c r="B1060" i="27"/>
  <c r="A780" i="27"/>
  <c r="B781" i="27"/>
  <c r="A21" i="28"/>
  <c r="B22" i="28"/>
  <c r="A756" i="28"/>
  <c r="B757" i="28"/>
  <c r="A279" i="28"/>
  <c r="B280" i="28"/>
  <c r="A416" i="28"/>
  <c r="B417" i="28"/>
  <c r="A570" i="28"/>
  <c r="B571" i="28"/>
  <c r="B21" i="27"/>
  <c r="A20" i="27"/>
  <c r="A781" i="27" l="1"/>
  <c r="B782" i="27"/>
  <c r="A603" i="27"/>
  <c r="B604" i="27"/>
  <c r="A1060" i="27"/>
  <c r="B1061" i="27"/>
  <c r="A435" i="27"/>
  <c r="B436" i="27"/>
  <c r="A22" i="28"/>
  <c r="B23" i="28"/>
  <c r="A571" i="28"/>
  <c r="B572" i="28"/>
  <c r="A280" i="28"/>
  <c r="B281" i="28"/>
  <c r="B418" i="28"/>
  <c r="A417" i="28"/>
  <c r="B758" i="28"/>
  <c r="A757" i="28"/>
  <c r="B22" i="27"/>
  <c r="A21" i="27"/>
  <c r="A436" i="27" l="1"/>
  <c r="B437" i="27"/>
  <c r="B605" i="27"/>
  <c r="A604" i="27"/>
  <c r="A782" i="27"/>
  <c r="B783" i="27"/>
  <c r="A1061" i="27"/>
  <c r="B1062" i="27"/>
  <c r="A23" i="28"/>
  <c r="B24" i="28"/>
  <c r="A418" i="28"/>
  <c r="B419" i="28"/>
  <c r="A758" i="28"/>
  <c r="B759" i="28"/>
  <c r="A281" i="28"/>
  <c r="B282" i="28"/>
  <c r="A572" i="28"/>
  <c r="B573" i="28"/>
  <c r="B23" i="27"/>
  <c r="B24" i="27" s="1"/>
  <c r="A22" i="27"/>
  <c r="A24" i="27" l="1"/>
  <c r="B25" i="27"/>
  <c r="A783" i="27"/>
  <c r="B784" i="27"/>
  <c r="A784" i="27" s="1"/>
  <c r="A1062" i="27"/>
  <c r="A605" i="27"/>
  <c r="B606" i="27"/>
  <c r="A437" i="27"/>
  <c r="B438" i="27"/>
  <c r="A24" i="28"/>
  <c r="B25" i="28"/>
  <c r="B760" i="28"/>
  <c r="A759" i="28"/>
  <c r="A573" i="28"/>
  <c r="B574" i="28"/>
  <c r="A282" i="28"/>
  <c r="B283" i="28"/>
  <c r="B420" i="28"/>
  <c r="A419" i="28"/>
  <c r="A23" i="27"/>
  <c r="A25" i="27" l="1"/>
  <c r="B26" i="27"/>
  <c r="B607" i="27"/>
  <c r="A606" i="27"/>
  <c r="A438" i="27"/>
  <c r="B439" i="27"/>
  <c r="A25" i="28"/>
  <c r="B26" i="28"/>
  <c r="A420" i="28"/>
  <c r="B421" i="28"/>
  <c r="A283" i="28"/>
  <c r="B284" i="28"/>
  <c r="A760" i="28"/>
  <c r="B761" i="28"/>
  <c r="A574" i="28"/>
  <c r="B575" i="28"/>
  <c r="A26" i="27" l="1"/>
  <c r="B27" i="27"/>
  <c r="A607" i="27"/>
  <c r="B608" i="27"/>
  <c r="A439" i="27"/>
  <c r="B440" i="27"/>
  <c r="A26" i="28"/>
  <c r="B27" i="28"/>
  <c r="A575" i="28"/>
  <c r="B576" i="28"/>
  <c r="A284" i="28"/>
  <c r="B285" i="28"/>
  <c r="B762" i="28"/>
  <c r="A761" i="28"/>
  <c r="B422" i="28"/>
  <c r="A421" i="28"/>
  <c r="A27" i="27" l="1"/>
  <c r="B28" i="27"/>
  <c r="A440" i="27"/>
  <c r="B441" i="27"/>
  <c r="B609" i="27"/>
  <c r="A608" i="27"/>
  <c r="B28" i="28"/>
  <c r="A27" i="28"/>
  <c r="A285" i="28"/>
  <c r="B286" i="28"/>
  <c r="A762" i="28"/>
  <c r="B763" i="28"/>
  <c r="A576" i="28"/>
  <c r="B577" i="28"/>
  <c r="A422" i="28"/>
  <c r="B423" i="28"/>
  <c r="B29" i="27" l="1"/>
  <c r="A28" i="27"/>
  <c r="A609" i="27"/>
  <c r="B610" i="27"/>
  <c r="A441" i="27"/>
  <c r="B442" i="27"/>
  <c r="A28" i="28"/>
  <c r="B29" i="28"/>
  <c r="A577" i="28"/>
  <c r="B578" i="28"/>
  <c r="B764" i="28"/>
  <c r="A763" i="28"/>
  <c r="A286" i="28"/>
  <c r="B287" i="28"/>
  <c r="B424" i="28"/>
  <c r="A423" i="28"/>
  <c r="A29" i="27" l="1"/>
  <c r="B30" i="27"/>
  <c r="A442" i="27"/>
  <c r="B443" i="27"/>
  <c r="B611" i="27"/>
  <c r="A610" i="27"/>
  <c r="B30" i="28"/>
  <c r="A29" i="28"/>
  <c r="A287" i="28"/>
  <c r="B288" i="28"/>
  <c r="A764" i="28"/>
  <c r="B765" i="28"/>
  <c r="A578" i="28"/>
  <c r="B579" i="28"/>
  <c r="A424" i="28"/>
  <c r="B425" i="28"/>
  <c r="B31" i="27" l="1"/>
  <c r="A30" i="27"/>
  <c r="A611" i="27"/>
  <c r="B612" i="27"/>
  <c r="A443" i="27"/>
  <c r="B444" i="27"/>
  <c r="A30" i="28"/>
  <c r="B31" i="28"/>
  <c r="A579" i="28"/>
  <c r="B580" i="28"/>
  <c r="B766" i="28"/>
  <c r="A765" i="28"/>
  <c r="B426" i="28"/>
  <c r="A425" i="28"/>
  <c r="A288" i="28"/>
  <c r="B289" i="28"/>
  <c r="A31" i="27" l="1"/>
  <c r="B32" i="27"/>
  <c r="A444" i="27"/>
  <c r="B445" i="27"/>
  <c r="B613" i="27"/>
  <c r="A612" i="27"/>
  <c r="A31" i="28"/>
  <c r="B32" i="28"/>
  <c r="A289" i="28"/>
  <c r="B290" i="28"/>
  <c r="A766" i="28"/>
  <c r="B767" i="28"/>
  <c r="A580" i="28"/>
  <c r="B581" i="28"/>
  <c r="A426" i="28"/>
  <c r="B427" i="28"/>
  <c r="A32" i="27" l="1"/>
  <c r="B33" i="27"/>
  <c r="A613" i="27"/>
  <c r="B614" i="27"/>
  <c r="A445" i="27"/>
  <c r="B446" i="27"/>
  <c r="A32" i="28"/>
  <c r="B33" i="28"/>
  <c r="A581" i="28"/>
  <c r="B582" i="28"/>
  <c r="B768" i="28"/>
  <c r="A767" i="28"/>
  <c r="A290" i="28"/>
  <c r="B291" i="28"/>
  <c r="B428" i="28"/>
  <c r="A427" i="28"/>
  <c r="A33" i="27" l="1"/>
  <c r="B34" i="27"/>
  <c r="B447" i="27"/>
  <c r="A446" i="27"/>
  <c r="B615" i="27"/>
  <c r="A614" i="27"/>
  <c r="A33" i="28"/>
  <c r="B34" i="28"/>
  <c r="A428" i="28"/>
  <c r="B429" i="28"/>
  <c r="A291" i="28"/>
  <c r="B292" i="28"/>
  <c r="A582" i="28"/>
  <c r="B583" i="28"/>
  <c r="A768" i="28"/>
  <c r="B769" i="28"/>
  <c r="B35" i="27" l="1"/>
  <c r="A34" i="27"/>
  <c r="A615" i="27"/>
  <c r="B616" i="27"/>
  <c r="A447" i="27"/>
  <c r="B448" i="27"/>
  <c r="A34" i="28"/>
  <c r="B35" i="28"/>
  <c r="A583" i="28"/>
  <c r="B584" i="28"/>
  <c r="A292" i="28"/>
  <c r="B293" i="28"/>
  <c r="B430" i="28"/>
  <c r="A429" i="28"/>
  <c r="B770" i="28"/>
  <c r="A769" i="28"/>
  <c r="A35" i="27" l="1"/>
  <c r="B36" i="27"/>
  <c r="B449" i="27"/>
  <c r="A448" i="27"/>
  <c r="B617" i="27"/>
  <c r="A616" i="27"/>
  <c r="A35" i="28"/>
  <c r="B36" i="28"/>
  <c r="A293" i="28"/>
  <c r="B294" i="28"/>
  <c r="A430" i="28"/>
  <c r="B431" i="28"/>
  <c r="A584" i="28"/>
  <c r="B585" i="28"/>
  <c r="A770" i="28"/>
  <c r="B771" i="28"/>
  <c r="B37" i="27" l="1"/>
  <c r="A36" i="27"/>
  <c r="A617" i="27"/>
  <c r="B618" i="27"/>
  <c r="A449" i="27"/>
  <c r="B450" i="27"/>
  <c r="A36" i="28"/>
  <c r="B37" i="28"/>
  <c r="A585" i="28"/>
  <c r="B586" i="28"/>
  <c r="B432" i="28"/>
  <c r="A431" i="28"/>
  <c r="B772" i="28"/>
  <c r="A771" i="28"/>
  <c r="A294" i="28"/>
  <c r="B295" i="28"/>
  <c r="A37" i="27" l="1"/>
  <c r="B38" i="27"/>
  <c r="B451" i="27"/>
  <c r="A450" i="27"/>
  <c r="B619" i="27"/>
  <c r="A618" i="27"/>
  <c r="A37" i="28"/>
  <c r="B38" i="28"/>
  <c r="A295" i="28"/>
  <c r="B296" i="28"/>
  <c r="A432" i="28"/>
  <c r="B433" i="28"/>
  <c r="A586" i="28"/>
  <c r="B587" i="28"/>
  <c r="A772" i="28"/>
  <c r="B773" i="28"/>
  <c r="B39" i="27" l="1"/>
  <c r="A38" i="27"/>
  <c r="A619" i="27"/>
  <c r="B620" i="27"/>
  <c r="A451" i="27"/>
  <c r="B452" i="27"/>
  <c r="A38" i="28"/>
  <c r="B39" i="28"/>
  <c r="B774" i="28"/>
  <c r="A773" i="28"/>
  <c r="A587" i="28"/>
  <c r="B588" i="28"/>
  <c r="B434" i="28"/>
  <c r="A433" i="28"/>
  <c r="A296" i="28"/>
  <c r="B297" i="28"/>
  <c r="A297" i="28" s="1"/>
  <c r="A39" i="27" l="1"/>
  <c r="B40" i="27"/>
  <c r="B453" i="27"/>
  <c r="A452" i="27"/>
  <c r="B621" i="27"/>
  <c r="A620" i="27"/>
  <c r="A39" i="28"/>
  <c r="B40" i="28"/>
  <c r="A588" i="28"/>
  <c r="B589" i="28"/>
  <c r="A434" i="28"/>
  <c r="B435" i="28"/>
  <c r="A774" i="28"/>
  <c r="B775" i="28"/>
  <c r="A40" i="27" l="1"/>
  <c r="B41" i="27"/>
  <c r="A621" i="27"/>
  <c r="B622" i="27"/>
  <c r="A453" i="27"/>
  <c r="B454" i="27"/>
  <c r="A40" i="28"/>
  <c r="B41" i="28"/>
  <c r="B776" i="28"/>
  <c r="A775" i="28"/>
  <c r="B436" i="28"/>
  <c r="A435" i="28"/>
  <c r="A589" i="28"/>
  <c r="B590" i="28"/>
  <c r="A41" i="27" l="1"/>
  <c r="B42" i="27"/>
  <c r="B455" i="27"/>
  <c r="A454" i="27"/>
  <c r="B623" i="27"/>
  <c r="A622" i="27"/>
  <c r="A41" i="28"/>
  <c r="B42" i="28"/>
  <c r="A590" i="28"/>
  <c r="B591" i="28"/>
  <c r="A776" i="28"/>
  <c r="B777" i="28"/>
  <c r="A436" i="28"/>
  <c r="B437" i="28"/>
  <c r="A42" i="27" l="1"/>
  <c r="B43" i="27"/>
  <c r="A623" i="27"/>
  <c r="B624" i="27"/>
  <c r="A455" i="27"/>
  <c r="B456" i="27"/>
  <c r="A456" i="27" s="1"/>
  <c r="A42" i="28"/>
  <c r="B43" i="28"/>
  <c r="B438" i="28"/>
  <c r="A437" i="28"/>
  <c r="B778" i="28"/>
  <c r="A777" i="28"/>
  <c r="A591" i="28"/>
  <c r="B592" i="28"/>
  <c r="A43" i="27" l="1"/>
  <c r="B44" i="27"/>
  <c r="B625" i="27"/>
  <c r="A624" i="27"/>
  <c r="A43" i="28"/>
  <c r="B44" i="28"/>
  <c r="A592" i="28"/>
  <c r="B593" i="28"/>
  <c r="A438" i="28"/>
  <c r="B439" i="28"/>
  <c r="A778" i="28"/>
  <c r="B779" i="28"/>
  <c r="B45" i="27" l="1"/>
  <c r="A44" i="27"/>
  <c r="A625" i="27"/>
  <c r="B626" i="27"/>
  <c r="A44" i="28"/>
  <c r="B45" i="28"/>
  <c r="B780" i="28"/>
  <c r="A779" i="28"/>
  <c r="B440" i="28"/>
  <c r="A439" i="28"/>
  <c r="A593" i="28"/>
  <c r="B594" i="28"/>
  <c r="A45" i="27" l="1"/>
  <c r="B46" i="27"/>
  <c r="B627" i="27"/>
  <c r="A626" i="27"/>
  <c r="A45" i="28"/>
  <c r="B46" i="28"/>
  <c r="A440" i="28"/>
  <c r="B441" i="28"/>
  <c r="A594" i="28"/>
  <c r="B595" i="28"/>
  <c r="A780" i="28"/>
  <c r="B781" i="28"/>
  <c r="B47" i="27" l="1"/>
  <c r="A46" i="27"/>
  <c r="A627" i="27"/>
  <c r="B628" i="27"/>
  <c r="A46" i="28"/>
  <c r="B47" i="28"/>
  <c r="B782" i="28"/>
  <c r="A781" i="28"/>
  <c r="A595" i="28"/>
  <c r="B596" i="28"/>
  <c r="B442" i="28"/>
  <c r="A441" i="28"/>
  <c r="A47" i="27" l="1"/>
  <c r="B48" i="27"/>
  <c r="B629" i="27"/>
  <c r="A628" i="27"/>
  <c r="A47" i="28"/>
  <c r="B48" i="28"/>
  <c r="A442" i="28"/>
  <c r="B443" i="28"/>
  <c r="A596" i="28"/>
  <c r="B597" i="28"/>
  <c r="A782" i="28"/>
  <c r="B783" i="28"/>
  <c r="A48" i="27" l="1"/>
  <c r="B49" i="27"/>
  <c r="A629" i="27"/>
  <c r="B630" i="27"/>
  <c r="A48" i="28"/>
  <c r="B49" i="28"/>
  <c r="A597" i="28"/>
  <c r="B598" i="28"/>
  <c r="B784" i="28"/>
  <c r="A783" i="28"/>
  <c r="B444" i="28"/>
  <c r="A443" i="28"/>
  <c r="A49" i="27" l="1"/>
  <c r="B50" i="27"/>
  <c r="B631" i="27"/>
  <c r="A630" i="27"/>
  <c r="A49" i="28"/>
  <c r="B50" i="28"/>
  <c r="A784" i="28"/>
  <c r="B785" i="28"/>
  <c r="A598" i="28"/>
  <c r="B599" i="28"/>
  <c r="A444" i="28"/>
  <c r="B445" i="28"/>
  <c r="A50" i="27" l="1"/>
  <c r="B51" i="27"/>
  <c r="A631" i="27"/>
  <c r="B632" i="27"/>
  <c r="A50" i="28"/>
  <c r="B51" i="28"/>
  <c r="A599" i="28"/>
  <c r="B600" i="28"/>
  <c r="B446" i="28"/>
  <c r="A445" i="28"/>
  <c r="B786" i="28"/>
  <c r="A785" i="28"/>
  <c r="A51" i="27" l="1"/>
  <c r="B52" i="27"/>
  <c r="B633" i="27"/>
  <c r="A632" i="27"/>
  <c r="A51" i="28"/>
  <c r="B52" i="28"/>
  <c r="A446" i="28"/>
  <c r="B447" i="28"/>
  <c r="A600" i="28"/>
  <c r="B601" i="28"/>
  <c r="A786" i="28"/>
  <c r="B787" i="28"/>
  <c r="B53" i="27" l="1"/>
  <c r="A52" i="27"/>
  <c r="A633" i="27"/>
  <c r="B634" i="27"/>
  <c r="A52" i="28"/>
  <c r="B53" i="28"/>
  <c r="A601" i="28"/>
  <c r="B602" i="28"/>
  <c r="B788" i="28"/>
  <c r="A787" i="28"/>
  <c r="B448" i="28"/>
  <c r="A447" i="28"/>
  <c r="A53" i="27" l="1"/>
  <c r="B54" i="27"/>
  <c r="A634" i="27"/>
  <c r="A53" i="28"/>
  <c r="B54" i="28"/>
  <c r="A788" i="28"/>
  <c r="B789" i="28"/>
  <c r="A602" i="28"/>
  <c r="B603" i="28"/>
  <c r="A448" i="28"/>
  <c r="B449" i="28"/>
  <c r="A54" i="27" l="1"/>
  <c r="B55" i="27"/>
  <c r="A54" i="28"/>
  <c r="B55" i="28"/>
  <c r="B450" i="28"/>
  <c r="A450" i="28" s="1"/>
  <c r="A449" i="28"/>
  <c r="B790" i="28"/>
  <c r="A789" i="28"/>
  <c r="A603" i="28"/>
  <c r="B604" i="28"/>
  <c r="A55" i="27" l="1"/>
  <c r="B56" i="27"/>
  <c r="A55" i="28"/>
  <c r="B56" i="28"/>
  <c r="A790" i="28"/>
  <c r="B791" i="28"/>
  <c r="A604" i="28"/>
  <c r="B605" i="28"/>
  <c r="A56" i="27" l="1"/>
  <c r="B57" i="27"/>
  <c r="A56" i="28"/>
  <c r="B57" i="28"/>
  <c r="B792" i="28"/>
  <c r="A791" i="28"/>
  <c r="A605" i="28"/>
  <c r="B606" i="28"/>
  <c r="A57" i="27" l="1"/>
  <c r="B58" i="27"/>
  <c r="B58" i="28"/>
  <c r="A57" i="28"/>
  <c r="A606" i="28"/>
  <c r="B607" i="28"/>
  <c r="A792" i="28"/>
  <c r="B793" i="28"/>
  <c r="A58" i="27" l="1"/>
  <c r="B59" i="27"/>
  <c r="A58" i="28"/>
  <c r="B59" i="28"/>
  <c r="B794" i="28"/>
  <c r="A793" i="28"/>
  <c r="A607" i="28"/>
  <c r="B608" i="28"/>
  <c r="A59" i="27" l="1"/>
  <c r="B60" i="27"/>
  <c r="A59" i="28"/>
  <c r="B60" i="28"/>
  <c r="B609" i="28"/>
  <c r="A608" i="28"/>
  <c r="A794" i="28"/>
  <c r="B795" i="28"/>
  <c r="A60" i="27" l="1"/>
  <c r="B61" i="27"/>
  <c r="A60" i="28"/>
  <c r="B61" i="28"/>
  <c r="B796" i="28"/>
  <c r="A795" i="28"/>
  <c r="A609" i="28"/>
  <c r="B610" i="28"/>
  <c r="A61" i="27" l="1"/>
  <c r="B62" i="27"/>
  <c r="A796" i="28"/>
  <c r="A61" i="28"/>
  <c r="B62" i="28"/>
  <c r="B611" i="28"/>
  <c r="A610" i="28"/>
  <c r="A62" i="27" l="1"/>
  <c r="B63" i="27"/>
  <c r="A62" i="28"/>
  <c r="B63" i="28"/>
  <c r="A611" i="28"/>
  <c r="B612" i="28"/>
  <c r="A63" i="27" l="1"/>
  <c r="B64" i="27"/>
  <c r="A63" i="28"/>
  <c r="B64" i="28"/>
  <c r="B613" i="28"/>
  <c r="A612" i="28"/>
  <c r="A64" i="27" l="1"/>
  <c r="B65" i="27"/>
  <c r="A64" i="28"/>
  <c r="B65" i="28"/>
  <c r="A613" i="28"/>
  <c r="B614" i="28"/>
  <c r="A65" i="27" l="1"/>
  <c r="B66" i="27"/>
  <c r="A65" i="28"/>
  <c r="B66" i="28"/>
  <c r="B615" i="28"/>
  <c r="A614" i="28"/>
  <c r="A66" i="27" l="1"/>
  <c r="B67" i="27"/>
  <c r="A66" i="28"/>
  <c r="B67" i="28"/>
  <c r="A615" i="28"/>
  <c r="B616" i="28"/>
  <c r="A67" i="27" l="1"/>
  <c r="B68" i="27"/>
  <c r="A67" i="28"/>
  <c r="B68" i="28"/>
  <c r="B617" i="28"/>
  <c r="A616" i="28"/>
  <c r="A68" i="27" l="1"/>
  <c r="B69" i="27"/>
  <c r="A68" i="28"/>
  <c r="B69" i="28"/>
  <c r="A617" i="28"/>
  <c r="B618" i="28"/>
  <c r="A69" i="27" l="1"/>
  <c r="B70" i="27"/>
  <c r="A69" i="28"/>
  <c r="B70" i="28"/>
  <c r="B619" i="28"/>
  <c r="A618" i="28"/>
  <c r="A70" i="27" l="1"/>
  <c r="B71" i="27"/>
  <c r="A70" i="28"/>
  <c r="B71" i="28"/>
  <c r="A619" i="28"/>
  <c r="B620" i="28"/>
  <c r="A71" i="27" l="1"/>
  <c r="B72" i="27"/>
  <c r="A71" i="28"/>
  <c r="B72" i="28"/>
  <c r="B621" i="28"/>
  <c r="A620" i="28"/>
  <c r="A72" i="27" l="1"/>
  <c r="B73" i="27"/>
  <c r="A72" i="28"/>
  <c r="B73" i="28"/>
  <c r="A621" i="28"/>
  <c r="B622" i="28"/>
  <c r="A73" i="27" l="1"/>
  <c r="B74" i="27"/>
  <c r="A73" i="28"/>
  <c r="B74" i="28"/>
  <c r="B623" i="28"/>
  <c r="A622" i="28"/>
  <c r="A74" i="27" l="1"/>
  <c r="B75" i="27"/>
  <c r="A74" i="28"/>
  <c r="B75" i="28"/>
  <c r="A623" i="28"/>
  <c r="B624" i="28"/>
  <c r="A75" i="27" l="1"/>
  <c r="B76" i="27"/>
  <c r="A75" i="28"/>
  <c r="B76" i="28"/>
  <c r="B625" i="28"/>
  <c r="A624" i="28"/>
  <c r="B77" i="27" l="1"/>
  <c r="A76" i="27"/>
  <c r="A76" i="28"/>
  <c r="B77" i="28"/>
  <c r="A625" i="28"/>
  <c r="B626" i="28"/>
  <c r="A77" i="27" l="1"/>
  <c r="B78" i="27"/>
  <c r="A77" i="28"/>
  <c r="B78" i="28"/>
  <c r="B627" i="28"/>
  <c r="A626" i="28"/>
  <c r="A78" i="27" l="1"/>
  <c r="B79" i="27"/>
  <c r="A78" i="28"/>
  <c r="B79" i="28"/>
  <c r="A627" i="28"/>
  <c r="B628" i="28"/>
  <c r="A79" i="27" l="1"/>
  <c r="B80" i="27"/>
  <c r="A79" i="28"/>
  <c r="B80" i="28"/>
  <c r="A628" i="28"/>
  <c r="B629" i="28"/>
  <c r="A80" i="27" l="1"/>
  <c r="B81" i="27"/>
  <c r="A80" i="28"/>
  <c r="B81" i="28"/>
  <c r="A629" i="28"/>
  <c r="B630" i="28"/>
  <c r="A81" i="27" l="1"/>
  <c r="B82" i="27"/>
  <c r="A81" i="28"/>
  <c r="B82" i="28"/>
  <c r="A630" i="28"/>
  <c r="B631" i="28"/>
  <c r="B83" i="27" l="1"/>
  <c r="A82" i="27"/>
  <c r="A82" i="28"/>
  <c r="B83" i="28"/>
  <c r="A631" i="28"/>
  <c r="B632" i="28"/>
  <c r="A83" i="27" l="1"/>
  <c r="B84" i="27"/>
  <c r="A83" i="28"/>
  <c r="B84" i="28"/>
  <c r="A632" i="28"/>
  <c r="B633" i="28"/>
  <c r="A84" i="27" l="1"/>
  <c r="B85" i="27"/>
  <c r="A84" i="28"/>
  <c r="B85" i="28"/>
  <c r="A633" i="28"/>
  <c r="B634" i="28"/>
  <c r="A85" i="27" l="1"/>
  <c r="B86" i="27"/>
  <c r="A85" i="28"/>
  <c r="B86" i="28"/>
  <c r="A634" i="28"/>
  <c r="B635" i="28"/>
  <c r="A86" i="27" l="1"/>
  <c r="B87" i="27"/>
  <c r="A86" i="28"/>
  <c r="B87" i="28"/>
  <c r="A635" i="28"/>
  <c r="B636" i="28"/>
  <c r="A87" i="27" l="1"/>
  <c r="B88" i="27"/>
  <c r="A87" i="28"/>
  <c r="B88" i="28"/>
  <c r="A636" i="28"/>
  <c r="B637" i="28"/>
  <c r="A88" i="27" l="1"/>
  <c r="B89" i="27"/>
  <c r="A637" i="28"/>
  <c r="B89" i="28"/>
  <c r="A88" i="28"/>
  <c r="A89" i="27" l="1"/>
  <c r="B90" i="27"/>
  <c r="A89" i="28"/>
  <c r="B90" i="28"/>
  <c r="A90" i="27" l="1"/>
  <c r="B91" i="27"/>
  <c r="A90" i="28"/>
  <c r="B91" i="28"/>
  <c r="A91" i="27" l="1"/>
  <c r="B92" i="27"/>
  <c r="A91" i="28"/>
  <c r="B92" i="28"/>
  <c r="A92" i="27" l="1"/>
  <c r="B93" i="27"/>
  <c r="B93" i="28"/>
  <c r="A92" i="28"/>
  <c r="A93" i="27" l="1"/>
  <c r="B94" i="27"/>
  <c r="A93" i="28"/>
  <c r="B94" i="28"/>
  <c r="A94" i="27" l="1"/>
  <c r="B95" i="27"/>
  <c r="A94" i="28"/>
  <c r="B95" i="28"/>
  <c r="A95" i="27" l="1"/>
  <c r="B96" i="27"/>
  <c r="A95" i="28"/>
  <c r="B96" i="28"/>
  <c r="A96" i="27" l="1"/>
  <c r="B97" i="27"/>
  <c r="A96" i="28"/>
  <c r="B97" i="28"/>
  <c r="A97" i="27" l="1"/>
  <c r="B98" i="27"/>
  <c r="A97" i="28"/>
  <c r="B98" i="28"/>
  <c r="A98" i="27" l="1"/>
  <c r="B99" i="27"/>
  <c r="A98" i="28"/>
  <c r="B99" i="28"/>
  <c r="A99" i="27" l="1"/>
  <c r="B100" i="27"/>
  <c r="A99" i="28"/>
  <c r="B100" i="28"/>
  <c r="A100" i="27" l="1"/>
  <c r="B101" i="27"/>
  <c r="A100" i="28"/>
  <c r="B101" i="28"/>
  <c r="A101" i="27" l="1"/>
  <c r="B102" i="27"/>
  <c r="A101" i="28"/>
  <c r="B102" i="28"/>
  <c r="A102" i="27" l="1"/>
  <c r="B103" i="27"/>
  <c r="A102" i="28"/>
  <c r="B103" i="28"/>
  <c r="B104" i="27" l="1"/>
  <c r="A103" i="27"/>
  <c r="A103" i="28"/>
  <c r="B104" i="28"/>
  <c r="A104" i="27" l="1"/>
  <c r="B105" i="27"/>
  <c r="A104" i="28"/>
  <c r="B105" i="28"/>
  <c r="A105" i="27" l="1"/>
  <c r="B106" i="27"/>
  <c r="A105" i="28"/>
  <c r="B106" i="28"/>
  <c r="A106" i="27" l="1"/>
  <c r="B107" i="27"/>
  <c r="A106" i="28"/>
  <c r="B107" i="28"/>
  <c r="A107" i="27" l="1"/>
  <c r="B108" i="27"/>
  <c r="A107" i="28"/>
  <c r="B108" i="28"/>
  <c r="A108" i="27" l="1"/>
  <c r="B109" i="27"/>
  <c r="A108" i="28"/>
  <c r="B109" i="28"/>
  <c r="B110" i="27" l="1"/>
  <c r="A109" i="27"/>
  <c r="A109" i="28"/>
  <c r="B110" i="28"/>
  <c r="A110" i="27" l="1"/>
  <c r="B111" i="27"/>
  <c r="A110" i="28"/>
  <c r="B111" i="28"/>
  <c r="A111" i="27" l="1"/>
  <c r="B112" i="27"/>
  <c r="B112" i="28"/>
  <c r="A111" i="28"/>
  <c r="B113" i="27" l="1"/>
  <c r="A112" i="27"/>
  <c r="A112" i="28"/>
  <c r="B113" i="28"/>
  <c r="A113" i="27" l="1"/>
  <c r="B114" i="27"/>
  <c r="A113" i="28"/>
  <c r="B114" i="28"/>
  <c r="A114" i="27" l="1"/>
  <c r="B115" i="27"/>
  <c r="A114" i="28"/>
  <c r="B115" i="28"/>
  <c r="A115" i="27" l="1"/>
  <c r="B116" i="27"/>
  <c r="A115" i="28"/>
  <c r="B116" i="28"/>
  <c r="A116" i="27" l="1"/>
  <c r="B117" i="27"/>
  <c r="B117" i="28"/>
  <c r="A116" i="28"/>
  <c r="A117" i="27" l="1"/>
  <c r="B118" i="27"/>
  <c r="A117" i="28"/>
  <c r="B118" i="28"/>
  <c r="A118" i="27" l="1"/>
  <c r="B119" i="27"/>
  <c r="A118" i="28"/>
  <c r="B119" i="28"/>
  <c r="A119" i="27" l="1"/>
  <c r="B120" i="27"/>
  <c r="A119" i="28"/>
  <c r="B120" i="28"/>
  <c r="A120" i="27" l="1"/>
  <c r="B121" i="27"/>
  <c r="A120" i="28"/>
  <c r="B121" i="28"/>
  <c r="A121" i="27" l="1"/>
  <c r="B122" i="27"/>
  <c r="A121" i="28"/>
  <c r="B122" i="28"/>
  <c r="A122" i="27" l="1"/>
  <c r="B123" i="27"/>
  <c r="A122" i="28"/>
  <c r="B123" i="28"/>
  <c r="A123" i="27" l="1"/>
  <c r="B124" i="27"/>
  <c r="A123" i="28"/>
  <c r="B124" i="28"/>
  <c r="A124" i="27" l="1"/>
  <c r="B125" i="27"/>
  <c r="B125" i="28"/>
  <c r="A124" i="28"/>
  <c r="A125" i="27" l="1"/>
  <c r="B126" i="27"/>
  <c r="A125" i="28"/>
  <c r="B126" i="28"/>
  <c r="A126" i="27" l="1"/>
  <c r="B127" i="27"/>
  <c r="A126" i="28"/>
  <c r="B127" i="28"/>
  <c r="A127" i="27" l="1"/>
  <c r="B128" i="27"/>
  <c r="A127" i="28"/>
  <c r="B128" i="28"/>
  <c r="A128" i="27" l="1"/>
  <c r="B129" i="27"/>
  <c r="A128" i="28"/>
  <c r="B129" i="28"/>
  <c r="A129" i="27" l="1"/>
  <c r="B130" i="27"/>
  <c r="A129" i="28"/>
  <c r="B130" i="28"/>
  <c r="A130" i="27" l="1"/>
  <c r="B131" i="27"/>
  <c r="A130" i="28"/>
  <c r="B131" i="28"/>
  <c r="B132" i="27" l="1"/>
  <c r="A131" i="27"/>
  <c r="A131" i="28"/>
  <c r="B132" i="28"/>
  <c r="B133" i="27" l="1"/>
  <c r="A132" i="27"/>
  <c r="A132" i="28"/>
  <c r="B133" i="28"/>
  <c r="A133" i="27" l="1"/>
  <c r="B134" i="27"/>
  <c r="A133" i="28"/>
  <c r="B134" i="28"/>
  <c r="A134" i="27" l="1"/>
  <c r="B135" i="27"/>
  <c r="A134" i="28"/>
  <c r="B135" i="28"/>
  <c r="B136" i="27" l="1"/>
  <c r="A135" i="27"/>
  <c r="A135" i="28"/>
  <c r="B136" i="28"/>
  <c r="A136" i="27" l="1"/>
  <c r="B137" i="27"/>
  <c r="A136" i="28"/>
  <c r="B137" i="28"/>
  <c r="B138" i="27" l="1"/>
  <c r="A137" i="27"/>
  <c r="A137" i="28"/>
  <c r="B138" i="28"/>
  <c r="A138" i="27" l="1"/>
  <c r="B139" i="27"/>
  <c r="B139" i="28"/>
  <c r="A138" i="28"/>
  <c r="B140" i="27" l="1"/>
  <c r="A139" i="27"/>
  <c r="A139" i="28"/>
  <c r="B140" i="28"/>
  <c r="A140" i="27" l="1"/>
  <c r="B141" i="27"/>
  <c r="A140" i="28"/>
  <c r="B141" i="28"/>
  <c r="B142" i="27" l="1"/>
  <c r="A141" i="27"/>
  <c r="A141" i="28"/>
  <c r="B142" i="28"/>
  <c r="A142" i="27" l="1"/>
  <c r="B143" i="27"/>
  <c r="A142" i="28"/>
  <c r="B143" i="28"/>
  <c r="B144" i="27" l="1"/>
  <c r="A143" i="27"/>
  <c r="A143" i="28"/>
  <c r="B144" i="28"/>
  <c r="B145" i="27" l="1"/>
  <c r="A144" i="27"/>
  <c r="A144" i="28"/>
  <c r="B145" i="28"/>
  <c r="B146" i="27" l="1"/>
  <c r="A145" i="27"/>
  <c r="A145" i="28"/>
  <c r="B146" i="28"/>
  <c r="A146" i="27" l="1"/>
  <c r="B147" i="27"/>
  <c r="A146" i="28"/>
  <c r="B147" i="28"/>
  <c r="B148" i="27" l="1"/>
  <c r="A147" i="27"/>
  <c r="A147" i="28"/>
  <c r="B148" i="28"/>
  <c r="B149" i="27" l="1"/>
  <c r="A148" i="27"/>
  <c r="B149" i="28"/>
  <c r="A148" i="28"/>
  <c r="B150" i="27" l="1"/>
  <c r="A149" i="27"/>
  <c r="A149" i="28"/>
  <c r="B150" i="28"/>
  <c r="A150" i="27" l="1"/>
  <c r="B151" i="27"/>
  <c r="A150" i="28"/>
  <c r="B151" i="28"/>
  <c r="B152" i="27" l="1"/>
  <c r="A151" i="27"/>
  <c r="A151" i="28"/>
  <c r="B152" i="28"/>
  <c r="A152" i="27" l="1"/>
  <c r="B153" i="27"/>
  <c r="A152" i="28"/>
  <c r="B153" i="28"/>
  <c r="B154" i="27" l="1"/>
  <c r="A153" i="27"/>
  <c r="A153" i="28"/>
  <c r="B154" i="28"/>
  <c r="A154" i="27" l="1"/>
  <c r="B155" i="27"/>
  <c r="A154" i="28"/>
  <c r="B155" i="28"/>
  <c r="B156" i="27" l="1"/>
  <c r="A155" i="27"/>
  <c r="A155" i="28"/>
  <c r="B156" i="28"/>
  <c r="B3" i="32" l="1"/>
  <c r="B24" i="32" s="1"/>
  <c r="B75" i="32"/>
  <c r="I72" i="32"/>
  <c r="H72" i="32"/>
  <c r="F75" i="32"/>
  <c r="D8" i="32"/>
  <c r="D53" i="32" s="1"/>
  <c r="F154" i="31" s="1"/>
  <c r="E8" i="32"/>
  <c r="C73" i="32"/>
  <c r="H73" i="32"/>
  <c r="D75" i="32"/>
  <c r="B73" i="32"/>
  <c r="C4" i="32"/>
  <c r="C38" i="32" s="1"/>
  <c r="E75" i="32"/>
  <c r="D73" i="32"/>
  <c r="C74" i="32"/>
  <c r="I74" i="32"/>
  <c r="F8" i="32"/>
  <c r="F53" i="32" s="1"/>
  <c r="H154" i="31" s="1"/>
  <c r="D74" i="32"/>
  <c r="B72" i="32"/>
  <c r="C71" i="32"/>
  <c r="F73" i="32"/>
  <c r="D72" i="32"/>
  <c r="C72" i="32"/>
  <c r="G72" i="32"/>
  <c r="F72" i="32"/>
  <c r="G74" i="32"/>
  <c r="D4" i="32"/>
  <c r="D38" i="32" s="1"/>
  <c r="H4" i="32"/>
  <c r="H38" i="32" s="1"/>
  <c r="H8" i="32"/>
  <c r="H53" i="32" s="1"/>
  <c r="H75" i="32"/>
  <c r="F4" i="32"/>
  <c r="F38" i="32" s="1"/>
  <c r="H71" i="32"/>
  <c r="G71" i="32"/>
  <c r="D76" i="32"/>
  <c r="G76" i="32"/>
  <c r="G75" i="32"/>
  <c r="B4" i="32"/>
  <c r="B38" i="32" s="1"/>
  <c r="G8" i="32"/>
  <c r="G53" i="32" s="1"/>
  <c r="E76" i="32"/>
  <c r="B74" i="32"/>
  <c r="F76" i="32"/>
  <c r="F71" i="32"/>
  <c r="F74" i="32"/>
  <c r="H74" i="32"/>
  <c r="G4" i="32"/>
  <c r="G38" i="32" s="1"/>
  <c r="I4" i="32"/>
  <c r="I38" i="32" s="1"/>
  <c r="I76" i="32"/>
  <c r="C8" i="32"/>
  <c r="C53" i="32" s="1"/>
  <c r="E154" i="31" s="1"/>
  <c r="E4" i="32"/>
  <c r="E71" i="32"/>
  <c r="I75" i="32"/>
  <c r="B76" i="32"/>
  <c r="I8" i="32"/>
  <c r="I53" i="32" s="1"/>
  <c r="K154" i="31" s="1"/>
  <c r="H76" i="32"/>
  <c r="E72" i="32"/>
  <c r="I73" i="32"/>
  <c r="E74" i="32"/>
  <c r="E73" i="32"/>
  <c r="B8" i="32"/>
  <c r="C75" i="32"/>
  <c r="D71" i="32"/>
  <c r="G73" i="32"/>
  <c r="C76" i="32"/>
  <c r="I71" i="32"/>
  <c r="B71" i="32"/>
  <c r="A156" i="27"/>
  <c r="F7" i="32"/>
  <c r="F27" i="32" s="1"/>
  <c r="G13" i="32"/>
  <c r="G32" i="32" s="1"/>
  <c r="D13" i="32"/>
  <c r="D32" i="32" s="1"/>
  <c r="G6" i="32"/>
  <c r="G26" i="32" s="1"/>
  <c r="F3" i="32"/>
  <c r="F24" i="32" s="1"/>
  <c r="E3" i="32"/>
  <c r="I10" i="32"/>
  <c r="I29" i="32" s="1"/>
  <c r="V144" i="37" s="1"/>
  <c r="I13" i="32"/>
  <c r="I32" i="32" s="1"/>
  <c r="C11" i="32"/>
  <c r="C30" i="32" s="1"/>
  <c r="G9" i="32"/>
  <c r="G28" i="32" s="1"/>
  <c r="E11" i="32"/>
  <c r="C7" i="32"/>
  <c r="C27" i="32" s="1"/>
  <c r="H7" i="32"/>
  <c r="H27" i="32" s="1"/>
  <c r="D7" i="32"/>
  <c r="D27" i="32" s="1"/>
  <c r="H6" i="32"/>
  <c r="H26" i="32" s="1"/>
  <c r="D10" i="32"/>
  <c r="D29" i="32" s="1"/>
  <c r="H9" i="32"/>
  <c r="H28" i="32" s="1"/>
  <c r="H12" i="32"/>
  <c r="H31" i="32" s="1"/>
  <c r="G3" i="32"/>
  <c r="G24" i="32" s="1"/>
  <c r="H10" i="32"/>
  <c r="H29" i="32" s="1"/>
  <c r="W144" i="37" s="1"/>
  <c r="I5" i="32"/>
  <c r="I25" i="32" s="1"/>
  <c r="M144" i="37" s="1"/>
  <c r="G7" i="32"/>
  <c r="G27" i="32" s="1"/>
  <c r="E7" i="32"/>
  <c r="F10" i="32"/>
  <c r="F29" i="32" s="1"/>
  <c r="U144" i="37" s="1"/>
  <c r="I9" i="32"/>
  <c r="I28" i="32" s="1"/>
  <c r="F12" i="32"/>
  <c r="F31" i="32" s="1"/>
  <c r="F5" i="32"/>
  <c r="F25" i="32" s="1"/>
  <c r="L144" i="37" s="1"/>
  <c r="I11" i="32"/>
  <c r="I30" i="32" s="1"/>
  <c r="C6" i="32"/>
  <c r="C26" i="32" s="1"/>
  <c r="C13" i="32"/>
  <c r="C32" i="32" s="1"/>
  <c r="C9" i="32"/>
  <c r="C28" i="32" s="1"/>
  <c r="C3" i="32"/>
  <c r="C24" i="32" s="1"/>
  <c r="F13" i="32"/>
  <c r="F32" i="32" s="1"/>
  <c r="G5" i="32"/>
  <c r="G25" i="32" s="1"/>
  <c r="E9" i="32"/>
  <c r="E10" i="32"/>
  <c r="C10" i="32"/>
  <c r="C29" i="32" s="1"/>
  <c r="I7" i="32"/>
  <c r="I27" i="32" s="1"/>
  <c r="G11" i="32"/>
  <c r="G30" i="32" s="1"/>
  <c r="I6" i="32"/>
  <c r="I26" i="32" s="1"/>
  <c r="H13" i="32"/>
  <c r="H32" i="32" s="1"/>
  <c r="F11" i="32"/>
  <c r="F30" i="32" s="1"/>
  <c r="D5" i="32"/>
  <c r="D25" i="32" s="1"/>
  <c r="E12" i="32"/>
  <c r="C5" i="32"/>
  <c r="C25" i="32" s="1"/>
  <c r="E5" i="32"/>
  <c r="D9" i="32"/>
  <c r="D28" i="32" s="1"/>
  <c r="H5" i="32"/>
  <c r="H25" i="32" s="1"/>
  <c r="N144" i="37" s="1"/>
  <c r="F6" i="32"/>
  <c r="F26" i="32" s="1"/>
  <c r="H11" i="32"/>
  <c r="H30" i="32" s="1"/>
  <c r="D3" i="32"/>
  <c r="D24" i="32" s="1"/>
  <c r="G12" i="32"/>
  <c r="G31" i="32" s="1"/>
  <c r="I3" i="32"/>
  <c r="I24" i="32" s="1"/>
  <c r="D11" i="32"/>
  <c r="D30" i="32" s="1"/>
  <c r="E6" i="32"/>
  <c r="G10" i="32"/>
  <c r="G29" i="32" s="1"/>
  <c r="H3" i="32"/>
  <c r="H24" i="32" s="1"/>
  <c r="D12" i="32"/>
  <c r="D31" i="32" s="1"/>
  <c r="I12" i="32"/>
  <c r="I31" i="32" s="1"/>
  <c r="C12" i="32"/>
  <c r="C31" i="32" s="1"/>
  <c r="D6" i="32"/>
  <c r="D26" i="32" s="1"/>
  <c r="F9" i="32"/>
  <c r="F28" i="32" s="1"/>
  <c r="E13" i="32"/>
  <c r="A156" i="28"/>
  <c r="B157" i="28"/>
  <c r="K5" i="32" l="1"/>
  <c r="K25" i="32" s="1"/>
  <c r="J5" i="32"/>
  <c r="J25" i="32" s="1"/>
  <c r="K12" i="32"/>
  <c r="K31" i="32" s="1"/>
  <c r="J12" i="32"/>
  <c r="J31" i="32" s="1"/>
  <c r="K10" i="32"/>
  <c r="K29" i="32" s="1"/>
  <c r="J10" i="32"/>
  <c r="J29" i="32" s="1"/>
  <c r="K73" i="32"/>
  <c r="J73" i="32"/>
  <c r="K71" i="32"/>
  <c r="J71" i="32"/>
  <c r="E77" i="32"/>
  <c r="K3" i="32"/>
  <c r="K24" i="32" s="1"/>
  <c r="J3" i="32"/>
  <c r="J24" i="32" s="1"/>
  <c r="K13" i="32"/>
  <c r="K32" i="32" s="1"/>
  <c r="J13" i="32"/>
  <c r="J32" i="32" s="1"/>
  <c r="K6" i="32"/>
  <c r="K26" i="32" s="1"/>
  <c r="J6" i="32"/>
  <c r="J26" i="32" s="1"/>
  <c r="K9" i="32"/>
  <c r="K28" i="32" s="1"/>
  <c r="J9" i="32"/>
  <c r="J28" i="32" s="1"/>
  <c r="K7" i="32"/>
  <c r="K27" i="32" s="1"/>
  <c r="J7" i="32"/>
  <c r="J27" i="32" s="1"/>
  <c r="K11" i="32"/>
  <c r="K30" i="32" s="1"/>
  <c r="J11" i="32"/>
  <c r="J30" i="32" s="1"/>
  <c r="K74" i="32"/>
  <c r="J74" i="32"/>
  <c r="K4" i="32"/>
  <c r="J4" i="32"/>
  <c r="K75" i="32"/>
  <c r="J75" i="32"/>
  <c r="K72" i="32"/>
  <c r="J72" i="32"/>
  <c r="K76" i="32"/>
  <c r="J76" i="32"/>
  <c r="K8" i="32"/>
  <c r="J8" i="32"/>
  <c r="E32" i="32"/>
  <c r="E25" i="32"/>
  <c r="K144" i="37" s="1"/>
  <c r="E24" i="32"/>
  <c r="E31" i="32"/>
  <c r="E29" i="32"/>
  <c r="T144" i="37" s="1"/>
  <c r="F77" i="32"/>
  <c r="E26" i="32"/>
  <c r="E28" i="32"/>
  <c r="E27" i="32"/>
  <c r="E30" i="32"/>
  <c r="P38" i="32"/>
  <c r="O38" i="32"/>
  <c r="J154" i="31"/>
  <c r="P53" i="32"/>
  <c r="O53" i="32"/>
  <c r="I154" i="31"/>
  <c r="J38" i="32"/>
  <c r="E38" i="32"/>
  <c r="Q4" i="32"/>
  <c r="B53" i="32"/>
  <c r="D154" i="31" s="1"/>
  <c r="Q8" i="32"/>
  <c r="E53" i="32"/>
  <c r="K38" i="32"/>
  <c r="A157" i="28"/>
  <c r="B158" i="28"/>
  <c r="J77" i="32" l="1"/>
  <c r="K53" i="32"/>
  <c r="J53" i="32"/>
  <c r="K77" i="32"/>
  <c r="K86" i="32" s="1"/>
  <c r="G154" i="31"/>
  <c r="B159" i="28"/>
  <c r="A158" i="28"/>
  <c r="M154" i="31" l="1"/>
  <c r="M127" i="31"/>
  <c r="L154" i="31"/>
  <c r="L127" i="31"/>
  <c r="K85" i="32"/>
  <c r="F195" i="22"/>
  <c r="D194" i="22"/>
  <c r="E197" i="22"/>
  <c r="B191" i="22"/>
  <c r="H190" i="22"/>
  <c r="D193" i="22"/>
  <c r="D188" i="22"/>
  <c r="D192" i="22"/>
  <c r="C193" i="22"/>
  <c r="F187" i="22"/>
  <c r="I192" i="22"/>
  <c r="C190" i="22"/>
  <c r="C196" i="22"/>
  <c r="H193" i="22"/>
  <c r="G193" i="22"/>
  <c r="H188" i="22"/>
  <c r="I189" i="22"/>
  <c r="H194" i="22"/>
  <c r="D197" i="22"/>
  <c r="I190" i="22"/>
  <c r="G188" i="22"/>
  <c r="F193" i="22"/>
  <c r="H186" i="22"/>
  <c r="B189" i="22"/>
  <c r="D189" i="22"/>
  <c r="G187" i="22"/>
  <c r="I193" i="22"/>
  <c r="H187" i="22"/>
  <c r="E188" i="22"/>
  <c r="B194" i="22"/>
  <c r="I195" i="22"/>
  <c r="C191" i="22"/>
  <c r="C189" i="22"/>
  <c r="B196" i="22"/>
  <c r="C187" i="22"/>
  <c r="E186" i="22"/>
  <c r="F189" i="22"/>
  <c r="D191" i="22"/>
  <c r="E190" i="22"/>
  <c r="E191" i="22"/>
  <c r="G192" i="22"/>
  <c r="H191" i="22"/>
  <c r="F196" i="22"/>
  <c r="E187" i="22"/>
  <c r="B188" i="22"/>
  <c r="C192" i="22"/>
  <c r="G191" i="22"/>
  <c r="D187" i="22"/>
  <c r="F188" i="22"/>
  <c r="H195" i="22"/>
  <c r="B187" i="22"/>
  <c r="D186" i="22"/>
  <c r="B193" i="22"/>
  <c r="I194" i="22"/>
  <c r="D196" i="22"/>
  <c r="F194" i="22"/>
  <c r="F186" i="22"/>
  <c r="E194" i="22"/>
  <c r="I196" i="22"/>
  <c r="I188" i="22"/>
  <c r="G196" i="22"/>
  <c r="D195" i="22"/>
  <c r="F191" i="22"/>
  <c r="E196" i="22"/>
  <c r="F197" i="22"/>
  <c r="I186" i="22"/>
  <c r="H192" i="22"/>
  <c r="I187" i="22"/>
  <c r="H189" i="22"/>
  <c r="E189" i="22"/>
  <c r="E195" i="22"/>
  <c r="G194" i="22"/>
  <c r="C197" i="22"/>
  <c r="G197" i="22"/>
  <c r="H197" i="22"/>
  <c r="C195" i="22"/>
  <c r="E193" i="22"/>
  <c r="B192" i="22"/>
  <c r="C186" i="22"/>
  <c r="B186" i="22"/>
  <c r="C188" i="22"/>
  <c r="C194" i="22"/>
  <c r="I191" i="22"/>
  <c r="F192" i="22"/>
  <c r="F190" i="22"/>
  <c r="E192" i="22"/>
  <c r="B195" i="22"/>
  <c r="G195" i="22"/>
  <c r="B190" i="22"/>
  <c r="B197" i="22"/>
  <c r="D190" i="22"/>
  <c r="G186" i="22"/>
  <c r="G190" i="22"/>
  <c r="G189" i="22"/>
  <c r="I197" i="22"/>
  <c r="H196" i="22"/>
  <c r="K83" i="32"/>
  <c r="K81" i="32"/>
  <c r="K82" i="32"/>
  <c r="K84" i="32"/>
  <c r="H11" i="22"/>
  <c r="H13" i="22"/>
  <c r="H137" i="22"/>
  <c r="H130" i="22"/>
  <c r="H6" i="22"/>
  <c r="H7" i="22"/>
  <c r="H156" i="22"/>
  <c r="H213" i="22" s="1"/>
  <c r="H50" i="22"/>
  <c r="H55" i="22"/>
  <c r="H47" i="22"/>
  <c r="H46" i="22"/>
  <c r="H136" i="22"/>
  <c r="H145" i="22"/>
  <c r="H202" i="22" s="1"/>
  <c r="H151" i="22"/>
  <c r="H208" i="22" s="1"/>
  <c r="H131" i="22"/>
  <c r="H152" i="22"/>
  <c r="H209" i="22" s="1"/>
  <c r="H135" i="22"/>
  <c r="H4" i="22"/>
  <c r="H88" i="22" s="1"/>
  <c r="H138" i="22"/>
  <c r="H147" i="22"/>
  <c r="H204" i="22" s="1"/>
  <c r="H48" i="22"/>
  <c r="H127" i="22"/>
  <c r="H5" i="22"/>
  <c r="H51" i="22"/>
  <c r="H53" i="22"/>
  <c r="H95" i="22" s="1"/>
  <c r="H56" i="22"/>
  <c r="H149" i="22"/>
  <c r="H206" i="22" s="1"/>
  <c r="H14" i="22"/>
  <c r="H154" i="22"/>
  <c r="H9" i="22"/>
  <c r="H128" i="22"/>
  <c r="H3" i="22"/>
  <c r="H153" i="22"/>
  <c r="H210" i="22" s="1"/>
  <c r="H133" i="22"/>
  <c r="H146" i="22"/>
  <c r="H52" i="22"/>
  <c r="H129" i="22"/>
  <c r="H132" i="22"/>
  <c r="H150" i="22"/>
  <c r="H134" i="22"/>
  <c r="H49" i="22"/>
  <c r="H10" i="22"/>
  <c r="H155" i="22"/>
  <c r="H45" i="22"/>
  <c r="H8" i="22"/>
  <c r="H12" i="22"/>
  <c r="H148" i="22"/>
  <c r="H205" i="22" s="1"/>
  <c r="H54" i="22"/>
  <c r="B55" i="22"/>
  <c r="I56" i="22"/>
  <c r="F55" i="22"/>
  <c r="I45" i="22"/>
  <c r="I54" i="22"/>
  <c r="D56" i="22"/>
  <c r="D52" i="22"/>
  <c r="B53" i="22"/>
  <c r="E54" i="22"/>
  <c r="I50" i="22"/>
  <c r="C56" i="22"/>
  <c r="D47" i="22"/>
  <c r="D49" i="22"/>
  <c r="B50" i="22"/>
  <c r="C49" i="22"/>
  <c r="G51" i="22"/>
  <c r="G56" i="22"/>
  <c r="B54" i="22"/>
  <c r="I47" i="22"/>
  <c r="C47" i="22"/>
  <c r="B56" i="22"/>
  <c r="D48" i="22"/>
  <c r="F51" i="22"/>
  <c r="I48" i="22"/>
  <c r="D51" i="22"/>
  <c r="C53" i="22"/>
  <c r="G45" i="22"/>
  <c r="E52" i="22"/>
  <c r="F54" i="22"/>
  <c r="G49" i="22"/>
  <c r="F53" i="22"/>
  <c r="B48" i="22"/>
  <c r="C45" i="22"/>
  <c r="D54" i="22"/>
  <c r="G53" i="22"/>
  <c r="E49" i="22"/>
  <c r="G48" i="22"/>
  <c r="E45" i="22"/>
  <c r="F52" i="22"/>
  <c r="I52" i="22"/>
  <c r="I46" i="22"/>
  <c r="G52" i="22"/>
  <c r="G50" i="22"/>
  <c r="B45" i="22"/>
  <c r="F46" i="22"/>
  <c r="D55" i="22"/>
  <c r="B52" i="22"/>
  <c r="F56" i="22"/>
  <c r="E47" i="22"/>
  <c r="D53" i="22"/>
  <c r="I51" i="22"/>
  <c r="I53" i="22"/>
  <c r="B47" i="22"/>
  <c r="E53" i="22"/>
  <c r="C51" i="22"/>
  <c r="C50" i="22"/>
  <c r="E55" i="22"/>
  <c r="C55" i="22"/>
  <c r="I55" i="22"/>
  <c r="G47" i="22"/>
  <c r="D50" i="22"/>
  <c r="C52" i="22"/>
  <c r="G46" i="22"/>
  <c r="F50" i="22"/>
  <c r="I49" i="22"/>
  <c r="F48" i="22"/>
  <c r="C46" i="22"/>
  <c r="F47" i="22"/>
  <c r="F49" i="22"/>
  <c r="B51" i="22"/>
  <c r="E56" i="22"/>
  <c r="F45" i="22"/>
  <c r="G55" i="22"/>
  <c r="B49" i="22"/>
  <c r="E48" i="22"/>
  <c r="C48" i="22"/>
  <c r="B46" i="22"/>
  <c r="E46" i="22"/>
  <c r="D45" i="22"/>
  <c r="E51" i="22"/>
  <c r="G54" i="22"/>
  <c r="E50" i="22"/>
  <c r="D46" i="22"/>
  <c r="C54" i="22"/>
  <c r="I127" i="22"/>
  <c r="D130" i="22"/>
  <c r="I148" i="22"/>
  <c r="I205" i="22" s="1"/>
  <c r="I151" i="22"/>
  <c r="I208" i="22" s="1"/>
  <c r="I131" i="22"/>
  <c r="G137" i="22"/>
  <c r="I132" i="22"/>
  <c r="C131" i="22"/>
  <c r="I134" i="22"/>
  <c r="B136" i="22"/>
  <c r="C127" i="22"/>
  <c r="E128" i="22"/>
  <c r="C136" i="22"/>
  <c r="C128" i="22"/>
  <c r="F130" i="22"/>
  <c r="C138" i="22"/>
  <c r="F134" i="22"/>
  <c r="I149" i="22"/>
  <c r="G131" i="22"/>
  <c r="B130" i="22"/>
  <c r="D128" i="22"/>
  <c r="I154" i="22"/>
  <c r="I211" i="22" s="1"/>
  <c r="C129" i="22"/>
  <c r="F138" i="22"/>
  <c r="I153" i="22"/>
  <c r="I210" i="22" s="1"/>
  <c r="C135" i="22"/>
  <c r="C133" i="22"/>
  <c r="B137" i="22"/>
  <c r="F128" i="22"/>
  <c r="B131" i="22"/>
  <c r="D134" i="22"/>
  <c r="D127" i="22"/>
  <c r="E133" i="22"/>
  <c r="I128" i="22"/>
  <c r="G130" i="22"/>
  <c r="I130" i="22"/>
  <c r="G133" i="22"/>
  <c r="F137" i="22"/>
  <c r="B134" i="22"/>
  <c r="C134" i="22"/>
  <c r="D131" i="22"/>
  <c r="G134" i="22"/>
  <c r="F136" i="22"/>
  <c r="F133" i="22"/>
  <c r="E131" i="22"/>
  <c r="D138" i="22"/>
  <c r="C132" i="22"/>
  <c r="B133" i="22"/>
  <c r="C137" i="22"/>
  <c r="E137" i="22"/>
  <c r="I137" i="22"/>
  <c r="B132" i="22"/>
  <c r="I129" i="22"/>
  <c r="F129" i="22"/>
  <c r="I133" i="22"/>
  <c r="B135" i="22"/>
  <c r="F131" i="22"/>
  <c r="D129" i="22"/>
  <c r="I145" i="22"/>
  <c r="I202" i="22" s="1"/>
  <c r="D135" i="22"/>
  <c r="B128" i="22"/>
  <c r="I156" i="22"/>
  <c r="I213" i="22" s="1"/>
  <c r="B127" i="22"/>
  <c r="I150" i="22"/>
  <c r="I207" i="22" s="1"/>
  <c r="I146" i="22"/>
  <c r="E134" i="22"/>
  <c r="F135" i="22"/>
  <c r="E129" i="22"/>
  <c r="G135" i="22"/>
  <c r="E136" i="22"/>
  <c r="G136" i="22"/>
  <c r="B138" i="22"/>
  <c r="I155" i="22"/>
  <c r="I212" i="22" s="1"/>
  <c r="E135" i="22"/>
  <c r="G138" i="22"/>
  <c r="E127" i="22"/>
  <c r="G132" i="22"/>
  <c r="G127" i="22"/>
  <c r="E132" i="22"/>
  <c r="I136" i="22"/>
  <c r="I138" i="22"/>
  <c r="C130" i="22"/>
  <c r="I147" i="22"/>
  <c r="D132" i="22"/>
  <c r="D133" i="22"/>
  <c r="B129" i="22"/>
  <c r="F127" i="22"/>
  <c r="I152" i="22"/>
  <c r="I209" i="22" s="1"/>
  <c r="E138" i="22"/>
  <c r="G129" i="22"/>
  <c r="D137" i="22"/>
  <c r="D136" i="22"/>
  <c r="F132" i="22"/>
  <c r="I135" i="22"/>
  <c r="G128" i="22"/>
  <c r="E130" i="22"/>
  <c r="I3" i="22"/>
  <c r="I5" i="22"/>
  <c r="I11" i="22"/>
  <c r="I7" i="22"/>
  <c r="I13" i="22"/>
  <c r="I4" i="22"/>
  <c r="K4" i="22" s="1"/>
  <c r="I12" i="22"/>
  <c r="I6" i="22"/>
  <c r="I9" i="22"/>
  <c r="I14" i="22"/>
  <c r="I8" i="22"/>
  <c r="I10" i="22"/>
  <c r="D10" i="22"/>
  <c r="D94" i="22" s="1"/>
  <c r="E8" i="22"/>
  <c r="E11" i="22"/>
  <c r="E95" i="22" s="1"/>
  <c r="E153" i="22"/>
  <c r="E210" i="22" s="1"/>
  <c r="C153" i="22"/>
  <c r="C210" i="22" s="1"/>
  <c r="F156" i="22"/>
  <c r="F213" i="22" s="1"/>
  <c r="F10" i="22"/>
  <c r="D151" i="22"/>
  <c r="D208" i="22" s="1"/>
  <c r="D3" i="22"/>
  <c r="D87" i="22" s="1"/>
  <c r="G8" i="22"/>
  <c r="G92" i="22" s="1"/>
  <c r="C3" i="22"/>
  <c r="C87" i="22" s="1"/>
  <c r="F145" i="22"/>
  <c r="D156" i="22"/>
  <c r="D213" i="22" s="1"/>
  <c r="B4" i="22"/>
  <c r="C4" i="22"/>
  <c r="C88" i="22" s="1"/>
  <c r="B14" i="22"/>
  <c r="B98" i="22" s="1"/>
  <c r="F147" i="22"/>
  <c r="F204" i="22" s="1"/>
  <c r="C9" i="22"/>
  <c r="C93" i="22" s="1"/>
  <c r="F12" i="22"/>
  <c r="E152" i="22"/>
  <c r="E209" i="22" s="1"/>
  <c r="C8" i="22"/>
  <c r="E145" i="22"/>
  <c r="E4" i="22"/>
  <c r="G153" i="22"/>
  <c r="G210" i="22" s="1"/>
  <c r="G154" i="22"/>
  <c r="F3" i="22"/>
  <c r="J3" i="22" s="1"/>
  <c r="C145" i="22"/>
  <c r="C202" i="22" s="1"/>
  <c r="F5" i="22"/>
  <c r="E148" i="22"/>
  <c r="E205" i="22" s="1"/>
  <c r="E12" i="22"/>
  <c r="E96" i="22" s="1"/>
  <c r="F149" i="22"/>
  <c r="F206" i="22" s="1"/>
  <c r="G11" i="22"/>
  <c r="G95" i="22" s="1"/>
  <c r="B6" i="22"/>
  <c r="D13" i="22"/>
  <c r="D97" i="22" s="1"/>
  <c r="D8" i="22"/>
  <c r="D92" i="22" s="1"/>
  <c r="B3" i="22"/>
  <c r="B87" i="22" s="1"/>
  <c r="C5" i="22"/>
  <c r="G7" i="22"/>
  <c r="G91" i="22" s="1"/>
  <c r="D147" i="22"/>
  <c r="D204" i="22" s="1"/>
  <c r="D145" i="22"/>
  <c r="D202" i="22" s="1"/>
  <c r="D148" i="22"/>
  <c r="D205" i="22" s="1"/>
  <c r="B156" i="22"/>
  <c r="B213" i="22" s="1"/>
  <c r="C147" i="22"/>
  <c r="C204" i="22" s="1"/>
  <c r="B5" i="22"/>
  <c r="B89" i="22" s="1"/>
  <c r="D6" i="22"/>
  <c r="D90" i="22" s="1"/>
  <c r="E146" i="22"/>
  <c r="G152" i="22"/>
  <c r="G209" i="22" s="1"/>
  <c r="E3" i="22"/>
  <c r="B150" i="22"/>
  <c r="C156" i="22"/>
  <c r="C213" i="22" s="1"/>
  <c r="B11" i="22"/>
  <c r="G13" i="22"/>
  <c r="B8" i="22"/>
  <c r="B92" i="22" s="1"/>
  <c r="C11" i="22"/>
  <c r="C95" i="22" s="1"/>
  <c r="B10" i="22"/>
  <c r="B94" i="22" s="1"/>
  <c r="F13" i="22"/>
  <c r="E147" i="22"/>
  <c r="E204" i="22" s="1"/>
  <c r="B146" i="22"/>
  <c r="B203" i="22" s="1"/>
  <c r="F9" i="22"/>
  <c r="F6" i="22"/>
  <c r="F7" i="22"/>
  <c r="G3" i="22"/>
  <c r="G87" i="22" s="1"/>
  <c r="G145" i="22"/>
  <c r="F155" i="22"/>
  <c r="F212" i="22" s="1"/>
  <c r="G9" i="22"/>
  <c r="C152" i="22"/>
  <c r="C209" i="22" s="1"/>
  <c r="C7" i="22"/>
  <c r="C91" i="22" s="1"/>
  <c r="F150" i="22"/>
  <c r="F207" i="22" s="1"/>
  <c r="B154" i="22"/>
  <c r="B211" i="22" s="1"/>
  <c r="D153" i="22"/>
  <c r="D210" i="22" s="1"/>
  <c r="C6" i="22"/>
  <c r="C155" i="22"/>
  <c r="C212" i="22" s="1"/>
  <c r="D7" i="22"/>
  <c r="D91" i="22" s="1"/>
  <c r="G4" i="22"/>
  <c r="G88" i="22" s="1"/>
  <c r="D152" i="22"/>
  <c r="D209" i="22" s="1"/>
  <c r="D149" i="22"/>
  <c r="D206" i="22" s="1"/>
  <c r="D146" i="22"/>
  <c r="F146" i="22"/>
  <c r="F203" i="22" s="1"/>
  <c r="C150" i="22"/>
  <c r="F14" i="22"/>
  <c r="D12" i="22"/>
  <c r="D96" i="22" s="1"/>
  <c r="G150" i="22"/>
  <c r="G207" i="22" s="1"/>
  <c r="E149" i="22"/>
  <c r="E206" i="22" s="1"/>
  <c r="B153" i="22"/>
  <c r="B210" i="22" s="1"/>
  <c r="G156" i="22"/>
  <c r="G213" i="22" s="1"/>
  <c r="C146" i="22"/>
  <c r="C203" i="22" s="1"/>
  <c r="D154" i="22"/>
  <c r="D211" i="22" s="1"/>
  <c r="F154" i="22"/>
  <c r="F211" i="22" s="1"/>
  <c r="E7" i="22"/>
  <c r="E14" i="22"/>
  <c r="E98" i="22" s="1"/>
  <c r="G149" i="22"/>
  <c r="G206" i="22" s="1"/>
  <c r="D14" i="22"/>
  <c r="D98" i="22" s="1"/>
  <c r="G147" i="22"/>
  <c r="G204" i="22" s="1"/>
  <c r="F152" i="22"/>
  <c r="F209" i="22" s="1"/>
  <c r="F11" i="22"/>
  <c r="J11" i="22" s="1"/>
  <c r="C12" i="22"/>
  <c r="B145" i="22"/>
  <c r="G148" i="22"/>
  <c r="G205" i="22" s="1"/>
  <c r="B148" i="22"/>
  <c r="E151" i="22"/>
  <c r="E208" i="22" s="1"/>
  <c r="E150" i="22"/>
  <c r="B152" i="22"/>
  <c r="B209" i="22" s="1"/>
  <c r="D155" i="22"/>
  <c r="D212" i="22" s="1"/>
  <c r="C154" i="22"/>
  <c r="C211" i="22" s="1"/>
  <c r="E6" i="22"/>
  <c r="E90" i="22" s="1"/>
  <c r="F151" i="22"/>
  <c r="B7" i="22"/>
  <c r="B91" i="22" s="1"/>
  <c r="F8" i="22"/>
  <c r="G5" i="22"/>
  <c r="G12" i="22"/>
  <c r="G6" i="22"/>
  <c r="G90" i="22" s="1"/>
  <c r="F148" i="22"/>
  <c r="F205" i="22" s="1"/>
  <c r="F153" i="22"/>
  <c r="E5" i="22"/>
  <c r="E89" i="22" s="1"/>
  <c r="C149" i="22"/>
  <c r="C148" i="22"/>
  <c r="C205" i="22" s="1"/>
  <c r="B9" i="22"/>
  <c r="B93" i="22" s="1"/>
  <c r="G151" i="22"/>
  <c r="G208" i="22" s="1"/>
  <c r="G10" i="22"/>
  <c r="G94" i="22" s="1"/>
  <c r="B155" i="22"/>
  <c r="B212" i="22" s="1"/>
  <c r="D11" i="22"/>
  <c r="D95" i="22" s="1"/>
  <c r="B149" i="22"/>
  <c r="B206" i="22" s="1"/>
  <c r="G155" i="22"/>
  <c r="G212" i="22" s="1"/>
  <c r="B12" i="22"/>
  <c r="B96" i="22" s="1"/>
  <c r="E10" i="22"/>
  <c r="C10" i="22"/>
  <c r="C94" i="22" s="1"/>
  <c r="C13" i="22"/>
  <c r="C97" i="22" s="1"/>
  <c r="D5" i="22"/>
  <c r="D89" i="22" s="1"/>
  <c r="F4" i="22"/>
  <c r="J4" i="22" s="1"/>
  <c r="D150" i="22"/>
  <c r="D207" i="22" s="1"/>
  <c r="B147" i="22"/>
  <c r="B204" i="22" s="1"/>
  <c r="G14" i="22"/>
  <c r="G98" i="22" s="1"/>
  <c r="D4" i="22"/>
  <c r="D88" i="22" s="1"/>
  <c r="B13" i="22"/>
  <c r="B97" i="22" s="1"/>
  <c r="B151" i="22"/>
  <c r="B208" i="22" s="1"/>
  <c r="E156" i="22"/>
  <c r="E213" i="22" s="1"/>
  <c r="G146" i="22"/>
  <c r="G203" i="22" s="1"/>
  <c r="E9" i="22"/>
  <c r="E154" i="22"/>
  <c r="E211" i="22" s="1"/>
  <c r="E13" i="22"/>
  <c r="E97" i="22" s="1"/>
  <c r="E155" i="22"/>
  <c r="C151" i="22"/>
  <c r="C208" i="22" s="1"/>
  <c r="D9" i="22"/>
  <c r="D93" i="22" s="1"/>
  <c r="C14" i="22"/>
  <c r="C98" i="22" s="1"/>
  <c r="A159" i="28"/>
  <c r="J9" i="22" l="1"/>
  <c r="J12" i="22"/>
  <c r="J10" i="22"/>
  <c r="K8" i="22"/>
  <c r="K12" i="22"/>
  <c r="K11" i="22"/>
  <c r="H207" i="22"/>
  <c r="H89" i="22"/>
  <c r="E157" i="22"/>
  <c r="K14" i="22"/>
  <c r="K5" i="22"/>
  <c r="E57" i="22"/>
  <c r="J7" i="22"/>
  <c r="K9" i="22"/>
  <c r="K13" i="22"/>
  <c r="K3" i="22"/>
  <c r="H211" i="22"/>
  <c r="J8" i="22"/>
  <c r="J14" i="22"/>
  <c r="J6" i="22"/>
  <c r="J13" i="22"/>
  <c r="E87" i="22"/>
  <c r="E15" i="22"/>
  <c r="J5" i="22"/>
  <c r="J15" i="22" s="1"/>
  <c r="K10" i="22"/>
  <c r="K6" i="22"/>
  <c r="K7" i="22"/>
  <c r="E139" i="22"/>
  <c r="G198" i="22"/>
  <c r="B198" i="22"/>
  <c r="D198" i="22"/>
  <c r="E198" i="22"/>
  <c r="C206" i="22"/>
  <c r="B205" i="22"/>
  <c r="C207" i="22"/>
  <c r="G202" i="22"/>
  <c r="B95" i="22"/>
  <c r="I204" i="22"/>
  <c r="H212" i="22"/>
  <c r="H203" i="22"/>
  <c r="C198" i="22"/>
  <c r="H198" i="22"/>
  <c r="F208" i="22"/>
  <c r="E203" i="22"/>
  <c r="E202" i="22"/>
  <c r="I206" i="22"/>
  <c r="H93" i="22"/>
  <c r="I198" i="22"/>
  <c r="E212" i="22"/>
  <c r="E94" i="22"/>
  <c r="F210" i="22"/>
  <c r="G89" i="22"/>
  <c r="E207" i="22"/>
  <c r="B202" i="22"/>
  <c r="E91" i="22"/>
  <c r="D203" i="22"/>
  <c r="G93" i="22"/>
  <c r="B207" i="22"/>
  <c r="C89" i="22"/>
  <c r="B90" i="22"/>
  <c r="G211" i="22"/>
  <c r="C92" i="22"/>
  <c r="I203" i="22"/>
  <c r="H92" i="22"/>
  <c r="F198" i="22"/>
  <c r="G57" i="22"/>
  <c r="F88" i="22"/>
  <c r="F91" i="22"/>
  <c r="I93" i="22"/>
  <c r="I97" i="22"/>
  <c r="I87" i="22"/>
  <c r="F92" i="22"/>
  <c r="F98" i="22"/>
  <c r="F90" i="22"/>
  <c r="F97" i="22"/>
  <c r="F89" i="22"/>
  <c r="F202" i="22"/>
  <c r="F157" i="22"/>
  <c r="I94" i="22"/>
  <c r="I90" i="22"/>
  <c r="I91" i="22"/>
  <c r="F57" i="22"/>
  <c r="F95" i="22"/>
  <c r="F93" i="22"/>
  <c r="F96" i="22"/>
  <c r="F94" i="22"/>
  <c r="I92" i="22"/>
  <c r="I96" i="22"/>
  <c r="I95" i="22"/>
  <c r="F139" i="22"/>
  <c r="F15" i="22"/>
  <c r="I98" i="22"/>
  <c r="I88" i="22"/>
  <c r="I89" i="22"/>
  <c r="E88" i="22"/>
  <c r="F87" i="22"/>
  <c r="C96" i="22"/>
  <c r="G97" i="22"/>
  <c r="C90" i="22"/>
  <c r="E93" i="22"/>
  <c r="G96" i="22"/>
  <c r="B88" i="22"/>
  <c r="H96" i="22"/>
  <c r="H94" i="22"/>
  <c r="H57" i="22"/>
  <c r="H15" i="22"/>
  <c r="H139" i="22"/>
  <c r="H157" i="22"/>
  <c r="H98" i="22"/>
  <c r="H87" i="22"/>
  <c r="H91" i="22"/>
  <c r="H97" i="22"/>
  <c r="H90" i="22"/>
  <c r="E92" i="22"/>
  <c r="D57" i="22"/>
  <c r="B139" i="22"/>
  <c r="I157" i="22"/>
  <c r="I139" i="22"/>
  <c r="I57" i="22"/>
  <c r="G139" i="22"/>
  <c r="D139" i="22"/>
  <c r="C139" i="22"/>
  <c r="B57" i="22"/>
  <c r="C57" i="22"/>
  <c r="I15" i="22"/>
  <c r="C157" i="22"/>
  <c r="B157" i="22"/>
  <c r="D157" i="22"/>
  <c r="G157" i="22"/>
  <c r="C15" i="22"/>
  <c r="D15" i="22"/>
  <c r="B15" i="22"/>
  <c r="G15" i="22"/>
  <c r="K15" i="22" l="1"/>
  <c r="B12" i="32"/>
  <c r="B31" i="32" s="1"/>
  <c r="B6" i="32"/>
  <c r="B26" i="32" s="1"/>
  <c r="B5" i="32"/>
  <c r="B25" i="32" s="1"/>
  <c r="B13" i="32"/>
  <c r="B32" i="32" s="1"/>
  <c r="B9" i="32"/>
  <c r="B28" i="32" s="1"/>
  <c r="B7" i="32"/>
  <c r="B27" i="32" s="1"/>
  <c r="B10" i="32"/>
  <c r="B29" i="32" s="1"/>
  <c r="B11" i="32"/>
  <c r="B30" i="32" s="1"/>
  <c r="D56" i="32"/>
  <c r="F128" i="31" s="1"/>
  <c r="C41" i="32"/>
  <c r="E111" i="31" l="1"/>
  <c r="E99" i="31"/>
  <c r="E87" i="31"/>
  <c r="E75" i="31"/>
  <c r="D42" i="32"/>
  <c r="D37" i="32"/>
  <c r="D52" i="32"/>
  <c r="D41" i="32"/>
  <c r="F134" i="31" s="1"/>
  <c r="D55" i="32"/>
  <c r="D57" i="32"/>
  <c r="G58" i="32"/>
  <c r="G52" i="32"/>
  <c r="G57" i="32"/>
  <c r="G37" i="32"/>
  <c r="G54" i="32"/>
  <c r="I124" i="31" s="1"/>
  <c r="G41" i="32"/>
  <c r="G55" i="32"/>
  <c r="G42" i="32"/>
  <c r="G56" i="32"/>
  <c r="I128" i="31" s="1"/>
  <c r="F42" i="32"/>
  <c r="F54" i="32"/>
  <c r="H124" i="31" s="1"/>
  <c r="F58" i="32"/>
  <c r="F57" i="32"/>
  <c r="F52" i="32"/>
  <c r="F55" i="32"/>
  <c r="F37" i="32"/>
  <c r="F41" i="32"/>
  <c r="F56" i="32"/>
  <c r="H128" i="31" s="1"/>
  <c r="H37" i="32"/>
  <c r="D100" i="34"/>
  <c r="D104" i="34"/>
  <c r="D101" i="34"/>
  <c r="D105" i="34"/>
  <c r="D98" i="34"/>
  <c r="D102" i="34"/>
  <c r="D106" i="34"/>
  <c r="D99" i="34"/>
  <c r="D103" i="34"/>
  <c r="H54" i="32"/>
  <c r="H58" i="32"/>
  <c r="H52" i="32"/>
  <c r="H77" i="32"/>
  <c r="H57" i="32"/>
  <c r="H55" i="32"/>
  <c r="H41" i="32"/>
  <c r="H42" i="32"/>
  <c r="H56" i="32"/>
  <c r="F151" i="31"/>
  <c r="F142" i="31"/>
  <c r="F149" i="31"/>
  <c r="F133" i="31"/>
  <c r="F140" i="31"/>
  <c r="E150" i="31"/>
  <c r="E134" i="31"/>
  <c r="E141" i="31"/>
  <c r="C77" i="32"/>
  <c r="B77" i="32"/>
  <c r="I77" i="32"/>
  <c r="G77" i="32"/>
  <c r="D77" i="32"/>
  <c r="C57" i="32"/>
  <c r="B58" i="32"/>
  <c r="C55" i="32"/>
  <c r="C37" i="32"/>
  <c r="B56" i="32"/>
  <c r="D128" i="31" s="1"/>
  <c r="C42" i="32"/>
  <c r="C44" i="32" s="1"/>
  <c r="B55" i="32"/>
  <c r="B52" i="32"/>
  <c r="D58" i="32"/>
  <c r="C56" i="32"/>
  <c r="E128" i="31" s="1"/>
  <c r="C58" i="32"/>
  <c r="C52" i="32"/>
  <c r="C41" i="34" l="1"/>
  <c r="C38" i="34"/>
  <c r="C42" i="34"/>
  <c r="C39" i="34"/>
  <c r="C43" i="34"/>
  <c r="C40" i="34"/>
  <c r="O55" i="32"/>
  <c r="P55" i="32"/>
  <c r="P58" i="32"/>
  <c r="O58" i="32"/>
  <c r="J128" i="31"/>
  <c r="O56" i="32"/>
  <c r="P56" i="32"/>
  <c r="O57" i="32"/>
  <c r="P57" i="32"/>
  <c r="J124" i="31"/>
  <c r="P54" i="32"/>
  <c r="O54" i="32"/>
  <c r="P42" i="32"/>
  <c r="O42" i="32"/>
  <c r="P41" i="32"/>
  <c r="O41" i="32"/>
  <c r="O52" i="32"/>
  <c r="P52" i="32"/>
  <c r="O37" i="32"/>
  <c r="P37" i="32"/>
  <c r="F52" i="34"/>
  <c r="F50" i="34"/>
  <c r="F48" i="34"/>
  <c r="F51" i="34"/>
  <c r="F49" i="34"/>
  <c r="F47" i="34"/>
  <c r="G52" i="34"/>
  <c r="G50" i="34"/>
  <c r="G48" i="34"/>
  <c r="G51" i="34"/>
  <c r="G49" i="34"/>
  <c r="G47" i="34"/>
  <c r="D51" i="34"/>
  <c r="D49" i="34"/>
  <c r="D47" i="34"/>
  <c r="D52" i="34"/>
  <c r="D50" i="34"/>
  <c r="D48" i="34"/>
  <c r="C52" i="34"/>
  <c r="C50" i="34"/>
  <c r="C48" i="34"/>
  <c r="C51" i="34"/>
  <c r="C49" i="34"/>
  <c r="C47" i="34"/>
  <c r="H51" i="34"/>
  <c r="H49" i="34"/>
  <c r="H47" i="34"/>
  <c r="H52" i="34"/>
  <c r="H50" i="34"/>
  <c r="H48" i="34"/>
  <c r="H113" i="31"/>
  <c r="H102" i="31"/>
  <c r="H90" i="31"/>
  <c r="H78" i="31"/>
  <c r="H111" i="31"/>
  <c r="H87" i="31"/>
  <c r="H99" i="31"/>
  <c r="H75" i="31"/>
  <c r="F39" i="32"/>
  <c r="H110" i="31"/>
  <c r="H85" i="31"/>
  <c r="H97" i="31"/>
  <c r="H73" i="31"/>
  <c r="I111" i="31"/>
  <c r="I87" i="31"/>
  <c r="I99" i="31"/>
  <c r="I75" i="31"/>
  <c r="I113" i="31"/>
  <c r="I90" i="31"/>
  <c r="I102" i="31"/>
  <c r="I78" i="31"/>
  <c r="F111" i="31"/>
  <c r="F87" i="31"/>
  <c r="F99" i="31"/>
  <c r="F75" i="31"/>
  <c r="E89" i="31"/>
  <c r="E101" i="31"/>
  <c r="E77" i="31"/>
  <c r="D113" i="31"/>
  <c r="D102" i="31"/>
  <c r="D90" i="31"/>
  <c r="D78" i="31"/>
  <c r="J113" i="31"/>
  <c r="J102" i="31"/>
  <c r="J90" i="31"/>
  <c r="J78" i="31"/>
  <c r="F113" i="31"/>
  <c r="F90" i="31"/>
  <c r="F102" i="31"/>
  <c r="F78" i="31"/>
  <c r="E113" i="31"/>
  <c r="E90" i="31"/>
  <c r="E102" i="31"/>
  <c r="E78" i="31"/>
  <c r="C39" i="32"/>
  <c r="E110" i="31"/>
  <c r="E97" i="31"/>
  <c r="E85" i="31"/>
  <c r="E73" i="31"/>
  <c r="J111" i="31"/>
  <c r="J87" i="31"/>
  <c r="J99" i="31"/>
  <c r="J75" i="31"/>
  <c r="F40" i="32"/>
  <c r="G39" i="32"/>
  <c r="I110" i="31"/>
  <c r="I85" i="31"/>
  <c r="I97" i="31"/>
  <c r="I73" i="31"/>
  <c r="D39" i="32"/>
  <c r="F110" i="31"/>
  <c r="F97" i="31"/>
  <c r="F85" i="31"/>
  <c r="F73" i="31"/>
  <c r="H39" i="32"/>
  <c r="J110" i="31"/>
  <c r="J85" i="31"/>
  <c r="J97" i="31"/>
  <c r="J73" i="31"/>
  <c r="B81" i="32"/>
  <c r="B86" i="32"/>
  <c r="D82" i="32"/>
  <c r="D86" i="32"/>
  <c r="C85" i="32"/>
  <c r="C86" i="32"/>
  <c r="G84" i="32"/>
  <c r="G86" i="32"/>
  <c r="F83" i="32"/>
  <c r="F86" i="32"/>
  <c r="I83" i="32"/>
  <c r="I86" i="32"/>
  <c r="E82" i="32"/>
  <c r="E86" i="32"/>
  <c r="H84" i="32"/>
  <c r="H86" i="32"/>
  <c r="D43" i="32"/>
  <c r="D92" i="34" s="1"/>
  <c r="D45" i="32"/>
  <c r="F150" i="31"/>
  <c r="D44" i="32"/>
  <c r="F141" i="31"/>
  <c r="F153" i="31"/>
  <c r="F144" i="31"/>
  <c r="E58" i="32"/>
  <c r="I140" i="31"/>
  <c r="I133" i="31"/>
  <c r="G98" i="34"/>
  <c r="G103" i="34"/>
  <c r="I149" i="31"/>
  <c r="G101" i="34"/>
  <c r="G102" i="34"/>
  <c r="G105" i="34"/>
  <c r="G106" i="34"/>
  <c r="G100" i="34"/>
  <c r="G99" i="34"/>
  <c r="G104" i="34"/>
  <c r="I142" i="31"/>
  <c r="I151" i="31"/>
  <c r="I125" i="31"/>
  <c r="G43" i="32"/>
  <c r="I141" i="31"/>
  <c r="G44" i="32"/>
  <c r="G45" i="32"/>
  <c r="I134" i="31"/>
  <c r="I150" i="31"/>
  <c r="I127" i="31"/>
  <c r="I144" i="31"/>
  <c r="I153" i="31"/>
  <c r="H82" i="32"/>
  <c r="H134" i="31"/>
  <c r="F43" i="32"/>
  <c r="F44" i="32"/>
  <c r="H150" i="31"/>
  <c r="F45" i="32"/>
  <c r="H141" i="31"/>
  <c r="H140" i="31"/>
  <c r="F106" i="34"/>
  <c r="F104" i="34"/>
  <c r="H149" i="31"/>
  <c r="F99" i="34"/>
  <c r="F101" i="34"/>
  <c r="F98" i="34"/>
  <c r="F103" i="34"/>
  <c r="F105" i="34"/>
  <c r="F102" i="34"/>
  <c r="F100" i="34"/>
  <c r="H133" i="31"/>
  <c r="H153" i="31"/>
  <c r="H127" i="31"/>
  <c r="H144" i="31"/>
  <c r="H151" i="31"/>
  <c r="H142" i="31"/>
  <c r="H125" i="31"/>
  <c r="E41" i="32"/>
  <c r="O144" i="37"/>
  <c r="E55" i="32"/>
  <c r="X144" i="37"/>
  <c r="E37" i="32"/>
  <c r="E52" i="32"/>
  <c r="E56" i="32"/>
  <c r="E42" i="32"/>
  <c r="E54" i="32"/>
  <c r="E57" i="32"/>
  <c r="C101" i="34"/>
  <c r="C105" i="34"/>
  <c r="C98" i="34"/>
  <c r="C102" i="34"/>
  <c r="C106" i="34"/>
  <c r="C99" i="34"/>
  <c r="C103" i="34"/>
  <c r="C100" i="34"/>
  <c r="C104" i="34"/>
  <c r="H83" i="32"/>
  <c r="H81" i="32"/>
  <c r="J144" i="31"/>
  <c r="J153" i="31"/>
  <c r="J127" i="31"/>
  <c r="H85" i="32"/>
  <c r="J151" i="31"/>
  <c r="J125" i="31"/>
  <c r="J142" i="31"/>
  <c r="D88" i="34"/>
  <c r="D86" i="34"/>
  <c r="D91" i="34"/>
  <c r="H45" i="32"/>
  <c r="H43" i="32"/>
  <c r="H44" i="32"/>
  <c r="J141" i="31"/>
  <c r="J134" i="31"/>
  <c r="J150" i="31"/>
  <c r="H100" i="34"/>
  <c r="H104" i="34"/>
  <c r="H101" i="34"/>
  <c r="H105" i="34"/>
  <c r="H98" i="34"/>
  <c r="H102" i="34"/>
  <c r="H106" i="34"/>
  <c r="H99" i="34"/>
  <c r="H103" i="34"/>
  <c r="J140" i="31"/>
  <c r="J149" i="31"/>
  <c r="J133" i="31"/>
  <c r="I42" i="32"/>
  <c r="K142" i="31" s="1"/>
  <c r="I52" i="32"/>
  <c r="I56" i="32"/>
  <c r="P144" i="37"/>
  <c r="I37" i="32"/>
  <c r="I57" i="32"/>
  <c r="I55" i="32"/>
  <c r="Y144" i="37"/>
  <c r="I58" i="32"/>
  <c r="C45" i="32"/>
  <c r="E142" i="31"/>
  <c r="E151" i="31"/>
  <c r="E144" i="31"/>
  <c r="E153" i="31"/>
  <c r="D153" i="31"/>
  <c r="D144" i="31"/>
  <c r="F135" i="31"/>
  <c r="F143" i="31"/>
  <c r="F124" i="31"/>
  <c r="F125" i="31"/>
  <c r="F152" i="31"/>
  <c r="F123" i="31"/>
  <c r="F127" i="31"/>
  <c r="E133" i="31"/>
  <c r="E140" i="31"/>
  <c r="E149" i="31"/>
  <c r="K150" i="31"/>
  <c r="K134" i="31"/>
  <c r="K141" i="31"/>
  <c r="K140" i="31"/>
  <c r="D81" i="32"/>
  <c r="E81" i="32"/>
  <c r="E84" i="32"/>
  <c r="C81" i="32"/>
  <c r="E85" i="32"/>
  <c r="E83" i="32"/>
  <c r="D85" i="32"/>
  <c r="B84" i="32"/>
  <c r="G85" i="32"/>
  <c r="I84" i="32"/>
  <c r="C83" i="32"/>
  <c r="C84" i="32"/>
  <c r="C82" i="32"/>
  <c r="F81" i="32"/>
  <c r="B82" i="32"/>
  <c r="D84" i="32"/>
  <c r="B83" i="32"/>
  <c r="B85" i="32"/>
  <c r="I81" i="32"/>
  <c r="G82" i="32"/>
  <c r="F84" i="32"/>
  <c r="D83" i="32"/>
  <c r="I82" i="32"/>
  <c r="F82" i="32"/>
  <c r="G81" i="32"/>
  <c r="F85" i="32"/>
  <c r="I85" i="32"/>
  <c r="G83" i="32"/>
  <c r="B57" i="32"/>
  <c r="Q12" i="32"/>
  <c r="C43" i="32"/>
  <c r="B37" i="32"/>
  <c r="Q3" i="32"/>
  <c r="B41" i="32"/>
  <c r="Q5" i="32"/>
  <c r="Q6" i="32"/>
  <c r="B42" i="32"/>
  <c r="K57" i="32" l="1"/>
  <c r="J57" i="32"/>
  <c r="K52" i="32"/>
  <c r="J52" i="32"/>
  <c r="E87" i="32"/>
  <c r="K54" i="32"/>
  <c r="M124" i="31" s="1"/>
  <c r="J54" i="32"/>
  <c r="L124" i="31" s="1"/>
  <c r="K37" i="32"/>
  <c r="J37" i="32"/>
  <c r="K41" i="32"/>
  <c r="J41" i="32"/>
  <c r="K42" i="32"/>
  <c r="J42" i="32"/>
  <c r="K56" i="32"/>
  <c r="M128" i="31" s="1"/>
  <c r="J56" i="32"/>
  <c r="L128" i="31" s="1"/>
  <c r="K55" i="32"/>
  <c r="J55" i="32"/>
  <c r="K58" i="32"/>
  <c r="J58" i="32"/>
  <c r="F87" i="32"/>
  <c r="D40" i="32"/>
  <c r="D60" i="32" s="1"/>
  <c r="D63" i="32" s="1"/>
  <c r="D66" i="32"/>
  <c r="F92" i="31" s="1"/>
  <c r="E82" i="37"/>
  <c r="G40" i="32"/>
  <c r="G60" i="32" s="1"/>
  <c r="G66" i="32"/>
  <c r="L82" i="37"/>
  <c r="C82" i="37"/>
  <c r="U82" i="37"/>
  <c r="C2" i="37"/>
  <c r="F60" i="32"/>
  <c r="F63" i="32" s="1"/>
  <c r="H66" i="32"/>
  <c r="H60" i="34" s="1"/>
  <c r="C40" i="32"/>
  <c r="C60" i="32" s="1"/>
  <c r="C66" i="32"/>
  <c r="F66" i="32"/>
  <c r="C144" i="37" s="1"/>
  <c r="G38" i="34"/>
  <c r="G40" i="34"/>
  <c r="G41" i="34"/>
  <c r="G39" i="34"/>
  <c r="G42" i="34"/>
  <c r="G43" i="34"/>
  <c r="AF104" i="37"/>
  <c r="H40" i="34"/>
  <c r="H41" i="34"/>
  <c r="H38" i="34"/>
  <c r="H42" i="34"/>
  <c r="H43" i="34"/>
  <c r="H39" i="34"/>
  <c r="AD104" i="37"/>
  <c r="F38" i="34"/>
  <c r="F40" i="34"/>
  <c r="F39" i="34"/>
  <c r="F42" i="34"/>
  <c r="F41" i="34"/>
  <c r="F43" i="34"/>
  <c r="D43" i="34"/>
  <c r="D41" i="34"/>
  <c r="D42" i="34"/>
  <c r="D39" i="34"/>
  <c r="D40" i="34"/>
  <c r="D38" i="34"/>
  <c r="C22" i="37"/>
  <c r="O73" i="31"/>
  <c r="O97" i="31"/>
  <c r="O85" i="31"/>
  <c r="O75" i="31"/>
  <c r="O87" i="31"/>
  <c r="O99" i="31"/>
  <c r="O78" i="31"/>
  <c r="O90" i="31"/>
  <c r="O102" i="31"/>
  <c r="M47" i="34"/>
  <c r="M51" i="34"/>
  <c r="M48" i="34"/>
  <c r="M52" i="34"/>
  <c r="M50" i="34"/>
  <c r="M49" i="34"/>
  <c r="N99" i="31"/>
  <c r="N75" i="31"/>
  <c r="N87" i="31"/>
  <c r="O44" i="32"/>
  <c r="W82" i="37" s="1"/>
  <c r="P44" i="32"/>
  <c r="N82" i="37" s="1"/>
  <c r="N85" i="31"/>
  <c r="N97" i="31"/>
  <c r="N73" i="31"/>
  <c r="L52" i="34"/>
  <c r="L48" i="34"/>
  <c r="L49" i="34"/>
  <c r="L51" i="34"/>
  <c r="L47" i="34"/>
  <c r="L50" i="34"/>
  <c r="O43" i="32"/>
  <c r="P43" i="32"/>
  <c r="E103" i="37"/>
  <c r="W22" i="37"/>
  <c r="L103" i="37"/>
  <c r="U103" i="37"/>
  <c r="O110" i="31"/>
  <c r="N110" i="31"/>
  <c r="N111" i="31"/>
  <c r="O111" i="31"/>
  <c r="P45" i="32"/>
  <c r="O45" i="32"/>
  <c r="C103" i="37"/>
  <c r="U22" i="37"/>
  <c r="O39" i="32"/>
  <c r="P39" i="32"/>
  <c r="O113" i="31"/>
  <c r="N113" i="31"/>
  <c r="N90" i="31"/>
  <c r="N102" i="31"/>
  <c r="N78" i="31"/>
  <c r="F126" i="31"/>
  <c r="D87" i="34"/>
  <c r="D93" i="34"/>
  <c r="D61" i="32"/>
  <c r="D62" i="32"/>
  <c r="F147" i="31" s="1"/>
  <c r="D94" i="34"/>
  <c r="D89" i="34"/>
  <c r="D90" i="34"/>
  <c r="G34" i="34"/>
  <c r="G32" i="34"/>
  <c r="G30" i="34"/>
  <c r="G33" i="34"/>
  <c r="G31" i="34"/>
  <c r="G29" i="34"/>
  <c r="D33" i="34"/>
  <c r="D31" i="34"/>
  <c r="D29" i="34"/>
  <c r="D34" i="34"/>
  <c r="D32" i="34"/>
  <c r="D30" i="34"/>
  <c r="B52" i="34"/>
  <c r="B50" i="34"/>
  <c r="B48" i="34"/>
  <c r="B51" i="34"/>
  <c r="B49" i="34"/>
  <c r="B47" i="34"/>
  <c r="I51" i="34"/>
  <c r="I49" i="34"/>
  <c r="I47" i="34"/>
  <c r="I52" i="34"/>
  <c r="I50" i="34"/>
  <c r="I48" i="34"/>
  <c r="F34" i="34"/>
  <c r="F32" i="34"/>
  <c r="F30" i="34"/>
  <c r="F33" i="34"/>
  <c r="F31" i="34"/>
  <c r="F29" i="34"/>
  <c r="C34" i="34"/>
  <c r="C32" i="34"/>
  <c r="C30" i="34"/>
  <c r="C33" i="34"/>
  <c r="C31" i="34"/>
  <c r="C29" i="34"/>
  <c r="H33" i="34"/>
  <c r="H31" i="34"/>
  <c r="H29" i="34"/>
  <c r="H34" i="34"/>
  <c r="H32" i="34"/>
  <c r="H30" i="34"/>
  <c r="E51" i="34"/>
  <c r="E49" i="34"/>
  <c r="E47" i="34"/>
  <c r="E52" i="34"/>
  <c r="E50" i="34"/>
  <c r="E48" i="34"/>
  <c r="H89" i="31"/>
  <c r="H101" i="31"/>
  <c r="H77" i="31"/>
  <c r="H112" i="31"/>
  <c r="H100" i="31"/>
  <c r="H88" i="31"/>
  <c r="H76" i="31"/>
  <c r="H98" i="31"/>
  <c r="H86" i="31"/>
  <c r="H74" i="31"/>
  <c r="E86" i="31"/>
  <c r="G113" i="31"/>
  <c r="G90" i="31"/>
  <c r="G102" i="31"/>
  <c r="G78" i="31"/>
  <c r="I89" i="31"/>
  <c r="I101" i="31"/>
  <c r="I77" i="31"/>
  <c r="D48" i="32"/>
  <c r="F112" i="31"/>
  <c r="F100" i="31"/>
  <c r="F88" i="31"/>
  <c r="F76" i="31"/>
  <c r="D111" i="31"/>
  <c r="D99" i="31"/>
  <c r="D87" i="31"/>
  <c r="D75" i="31"/>
  <c r="B39" i="32"/>
  <c r="D110" i="31"/>
  <c r="D97" i="31"/>
  <c r="D85" i="31"/>
  <c r="D73" i="31"/>
  <c r="K110" i="31"/>
  <c r="K97" i="31"/>
  <c r="K85" i="31"/>
  <c r="K73" i="31"/>
  <c r="W2" i="37"/>
  <c r="J89" i="31"/>
  <c r="J101" i="31"/>
  <c r="J77" i="31"/>
  <c r="F101" i="31"/>
  <c r="F89" i="31"/>
  <c r="F77" i="31"/>
  <c r="H40" i="32"/>
  <c r="H38" i="38" s="1"/>
  <c r="C48" i="32"/>
  <c r="E112" i="31"/>
  <c r="E100" i="31"/>
  <c r="E88" i="31"/>
  <c r="E76" i="31"/>
  <c r="K153" i="31"/>
  <c r="K113" i="31"/>
  <c r="K102" i="31"/>
  <c r="K90" i="31"/>
  <c r="K78" i="31"/>
  <c r="J115" i="31"/>
  <c r="J104" i="31"/>
  <c r="J92" i="31"/>
  <c r="J80" i="31"/>
  <c r="H48" i="32"/>
  <c r="J112" i="31"/>
  <c r="J88" i="31"/>
  <c r="J100" i="31"/>
  <c r="J76" i="31"/>
  <c r="E39" i="32"/>
  <c r="G110" i="31"/>
  <c r="G85" i="31"/>
  <c r="G97" i="31"/>
  <c r="G73" i="31"/>
  <c r="G111" i="31"/>
  <c r="G99" i="31"/>
  <c r="G87" i="31"/>
  <c r="G75" i="31"/>
  <c r="U2" i="37"/>
  <c r="G48" i="32"/>
  <c r="I112" i="31"/>
  <c r="I88" i="31"/>
  <c r="I100" i="31"/>
  <c r="I76" i="31"/>
  <c r="F74" i="31"/>
  <c r="F48" i="32"/>
  <c r="K149" i="31"/>
  <c r="I39" i="32"/>
  <c r="J85" i="32"/>
  <c r="J86" i="32"/>
  <c r="I45" i="32"/>
  <c r="I43" i="32"/>
  <c r="K151" i="31"/>
  <c r="K133" i="31"/>
  <c r="I135" i="31"/>
  <c r="G86" i="34"/>
  <c r="G87" i="34"/>
  <c r="G92" i="34"/>
  <c r="I143" i="31"/>
  <c r="G61" i="32"/>
  <c r="G89" i="34"/>
  <c r="G90" i="34"/>
  <c r="G91" i="34"/>
  <c r="I126" i="31"/>
  <c r="G93" i="34"/>
  <c r="G94" i="34"/>
  <c r="G62" i="32"/>
  <c r="I152" i="31"/>
  <c r="G88" i="34"/>
  <c r="I123" i="31"/>
  <c r="F87" i="34"/>
  <c r="F89" i="34"/>
  <c r="H123" i="31"/>
  <c r="F61" i="32"/>
  <c r="F86" i="34"/>
  <c r="F91" i="34"/>
  <c r="F93" i="34"/>
  <c r="H143" i="31"/>
  <c r="F90" i="34"/>
  <c r="F88" i="34"/>
  <c r="F62" i="32"/>
  <c r="F94" i="34"/>
  <c r="F92" i="34"/>
  <c r="H126" i="31"/>
  <c r="H152" i="31"/>
  <c r="H135" i="31"/>
  <c r="G151" i="31"/>
  <c r="G125" i="31"/>
  <c r="G142" i="31"/>
  <c r="G144" i="31"/>
  <c r="G127" i="31"/>
  <c r="G153" i="31"/>
  <c r="G124" i="31"/>
  <c r="G128" i="31"/>
  <c r="E100" i="34"/>
  <c r="E98" i="34"/>
  <c r="E104" i="34"/>
  <c r="E102" i="34"/>
  <c r="G133" i="31"/>
  <c r="E99" i="34"/>
  <c r="E101" i="34"/>
  <c r="E106" i="34"/>
  <c r="E103" i="34"/>
  <c r="E105" i="34"/>
  <c r="G140" i="31"/>
  <c r="G149" i="31"/>
  <c r="G141" i="31"/>
  <c r="G150" i="31"/>
  <c r="G134" i="31"/>
  <c r="E44" i="32"/>
  <c r="E43" i="32"/>
  <c r="E45" i="32"/>
  <c r="K144" i="31"/>
  <c r="C89" i="34"/>
  <c r="C93" i="34"/>
  <c r="C86" i="34"/>
  <c r="C90" i="34"/>
  <c r="C94" i="34"/>
  <c r="C87" i="34"/>
  <c r="C91" i="34"/>
  <c r="C88" i="34"/>
  <c r="C92" i="34"/>
  <c r="J135" i="31"/>
  <c r="H87" i="32"/>
  <c r="J137" i="31"/>
  <c r="J156" i="31"/>
  <c r="J146" i="31"/>
  <c r="H88" i="34"/>
  <c r="H92" i="34"/>
  <c r="H89" i="34"/>
  <c r="H93" i="34"/>
  <c r="H86" i="34"/>
  <c r="H90" i="34"/>
  <c r="H94" i="34"/>
  <c r="H87" i="34"/>
  <c r="H91" i="34"/>
  <c r="H61" i="32"/>
  <c r="H62" i="32"/>
  <c r="J123" i="31"/>
  <c r="J126" i="31"/>
  <c r="J152" i="31"/>
  <c r="J143" i="31"/>
  <c r="B98" i="34"/>
  <c r="B102" i="34"/>
  <c r="B106" i="34"/>
  <c r="B99" i="34"/>
  <c r="B103" i="34"/>
  <c r="B100" i="34"/>
  <c r="B104" i="34"/>
  <c r="B101" i="34"/>
  <c r="B105" i="34"/>
  <c r="I99" i="34"/>
  <c r="I103" i="34"/>
  <c r="I100" i="34"/>
  <c r="I104" i="34"/>
  <c r="I101" i="34"/>
  <c r="I105" i="34"/>
  <c r="I98" i="34"/>
  <c r="I102" i="34"/>
  <c r="I106" i="34"/>
  <c r="B44" i="32"/>
  <c r="J83" i="32"/>
  <c r="J84" i="32"/>
  <c r="J81" i="32"/>
  <c r="J82" i="32"/>
  <c r="K128" i="31"/>
  <c r="I44" i="32"/>
  <c r="D151" i="31"/>
  <c r="D142" i="31"/>
  <c r="C62" i="32"/>
  <c r="E125" i="31"/>
  <c r="E143" i="31"/>
  <c r="E126" i="31"/>
  <c r="E152" i="31"/>
  <c r="E123" i="31"/>
  <c r="E127" i="31"/>
  <c r="E135" i="31"/>
  <c r="E124" i="31"/>
  <c r="K124" i="31"/>
  <c r="K125" i="31"/>
  <c r="K127" i="31"/>
  <c r="F137" i="31"/>
  <c r="F138" i="31"/>
  <c r="D134" i="31"/>
  <c r="D141" i="31"/>
  <c r="D150" i="31"/>
  <c r="D149" i="31"/>
  <c r="D133" i="31"/>
  <c r="D140" i="31"/>
  <c r="B45" i="32"/>
  <c r="B87" i="32"/>
  <c r="I87" i="32"/>
  <c r="G87" i="32"/>
  <c r="D87" i="32"/>
  <c r="C87" i="32"/>
  <c r="C61" i="32"/>
  <c r="B43" i="32"/>
  <c r="H61" i="34" l="1"/>
  <c r="M142" i="31"/>
  <c r="M151" i="31"/>
  <c r="M125" i="31"/>
  <c r="M140" i="31"/>
  <c r="M149" i="31"/>
  <c r="M133" i="31"/>
  <c r="L144" i="31"/>
  <c r="L153" i="31"/>
  <c r="L141" i="31"/>
  <c r="L150" i="31"/>
  <c r="L134" i="31"/>
  <c r="M153" i="31"/>
  <c r="M144" i="31"/>
  <c r="J87" i="32"/>
  <c r="M150" i="31"/>
  <c r="M134" i="31"/>
  <c r="M141" i="31"/>
  <c r="K43" i="32"/>
  <c r="J43" i="32"/>
  <c r="L125" i="31"/>
  <c r="L142" i="31"/>
  <c r="L151" i="31"/>
  <c r="L140" i="31"/>
  <c r="L149" i="31"/>
  <c r="L133" i="31"/>
  <c r="I74" i="31"/>
  <c r="F157" i="31"/>
  <c r="E74" i="31"/>
  <c r="F86" i="31"/>
  <c r="I86" i="31"/>
  <c r="F98" i="31"/>
  <c r="H41" i="38"/>
  <c r="E62" i="37"/>
  <c r="E98" i="31"/>
  <c r="I98" i="31"/>
  <c r="F156" i="31"/>
  <c r="F80" i="31"/>
  <c r="F104" i="31"/>
  <c r="F146" i="31"/>
  <c r="F115" i="31"/>
  <c r="E42" i="37"/>
  <c r="H56" i="34"/>
  <c r="H57" i="34"/>
  <c r="H58" i="34"/>
  <c r="H59" i="34"/>
  <c r="G37" i="38"/>
  <c r="C37" i="38"/>
  <c r="H40" i="38"/>
  <c r="F37" i="38"/>
  <c r="H37" i="38"/>
  <c r="E37" i="38"/>
  <c r="H36" i="38"/>
  <c r="D37" i="38"/>
  <c r="L22" i="37"/>
  <c r="M82" i="37"/>
  <c r="D82" i="37"/>
  <c r="V82" i="37"/>
  <c r="E144" i="37"/>
  <c r="P66" i="32"/>
  <c r="O80" i="31" s="1"/>
  <c r="O66" i="32"/>
  <c r="N92" i="31" s="1"/>
  <c r="E66" i="32"/>
  <c r="B144" i="37" s="1"/>
  <c r="E22" i="37"/>
  <c r="H60" i="32"/>
  <c r="B40" i="32"/>
  <c r="B60" i="32" s="1"/>
  <c r="B66" i="32"/>
  <c r="B82" i="37"/>
  <c r="K82" i="37"/>
  <c r="T82" i="37"/>
  <c r="I66" i="32"/>
  <c r="D144" i="37" s="1"/>
  <c r="C42" i="37"/>
  <c r="C62" i="37"/>
  <c r="AC104" i="37"/>
  <c r="E40" i="34"/>
  <c r="E41" i="34"/>
  <c r="E42" i="34"/>
  <c r="E38" i="34"/>
  <c r="E39" i="34"/>
  <c r="E43" i="34"/>
  <c r="D56" i="34"/>
  <c r="D40" i="38"/>
  <c r="G41" i="38"/>
  <c r="C40" i="38"/>
  <c r="C41" i="38"/>
  <c r="D41" i="38"/>
  <c r="E40" i="38"/>
  <c r="E41" i="38"/>
  <c r="F40" i="38"/>
  <c r="F41" i="38"/>
  <c r="G40" i="38"/>
  <c r="F38" i="38"/>
  <c r="G36" i="38"/>
  <c r="D36" i="38"/>
  <c r="G38" i="38"/>
  <c r="D38" i="38"/>
  <c r="E36" i="38"/>
  <c r="C36" i="38"/>
  <c r="E38" i="38"/>
  <c r="F36" i="38"/>
  <c r="C38" i="38"/>
  <c r="AE104" i="37"/>
  <c r="I40" i="34"/>
  <c r="I38" i="34"/>
  <c r="I39" i="34"/>
  <c r="I43" i="34"/>
  <c r="I42" i="34"/>
  <c r="I41" i="34"/>
  <c r="E2" i="37"/>
  <c r="M40" i="34"/>
  <c r="M39" i="34"/>
  <c r="M42" i="34"/>
  <c r="M41" i="34"/>
  <c r="M38" i="34"/>
  <c r="M43" i="34"/>
  <c r="B39" i="34"/>
  <c r="B41" i="34"/>
  <c r="B38" i="34"/>
  <c r="B43" i="34"/>
  <c r="B40" i="34"/>
  <c r="B42" i="34"/>
  <c r="L40" i="34"/>
  <c r="L38" i="34"/>
  <c r="L39" i="34"/>
  <c r="L43" i="34"/>
  <c r="L42" i="34"/>
  <c r="L41" i="34"/>
  <c r="L42" i="37"/>
  <c r="U42" i="37"/>
  <c r="L62" i="37"/>
  <c r="U62" i="37"/>
  <c r="O77" i="31"/>
  <c r="O89" i="31"/>
  <c r="N42" i="37" s="1"/>
  <c r="O101" i="31"/>
  <c r="N62" i="37" s="1"/>
  <c r="N103" i="37"/>
  <c r="O76" i="31"/>
  <c r="O88" i="31"/>
  <c r="O100" i="31"/>
  <c r="K44" i="32"/>
  <c r="B103" i="37"/>
  <c r="T22" i="37"/>
  <c r="N112" i="31"/>
  <c r="O112" i="31"/>
  <c r="N88" i="31"/>
  <c r="N100" i="31"/>
  <c r="N76" i="31"/>
  <c r="L33" i="34"/>
  <c r="L31" i="34"/>
  <c r="L30" i="34"/>
  <c r="L34" i="34"/>
  <c r="L32" i="34"/>
  <c r="L29" i="34"/>
  <c r="V103" i="37"/>
  <c r="M103" i="37"/>
  <c r="P62" i="32"/>
  <c r="O62" i="32"/>
  <c r="K103" i="37"/>
  <c r="T103" i="37"/>
  <c r="D103" i="37"/>
  <c r="V22" i="37"/>
  <c r="O48" i="32"/>
  <c r="P48" i="32"/>
  <c r="N115" i="31"/>
  <c r="O115" i="31"/>
  <c r="O40" i="32"/>
  <c r="P40" i="32"/>
  <c r="N89" i="31"/>
  <c r="W42" i="37" s="1"/>
  <c r="N101" i="31"/>
  <c r="W62" i="37" s="1"/>
  <c r="N77" i="31"/>
  <c r="W103" i="37"/>
  <c r="P61" i="32"/>
  <c r="O61" i="32"/>
  <c r="M31" i="34"/>
  <c r="M30" i="34"/>
  <c r="M32" i="34"/>
  <c r="M29" i="34"/>
  <c r="M33" i="34"/>
  <c r="M34" i="34"/>
  <c r="D57" i="34"/>
  <c r="D58" i="34"/>
  <c r="D59" i="34"/>
  <c r="D60" i="34"/>
  <c r="D61" i="34"/>
  <c r="C61" i="34"/>
  <c r="C59" i="34"/>
  <c r="C57" i="34"/>
  <c r="C60" i="34"/>
  <c r="C58" i="34"/>
  <c r="C56" i="34"/>
  <c r="J52" i="34"/>
  <c r="J50" i="34"/>
  <c r="J48" i="34"/>
  <c r="J51" i="34"/>
  <c r="J49" i="34"/>
  <c r="J47" i="34"/>
  <c r="I33" i="34"/>
  <c r="I31" i="34"/>
  <c r="I29" i="34"/>
  <c r="I34" i="34"/>
  <c r="I32" i="34"/>
  <c r="I30" i="34"/>
  <c r="G61" i="34"/>
  <c r="G59" i="34"/>
  <c r="G57" i="34"/>
  <c r="G60" i="34"/>
  <c r="G58" i="34"/>
  <c r="G56" i="34"/>
  <c r="K52" i="34"/>
  <c r="K50" i="34"/>
  <c r="K48" i="34"/>
  <c r="K51" i="34"/>
  <c r="K49" i="34"/>
  <c r="K47" i="34"/>
  <c r="F61" i="34"/>
  <c r="F59" i="34"/>
  <c r="F57" i="34"/>
  <c r="F60" i="34"/>
  <c r="F58" i="34"/>
  <c r="F56" i="34"/>
  <c r="B34" i="34"/>
  <c r="B32" i="34"/>
  <c r="B30" i="34"/>
  <c r="B33" i="34"/>
  <c r="B31" i="34"/>
  <c r="B29" i="34"/>
  <c r="E33" i="34"/>
  <c r="E31" i="34"/>
  <c r="E29" i="34"/>
  <c r="E34" i="34"/>
  <c r="E32" i="34"/>
  <c r="E30" i="34"/>
  <c r="J39" i="32"/>
  <c r="L110" i="31"/>
  <c r="L85" i="31"/>
  <c r="L97" i="31"/>
  <c r="L73" i="31"/>
  <c r="L113" i="31"/>
  <c r="L102" i="31"/>
  <c r="L90" i="31"/>
  <c r="L78" i="31"/>
  <c r="H115" i="31"/>
  <c r="H92" i="31"/>
  <c r="H104" i="31"/>
  <c r="H80" i="31"/>
  <c r="L111" i="31"/>
  <c r="L87" i="31"/>
  <c r="L99" i="31"/>
  <c r="L75" i="31"/>
  <c r="E115" i="31"/>
  <c r="E104" i="31"/>
  <c r="E92" i="31"/>
  <c r="E80" i="31"/>
  <c r="M113" i="31"/>
  <c r="M102" i="31"/>
  <c r="M90" i="31"/>
  <c r="M78" i="31"/>
  <c r="T2" i="37"/>
  <c r="G89" i="31"/>
  <c r="G101" i="31"/>
  <c r="G77" i="31"/>
  <c r="J40" i="32"/>
  <c r="L2" i="37"/>
  <c r="M111" i="31"/>
  <c r="M99" i="31"/>
  <c r="M87" i="31"/>
  <c r="M75" i="31"/>
  <c r="I40" i="32"/>
  <c r="E39" i="38" s="1"/>
  <c r="E40" i="32"/>
  <c r="D98" i="31"/>
  <c r="K89" i="31"/>
  <c r="K101" i="31"/>
  <c r="K77" i="31"/>
  <c r="K39" i="32"/>
  <c r="M110" i="31"/>
  <c r="M85" i="31"/>
  <c r="M97" i="31"/>
  <c r="M73" i="31"/>
  <c r="K112" i="31"/>
  <c r="K100" i="31"/>
  <c r="D62" i="37" s="1"/>
  <c r="K88" i="31"/>
  <c r="K76" i="31"/>
  <c r="B48" i="32"/>
  <c r="D112" i="31"/>
  <c r="D100" i="31"/>
  <c r="D88" i="31"/>
  <c r="D76" i="31"/>
  <c r="M89" i="31"/>
  <c r="D101" i="31"/>
  <c r="D89" i="31"/>
  <c r="D77" i="31"/>
  <c r="G112" i="31"/>
  <c r="G88" i="31"/>
  <c r="G100" i="31"/>
  <c r="G76" i="31"/>
  <c r="I115" i="31"/>
  <c r="I92" i="31"/>
  <c r="I104" i="31"/>
  <c r="I80" i="31"/>
  <c r="J86" i="31"/>
  <c r="J98" i="31"/>
  <c r="J74" i="31"/>
  <c r="K135" i="31"/>
  <c r="V2" i="37"/>
  <c r="H146" i="31"/>
  <c r="H156" i="31"/>
  <c r="H137" i="31"/>
  <c r="E48" i="32"/>
  <c r="I87" i="34"/>
  <c r="I48" i="32"/>
  <c r="K45" i="32"/>
  <c r="K123" i="31"/>
  <c r="K143" i="31"/>
  <c r="I86" i="34"/>
  <c r="K152" i="31"/>
  <c r="I88" i="34"/>
  <c r="I90" i="34"/>
  <c r="I92" i="34"/>
  <c r="I61" i="32"/>
  <c r="K126" i="31"/>
  <c r="I62" i="32"/>
  <c r="K147" i="31" s="1"/>
  <c r="I93" i="34"/>
  <c r="I91" i="34"/>
  <c r="I94" i="34"/>
  <c r="I89" i="34"/>
  <c r="I147" i="31"/>
  <c r="I157" i="31"/>
  <c r="I138" i="31"/>
  <c r="I137" i="31"/>
  <c r="G63" i="32"/>
  <c r="I146" i="31"/>
  <c r="I156" i="31"/>
  <c r="H138" i="31"/>
  <c r="H147" i="31"/>
  <c r="H157" i="31"/>
  <c r="G146" i="31"/>
  <c r="J44" i="32"/>
  <c r="L135" i="31" s="1"/>
  <c r="J45" i="32"/>
  <c r="E92" i="34"/>
  <c r="E90" i="34"/>
  <c r="E62" i="32"/>
  <c r="E61" i="32"/>
  <c r="E87" i="34"/>
  <c r="E89" i="34"/>
  <c r="E94" i="34"/>
  <c r="G152" i="31"/>
  <c r="G123" i="31"/>
  <c r="E91" i="34"/>
  <c r="E93" i="34"/>
  <c r="G143" i="31"/>
  <c r="E88" i="34"/>
  <c r="E86" i="34"/>
  <c r="G126" i="31"/>
  <c r="G135" i="31"/>
  <c r="J99" i="34"/>
  <c r="J103" i="34"/>
  <c r="J106" i="34"/>
  <c r="J98" i="34"/>
  <c r="J100" i="34"/>
  <c r="J105" i="34"/>
  <c r="J101" i="34"/>
  <c r="J104" i="34"/>
  <c r="J102" i="34"/>
  <c r="J157" i="31"/>
  <c r="J147" i="31"/>
  <c r="J138" i="31"/>
  <c r="B86" i="34"/>
  <c r="B90" i="34"/>
  <c r="B94" i="34"/>
  <c r="B87" i="34"/>
  <c r="B91" i="34"/>
  <c r="B88" i="34"/>
  <c r="B92" i="34"/>
  <c r="B89" i="34"/>
  <c r="B93" i="34"/>
  <c r="K101" i="34"/>
  <c r="K105" i="34"/>
  <c r="K99" i="34"/>
  <c r="K98" i="34"/>
  <c r="K106" i="34"/>
  <c r="K103" i="34"/>
  <c r="K102" i="34"/>
  <c r="K100" i="34"/>
  <c r="K104" i="34"/>
  <c r="B62" i="32"/>
  <c r="D123" i="31"/>
  <c r="D127" i="31"/>
  <c r="D152" i="31"/>
  <c r="D124" i="31"/>
  <c r="D135" i="31"/>
  <c r="D143" i="31"/>
  <c r="D125" i="31"/>
  <c r="D126" i="31"/>
  <c r="E146" i="31"/>
  <c r="E156" i="31"/>
  <c r="E137" i="31"/>
  <c r="E147" i="31"/>
  <c r="E157" i="31"/>
  <c r="E138" i="31"/>
  <c r="K156" i="31"/>
  <c r="K137" i="31"/>
  <c r="C63" i="32"/>
  <c r="B61" i="32"/>
  <c r="L60" i="34" l="1"/>
  <c r="M56" i="34"/>
  <c r="D74" i="31"/>
  <c r="I57" i="34"/>
  <c r="L58" i="34"/>
  <c r="D86" i="31"/>
  <c r="N80" i="31"/>
  <c r="L59" i="34"/>
  <c r="L57" i="34"/>
  <c r="N104" i="31"/>
  <c r="L152" i="31"/>
  <c r="L126" i="31"/>
  <c r="L143" i="31"/>
  <c r="L123" i="31"/>
  <c r="L56" i="34"/>
  <c r="L61" i="34"/>
  <c r="M123" i="31"/>
  <c r="M126" i="31"/>
  <c r="M143" i="31"/>
  <c r="M152" i="31"/>
  <c r="P103" i="37"/>
  <c r="M135" i="31"/>
  <c r="O104" i="31"/>
  <c r="M101" i="31"/>
  <c r="Y62" i="37" s="1"/>
  <c r="M59" i="34"/>
  <c r="O92" i="31"/>
  <c r="M57" i="34"/>
  <c r="M77" i="31"/>
  <c r="M61" i="34"/>
  <c r="M60" i="34"/>
  <c r="M58" i="34"/>
  <c r="Y103" i="37"/>
  <c r="I58" i="34"/>
  <c r="K104" i="31"/>
  <c r="D39" i="38"/>
  <c r="I56" i="34"/>
  <c r="G39" i="38"/>
  <c r="F39" i="38"/>
  <c r="H39" i="38"/>
  <c r="C39" i="38"/>
  <c r="X82" i="37"/>
  <c r="O82" i="37"/>
  <c r="F82" i="37"/>
  <c r="D2" i="37"/>
  <c r="I60" i="32"/>
  <c r="I63" i="32" s="1"/>
  <c r="P82" i="37"/>
  <c r="Y82" i="37"/>
  <c r="G82" i="37"/>
  <c r="Y22" i="37"/>
  <c r="J60" i="32"/>
  <c r="K66" i="32"/>
  <c r="B22" i="37"/>
  <c r="E60" i="32"/>
  <c r="K22" i="37" s="1"/>
  <c r="J66" i="32"/>
  <c r="P60" i="32"/>
  <c r="N2" i="37"/>
  <c r="N22" i="37"/>
  <c r="H63" i="32"/>
  <c r="O60" i="32"/>
  <c r="B42" i="37"/>
  <c r="B62" i="37"/>
  <c r="D42" i="37"/>
  <c r="K115" i="31"/>
  <c r="I59" i="34"/>
  <c r="I60" i="34"/>
  <c r="K80" i="31"/>
  <c r="I61" i="34"/>
  <c r="M22" i="37"/>
  <c r="K157" i="31"/>
  <c r="K146" i="31"/>
  <c r="K92" i="31"/>
  <c r="D22" i="37"/>
  <c r="F22" i="37"/>
  <c r="AG104" i="37"/>
  <c r="J38" i="34"/>
  <c r="J40" i="34"/>
  <c r="J39" i="34"/>
  <c r="J41" i="34"/>
  <c r="J42" i="34"/>
  <c r="J43" i="34"/>
  <c r="AH104" i="37"/>
  <c r="K40" i="34"/>
  <c r="K38" i="34"/>
  <c r="K41" i="34"/>
  <c r="K42" i="34"/>
  <c r="K43" i="34"/>
  <c r="K39" i="34"/>
  <c r="Y42" i="37"/>
  <c r="P42" i="37"/>
  <c r="T62" i="37"/>
  <c r="K62" i="37"/>
  <c r="P62" i="37"/>
  <c r="M62" i="37"/>
  <c r="V62" i="37"/>
  <c r="T42" i="37"/>
  <c r="K42" i="37"/>
  <c r="M42" i="37"/>
  <c r="V42" i="37"/>
  <c r="O74" i="31"/>
  <c r="O86" i="31"/>
  <c r="O98" i="31"/>
  <c r="E63" i="32"/>
  <c r="F103" i="37"/>
  <c r="X22" i="37"/>
  <c r="G156" i="31"/>
  <c r="N98" i="31"/>
  <c r="N74" i="31"/>
  <c r="N86" i="31"/>
  <c r="O103" i="37"/>
  <c r="X103" i="37"/>
  <c r="G137" i="31"/>
  <c r="G103" i="37"/>
  <c r="K138" i="31"/>
  <c r="J34" i="34"/>
  <c r="J32" i="34"/>
  <c r="J30" i="34"/>
  <c r="J33" i="34"/>
  <c r="J31" i="34"/>
  <c r="J29" i="34"/>
  <c r="E60" i="34"/>
  <c r="E58" i="34"/>
  <c r="E56" i="34"/>
  <c r="E61" i="34"/>
  <c r="E59" i="34"/>
  <c r="E57" i="34"/>
  <c r="B61" i="34"/>
  <c r="B59" i="34"/>
  <c r="B57" i="34"/>
  <c r="B60" i="34"/>
  <c r="B58" i="34"/>
  <c r="B56" i="34"/>
  <c r="K34" i="34"/>
  <c r="K32" i="34"/>
  <c r="K30" i="34"/>
  <c r="K33" i="34"/>
  <c r="K31" i="34"/>
  <c r="K29" i="34"/>
  <c r="Y2" i="37"/>
  <c r="L112" i="31"/>
  <c r="L100" i="31"/>
  <c r="L88" i="31"/>
  <c r="L76" i="31"/>
  <c r="L89" i="31"/>
  <c r="L101" i="31"/>
  <c r="L77" i="31"/>
  <c r="L98" i="31"/>
  <c r="L86" i="31"/>
  <c r="L74" i="31"/>
  <c r="F2" i="37"/>
  <c r="M112" i="31"/>
  <c r="M100" i="31"/>
  <c r="G62" i="37" s="1"/>
  <c r="M88" i="31"/>
  <c r="G42" i="37" s="1"/>
  <c r="M76" i="31"/>
  <c r="K2" i="37"/>
  <c r="G115" i="31"/>
  <c r="G92" i="31"/>
  <c r="G104" i="31"/>
  <c r="G80" i="31"/>
  <c r="G86" i="31"/>
  <c r="G98" i="31"/>
  <c r="G74" i="31"/>
  <c r="X2" i="37"/>
  <c r="B2" i="37"/>
  <c r="D115" i="31"/>
  <c r="D104" i="31"/>
  <c r="D92" i="31"/>
  <c r="D80" i="31"/>
  <c r="K40" i="32"/>
  <c r="G2" i="37" s="1"/>
  <c r="K98" i="31"/>
  <c r="K86" i="31"/>
  <c r="K74" i="31"/>
  <c r="J48" i="32"/>
  <c r="K48" i="32"/>
  <c r="J61" i="32"/>
  <c r="J62" i="32"/>
  <c r="K62" i="32"/>
  <c r="K61" i="32"/>
  <c r="K89" i="34"/>
  <c r="K90" i="34"/>
  <c r="K93" i="34"/>
  <c r="K87" i="34"/>
  <c r="K91" i="34"/>
  <c r="K92" i="34"/>
  <c r="K94" i="34"/>
  <c r="K88" i="34"/>
  <c r="K86" i="34"/>
  <c r="J88" i="34"/>
  <c r="J89" i="34"/>
  <c r="J86" i="34"/>
  <c r="J87" i="34"/>
  <c r="J92" i="34"/>
  <c r="J90" i="34"/>
  <c r="J94" i="34"/>
  <c r="J91" i="34"/>
  <c r="J93" i="34"/>
  <c r="G138" i="31"/>
  <c r="G157" i="31"/>
  <c r="G147" i="31"/>
  <c r="D156" i="31"/>
  <c r="D137" i="31"/>
  <c r="D146" i="31"/>
  <c r="D157" i="31"/>
  <c r="D138" i="31"/>
  <c r="D147" i="31"/>
  <c r="B63" i="32"/>
  <c r="L157" i="31" l="1"/>
  <c r="L147" i="31"/>
  <c r="L138" i="31"/>
  <c r="G144" i="37"/>
  <c r="M137" i="31"/>
  <c r="M146" i="31"/>
  <c r="M156" i="31"/>
  <c r="L156" i="31"/>
  <c r="L146" i="31"/>
  <c r="L137" i="31"/>
  <c r="M147" i="31"/>
  <c r="M138" i="31"/>
  <c r="M157" i="31"/>
  <c r="M2" i="37"/>
  <c r="F144" i="37"/>
  <c r="P63" i="32"/>
  <c r="O63" i="32"/>
  <c r="G22" i="37"/>
  <c r="K60" i="32"/>
  <c r="P22" i="37" s="1"/>
  <c r="F42" i="37"/>
  <c r="F62" i="37"/>
  <c r="X62" i="37"/>
  <c r="O62" i="37"/>
  <c r="X42" i="37"/>
  <c r="O42" i="37"/>
  <c r="O22" i="37"/>
  <c r="J61" i="34"/>
  <c r="J59" i="34"/>
  <c r="J57" i="34"/>
  <c r="J60" i="34"/>
  <c r="J58" i="34"/>
  <c r="J56" i="34"/>
  <c r="K61" i="34"/>
  <c r="K59" i="34"/>
  <c r="K57" i="34"/>
  <c r="K60" i="34"/>
  <c r="K58" i="34"/>
  <c r="K56" i="34"/>
  <c r="J63" i="32"/>
  <c r="L115" i="31"/>
  <c r="L104" i="31"/>
  <c r="L92" i="31"/>
  <c r="L80" i="31"/>
  <c r="M98" i="31"/>
  <c r="M86" i="31"/>
  <c r="M74" i="31"/>
  <c r="O2" i="37"/>
  <c r="M115" i="31"/>
  <c r="P2" i="37"/>
  <c r="M104" i="31"/>
  <c r="M92" i="31"/>
  <c r="M80" i="31"/>
  <c r="K63" i="32" l="1"/>
</calcChain>
</file>

<file path=xl/comments1.xml><?xml version="1.0" encoding="utf-8"?>
<comments xmlns="http://schemas.openxmlformats.org/spreadsheetml/2006/main">
  <authors>
    <author>Greg Bell</author>
  </authors>
  <commentList>
    <comment ref="A2" authorId="0">
      <text>
        <r>
          <rPr>
            <b/>
            <sz val="8"/>
            <color indexed="81"/>
            <rFont val="Tahoma"/>
            <family val="2"/>
          </rPr>
          <t>Greg Bell:</t>
        </r>
        <r>
          <rPr>
            <sz val="8"/>
            <color indexed="81"/>
            <rFont val="Tahoma"/>
            <family val="2"/>
          </rPr>
          <t xml:space="preserve">
Select</t>
        </r>
      </text>
    </comment>
    <comment ref="J2" authorId="0">
      <text>
        <r>
          <rPr>
            <b/>
            <sz val="8"/>
            <color indexed="81"/>
            <rFont val="Tahoma"/>
            <family val="2"/>
          </rPr>
          <t>Greg Bell:</t>
        </r>
        <r>
          <rPr>
            <sz val="8"/>
            <color indexed="81"/>
            <rFont val="Tahoma"/>
            <family val="2"/>
          </rPr>
          <t xml:space="preserve">
Select</t>
        </r>
      </text>
    </comment>
    <comment ref="S2" authorId="0">
      <text>
        <r>
          <rPr>
            <b/>
            <sz val="8"/>
            <color indexed="81"/>
            <rFont val="Tahoma"/>
            <family val="2"/>
          </rPr>
          <t>Greg Bell:</t>
        </r>
        <r>
          <rPr>
            <sz val="8"/>
            <color indexed="81"/>
            <rFont val="Tahoma"/>
            <family val="2"/>
          </rPr>
          <t xml:space="preserve">
Select</t>
        </r>
      </text>
    </comment>
    <comment ref="AB2" authorId="0">
      <text>
        <r>
          <rPr>
            <b/>
            <sz val="8"/>
            <color indexed="81"/>
            <rFont val="Tahoma"/>
            <family val="2"/>
          </rPr>
          <t>Greg Bell:</t>
        </r>
        <r>
          <rPr>
            <sz val="8"/>
            <color indexed="81"/>
            <rFont val="Tahoma"/>
            <family val="2"/>
          </rPr>
          <t xml:space="preserve">
Select</t>
        </r>
      </text>
    </comment>
    <comment ref="A22" authorId="0">
      <text>
        <r>
          <rPr>
            <b/>
            <sz val="8"/>
            <color indexed="81"/>
            <rFont val="Tahoma"/>
            <family val="2"/>
          </rPr>
          <t>Greg Bell:</t>
        </r>
        <r>
          <rPr>
            <sz val="8"/>
            <color indexed="81"/>
            <rFont val="Tahoma"/>
            <family val="2"/>
          </rPr>
          <t xml:space="preserve">
Select</t>
        </r>
      </text>
    </comment>
    <comment ref="J22" authorId="0">
      <text>
        <r>
          <rPr>
            <b/>
            <sz val="8"/>
            <color indexed="81"/>
            <rFont val="Tahoma"/>
            <family val="2"/>
          </rPr>
          <t>Greg Bell:</t>
        </r>
        <r>
          <rPr>
            <sz val="8"/>
            <color indexed="81"/>
            <rFont val="Tahoma"/>
            <family val="2"/>
          </rPr>
          <t xml:space="preserve">
Select</t>
        </r>
      </text>
    </comment>
    <comment ref="S22" authorId="0">
      <text>
        <r>
          <rPr>
            <b/>
            <sz val="8"/>
            <color indexed="81"/>
            <rFont val="Tahoma"/>
            <family val="2"/>
          </rPr>
          <t>Greg Bell:</t>
        </r>
        <r>
          <rPr>
            <sz val="8"/>
            <color indexed="81"/>
            <rFont val="Tahoma"/>
            <family val="2"/>
          </rPr>
          <t xml:space="preserve">
Select</t>
        </r>
      </text>
    </comment>
    <comment ref="AB22" authorId="0">
      <text>
        <r>
          <rPr>
            <b/>
            <sz val="8"/>
            <color indexed="81"/>
            <rFont val="Tahoma"/>
            <family val="2"/>
          </rPr>
          <t>Greg Bell:</t>
        </r>
        <r>
          <rPr>
            <sz val="8"/>
            <color indexed="81"/>
            <rFont val="Tahoma"/>
            <family val="2"/>
          </rPr>
          <t xml:space="preserve">
Select</t>
        </r>
      </text>
    </comment>
    <comment ref="A42" authorId="0">
      <text>
        <r>
          <rPr>
            <b/>
            <sz val="8"/>
            <color indexed="81"/>
            <rFont val="Tahoma"/>
            <family val="2"/>
          </rPr>
          <t>Greg Bell:</t>
        </r>
        <r>
          <rPr>
            <sz val="8"/>
            <color indexed="81"/>
            <rFont val="Tahoma"/>
            <family val="2"/>
          </rPr>
          <t xml:space="preserve">
Select</t>
        </r>
      </text>
    </comment>
    <comment ref="J42" authorId="0">
      <text>
        <r>
          <rPr>
            <b/>
            <sz val="8"/>
            <color indexed="81"/>
            <rFont val="Tahoma"/>
            <family val="2"/>
          </rPr>
          <t>Greg Bell:</t>
        </r>
        <r>
          <rPr>
            <sz val="8"/>
            <color indexed="81"/>
            <rFont val="Tahoma"/>
            <family val="2"/>
          </rPr>
          <t xml:space="preserve">
Select</t>
        </r>
      </text>
    </comment>
    <comment ref="S42" authorId="0">
      <text>
        <r>
          <rPr>
            <b/>
            <sz val="8"/>
            <color indexed="81"/>
            <rFont val="Tahoma"/>
            <family val="2"/>
          </rPr>
          <t>Greg Bell:</t>
        </r>
        <r>
          <rPr>
            <sz val="8"/>
            <color indexed="81"/>
            <rFont val="Tahoma"/>
            <family val="2"/>
          </rPr>
          <t xml:space="preserve">
Select</t>
        </r>
      </text>
    </comment>
    <comment ref="A62" authorId="0">
      <text>
        <r>
          <rPr>
            <b/>
            <sz val="8"/>
            <color indexed="81"/>
            <rFont val="Tahoma"/>
            <family val="2"/>
          </rPr>
          <t>Greg Bell:</t>
        </r>
        <r>
          <rPr>
            <sz val="8"/>
            <color indexed="81"/>
            <rFont val="Tahoma"/>
            <family val="2"/>
          </rPr>
          <t xml:space="preserve">
Select</t>
        </r>
      </text>
    </comment>
    <comment ref="J62" authorId="0">
      <text>
        <r>
          <rPr>
            <b/>
            <sz val="8"/>
            <color indexed="81"/>
            <rFont val="Tahoma"/>
            <family val="2"/>
          </rPr>
          <t>Greg Bell:</t>
        </r>
        <r>
          <rPr>
            <sz val="8"/>
            <color indexed="81"/>
            <rFont val="Tahoma"/>
            <family val="2"/>
          </rPr>
          <t xml:space="preserve">
Select</t>
        </r>
      </text>
    </comment>
    <comment ref="S62" authorId="0">
      <text>
        <r>
          <rPr>
            <b/>
            <sz val="8"/>
            <color indexed="81"/>
            <rFont val="Tahoma"/>
            <family val="2"/>
          </rPr>
          <t>Greg Bell:</t>
        </r>
        <r>
          <rPr>
            <sz val="8"/>
            <color indexed="81"/>
            <rFont val="Tahoma"/>
            <family val="2"/>
          </rPr>
          <t xml:space="preserve">
Select</t>
        </r>
      </text>
    </comment>
    <comment ref="A82" authorId="0">
      <text>
        <r>
          <rPr>
            <b/>
            <sz val="8"/>
            <color indexed="81"/>
            <rFont val="Tahoma"/>
            <family val="2"/>
          </rPr>
          <t>Greg Bell:</t>
        </r>
        <r>
          <rPr>
            <sz val="8"/>
            <color indexed="81"/>
            <rFont val="Tahoma"/>
            <family val="2"/>
          </rPr>
          <t xml:space="preserve">
Select</t>
        </r>
      </text>
    </comment>
    <comment ref="J82" authorId="0">
      <text>
        <r>
          <rPr>
            <b/>
            <sz val="8"/>
            <color indexed="81"/>
            <rFont val="Tahoma"/>
            <family val="2"/>
          </rPr>
          <t>Greg Bell:</t>
        </r>
        <r>
          <rPr>
            <sz val="8"/>
            <color indexed="81"/>
            <rFont val="Tahoma"/>
            <family val="2"/>
          </rPr>
          <t xml:space="preserve">
Select</t>
        </r>
      </text>
    </comment>
    <comment ref="S82" authorId="0">
      <text>
        <r>
          <rPr>
            <b/>
            <sz val="8"/>
            <color indexed="81"/>
            <rFont val="Tahoma"/>
            <family val="2"/>
          </rPr>
          <t>Greg Bell:</t>
        </r>
        <r>
          <rPr>
            <sz val="8"/>
            <color indexed="81"/>
            <rFont val="Tahoma"/>
            <family val="2"/>
          </rPr>
          <t xml:space="preserve">
Select</t>
        </r>
      </text>
    </comment>
    <comment ref="A103" authorId="0">
      <text>
        <r>
          <rPr>
            <b/>
            <sz val="8"/>
            <color indexed="81"/>
            <rFont val="Tahoma"/>
            <family val="2"/>
          </rPr>
          <t>Greg Bell:</t>
        </r>
        <r>
          <rPr>
            <sz val="8"/>
            <color indexed="81"/>
            <rFont val="Tahoma"/>
            <family val="2"/>
          </rPr>
          <t xml:space="preserve">
Select</t>
        </r>
      </text>
    </comment>
    <comment ref="J103" authorId="0">
      <text>
        <r>
          <rPr>
            <b/>
            <sz val="8"/>
            <color indexed="81"/>
            <rFont val="Tahoma"/>
            <family val="2"/>
          </rPr>
          <t>Greg Bell:</t>
        </r>
        <r>
          <rPr>
            <sz val="8"/>
            <color indexed="81"/>
            <rFont val="Tahoma"/>
            <family val="2"/>
          </rPr>
          <t xml:space="preserve">
Select</t>
        </r>
      </text>
    </comment>
    <comment ref="S103" authorId="0">
      <text>
        <r>
          <rPr>
            <b/>
            <sz val="8"/>
            <color indexed="81"/>
            <rFont val="Tahoma"/>
            <family val="2"/>
          </rPr>
          <t>Greg Bell:</t>
        </r>
        <r>
          <rPr>
            <sz val="8"/>
            <color indexed="81"/>
            <rFont val="Tahoma"/>
            <family val="2"/>
          </rPr>
          <t xml:space="preserve">
Select</t>
        </r>
      </text>
    </comment>
    <comment ref="AB103" authorId="0">
      <text>
        <r>
          <rPr>
            <b/>
            <sz val="8"/>
            <color indexed="81"/>
            <rFont val="Tahoma"/>
            <family val="2"/>
          </rPr>
          <t>Greg Bell:</t>
        </r>
        <r>
          <rPr>
            <sz val="8"/>
            <color indexed="81"/>
            <rFont val="Tahoma"/>
            <family val="2"/>
          </rPr>
          <t xml:space="preserve">
Select</t>
        </r>
      </text>
    </comment>
    <comment ref="AB104" authorId="0">
      <text>
        <r>
          <rPr>
            <b/>
            <sz val="8"/>
            <color indexed="81"/>
            <rFont val="Tahoma"/>
            <family val="2"/>
          </rPr>
          <t>Greg Bell:</t>
        </r>
        <r>
          <rPr>
            <sz val="8"/>
            <color indexed="81"/>
            <rFont val="Tahoma"/>
            <family val="2"/>
          </rPr>
          <t xml:space="preserve">
Select</t>
        </r>
      </text>
    </comment>
    <comment ref="A123" authorId="0">
      <text>
        <r>
          <rPr>
            <b/>
            <sz val="8"/>
            <color indexed="81"/>
            <rFont val="Tahoma"/>
            <family val="2"/>
          </rPr>
          <t>Greg Bell:</t>
        </r>
        <r>
          <rPr>
            <sz val="8"/>
            <color indexed="81"/>
            <rFont val="Tahoma"/>
            <family val="2"/>
          </rPr>
          <t xml:space="preserve">
Select</t>
        </r>
      </text>
    </comment>
    <comment ref="J123" authorId="0">
      <text>
        <r>
          <rPr>
            <b/>
            <sz val="8"/>
            <color indexed="81"/>
            <rFont val="Tahoma"/>
            <family val="2"/>
          </rPr>
          <t>Greg Bell:</t>
        </r>
        <r>
          <rPr>
            <sz val="8"/>
            <color indexed="81"/>
            <rFont val="Tahoma"/>
            <family val="2"/>
          </rPr>
          <t xml:space="preserve">
Select</t>
        </r>
      </text>
    </comment>
    <comment ref="S123" authorId="0">
      <text>
        <r>
          <rPr>
            <b/>
            <sz val="8"/>
            <color indexed="81"/>
            <rFont val="Tahoma"/>
            <family val="2"/>
          </rPr>
          <t>Greg Bell:</t>
        </r>
        <r>
          <rPr>
            <sz val="8"/>
            <color indexed="81"/>
            <rFont val="Tahoma"/>
            <family val="2"/>
          </rPr>
          <t xml:space="preserve">
Select</t>
        </r>
      </text>
    </comment>
    <comment ref="A144" authorId="0">
      <text>
        <r>
          <rPr>
            <b/>
            <sz val="8"/>
            <color indexed="81"/>
            <rFont val="Tahoma"/>
            <family val="2"/>
          </rPr>
          <t>Greg Bell:</t>
        </r>
        <r>
          <rPr>
            <sz val="8"/>
            <color indexed="81"/>
            <rFont val="Tahoma"/>
            <family val="2"/>
          </rPr>
          <t xml:space="preserve">
Select</t>
        </r>
      </text>
    </comment>
    <comment ref="J144" authorId="0">
      <text>
        <r>
          <rPr>
            <b/>
            <sz val="8"/>
            <color indexed="81"/>
            <rFont val="Tahoma"/>
            <family val="2"/>
          </rPr>
          <t>Greg Bell:</t>
        </r>
        <r>
          <rPr>
            <sz val="8"/>
            <color indexed="81"/>
            <rFont val="Tahoma"/>
            <family val="2"/>
          </rPr>
          <t xml:space="preserve">
Select</t>
        </r>
      </text>
    </comment>
    <comment ref="S144" authorId="0">
      <text>
        <r>
          <rPr>
            <b/>
            <sz val="8"/>
            <color indexed="81"/>
            <rFont val="Tahoma"/>
            <family val="2"/>
          </rPr>
          <t>Greg Bell:</t>
        </r>
        <r>
          <rPr>
            <sz val="8"/>
            <color indexed="81"/>
            <rFont val="Tahoma"/>
            <family val="2"/>
          </rPr>
          <t xml:space="preserve">
Select</t>
        </r>
      </text>
    </comment>
  </commentList>
</comments>
</file>

<file path=xl/comments2.xml><?xml version="1.0" encoding="utf-8"?>
<comments xmlns="http://schemas.openxmlformats.org/spreadsheetml/2006/main">
  <authors>
    <author>Greg Bell</author>
  </authors>
  <commentList>
    <comment ref="R325" authorId="0">
      <text>
        <r>
          <rPr>
            <b/>
            <sz val="8"/>
            <color indexed="81"/>
            <rFont val="Tahoma"/>
            <family val="2"/>
          </rPr>
          <t>Greg Bell:</t>
        </r>
        <r>
          <rPr>
            <sz val="8"/>
            <color indexed="81"/>
            <rFont val="Tahoma"/>
            <family val="2"/>
          </rPr>
          <t xml:space="preserve">
All these values were incorrectly entered 1000 x greater than actual, these have been corrected here</t>
        </r>
      </text>
    </comment>
    <comment ref="R334" authorId="0">
      <text>
        <r>
          <rPr>
            <b/>
            <sz val="8"/>
            <color indexed="81"/>
            <rFont val="Tahoma"/>
            <family val="2"/>
          </rPr>
          <t>Greg Bell:</t>
        </r>
        <r>
          <rPr>
            <sz val="8"/>
            <color indexed="81"/>
            <rFont val="Tahoma"/>
            <family val="2"/>
          </rPr>
          <t xml:space="preserve">
All these values were incorrectly entered 1000 x greater than actual, these have been corrected here</t>
        </r>
      </text>
    </comment>
    <comment ref="R428" authorId="0">
      <text>
        <r>
          <rPr>
            <b/>
            <sz val="8"/>
            <color indexed="81"/>
            <rFont val="Tahoma"/>
            <family val="2"/>
          </rPr>
          <t>Greg Bell:</t>
        </r>
        <r>
          <rPr>
            <sz val="8"/>
            <color indexed="81"/>
            <rFont val="Tahoma"/>
            <family val="2"/>
          </rPr>
          <t xml:space="preserve">
Divided by 1000</t>
        </r>
      </text>
    </comment>
    <comment ref="R430" authorId="0">
      <text>
        <r>
          <rPr>
            <b/>
            <sz val="8"/>
            <color indexed="81"/>
            <rFont val="Tahoma"/>
            <family val="2"/>
          </rPr>
          <t>Greg Bell:</t>
        </r>
        <r>
          <rPr>
            <sz val="8"/>
            <color indexed="81"/>
            <rFont val="Tahoma"/>
            <family val="2"/>
          </rPr>
          <t xml:space="preserve">
Divided by 1000</t>
        </r>
      </text>
    </comment>
  </commentList>
</comments>
</file>

<file path=xl/comments3.xml><?xml version="1.0" encoding="utf-8"?>
<comments xmlns="http://schemas.openxmlformats.org/spreadsheetml/2006/main">
  <authors>
    <author>Greg Bell</author>
  </authors>
  <commentList>
    <comment ref="N104" authorId="0">
      <text>
        <r>
          <rPr>
            <b/>
            <sz val="8"/>
            <color indexed="81"/>
            <rFont val="Tahoma"/>
            <family val="2"/>
          </rPr>
          <t>Greg Bell:</t>
        </r>
        <r>
          <rPr>
            <sz val="8"/>
            <color indexed="81"/>
            <rFont val="Tahoma"/>
            <family val="2"/>
          </rPr>
          <t xml:space="preserve">
Divided by 1000 as these appear to not have been entered in '000's</t>
        </r>
      </text>
    </comment>
    <comment ref="I139" authorId="0">
      <text>
        <r>
          <rPr>
            <b/>
            <sz val="8"/>
            <color indexed="81"/>
            <rFont val="Tahoma"/>
            <family val="2"/>
          </rPr>
          <t>Greg Bell:</t>
        </r>
        <r>
          <rPr>
            <sz val="8"/>
            <color indexed="81"/>
            <rFont val="Tahoma"/>
            <family val="2"/>
          </rPr>
          <t xml:space="preserve">
Appeared to be scaled up by 1000 (corrected)</t>
        </r>
      </text>
    </comment>
    <comment ref="I144" authorId="0">
      <text>
        <r>
          <rPr>
            <b/>
            <sz val="8"/>
            <color indexed="81"/>
            <rFont val="Tahoma"/>
            <family val="2"/>
          </rPr>
          <t>Greg Bell:</t>
        </r>
        <r>
          <rPr>
            <sz val="8"/>
            <color indexed="81"/>
            <rFont val="Tahoma"/>
            <family val="2"/>
          </rPr>
          <t xml:space="preserve">
These appeared to be inflated by 1000 (corrected)</t>
        </r>
      </text>
    </comment>
    <comment ref="N996" authorId="0">
      <text>
        <r>
          <rPr>
            <b/>
            <sz val="8"/>
            <color indexed="81"/>
            <rFont val="Tahoma"/>
            <family val="2"/>
          </rPr>
          <t>Greg Bell:</t>
        </r>
        <r>
          <rPr>
            <sz val="8"/>
            <color indexed="81"/>
            <rFont val="Tahoma"/>
            <family val="2"/>
          </rPr>
          <t xml:space="preserve">
Divided by 1000 as scaling was incorrect</t>
        </r>
      </text>
    </comment>
    <comment ref="Z1020" authorId="0">
      <text>
        <r>
          <rPr>
            <b/>
            <sz val="8"/>
            <color indexed="81"/>
            <rFont val="Tahoma"/>
            <family val="2"/>
          </rPr>
          <t>Greg Bell:</t>
        </r>
        <r>
          <rPr>
            <sz val="8"/>
            <color indexed="81"/>
            <rFont val="Tahoma"/>
            <family val="2"/>
          </rPr>
          <t xml:space="preserve">
This row of expenditure was separate in SA Power's RIN and wasn't directly aligned with units</t>
        </r>
      </text>
    </comment>
    <comment ref="N1059" authorId="0">
      <text>
        <r>
          <rPr>
            <b/>
            <sz val="8"/>
            <color indexed="81"/>
            <rFont val="Tahoma"/>
            <family val="2"/>
          </rPr>
          <t>Greg Bell:</t>
        </r>
        <r>
          <rPr>
            <sz val="8"/>
            <color indexed="81"/>
            <rFont val="Tahoma"/>
            <family val="2"/>
          </rPr>
          <t xml:space="preserve">
Divided by 1000 as these appear to not have been entered in '000's</t>
        </r>
      </text>
    </comment>
  </commentList>
</comments>
</file>

<file path=xl/sharedStrings.xml><?xml version="1.0" encoding="utf-8"?>
<sst xmlns="http://schemas.openxmlformats.org/spreadsheetml/2006/main" count="13536" uniqueCount="1685">
  <si>
    <t>Essential</t>
  </si>
  <si>
    <t>Poles</t>
  </si>
  <si>
    <t>Switchgear</t>
  </si>
  <si>
    <t>Customers</t>
  </si>
  <si>
    <t>Transformers</t>
  </si>
  <si>
    <t>Weighted</t>
  </si>
  <si>
    <t>Total</t>
  </si>
  <si>
    <t>2012/13</t>
  </si>
  <si>
    <t>2011/12</t>
  </si>
  <si>
    <t>2010/11</t>
  </si>
  <si>
    <t>2009/10</t>
  </si>
  <si>
    <t>2008/09</t>
  </si>
  <si>
    <t>2007/08</t>
  </si>
  <si>
    <t>2006/07</t>
  </si>
  <si>
    <t>2005/06</t>
  </si>
  <si>
    <t>2004/05</t>
  </si>
  <si>
    <t>2003/04</t>
  </si>
  <si>
    <t>2002/03</t>
  </si>
  <si>
    <t>2001/02</t>
  </si>
  <si>
    <t>2000/01</t>
  </si>
  <si>
    <t>1999/00</t>
  </si>
  <si>
    <t>1998/99</t>
  </si>
  <si>
    <t>1997/98</t>
  </si>
  <si>
    <t>1996/97</t>
  </si>
  <si>
    <t>1995/96</t>
  </si>
  <si>
    <t>1994/95</t>
  </si>
  <si>
    <t>1993/94</t>
  </si>
  <si>
    <t>1992/93</t>
  </si>
  <si>
    <t>1991/92</t>
  </si>
  <si>
    <t>1990/91</t>
  </si>
  <si>
    <t>1989/90</t>
  </si>
  <si>
    <t>1988/89</t>
  </si>
  <si>
    <t>1987/88</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</si>
  <si>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</si>
  <si>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</si>
  <si>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</si>
  <si>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</si>
  <si>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</si>
  <si>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</si>
  <si>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</si>
  <si>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</si>
  <si>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</si>
  <si>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</si>
  <si>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</si>
  <si>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</si>
  <si>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</si>
  <si>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</si>
  <si>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</si>
  <si>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</si>
  <si>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</si>
  <si>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</si>
  <si>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</si>
  <si>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</si>
  <si>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</si>
  <si>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</si>
  <si>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</si>
  <si>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</si>
  <si>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</si>
  <si>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</si>
  <si>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</si>
  <si>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</si>
  <si>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</si>
  <si>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</si>
  <si>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</si>
  <si>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</si>
  <si>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</si>
  <si>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</si>
  <si>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</si>
  <si>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</si>
  <si>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</si>
  <si>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</si>
  <si>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</si>
  <si>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</si>
  <si>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</si>
  <si>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</si>
  <si>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</si>
  <si>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</si>
  <si>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</si>
  <si>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</si>
  <si>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</si>
  <si>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</si>
  <si>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</si>
  <si>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</si>
  <si>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</si>
  <si>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</si>
  <si>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</si>
  <si>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</si>
  <si>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</si>
  <si>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</si>
  <si>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</si>
  <si>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</si>
  <si>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</si>
  <si>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</si>
  <si>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</si>
  <si>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</si>
  <si>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</si>
  <si>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</si>
  <si>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</si>
  <si>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</si>
  <si>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</si>
  <si>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</si>
  <si>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</si>
  <si>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</si>
  <si>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</si>
  <si>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</si>
  <si>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</si>
  <si>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</si>
  <si>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</si>
  <si>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</si>
  <si>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1910/11</t>
  </si>
  <si>
    <t>EXPENDITURE ($000'S)</t>
  </si>
  <si>
    <t xml:space="preserve">ASSET REPLACEMENTS </t>
  </si>
  <si>
    <t xml:space="preserve">ASSET FAILURES  </t>
  </si>
  <si>
    <t>ASSET GROUP</t>
  </si>
  <si>
    <t>ASSET CATEGORY</t>
  </si>
  <si>
    <t>METRIC</t>
  </si>
  <si>
    <t>CURRENT YEAR</t>
  </si>
  <si>
    <t>STAKING OF A WOODEN POLE</t>
  </si>
  <si>
    <t xml:space="preserve">TOTAL CBD POLES </t>
  </si>
  <si>
    <t>˂ = 1 kV; WOOD</t>
  </si>
  <si>
    <t xml:space="preserve">TOTAL URBAN POLES </t>
  </si>
  <si>
    <t>&gt; 1 kV &amp; &lt; = 11 kV; WOOD</t>
  </si>
  <si>
    <t xml:space="preserve">TOTAL RURAL LONG POLES </t>
  </si>
  <si>
    <t>˃ 11 kV &amp; &lt; = 22 kV; WOOD</t>
  </si>
  <si>
    <t xml:space="preserve">TOTAL RURAL SHORT POLES </t>
  </si>
  <si>
    <t>&gt; 22 kV &amp; &lt; = 66 kV; WOOD</t>
  </si>
  <si>
    <t>CONDUCTORS CBD (KM)</t>
  </si>
  <si>
    <t>&gt; 66 kV &amp; &lt; = 132 kV; WOOD</t>
  </si>
  <si>
    <t>CONDUCTORS URBAN (KM)</t>
  </si>
  <si>
    <t>&gt; 132 kV; WOOD</t>
  </si>
  <si>
    <t>CONDUCTORS RURAL LONG (KM)</t>
  </si>
  <si>
    <t>˂ = 1 kV; CONCRETE</t>
  </si>
  <si>
    <t>CONDUCTORS RURAL SHORT (KM)</t>
  </si>
  <si>
    <t>&gt; 1 kV &amp; &lt; = 11 kV; CONCRETE</t>
  </si>
  <si>
    <t>DNSP TO SPECIFY - ADD A ROW FOR EACH CONDUCTOR MATERIAL</t>
  </si>
  <si>
    <t>LV - Al Conductor</t>
  </si>
  <si>
    <t>LV - ACSR Conductor</t>
  </si>
  <si>
    <t>LV - Cu Conductor</t>
  </si>
  <si>
    <t>LV - ST Conductor</t>
  </si>
  <si>
    <t>LV - Unknown Conductor</t>
  </si>
  <si>
    <t>PL - Al Conductor</t>
  </si>
  <si>
    <t>PL - Cu Conductor</t>
  </si>
  <si>
    <t>PL - Unknown Conductor</t>
  </si>
  <si>
    <t>HV - Al Conductor</t>
  </si>
  <si>
    <t>HV - ACSR Conductor</t>
  </si>
  <si>
    <t>HV - Cu Conductor</t>
  </si>
  <si>
    <t>HV - ST Conductor</t>
  </si>
  <si>
    <t>HV - Unknown Conductor</t>
  </si>
  <si>
    <t>ST - Al Conductor</t>
  </si>
  <si>
    <t>ST - ACSR Conductor</t>
  </si>
  <si>
    <t>ST - Cu Conductor</t>
  </si>
  <si>
    <t>ST - ST Conductor</t>
  </si>
  <si>
    <t>ST - Unknown Conductor</t>
  </si>
  <si>
    <t>˃ 11 kV &amp; &lt; = 22 kV; CONCRETE</t>
  </si>
  <si>
    <t>CABLE CBD (KM)</t>
  </si>
  <si>
    <t>&gt; 22 kV &amp; &lt; = 66 kV; CONCRETE</t>
  </si>
  <si>
    <t>CABLE URBAN (KM)</t>
  </si>
  <si>
    <t>&gt; 66 kV &amp; &lt; = 132 kV; CONCRETE</t>
  </si>
  <si>
    <t>CABLE RURAL LONG (KM)</t>
  </si>
  <si>
    <t>&gt; 132 kV; CONCRETE</t>
  </si>
  <si>
    <t>CABLE RURAL SHORT (KM)</t>
  </si>
  <si>
    <t>˂ = 1 kV; STEEL</t>
  </si>
  <si>
    <t>TOTAL MVA REPLACED</t>
  </si>
  <si>
    <t>&gt; 1 kV &amp; &lt; = 11 kV; STEEL</t>
  </si>
  <si>
    <t>TOTAL MVA DISPOSED OF</t>
  </si>
  <si>
    <t>˃ 11 kV &amp; &lt; = 22 kV; STEEL</t>
  </si>
  <si>
    <t>&gt; 22 kV &amp; &lt; = 66 kV; STEEL</t>
  </si>
  <si>
    <t>&gt; 66 kV &amp; &lt; = 132 kV; STEEL</t>
  </si>
  <si>
    <t>&gt; 132 kV; STEEL</t>
  </si>
  <si>
    <t>AERIAL GUY POLE</t>
  </si>
  <si>
    <t>OTHER - PLEASE ADD A ROW IF NECESSARY AND NOMINATE THE CATEGORY</t>
  </si>
  <si>
    <t>˂ = 1 kV</t>
  </si>
  <si>
    <t>&gt; 1 kV &amp; &lt; = 11 kV</t>
  </si>
  <si>
    <t>˃ 11 kV &amp; &lt; = 22 kV</t>
  </si>
  <si>
    <t>&gt; 22 kV &amp; &lt; = 66 kV</t>
  </si>
  <si>
    <t>&gt; 66 kV &amp; &lt; = 132 kV</t>
  </si>
  <si>
    <t>&gt; 132 kV</t>
  </si>
  <si>
    <t>˃ 11 kV &amp; &lt; = 22 kV  ; SWER</t>
  </si>
  <si>
    <t>˃ 11 kV &amp; &lt; = 22 kV ; SINGLE-PHASE</t>
  </si>
  <si>
    <t>˃ 11 kV &amp; &lt; = 22 kV ; MULTIPLE-PHASE</t>
  </si>
  <si>
    <t>PUBLIC LIGHTING CONDUCTOR</t>
  </si>
  <si>
    <t>&gt; 11 kV &amp; &lt; = 22 kV</t>
  </si>
  <si>
    <t>&gt; 22 kV &amp; &lt; = 33 kV</t>
  </si>
  <si>
    <t>&gt; 33 kV &amp; &lt; = 66 kV</t>
  </si>
  <si>
    <t>&gt;  132 kV</t>
  </si>
  <si>
    <t>PUBLIC LIGHTING UNDERGROUND CABLE (inc. under &lt;=1kv)</t>
  </si>
  <si>
    <t xml:space="preserve">˂ = 11 kV ; RESIDENTIAL ; SIMPLE TYPE </t>
  </si>
  <si>
    <t xml:space="preserve">˂ = 11 kV ; COMMERCIAL &amp; INDUSTRIAL ; SIMPLE TYPE </t>
  </si>
  <si>
    <t xml:space="preserve">˂ = 11 kV ; RESIDENTIAL ; COMPLEX TYPE </t>
  </si>
  <si>
    <t xml:space="preserve">˂ = 11 kV ; COMMERCIAL &amp; INDUSTRIAL ; COMPLEX TYPE </t>
  </si>
  <si>
    <t xml:space="preserve">˂ = 11 kV ; SUBDIVISION ; COMPLEX TYPE </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</si>
  <si>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</si>
  <si>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</si>
  <si>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</si>
  <si>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</si>
  <si>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</si>
  <si>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</si>
  <si>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</si>
  <si>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</si>
  <si>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</si>
  <si>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</si>
  <si>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t>LV Overhead Services</t>
  </si>
  <si>
    <t>LV Underground Services (exp. Under &lt;= 1kV Underground Cables)</t>
  </si>
  <si>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</si>
  <si>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</si>
  <si>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</si>
  <si>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</si>
  <si>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</si>
  <si>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</si>
  <si>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 xml:space="preserve">POLE MOUNTED ; &gt; 22 kV ;  &lt; = 60 kVA </t>
  </si>
  <si>
    <t xml:space="preserve">POLE MOUNTED ; &gt; 22 kV ;  &gt; 60 kVA AND &lt; = 600 kVA </t>
  </si>
  <si>
    <t>POLE MOUNTED ; &gt; 22 kV ;  &gt; 600 kVA</t>
  </si>
  <si>
    <t>POLE MOUNTED ; &gt; 22 kV ;  &gt; 60 kVA AND &lt; = 600 kVA</t>
  </si>
  <si>
    <t>POLE MOUNTED ; &gt; 22 kV ;  &gt;  600 kVA</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</si>
  <si>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</si>
  <si>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</si>
  <si>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</si>
  <si>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</si>
  <si>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</si>
  <si>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</si>
  <si>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 xml:space="preserve">KIOSK MOUNTED ; &gt; 22 kV ;  &lt; = 60 kVA </t>
  </si>
  <si>
    <t xml:space="preserve">KIOSK MOUNTED ; &gt; 22 kV ;  &gt; 60 kVA AND &lt; = 600 kVA </t>
  </si>
  <si>
    <t>KIOSK MOUNTED ; &gt; 22 kV ;  &gt; 600 kVA</t>
  </si>
  <si>
    <t>KIOSK MOUNTED ; &gt; 22 kV ;  &gt; 60 kVA AND &lt; = 600 kVA</t>
  </si>
  <si>
    <t>KIOSK MOUNTED ; &gt; 22 kV ;  &gt;  600 kVA</t>
  </si>
  <si>
    <t>GROUND OUTDOOR / INDOOR CHAMBER MOUNTED ; ˂ 22 kV ;  &lt; = 60 kVA ; SINGLE PHASE</t>
  </si>
  <si>
    <t>GROUND OUTDOOR / INDOOR CHAMBER MOUNTED ; ˂  22 kV ;  &gt; 60 kVA  AND &lt; = 600 kVA ; SINGLE PHASE</t>
  </si>
  <si>
    <t>GROUND OUTDOOR / INDOOR CHAMBER MOUNTED ; ˂  22 kV ;  &gt;  600 kVA ; SINGLE PHASE</t>
  </si>
  <si>
    <t>GROUND OUTDOOR / INDOOR CHAMBER MOUNTED ; ˂  22 kV ;  &lt; = 60 kVA ; MULTIPLE PHASE</t>
  </si>
  <si>
    <t>GROUND OUTDOOR / INDOOR CHAMBER MOUNTED ; ˂  22 kV ;  &gt; 60 kVA  AND &lt; = 600 kVA ; MULTIPLE PHASE</t>
  </si>
  <si>
    <t>GROUND OUTDOOR / INDOOR CHAMBER MOUNTED ; ˂  22 kV ;  &gt;  600 kVA ; MULTIPLE PHASE</t>
  </si>
  <si>
    <t>GROUND OUTDOOR / INDOOR CHAMBER MOUNTED ; &gt; = 22 kV &amp; &lt; = 33 kV ;  &lt; = 15 MVA</t>
  </si>
  <si>
    <t>GROUND OUTDOOR / INDOOR CHAMBER MOUNTED ; &gt; = 22 kV &amp; &lt; = 33 kV ;  &gt; 15 MVA AND &lt; = 40 MVA</t>
  </si>
  <si>
    <t>GROUND OUTDOOR / INDOOR CHAMBER MOUNTED ; &gt; = 22 kV &amp; &lt; = 33 kV ;  &gt; 40 MVA</t>
  </si>
  <si>
    <t>GROUND OUTDOOR / INDOOR CHAMBER MOUNTED ; &gt; 33 kV &amp; &lt; = 66 kV ;  &lt; = 15 MVA</t>
  </si>
  <si>
    <t>GROUND OUTDOOR / INDOOR CHAMBER MOUNTED ; &gt; 33 kV &amp; &lt; = 66 kV ;  &gt; 15 MVA AND &lt; = 40 MVA</t>
  </si>
  <si>
    <t>GROUND OUTDOOR / INDOOR CHAMBER MOUNTED ; &gt; 33 kV &amp; &lt; = 66 kV ;  &gt; 40 MVA</t>
  </si>
  <si>
    <t>GROUND OUTDOOR / INDOOR CHAMBER MOUNTED ; &gt; 66 kV &amp; &lt; = 132 kV ;  &lt; = 100 MVA</t>
  </si>
  <si>
    <t>GROUND OUTDOOR / INDOOR CHAMBER MOUNTED ; &gt; 66 kV &amp; &lt; = 132 kV ;  &gt; 100 MVA</t>
  </si>
  <si>
    <t>GROUND OUTDOOR / INDOOR CHAMBER MOUNTED ; &gt; 132 kV ;  &lt; = 100 MVA</t>
  </si>
  <si>
    <t>GROUND OUTDOOR / INDOOR CHAMBER MOUNTED ; &gt; 132 kV ;  &gt; 100 MVA</t>
  </si>
  <si>
    <t>POLE MOUNTED ; &lt; ≈ 22KV ;  &lt; ≈ 60 KVA ; SWER</t>
  </si>
  <si>
    <t>POLE MOUNTED ; &lt; ≈ 22KV ;  &gt; 60 KVA AND &lt; ≈ 600 KVA  ; SWER</t>
  </si>
  <si>
    <t>KIOSK MOUNTED ; &lt; ≈ 22KV ;  &lt; ≈ 60 KVA ; SWER</t>
  </si>
  <si>
    <t>POLE / GROUND MOUNTED ; &lt; = 22KV ;  &gt; 600 KVA ; REGULATOR</t>
  </si>
  <si>
    <t>AUTO TRANSFORMERS</t>
  </si>
  <si>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</si>
  <si>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</si>
  <si>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</si>
  <si>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</si>
  <si>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</si>
  <si>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</si>
  <si>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</si>
  <si>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</si>
  <si>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</si>
  <si>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</si>
  <si>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</si>
  <si>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</si>
  <si>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</si>
  <si>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t>&gt; 11 KV &amp; &lt; = 22 KV  ; ISOLATORS, EARTHING SWITCH</t>
  </si>
  <si>
    <t>&gt; 33 KV &amp; &lt; ≈ 66 KV ; ISOLATORS, EARTHING SWITCH</t>
  </si>
  <si>
    <t>HV FUSES AND SURGE DIVERTERS</t>
  </si>
  <si>
    <t>LUMINAIRES ;  MAJOR ROAD</t>
  </si>
  <si>
    <t>LUMINAIRES ;  MINOR ROAD</t>
  </si>
  <si>
    <t>BRACKETS ; MAJOR ROAD</t>
  </si>
  <si>
    <t>BRACKETS ; MINOR ROAD</t>
  </si>
  <si>
    <t>LAMPS ; MAJOR ROAD</t>
  </si>
  <si>
    <t>LAMPS ; MINOR ROAD</t>
  </si>
  <si>
    <t>POLES / COLUMNS ; MAJOR ROAD</t>
  </si>
  <si>
    <t>POLES / COLUMNS ; MINOR ROAD</t>
  </si>
  <si>
    <t>POLES / COLUMNS ; MAJOR ROAD - Standard Control Service</t>
  </si>
  <si>
    <t>POLES / COLUMNS ; MINOR ROAD - Standard Control Service</t>
  </si>
  <si>
    <t>FIELD DEVICES</t>
  </si>
  <si>
    <t>LOCAL NETWORK WIRING ASSETS</t>
  </si>
  <si>
    <t>COMMUNICATIONS NETWORK ASSETS</t>
  </si>
  <si>
    <t>MASTER STATION ASSETS</t>
  </si>
  <si>
    <t>AUTOMATION REPLACEMENT EXPENDITURE</t>
  </si>
  <si>
    <t>PLEASE ADD A ROW IF NECESSARY AND NOMINATE THE CATEGORY</t>
  </si>
  <si>
    <t>RECOVERABLE WORK - FAULTS (*2011 - 2013 CA RIN are Quoted Opex)</t>
  </si>
  <si>
    <t>POLE CHEMICAL TREATMENT</t>
  </si>
  <si>
    <t>PLANT AND STATIONS MISCELLANEOUS</t>
  </si>
  <si>
    <t>MAJOR ZONE SUBSTATION REPLACEMENT WORKS</t>
  </si>
  <si>
    <t>TV INTEREFERENCE RELATED EXPENDITURE</t>
  </si>
  <si>
    <t>ENVIRONMENTAL RELATED REPLACEMENT EXPENDITURE</t>
  </si>
  <si>
    <t>BUSHFIRE MITIGATION RELATED REPLACEMENT EXPENDITURE</t>
  </si>
  <si>
    <t xml:space="preserve">LINES MISCELLANEOUS </t>
  </si>
  <si>
    <t>VBRC SWER ACRs</t>
  </si>
  <si>
    <t>CONDUCTOR ; MATERIAL AAC</t>
  </si>
  <si>
    <t>CONDUCTOR ; MATERIAL ACSR</t>
  </si>
  <si>
    <t>CONDUCTOR ; MATERIAL COPPER</t>
  </si>
  <si>
    <t>CONDUCTOR ; MATERIAL STEEL</t>
  </si>
  <si>
    <t xml:space="preserve"> -   </t>
  </si>
  <si>
    <t>&gt; 11 kV &amp; &lt; = 22 kV  ; FUSE</t>
  </si>
  <si>
    <t>&gt; 33 kV &amp; &lt; = 66 kV ; FUSE</t>
  </si>
  <si>
    <t>RELAYS</t>
  </si>
  <si>
    <t>BATTERIES</t>
  </si>
  <si>
    <t>OTHER - CAPACITIVE VOLTAGE TRANSFORMERS</t>
  </si>
  <si>
    <t>OTHER - CAPACITOR BANK</t>
  </si>
  <si>
    <t>OTHER - CAPACITORS</t>
  </si>
  <si>
    <t>OTHER - CURRENT TRANSFORMERS</t>
  </si>
  <si>
    <t>OTHER - EARTHING</t>
  </si>
  <si>
    <t>OTHER - MAGNETIC VOLTAGE TRANSFORMERS</t>
  </si>
  <si>
    <t>OTHER - NEUTRAL EARTH RESISTORS</t>
  </si>
  <si>
    <t>OTHER - REGULATORS</t>
  </si>
  <si>
    <t>OTHER - STATION SUPPLIES TRANSFORMERS</t>
  </si>
  <si>
    <t>OTHER - SURGE DIVERTERS</t>
  </si>
  <si>
    <t>OTHER - VOLTAGE TRANSFORMERS</t>
  </si>
  <si>
    <t xml:space="preserve">OTHER&lt; ≈ 11 kV ; REACTOR ; </t>
  </si>
  <si>
    <t xml:space="preserve">OTHER&gt; 11 kV &amp; &lt; ≈ 22 kV ; REACTOR ; </t>
  </si>
  <si>
    <t xml:space="preserve">OTHER&gt; 22 kV &amp; &lt; = 66 kV ; REACTOR ; </t>
  </si>
  <si>
    <t>Powercor</t>
  </si>
  <si>
    <t>POLES BY: 
HIGHEST OPERATING VOLTAGE ; MATERIAL TYPE;  STAKING (IF WOOD)</t>
  </si>
  <si>
    <t>˂ = 1 KV; WOOD</t>
  </si>
  <si>
    <t>&gt; 1 KV &amp; &lt; = 11 KV; WOOD</t>
  </si>
  <si>
    <t>˃ 11 KV &amp; &lt; = 22 KV; WOOD</t>
  </si>
  <si>
    <t>&gt; 22 KV &amp; &lt; = 66 KV; WOOD</t>
  </si>
  <si>
    <t>&gt; 66 KV &amp; &lt; = 132 KV; WOOD</t>
  </si>
  <si>
    <t>&gt; 132 KV; WOOD</t>
  </si>
  <si>
    <t>˂ = 1 KV; CONCRETE</t>
  </si>
  <si>
    <t>&gt; 1 KV &amp; &lt; = 11 KV; CONCRETE</t>
  </si>
  <si>
    <t>ACSR km's</t>
  </si>
  <si>
    <t>˃ 11 KV &amp; &lt; = 22 KV; CONCRETE</t>
  </si>
  <si>
    <t>Bare Aluminium km's</t>
  </si>
  <si>
    <t>&gt; 22 KV &amp; &lt; = 66 KV; CONCRETE</t>
  </si>
  <si>
    <t>Bare Copper km's</t>
  </si>
  <si>
    <t>&gt; 66 KV &amp; &lt; = 132 KV; CONCRETE</t>
  </si>
  <si>
    <t>Covered Conductor km's</t>
  </si>
  <si>
    <t>&gt; 132 KV; CONCRETE</t>
  </si>
  <si>
    <t>Steel Conductor km's</t>
  </si>
  <si>
    <t>˂ = 1 KV; STEEL</t>
  </si>
  <si>
    <t>Unknown Conductor km's</t>
  </si>
  <si>
    <t>&gt; 1 KV &amp; &lt; = 11 KV; STEEL</t>
  </si>
  <si>
    <t>OH LV Service Lines km's</t>
  </si>
  <si>
    <t>˃ 11 KV &amp; &lt; = 22 KV; STEEL</t>
  </si>
  <si>
    <t>&gt; 22 KV &amp; &lt; = 66 KV; STEEL</t>
  </si>
  <si>
    <t>&gt; 66 KV &amp; &lt; = 132 KV; STEEL</t>
  </si>
  <si>
    <t>&gt; 132 KV; STEEL</t>
  </si>
  <si>
    <t>OTHER - Bollards and unknown</t>
  </si>
  <si>
    <t/>
  </si>
  <si>
    <t>REGULATORS (ALL VOLTAGES)</t>
  </si>
  <si>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</si>
  <si>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</si>
  <si>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</si>
  <si>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</si>
  <si>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</si>
  <si>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</si>
  <si>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</si>
  <si>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</si>
  <si>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</si>
  <si>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</si>
  <si>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</si>
  <si>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</si>
  <si>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</si>
  <si>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t>&gt; 11 KV &amp; &lt; = 22 KV  ; FUSE</t>
  </si>
  <si>
    <t>&gt; 22 KV &amp; &lt; = 33 KV ; FUSE</t>
  </si>
  <si>
    <t>&gt; 33 KV &amp; &lt; = 66 KV ; FUSE</t>
  </si>
  <si>
    <t>˂ = 11 KV ;  CIRCUIT BREAKER - INDOOR SWITCHBOARD HOUSED</t>
  </si>
  <si>
    <t>&gt; 11 KV &amp; &lt; = 22 KV  ; CIRCUIT BREAKER - INDOOR SWITCHBOARD HOUSED</t>
  </si>
  <si>
    <t>&gt; 22 KV &amp; &lt; = 33 KV ; CIRCUIT BREAKER - INDOOR SWITCHBOARD HOUSED</t>
  </si>
  <si>
    <t>&gt; 33 KV &amp; &lt; = 66 KV ; CIRCUIT BREAKER - INDOOR SWITCHBOARD HOUSED</t>
  </si>
  <si>
    <t>SCADA, NETWORK CONTROL AND PROTECTION SYSTEMS</t>
  </si>
  <si>
    <t>Orange North - TransGrid rebuild Orange 66kV busbar - REFURBISHMENT</t>
  </si>
  <si>
    <t>Rectification of low clearance infringements on subtransmission feeders - REFURBISHMENT</t>
  </si>
  <si>
    <t>Tamworth - TransGrid 132/66kV substation - relocate 66kV feeders - REFURBISHMENT</t>
  </si>
  <si>
    <t>Terranora to QLD border - refurbish 110kV towers in line with Powerlink - REFURBISHMENT</t>
  </si>
  <si>
    <t>Yarrandale to Gilgandra - rebuild existing 66kV feeder - REFURBISHMENT</t>
  </si>
  <si>
    <t>Wagga Copeland St - TransGrid 132/66kV sub - relocate 66kV feeders - REFURBISHMENT</t>
  </si>
  <si>
    <t>Queanbeyan TG to Googong Town ZS Refurbish Line 975 - REFURBISHMENT</t>
  </si>
  <si>
    <t>Pole top refurbishment of Taree to Forster 66kV feeders - REFURBISHMENT</t>
  </si>
  <si>
    <t>Pole top refurbishment of Dubbo to Nyngan 132kV feeder 943/1, 943/2 and 9GU - REFURBISHMENT</t>
  </si>
  <si>
    <t>Gunnedah to Narrabri Tee via Boggabri - refurbish 66kV feeders - REFURBISHMENT</t>
  </si>
  <si>
    <t>Taree - TransGrid 132/66/33kV substation - relocate 33kV feeders - REFURBISHMENT</t>
  </si>
  <si>
    <t>Customer Metering and Load Control</t>
  </si>
  <si>
    <t>Easements</t>
  </si>
  <si>
    <t>Land (System)</t>
  </si>
  <si>
    <t>S&amp;W Accrual and Other Adjustments</t>
  </si>
  <si>
    <t>Dist Lines &amp; Cables, Sub Trans Lines,LV Lines (bal. items) - REFURBISHMENT</t>
  </si>
  <si>
    <t>Subtransmission Lines (balancing Items) - - REFURBISHMENT</t>
  </si>
  <si>
    <t xml:space="preserve"> ASSET QUANTITY - AT YEAR END</t>
  </si>
  <si>
    <t>ASSET QUANTITY - INSPECTED/ MAINTAINED</t>
  </si>
  <si>
    <t xml:space="preserve">AVERAGE AGE OF ASSET GROUP </t>
  </si>
  <si>
    <t>INSPECTION CYCLE (YEARS)</t>
  </si>
  <si>
    <t>MAINTENANCE CYCLE (YEARS)</t>
  </si>
  <si>
    <t xml:space="preserve"> ROUTINE MAINTENANCE COST ($000'S)</t>
  </si>
  <si>
    <t>NON-ROUTINE MAINTENANCE COST ($000'S)</t>
  </si>
  <si>
    <t>MAINTENANCE ACTIVITY</t>
  </si>
  <si>
    <t>MAINTENANCE ASSET CATEGORY</t>
  </si>
  <si>
    <t>UNIT OF MEASURE - ASSET QUANTITY</t>
  </si>
  <si>
    <t>POLE TOP, OVERHEAD LINE &amp; SERVICE LINE MAINTENANCE</t>
  </si>
  <si>
    <t>POLE TOPS AND OVERHEAD LINES</t>
  </si>
  <si>
    <t>NUMBER OF POLES (000'S)</t>
  </si>
  <si>
    <t>SERVICE LINES</t>
  </si>
  <si>
    <t>NUMBER OF CUSTOMERS (000'S)</t>
  </si>
  <si>
    <t>POLE INSPECTION AND TREATMENT</t>
  </si>
  <si>
    <t>ALL POLES</t>
  </si>
  <si>
    <t>OVERHEAD ASSET INSPECTION</t>
  </si>
  <si>
    <t>ALL OVERHEAD ASSETS</t>
  </si>
  <si>
    <t>LINE PATROLLED (ROUTE KM) (000'S)</t>
  </si>
  <si>
    <t>NETWORK UNDERGROUND CABLE MAINTENANCE: BY VOLTAGE</t>
  </si>
  <si>
    <t>LV - 11 TO 22 KV</t>
  </si>
  <si>
    <t>LENGTH (KM) (000'S)</t>
  </si>
  <si>
    <t>33 KV AND ABOVE</t>
  </si>
  <si>
    <t>NETWORK UNDERGROUND CABLE MAINTENANCE: BY LOCATION</t>
  </si>
  <si>
    <t>CBD</t>
  </si>
  <si>
    <t>NON-CBD</t>
  </si>
  <si>
    <t>DISTRIBUTION SUBSTATION EQUIPMENT &amp; PROPERTY MAINTENANCE</t>
  </si>
  <si>
    <t>DISTRIBUTION SUBSTATION TRANSFORMERS</t>
  </si>
  <si>
    <t>NUMBER OF INSTALLED TRANSFORMERS (000'S)</t>
  </si>
  <si>
    <t>DISTRIBUTION SUBSTATION SWITCHGEAR (WITHIN-SUBSTATIONS AND STAND-ALONE SWITCHGEAR)</t>
  </si>
  <si>
    <t>NUMBER OF SWITCHES (000'S)</t>
  </si>
  <si>
    <t>DISTRIBUTION SUBSTATION - OTHER EQUIPMENT</t>
  </si>
  <si>
    <t>DNSP TO NOMINATE</t>
  </si>
  <si>
    <t>DISTRIBUTION SUBSTATION - PROPERTY</t>
  </si>
  <si>
    <t>NUMBER OF DISTRIBUTION SUBSTATION PROPERTIES MAINTAINED (000'S)</t>
  </si>
  <si>
    <t>ZONE SUBSTATION EQUIPMENT MAINTENANCE</t>
  </si>
  <si>
    <t>TRANSFORMERS - ZONE SUBSTATION</t>
  </si>
  <si>
    <t>NUMBER OF ZONE SUBSTATION TRANSFORMERS (000'S)</t>
  </si>
  <si>
    <t xml:space="preserve">TRANSFORMERS - DISTRIBUTION </t>
  </si>
  <si>
    <t>NUMBER OF DISTRIBUTION TRANSFORMERS WITHIN ZONE SUBSTATIONS (000'S)</t>
  </si>
  <si>
    <t>TRANSFORMERS - HV</t>
  </si>
  <si>
    <t>NUMBER OF HV TRANSFORMERS (000'S)</t>
  </si>
  <si>
    <t>ZONE SUBSTATION - OTHER EQUIPMENT</t>
  </si>
  <si>
    <t>ZONE SUBSTATION PROPERTY MAINTENANCE</t>
  </si>
  <si>
    <t>ALL ZONE SUBSTATION PROPERTIES</t>
  </si>
  <si>
    <t>NUMBER OF ZONE SUBSTATION PROPERTIES MAINTAINED (000'S)</t>
  </si>
  <si>
    <t xml:space="preserve">PUBLIC LIGHTING MAINTENANCE </t>
  </si>
  <si>
    <t>MINOR ROADS</t>
  </si>
  <si>
    <t>NUMBER OF PUBLIC LIGHTS MAINTAINED (000'S)</t>
  </si>
  <si>
    <t>MAJOR ROADS</t>
  </si>
  <si>
    <t>SCADA &amp; NETWORK CONTROL MAINTENANCE</t>
  </si>
  <si>
    <t>PROTECTION SYSTEMS MAINTENANCE</t>
  </si>
  <si>
    <t>SUBTRANSMISSION ASSET MAINTENANCE - FOR DNSPS WITH DUAL FUNCTION ASSETS</t>
  </si>
  <si>
    <t>ASSET CATEGORY (DNSP TO NOMINATE)</t>
  </si>
  <si>
    <t>[OTHER MAINTENANCE ACTIVITY 2] (DNSP TO NOMINATE)</t>
  </si>
  <si>
    <t>OTHER</t>
  </si>
  <si>
    <t>FIELD DEVICES, LOCAL NETWORK WIRING ASSETS and COMMUNICATIONS NETWORK ASSETS</t>
  </si>
  <si>
    <t>RELAYS AND BATTERIES</t>
  </si>
  <si>
    <t xml:space="preserve">MEAN </t>
  </si>
  <si>
    <t xml:space="preserve">STANDARD DEVIATION </t>
  </si>
  <si>
    <t>OTHER:  ˂ = 1 kV; CROSS ARMS</t>
  </si>
  <si>
    <t>OTHER: &gt; 1 kV &amp; &lt; = 11 kV; CROSS ARMS</t>
  </si>
  <si>
    <t>OTHER: ˃ 11 kV &amp; &lt; = 22 kV; CROSS ARMS</t>
  </si>
  <si>
    <t>OTHER: &gt; 22 kV &amp; &lt; = 66 kV; CROSS ARMS</t>
  </si>
  <si>
    <t xml:space="preserve">OTHER&lt; = 11 kV ; REACTOR ; </t>
  </si>
  <si>
    <t xml:space="preserve">OTHER&gt; 11 kV &amp; &lt; = 22 kV ; REACTOR ; </t>
  </si>
  <si>
    <t>Included Above</t>
  </si>
  <si>
    <t>REGULATOR UNITS (000's)</t>
  </si>
  <si>
    <t xml:space="preserve">     Aux Transformers - (000's)</t>
  </si>
  <si>
    <t xml:space="preserve">     Batteries - (000's)</t>
  </si>
  <si>
    <t xml:space="preserve">     Capacitor Banks - (000's)</t>
  </si>
  <si>
    <t xml:space="preserve">     Chargers - (000's)</t>
  </si>
  <si>
    <t xml:space="preserve">     Circuit Breakers - (000's)</t>
  </si>
  <si>
    <t xml:space="preserve">     Current Transformers -(000's)</t>
  </si>
  <si>
    <t xml:space="preserve">     Regulators (Single Phase) - (000's)</t>
  </si>
  <si>
    <t xml:space="preserve">     Relays - (000's)</t>
  </si>
  <si>
    <t xml:space="preserve">     Surge Diverters &lt;33kV - All units at a ZS site replaced - IF the site has 11/22kV present - 11/22kV sub sites</t>
  </si>
  <si>
    <t xml:space="preserve">     Surge Diverters (&gt;= 33kV) - (000's)</t>
  </si>
  <si>
    <t xml:space="preserve">     HV Switches/Earth Switches/Disconnectors/Fault Throwers - (000's)</t>
  </si>
  <si>
    <t>4yrs/12yrs</t>
  </si>
  <si>
    <t xml:space="preserve">     HV Indoor Switchboards - (000's)</t>
  </si>
  <si>
    <t xml:space="preserve">     Tapchangers - (000's)</t>
  </si>
  <si>
    <t xml:space="preserve">     Voltage Regulation Relays - (000's)</t>
  </si>
  <si>
    <t xml:space="preserve">     Voltage Transformers - (000's)</t>
  </si>
  <si>
    <t xml:space="preserve">     ZS Site Inspections - No of inspections - (000's)</t>
  </si>
  <si>
    <t xml:space="preserve">     ZS Buildings - (000's)</t>
  </si>
  <si>
    <t>ZSS RTU's  and  No. of last mile assets</t>
  </si>
  <si>
    <t>Distribution Assets - (000's)</t>
  </si>
  <si>
    <t>Zone Substation Assets - (000's)</t>
  </si>
  <si>
    <t>DISTRIBUTION RECLOSERS</t>
  </si>
  <si>
    <t>Protection Circuits - (000's)</t>
  </si>
  <si>
    <t>OTHER INSPECTION PROGRAMS</t>
  </si>
  <si>
    <t>PIT AND PILLAR INSPECTION</t>
  </si>
  <si>
    <t>CUBICLES (000'S)</t>
  </si>
  <si>
    <t>CRITICAL EQIPMENT INSPECTION</t>
  </si>
  <si>
    <t>EQUIPMENT UNITS (000'S)</t>
  </si>
  <si>
    <t>ENCLOSED SUBSTATION INSPECTION</t>
  </si>
  <si>
    <t>SUBSTATIONS (000'S)</t>
  </si>
  <si>
    <t>ANNUAL THERMOVISION INSPECTION URBAN</t>
  </si>
  <si>
    <t>URBAN HV POLES (000'S)</t>
  </si>
  <si>
    <t>ANNUAL REGULATOR AND RECLOSER INSPECTION</t>
  </si>
  <si>
    <t>UNITS (000'S)</t>
  </si>
  <si>
    <t xml:space="preserve">EARTH INTEGRITY TESTING </t>
  </si>
  <si>
    <t>EARTH SITES (000'S)</t>
  </si>
  <si>
    <t>SUBTRANSMISSION LIVE LINE INSPECTION</t>
  </si>
  <si>
    <t>POLES (000'S)</t>
  </si>
  <si>
    <t>ANNUAL FIRE MITIGATION INSPECTION</t>
  </si>
  <si>
    <t>BOLLARD; WOOD</t>
  </si>
  <si>
    <t>BOLLARD; CONCRETE</t>
  </si>
  <si>
    <t>BOLLARD; STEEL</t>
  </si>
  <si>
    <t>LV; FIBRE COMPOSITE</t>
  </si>
  <si>
    <t>&gt; 1 kV &amp; &lt; = 11 kV; FIBRE COMPOSITE</t>
  </si>
  <si>
    <t>˃ 11 kV &amp; &lt; = 22 kV; FIBRE COMPOSITE</t>
  </si>
  <si>
    <t>LV; STOBIE</t>
  </si>
  <si>
    <t>&gt; 1 kV &amp; &lt; = 11 kV; STOBIE</t>
  </si>
  <si>
    <t>˃ 11 kV &amp; &lt; = 22 kV; STOBIE</t>
  </si>
  <si>
    <t>&gt; 22 kV &amp; &lt; = 66 kV; STOBIE</t>
  </si>
  <si>
    <t>&gt; 66 kV &amp; &lt; = 132 kV; STOBIE</t>
  </si>
  <si>
    <t>BOLLARD; STOBIE</t>
  </si>
  <si>
    <t>LV; UNKNOWN</t>
  </si>
  <si>
    <t>&gt; 1 kV &amp; &lt; = 11 kV; UNKNOWN</t>
  </si>
  <si>
    <t>˃ 11 kV &amp; &lt; = 22 kV; UNKNOWN</t>
  </si>
  <si>
    <t>&gt; 22 kV &amp; &lt; = 66 kV; UNKNOWN</t>
  </si>
  <si>
    <t>&gt; 66 kV &amp; &lt; = 132 kV; UNKNOWN</t>
  </si>
  <si>
    <t>BOLLARD; UNKNOWN</t>
  </si>
  <si>
    <t xml:space="preserve">OH ˂ = 11 kV ; RESIDENTIAL ; SIMPLE TYPE </t>
  </si>
  <si>
    <t xml:space="preserve">OH ˂ = 11 kV ; COMMERCIAL &amp; INDUSTRIAL ; SIMPLE TYPE </t>
  </si>
  <si>
    <t xml:space="preserve">OH ˂ = 11 kV ; RESIDENTIAL ; COMPLEX TYPE </t>
  </si>
  <si>
    <t xml:space="preserve">UG ˂ = 11 kV ; RESIDENTIAL ; SIMPLE TYPE </t>
  </si>
  <si>
    <t xml:space="preserve">UG ˂ = 11 kV ; COMMERCIAL &amp; INDUSTRIAL ; SIMPLE TYPE </t>
  </si>
  <si>
    <t xml:space="preserve">UG ˂ = 11 kV ; RESIDENTIAL ; COMPLEX TYPE </t>
  </si>
  <si>
    <t>SWITCHGEAR</t>
  </si>
  <si>
    <t>&gt; 22 kV &amp; &lt; = 33 kV ; FUSE</t>
  </si>
  <si>
    <t>&gt; 66 kV &amp; &lt;= 132 kV ; FUSE</t>
  </si>
  <si>
    <t>&lt; = 22kV</t>
  </si>
  <si>
    <t>&gt; 22kV AND &lt;= 33kV</t>
  </si>
  <si>
    <t>LV</t>
  </si>
  <si>
    <t>SWER</t>
  </si>
  <si>
    <t>11kV; 1 PHASE</t>
  </si>
  <si>
    <t>11kV; 3 PHASE</t>
  </si>
  <si>
    <t>11kV; UNKNOWN</t>
  </si>
  <si>
    <t>12.7kV; SWER</t>
  </si>
  <si>
    <t>132kV; UNKNOWN</t>
  </si>
  <si>
    <t>19.1kV; SWER</t>
  </si>
  <si>
    <t>22kV; 1 PHASE</t>
  </si>
  <si>
    <t>22kV; 3 PHASE</t>
  </si>
  <si>
    <t>22kV; UNKNOWN</t>
  </si>
  <si>
    <t>33kV; 3 PHASE</t>
  </si>
  <si>
    <t>66kV; 3 PHASE</t>
  </si>
  <si>
    <t>&lt; = 22kV ;  &lt; = 15MVA</t>
  </si>
  <si>
    <t>&lt; = 22kV ;  &gt; 15MVA and &lt;= 40MVA</t>
  </si>
  <si>
    <t>&lt; = 22kV ;  &gt; 40MVA and &lt;= 100MVA</t>
  </si>
  <si>
    <t>&gt;22kVA and &lt;= 66kVA ; &lt;= 15MVA</t>
  </si>
  <si>
    <t>&gt;22kVA and &lt;= 66kVA; &gt; 15MVA and &lt;= 40MVA</t>
  </si>
  <si>
    <t>&gt;22kVA and &lt;= 66kVA;  &gt; 40MVA and &lt;= 100MVA</t>
  </si>
  <si>
    <t>&gt;22kVA and &lt;= 66kVA ; &gt; 100MVA</t>
  </si>
  <si>
    <t>ELECTRICITY METERS</t>
  </si>
  <si>
    <t>Type 5 &amp; 6 Installed Meters</t>
  </si>
  <si>
    <t>STAY POLES (AERIAL GUYS)</t>
  </si>
  <si>
    <t>OVERHEAD CONDUCTORS BY: 
HIGHEST OPERATING VOLTAGE; NUMBER OF PHASES (AT HV)</t>
  </si>
  <si>
    <t>UNDERGROUND CABLES BY: 
HIGHEST OPERATING VOLTAGE</t>
  </si>
  <si>
    <t>PUBLIC LIGHTING UNDERGROUND CABLE</t>
  </si>
  <si>
    <t xml:space="preserve">SERVICE LINES BY: 
CONNECTION VOLTAGE; CUSTOMER TYPE; CONNECTION COMPLEXITY </t>
  </si>
  <si>
    <t>LV OVERHEAD SERVICE CABLE</t>
  </si>
  <si>
    <t>LV UNDERGROUND SERVICE CABLE</t>
  </si>
  <si>
    <t>TRANSFORMERS BY: 
MOUNTING TYPE; HIGHEST OPERATING VOLTAGE ; AMPERE RATING; NUMBER OF PHASES (AT LV)</t>
  </si>
  <si>
    <t>SWITCHGEAR BY: 
HIGHEST OPERATING VOLTAGE ; SWITCH FUNCTION</t>
  </si>
  <si>
    <t>&gt; 11 KV &amp; &lt; ≈ 22 KV  ; ISOLATORS, EARTHING SWITCH</t>
  </si>
  <si>
    <t>PUBLIC LIGHTING BY: 
ASSET TYPE ; LIGHTING OBLIGATION</t>
  </si>
  <si>
    <t>SCADA, NETWORK CONTROL AND PROTECTION SYSTEMS BY: 
FUNCTION</t>
  </si>
  <si>
    <t>ZONE SUBSTATION RELAYS (ELECTROMECHANICAL)</t>
  </si>
  <si>
    <t>ZONE SUBSTATION RELAYS (ELECTRONIC)</t>
  </si>
  <si>
    <t>ZONE SUBSTATION RELAYS (DIGITAL)</t>
  </si>
  <si>
    <t>ZONE SUBSTATION CONTROL</t>
  </si>
  <si>
    <t>ZONE SUBSTATION RTU'S</t>
  </si>
  <si>
    <t>DISTRIBUTION RTU'S</t>
  </si>
  <si>
    <t>ZONE SUBSTATION ANALOGUE COMMUNICATION</t>
  </si>
  <si>
    <t>ZONE SUBSTATION DIGITAL COMMUNICATION</t>
  </si>
  <si>
    <t>ZONE SUBSTATION ETHERNET COMMUNICATION</t>
  </si>
  <si>
    <t>DISTRIBUTION FIELD DEVICE COMMUNICATIONS</t>
  </si>
  <si>
    <t>FIBRE OPTIC CABLE - (KM)</t>
  </si>
  <si>
    <t>CLIENT</t>
  </si>
  <si>
    <t>FEP</t>
  </si>
  <si>
    <t>PRINTER</t>
  </si>
  <si>
    <t>ROUTER</t>
  </si>
  <si>
    <t>SECURITY DEVICE</t>
  </si>
  <si>
    <t>SERVER</t>
  </si>
  <si>
    <t>SWITCH</t>
  </si>
  <si>
    <t>OTHER BY: 
DNSP DEFINED</t>
  </si>
  <si>
    <t>CitiPower</t>
  </si>
  <si>
    <t>Jemena</t>
  </si>
  <si>
    <t>United Energy</t>
  </si>
  <si>
    <t>All VIC DNSP’s</t>
  </si>
  <si>
    <t>UG Cable</t>
  </si>
  <si>
    <t>Source</t>
  </si>
  <si>
    <t>Ausgrid</t>
  </si>
  <si>
    <t>Endeavour</t>
  </si>
  <si>
    <t>ASSET REPLACEMENTS</t>
  </si>
  <si>
    <t>ASSETS IN COMMISSION</t>
  </si>
  <si>
    <t>33kV Wood</t>
  </si>
  <si>
    <t>66kV Wood</t>
  </si>
  <si>
    <t>33kV Concrete</t>
  </si>
  <si>
    <t>66kV Concrete</t>
  </si>
  <si>
    <t>N/A</t>
  </si>
  <si>
    <t>33kV Steel</t>
  </si>
  <si>
    <t>66kV Steel</t>
  </si>
  <si>
    <t>11 &amp; 22kV</t>
  </si>
  <si>
    <t>33kV</t>
  </si>
  <si>
    <t>66kV</t>
  </si>
  <si>
    <t>132kV Pole Line</t>
  </si>
  <si>
    <t>132kV Tower Lines</t>
  </si>
  <si>
    <t>LV OH</t>
  </si>
  <si>
    <t>LV UG</t>
  </si>
  <si>
    <t>Dist USL</t>
  </si>
  <si>
    <t>Dist ABS</t>
  </si>
  <si>
    <t>Dist LBS</t>
  </si>
  <si>
    <t>Dist SEC</t>
  </si>
  <si>
    <t>Dist REC</t>
  </si>
  <si>
    <t>Transmission ABS</t>
  </si>
  <si>
    <t>Transmission USL</t>
  </si>
  <si>
    <t>Transmission DOF</t>
  </si>
  <si>
    <t>LV Links</t>
  </si>
  <si>
    <t>Streetlights</t>
  </si>
  <si>
    <t>SCADA Sub sites</t>
  </si>
  <si>
    <t>Microwave Towers</t>
  </si>
  <si>
    <t>Microwave Civil Works</t>
  </si>
  <si>
    <t>Microwave Equipment</t>
  </si>
  <si>
    <t>Reclosers</t>
  </si>
  <si>
    <t>Repeaters</t>
  </si>
  <si>
    <t>GRN Radios</t>
  </si>
  <si>
    <t>Towers</t>
  </si>
  <si>
    <t>Substation Establishment: Major Indoor</t>
  </si>
  <si>
    <t>Substation Establishment: Major Outdoor</t>
  </si>
  <si>
    <t>Substation Establishment: Medium Indoor</t>
  </si>
  <si>
    <t>Substation Establishment: Medium Outdoor</t>
  </si>
  <si>
    <t>Substation Establishment: Small Indoor</t>
  </si>
  <si>
    <t>Substation Establishment: Small Outdoor</t>
  </si>
  <si>
    <t>Substation Establishment: Type A</t>
  </si>
  <si>
    <t>Substation Establishment: Type B</t>
  </si>
  <si>
    <t>Substation Miscellaneous Total Expenditure</t>
  </si>
  <si>
    <t>Substation Major Projects Total Expenditure</t>
  </si>
  <si>
    <t>Pilot Cables</t>
  </si>
  <si>
    <t>11 - Chamber type (with LV CB) 1 Transformer Substn</t>
  </si>
  <si>
    <t>11 - Chamber type (with LV CB) 2 Transformer Substn</t>
  </si>
  <si>
    <t>11 - Chamber type (with LV CB) 3 Transformer Substn</t>
  </si>
  <si>
    <t>11 - Chamber type (with LV CB) 4 Transformer Substn</t>
  </si>
  <si>
    <t>11 - Chamber type (with LV CB) 5 Transformer Substn</t>
  </si>
  <si>
    <t>11 - Chamber type (with LV CB) 6 Transformer Substn</t>
  </si>
  <si>
    <t>11 - Chamber type (with LV CB) 7 Transformer Substn</t>
  </si>
  <si>
    <t>11/22 - 1 phase All sizes Substn</t>
  </si>
  <si>
    <t>11/22 - 3 phase &lt;64kVA Substn</t>
  </si>
  <si>
    <t>11/22 - 3 phase &gt;=64kVA Substn</t>
  </si>
  <si>
    <t>11/22 - kiosk and pad mount &lt;=500kVA Substn</t>
  </si>
  <si>
    <t>11/22 - kiosk and pad mount &gt;500kVA Substn</t>
  </si>
  <si>
    <t>11/22 Switching Station</t>
  </si>
  <si>
    <t>12.7 SWER All sizes Substn</t>
  </si>
  <si>
    <t>33 - 3 phase &lt;64kVA Substn</t>
  </si>
  <si>
    <t>33 - 3 phase &gt;=64kVA Substn</t>
  </si>
  <si>
    <t>Cap Bank 11</t>
  </si>
  <si>
    <t>Cap Bank 22</t>
  </si>
  <si>
    <t>Cap Bank 33</t>
  </si>
  <si>
    <t>Cap Bank 66</t>
  </si>
  <si>
    <t>Cap Bank 132</t>
  </si>
  <si>
    <t>NA</t>
  </si>
  <si>
    <t>1 to 12</t>
  </si>
  <si>
    <t>2 weeks to 6 years</t>
  </si>
  <si>
    <t>1 to 4.5</t>
  </si>
  <si>
    <t>5 to 10</t>
  </si>
  <si>
    <t>1 to 3</t>
  </si>
  <si>
    <t>RESIDENTIAL ROADS</t>
  </si>
  <si>
    <t>NUMBER OF SCADA &amp; CONTROL EQUIPMENT</t>
  </si>
  <si>
    <t>NUMBER OF PROTECTION EQUIPMENT</t>
  </si>
  <si>
    <t>3 to 6</t>
  </si>
  <si>
    <t>Average Age</t>
  </si>
  <si>
    <t>REGULATORS BY: 
HIGHEST OPERATING VOLTAGE</t>
  </si>
  <si>
    <t>REACTORS BY: 
HIGHEST OPERATING VOLTAGE</t>
  </si>
  <si>
    <t>LINE FAULT INDICATORS BY: 
HIGHEST OPERATING VOLTAGE; PHASES;</t>
  </si>
  <si>
    <t xml:space="preserve">ZONE SUB POWER TRANSFORMERS BY: 
HIGHEST OPERATING VOLTAGE ; AMPERE RATING(MVA); </t>
  </si>
  <si>
    <t>Total Count</t>
  </si>
  <si>
    <t>TOTAL</t>
  </si>
  <si>
    <t>SCADA</t>
  </si>
  <si>
    <t>POLE TOP STRUCTURES BY: 
HIGHEST OPERATING VOLTAGE</t>
  </si>
  <si>
    <t>TOTAL POLES BY: 
FEEDER TYPE</t>
  </si>
  <si>
    <t>OVERHEAD CONDUCTORS BY:
CONDUCTOR LENGTH BY FEEDER TYPE</t>
  </si>
  <si>
    <t>OVERHEAD CONDUCTORS BY: 
CONDUCTOR LENGTH MATERIAL TYPE</t>
  </si>
  <si>
    <t>UNDERGROUND CABLES BY: 
CABLE LENGTH BY FEEDER TYPE</t>
  </si>
  <si>
    <t>TRANSFORMERS BY: 
TOTAL MVA</t>
  </si>
  <si>
    <t>&lt; = 11kV; RESIDENTIAL ; SIMPLE ; OVERHEAD</t>
  </si>
  <si>
    <t>&lt; = 11kV; RESIDENTIAL ; SIMPLE ; UNDERGROUND</t>
  </si>
  <si>
    <t>&lt; = 11kV; COMMERCIAL &amp; INDUSTRIAL ; SIMPLE ; OVERHEAD</t>
  </si>
  <si>
    <t>&lt; = 11kV; COMMERCIAL &amp; INDUSTRIAL ; SIMPLE ; UNDERGROUND</t>
  </si>
  <si>
    <t>&lt; 1 kV ; CIRCUIT BREAKER</t>
  </si>
  <si>
    <t>&gt; 1 kV &amp; &lt; ≈ 11 kV ; CIRCUIT BREAKER</t>
  </si>
  <si>
    <t>&gt; 11 kV &amp; &lt; ≈ 33 kV ; FUSE &amp; FUSE SWITCH (not including enclosed type)</t>
  </si>
  <si>
    <t>PILOT CABLES</t>
  </si>
  <si>
    <t>DISTRIBUTION SUBSTATIONS - OTHER</t>
  </si>
  <si>
    <t>DISTRIBUTION VOLTAGE REGULATION</t>
  </si>
  <si>
    <t>TOWERS - &gt; = 33 kV ; ANTI-CLIMB DEVICES</t>
  </si>
  <si>
    <t>TOWERS - &gt; = 33 kV TOWER FOOTINGS</t>
  </si>
  <si>
    <t>TOWERS - &gt; = 33 kV TOWER REFURBISHMENT</t>
  </si>
  <si>
    <t>ZONE &amp; SUBTRANSMISION SUBSTATIONS - OTHER</t>
  </si>
  <si>
    <t>BUILDINGS</t>
  </si>
  <si>
    <t>Zone DC Systems</t>
  </si>
  <si>
    <t>Zone CLC equipment (Electronic)</t>
  </si>
  <si>
    <t>Zone General (including spares)</t>
  </si>
  <si>
    <t>Zone prot. &amp; control equipment (Electronic)</t>
  </si>
  <si>
    <t>STS Protection &amp; Control (Electronic)</t>
  </si>
  <si>
    <t>STS Reactors and Capacitors</t>
  </si>
  <si>
    <t>Sub-Transmission Main OH Easement</t>
  </si>
  <si>
    <t>STS Building (incl sw. stns)</t>
  </si>
  <si>
    <t>STS Communications</t>
  </si>
  <si>
    <t>STS DC Systems</t>
  </si>
  <si>
    <t>STS General (including spares)</t>
  </si>
  <si>
    <t>Zone Reactors and Capacitors</t>
  </si>
  <si>
    <t>Zone CLC equipment (Mechanical)</t>
  </si>
  <si>
    <t>Suburban</t>
  </si>
  <si>
    <t>COPPER (KM)</t>
  </si>
  <si>
    <t>ALUMINIUM (KM)</t>
  </si>
  <si>
    <t>ACSR (KM)</t>
  </si>
  <si>
    <t>STEEL (KM)</t>
  </si>
  <si>
    <t>FIELD DEVICES - Relays</t>
  </si>
  <si>
    <t>FIELD DEVICES - RTUs</t>
  </si>
  <si>
    <t>COMMUNICATIONS NETWORK ASSETS - Optic Fibre</t>
  </si>
  <si>
    <t>COMMUNICATIONS NETWORK ASSETS - Copper pilot cable</t>
  </si>
  <si>
    <t>COMMUNICATIONS NETWORK ASSETS - Telecommunications apparatus (bay no.s)</t>
  </si>
  <si>
    <t>MASTER STATION ASSETS - Controlroom video wall</t>
  </si>
  <si>
    <t>MASTER STATION ASSETS - DNMS system (complete application)</t>
  </si>
  <si>
    <t>MASTER STATION ASSETS - Master station servers</t>
  </si>
  <si>
    <t>MASTER STATION ASSETS - Master station DNMS workstations</t>
  </si>
  <si>
    <t>MASTER STATION ASSETS - Master station 30" monitors</t>
  </si>
  <si>
    <t>MASTER STATION ASSETS - Master station IP Network Cisco switches</t>
  </si>
  <si>
    <t>MASTER STATION ASSETS - Master station IP Network routers</t>
  </si>
  <si>
    <t>MASTER STATION ASSETS - Master station IP Network Firewalls</t>
  </si>
  <si>
    <t>MASTER STATION ASSETS - L&amp;N LN2068 SCADA Master Station</t>
  </si>
  <si>
    <t xml:space="preserve">DISTRIBUTION SUBSTATIONS </t>
  </si>
  <si>
    <t>TOWERS</t>
  </si>
  <si>
    <t>ZONE &amp; SUBTRANSMISION SUBSTATIONS</t>
  </si>
  <si>
    <t>METERS - 3 PHASE</t>
  </si>
  <si>
    <t>METERS - 1 PHASE</t>
  </si>
  <si>
    <t>OH Cond</t>
  </si>
  <si>
    <t>Service Lines</t>
  </si>
  <si>
    <t>Other</t>
  </si>
  <si>
    <t>NUMBER OF EQUIPMENT</t>
  </si>
  <si>
    <t>NUMBER OF EQUIPMENT (000's)</t>
  </si>
  <si>
    <t>Length of comms cable (km)</t>
  </si>
  <si>
    <t>No. of protection relays ('000s)</t>
  </si>
  <si>
    <t>Number of items (000's)</t>
  </si>
  <si>
    <t>POLES  AND OVERHEAD LINES</t>
  </si>
  <si>
    <t>No. of poles ('000s)</t>
  </si>
  <si>
    <t>OH0102 - Patrol - Concrete, wood and steel pole lines including poles, standards, LV pillars and pit lids. Façade Mounted ABC - OVERHEAD LINES</t>
  </si>
  <si>
    <t>POLE TOPS AND OVERHEAD LINES - 33 kV and above</t>
  </si>
  <si>
    <t>OH0107 - Patrol - Bush Fire Risk Areas and Post Feeder Trip  - OVERHEAD LINES</t>
  </si>
  <si>
    <t>OH0112 - Patrol - Subtransmisison Concrete, wood and steel pole lines  - OVERHEAD LINES</t>
  </si>
  <si>
    <t>TOWER LINES</t>
  </si>
  <si>
    <t>OH0103 - Patrol  - Subtransmission, Steel Towers - OVERHEAD LINES</t>
  </si>
  <si>
    <t>OH0105 - Polebase Examination (all poles and standards). - OVERHEAD LINES</t>
  </si>
  <si>
    <t xml:space="preserve">Line patrolled (route km) </t>
  </si>
  <si>
    <t>LV - 11 to 22 kV</t>
  </si>
  <si>
    <t>Length (km) (inspected qty in  '000s tasks)</t>
  </si>
  <si>
    <t>UG2101 - Low Voltage all types - LV PILLARS</t>
  </si>
  <si>
    <t>OH0102 - Patrol - Concrete, wood and steel pole lines including poles, standards, LV pillars and pit lids. Façade Mounted ABC</t>
  </si>
  <si>
    <t>33 kV and above</t>
  </si>
  <si>
    <t>UG0104 - Oil Filled Cables, 132 and 33kV - 132KV CABLES</t>
  </si>
  <si>
    <t>UG0102 - Oil Filled Cables, 132 and 33kV - 132KV CABLES</t>
  </si>
  <si>
    <t>UG0103 - Oil Filled Cables, 132 and 33kV - 132KV CABLES</t>
  </si>
  <si>
    <t>UG0105 - Oil Filled Cables, 132 and 33kV - 132KV CABLES</t>
  </si>
  <si>
    <t>UG0104 - Oil Filled Cables, 132 and 33kV - 66KV CABLES</t>
  </si>
  <si>
    <t>UG0103 - Oil Filled Cables, 132 and 33kV - 66KV CABLES</t>
  </si>
  <si>
    <t>UG0102 - Oil Filled Cables, 132 and 33kV - 33KV CABLES</t>
  </si>
  <si>
    <t>UG0103 - Oil Filled Cables, 132 and 33kV - 33KV CABLES</t>
  </si>
  <si>
    <t>UG0301 - Gas Pressure Cables, 33kV</t>
  </si>
  <si>
    <t>UG0401 - Tunnel Examination</t>
  </si>
  <si>
    <t>UG0441 - Tunnel Sumps and Pumps</t>
  </si>
  <si>
    <t>UG0442 - Tunnel Sumps and Pumps</t>
  </si>
  <si>
    <t>UG0444 - Sump Pumps - 10,000 hrs - CITY SOUTH 132KV CABLE TUNNEL</t>
  </si>
  <si>
    <t>UG0445 - Tunnel drainage channels - CITY SOUTH 132KV CABLE TUNNEL</t>
  </si>
  <si>
    <t>UG0446 - Rising main - CITY SOUTH 132KV CABLE TUNNEL</t>
  </si>
  <si>
    <t xml:space="preserve">UG0461 - Radio Communications Equipment </t>
  </si>
  <si>
    <t>UG0462 - Radio Communications Equipment  - CITY SOUTH 132KV CABLE TUNNEL</t>
  </si>
  <si>
    <t>UG0464 - Tunnel temperature, humidity and airflow detectors. - CITY SOUTH 132KV CABLE TUNNEL</t>
  </si>
  <si>
    <t>UG0465 - Tunnel Monitoring and Control System UPS</t>
  </si>
  <si>
    <t>UG0463 - Tunnel Monitoring and Control System</t>
  </si>
  <si>
    <t>UG0468 - Tunnel emergency and construction/fixed lighting</t>
  </si>
  <si>
    <t>UG0467 - Tunnel Switchboards and Distribution Boards</t>
  </si>
  <si>
    <t>Non-CBD</t>
  </si>
  <si>
    <t>Length (km)  (inspected qty in  '000s tasks)</t>
  </si>
  <si>
    <t>No. of installed transformers   ('000s)</t>
  </si>
  <si>
    <t>DISTRIBUTION SUBSTATION SWITCHGEAR (within-substations and stand-alone switchgear)</t>
  </si>
  <si>
    <t>No. of switches   ('000s)</t>
  </si>
  <si>
    <t>SW1201 - Low Voltage Air Circuit Breakers, Manual Spring Charge, Generic - GENERIC TYPES</t>
  </si>
  <si>
    <t>SW1210 - Low Voltage Air Circuit Breakers, Generic - GENERIC TYPES</t>
  </si>
  <si>
    <t>SW1202 - Low Voltage Air Circuit Breakers, Nilsen NAB - GENERIC TYPES</t>
  </si>
  <si>
    <t>SW1203 - Low Voltage Air Circuit Breakers, Nilsen AB - GENERIC TYPES</t>
  </si>
  <si>
    <t>SW1204 - Low Voltage Air Circuit Breakers, Nilsen / PDL D-Pro - GENERIC TYPES</t>
  </si>
  <si>
    <t>SW1205 - Low Voltage Air Circuit Breakers, Standard Waygood LA 50 - GENERIC TYPES</t>
  </si>
  <si>
    <t>SW1206 - Low Voltage Air Circuit Breakers, Boukley &amp; Sawer (B &amp; S) C7  - GENERIC TYPES</t>
  </si>
  <si>
    <t>SW1207 - Low Voltage Air Circuit Breakers, Mitsubishi AE-SH (non-motorised) - GENERIC TYPES</t>
  </si>
  <si>
    <t>SW1208 - Low Voltage Air Circuit Breakers, Westinghouse DS532 - GENERIC TYPES</t>
  </si>
  <si>
    <t>SW1250 - Network Protectors &amp; Motorised LV ACB's, Generic Operational Check - GENERIC TYPES</t>
  </si>
  <si>
    <t>SW1265 - Motorised LV ACB, General Electric MG14 - GENERIC TYPES</t>
  </si>
  <si>
    <t>SW1266 - Motorised LV ACB, Standard Waygood - GENERIC TYPES</t>
  </si>
  <si>
    <t>SW1267 - Motorised LV ACB, Nilsen AB Series - GENERIC TYPES</t>
  </si>
  <si>
    <t>SW1268 - Motorised LV ACB, Nilsen NAB Series - GENERIC TYPES</t>
  </si>
  <si>
    <t>SW1251 - Network Protectors, Generic - GENERIC TYPES</t>
  </si>
  <si>
    <t>SW1252 - Network Protectors, Westinghouse CM-22 Network Protector - GENERIC TYPES</t>
  </si>
  <si>
    <t>SW1253 - Network Protectors, Westinghouse CM-2 Network Protector - GENERIC TYPES</t>
  </si>
  <si>
    <t>SW1254 - Network Protectors, General Electric MG14, Network Protector - GENERIC TYPES</t>
  </si>
  <si>
    <t>SW1255 - Network Protectors, General Electric MG9, Network Protector - GENERIC TYPES</t>
  </si>
  <si>
    <t>SW1258 - Network Protectors, Standard Waygood, Network Protector - GENERIC TYPES</t>
  </si>
  <si>
    <t>SW1259 - Network Protectors, Nilsen AB Series, Network Protector - GENERIC TYPES</t>
  </si>
  <si>
    <t>SW1260 - Network Protectors, Nilsen NAB Series, Network Protector - GENERIC TYPES</t>
  </si>
  <si>
    <t>SW1262 - Motorised Low Voltage Air Circuit Breakers, Merlin Gerin M32 - GENERIC TYPES</t>
  </si>
  <si>
    <t>SW1263 - Motorised Low Voltage Air Circuit Breakers, Nilsen / PDL D-Pro - GENERIC TYPES</t>
  </si>
  <si>
    <t>SW1264 - Low Voltage Air Circuit Breakers, Mitsubishi AE-SH (motorised) - GENERIC TYPES</t>
  </si>
  <si>
    <t>SW1301 - Circuit Breaker, Low Voltage, Oil, All Types - LOW VOLTAGE OIL CIRCUIT BREAKER - ALL TYPES EXCEPT OB SERIES</t>
  </si>
  <si>
    <t>SW1302 - LOW VOLTAGE OIL CIRCUIT BREAKER – OB 8 SERIES (B&amp;S, MV) - LOW VOLTAGE OIL CIRCUIT BREAKER - ALL TYPES EXCEPT OB SERIES</t>
  </si>
  <si>
    <t>SW1801 - Recloser, SF6, Nulec, N Series, Vacuum Outdoor - 33KV RECLOSERS</t>
  </si>
  <si>
    <t>SW1801 - Recloser, SF6, Nulec, N Series, Vacuum Outdoor - 22KV RECLOSERS</t>
  </si>
  <si>
    <t>SW1801 - Recloser, SF6, Nulec, N Series, Vacuum Outdoor - 11KV RECLOSERS</t>
  </si>
  <si>
    <t>SW1803 - Recloser, 11kV, Oil Filled with Oil Interrupters - 11KV RECLOSERS</t>
  </si>
  <si>
    <t>SW1805 - Recloser, 11kV, Oil Filled with Vacuum Interrupters - 11KV RECLOSERS</t>
  </si>
  <si>
    <t>SW2701 - Enclosed Load Break Switch, Automated Operation, Nulec RL Series - ENCLOSED LOAD BREAK SWITCH, OVERHEAD LINES</t>
  </si>
  <si>
    <t>SW2801 - Generic - Only to be done in conjunction with H0111  - AIRBREAK SWITCH, MANUAL, OVERHEAD LINES</t>
  </si>
  <si>
    <t>SW2802 - Generic  - AIRBREAK SWITCH, MANUAL, OVERHEAD LINES</t>
  </si>
  <si>
    <t>SW2901 - Generic - Only to be done in conjunction with H0111  - LINK SWITCH, MANUAL, OVERHEAD LINES</t>
  </si>
  <si>
    <t>SW6101 - Isolating &amp; Earthing Switch and Fuse Switch, Gas Insulated, Metal Clad, 11kV, Generic - RING MAIN SWITCH &amp; FUSE-SWITCH (GAS) - METAL ENCLOSED INCLUDES BUS BARS</t>
  </si>
  <si>
    <t>SW6102 - Ring Main Unit, SF6, Metal Enclosed, 11kV, ABB SafeLink - RING MAIN SWITCH &amp; FUSE-SWITCH (GAS) - METAL ENCLOSED INCLUDES BUS BARS</t>
  </si>
  <si>
    <t>SW6103 - Ring Main Unit, SF6, Metal Enclosed, 33kV - RING MAIN SWITCH &amp; FUSE-SWITCH (GAS) - METAL ENCLOSED INCLUDES BUS BARS</t>
  </si>
  <si>
    <t>SW6201 - Ring Main Switch, Oil, Metal Clad, 11kV, LUCY - RING MAIN SWITCH &amp; FUSE-SWITCH (OIL) - METAL ENCLOSED INCLUDES BUS BARS</t>
  </si>
  <si>
    <t>SW6202 - Ring Main Switch, Oil, Metal Clad, 11kV, LUCY - RING MAIN SWITCH &amp; FUSE-SWITCH (OIL) - METAL ENCLOSED INCLUDES BUS BARS</t>
  </si>
  <si>
    <t>SW6214 - Ring Main Switch, Oil, Metal Clad, 11kV, Generic - RING MAIN SWITCH &amp; FUSE-SWITCH (OIL) - METAL ENCLOSED INCLUDES BUS BARS</t>
  </si>
  <si>
    <t>SW6215 - Ring Main Switch, Oil, Metal Clad, 11kV, Generic - RING MAIN SWITCH &amp; FUSE-SWITCH (OIL) - METAL ENCLOSED INCLUDES BUS BARS</t>
  </si>
  <si>
    <t>SW6205 - Ring Main Switch, Oil, Metal Clad, 11kV, GEC DDFC/DFC - RING MAIN SWITCH &amp; FUSE-SWITCH (OIL) - METAL ENCLOSED INCLUDES BUS BARS</t>
  </si>
  <si>
    <t>SW6210 - Ring Main Switch, Oil, Metal Clad, 11kV, Metal Industries Australia (MIA) - RING MAIN SWITCH &amp; FUSE-SWITCH (OIL) - METAL ENCLOSED INCLUDES BUS BARS</t>
  </si>
  <si>
    <t>SW6211 - Ring Main Switch, Oil, Metal Clad, 11kV, Metal Industries Australia (MIA) - RING MAIN SWITCH &amp; FUSE-SWITCH (OIL) - METAL ENCLOSED INCLUDES BUS BARS</t>
  </si>
  <si>
    <t>SW6208 - Ring Main Switch, Oil, Metal Clad, 11kV, ROKSS (Outdoor Locations) - RING MAIN SWITCH &amp; FUSE-SWITCH (OIL) - METAL ENCLOSED INCLUDES BUS BARS</t>
  </si>
  <si>
    <t>SW6209 - Ring Main Switch, Oil, Metal Clad, 11kV, ROKSS (Outdoor Locations) - RING MAIN SWITCH &amp; FUSE-SWITCH (OIL) - METAL ENCLOSED INCLUDES BUS BARS</t>
  </si>
  <si>
    <t>SW6213 - Ring Main Switch, Oil, Metal Clad, 11kV, GEC, T3/OF - RING MAIN SWITCH &amp; FUSE-SWITCH (OIL) - METAL ENCLOSED INCLUDES BUS BARS</t>
  </si>
  <si>
    <t>SW6301 - Isolating Switch, Isolating &amp; Earthing Switch and Fuse Switch, Oil, Metal Clad, 11kV, Generic - OIL SWITCH - METAL ENCLOSED</t>
  </si>
  <si>
    <t>SW6401 - Ring Main Circuit Breakers, Generic - RING MAIN CIRCUIT BREAKER VACUUM/SF6 - METAL ENCLOSED INCLUDES BUS BARS</t>
  </si>
  <si>
    <t>SW6402 - Ring Main Circuit Breakers, Yorkshire Ringmaster 1 &amp; Brush Falcon Beta - RING MAIN CIRCUIT BREAKER VACUUM/SF6 - METAL ENCLOSED INCLUDES BUS BARS</t>
  </si>
  <si>
    <t>SW6504 - Switchgear,11kV, HOLEC, Magnefix, MD4 - RING MAIN SWITCH (AIR) - RESIN ENCLOSED</t>
  </si>
  <si>
    <t>SW6503 - Switchgear,11kV, HOLEC, Magnefix, MD4 and KRONE. - RING MAIN SWITCH (AIR) - RESIN ENCLOSED</t>
  </si>
  <si>
    <t>DISTRIBUTION VOLTAGE REGULATORS AND CAPACITORS</t>
  </si>
  <si>
    <t>No. of installed regulators . ('000s)</t>
  </si>
  <si>
    <t>OH4001 - 11kV Pole Mounted Capacitors - POLE MOUNTED CONTROL POINTS</t>
  </si>
  <si>
    <t>OH4002 - 11kV Pole Mounted Capacitors - POLE MOUNTED CONTROL POINTS</t>
  </si>
  <si>
    <t>OH4003 - 11kV Pole Mounted Capacitors - POLE MOUNTED CONTROL POINTS</t>
  </si>
  <si>
    <t>OH4004 - Pole Mounted Regulators, Reclosers &amp; Sectionalisers - Major In Service Maintenance - POLE MOUNTED CONTROL POINTS</t>
  </si>
  <si>
    <t>TX6102 - Transformer, Generic, 11kv Single Phase Regulators - 11KV REGULATORS</t>
  </si>
  <si>
    <t>TX8101 - Tapchanger - All types. - 11KV REGULATORS</t>
  </si>
  <si>
    <t>VR0101 - Relay, Voltage Regulation, Generic - VR RELAYS - ELECTROMECHANICAL</t>
  </si>
  <si>
    <t>VR0101 - Relay, Voltage Regulation, Generic - VR RELAYS - ELECTRONIC</t>
  </si>
  <si>
    <t>VR0101 - Relay, Voltage Regulation, Generic - VR RELAYS - NUMERICAL</t>
  </si>
  <si>
    <t>DISTRIBUTION SUBSTATION - BATTERIES</t>
  </si>
  <si>
    <t>No. of batteries ('000s)</t>
  </si>
  <si>
    <t>DC0211 - Alkaline / Lead Acid - Wet Cell (32 - 130 volt) - BATTERIES</t>
  </si>
  <si>
    <t>DC0212 - Alkaline / Lead Acid - Wet Cell (32 - 130 volt) - BATTERIES</t>
  </si>
  <si>
    <t>DC0215 - Wet Cells  (6V-32V) - BATTERIES</t>
  </si>
  <si>
    <t>DC0216 - Wet Cells  (6V-32V) - BATTERIES</t>
  </si>
  <si>
    <t>DC0231 - Alkaline / Lead Acid - Wet Cell (48 volt) - COMMUNICATIONS</t>
  </si>
  <si>
    <t>DC0232 - Alkaline / Lead Acid - Wet Cell (48 volt) - COMMUNICATIONS</t>
  </si>
  <si>
    <t>DC0235 - Sealed Cells  (12V-24V) - BATTERIES</t>
  </si>
  <si>
    <t>DC0251 - Intertrip Battery - Dry Cell (120V/ 240V) - BATTERIES</t>
  </si>
  <si>
    <t>DC0252 - Intertrip Battery - Dry Cell (120V/ 240V) - BATTERIES</t>
  </si>
  <si>
    <t>DC0253 - Intertrip Battery - Lithium (245V) - BATTERIES</t>
  </si>
  <si>
    <t>DC0255 - Intertrip Battery -Wet Cells (240V) - BATTERIES</t>
  </si>
  <si>
    <t>DC0257 - Intertrip Battery - SLA Paste (120V) - BATTERIES</t>
  </si>
  <si>
    <t>No. of distribution substations ('000s)</t>
  </si>
  <si>
    <t>SU0201 - Kiosk Substations - In Service maintenance - KIOSK SUBSTATIONS</t>
  </si>
  <si>
    <t>SU0403 - Underground / Basement type - In Service Maintenance - UNDERGROUND SUBSTATIONS</t>
  </si>
  <si>
    <t>SU0401 - Underground type - Floodgate Maintenance - UNDERGROUND SUBSTATIONS</t>
  </si>
  <si>
    <t>SU0402 - Underground / Basement type - Hatch Maintenance - UNDERGROUND SUBSTATIONS</t>
  </si>
  <si>
    <t>SU0501 - Double Pole Arrangements Minor In Service Maintenance - POLE MOUNTED SUBSTATIONS</t>
  </si>
  <si>
    <t>SU0502 - Double Pole Arrangements Major In Service Maintenance - POLE MOUNTED SUBSTATIONS</t>
  </si>
  <si>
    <t>SU0503 - Single Pole Arrangements Major In Service Maintenance - POLE MOUNTED SUBSTATIONS</t>
  </si>
  <si>
    <t>SU0504 - SWER Arrangements Minor In Service Maintenance - POLE MOUNTED SUBSTATIONS</t>
  </si>
  <si>
    <t>SU0505 - SWER Arrangements - POLE MOUNTED SUBSTATIONS</t>
  </si>
  <si>
    <t>SU0601 - Surface Chamber type - In Service Maintenance - SURFACE CHAMBER SUBSTATIONS</t>
  </si>
  <si>
    <t>SU0701 - Upper Level type - In Service Maintenance - UPPER LEVEL SUBSTATIONS</t>
  </si>
  <si>
    <t>SU0901 - Outdoor type - Minor In Service Maintenance - OUTDOOR LOCATION (GROUND) SUBSTATIONS</t>
  </si>
  <si>
    <t>SU0902 - Outdoor type - Major In Service Maintenance - OUTDOOR LOCATION (GROUND) SUBSTATIONS</t>
  </si>
  <si>
    <t>No. of distribution substation properties maintained ('000s)</t>
  </si>
  <si>
    <t>AU1001 - Fire Extinguishers - Portable</t>
  </si>
  <si>
    <t>AU1002 - Fire Extinguishers - Portable</t>
  </si>
  <si>
    <t>AU1003 - Fire Extinguishers - Portable</t>
  </si>
  <si>
    <t>No. of zone substation transformers ('000s)</t>
  </si>
  <si>
    <t xml:space="preserve">TX0101 - Transformer (energised) - Generic (excludes Earthing / Auxilliary TX's) </t>
  </si>
  <si>
    <t>TX0102 - Transformer (energised) - Generic</t>
  </si>
  <si>
    <t xml:space="preserve">TX0103 - Transformer (energised) - Generic (includes Earthing / Auxilliary TX's) </t>
  </si>
  <si>
    <t>TX0109 - Transformer  - Bushing testing - Oil impregnated capacitively graded bushings</t>
  </si>
  <si>
    <t xml:space="preserve">TX0104 - Transformer  (De-energised)- Generic </t>
  </si>
  <si>
    <t>TX0111 - Oil Filled Series Reactor (energised) - Generic</t>
  </si>
  <si>
    <t>TX0112 - Oil Filled Series Reactor (energised) - Generic</t>
  </si>
  <si>
    <t>TX0113 - Oil Filled Series Reactor (energised) - Generic</t>
  </si>
  <si>
    <t>TX0114 - Oil Filled Series Reactor - Generic</t>
  </si>
  <si>
    <t>TX0120 - Zone Transformer (de-energised) - 33/11kV Dry Type</t>
  </si>
  <si>
    <t>TX0301 - Series Reactor - Dry Type - REACTORS - DRY TYPE</t>
  </si>
  <si>
    <t>TX0501 - Transformers, Reactors and switchgear with compound filled endboxes (greater then 11kV) - ZONE AND SUBTRANSMISSION TRANSFORMERS / OIL FILLED REACTORS</t>
  </si>
  <si>
    <t>TX0601 - Mitsubishi Electric Corporation - SF6 Type</t>
  </si>
  <si>
    <t>TX0602 - Mitsubishi Electric Corporation - SF6 Type</t>
  </si>
  <si>
    <t xml:space="preserve">TX0603 - Mitsubishi Electric Corporation - SF6 Type </t>
  </si>
  <si>
    <t xml:space="preserve">TX0604 - Mitsubishi Electric Corporation - SF6 Type </t>
  </si>
  <si>
    <t>TX1002 - Heat Exchanger, SF6/Water heat exchangers - HEAT EXCHANGERS</t>
  </si>
  <si>
    <t>TX8101 - Tapchanger - All types. - TRANSFORMER REGULATORS</t>
  </si>
  <si>
    <t>TX8104 - Tapchanger, Motorbox - Reinhausen MA Type</t>
  </si>
  <si>
    <t>TX8102 - Tapchanger - Reinhausen C types - AUTO TAP CHANGERS - REINHAUSEN</t>
  </si>
  <si>
    <t>TX8105 - Tapchanger, Motorbox - Reinhausen MA Type - AUTO TAP CHANGERS - REINHAUSEN</t>
  </si>
  <si>
    <t>TX8106 - Tapchanger, Motorbox - Reinhausen MA4 Type only - AUTO TAP CHANGERS - REINHAUSEN</t>
  </si>
  <si>
    <t>TX8117 - Transformer  - Reinhausen V type tap changer - AUTO TAP CHANGERS - REINHAUSEN</t>
  </si>
  <si>
    <t>TX8107 - Transformer  - Reinhausen D type tap changer - AUTO TAP CHANGERS - REINHAUSEN</t>
  </si>
  <si>
    <t>TX8108 - Transformer  - Reinhausen D type tap changer - AUTO TAP CHANGERS - REINHAUSEN</t>
  </si>
  <si>
    <t>TX8101 - Tapchanger - All types. - AUTO TAP CHANGERS - REINHAUSEN</t>
  </si>
  <si>
    <t>TX8110 - Transformer  - Reinhausen M type tap changer - AUTO TAP CHANGERS - REINHAUSEN</t>
  </si>
  <si>
    <t>TX8118 - Transformer  - Reinhausen R &amp; T type tap changer - AUTO TAP CHANGERS - REINHAUSEN</t>
  </si>
  <si>
    <t>TX8119 - Transformer  - Reinhausen R &amp; T type tap changer - AUTO TAP CHANGERS - REINHAUSEN</t>
  </si>
  <si>
    <t>TX8114 - Transformer  - Reinhausen F type tap changer - AUTO TAP CHANGERS - REINHAUSEN</t>
  </si>
  <si>
    <t>TX8115 - Transformer  - Reinhausen F type tap changer - AUTO TAP CHANGERS - REINHAUSEN</t>
  </si>
  <si>
    <t>TX8116 - Transformer  - Reinhausen F type tap changer - AUTO TAP CHANGERS - REINHAUSEN</t>
  </si>
  <si>
    <t>TX8120 - Tapchanger - Reinhausen Vacutap - AUTO TAP CHANGERS - REINHAUSEN</t>
  </si>
  <si>
    <t>TX8124 - Tapchanger, Motorbox - Reinhausen ED 100 / 200 Types - AUTO TAP CHANGERS - REINHAUSEN</t>
  </si>
  <si>
    <t>TX8205 - Transformer  - AEI / MV  M21, M23 and M52 Type Tapchanger  - AUTO TAP CHANGERS - AEI</t>
  </si>
  <si>
    <t>TX8206 - Transformer  - AEI / MV  M21, M23 and M52 Type Tapchanger  - AUTO TAP CHANGERS - AEI</t>
  </si>
  <si>
    <t>TX8301 - Transformer, Tapchanger, Ferranti DS2/ES3</t>
  </si>
  <si>
    <t xml:space="preserve">TX8302 - Transformer  - Ferranti Rotary, FRT and FC4 Type Tapchanger </t>
  </si>
  <si>
    <t xml:space="preserve">TX8303- Transformer  - Ferranti Rotary, FRT and FC4 Type Tapchanger </t>
  </si>
  <si>
    <t xml:space="preserve">TX8304 - Transformer  - Ferranti Rotary, FRT and FC4 Type Tapchanger </t>
  </si>
  <si>
    <t>TX8401 - Transformer  - ABB Type UZE/UZF tap changers</t>
  </si>
  <si>
    <t>TX8402 - Transformer  - ABB Type UZE/UZF tap changers</t>
  </si>
  <si>
    <t>TX8403 - Transformer  - ABB Type UZC tap changers</t>
  </si>
  <si>
    <t>TX8404 - Transformer  - ABB Type UZC tap changers - AUTO TAP CHANGERS - ABB</t>
  </si>
  <si>
    <t>TX8501 - Transformer (energised) - BGE / EPM  M Type Tapchanger</t>
  </si>
  <si>
    <t xml:space="preserve">TX8502 - Transformer  - BGE / EPM  M Type Tapchanger </t>
  </si>
  <si>
    <t>TX8503 - Transformer  - BGE / EPM  M Type Tapchanger</t>
  </si>
  <si>
    <t>TX8601 - Transformer (energised) - Fuller 317 tap changer</t>
  </si>
  <si>
    <t>TX8602 - Transformer  - Fuller 317 tap changer</t>
  </si>
  <si>
    <t>TX8702 - Transformer, Tapchanger, Cromptom Parkinson HDA/MDA</t>
  </si>
  <si>
    <t>TX8703 - Transformer, Tapchanger, Cromptom Parkinson HDA/MDA</t>
  </si>
  <si>
    <t>TX8801 - Transformer (energised) - English Electric AF series tap changers</t>
  </si>
  <si>
    <t>TX8802 - Transformer  - English Electric AF series tap changers</t>
  </si>
  <si>
    <t>TX8803 - Transformer  - English Electric AF series tap changers</t>
  </si>
  <si>
    <t xml:space="preserve">TX8901 - Transformer  - ASEA Fuller H315PB and Hackbridge Type Tapchanger </t>
  </si>
  <si>
    <t xml:space="preserve">TX8902 - Transformer  - ASEA Fuller H315PB / H315B / H310B and Hackbridge Type Tapchanger </t>
  </si>
  <si>
    <t>TX9003 - Transformer  - ATL type AT tap changer - AUTO TAP CHANGERS - ATL</t>
  </si>
  <si>
    <t xml:space="preserve">TX8907 - Transformer  - ASEA UFNR Type Tapchanger </t>
  </si>
  <si>
    <t>TX8904 - Transformer  - ASEA UCB type tap changers</t>
  </si>
  <si>
    <t xml:space="preserve">TX9001 - Transformer  - ATL HS/AMD Type Tapchanger </t>
  </si>
  <si>
    <t xml:space="preserve">TX9002 - Transformer  - ATL HS/AMD Type Tapchanger </t>
  </si>
  <si>
    <t xml:space="preserve">TX9004 - Transformer  - AGE LBTA Type Tapchanger </t>
  </si>
  <si>
    <t xml:space="preserve">TX9005 - Transformer  - AGE LBTA Type Tapchanger </t>
  </si>
  <si>
    <t xml:space="preserve">TX9006 - Transformer  - IEL H9D33 Type Tapchanger </t>
  </si>
  <si>
    <t>TX9007 - Transformer  - CGE tap changer</t>
  </si>
  <si>
    <t>TX9601 - On Load Tapchanger, Mistubishi Electric Corporation, Type VSG 550/600</t>
  </si>
  <si>
    <t>TX9008 - Transformer  - ACEC TSVR type tap changer - AUTO TAP CHANGERS - ACEC</t>
  </si>
  <si>
    <t>No. of distribution transformers within zone substations</t>
  </si>
  <si>
    <t>No. of HV transformers</t>
  </si>
  <si>
    <t>No. of zone substations ('000s)</t>
  </si>
  <si>
    <t>SU0101 - Substation, Electrical Inspection - MAJOR SUBSTATIONS (ZONE AND SUBTRANSMISSION)</t>
  </si>
  <si>
    <t>SU0121 - Exposed Connection in switchyards - MAJOR SUBSTATIONS (ZONE AND SUBTRANSMISSION)</t>
  </si>
  <si>
    <t>AU0101 - High Voltage Operational Sticks</t>
  </si>
  <si>
    <t>SU0140 - Deluge System - Air detection System Compressors - MAJOR SUBSTATIONS (ZONE AND SUBTRANSMISSION)</t>
  </si>
  <si>
    <t>SU0141 - Deluge System - Air detection System Compressors - MAJOR SUBSTATIONS (ZONE AND SUBTRANSMISSION)</t>
  </si>
  <si>
    <t>ZONE SUBSTATION - SWITCHGEAR</t>
  </si>
  <si>
    <t>No. of zone substation switches   ('000s)</t>
  </si>
  <si>
    <t>SW0111 - Circuit Breaker, Bulk Oil, Outdoor AEI / Bharat 33kV LGIC/44 - ACCB, BULK OIL, OUTDOOR</t>
  </si>
  <si>
    <t>SW0112 - Circuit Breaker, Bulk Oil, Outdoor AEI / Bharat 33kV LGIC/44 - ACCB, BULK OIL, OUTDOOR</t>
  </si>
  <si>
    <t>SW0113 - Circuit Breaker, Bulk Oil, Outdoor AEI / Bharat 33kV LGIC/44 - ACCB, BULK OIL, OUTDOOR</t>
  </si>
  <si>
    <t>SW0102 - Circuit Breaker, Bulk oil, outdoor, Westinghouse 33kV 345 - GCN - ACCB, BULK OIL, OUTDOOR</t>
  </si>
  <si>
    <t>SW0103 - Circuit Breaker, Bulk oil, outdoor, Westinghouse 33kV 345 - GCN - ACCB, BULK OIL, OUTDOOR</t>
  </si>
  <si>
    <t>SW0104 - Circuit Breaker, Bulk oil, outdoor, Westinghouse 33kV 345 - GCN - ACCB, BULK OIL, OUTDOOR</t>
  </si>
  <si>
    <t>SW0105 - Circuit Breaker, Bulk oil, outdoor, Westinghouse 33kV 345 - GCS/GCNS 
(used as capacitor CB) - ACCB, BULK OIL, OUTDOOR</t>
  </si>
  <si>
    <t>SW0108 - Circuit Breaker, Bulk oil, outdoor, Westinghouse 33kV 345 - GCS/GCNS 
(used as capacitor CB) - ACCB, BULK OIL, OUTDOOR</t>
  </si>
  <si>
    <t>SW0114 - Circuit Breaker, English Electric, 33kV, OKH4 - ACCB, BULK OIL, OUTDOOR</t>
  </si>
  <si>
    <t>SW0115 - Circuit Breaker, English Electric, 33kV, OKH4 - ACCB, BULK OIL, OUTDOOR</t>
  </si>
  <si>
    <t>SW0201 - Circuit Breaker, Minimim Oil, Generic (Gas and Non-gas pressure) - ACCB, MINIMUM OIL, OUTDOOR</t>
  </si>
  <si>
    <t>SW0231 - Circuit Breaker, Minimum Oil, Outdoor, Generic - ACCB, MINIMUM OIL, OUTDOOR</t>
  </si>
  <si>
    <t>SW0202 - Circuit Breaker, Minimum Oil, Outdoor, Sprecher &amp; Schuh HPF512, HPF509 and HPFA409 - ACCB, MINIMUM OIL, OUTDOOR</t>
  </si>
  <si>
    <t>SW0203 - Circuit Breaker, Minimum Oil, Outdoor, Sprecher &amp; Schuh HPF512, HPF509 and HPFA409 - ACCB, MINIMUM OIL, OUTDOOR</t>
  </si>
  <si>
    <t>SW0230 - Circuit Breaker, Minimum Oil, Outdoor, Generic - ACCB, MINIMUM OIL, OUTDOOR</t>
  </si>
  <si>
    <t>SW0204 - Circuit Breaker, Minimum Oil, Outdoor, Asea Type HLD145 - ACCB, MINIMUM OIL, OUTDOOR</t>
  </si>
  <si>
    <t>SW0205 - Circuit Breaker, Minimum Oil, Outdoor, Asea Type HLD145 - ACCB, MINIMUM OIL, OUTDOOR</t>
  </si>
  <si>
    <t>SW0215 - Circuit Breaker, Minimim Oil, Generic - ACCB, MINIMUM OIL, OUTDOOR</t>
  </si>
  <si>
    <t>SW0206 - Circuit Breaker, Minimum Oil, Outdoor, ASEA Type HLR145 - ACCB, MINIMUM OIL, OUTDOOR</t>
  </si>
  <si>
    <t>SW0207 - Circuit Breaker, Minimum Oil, Outdoor, ASEA Type HLR145 - ACCB, MINIMUM OIL, OUTDOOR</t>
  </si>
  <si>
    <t>SW0216 - Circuit Breaker, Minimim Oil, ASEA, 66kV, Type HLC72.5 - ACCB, MINIMUM OIL, OUTDOOR</t>
  </si>
  <si>
    <t>SW0217 - Circuit Breaker, Minimim Oil, ASEA, 66kV, Type HLC72.5 - ACCB, MINIMUM OIL, OUTDOOR</t>
  </si>
  <si>
    <t>SW0220 - Circuit Breaker, Minimim Oil, 66kV, HKEY - ACCB, MINIMUM OIL, OUTDOOR</t>
  </si>
  <si>
    <t>SW0221 - Circuit Breaker, Minimim Oil, 66kV, HKEY - ACCB, MINIMUM OIL, OUTDOOR</t>
  </si>
  <si>
    <t>SW0213 - Circuit Breaker, 33kV, Minimim Oil, Magrini Galileo 33kV, 38 MGE - ACCB, MINIMUM OIL, OUTDOOR</t>
  </si>
  <si>
    <t>SW0214 - Circuit Breaker, 33kV, Minimim Oil, Magrini Galileo 33kV, 38 MGE - ACCB, MINIMUM OIL, OUTDOOR</t>
  </si>
  <si>
    <t>SW0301 - Circuit Breaker, Gas Indoor, Generic - ACCB, GAS, INDOOR</t>
  </si>
  <si>
    <t>SW0302 - Circuit Breaker,Gas Indoor, Brown Boveri, 132kV, Type ELKSN - ACCB, GAS, INDOOR</t>
  </si>
  <si>
    <t>SW0303 - Circuit Breaker,Gas Indoor, Hitachi, 132kV, Type CFPT-120-40L - ACCB, GAS, INDOOR</t>
  </si>
  <si>
    <t>SW0304 - Circuit Breaker,Gas Indoor, Fuji Electric Co, 132kV, Type BAK314NN - ACCB, GAS, INDOOR</t>
  </si>
  <si>
    <t>SW0306 - Circuit Breaker,Gas Indoor, Siemens, 132kV, Type 8DN8 - ACCB, GAS, INDOOR</t>
  </si>
  <si>
    <t>SW0307 - Circuit Breaker,Gas Indoor, Mitsubishi, 132kV, Type 120-SFMT-40CJ - ACCB, GAS, INDOOR</t>
  </si>
  <si>
    <t>SW0305 - Circuit Breaker,Gas Indoor, ABB, 132kV, Type HDG (ELK-0) - ACCB, GAS, INDOOR</t>
  </si>
  <si>
    <t>SW0311 - Circuit Breaker,Gas Indoor, ABB, 33kV, Type HB / HC - ACCB, GAS, INDOOR</t>
  </si>
  <si>
    <t>SW0312 - Circuit Breaker,Gas Indoor, Merlin Gerin, 33kV, Type SFI-G - ACCB, GAS, INDOOR</t>
  </si>
  <si>
    <t>SW0314 - Circuit Breaker,Gas Indoor, Merlin Gerin, 33kV, Type Fluarc / FCSF6 - ACCB, GAS, INDOOR</t>
  </si>
  <si>
    <t>SW0315 - Circuit Breaker,Gas Indoor, Schneider, 33kV, Type SF2 - ACCB, GAS, INDOOR</t>
  </si>
  <si>
    <t>SW0316 - Circuit Breaker, Gas Indoor, HD4 - ACCB, GAS, INDOOR</t>
  </si>
  <si>
    <t>SW0401 - Circuit Breaker, Vacuum, Outdoor, Generic - ACCB, VACUUM, OUTDOOR</t>
  </si>
  <si>
    <t>SW0402 - Circuit Breaker, Vacuum, Outdoor, 33kv, Alstom Type OX36 - ACCB, VACUUM, OUTDOOR</t>
  </si>
  <si>
    <t>SW0403 - Circuit Breaker, Vacuum, Outdoor, Generic,  - ACCB, VACUUM, OUTDOOR</t>
  </si>
  <si>
    <t>SW0404 - Circuit Breaker, Vacuum, Outdoor, ABB R-MAG, 27kV  - ACCB, VACUUM, OUTDOOR</t>
  </si>
  <si>
    <t>SW0405 - Circuit Breaker, Vacuum, Outdoor, ABB R-MAG, 27kV  - ACCB, VACUUM, OUTDOOR</t>
  </si>
  <si>
    <t>SW0501 - Circuit Breaker, Air Indoor, Generic - ACCB, AIR, INDOOR</t>
  </si>
  <si>
    <t>SW0502 - Circuit Breaker, Air, Indoor, Hitachi, 33kV, PBR-150 - ACCB, AIR, INDOOR</t>
  </si>
  <si>
    <t>SW0503 - Circuit Breaker, Air, Indoor, Hitachi, 33kV, PBR-150 - ACCB, AIR, INDOOR</t>
  </si>
  <si>
    <t>SW0601 - Circuit Breaker, 11kV, Indoor Bulk Oil, Email/Westinghouse J18/22 - ACCB, BULK OIL, INDOOR</t>
  </si>
  <si>
    <t>SW0602 - Circuit Breaker, 11kV, Indoor Bulk Oil, Email/Westinghouse J18/J22 - ACCB, BULK OIL, INDOOR</t>
  </si>
  <si>
    <t>SW0603 - Circuit Breaker, 11kV, Indoor Bulk Oil, Email/Westinghouse J18/J22 - ACCB, BULK OIL, INDOOR</t>
  </si>
  <si>
    <t>SW0608 - Circuit Breaker, 33kV &amp; 11kV , Indoor Bulk Oil, Generic - ACCB, BULK OIL, INDOOR</t>
  </si>
  <si>
    <t>SW0630 - Circuit Breaker, 11kV, Bulk Oil, South Wales D &amp; C Series - ACCB, BULK OIL, INDOOR</t>
  </si>
  <si>
    <t>SW0631 - Circuit Breaker, 11kV, Bulk Oil, South Wales D &amp; C Series - ACCB, BULK OIL, INDOOR</t>
  </si>
  <si>
    <t>SW0633 - Circuit Breaker, 11kV, Bulk Oil, Westinghouse F100 / F150 - ACCB, BULK OIL, INDOOR</t>
  </si>
  <si>
    <t>SW0611 - Circuit Breaker, 11kV, Indoor Bulk Oil, Email S15 - ACCB, BULK OIL, INDOOR</t>
  </si>
  <si>
    <t>SW0612 - Circuit Breaker, 11kV, Indoor Bulk Oil, Email S15 - ACCB, BULK OIL, INDOOR</t>
  </si>
  <si>
    <t>SW0613 - Circuit Breaker, 11kV, Indoor Bulk Oil, P4 Series - ACCB, BULK OIL, INDOOR</t>
  </si>
  <si>
    <t>SW0614 - Circuit Breaker, 11kV, Indoor Bulk Oil, P4 Series - ACCB, BULK OIL, INDOOR</t>
  </si>
  <si>
    <t>SW0634 - Circuit Breaker, 11kV, Bulk Oil, Reyrolle C5, C6 &amp; C7 - ACCB, BULK OIL, INDOOR</t>
  </si>
  <si>
    <t>SW0635 - Circuit Breaker, 11kV, Bulk Oil, Reyrolle C5, C6 &amp; C7 - ACCB, BULK OIL, INDOOR</t>
  </si>
  <si>
    <t>SW0636 - Circuit Breaker, 11kV, Bulk Oil, Reyrolle LA22 / LC22 - ACCB, BULK OIL, INDOOR</t>
  </si>
  <si>
    <t>SW0637 - Circuit Breaker, 11kV, Bulk Oil, Reyrolle LA22 / LC22 - ACCB, BULK OIL, INDOOR</t>
  </si>
  <si>
    <t>SW0638 - Circuit Breaker, 11kV, Bulk Oil, Westinghouse F250 - ACCB, BULK OIL, INDOOR</t>
  </si>
  <si>
    <t>SW0639 - Circuit Breaker, 11kV, Bulk Oil, Westinghouse F250 - ACCB, BULK OIL, INDOOR</t>
  </si>
  <si>
    <t>SW0641 - Circuit Breaker, 11kV, Bulk Oil, Reyrolle LMT / LMI - ACCB, BULK OIL, INDOOR</t>
  </si>
  <si>
    <t>SW0615 - Circuit Breaker, 11kV, Indoor Bulk Oil, Johnson &amp; Phillips TSB16 Series - ACCB, BULK OIL, INDOOR</t>
  </si>
  <si>
    <t>SW0609 - Circuit Breaker, 11kV, Indoor Bulk Oil, English Electric / GEC  OLX series - ACCB, BULK OIL, INDOOR</t>
  </si>
  <si>
    <t>SW0610 - Circuit Breaker, 11kV, Indoor Bulk Oil, English Electric / GEC  OLX series - ACCB, BULK OIL, INDOOR</t>
  </si>
  <si>
    <t>SW0642 - Circuit Breaker, 11kV, Bulk Oil, Westinghouse B18 / B20 - ACCB, BULK OIL, INDOOR</t>
  </si>
  <si>
    <t>SW0643 - Circuit Breaker, 11kV, Bulk Oil, Westinghouse B18 / B20 - ACCB, BULK OIL, INDOOR</t>
  </si>
  <si>
    <t>SW0618 - Circuit Breaker, 11kV, Indoor Bulk Oil, Brush, VTD - ACCB, BULK OIL, INDOOR</t>
  </si>
  <si>
    <t>SW0648 - Circuit Breaker, 11kV, Indoor Bulk Oil, Brush, VTD - ACCB, BULK OIL, INDOOR</t>
  </si>
  <si>
    <t>SW0627 - Circuit Breaker, 33kV, Indoor Bulk Oil, MV K4C - ACCB, BULK OIL, INDOOR</t>
  </si>
  <si>
    <t>SW0201 - Circuit Breaker, Minimim Oil, Generic (Gas and Non-gas pressure) - ACCB, MINIMUM OIL, INDOOR</t>
  </si>
  <si>
    <t>SW0230 - Circuit Breaker, Minimum Oil, Outdoor, Generic - ACCB, MINIMUM OIL, INDOOR</t>
  </si>
  <si>
    <t>SW0801 - Circuit Breaker, Vacuum, Indoor, Generic 33kV &amp; 11kV - ACCB, VACUUM, INDOOR</t>
  </si>
  <si>
    <t>SW0802 - Circuit Breaker, Vacuum, Indoor, GEC, AVAC Circuit Breaker, 11kV - ACCB, VACUUM, INDOOR</t>
  </si>
  <si>
    <t>SW0803 - Circuit Breaker, Vacuum, Indoor, Hawker Siddley VMH, 11kV - ACCB, VACUUM, INDOOR</t>
  </si>
  <si>
    <t>SW0804 - Circuit Breaker, Vacuum, Indoor, Hawker Siddley VTD-V, 11kV - ACCB, VACUUM, INDOOR</t>
  </si>
  <si>
    <t>SW0809 - Circuit Breaker, Vacuum, Indoor, Reyrolle LMVP, 11kV - ACCB, VACUUM, INDOOR</t>
  </si>
  <si>
    <t>SW0805 - Circuit Breaker, Vacuum, Indoor, GEC / Alstom SBV Series, 11kV - ACCB, VACUUM, INDOOR</t>
  </si>
  <si>
    <t>SW0806 - Circuit Breaker, Vacuum, Indoor, Mitsubishi / Email 10VPR-25B, 11kV - ACCB, VACUUM, INDOOR</t>
  </si>
  <si>
    <t>SW0807 - Circuit Breaker, Vacuum, Indoor, Generic VK Series, 11kV - ACCB, VACUUM, INDOOR</t>
  </si>
  <si>
    <t>SW0808 - Circuit Breaker, Vacuum, Indoor, Alstom HWX, 11kV - ACCB, VACUUM, INDOOR</t>
  </si>
  <si>
    <t>SW0811 - Circuit Breaker, Vacuum, Indoor, Siemens 3AF, 11kV - ACCB, VACUUM, INDOOR</t>
  </si>
  <si>
    <t>SW0812 - Circuit Breaker, Vacuum, Indoor, GEC, AVAC Circuit Breaker, 11kV - ACCB, VACUUM, INDOOR</t>
  </si>
  <si>
    <t>SW0813 - Circuit Breaker, 11kV, SF6 Vacuum, MCSET - ACCB, VACUUM, INDOOR</t>
  </si>
  <si>
    <t>SW0814 - Circuit Breaker, Vacuum, Indoor, ABB, VD4, 36/40.5kV - ACCB, VACUUM, INDOOR</t>
  </si>
  <si>
    <t>SW0816 - Circuit Breaker, Vacuum, Indoor, 11kV, RPS RPM J18 and J22 Vacuum Replacement - ACCB, VACUUM, INDOOR</t>
  </si>
  <si>
    <t>SW0901 - Circuit Breaker, Gas, Outdoor, Generic - ACCB, GAS, OUTDOOR</t>
  </si>
  <si>
    <t>SW0902 - Circuit Breaker, Gas Outdoor, ABB type LTB, and ASEA HPL - ACCB, GAS, OUTDOOR</t>
  </si>
  <si>
    <t>SW0903 - Circuit Breaker, Gas Outdoor, GEC, 132kV, type HGF - ACCB, GAS, OUTDOOR</t>
  </si>
  <si>
    <t>SW0932 - Circuit Breaker, Gas Outdoor, Mitsubishi, 132kV, type 120SFMTE - ACCB, GAS, OUTDOOR</t>
  </si>
  <si>
    <t>SW0921 - Circuit Switcher, S &amp; C Electrical Co, 132kV, MK II - ACCB, GAS, OUTDOOR</t>
  </si>
  <si>
    <t>SW0922 - Circuit Switcher, S &amp; C Electrical Co, 132kV, MK II - ACCB, GAS, OUTDOOR</t>
  </si>
  <si>
    <t>SW0962 - Circuit Breaker, Gas Outdoor, Siemens, 66kV, type SPS2-72.5 - ACCB, GAS, OUTDOOR</t>
  </si>
  <si>
    <t>SW7201 - 12kV Compound Insulated Switchboards and 12kV Oil Circuit Breakers - Vertical Racking - BUSBAR, ENCLOSED (WITH VT'S)</t>
  </si>
  <si>
    <t>SW7202 - 12kV Compound Insulated Switchboards and 12kV Oil Circuit Breakers - Horizontal Racking - BUSBAR, ENCLOSED (WITH VT'S)</t>
  </si>
  <si>
    <t>SW8101 - Fault Thrower, Generic</t>
  </si>
  <si>
    <t>ZONE SUBSTATION - BATTERIES</t>
  </si>
  <si>
    <t xml:space="preserve">No. of zone substation batteries ('000s)  </t>
  </si>
  <si>
    <t>DC0240 - Valve Regulated Lead Acid battery (32 - 130 volt) and associated Intelepower Battery Chargers - without monitoring communications connected. - BATTERIES</t>
  </si>
  <si>
    <t>DC0241 - Valve Regulated Lead Acid battery (32 - 130 volt) and associated Intelepower Battery Chargers - BATTERIES</t>
  </si>
  <si>
    <t>DC0242 - Valve Regulated Lead Acid battery (32 - 130 volt) and associated Intelepower Battery Chargers - BATTERIES</t>
  </si>
  <si>
    <t>ZONE SUBSTATION - SCADA &amp; CUSTOMER LOAD CONTROL</t>
  </si>
  <si>
    <t>No. of zone substation CLC plant</t>
  </si>
  <si>
    <t>ZONE SUBSTATION - EARTHING</t>
  </si>
  <si>
    <t>ER0102 - Earthing Examination and Testing - MAJOR SUBSTATIONS</t>
  </si>
  <si>
    <t>ER0103 - Detailed Earthing Examination and Testing - MAJOR SUBSTATIONS</t>
  </si>
  <si>
    <t>ZONE SUBSTATION - OIL CONTAINMENT</t>
  </si>
  <si>
    <t>SU0115 - Oil Containment System (1, 2,3  Stage and EGOWS) - MAJOR SUBSTATIONS (ZONE AND SUBTRANSMISSION)</t>
  </si>
  <si>
    <t>SU0116 - Oil Treatment / Separation System (Baldwin / SEPA) - MAJOR SUBSTATIONS (ZONE AND SUBTRANSMISSION)</t>
  </si>
  <si>
    <t>ZONE SUBSTATION - CT / VT's (oil type)</t>
  </si>
  <si>
    <t>No. of zone substation CT's / VT's (oil type) ('000s)</t>
  </si>
  <si>
    <t>Number of zone substation properties maintained</t>
  </si>
  <si>
    <t>SU0105 - Substation, Non-Electrical Inspection - MAJOR SUBSTATIONS (ZONE AND SUBTRANSMISSION)</t>
  </si>
  <si>
    <t>SU0106 - Substation, Security Inspection - MAJOR SUBSTATIONS (ZONE AND SUBTRANSMISSION)</t>
  </si>
  <si>
    <t>No. of public lights maintained  ('000s)</t>
  </si>
  <si>
    <t>To be defined by the DNSP</t>
  </si>
  <si>
    <t>PROTECTION SYSTEMS - DISTRIBUTION SUBSTATIONS</t>
  </si>
  <si>
    <t>PR3101 - Relay, Electromechanical, Timing. - RELAYS - ELECTROMECHANICAL</t>
  </si>
  <si>
    <t>PR3102 - Relay, Protection, Electromechanical, Distance - RELAYS - ELECTROMECHANICAL</t>
  </si>
  <si>
    <t>PR3103 - Relay, Protection, Electromechanical, Distance, Reyrolle H Type &amp; 
SELECTA-MHO - RELAYS - ELECTROMECHANICAL</t>
  </si>
  <si>
    <t>PR3104 - Relay, Protection, Electromechanical, Voltage, Generic - RELAYS - ELECTROMECHANICAL</t>
  </si>
  <si>
    <t>PR3105 - Relay, CVT Unbalance, Electromechanical, Generic - RELAYS - ELECTROMECHANICAL</t>
  </si>
  <si>
    <t>PR3106 - Relay, Protection, Electromechanical, Attracted Armature, Generic - RELAYS - ELECTROMECHANICAL</t>
  </si>
  <si>
    <t>PR3107 - Relay, Protection, Electromechanical, Attracted Armature, CM Series - RELAYS - ELECTROMECHANICAL</t>
  </si>
  <si>
    <t>PR3108 - Relay, Protection, Electromechanical, IDMT - RELAYS - ELECTROMECHANICAL</t>
  </si>
  <si>
    <t>PR3109 - Relay, Protection, Electromechanical, IDMT - RELAYS - ELECTROMECHANICAL</t>
  </si>
  <si>
    <t>PR3110 - Relay, Protection, Electromechanical, Pilot wire, Generic - RELAYS - ELECTROMECHANICAL</t>
  </si>
  <si>
    <t>PR3111 - Relay, Protection, Electromechanical, Pilot wire - RELAYS - ELECTROMECHANICAL</t>
  </si>
  <si>
    <t>PR3112 - Relay, Protection, Electromechanical, Busbar type FAC &amp; FV2 - RELAYS - ELECTROMECHANICAL</t>
  </si>
  <si>
    <t>PR3116 - Relay, Protection, Electromechanical, Multi-trip - RELAYS - ELECTROMECHANICAL</t>
  </si>
  <si>
    <t>PR3113 - Relay, Protection, Electromechanical, Auto-closing, Generic - RELAYS - ELECTROMECHANICAL</t>
  </si>
  <si>
    <t>PR3114 - Relay, Electromechanical, Buchholz - RELAYS - ELECTROMECHANICAL</t>
  </si>
  <si>
    <t>PR3115 - Relay, Protection, Electromechanical, Underfrequency - RELAYS - ELECTROMECHANICAL</t>
  </si>
  <si>
    <t>PR3117 - Relay, Protection, Electromechanical, Transformer Differential. - RELAYS - ELECTROMECHANICAL</t>
  </si>
  <si>
    <t>PR3118 - Relay, Protection, Electromechanical, Network Protector Relay - RELAYS - ELECTROMECHANICAL</t>
  </si>
  <si>
    <t>PR3209 - Relay, Electronic, Timing - RELAYS - ELECTRONIC</t>
  </si>
  <si>
    <t>PR3202 - Relay, Protection, Electronic, Distance - RELAYS - ELECTRONIC</t>
  </si>
  <si>
    <t>PR3204 - Relay, Protection, Electronic, Distance Protection, Alstom YTG - RELAYS - ELECTRONIC</t>
  </si>
  <si>
    <t>PR3203 - Relay, Protection, Electronic, Distance Protection, Type THS,TH1A and THR - RELAYS - ELECTRONIC</t>
  </si>
  <si>
    <t>PR3205 - Relay, Protection, Electronic, Distance - RELAYS - ELECTRONIC</t>
  </si>
  <si>
    <t>PR3206 - Relay, Protection, Electronic, Distance - RELAYS - ELECTRONIC</t>
  </si>
  <si>
    <t>PR3212 - Relay, Protection, Electronic, Voltage, Generic - RELAYS - ELECTRONIC</t>
  </si>
  <si>
    <t>PR3210 - Relay, Protection, Electronic, Arttracted Armature, Generic - RELAYS - ELECTRONIC</t>
  </si>
  <si>
    <t>PR3207 - Relay, Protection, Electronic, IDMT - RELAYS - ELECTRONIC</t>
  </si>
  <si>
    <t>PR3208 - Relay, Protection, Electronic, IDMT - RELAYS - ELECTRONIC</t>
  </si>
  <si>
    <t>PR3213 - Relay, Protection, Electronic, Underfrequency - RELAYS - ELECTRONIC</t>
  </si>
  <si>
    <t>PR3211 - Relay, Protection, Electronic, Transformer Differential. - RELAYS - ELECTRONIC</t>
  </si>
  <si>
    <t>PR3302 - Relay, Protection, Numeric, Distance - RELAYS - NUMERICAL</t>
  </si>
  <si>
    <t>PR3303 - Relay, Protection, Numerical, Distance - RELAYS - NUMERICAL</t>
  </si>
  <si>
    <t>PR3304 - Relay, Protection, Under Voltage - RELAYS - NUMERICAL</t>
  </si>
  <si>
    <t>PR3305 - Relay, Protection, Numerical, Overcurrent - RELAYS - NUMERICAL</t>
  </si>
  <si>
    <t>PR3306 - Relay, Protection, Generic - RELAYS - NUMERICAL</t>
  </si>
  <si>
    <t>PR3307 - Relay, Protection, Numerical, ABB SPAJ series - RELAYS - NUMERICAL</t>
  </si>
  <si>
    <t>PR3308 - Relay, Protection, Numerical, Basler BE1-851 - RELAYS - NUMERICAL</t>
  </si>
  <si>
    <t>PR3309 - Relay, Protection, Numerical, GEC K series - RELAYS - NUMERICAL</t>
  </si>
  <si>
    <t>PR3310 - Relay, Protection, Numerical, Alstom 122A - RELAYS - NUMERICAL</t>
  </si>
  <si>
    <t>PR3311 - Relay, Protection, Numerical, Reyrolle ARGUS1 - RELAYS - NUMERICAL</t>
  </si>
  <si>
    <t>PR3312 - Relay, Protection, Numerical, Attracted Armature, Generic - RELAYS - NUMERICAL</t>
  </si>
  <si>
    <t>PR3314 - Relay, Protection, Numerical, Underfrequency - RELAYS - NUMERICAL</t>
  </si>
  <si>
    <t>PR3313 - Relay, Protection, Numerical, Transformer Differential. - RELAYS - NUMERICAL</t>
  </si>
  <si>
    <t>PROTECTION SYSTEMS - ZONE SUBSTATIONS</t>
  </si>
  <si>
    <t>PROTECTION SYSTEMS - SUBTRANSMISSION SUBSTATIONS</t>
  </si>
  <si>
    <t>TRANSFORMERS - SUBTRANSMISSION SUBSTATION</t>
  </si>
  <si>
    <t>No. of subtranmssion substation transformers ('000s)</t>
  </si>
  <si>
    <t>TX8404 - Transformer  - ABB Type UZC tap changers</t>
  </si>
  <si>
    <t>SUBTRANSMISSION SUBSTATION - SWITCHGEAR</t>
  </si>
  <si>
    <t>SUBTRANSMISSION SUBSTATION - OTHER EQUIPMENT</t>
  </si>
  <si>
    <t>No. of subtranmssion substation  ('000s)</t>
  </si>
  <si>
    <t>SUBTRANSMISSION SUBSTATION - BATTERIES</t>
  </si>
  <si>
    <t>No. of subtranmssion substation batteries ('000s)</t>
  </si>
  <si>
    <t>SUBTRANSMISSION SUBSTATION - SCADA &amp; CUSTOMER LOAD CONTROL</t>
  </si>
  <si>
    <t>No. of subtransmission substation CLC plant</t>
  </si>
  <si>
    <t>SUBTRANSMISSION SUBSTATION - EARTHING</t>
  </si>
  <si>
    <t>No. of subtranmssion substations ('000s)</t>
  </si>
  <si>
    <t>SUBTRANSMISSION SUBSTATION - OIL CONTAINMENT</t>
  </si>
  <si>
    <t>SUBTRANSMISSION SUBSTATION - CT's / VT's (oil type)</t>
  </si>
  <si>
    <t>No. of Sub-trans CT's / VT's (oil type) ('000s)</t>
  </si>
  <si>
    <t>PR0101 - Oil Filled CTs - CURRENT TRANSFORMERS POST TYPE</t>
  </si>
  <si>
    <t>PR0201 - Oil Filled VTs - VOLTAGE TRANSFORMERS POST TYPE</t>
  </si>
  <si>
    <t>SUBTRANSMISSION OVERHEAD - POLE TOP &amp; OVERHEAD LINE</t>
  </si>
  <si>
    <t>No. of subtransmission poles ('000s)</t>
  </si>
  <si>
    <t>SUBTRANSMISSION OVERHEAD - TOWER LINES</t>
  </si>
  <si>
    <t>No. of subtransmission towers ('000s)</t>
  </si>
  <si>
    <t>SUBTRANSMISSION UNDERGROUND CABLE MAINTENANCE</t>
  </si>
  <si>
    <t>SUBTRANSMISSION SUBSTATION PROPERTY MAINTENANCE</t>
  </si>
  <si>
    <t>Number of subtransmission properties maintained</t>
  </si>
  <si>
    <t>Crossarms</t>
  </si>
  <si>
    <t>OH Conductors</t>
  </si>
  <si>
    <t>UG Cables</t>
  </si>
  <si>
    <t>Public Lighting - Other</t>
  </si>
  <si>
    <t>Public Lighting - Luminaires</t>
  </si>
  <si>
    <t>Company</t>
  </si>
  <si>
    <t>Service Lines - Duplicate</t>
  </si>
  <si>
    <t>Pole Staking</t>
  </si>
  <si>
    <t>-</t>
  </si>
  <si>
    <t>COMMUNICATIONS SITE INFRASTRUCTURE</t>
  </si>
  <si>
    <t>COMMUNICATIONS LINEAR ASSETS</t>
  </si>
  <si>
    <t>AFLC</t>
  </si>
  <si>
    <t>CURRENT TRANSFORMERS</t>
  </si>
  <si>
    <t>VOLTAGE TRANSFORMERS</t>
  </si>
  <si>
    <t>CAPACITOR BANKS</t>
  </si>
  <si>
    <t>STATIC VAR COMPENSATOR</t>
  </si>
  <si>
    <t>Ergon</t>
  </si>
  <si>
    <t>OH Conductor LV ABC</t>
  </si>
  <si>
    <t>OH Conductor Steel</t>
  </si>
  <si>
    <t>OH Conductor ACSR</t>
  </si>
  <si>
    <t>OH Conductor AAAC</t>
  </si>
  <si>
    <t>OH Conductor AAC</t>
  </si>
  <si>
    <t>OH Conductor HDBC</t>
  </si>
  <si>
    <t>Earth Mat (000'S)</t>
  </si>
  <si>
    <t>NUMBER OF SWITCHES, CTS, VTs, CBs, LTs etc (000'S)</t>
  </si>
  <si>
    <t>NUMBER OF SYSTEMS (000'S)</t>
  </si>
  <si>
    <t>Various Assets</t>
  </si>
  <si>
    <t xml:space="preserve"> Includes Rates, Electricity, Communications Equip, Metering </t>
  </si>
  <si>
    <t xml:space="preserve">UNITS NOT QUOTED AS VARIOUS UOM </t>
  </si>
  <si>
    <t>GROUND CLEARANCE - ACCESS TRACKS</t>
  </si>
  <si>
    <t>NUMBER of ACCESS TRACKS</t>
  </si>
  <si>
    <t>n/a</t>
  </si>
  <si>
    <t>Asset Count (5.2 Age Profile)</t>
  </si>
  <si>
    <t>Comments</t>
  </si>
  <si>
    <t xml:space="preserve"> EMERGENCY FAULTS - UNDERGROUND </t>
  </si>
  <si>
    <t xml:space="preserve"> EMERGENCY FAULTS - METERS </t>
  </si>
  <si>
    <t xml:space="preserve"> EMERGENCY FAULTS - PROTECTION AND CONTROL </t>
  </si>
  <si>
    <t xml:space="preserve"> ROADS MGT BILL </t>
  </si>
  <si>
    <t xml:space="preserve"> VOLTAGE COMPLAINTS </t>
  </si>
  <si>
    <t xml:space="preserve"> TVI INVESTIGATIONS </t>
  </si>
  <si>
    <t xml:space="preserve"> POLE DEFECT MANAGEMENT </t>
  </si>
  <si>
    <t xml:space="preserve"> INSULATOR WASHING </t>
  </si>
  <si>
    <t xml:space="preserve"> ENVIRONMENT MANAGEMENT </t>
  </si>
  <si>
    <t xml:space="preserve"> BUSHFIRE MITIGATION </t>
  </si>
  <si>
    <t xml:space="preserve"> UG CABLE LOCATIONS </t>
  </si>
  <si>
    <t xml:space="preserve"> QUALITY AUDITS  </t>
  </si>
  <si>
    <t xml:space="preserve"> QUALITY INVESTIGATIONS </t>
  </si>
  <si>
    <t xml:space="preserve"> NETWORK LOGGING MONITORING </t>
  </si>
  <si>
    <t xml:space="preserve"> RESEARCH AND DEVELOPMENT </t>
  </si>
  <si>
    <t xml:space="preserve"> ESV REPORTING </t>
  </si>
  <si>
    <t xml:space="preserve"> MISCELLANEOUS MAINTENANCE </t>
  </si>
  <si>
    <t xml:space="preserve"> NETWORK ASSET RETIREMENT </t>
  </si>
  <si>
    <t xml:space="preserve"> ASSET RETIREMENT </t>
  </si>
  <si>
    <t>Duplicates</t>
  </si>
  <si>
    <t xml:space="preserve"> NUMBER OF SWITCHGEAR (000's) </t>
  </si>
  <si>
    <t xml:space="preserve"> NUMBER OF DEVICES (000's) </t>
  </si>
  <si>
    <t>[OTHER MAINTENANCE ACTIVITY 1] (DNSP TO NOMINATE)</t>
  </si>
  <si>
    <t xml:space="preserve"> EMERGENCY FAULTS - OVERHEAD</t>
  </si>
  <si>
    <t>OH Maintenance</t>
  </si>
  <si>
    <t>Pole Inspection</t>
  </si>
  <si>
    <t>OH Asset Inspection</t>
  </si>
  <si>
    <t>UG Cable Maintenance</t>
  </si>
  <si>
    <t>Public Lighting Maintenance</t>
  </si>
  <si>
    <t>SCADA Maintenance</t>
  </si>
  <si>
    <t>Protection Maintenance</t>
  </si>
  <si>
    <t>Subtrans Maintenance</t>
  </si>
  <si>
    <t>Duplicate</t>
  </si>
  <si>
    <t>5 yr Routine Maint Spend (2009-13)</t>
  </si>
  <si>
    <t>5 yr Non Routine Maint Spend (2009-13)</t>
  </si>
  <si>
    <t>5 yr Total Maint Spend (2009-13)</t>
  </si>
  <si>
    <t>5 yr Maintenance/Inspection Qty (2009-13)</t>
  </si>
  <si>
    <t>5 yr Maint/Insp Unit Rates (2009-13)</t>
  </si>
  <si>
    <t>5 yr REPEX Spend (2015-19)</t>
  </si>
  <si>
    <t>Organisation</t>
  </si>
  <si>
    <t>Maintenance Group</t>
  </si>
  <si>
    <t>Group &amp; Metric</t>
  </si>
  <si>
    <t>Total Non Routine $000's</t>
  </si>
  <si>
    <t>Total Routine $000's</t>
  </si>
  <si>
    <t>Total Qty Insp/Maint '000's</t>
  </si>
  <si>
    <t>Note that the Essential number includes ZS tx's</t>
  </si>
  <si>
    <t>Total Line Length</t>
  </si>
  <si>
    <t>Ergon EB RIN has different customer no's in tables 5.2.1 &amp; 5.2.2</t>
  </si>
  <si>
    <t>Total Assets</t>
  </si>
  <si>
    <t>Raw (Not Normalised)</t>
  </si>
  <si>
    <t>Summation of OH Cond &amp; UG Cable</t>
  </si>
  <si>
    <t>Ausgrid, Ergon appear to be counting SCADA assets differently.</t>
  </si>
  <si>
    <t>Dist/ZS</t>
  </si>
  <si>
    <t>SA Power</t>
  </si>
  <si>
    <t>˂ ≈ 11 kV ; STOBIE</t>
  </si>
  <si>
    <t>&gt; 11 kV &amp; &lt;≈ 33 kV ; STOBIE</t>
  </si>
  <si>
    <t>&gt; 33 kV &amp; &lt;≈ 66 kV ; STOBIE</t>
  </si>
  <si>
    <t>&gt; 66 kV &amp; &lt;≈ 132 kV ; STOBIE</t>
  </si>
  <si>
    <t>&gt; 132 kV ; STOBIE</t>
  </si>
  <si>
    <t>Pole Refurbished; STOBIE</t>
  </si>
  <si>
    <t>Recloser (LINE)</t>
  </si>
  <si>
    <t>Recloser (SUB)</t>
  </si>
  <si>
    <t>Sectionaliser (&lt;=11kV)</t>
  </si>
  <si>
    <t>Sectionaliser (&gt;11kV ; &lt;=33kV)</t>
  </si>
  <si>
    <t>PROTECTION  RELAYS</t>
  </si>
  <si>
    <t>SCADA ASSETS</t>
  </si>
  <si>
    <t>OTHER - Non Category Substation asset replacement</t>
  </si>
  <si>
    <t>No. of signages &amp; ID plates replaced (000's)</t>
  </si>
  <si>
    <t>No. of SCADA assets maintained (000's)</t>
  </si>
  <si>
    <t>No. of Protection Systems maintained (000's)</t>
  </si>
  <si>
    <t>SAPN does not have any Dual Function Assets</t>
  </si>
  <si>
    <t>SUBSTATION ASSET INSPECTION</t>
  </si>
  <si>
    <t>All zone substations assets (excluding property)</t>
  </si>
  <si>
    <t>SITES</t>
  </si>
  <si>
    <t>CBs AND DISCONECTORS</t>
  </si>
  <si>
    <t>COMMUNICATIONS NETWORK ASSETS - DC BATTERIRS</t>
  </si>
  <si>
    <t>NUMBER OF BATTERIES SYSTEMS</t>
  </si>
  <si>
    <t>COMMUNICATIONS NETWORK ASSETS - TOWERS</t>
  </si>
  <si>
    <t>NUMBER OF TOWERS</t>
  </si>
  <si>
    <t xml:space="preserve">COMMUNICATIONS NETWORK ASSETS - PILOT CABLE </t>
  </si>
  <si>
    <t>NUMBER OF KMS</t>
  </si>
  <si>
    <t>COMMUNICATIONS NETWORK ASSETS -  FIBRE CABLE</t>
  </si>
  <si>
    <t>CUSTOMER SERVICE PENALTIES</t>
  </si>
  <si>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</si>
  <si>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</si>
  <si>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</si>
  <si>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</si>
  <si>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</si>
  <si>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</si>
  <si>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POLE MOUNTED ; &gt; 22 kV ;  &lt; ≈ 60 kVA ; SINGLE PHASE</t>
  </si>
  <si>
    <t>POLE MOUNTED ; &gt; 22 kV ;  &gt; 60 kVA and &lt; ≈ 600 kVA ; SINGLE PHASE</t>
  </si>
  <si>
    <t>POLE MOUNTED ; &gt; 22 kV ;  &gt; 600 Kva; SINGLE PHASE</t>
  </si>
  <si>
    <t>POLE MOUNTED ; &gt; 22 kV ;  &lt; ≈ 60 kVA ; MULTIPLE PHASE</t>
  </si>
  <si>
    <t>POLE MOUNTED ; &gt; 22 kV ;  &gt; 60 kVA and &lt; ≈ 600 Kva; MULTIPLE PHASE</t>
  </si>
  <si>
    <t>POLE MOUNTED ; &gt; 22 kV ;  &gt;  600 Kva;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</si>
  <si>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</si>
  <si>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</si>
  <si>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</si>
  <si>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</si>
  <si>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</si>
  <si>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</si>
  <si>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KIOSK MOUNTED ; &gt; 22 kV ;  &lt; ≈ 60 kVA ; SINGLE PHASE</t>
  </si>
  <si>
    <t>KIOSK MOUNTED ; &gt; 22 kV ;  &gt; 60 kVA and &lt; ≈ 600 kVA ; SINGLE PHASE</t>
  </si>
  <si>
    <t>KIOSK MOUNTED ; &gt; 22 kV ;  &gt; 600 Kva; SINGLE PHASE</t>
  </si>
  <si>
    <t>KIOSK MOUNTED ; &gt; 22 kV ;  &lt; ≈ 60 kVA ; MULTIPLE PHASE</t>
  </si>
  <si>
    <t>KIOSK MOUNTED ; &gt; 22 kV ;  &gt; 60 kVA and &lt; ≈ 600 Kva; MULTIPLE PHASE</t>
  </si>
  <si>
    <t>KIOSK MOUNTED ; &gt; 22 kV ;  &gt;  600 Kva; MULTIPLE PHASE</t>
  </si>
  <si>
    <t>GROUND OUTDOOR / INDOOR CHAMBER MOUNTED ; ˂ 22 KV ;  &lt; ≈ 60 KVA ; SINGLE PHASE</t>
  </si>
  <si>
    <t>GROUND OUTDOOR / INDOOR CHAMBER MOUNTED ; ˂  22 KV ;  &gt; 60 KVA  AND &lt; ≈ 600 KVA ; SINGLE PHASE</t>
  </si>
  <si>
    <t>GROUND OUTDOOR / INDOOR CHAMBER MOUNTED ; ˂  22 KV ;  &gt;  600 KVA ; SINGLE PHASE</t>
  </si>
  <si>
    <t>GROUND OUTDOOR / INDOOR CHAMBER MOUNTED ; ˂  22 KV ;  &lt; ≈ 60 KVA ; MULTIPLE PHASE</t>
  </si>
  <si>
    <t>GROUND OUTDOOR / INDOOR CHAMBER MOUNTED ; ˂  22 KV ;  &gt; 60 KVA  AND &lt; ≈ 600 KVA ; MULTIPLE PHASE</t>
  </si>
  <si>
    <t>GROUND OUTDOOR / INDOOR CHAMBER MOUNTED ; ˂  22 KV ;  &gt;  600 KVA ; MULTIPLE PHASE</t>
  </si>
  <si>
    <t>GROUND OUTDOOR / INDOOR CHAMBER MOUNTED ; &gt; ≈ 22 KV &amp; &lt; ≈ 33 KV ;  &lt; ≈ 15 MVA</t>
  </si>
  <si>
    <t>GROUND OUTDOOR / INDOOR CHAMBER MOUNTED ; &gt; ≈ 22 KV &amp; &lt; ≈ 33 KV ;  &gt; 15 MVA AND &lt; ≈ 40 MVA</t>
  </si>
  <si>
    <t>GROUND OUTDOOR / INDOOR CHAMBER MOUNTED ; &gt; ≈ 22 KV &amp; &lt; ≈ 33 KV ;  &gt; 40 MVA</t>
  </si>
  <si>
    <t>GROUND OUTDOOR / INDOOR CHAMBER MOUNTED ; &gt; 33 KV &amp; &lt; ≈ 66 KV ;  &lt; ≈ 15 MVA</t>
  </si>
  <si>
    <t>GROUND OUTDOOR / INDOOR CHAMBER MOUNTED ; &gt; 33 KV &amp; &lt; ≈ 66 KV ;  &gt; 15 MVA AND &lt; ≈ 40 MVA</t>
  </si>
  <si>
    <t>GROUND OUTDOOR / INDOOR CHAMBER MOUNTED ; &gt; 33 KV &amp; &lt; ≈ 66 KV ;  &gt; 40 MVA</t>
  </si>
  <si>
    <t>GROUND OUTDOOR / INDOOR CHAMBER MOUNTED ; &gt; 66 KV &amp; &lt; ≈ 132 KV ;  &lt; ≈ 100 MVA</t>
  </si>
  <si>
    <t>GROUND OUTDOOR / INDOOR CHAMBER MOUNTED ; &gt; 66 KV &amp; &lt; ≈ 132 KV ;  &gt; 100 MVA</t>
  </si>
  <si>
    <t>GROUND OUTDOOR / INDOOR CHAMBER MOUNTED ; &gt; 132 KV ;  &lt; ≈ 100 MVA</t>
  </si>
  <si>
    <t>GROUND OUTDOOR / INDOOR CHAMBER MOUNTED ; &gt; 132 KV ;  &gt; 100 MVA</t>
  </si>
  <si>
    <t>&gt; 11 kV &amp; &lt; ≈ 22 kV  ; LOAD BREAK SWITCH; GROUND LEVEL</t>
  </si>
  <si>
    <t>&gt; 22 kV &amp; &lt; ≈ 33 kV  ; LOAD BREAK SWITCH; GROUND LEVEL</t>
  </si>
  <si>
    <t>&gt; 33 kV &amp; &lt; ≈ 66 kV ; ISOLATORS, EARTHING SWITCH</t>
  </si>
  <si>
    <t>&gt; 66 kV &amp; &lt; ≈ 132 kV  ; ISOLATORS, EARTHING SWITCH</t>
  </si>
  <si>
    <t>&lt; = 11kV ISOLATORS, EARTHING SWITCH</t>
  </si>
  <si>
    <t>&gt; 11kV &amp; &lt; = 33kV ISOLATORS, EARTHING SWITCH</t>
  </si>
  <si>
    <t>COMMUNICATIONS NETWORK ASSETS - Total</t>
  </si>
  <si>
    <t>COMMUNICATIONS NETWORK ASSETS - Other</t>
  </si>
  <si>
    <t>COMMUNICATIONS NETWORK ASSETS - DC Systems</t>
  </si>
  <si>
    <t>COMMUNICATIONS NETWORK ASSETS - DC Batteries</t>
  </si>
  <si>
    <t>COMMUNICATIONS NETWORK ASSETS - Towers</t>
  </si>
  <si>
    <t>COMMUNICATIONS NETWORK ASSETS - Pilot Cable (per km)</t>
  </si>
  <si>
    <t>COMMUNICATIONS NETWORK ASSETS - Fibre Cable (per km)</t>
  </si>
  <si>
    <t>PROTECTION RELAYS</t>
  </si>
  <si>
    <t>TELEPHONE DIALLING UNIT - TYPE 12</t>
  </si>
  <si>
    <t>TELEPHONE DIALLING UNIT - TYPE 14</t>
  </si>
  <si>
    <t>TELEPHONE DIALLING UNIT - TYPE 16</t>
  </si>
  <si>
    <t>REMOTE TERMINAL UNIT - WESTINGHOUSE</t>
  </si>
  <si>
    <t>REMOTE TERMINAL UNIT - GE HARRIS IBOX</t>
  </si>
  <si>
    <t>REMOTE TERMINAL UNIT - GE HARRIS D25</t>
  </si>
  <si>
    <t>REMOTE TERMINAL UNIT - GE HARRIS D20</t>
  </si>
  <si>
    <t>Ausgrid, Endeavour, Ergon, SA Power appears to be a count rather than length</t>
  </si>
  <si>
    <t>CA RIN Table 2.2.1</t>
  </si>
  <si>
    <t>Asset Failures (2009-13)</t>
  </si>
  <si>
    <t>Asset Replacements (2009-13)</t>
  </si>
  <si>
    <t>REPEX Spend (2009-13)</t>
  </si>
  <si>
    <t>Unit Rates (2009-13)</t>
  </si>
  <si>
    <t>Customers per line km</t>
  </si>
  <si>
    <t>OH Maintenance (Defects) Normalised by</t>
  </si>
  <si>
    <t>SA Power appears to have very low switchgear count</t>
  </si>
  <si>
    <t>Ausgrid, Endeavour, Ergon, SA Power based on customers x 15m</t>
  </si>
  <si>
    <t>Metres of line per customer</t>
  </si>
  <si>
    <t>Total Assets per Customer</t>
  </si>
  <si>
    <t>Asset Category</t>
  </si>
  <si>
    <t>Asset Subcategory</t>
  </si>
  <si>
    <t>Public Lighting</t>
  </si>
  <si>
    <t>Pole Material Comparison</t>
  </si>
  <si>
    <t>Wood</t>
  </si>
  <si>
    <t>Concrete</t>
  </si>
  <si>
    <t>Steel</t>
  </si>
  <si>
    <t>WOOD</t>
  </si>
  <si>
    <t>CONCRETE</t>
  </si>
  <si>
    <t>STEEL</t>
  </si>
  <si>
    <t>STOBIE</t>
  </si>
  <si>
    <t>Stobie</t>
  </si>
  <si>
    <t>% OH</t>
  </si>
  <si>
    <t>Category</t>
  </si>
  <si>
    <t>Metric</t>
  </si>
  <si>
    <t>Feeder Type</t>
  </si>
  <si>
    <t>Material</t>
  </si>
  <si>
    <t>MVA</t>
  </si>
  <si>
    <t>Asset Count (2.2.2 REPEX)</t>
  </si>
  <si>
    <t>Transformers (MVA)</t>
  </si>
  <si>
    <t>Significant discrepancy between Table 5.2 and Table 2.2.2 for SA Power</t>
  </si>
  <si>
    <t>Table 2.1.1 - Standard control services capex</t>
  </si>
  <si>
    <t>Previous period</t>
  </si>
  <si>
    <t>Current regulatory period</t>
  </si>
  <si>
    <t>Forthcoming regulatory period</t>
  </si>
  <si>
    <t>Actual/ estimate ($000s nominal)</t>
  </si>
  <si>
    <t>Forecast ($000s real June 2014)</t>
  </si>
  <si>
    <t>2013/14</t>
  </si>
  <si>
    <t>2014/15</t>
  </si>
  <si>
    <t>2015/16</t>
  </si>
  <si>
    <t>2016/17</t>
  </si>
  <si>
    <t>2017/18</t>
  </si>
  <si>
    <t>2018/19</t>
  </si>
  <si>
    <t>Replacement expenditure</t>
  </si>
  <si>
    <t>Connections</t>
  </si>
  <si>
    <t>Augmentation Expenditure</t>
  </si>
  <si>
    <t>Non-network</t>
  </si>
  <si>
    <t>capitalised network overheads</t>
  </si>
  <si>
    <t>capitalised corporate overheads</t>
  </si>
  <si>
    <t>balancing item</t>
  </si>
  <si>
    <t>TOTAL GROSS CAPEX (includes capcons)</t>
  </si>
  <si>
    <t>capcons</t>
  </si>
  <si>
    <t>Table 2.1.2 - Standard control services opex by category</t>
  </si>
  <si>
    <t>Vegetation management</t>
  </si>
  <si>
    <t>Maintenance</t>
  </si>
  <si>
    <t>Emergency response</t>
  </si>
  <si>
    <t>network overheads</t>
  </si>
  <si>
    <t>corporate overheads</t>
  </si>
  <si>
    <t>TOTAL OPEX</t>
  </si>
  <si>
    <t>Metering</t>
  </si>
  <si>
    <t xml:space="preserve">                              -  </t>
  </si>
  <si>
    <t>2009-2013</t>
  </si>
  <si>
    <t>Total OPEX is not comparable due to metering &amp; public lighting included for some DNSP's</t>
  </si>
  <si>
    <t>Data Issue</t>
  </si>
  <si>
    <t>RIN Table(s)</t>
  </si>
  <si>
    <t>OPEX Category Comparison (2009-2013 Total Direct $ CA RIN 2.1.2)</t>
  </si>
  <si>
    <t>CAPEX Category Comparison (2009-2013 Total Direct $ CA RIN 2.1.2)</t>
  </si>
  <si>
    <t>OPEX Categories Normalised by Total Line Length (2009-2013 Total Direct $ CA RIN 2.1.2)</t>
  </si>
  <si>
    <t>OPEX Categories Normalised by Poles (2009-2013 Total Direct $ CA RIN 2.1.2)</t>
  </si>
  <si>
    <t>Zone Sub Maintenance</t>
  </si>
  <si>
    <t>Dist Sub Maintenance</t>
  </si>
  <si>
    <t>This maintenance cost does not align with CA RIN Table 2.8 for a number of DNSP's</t>
  </si>
  <si>
    <t>CAPEX Category Normalised by Poles (2009-2013 Total Direct $ CA RIN 2.1.2)</t>
  </si>
  <si>
    <t>Shading indicates discrepancy of &gt;1000 when compared to 5.2 Age Profile</t>
  </si>
  <si>
    <t>TOTAL $000's</t>
  </si>
  <si>
    <t>Group</t>
  </si>
  <si>
    <t>Zone Sub</t>
  </si>
  <si>
    <t>Normalised by</t>
  </si>
  <si>
    <t>Distribution Insp &amp; Maint</t>
  </si>
  <si>
    <t>Zone Substation Insp &amp; Maint</t>
  </si>
  <si>
    <t>OH/UG</t>
  </si>
  <si>
    <t>OH</t>
  </si>
  <si>
    <t>UG</t>
  </si>
  <si>
    <t>Maintenance Activity</t>
  </si>
  <si>
    <t>Activity &amp; Asset Category</t>
  </si>
  <si>
    <t>OH Maintenance-POLE TOPS AND OVERHEAD LINES</t>
  </si>
  <si>
    <t>OH Maintenance-SERVICE LINES</t>
  </si>
  <si>
    <t>Pole Inspection-ALL POLES</t>
  </si>
  <si>
    <t>OH Asset Inspection-ALL OVERHEAD ASSETS</t>
  </si>
  <si>
    <t>UG Cable Maintenance-LV - 11 TO 22 KV</t>
  </si>
  <si>
    <t>UG Cable Maintenance-33 KV AND ABOVE</t>
  </si>
  <si>
    <t>Dist Sub Maintenance-DISTRIBUTION SUBSTATION TRANSFORMERS</t>
  </si>
  <si>
    <t>Dist Sub Maintenance-DISTRIBUTION SUBSTATION SWITCHGEAR (WITHIN-SUBSTATIONS AND STAND-ALONE SWITCHGEAR)</t>
  </si>
  <si>
    <t>Dist Sub Maintenance-DISTRIBUTION SUBSTATION - OTHER EQUIPMENT</t>
  </si>
  <si>
    <t>Dist Sub Maintenance-DISTRIBUTION SUBSTATION - PROPERTY</t>
  </si>
  <si>
    <t>Zone Sub Maintenance-TRANSFORMERS - ZONE SUBSTATION</t>
  </si>
  <si>
    <t xml:space="preserve">Zone Sub Maintenance-TRANSFORMERS - DISTRIBUTION </t>
  </si>
  <si>
    <t>Zone Sub Maintenance-TRANSFORMERS - HV</t>
  </si>
  <si>
    <t>Zone Sub Maintenance-ZONE SUBSTATION - OTHER EQUIPMENT</t>
  </si>
  <si>
    <t>Zone Sub Maintenance-ALL ZONE SUBSTATION PROPERTIES</t>
  </si>
  <si>
    <t>Public Lighting Maintenance-MINOR ROADS</t>
  </si>
  <si>
    <t>Public Lighting Maintenance-MAJOR ROADS</t>
  </si>
  <si>
    <t>SCADA Maintenance-SCADA &amp; NETWORK CONTROL MAINTENANCE</t>
  </si>
  <si>
    <t>Protection Maintenance-PROTECTION SYSTEMS MAINTENANCE</t>
  </si>
  <si>
    <t>Subtrans Maintenance-SUBTRANSMISSION ASSET MAINTENANCE - FOR DNSPS WITH DUAL FUNCTION ASSETS</t>
  </si>
  <si>
    <t>Other-ASSET CATEGORY (DNSP TO NOMINATE)</t>
  </si>
  <si>
    <t>Other-DNSP TO NOMINATE</t>
  </si>
  <si>
    <t>Other-</t>
  </si>
  <si>
    <t>Zone Sub Maintenance-</t>
  </si>
  <si>
    <t>SCADA Maintenance-</t>
  </si>
  <si>
    <t>Protection Maintenance-</t>
  </si>
  <si>
    <t>Other-PIT AND PILLAR INSPECTION</t>
  </si>
  <si>
    <t>Other-CRITICAL EQIPMENT INSPECTION</t>
  </si>
  <si>
    <t>Other-ENCLOSED SUBSTATION INSPECTION</t>
  </si>
  <si>
    <t>Other-ANNUAL THERMOVISION INSPECTION URBAN</t>
  </si>
  <si>
    <t>Other-ANNUAL REGULATOR AND RECLOSER INSPECTION</t>
  </si>
  <si>
    <t xml:space="preserve">Other-EARTH INTEGRITY TESTING </t>
  </si>
  <si>
    <t>Other-SUBTRANSMISSION LIVE LINE INSPECTION</t>
  </si>
  <si>
    <t>Other-ANNUAL FIRE MITIGATION INSPECTION</t>
  </si>
  <si>
    <t xml:space="preserve">Other- Includes Rates, Electricity, Communications Equip, Metering </t>
  </si>
  <si>
    <t>Other-GROUND CLEARANCE - ACCESS TRACKS</t>
  </si>
  <si>
    <t>Other-All zone substations assets (excluding property)</t>
  </si>
  <si>
    <t>Other-SWITCHGEAR</t>
  </si>
  <si>
    <t>Other-COMMUNICATIONS NETWORK ASSETS - DC BATTERIRS</t>
  </si>
  <si>
    <t>Other-COMMUNICATIONS NETWORK ASSETS - TOWERS</t>
  </si>
  <si>
    <t xml:space="preserve">Other-COMMUNICATIONS NETWORK ASSETS - PILOT CABLE </t>
  </si>
  <si>
    <t>Other-COMMUNICATIONS NETWORK ASSETS -  FIBRE CABLE</t>
  </si>
  <si>
    <t>Other-CUSTOMER SERVICE PENALTIES</t>
  </si>
  <si>
    <t>Exclude</t>
  </si>
  <si>
    <t>=OH x 1 + UG x 0.125</t>
  </si>
  <si>
    <t>CA 2.1.2 &amp; CA 2.8</t>
  </si>
  <si>
    <t>Total poles, OH cond, UG Cable don't align for a number of DNSP's</t>
  </si>
  <si>
    <t>Average Annual Inspection &amp; Maintenance Rate (Average 2009-13) - Zone Sub / Distribution Comparison</t>
  </si>
  <si>
    <t>Average Annual Inspection &amp; Maintenance Rate (Average 2009-13) - Category Comparison</t>
  </si>
  <si>
    <t>OTHER - BOLLARDS</t>
  </si>
  <si>
    <t>˂ = 1 KV</t>
  </si>
  <si>
    <t>&gt; 1 KV &amp; &lt; = 11 KV</t>
  </si>
  <si>
    <t>˃ 11 KV &amp; &lt; = 22 KV  ; SWER</t>
  </si>
  <si>
    <t>˃ 11 KV &amp; &lt; = 22 KV ; SINGLE-PHASE</t>
  </si>
  <si>
    <t>˃ 11 KV &amp; &lt; = 22 KV ; MULTIPLE-PHASE</t>
  </si>
  <si>
    <t>&gt; 22 KV &amp; &lt; = 66 KV</t>
  </si>
  <si>
    <t>&gt; 66 KV &amp; &lt; = 132 KV</t>
  </si>
  <si>
    <t>&gt; 132 KV</t>
  </si>
  <si>
    <t>&gt; 11 KV &amp; &lt; = 22 KV</t>
  </si>
  <si>
    <t>&gt; 22 KV &amp; &lt; = 33 KV</t>
  </si>
  <si>
    <t>&gt; 33 KV &amp; &lt; = 66 KV</t>
  </si>
  <si>
    <t>&gt;  132 KV</t>
  </si>
  <si>
    <t xml:space="preserve">˂ = 11 KV ; RESIDENTIAL ; SIMPLE TYPE </t>
  </si>
  <si>
    <t xml:space="preserve">˂ = 11 KV ; COMMERCIAL &amp; INDUSTRIAL ; SIMPLE TYPE </t>
  </si>
  <si>
    <t xml:space="preserve">˂ = 11 KV ; RESIDENTIAL ; COMPLEX TYPE </t>
  </si>
  <si>
    <t xml:space="preserve">˂ = 11 KV ; COMMERCIAL &amp; INDUSTRIAL ; COMPLEX TYPE </t>
  </si>
  <si>
    <t xml:space="preserve">˂ = 11 KV ; SUBDIVISION ; COMPLEX TYPE </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</si>
  <si>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</si>
  <si>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</si>
  <si>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</si>
  <si>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</si>
  <si>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</si>
  <si>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</si>
  <si>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</si>
  <si>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</si>
  <si>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</si>
  <si>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</si>
  <si>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</si>
  <si>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</si>
  <si>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</si>
  <si>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</si>
  <si>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</si>
  <si>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</si>
  <si>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 xml:space="preserve">POLE MOUNTED ; &gt; 22 KV ;  &lt; = 60 KVA </t>
  </si>
  <si>
    <t xml:space="preserve">POLE MOUNTED ; &gt; 22 KV ;  &gt; 60 KVA AND &lt; = 600 KVA </t>
  </si>
  <si>
    <t>POLE MOUNTED ; &gt; 22 KV ;  &gt; 600 KVA</t>
  </si>
  <si>
    <t>POLE MOUNTED ; &gt; 22 KV ;  &gt; 60 KVA AND &lt; = 600 KVA</t>
  </si>
  <si>
    <t>POLE MOUNTED ; &gt; 22 KV ;  &gt;  600 KVA</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</si>
  <si>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</si>
  <si>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</si>
  <si>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</si>
  <si>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</si>
  <si>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</si>
  <si>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</si>
  <si>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 xml:space="preserve">KIOSK MOUNTED ; &gt; 22 KV ;  &lt; = 60 KVA </t>
  </si>
  <si>
    <t xml:space="preserve">KIOSK MOUNTED ; &gt; 22 KV ;  &gt; 60 KVA AND &lt; = 600 KVA </t>
  </si>
  <si>
    <t>KIOSK MOUNTED ; &gt; 22 KV ;  &gt; 600 KVA</t>
  </si>
  <si>
    <t>KIOSK MOUNTED ; &gt; 22 KV ;  &gt; 60 KVA AND &lt; = 600 KVA</t>
  </si>
  <si>
    <t>KIOSK MOUNTED ; &gt; 22 KV ;  &gt;  600 KVA</t>
  </si>
  <si>
    <t>GROUND OUTDOOR / INDOOR CHAMBER MOUNTED ; ˂ 22 KV ;  &lt; = 60 KVA ; SINGLE PHASE</t>
  </si>
  <si>
    <t>GROUND OUTDOOR / INDOOR CHAMBER MOUNTED ; ˂  22 KV ;  &gt; 60 KVA  AND &lt; = 600 KVA ; SINGLE PHASE</t>
  </si>
  <si>
    <t>GROUND OUTDOOR / INDOOR CHAMBER MOUNTED ; ˂  22 KV ;  &lt; = 60 KVA ; MULTIPLE PHASE</t>
  </si>
  <si>
    <t>GROUND OUTDOOR / INDOOR CHAMBER MOUNTED ; ˂  22 KV ;  &gt; 60 KVA  AND &lt; = 600 KVA ; MULTIPLE PHASE</t>
  </si>
  <si>
    <t>GROUND OUTDOOR / INDOOR CHAMBER MOUNTED ; &gt; = 22 KV &amp; &lt; = 33 KV ;  &lt; = 15 MVA</t>
  </si>
  <si>
    <t>GROUND OUTDOOR / INDOOR CHAMBER MOUNTED ; &gt; = 22 KV &amp; &lt; = 33 KV ;  &gt; 15 MVA AND &lt; = 40 MVA</t>
  </si>
  <si>
    <t>GROUND OUTDOOR / INDOOR CHAMBER MOUNTED ; &gt; = 22 KV &amp; &lt; = 33 KV ;  &gt; 40 MVA</t>
  </si>
  <si>
    <t>GROUND OUTDOOR / INDOOR CHAMBER MOUNTED ; &gt; 33 KV &amp; &lt; = 66 KV ;  &lt; = 15 MVA</t>
  </si>
  <si>
    <t>GROUND OUTDOOR / INDOOR CHAMBER MOUNTED ; &gt; 33 KV &amp; &lt; = 66 KV ;  &gt; 15 MVA AND &lt; = 40 MVA</t>
  </si>
  <si>
    <t>GROUND OUTDOOR / INDOOR CHAMBER MOUNTED ; &gt; 33 KV &amp; &lt; = 66 KV ;  &gt; 40 MVA</t>
  </si>
  <si>
    <t>GROUND OUTDOOR / INDOOR CHAMBER MOUNTED ; &gt; 66 KV &amp; &lt; = 132 KV ;  &lt; = 100 MVA</t>
  </si>
  <si>
    <t>GROUND OUTDOOR / INDOOR CHAMBER MOUNTED ; &gt; 66 KV &amp; &lt; = 132 KV ;  &gt; 100 MVA</t>
  </si>
  <si>
    <t>GROUND OUTDOOR / INDOOR CHAMBER MOUNTED ; &gt; 132 KV ;  &lt; = 100 MVA</t>
  </si>
  <si>
    <t>OTHER - &gt; 11 KV &amp; &lt; = 22 KV  ; FUSE</t>
  </si>
  <si>
    <t>OTHER - &gt; 22 KV &amp; &lt; = 33 KV ; FUSE</t>
  </si>
  <si>
    <t>OTHER - &gt; 33 KV &amp; &lt; = 66 KV ; FUSE</t>
  </si>
  <si>
    <t>CUSTOMER METERING AND LOAD CONTROL</t>
  </si>
  <si>
    <t>ROUTE Km's (000's)</t>
  </si>
  <si>
    <t>OTHER - Bollards</t>
  </si>
  <si>
    <t>˃ 11 KV &amp; &lt; = 22 KV</t>
  </si>
  <si>
    <t>CA RIN 5.2</t>
  </si>
  <si>
    <t>CA RIN 2.2.2</t>
  </si>
  <si>
    <t>EB RIN 5.2.2 (2013)</t>
  </si>
  <si>
    <t>CAPEX Category</t>
  </si>
  <si>
    <t>CAPEX Category Normalised by Total Line Length (2009-2013 Total Direct $ CA RIN 2.1.2)</t>
  </si>
  <si>
    <t>OPEX Category</t>
  </si>
  <si>
    <t>EE Cost Multiplier</t>
  </si>
  <si>
    <t>Street Light Pole / Column</t>
  </si>
  <si>
    <t>Luminaires</t>
  </si>
  <si>
    <t>Public Lighting Luminaires</t>
  </si>
  <si>
    <t>Public Lighting Other</t>
  </si>
  <si>
    <t>Asset Group</t>
  </si>
  <si>
    <t>OPEX Categories Normalised by Total Assets (2009-2013 Total Direct $ CA RIN 2.1.2)</t>
  </si>
  <si>
    <t>CA 2.2.2, CA 2.8, CA 5.2</t>
  </si>
  <si>
    <t>Maintenance OPEX expenditure do not align for a number of DNSP's (is this due to Public Lighting?)</t>
  </si>
  <si>
    <t>Transformers (Zone Substation)</t>
  </si>
  <si>
    <t>All TX's &gt;=22kV that are ground or chamber mounted.</t>
  </si>
  <si>
    <t>Zone Substations</t>
  </si>
  <si>
    <t>Streetlight Column</t>
  </si>
  <si>
    <t>Forthcoming regulatory period (from table 3.2)</t>
  </si>
  <si>
    <t>2015-2019</t>
  </si>
  <si>
    <t>OPEX Categories Normalised by Customers (2009-2013 Total Direct $ CA RIN 2.1.2)</t>
  </si>
  <si>
    <t>Asset Replacements (2015-19)</t>
  </si>
  <si>
    <t>Unit Rate (2015-19)</t>
  </si>
  <si>
    <t>Poles (Public Lighting)</t>
  </si>
  <si>
    <t>Total Poles</t>
  </si>
  <si>
    <t>Network Size Comparison (Refer source column and comments)</t>
  </si>
  <si>
    <t>Yellow shading indicates data issue (see comments column for more info)</t>
  </si>
  <si>
    <t>All</t>
  </si>
  <si>
    <t>EB RIN 8.3</t>
  </si>
  <si>
    <t>Total Spans</t>
  </si>
  <si>
    <t>Bushfire Risk Spans</t>
  </si>
  <si>
    <t>Vegetation Management Spans</t>
  </si>
  <si>
    <t>Ergon appears low</t>
  </si>
  <si>
    <t>Ausgrid appears high</t>
  </si>
  <si>
    <t>% Cct/Route Length</t>
  </si>
  <si>
    <t>Asset</t>
  </si>
  <si>
    <t>Units</t>
  </si>
  <si>
    <t>Count</t>
  </si>
  <si>
    <t>km</t>
  </si>
  <si>
    <t>Cust/total line km</t>
  </si>
  <si>
    <t>Metres total line / cust</t>
  </si>
  <si>
    <t>Asset Count / cust</t>
  </si>
  <si>
    <t>sq km</t>
  </si>
  <si>
    <t>Network Area</t>
  </si>
  <si>
    <t>Essential (Original)</t>
  </si>
  <si>
    <t>Total Route Length</t>
  </si>
  <si>
    <t>=(Total Poles/OH Cond)*UG Cable*0.125+Total Poles</t>
  </si>
  <si>
    <t>Essential Route Length has an error of around 7800kms</t>
  </si>
  <si>
    <t>Average Annual Non Routine Maintenance $ (2009-13)</t>
  </si>
  <si>
    <t>Average Annual Routine Maintenance $ (2009-13)</t>
  </si>
  <si>
    <t>Average Annual Total Maintenance $ (2009-13)</t>
  </si>
  <si>
    <t>OPEX Category Comparison with Balancing Item Removed (2009-2013 Total Direct $ CA RIN 2.1.2)</t>
  </si>
  <si>
    <t>OH Route Length</t>
  </si>
  <si>
    <t>Essential -10%</t>
  </si>
  <si>
    <t>Adjusted Total Line Length</t>
  </si>
  <si>
    <t>OPEX Categories Normalised by Adjusted Total Line Length (2009-2013 Total Direct $ CA RIN 2.1.2)</t>
  </si>
  <si>
    <t>Adjusted Total Poles</t>
  </si>
  <si>
    <t>Endeavour Draft Det</t>
  </si>
  <si>
    <t>Essential Draft Det</t>
  </si>
  <si>
    <t>2015</t>
  </si>
  <si>
    <t>2016</t>
  </si>
  <si>
    <t>2017</t>
  </si>
  <si>
    <t>2018</t>
  </si>
  <si>
    <t>2019</t>
  </si>
  <si>
    <t>Essential Proposal</t>
  </si>
  <si>
    <t>Endeavour Proposal</t>
  </si>
  <si>
    <t>$ base</t>
  </si>
  <si>
    <t>SA Power Proposal</t>
  </si>
  <si>
    <t>$13-14</t>
  </si>
  <si>
    <t>Reg Proposal p6</t>
  </si>
  <si>
    <t>Reg Proposal p3</t>
  </si>
  <si>
    <t>etc</t>
  </si>
  <si>
    <t>Converts 12/13 to 13/14</t>
  </si>
  <si>
    <t>Converts 13/14 to 14/15</t>
  </si>
  <si>
    <t>Converts 14/15 to 15/16</t>
  </si>
  <si>
    <t>2008-09</t>
  </si>
  <si>
    <t>2009-10</t>
  </si>
  <si>
    <t>2010-11</t>
  </si>
  <si>
    <t>2011-12</t>
  </si>
  <si>
    <t>2012-13</t>
  </si>
  <si>
    <t>2013-14</t>
  </si>
  <si>
    <t>2014-15</t>
  </si>
  <si>
    <t>2015-16</t>
  </si>
  <si>
    <t>2016-17</t>
  </si>
  <si>
    <t>2017-18</t>
  </si>
  <si>
    <t>2018-19</t>
  </si>
  <si>
    <t>Actual CPI Inflation Rate</t>
  </si>
  <si>
    <r>
      <t>To convert historical nominal dollars to $2013/14</t>
    </r>
    <r>
      <rPr>
        <b/>
        <sz val="11"/>
        <color theme="1"/>
        <rFont val="Calibri"/>
        <family val="2"/>
      </rPr>
      <t xml:space="preserve"> MULTIPLY </t>
    </r>
    <r>
      <rPr>
        <sz val="11"/>
        <color theme="1"/>
        <rFont val="Calibri"/>
        <family val="2"/>
        <scheme val="minor"/>
      </rPr>
      <t>by:</t>
    </r>
  </si>
  <si>
    <r>
      <t xml:space="preserve">To convert forward estimates of nominal dollars to $2013/14 </t>
    </r>
    <r>
      <rPr>
        <b/>
        <sz val="11"/>
        <color theme="1"/>
        <rFont val="Calibri"/>
        <family val="2"/>
      </rPr>
      <t>DIVIDE</t>
    </r>
    <r>
      <rPr>
        <sz val="11"/>
        <color theme="1"/>
        <rFont val="Calibri"/>
        <family val="2"/>
        <scheme val="minor"/>
      </rPr>
      <t xml:space="preserve"> by:</t>
    </r>
  </si>
  <si>
    <r>
      <t xml:space="preserve">To convert $2014/15 to $2013/14 </t>
    </r>
    <r>
      <rPr>
        <b/>
        <sz val="11"/>
        <color theme="1"/>
        <rFont val="Calibri"/>
        <family val="2"/>
      </rPr>
      <t>DIVIDE</t>
    </r>
    <r>
      <rPr>
        <sz val="11"/>
        <color theme="1"/>
        <rFont val="Calibri"/>
        <family val="2"/>
        <scheme val="minor"/>
      </rPr>
      <t xml:space="preserve"> by</t>
    </r>
  </si>
  <si>
    <t>Received from Justine Langdon 23/12/14</t>
  </si>
  <si>
    <t>Converted to $13-14</t>
  </si>
  <si>
    <t>Line Length vs Customers</t>
  </si>
  <si>
    <t>Calculated</t>
  </si>
  <si>
    <t>DNSP Website</t>
  </si>
  <si>
    <r>
      <rPr>
        <sz val="9"/>
        <rFont val="Arial"/>
        <family val="34"/>
      </rPr>
      <t>Other network costs</t>
    </r>
  </si>
  <si>
    <r>
      <rPr>
        <sz val="9"/>
        <rFont val="Arial"/>
        <family val="34"/>
      </rPr>
      <t>Emergency response</t>
    </r>
  </si>
  <si>
    <r>
      <rPr>
        <sz val="9"/>
        <rFont val="Arial"/>
        <family val="34"/>
      </rPr>
      <t>Vegetation management</t>
    </r>
  </si>
  <si>
    <r>
      <rPr>
        <sz val="9"/>
        <rFont val="Arial"/>
        <family val="34"/>
      </rPr>
      <t>Maintenance and repair</t>
    </r>
  </si>
  <si>
    <r>
      <rPr>
        <sz val="9"/>
        <rFont val="Arial"/>
        <family val="34"/>
      </rPr>
      <t>Inspections</t>
    </r>
  </si>
  <si>
    <r>
      <rPr>
        <b/>
        <sz val="9"/>
        <color rgb="FFFFFFFF"/>
        <rFont val="Arial"/>
        <family val="34"/>
      </rPr>
      <t>2018-19</t>
    </r>
  </si>
  <si>
    <r>
      <rPr>
        <b/>
        <sz val="9"/>
        <color rgb="FFFFFFFF"/>
        <rFont val="Arial"/>
        <family val="34"/>
      </rPr>
      <t>2017-18</t>
    </r>
  </si>
  <si>
    <r>
      <rPr>
        <b/>
        <sz val="9"/>
        <color rgb="FFFFFFFF"/>
        <rFont val="Arial"/>
        <family val="34"/>
      </rPr>
      <t>2016-17</t>
    </r>
  </si>
  <si>
    <r>
      <rPr>
        <b/>
        <sz val="9"/>
        <color rgb="FFFFFFFF"/>
        <rFont val="Arial"/>
        <family val="34"/>
      </rPr>
      <t>2015-16</t>
    </r>
  </si>
  <si>
    <r>
      <rPr>
        <b/>
        <sz val="9"/>
        <color rgb="FFFFFFFF"/>
        <rFont val="Arial"/>
        <family val="34"/>
      </rPr>
      <t>2014-15</t>
    </r>
  </si>
  <si>
    <r>
      <rPr>
        <b/>
        <sz val="9"/>
        <color rgb="FFFFFFFF"/>
        <rFont val="Arial"/>
        <family val="34"/>
      </rPr>
      <t>2013-14</t>
    </r>
  </si>
  <si>
    <r>
      <rPr>
        <b/>
        <sz val="9"/>
        <color rgb="FFFFFFFF"/>
        <rFont val="Arial"/>
        <family val="34"/>
      </rPr>
      <t>2012-13</t>
    </r>
  </si>
  <si>
    <r>
      <rPr>
        <b/>
        <sz val="9"/>
        <color rgb="FFFFFFFF"/>
        <rFont val="Arial"/>
        <family val="34"/>
      </rPr>
      <t>2011-12</t>
    </r>
  </si>
  <si>
    <r>
      <rPr>
        <b/>
        <sz val="9"/>
        <color rgb="FFFFFFFF"/>
        <rFont val="Arial"/>
        <family val="34"/>
      </rPr>
      <t>2010-11</t>
    </r>
  </si>
  <si>
    <r>
      <rPr>
        <b/>
        <sz val="9"/>
        <color rgb="FFFFFFFF"/>
        <rFont val="Arial"/>
        <family val="34"/>
      </rPr>
      <t>2009-10</t>
    </r>
  </si>
  <si>
    <r>
      <rPr>
        <b/>
        <sz val="9"/>
        <color rgb="FFFFFFFF"/>
        <rFont val="Arial"/>
        <family val="34"/>
      </rPr>
      <t>2008-09</t>
    </r>
  </si>
  <si>
    <r>
      <rPr>
        <b/>
        <sz val="9"/>
        <color rgb="FFFFFFFF"/>
        <rFont val="Arial"/>
        <family val="34"/>
      </rPr>
      <t>2007-08</t>
    </r>
  </si>
  <si>
    <r>
      <rPr>
        <b/>
        <sz val="9"/>
        <color rgb="FFFFFFFF"/>
        <rFont val="Arial"/>
        <family val="34"/>
      </rPr>
      <t>2006-07</t>
    </r>
  </si>
  <si>
    <r>
      <rPr>
        <b/>
        <sz val="9"/>
        <color rgb="FFFFFFFF"/>
        <rFont val="Arial"/>
        <family val="34"/>
      </rPr>
      <t>2005-06</t>
    </r>
  </si>
  <si>
    <r>
      <rPr>
        <b/>
        <sz val="9"/>
        <color rgb="FFFFFFFF"/>
        <rFont val="Arial"/>
        <family val="34"/>
      </rPr>
      <t>2004-05</t>
    </r>
  </si>
  <si>
    <r>
      <rPr>
        <b/>
        <sz val="9"/>
        <rFont val="Arial"/>
        <family val="34"/>
      </rPr>
      <t>Total network costs</t>
    </r>
  </si>
  <si>
    <t>Extracted from p66 of Reg Proposal</t>
  </si>
  <si>
    <t>Essential OPEX Categories ($M 2013/14)</t>
  </si>
  <si>
    <t>Total Next Reg Period</t>
  </si>
  <si>
    <t>Total without Veg</t>
  </si>
  <si>
    <t>Endeavour Proposal Total OPEX</t>
  </si>
  <si>
    <t>Endeavour Proposal Veg</t>
  </si>
  <si>
    <t>Endaveour Draft Det</t>
  </si>
  <si>
    <t>Total 2015-19</t>
  </si>
  <si>
    <t>DNSP OPEX Real $13-14</t>
  </si>
  <si>
    <t>Essential Draft Det excluding Veg</t>
  </si>
  <si>
    <t>Endeavour Proposal excluding Veg</t>
  </si>
  <si>
    <t>Endeavour Draft Det excluding Veg</t>
  </si>
  <si>
    <t>http://www.energywatch.com.au/market/energy_distributors</t>
  </si>
  <si>
    <t>OPEX $Million Real 2013-14</t>
  </si>
  <si>
    <t>Includes; Adjusted Total Poles, Adjusted Total Line Length, TX's, Zone Sub TX's, Service Lines, Switchgear</t>
  </si>
  <si>
    <t>Adjusted Total Assets</t>
  </si>
  <si>
    <t>Includes; Total Poles, Total Line Length, TX's, Zone Sub TX's, Service Lines, Switchgear</t>
  </si>
  <si>
    <t>Years</t>
  </si>
  <si>
    <t>Pole</t>
  </si>
  <si>
    <t>Essential Revised Proposal</t>
  </si>
  <si>
    <t>Endeavour Revised Proposal</t>
  </si>
  <si>
    <t>Current as at 2/1/15</t>
  </si>
  <si>
    <t>Includes DMIA &amp; debt raising costs (and asset growth factor)</t>
  </si>
  <si>
    <t>Essential Revised Proposal Veg</t>
  </si>
  <si>
    <t>Essential Revised Proposal excl. Veg</t>
  </si>
  <si>
    <t>Essential Revised Proposal OPEX</t>
  </si>
  <si>
    <t>Essential Revised Veg</t>
  </si>
  <si>
    <t>Essential Veg</t>
  </si>
  <si>
    <t>Endeavour Veg</t>
  </si>
  <si>
    <t>Endeavdour Proposal excl. Veg</t>
  </si>
  <si>
    <t>Essential Draft Det excl. Veg</t>
  </si>
  <si>
    <t>Endeavour Draft Det excl. Veg</t>
  </si>
  <si>
    <t>Customer</t>
  </si>
  <si>
    <t>Transformer - Zone Sub</t>
  </si>
  <si>
    <t>Transformer</t>
  </si>
  <si>
    <t>Span</t>
  </si>
  <si>
    <t>Customer Count</t>
  </si>
  <si>
    <t>Customer Density</t>
  </si>
  <si>
    <t>Total Opex</t>
  </si>
  <si>
    <t>Direct Cost Inc</t>
  </si>
  <si>
    <t>for SA Power taken from table 2.2.2 due to error in Table 5.2</t>
  </si>
  <si>
    <t>Citipower</t>
  </si>
  <si>
    <t>AusNet</t>
  </si>
  <si>
    <t>AusNet + Powercor</t>
  </si>
  <si>
    <t>SA Power + Powercor</t>
  </si>
  <si>
    <t>Essential +16%Dir</t>
  </si>
  <si>
    <t>$m; Real 13-14</t>
  </si>
  <si>
    <t>Vegetation direct</t>
  </si>
  <si>
    <t>Overheads</t>
  </si>
  <si>
    <t>Vegetation fully loaded</t>
  </si>
  <si>
    <t>All data sourced from original public RIN documents except for 'Essential' which is the revised RIN that was submitted but not released publicly by the AER ('Essential Original' is the public version).</t>
  </si>
  <si>
    <t>EE veg direct cost not increased</t>
  </si>
  <si>
    <t>EE overheads reduced by total $ that direct were increased</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</si>
</sst>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_-* #,##0.00_-;[Red]\(#,##0.00\)_-;_-* &quot;-&quot;??_-;_-@_-"/>
    <numFmt numFmtId="166" formatCode="_(* #,##0_);_(* \(#,##0\);_(* &quot;-&quot;_);_(@_)"/>
    <numFmt numFmtId="167" formatCode="_(* #,##0.00_);_(* \(#,##0.00\);_(* &quot;-&quot;??_);_(@_)"/>
    <numFmt numFmtId="168" formatCode="mm/dd/yy"/>
    <numFmt numFmtId="169" formatCode="_([$€-2]* #,##0.00_);_([$€-2]* \(#,##0.00\);_([$€-2]* &quot;-&quot;??_)"/>
    <numFmt numFmtId="170" formatCode="0_);[Red]\(0\)"/>
    <numFmt numFmtId="171" formatCode="0.0%"/>
    <numFmt numFmtId="172" formatCode="#,##0.0_);\(#,##0.0\)"/>
    <numFmt numFmtId="173" formatCode="#,##0_ ;\-#,##0\ "/>
    <numFmt numFmtId="174" formatCode="#,##0;[Red]\(#,##0.0\)"/>
    <numFmt numFmtId="175" formatCode="#,##0_ ;[Red]\(#,##0\)\ "/>
    <numFmt numFmtId="176" formatCode="#,##0.00;\(#,##0.00\)"/>
    <numFmt numFmtId="177" formatCode="_)d\-mmm\-yy_)"/>
    <numFmt numFmtId="178" formatCode="_(#,##0.0_);\(#,##0.0\);_(&quot;-&quot;_)"/>
    <numFmt numFmtId="179" formatCode="_(###0_);\(###0\);_(###0_)"/>
    <numFmt numFmtId="180" formatCode="#,##0.0000_);[Red]\(#,##0.0000\)"/>
    <numFmt numFmtId="181" formatCode="_(&quot;$&quot;* #,##0.00_);_(&quot;$&quot;* \(#,##0.00\);_(&quot;$&quot;* &quot;-&quot;??_);_(@_)"/>
    <numFmt numFmtId="182" formatCode="_-* #,##0.0_-;\-* #,##0.0_-;_-* &quot;-&quot;??_-;_-@_-"/>
    <numFmt numFmtId="183" formatCode="_-&quot;$&quot;* #,##0_-;\-&quot;$&quot;* #,##0_-;_-&quot;$&quot;* &quot;-&quot;??_-;_-@_-"/>
    <numFmt numFmtId="184" formatCode="[$-C09]dd\-mmm\-yy;@"/>
    <numFmt numFmtId="185" formatCode="_(* #,##0_);_(* \(#,##0\);_(* &quot;-&quot;?_);_(@_)"/>
    <numFmt numFmtId="186" formatCode="_-* #,##0.00_-;\-* #,##0.00_-;_-* &quot;-&quot;_-;_-@_-"/>
    <numFmt numFmtId="187" formatCode="&quot;$&quot;#,##0"/>
    <numFmt numFmtId="188" formatCode="&quot;$&quot;#,##0.00"/>
  </numFmts>
  <fonts count="12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2"/>
      <name val="Arial"/>
      <family val="2"/>
    </font>
    <font>
      <sz val="10"/>
      <color theme="1"/>
      <name val="Arial"/>
      <family val="2"/>
    </font>
    <font>
      <u/>
      <sz val="10"/>
      <color indexed="12"/>
      <name val="Arial"/>
      <family val="2"/>
    </font>
    <font>
      <b/>
      <sz val="14"/>
      <name val="Arial"/>
      <family val="2"/>
    </font>
    <font>
      <sz val="11"/>
      <color indexed="17"/>
      <name val="Calibri"/>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b/>
      <sz val="15"/>
      <color indexed="62"/>
      <name val="Calibri"/>
      <family val="2"/>
    </font>
    <font>
      <b/>
      <sz val="13"/>
      <color indexed="62"/>
      <name val="Calibri"/>
      <family val="2"/>
    </font>
    <font>
      <b/>
      <sz val="9"/>
      <name val="Arial"/>
      <family val="2"/>
    </font>
    <font>
      <b/>
      <sz val="11"/>
      <color indexed="62"/>
      <name val="Calibri"/>
      <family val="2"/>
    </font>
    <font>
      <b/>
      <sz val="8"/>
      <name val="Arial"/>
      <family val="2"/>
    </font>
    <font>
      <b/>
      <sz val="8.5"/>
      <name val="Univers 65"/>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amily val="2"/>
    </font>
    <font>
      <b/>
      <sz val="9"/>
      <name val="Palatino"/>
      <family val="1"/>
    </font>
    <font>
      <sz val="7"/>
      <name val="Palatino"/>
      <family val="1"/>
    </font>
    <font>
      <sz val="12"/>
      <name val="Palatino"/>
      <family val="1"/>
    </font>
    <font>
      <sz val="11"/>
      <name val="Helvetica-Black"/>
      <family val="2"/>
    </font>
    <font>
      <sz val="12"/>
      <color indexed="12"/>
      <name val="Arial MT"/>
    </font>
    <font>
      <b/>
      <u/>
      <sz val="9.5"/>
      <color indexed="56"/>
      <name val="Arial"/>
      <family val="2"/>
    </font>
    <font>
      <u/>
      <sz val="8"/>
      <color indexed="56"/>
      <name val="Arial"/>
      <family val="2"/>
    </font>
    <font>
      <sz val="11"/>
      <color indexed="10"/>
      <name val="Calibri"/>
      <family val="2"/>
    </font>
    <font>
      <u/>
      <sz val="11"/>
      <color theme="10"/>
      <name val="Calibri"/>
      <family val="2"/>
      <scheme val="minor"/>
    </font>
    <font>
      <u/>
      <sz val="10"/>
      <color indexed="12"/>
      <name val="MS Sans Serif"/>
      <family val="2"/>
    </font>
    <font>
      <b/>
      <sz val="15"/>
      <color indexed="56"/>
      <name val="Calibri"/>
      <family val="2"/>
    </font>
    <font>
      <b/>
      <sz val="13"/>
      <color indexed="56"/>
      <name val="Calibri"/>
      <family val="2"/>
    </font>
    <font>
      <b/>
      <sz val="11"/>
      <color indexed="56"/>
      <name val="Calibri"/>
      <family val="2"/>
    </font>
    <font>
      <b/>
      <sz val="11"/>
      <color indexed="16"/>
      <name val="Times New Roman"/>
      <family val="1"/>
    </font>
    <font>
      <b/>
      <sz val="18"/>
      <color indexed="56"/>
      <name val="Cambria"/>
      <family val="2"/>
    </font>
    <font>
      <sz val="11"/>
      <color theme="0"/>
      <name val="Calibri"/>
      <family val="2"/>
      <scheme val="minor"/>
    </font>
    <font>
      <b/>
      <sz val="11"/>
      <color theme="0"/>
      <name val="Calibri"/>
      <family val="2"/>
      <scheme val="minor"/>
    </font>
    <font>
      <sz val="8"/>
      <color indexed="81"/>
      <name val="Tahoma"/>
      <family val="2"/>
    </font>
    <font>
      <b/>
      <sz val="8"/>
      <color indexed="81"/>
      <name val="Tahoma"/>
      <family val="2"/>
    </font>
    <font>
      <sz val="24"/>
      <color theme="1"/>
      <name val="Calibri"/>
      <family val="2"/>
      <scheme val="minor"/>
    </font>
    <font>
      <sz val="11"/>
      <color theme="5"/>
      <name val="Calibri"/>
      <family val="2"/>
      <scheme val="minor"/>
    </font>
    <font>
      <sz val="11"/>
      <color theme="4"/>
      <name val="Calibri"/>
      <family val="2"/>
      <scheme val="minor"/>
    </font>
    <font>
      <sz val="11"/>
      <color theme="3"/>
      <name val="Calibri"/>
      <family val="2"/>
      <scheme val="minor"/>
    </font>
    <font>
      <b/>
      <sz val="10"/>
      <color indexed="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rgb="FFFFFFFF"/>
      <name val="Calibri"/>
      <family val="2"/>
    </font>
    <font>
      <b/>
      <i/>
      <sz val="10"/>
      <name val="Arial"/>
      <family val="2"/>
    </font>
    <font>
      <sz val="10"/>
      <color rgb="FF000000"/>
      <name val="Arial"/>
      <family val="2"/>
    </font>
    <font>
      <sz val="10"/>
      <color indexed="8"/>
      <name val="MS Sans Serif"/>
      <family val="2"/>
    </font>
    <font>
      <b/>
      <sz val="14"/>
      <name val="Tahoma"/>
      <family val="2"/>
    </font>
    <font>
      <sz val="11"/>
      <color theme="1"/>
      <name val="Calibri"/>
      <family val="2"/>
      <scheme val="minor"/>
    </font>
    <font>
      <sz val="11"/>
      <color rgb="FF000000"/>
      <name val="Calibri"/>
      <family val="2"/>
    </font>
    <font>
      <b/>
      <sz val="11"/>
      <color theme="1"/>
      <name val="Calibri"/>
      <family val="2"/>
      <scheme val="minor"/>
    </font>
    <font>
      <sz val="11"/>
      <color theme="1"/>
      <name val="Calibri"/>
      <family val="2"/>
      <scheme val="minor"/>
    </font>
    <font>
      <sz val="11"/>
      <color theme="1"/>
      <name val="Calibri"/>
      <family val="2"/>
      <scheme val="minor"/>
    </font>
    <font>
      <b/>
      <sz val="14"/>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8"/>
      <color theme="0"/>
      <name val="Calibri"/>
      <family val="2"/>
      <scheme val="minor"/>
    </font>
    <font>
      <sz val="11"/>
      <color rgb="FF000000"/>
      <name val="Calibri"/>
      <family val="2"/>
    </font>
    <font>
      <sz val="11"/>
      <name val="Calibri"/>
      <family val="2"/>
      <scheme val="minor"/>
    </font>
    <font>
      <b/>
      <sz val="11"/>
      <color theme="1"/>
      <name val="Calibri"/>
      <family val="2"/>
    </font>
    <font>
      <b/>
      <sz val="11"/>
      <name val="Calibri"/>
      <family val="2"/>
      <scheme val="minor"/>
    </font>
    <font>
      <sz val="9"/>
      <color rgb="FF000000"/>
      <name val="Arial"/>
      <family val="2"/>
    </font>
    <font>
      <sz val="9"/>
      <name val="Arial"/>
      <family val="34"/>
    </font>
    <font>
      <b/>
      <sz val="9"/>
      <color rgb="FFFFFFFF"/>
      <name val="Arial"/>
      <family val="34"/>
    </font>
    <font>
      <b/>
      <sz val="9"/>
      <color rgb="FF000000"/>
      <name val="Arial"/>
      <family val="2"/>
    </font>
    <font>
      <b/>
      <sz val="9"/>
      <name val="Arial"/>
      <family val="34"/>
    </font>
    <font>
      <sz val="11"/>
      <color theme="1"/>
      <name val="Calibri"/>
      <family val="2"/>
      <scheme val="minor"/>
    </font>
    <font>
      <sz val="11"/>
      <color theme="1"/>
      <name val="Calibri"/>
      <family val="2"/>
      <scheme val="minor"/>
    </font>
    <font>
      <b/>
      <sz val="11"/>
      <color theme="0"/>
      <name val="Calibri"/>
      <family val="2"/>
      <scheme val="minor"/>
    </font>
    <font>
      <sz val="9"/>
      <color theme="1"/>
      <name val="Calibri"/>
      <family val="2"/>
      <scheme val="minor"/>
    </font>
    <font>
      <b/>
      <sz val="10"/>
      <color rgb="FFFFFFFF"/>
      <name val="Arial"/>
      <family val="2"/>
    </font>
  </fonts>
  <fills count="103">
    <fill>
      <patternFill patternType="none"/>
    </fill>
    <fill>
      <patternFill patternType="gray125"/>
    </fill>
    <fill>
      <patternFill patternType="solid">
        <fgColor rgb="FFFFFF00"/>
        <bgColor indexed="64"/>
      </patternFill>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42"/>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7"/>
        <bgColor indexed="64"/>
      </patternFill>
    </fill>
    <fill>
      <patternFill patternType="solid">
        <fgColor indexed="26"/>
        <bgColor indexed="64"/>
      </patternFill>
    </fill>
    <fill>
      <patternFill patternType="mediumGray">
        <fgColor indexed="22"/>
      </patternFill>
    </fill>
    <fill>
      <patternFill patternType="solid">
        <fgColor indexed="44"/>
        <bgColor indexed="64"/>
      </patternFill>
    </fill>
    <fill>
      <patternFill patternType="solid">
        <fgColor indexed="31"/>
      </patternFill>
    </fill>
    <fill>
      <patternFill patternType="solid">
        <fgColor indexed="4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theme="0" tint="-0.14999847407452621"/>
        <bgColor indexed="64"/>
      </patternFill>
    </fill>
    <fill>
      <patternFill patternType="solid">
        <fgColor theme="9"/>
        <bgColor indexed="64"/>
      </patternFill>
    </fill>
    <fill>
      <patternFill patternType="solid">
        <fgColor theme="9"/>
        <bgColor theme="9"/>
      </patternFill>
    </fill>
    <fill>
      <patternFill patternType="solid">
        <fgColor theme="6"/>
        <bgColor indexed="64"/>
      </patternFill>
    </fill>
    <fill>
      <patternFill patternType="solid">
        <fgColor theme="4"/>
        <bgColor indexed="64"/>
      </patternFill>
    </fill>
    <fill>
      <patternFill patternType="solid">
        <fgColor theme="0" tint="-4.9989318521683403E-2"/>
        <bgColor indexed="64"/>
      </patternFill>
    </fill>
    <fill>
      <patternFill patternType="solid">
        <fgColor theme="7"/>
        <bgColor indexed="64"/>
      </patternFill>
    </fill>
    <fill>
      <patternFill patternType="solid">
        <fgColor theme="8"/>
        <bgColor indexed="64"/>
      </patternFill>
    </fill>
    <fill>
      <patternFill patternType="solid">
        <fgColor theme="0" tint="-0.249977111117893"/>
        <bgColor indexed="64"/>
      </patternFill>
    </fill>
    <fill>
      <patternFill patternType="solid">
        <fgColor theme="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rgb="FFFFFFFF"/>
      </patternFill>
    </fill>
    <fill>
      <patternFill patternType="solid">
        <fgColor indexed="43"/>
        <bgColor indexed="64"/>
      </patternFill>
    </fill>
    <fill>
      <patternFill patternType="solid">
        <fgColor indexed="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006A71"/>
        <bgColor indexed="64"/>
      </patternFill>
    </fill>
    <fill>
      <patternFill patternType="solid">
        <fgColor rgb="FFD9D9D9"/>
        <bgColor indexed="64"/>
      </patternFill>
    </fill>
    <fill>
      <patternFill patternType="solid">
        <fgColor rgb="FFF2F2F2"/>
        <bgColor indexed="64"/>
      </patternFill>
    </fill>
  </fills>
  <borders count="125">
    <border>
      <left/>
      <right/>
      <top/>
      <bottom/>
      <diagonal/>
    </border>
    <border>
      <left/>
      <right/>
      <top/>
      <bottom style="medium">
        <color auto="1"/>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right/>
      <top/>
      <bottom style="medium">
        <color indexed="49"/>
      </bottom>
      <diagonal/>
    </border>
    <border>
      <left style="medium">
        <color auto="1"/>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medium">
        <color indexed="64"/>
      </right>
      <top style="medium">
        <color indexed="64"/>
      </top>
      <bottom/>
      <diagonal/>
    </border>
    <border>
      <left style="thin">
        <color theme="9"/>
      </left>
      <right/>
      <top style="thin">
        <color theme="9"/>
      </top>
      <bottom/>
      <diagonal/>
    </border>
    <border>
      <left/>
      <right/>
      <top style="thin">
        <color theme="9"/>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rgb="FF333333"/>
      </left>
      <right style="double">
        <color rgb="FF333333"/>
      </right>
      <top style="double">
        <color rgb="FF333333"/>
      </top>
      <bottom style="double">
        <color rgb="FF33333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diagonal/>
    </border>
    <border>
      <left style="thin">
        <color theme="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diagonal/>
    </border>
    <border>
      <left/>
      <right style="thin">
        <color theme="9"/>
      </right>
      <top style="thin">
        <color theme="9"/>
      </top>
      <bottom/>
      <diagonal/>
    </border>
    <border>
      <left style="thin">
        <color theme="9"/>
      </left>
      <right style="thin">
        <color theme="9"/>
      </right>
      <top style="thin">
        <color theme="9"/>
      </top>
      <bottom/>
      <diagonal/>
    </border>
    <border>
      <left style="thin">
        <color theme="9"/>
      </left>
      <right/>
      <top style="thin">
        <color theme="9"/>
      </top>
      <bottom style="thin">
        <color theme="9"/>
      </bottom>
      <diagonal/>
    </border>
    <border>
      <left style="thin">
        <color theme="9"/>
      </left>
      <right style="thin">
        <color theme="9"/>
      </right>
      <top style="thin">
        <color theme="9"/>
      </top>
      <bottom style="thin">
        <color theme="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thick">
        <color rgb="FFFFFFFF"/>
      </left>
      <right style="thick">
        <color rgb="FFFFFFFF"/>
      </right>
      <top/>
      <bottom style="thick">
        <color rgb="FFFFFFFF"/>
      </bottom>
      <diagonal/>
    </border>
    <border>
      <left/>
      <right style="medium">
        <color rgb="FFFFFFFF"/>
      </right>
      <top/>
      <bottom style="medium">
        <color rgb="FFFFFFFF"/>
      </bottom>
      <diagonal/>
    </border>
  </borders>
  <cellStyleXfs count="58514">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 fillId="0" borderId="0"/>
    <xf numFmtId="0" fontId="3" fillId="0" borderId="0" applyFill="0"/>
    <xf numFmtId="0" fontId="7" fillId="0" borderId="0" applyNumberFormat="0" applyFill="0" applyBorder="0" applyAlignment="0" applyProtection="0">
      <alignment vertical="top"/>
      <protection locked="0"/>
    </xf>
    <xf numFmtId="0" fontId="1" fillId="0" borderId="0"/>
    <xf numFmtId="0" fontId="1" fillId="0" borderId="0"/>
    <xf numFmtId="0" fontId="3" fillId="0" borderId="0" applyFill="0"/>
    <xf numFmtId="44" fontId="3" fillId="0" borderId="0" applyFont="0" applyFill="0" applyBorder="0" applyAlignment="0" applyProtection="0"/>
    <xf numFmtId="0" fontId="3" fillId="0" borderId="0"/>
    <xf numFmtId="0" fontId="3" fillId="0" borderId="0"/>
    <xf numFmtId="165" fontId="10" fillId="0" borderId="0"/>
    <xf numFmtId="165" fontId="10" fillId="0" borderId="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2" fillId="14" borderId="0" applyNumberFormat="0" applyBorder="0" applyAlignment="0" applyProtection="0"/>
    <xf numFmtId="0" fontId="12" fillId="8" borderId="0" applyNumberFormat="0" applyBorder="0" applyAlignment="0" applyProtection="0"/>
    <xf numFmtId="0" fontId="12" fillId="12"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1" fillId="24"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4" borderId="0" applyNumberFormat="0" applyBorder="0" applyAlignment="0" applyProtection="0"/>
    <xf numFmtId="0" fontId="11" fillId="17" borderId="0" applyNumberFormat="0" applyBorder="0" applyAlignment="0" applyProtection="0"/>
    <xf numFmtId="0" fontId="11"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3" fillId="0" borderId="0"/>
    <xf numFmtId="42" fontId="14" fillId="0" borderId="0" applyFont="0" applyFill="0" applyBorder="0" applyAlignment="0" applyProtection="0"/>
    <xf numFmtId="0" fontId="15" fillId="27" borderId="0" applyNumberFormat="0" applyBorder="0" applyAlignment="0" applyProtection="0"/>
    <xf numFmtId="0" fontId="16" fillId="0" borderId="0" applyNumberFormat="0" applyFill="0" applyBorder="0" applyAlignment="0"/>
    <xf numFmtId="166" fontId="3" fillId="4" borderId="0" applyNumberFormat="0" applyFont="0" applyBorder="0" applyAlignment="0">
      <alignment horizontal="right"/>
    </xf>
    <xf numFmtId="166" fontId="3" fillId="4" borderId="0" applyNumberFormat="0" applyFont="0" applyBorder="0" applyAlignment="0">
      <alignment horizontal="right"/>
    </xf>
    <xf numFmtId="0" fontId="17" fillId="0" borderId="0" applyNumberFormat="0" applyFill="0" applyBorder="0" applyAlignment="0">
      <protection locked="0"/>
    </xf>
    <xf numFmtId="0" fontId="18" fillId="7" borderId="6" applyNumberFormat="0" applyAlignment="0" applyProtection="0"/>
    <xf numFmtId="0" fontId="19" fillId="28" borderId="7" applyNumberFormat="0" applyAlignment="0" applyProtection="0"/>
    <xf numFmtId="41" fontId="3" fillId="0" borderId="0" applyFont="0" applyFill="0" applyBorder="0" applyAlignment="0" applyProtection="0"/>
    <xf numFmtId="0" fontId="20" fillId="0" borderId="0" applyFont="0" applyFill="0" applyBorder="0" applyAlignment="0" applyProtection="0"/>
    <xf numFmtId="0" fontId="3" fillId="0" borderId="0" applyFont="0" applyFill="0" applyBorder="0" applyAlignment="0" applyProtection="0"/>
    <xf numFmtId="167"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3" fontId="2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168" fontId="3" fillId="0" borderId="0" applyFont="0" applyFill="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169" fontId="11" fillId="0" borderId="0" applyFont="0" applyFill="0" applyBorder="0" applyAlignment="0" applyProtection="0"/>
    <xf numFmtId="0" fontId="23" fillId="0" borderId="0" applyNumberFormat="0" applyFill="0" applyBorder="0" applyAlignment="0" applyProtection="0"/>
    <xf numFmtId="170" fontId="3" fillId="0" borderId="0" applyFont="0" applyFill="0" applyBorder="0" applyAlignment="0" applyProtection="0"/>
    <xf numFmtId="0" fontId="24" fillId="0" borderId="0"/>
    <xf numFmtId="0" fontId="25" fillId="0" borderId="0"/>
    <xf numFmtId="0" fontId="9" fillId="6" borderId="0" applyNumberFormat="0" applyBorder="0" applyAlignment="0" applyProtection="0"/>
    <xf numFmtId="0" fontId="26" fillId="0" borderId="8" applyNumberFormat="0" applyFill="0" applyAlignment="0" applyProtection="0"/>
    <xf numFmtId="0" fontId="4" fillId="0" borderId="0" applyFill="0" applyBorder="0">
      <alignment vertical="center"/>
    </xf>
    <xf numFmtId="0" fontId="27" fillId="0" borderId="9" applyNumberFormat="0" applyFill="0" applyAlignment="0" applyProtection="0"/>
    <xf numFmtId="0" fontId="28" fillId="0" borderId="0" applyFill="0" applyBorder="0">
      <alignment vertical="center"/>
    </xf>
    <xf numFmtId="0" fontId="29" fillId="0" borderId="10" applyNumberFormat="0" applyFill="0" applyAlignment="0" applyProtection="0"/>
    <xf numFmtId="0" fontId="30" fillId="0" borderId="0" applyFill="0" applyBorder="0">
      <alignment vertical="center"/>
    </xf>
    <xf numFmtId="0" fontId="29" fillId="0" borderId="0" applyNumberFormat="0" applyFill="0" applyBorder="0" applyAlignment="0" applyProtection="0"/>
    <xf numFmtId="0" fontId="10" fillId="0" borderId="0" applyFill="0" applyBorder="0">
      <alignment vertical="center"/>
    </xf>
    <xf numFmtId="171" fontId="31" fillId="0" borderId="0"/>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8" borderId="6" applyNumberFormat="0" applyAlignment="0" applyProtection="0"/>
    <xf numFmtId="166" fontId="3" fillId="32" borderId="0" applyFont="0" applyBorder="0" applyAlignment="0">
      <alignment horizontal="right"/>
      <protection locked="0"/>
    </xf>
    <xf numFmtId="166" fontId="3" fillId="32" borderId="0" applyFont="0" applyBorder="0" applyAlignment="0">
      <alignment horizontal="right"/>
      <protection locked="0"/>
    </xf>
    <xf numFmtId="166" fontId="3" fillId="33" borderId="0" applyFont="0" applyBorder="0">
      <alignment horizontal="right"/>
      <protection locked="0"/>
    </xf>
    <xf numFmtId="0" fontId="10" fillId="4" borderId="0"/>
    <xf numFmtId="0" fontId="35" fillId="0" borderId="11" applyNumberFormat="0" applyFill="0" applyAlignment="0" applyProtection="0"/>
    <xf numFmtId="172" fontId="36" fillId="0" borderId="0"/>
    <xf numFmtId="0" fontId="5" fillId="0" borderId="0" applyFill="0" applyBorder="0">
      <alignment horizontal="left" vertical="center"/>
    </xf>
    <xf numFmtId="0" fontId="37" fillId="12" borderId="0" applyNumberFormat="0" applyBorder="0" applyAlignment="0" applyProtection="0"/>
    <xf numFmtId="173"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3" fillId="0" borderId="0"/>
    <xf numFmtId="0" fontId="11" fillId="0" borderId="0"/>
    <xf numFmtId="0" fontId="14" fillId="0" borderId="0"/>
    <xf numFmtId="0" fontId="3" fillId="0" borderId="0" applyFill="0"/>
    <xf numFmtId="0" fontId="1" fillId="0" borderId="0"/>
    <xf numFmtId="0" fontId="3" fillId="0" borderId="0"/>
    <xf numFmtId="0" fontId="3" fillId="9" borderId="12" applyNumberFormat="0" applyFont="0" applyAlignment="0" applyProtection="0"/>
    <xf numFmtId="0" fontId="39" fillId="7" borderId="13" applyNumberFormat="0" applyAlignment="0" applyProtection="0"/>
    <xf numFmtId="174" fontId="3" fillId="0" borderId="0" applyFill="0" applyBorder="0"/>
    <xf numFmtId="9" fontId="3" fillId="0" borderId="0" applyFont="0" applyFill="0" applyBorder="0" applyAlignment="0" applyProtection="0"/>
    <xf numFmtId="9" fontId="11" fillId="0" borderId="0" applyFont="0" applyFill="0" applyBorder="0" applyAlignment="0" applyProtection="0"/>
    <xf numFmtId="171" fontId="40" fillId="0" borderId="0"/>
    <xf numFmtId="0" fontId="30" fillId="0" borderId="0" applyFill="0" applyBorder="0">
      <alignment vertical="center"/>
    </xf>
    <xf numFmtId="0"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175" fontId="41" fillId="0" borderId="3"/>
    <xf numFmtId="0" fontId="42" fillId="0" borderId="1">
      <alignment horizontal="center"/>
    </xf>
    <xf numFmtId="3" fontId="20" fillId="0" borderId="0" applyFont="0" applyFill="0" applyBorder="0" applyAlignment="0" applyProtection="0"/>
    <xf numFmtId="0" fontId="20" fillId="34" borderId="0" applyNumberFormat="0" applyFont="0" applyBorder="0" applyAlignment="0" applyProtection="0"/>
    <xf numFmtId="176" fontId="3" fillId="0" borderId="0"/>
    <xf numFmtId="177" fontId="10" fillId="0" borderId="0" applyFill="0" applyBorder="0">
      <alignment horizontal="right" vertical="center"/>
    </xf>
    <xf numFmtId="178" fontId="10" fillId="0" borderId="0" applyFill="0" applyBorder="0">
      <alignment horizontal="right" vertical="center"/>
    </xf>
    <xf numFmtId="179" fontId="10" fillId="0" borderId="0" applyFill="0" applyBorder="0">
      <alignment horizontal="right" vertical="center"/>
    </xf>
    <xf numFmtId="0" fontId="3" fillId="9" borderId="0" applyNumberFormat="0" applyFont="0" applyBorder="0" applyAlignment="0" applyProtection="0"/>
    <xf numFmtId="0" fontId="3" fillId="7" borderId="0" applyNumberFormat="0" applyFont="0" applyBorder="0" applyAlignment="0" applyProtection="0"/>
    <xf numFmtId="0" fontId="3" fillId="11" borderId="0" applyNumberFormat="0" applyFont="0" applyBorder="0" applyAlignment="0" applyProtection="0"/>
    <xf numFmtId="0" fontId="3" fillId="0" borderId="0" applyNumberFormat="0" applyFont="0" applyFill="0" applyBorder="0" applyAlignment="0" applyProtection="0"/>
    <xf numFmtId="0" fontId="3" fillId="11"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3" fillId="0" borderId="0" applyNumberFormat="0" applyFill="0" applyBorder="0" applyAlignment="0" applyProtection="0"/>
    <xf numFmtId="0" fontId="3" fillId="0" borderId="0"/>
    <xf numFmtId="0" fontId="5" fillId="0" borderId="0"/>
    <xf numFmtId="0" fontId="8" fillId="0" borderId="0"/>
    <xf numFmtId="15" fontId="3" fillId="0" borderId="0"/>
    <xf numFmtId="10" fontId="3" fillId="0" borderId="0"/>
    <xf numFmtId="0" fontId="44" fillId="3" borderId="5" applyBorder="0" applyProtection="0">
      <alignment horizontal="centerContinuous" vertical="center"/>
    </xf>
    <xf numFmtId="0" fontId="45" fillId="0" borderId="0" applyBorder="0" applyProtection="0">
      <alignment vertical="center"/>
    </xf>
    <xf numFmtId="0" fontId="46" fillId="0" borderId="0">
      <alignment horizontal="left"/>
    </xf>
    <xf numFmtId="0" fontId="46" fillId="0" borderId="4" applyFill="0" applyBorder="0" applyProtection="0">
      <alignment horizontal="left" vertical="top"/>
    </xf>
    <xf numFmtId="49" fontId="3" fillId="0" borderId="0" applyFont="0" applyFill="0" applyBorder="0" applyAlignment="0" applyProtection="0"/>
    <xf numFmtId="0" fontId="47" fillId="0" borderId="0"/>
    <xf numFmtId="0" fontId="48" fillId="0" borderId="0"/>
    <xf numFmtId="0" fontId="48" fillId="0" borderId="0"/>
    <xf numFmtId="0" fontId="47" fillId="0" borderId="0"/>
    <xf numFmtId="172" fontId="49" fillId="0" borderId="0"/>
    <xf numFmtId="0" fontId="43" fillId="0" borderId="0" applyNumberFormat="0" applyFill="0" applyBorder="0" applyAlignment="0" applyProtection="0"/>
    <xf numFmtId="0" fontId="50" fillId="0" borderId="0" applyFill="0" applyBorder="0">
      <alignment horizontal="left" vertical="center"/>
      <protection locked="0"/>
    </xf>
    <xf numFmtId="0" fontId="47" fillId="0" borderId="0"/>
    <xf numFmtId="0" fontId="51" fillId="0" borderId="0" applyFill="0" applyBorder="0">
      <alignment horizontal="left" vertical="center"/>
      <protection locked="0"/>
    </xf>
    <xf numFmtId="0" fontId="22" fillId="0" borderId="14" applyNumberFormat="0" applyFill="0" applyAlignment="0" applyProtection="0"/>
    <xf numFmtId="0" fontId="52" fillId="0" borderId="0" applyNumberFormat="0" applyFill="0" applyBorder="0" applyAlignment="0" applyProtection="0"/>
    <xf numFmtId="180" fontId="3" fillId="0" borderId="5" applyBorder="0" applyProtection="0">
      <alignment horizontal="right"/>
    </xf>
    <xf numFmtId="0" fontId="3" fillId="0" borderId="0"/>
    <xf numFmtId="0" fontId="3" fillId="0" borderId="0"/>
    <xf numFmtId="0" fontId="3" fillId="0" borderId="0" applyFill="0"/>
    <xf numFmtId="0" fontId="39" fillId="7" borderId="13" applyNumberFormat="0" applyAlignment="0" applyProtection="0"/>
    <xf numFmtId="0" fontId="22" fillId="0" borderId="14" applyNumberFormat="0" applyFill="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29" fillId="0" borderId="10" applyNumberFormat="0" applyFill="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44" fillId="3" borderId="5" applyBorder="0" applyProtection="0">
      <alignment horizontal="centerContinuous" vertical="center"/>
    </xf>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180" fontId="3" fillId="0" borderId="5" applyBorder="0" applyProtection="0">
      <alignment horizontal="right"/>
    </xf>
    <xf numFmtId="0" fontId="22" fillId="0" borderId="38" applyNumberFormat="0" applyFill="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54" fillId="0" borderId="0" applyNumberFormat="0" applyFill="0" applyBorder="0" applyAlignment="0" applyProtection="0"/>
    <xf numFmtId="166" fontId="3" fillId="35" borderId="0" applyFont="0" applyBorder="0" applyAlignment="0">
      <alignment horizontal="right"/>
      <protection locked="0"/>
    </xf>
    <xf numFmtId="166" fontId="3" fillId="35" borderId="0" applyFont="0" applyBorder="0" applyAlignment="0">
      <alignment horizontal="right"/>
      <protection locked="0"/>
    </xf>
    <xf numFmtId="166" fontId="3" fillId="33" borderId="0" applyFont="0" applyBorder="0">
      <alignment horizontal="right"/>
      <protection locked="0"/>
    </xf>
    <xf numFmtId="166" fontId="3" fillId="33" borderId="0" applyFont="0" applyBorder="0">
      <alignment horizontal="right"/>
      <protection locked="0"/>
    </xf>
    <xf numFmtId="166" fontId="3" fillId="33" borderId="0" applyFont="0" applyBorder="0">
      <alignment horizontal="right"/>
      <protection locked="0"/>
    </xf>
    <xf numFmtId="0" fontId="19" fillId="28" borderId="7" applyNumberFormat="0" applyAlignment="0" applyProtection="0"/>
    <xf numFmtId="0" fontId="19" fillId="28" borderId="7" applyNumberFormat="0" applyAlignment="0" applyProtection="0"/>
    <xf numFmtId="0" fontId="19" fillId="28" borderId="7" applyNumberFormat="0" applyAlignment="0" applyProtection="0"/>
    <xf numFmtId="0" fontId="18" fillId="7" borderId="16" applyNumberFormat="0" applyAlignment="0" applyProtection="0"/>
    <xf numFmtId="0" fontId="18" fillId="7" borderId="16" applyNumberFormat="0" applyAlignment="0" applyProtection="0"/>
    <xf numFmtId="0" fontId="18" fillId="7" borderId="16" applyNumberFormat="0" applyAlignment="0" applyProtection="0"/>
    <xf numFmtId="0" fontId="18" fillId="7" borderId="16" applyNumberFormat="0" applyAlignment="0" applyProtection="0"/>
    <xf numFmtId="0" fontId="18" fillId="7" borderId="16" applyNumberFormat="0" applyAlignment="0" applyProtection="0"/>
    <xf numFmtId="0" fontId="18" fillId="7" borderId="16" applyNumberFormat="0" applyAlignment="0" applyProtection="0"/>
    <xf numFmtId="0" fontId="18" fillId="7" borderId="16" applyNumberFormat="0" applyAlignment="0" applyProtection="0"/>
    <xf numFmtId="0" fontId="18" fillId="7" borderId="16" applyNumberFormat="0" applyAlignment="0" applyProtection="0"/>
    <xf numFmtId="0" fontId="18" fillId="7" borderId="16" applyNumberFormat="0" applyAlignment="0" applyProtection="0"/>
    <xf numFmtId="0" fontId="18" fillId="7" borderId="16" applyNumberFormat="0" applyAlignment="0" applyProtection="0"/>
    <xf numFmtId="0" fontId="18" fillId="7" borderId="16" applyNumberFormat="0" applyAlignment="0" applyProtection="0"/>
    <xf numFmtId="0" fontId="18" fillId="7" borderId="16" applyNumberFormat="0" applyAlignment="0" applyProtection="0"/>
    <xf numFmtId="0" fontId="18" fillId="7" borderId="16"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16" applyNumberFormat="0" applyAlignment="0" applyProtection="0"/>
    <xf numFmtId="0" fontId="34" fillId="8" borderId="16" applyNumberFormat="0" applyAlignment="0" applyProtection="0"/>
    <xf numFmtId="0" fontId="34" fillId="8" borderId="16" applyNumberFormat="0" applyAlignment="0" applyProtection="0"/>
    <xf numFmtId="0" fontId="34" fillId="8" borderId="16" applyNumberFormat="0" applyAlignment="0" applyProtection="0"/>
    <xf numFmtId="0" fontId="34" fillId="8" borderId="16" applyNumberFormat="0" applyAlignment="0" applyProtection="0"/>
    <xf numFmtId="0" fontId="34" fillId="8" borderId="16" applyNumberFormat="0" applyAlignment="0" applyProtection="0"/>
    <xf numFmtId="0" fontId="34" fillId="8" borderId="16" applyNumberFormat="0" applyAlignment="0" applyProtection="0"/>
    <xf numFmtId="0" fontId="34" fillId="8" borderId="16" applyNumberFormat="0" applyAlignment="0" applyProtection="0"/>
    <xf numFmtId="0" fontId="34" fillId="8" borderId="16" applyNumberFormat="0" applyAlignment="0" applyProtection="0"/>
    <xf numFmtId="0" fontId="34" fillId="8" borderId="16" applyNumberFormat="0" applyAlignment="0" applyProtection="0"/>
    <xf numFmtId="0" fontId="34" fillId="8" borderId="16" applyNumberFormat="0" applyAlignment="0" applyProtection="0"/>
    <xf numFmtId="0" fontId="34" fillId="8" borderId="16" applyNumberFormat="0" applyAlignment="0" applyProtection="0"/>
    <xf numFmtId="0" fontId="34" fillId="8" borderId="16" applyNumberForma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0" fontId="39" fillId="7" borderId="18" applyNumberFormat="0" applyAlignment="0" applyProtection="0"/>
    <xf numFmtId="175" fontId="41" fillId="0" borderId="3"/>
    <xf numFmtId="0" fontId="42" fillId="0" borderId="1">
      <alignment horizontal="center"/>
    </xf>
    <xf numFmtId="0" fontId="44" fillId="3" borderId="5" applyBorder="0" applyProtection="0">
      <alignment horizontal="centerContinuous" vertical="center"/>
    </xf>
    <xf numFmtId="0" fontId="44" fillId="3" borderId="5" applyBorder="0" applyProtection="0">
      <alignment horizontal="centerContinuous" vertical="center"/>
    </xf>
    <xf numFmtId="0" fontId="46" fillId="0" borderId="4" applyFill="0" applyBorder="0" applyProtection="0">
      <alignment horizontal="left" vertical="top"/>
    </xf>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180" fontId="3" fillId="0" borderId="5" applyBorder="0" applyProtection="0">
      <alignment horizontal="right"/>
    </xf>
    <xf numFmtId="180" fontId="3" fillId="0" borderId="5" applyBorder="0" applyProtection="0">
      <alignment horizontal="right"/>
    </xf>
    <xf numFmtId="0" fontId="18" fillId="7" borderId="6" applyNumberFormat="0" applyAlignment="0" applyProtection="0"/>
    <xf numFmtId="0" fontId="34" fillId="8" borderId="6" applyNumberFormat="0" applyAlignment="0" applyProtection="0"/>
    <xf numFmtId="0" fontId="3" fillId="9" borderId="12" applyNumberFormat="0" applyFont="0" applyAlignment="0" applyProtection="0"/>
    <xf numFmtId="0" fontId="39" fillId="7" borderId="13" applyNumberFormat="0" applyAlignment="0" applyProtection="0"/>
    <xf numFmtId="0" fontId="42" fillId="0" borderId="15">
      <alignment horizontal="center"/>
    </xf>
    <xf numFmtId="0" fontId="22" fillId="0" borderId="14" applyNumberFormat="0" applyFill="0" applyAlignment="0" applyProtection="0"/>
    <xf numFmtId="0" fontId="39" fillId="7" borderId="13" applyNumberFormat="0" applyAlignment="0" applyProtection="0"/>
    <xf numFmtId="0" fontId="22" fillId="0" borderId="14" applyNumberFormat="0" applyFill="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 fillId="9" borderId="12" applyNumberFormat="0" applyFon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18" fillId="7"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4" fillId="8" borderId="6" applyNumberForma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39" fillId="7" borderId="13" applyNumberFormat="0" applyAlignment="0" applyProtection="0"/>
    <xf numFmtId="0" fontId="42" fillId="0" borderId="15">
      <alignment horizontal="center"/>
    </xf>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39" fillId="7" borderId="37" applyNumberFormat="0" applyAlignment="0" applyProtection="0"/>
    <xf numFmtId="0" fontId="18" fillId="7" borderId="20" applyNumberFormat="0" applyAlignment="0" applyProtection="0"/>
    <xf numFmtId="0" fontId="29" fillId="0" borderId="10" applyNumberFormat="0" applyFill="0" applyAlignment="0" applyProtection="0"/>
    <xf numFmtId="0" fontId="34" fillId="8" borderId="20" applyNumberFormat="0" applyAlignment="0" applyProtection="0"/>
    <xf numFmtId="0" fontId="3" fillId="9" borderId="21" applyNumberFormat="0" applyFont="0" applyAlignment="0" applyProtection="0"/>
    <xf numFmtId="0" fontId="39" fillId="7" borderId="22" applyNumberFormat="0" applyAlignment="0" applyProtection="0"/>
    <xf numFmtId="0" fontId="22" fillId="0" borderId="23" applyNumberFormat="0" applyFill="0" applyAlignment="0" applyProtection="0"/>
    <xf numFmtId="0" fontId="39" fillId="7" borderId="22" applyNumberFormat="0" applyAlignment="0" applyProtection="0"/>
    <xf numFmtId="0" fontId="22" fillId="0" borderId="23" applyNumberFormat="0" applyFill="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29" fillId="0" borderId="10" applyNumberFormat="0" applyFill="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18" fillId="7" borderId="20" applyNumberFormat="0" applyAlignment="0" applyProtection="0"/>
    <xf numFmtId="0" fontId="34" fillId="8" borderId="20" applyNumberFormat="0" applyAlignment="0" applyProtection="0"/>
    <xf numFmtId="0" fontId="3" fillId="9" borderId="21" applyNumberFormat="0" applyFont="0" applyAlignment="0" applyProtection="0"/>
    <xf numFmtId="0" fontId="39" fillId="7" borderId="22" applyNumberFormat="0" applyAlignment="0" applyProtection="0"/>
    <xf numFmtId="0" fontId="42" fillId="0" borderId="15">
      <alignment horizontal="center"/>
    </xf>
    <xf numFmtId="0" fontId="22" fillId="0" borderId="23" applyNumberFormat="0" applyFill="0" applyAlignment="0" applyProtection="0"/>
    <xf numFmtId="0" fontId="39" fillId="7" borderId="22" applyNumberFormat="0" applyAlignment="0" applyProtection="0"/>
    <xf numFmtId="0" fontId="22" fillId="0" borderId="23" applyNumberFormat="0" applyFill="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42" fillId="0" borderId="15">
      <alignment horizontal="center"/>
    </xf>
    <xf numFmtId="0" fontId="42" fillId="0" borderId="15">
      <alignment horizontal="center"/>
    </xf>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3" fillId="0" borderId="0"/>
    <xf numFmtId="0" fontId="11" fillId="7" borderId="0" applyNumberFormat="0" applyBorder="0" applyAlignment="0" applyProtection="0"/>
    <xf numFmtId="0" fontId="11" fillId="7" borderId="0" applyNumberFormat="0" applyBorder="0" applyAlignment="0" applyProtection="0"/>
    <xf numFmtId="0" fontId="11" fillId="3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2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3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3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3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3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4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41"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42"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4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44"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11" borderId="20" applyNumberFormat="0" applyAlignment="0" applyProtection="0"/>
    <xf numFmtId="0" fontId="18" fillId="11" borderId="20" applyNumberFormat="0" applyAlignment="0" applyProtection="0"/>
    <xf numFmtId="0" fontId="18" fillId="11" borderId="20" applyNumberFormat="0" applyAlignment="0" applyProtection="0"/>
    <xf numFmtId="0" fontId="18" fillId="11" borderId="20" applyNumberFormat="0" applyAlignment="0" applyProtection="0"/>
    <xf numFmtId="0" fontId="18" fillId="11" borderId="20" applyNumberFormat="0" applyAlignment="0" applyProtection="0"/>
    <xf numFmtId="0" fontId="18" fillId="11" borderId="20" applyNumberFormat="0" applyAlignment="0" applyProtection="0"/>
    <xf numFmtId="0" fontId="18" fillId="11" borderId="20" applyNumberFormat="0" applyAlignment="0" applyProtection="0"/>
    <xf numFmtId="0" fontId="18" fillId="11" borderId="20" applyNumberFormat="0" applyAlignment="0" applyProtection="0"/>
    <xf numFmtId="0" fontId="18" fillId="11" borderId="20" applyNumberFormat="0" applyAlignment="0" applyProtection="0"/>
    <xf numFmtId="0" fontId="18" fillId="11" borderId="20" applyNumberFormat="0" applyAlignment="0" applyProtection="0"/>
    <xf numFmtId="0" fontId="18" fillId="11" borderId="20" applyNumberFormat="0" applyAlignment="0" applyProtection="0"/>
    <xf numFmtId="0" fontId="18" fillId="11" borderId="20" applyNumberFormat="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43" fontId="11"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0"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44"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44" fontId="3" fillId="0" borderId="0" applyFont="0" applyFill="0" applyBorder="0" applyAlignment="0" applyProtection="0"/>
    <xf numFmtId="181"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1"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1"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6" fillId="0" borderId="8" applyNumberFormat="0" applyFill="0" applyAlignment="0" applyProtection="0"/>
    <xf numFmtId="0" fontId="26" fillId="0" borderId="8" applyNumberFormat="0" applyFill="0" applyAlignment="0" applyProtection="0"/>
    <xf numFmtId="0" fontId="55" fillId="0" borderId="24"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56" fillId="0" borderId="9"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57" fillId="0" borderId="25" applyNumberFormat="0" applyFill="0" applyAlignment="0" applyProtection="0"/>
    <xf numFmtId="0" fontId="57" fillId="0" borderId="25" applyNumberFormat="0" applyFill="0" applyAlignment="0" applyProtection="0"/>
    <xf numFmtId="0" fontId="57" fillId="0" borderId="25" applyNumberFormat="0" applyFill="0" applyAlignment="0" applyProtection="0"/>
    <xf numFmtId="0" fontId="57" fillId="0" borderId="25" applyNumberFormat="0" applyFill="0" applyAlignment="0" applyProtection="0"/>
    <xf numFmtId="0" fontId="57" fillId="0" borderId="25" applyNumberFormat="0" applyFill="0" applyAlignment="0" applyProtection="0"/>
    <xf numFmtId="0" fontId="57" fillId="0" borderId="25" applyNumberFormat="0" applyFill="0" applyAlignment="0" applyProtection="0"/>
    <xf numFmtId="0" fontId="57" fillId="0" borderId="25" applyNumberFormat="0" applyFill="0" applyAlignment="0" applyProtection="0"/>
    <xf numFmtId="0" fontId="57" fillId="0" borderId="2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7" fillId="0" borderId="0" applyNumberFormat="0" applyFill="0" applyBorder="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 fillId="0" borderId="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11" fillId="0" borderId="0"/>
    <xf numFmtId="0" fontId="11" fillId="0" borderId="0"/>
    <xf numFmtId="0" fontId="3" fillId="0" borderId="0"/>
    <xf numFmtId="0" fontId="3" fillId="0" borderId="0"/>
    <xf numFmtId="0" fontId="3" fillId="0" borderId="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11" borderId="22" applyNumberFormat="0" applyAlignment="0" applyProtection="0"/>
    <xf numFmtId="0" fontId="39" fillId="11" borderId="22" applyNumberFormat="0" applyAlignment="0" applyProtection="0"/>
    <xf numFmtId="0" fontId="39" fillId="11" borderId="22" applyNumberFormat="0" applyAlignment="0" applyProtection="0"/>
    <xf numFmtId="0" fontId="39" fillId="11" borderId="22" applyNumberFormat="0" applyAlignment="0" applyProtection="0"/>
    <xf numFmtId="0" fontId="39" fillId="11" borderId="22" applyNumberFormat="0" applyAlignment="0" applyProtection="0"/>
    <xf numFmtId="0" fontId="39" fillId="11" borderId="22" applyNumberFormat="0" applyAlignment="0" applyProtection="0"/>
    <xf numFmtId="0" fontId="39" fillId="11" borderId="22" applyNumberFormat="0" applyAlignment="0" applyProtection="0"/>
    <xf numFmtId="0" fontId="39" fillId="11" borderId="22" applyNumberFormat="0" applyAlignment="0" applyProtection="0"/>
    <xf numFmtId="0" fontId="39" fillId="11" borderId="22" applyNumberFormat="0" applyAlignment="0" applyProtection="0"/>
    <xf numFmtId="0" fontId="39" fillId="11" borderId="22" applyNumberFormat="0" applyAlignment="0" applyProtection="0"/>
    <xf numFmtId="0" fontId="39" fillId="11"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58" fillId="5" borderId="2"/>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4" fillId="3" borderId="5" applyBorder="0" applyProtection="0">
      <alignment horizontal="centerContinuous" vertical="center"/>
    </xf>
    <xf numFmtId="0" fontId="44" fillId="3" borderId="5" applyBorder="0" applyProtection="0">
      <alignment horizontal="centerContinuous" vertical="center"/>
    </xf>
    <xf numFmtId="0" fontId="44" fillId="3" borderId="5" applyBorder="0" applyProtection="0">
      <alignment horizontal="centerContinuous" vertical="center"/>
    </xf>
    <xf numFmtId="0" fontId="44" fillId="3" borderId="5" applyBorder="0" applyProtection="0">
      <alignment horizontal="centerContinuous" vertical="center"/>
    </xf>
    <xf numFmtId="0" fontId="44" fillId="3" borderId="5" applyBorder="0" applyProtection="0">
      <alignment horizontal="centerContinuous" vertical="center"/>
    </xf>
    <xf numFmtId="0" fontId="44" fillId="3" borderId="5" applyBorder="0" applyProtection="0">
      <alignment horizontal="centerContinuous" vertical="center"/>
    </xf>
    <xf numFmtId="0" fontId="43" fillId="0" borderId="0" applyNumberFormat="0" applyFill="0" applyBorder="0" applyAlignment="0" applyProtection="0"/>
    <xf numFmtId="0" fontId="43" fillId="0" borderId="0" applyNumberFormat="0" applyFill="0" applyBorder="0" applyAlignment="0" applyProtection="0"/>
    <xf numFmtId="0" fontId="59" fillId="0" borderId="0" applyNumberFormat="0" applyFill="0" applyBorder="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6" applyNumberFormat="0" applyFill="0" applyAlignment="0" applyProtection="0"/>
    <xf numFmtId="0" fontId="22" fillId="0" borderId="26" applyNumberFormat="0" applyFill="0" applyAlignment="0" applyProtection="0"/>
    <xf numFmtId="0" fontId="22" fillId="0" borderId="26" applyNumberFormat="0" applyFill="0" applyAlignment="0" applyProtection="0"/>
    <xf numFmtId="0" fontId="22" fillId="0" borderId="26" applyNumberFormat="0" applyFill="0" applyAlignment="0" applyProtection="0"/>
    <xf numFmtId="0" fontId="22" fillId="0" borderId="26" applyNumberFormat="0" applyFill="0" applyAlignment="0" applyProtection="0"/>
    <xf numFmtId="0" fontId="22" fillId="0" borderId="26" applyNumberFormat="0" applyFill="0" applyAlignment="0" applyProtection="0"/>
    <xf numFmtId="0" fontId="22" fillId="0" borderId="26"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180" fontId="3" fillId="0" borderId="5" applyBorder="0" applyProtection="0">
      <alignment horizontal="right"/>
    </xf>
    <xf numFmtId="180" fontId="3" fillId="0" borderId="5" applyBorder="0" applyProtection="0">
      <alignment horizontal="right"/>
    </xf>
    <xf numFmtId="180" fontId="3" fillId="0" borderId="5" applyBorder="0" applyProtection="0">
      <alignment horizontal="right"/>
    </xf>
    <xf numFmtId="180" fontId="3" fillId="0" borderId="5" applyBorder="0" applyProtection="0">
      <alignment horizontal="right"/>
    </xf>
    <xf numFmtId="180" fontId="3" fillId="0" borderId="5" applyBorder="0" applyProtection="0">
      <alignment horizontal="right"/>
    </xf>
    <xf numFmtId="180" fontId="3" fillId="0" borderId="5" applyBorder="0" applyProtection="0">
      <alignment horizontal="right"/>
    </xf>
    <xf numFmtId="0" fontId="18" fillId="7" borderId="20" applyNumberFormat="0" applyAlignment="0" applyProtection="0"/>
    <xf numFmtId="0" fontId="18" fillId="7"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18" fillId="7" borderId="20"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4" fillId="8" borderId="20" applyNumberForma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 fillId="9" borderId="21" applyNumberFormat="0" applyFon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39" fillId="7" borderId="22" applyNumberFormat="0" applyAlignment="0" applyProtection="0"/>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42" fillId="0" borderId="15">
      <alignment horizontal="center"/>
    </xf>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23"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39" fillId="7" borderId="37" applyNumberFormat="0" applyAlignment="0" applyProtection="0"/>
    <xf numFmtId="0" fontId="39" fillId="7" borderId="37" applyNumberFormat="0" applyAlignment="0" applyProtection="0"/>
    <xf numFmtId="0" fontId="22" fillId="0" borderId="38" applyNumberFormat="0" applyFill="0" applyAlignment="0" applyProtection="0"/>
    <xf numFmtId="0" fontId="39" fillId="7" borderId="41" applyNumberFormat="0" applyAlignment="0" applyProtection="0"/>
    <xf numFmtId="0" fontId="3" fillId="9" borderId="36" applyNumberFormat="0" applyFont="0" applyAlignment="0" applyProtection="0"/>
    <xf numFmtId="0" fontId="22" fillId="0" borderId="38" applyNumberFormat="0" applyFill="0" applyAlignment="0" applyProtection="0"/>
    <xf numFmtId="0" fontId="39" fillId="7" borderId="37" applyNumberFormat="0" applyAlignment="0" applyProtection="0"/>
    <xf numFmtId="0" fontId="18" fillId="7" borderId="39" applyNumberFormat="0" applyAlignment="0" applyProtection="0"/>
    <xf numFmtId="0" fontId="3" fillId="9" borderId="36" applyNumberFormat="0" applyFon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4" fillId="8" borderId="39" applyNumberForma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4" fillId="8" borderId="39" applyNumberFormat="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9" fillId="7" borderId="37" applyNumberForma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22" fillId="0" borderId="32" applyNumberFormat="0" applyFill="0" applyAlignment="0" applyProtection="0"/>
    <xf numFmtId="0" fontId="22" fillId="0" borderId="38" applyNumberFormat="0" applyFill="0" applyAlignment="0" applyProtection="0"/>
    <xf numFmtId="0" fontId="39" fillId="7" borderId="41" applyNumberFormat="0" applyAlignment="0" applyProtection="0"/>
    <xf numFmtId="0" fontId="22" fillId="0" borderId="38" applyNumberFormat="0" applyFill="0" applyAlignment="0" applyProtection="0"/>
    <xf numFmtId="0" fontId="39" fillId="7" borderId="37" applyNumberFormat="0" applyAlignment="0" applyProtection="0"/>
    <xf numFmtId="0" fontId="39" fillId="7" borderId="31" applyNumberFormat="0" applyAlignment="0" applyProtection="0"/>
    <xf numFmtId="0" fontId="3" fillId="9" borderId="36" applyNumberFormat="0" applyFont="0" applyAlignment="0" applyProtection="0"/>
    <xf numFmtId="0" fontId="3" fillId="9" borderId="36" applyNumberFormat="0" applyFon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4" fillId="8" borderId="39" applyNumberFormat="0" applyAlignment="0" applyProtection="0"/>
    <xf numFmtId="0" fontId="22" fillId="0" borderId="42" applyNumberFormat="0" applyFill="0" applyAlignment="0" applyProtection="0"/>
    <xf numFmtId="0" fontId="3" fillId="9" borderId="40" applyNumberFormat="0" applyFont="0" applyAlignment="0" applyProtection="0"/>
    <xf numFmtId="0" fontId="3" fillId="9" borderId="36" applyNumberFormat="0" applyFont="0" applyAlignment="0" applyProtection="0"/>
    <xf numFmtId="0" fontId="34" fillId="8" borderId="35" applyNumberFormat="0" applyAlignment="0" applyProtection="0"/>
    <xf numFmtId="0" fontId="18" fillId="7" borderId="35" applyNumberFormat="0" applyAlignment="0" applyProtection="0"/>
    <xf numFmtId="0" fontId="34" fillId="8" borderId="33" applyNumberFormat="0" applyAlignment="0" applyProtection="0"/>
    <xf numFmtId="0" fontId="22" fillId="0" borderId="32" applyNumberFormat="0" applyFill="0" applyAlignment="0" applyProtection="0"/>
    <xf numFmtId="0" fontId="18" fillId="7" borderId="33" applyNumberFormat="0" applyAlignment="0" applyProtection="0"/>
    <xf numFmtId="0" fontId="18" fillId="7" borderId="39"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4" fillId="8" borderId="39" applyNumberFormat="0" applyAlignment="0" applyProtection="0"/>
    <xf numFmtId="0" fontId="18" fillId="7" borderId="39" applyNumberFormat="0" applyAlignment="0" applyProtection="0"/>
    <xf numFmtId="0" fontId="22" fillId="0" borderId="42" applyNumberFormat="0" applyFill="0" applyAlignment="0" applyProtection="0"/>
    <xf numFmtId="0" fontId="39" fillId="7" borderId="41" applyNumberFormat="0" applyAlignment="0" applyProtection="0"/>
    <xf numFmtId="0" fontId="34" fillId="8" borderId="39" applyNumberFormat="0" applyAlignment="0" applyProtection="0"/>
    <xf numFmtId="0" fontId="3" fillId="9" borderId="36" applyNumberFormat="0" applyFont="0" applyAlignment="0" applyProtection="0"/>
    <xf numFmtId="0" fontId="34" fillId="8" borderId="35" applyNumberFormat="0" applyAlignment="0" applyProtection="0"/>
    <xf numFmtId="0" fontId="18" fillId="7" borderId="35" applyNumberFormat="0" applyAlignment="0" applyProtection="0"/>
    <xf numFmtId="0" fontId="39" fillId="7" borderId="31" applyNumberFormat="0" applyAlignment="0" applyProtection="0"/>
    <xf numFmtId="0" fontId="39" fillId="7" borderId="31" applyNumberFormat="0" applyAlignment="0" applyProtection="0"/>
    <xf numFmtId="0" fontId="34" fillId="8" borderId="33" applyNumberFormat="0" applyAlignment="0" applyProtection="0"/>
    <xf numFmtId="0" fontId="18" fillId="7" borderId="33" applyNumberFormat="0" applyAlignment="0" applyProtection="0"/>
    <xf numFmtId="0" fontId="22" fillId="0" borderId="32" applyNumberFormat="0" applyFill="0" applyAlignment="0" applyProtection="0"/>
    <xf numFmtId="0" fontId="39" fillId="7" borderId="31" applyNumberFormat="0" applyAlignment="0" applyProtection="0"/>
    <xf numFmtId="0" fontId="18" fillId="7" borderId="33" applyNumberFormat="0" applyAlignment="0" applyProtection="0"/>
    <xf numFmtId="0" fontId="39" fillId="7" borderId="31" applyNumberFormat="0" applyAlignment="0" applyProtection="0"/>
    <xf numFmtId="0" fontId="39" fillId="7" borderId="29" applyNumberFormat="0" applyAlignment="0" applyProtection="0"/>
    <xf numFmtId="0" fontId="39" fillId="7" borderId="41" applyNumberFormat="0" applyAlignment="0" applyProtection="0"/>
    <xf numFmtId="0" fontId="18" fillId="7" borderId="39" applyNumberFormat="0" applyAlignment="0" applyProtection="0"/>
    <xf numFmtId="0" fontId="22" fillId="0" borderId="38" applyNumberFormat="0" applyFill="0" applyAlignment="0" applyProtection="0"/>
    <xf numFmtId="0" fontId="22" fillId="0" borderId="38" applyNumberFormat="0" applyFill="0" applyAlignment="0" applyProtection="0"/>
    <xf numFmtId="0" fontId="22" fillId="0" borderId="38" applyNumberFormat="0" applyFill="0" applyAlignment="0" applyProtection="0"/>
    <xf numFmtId="0" fontId="3" fillId="9" borderId="36" applyNumberFormat="0" applyFont="0" applyAlignment="0" applyProtection="0"/>
    <xf numFmtId="0" fontId="3" fillId="9" borderId="36" applyNumberFormat="0" applyFon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4" fillId="8" borderId="39" applyNumberFormat="0" applyAlignment="0" applyProtection="0"/>
    <xf numFmtId="0" fontId="34" fillId="8" borderId="39"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4" fillId="8" borderId="39" applyNumberForma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2" fillId="0" borderId="42" applyNumberFormat="0" applyFill="0" applyAlignment="0" applyProtection="0"/>
    <xf numFmtId="0" fontId="39" fillId="7" borderId="41" applyNumberFormat="0" applyAlignment="0" applyProtection="0"/>
    <xf numFmtId="0" fontId="3" fillId="9" borderId="40" applyNumberFormat="0" applyFon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22" fillId="0" borderId="42" applyNumberFormat="0" applyFill="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4" fillId="8" borderId="35" applyNumberFormat="0" applyAlignment="0" applyProtection="0"/>
    <xf numFmtId="0" fontId="34" fillId="8" borderId="35" applyNumberFormat="0" applyAlignment="0" applyProtection="0"/>
    <xf numFmtId="0" fontId="34" fillId="8" borderId="35" applyNumberFormat="0" applyAlignment="0" applyProtection="0"/>
    <xf numFmtId="0" fontId="34" fillId="8" borderId="35" applyNumberFormat="0" applyAlignment="0" applyProtection="0"/>
    <xf numFmtId="0" fontId="18" fillId="7" borderId="35" applyNumberFormat="0" applyAlignment="0" applyProtection="0"/>
    <xf numFmtId="0" fontId="18" fillId="7" borderId="35" applyNumberFormat="0" applyAlignment="0" applyProtection="0"/>
    <xf numFmtId="0" fontId="18" fillId="7" borderId="35" applyNumberFormat="0" applyAlignment="0" applyProtection="0"/>
    <xf numFmtId="0" fontId="18" fillId="7" borderId="35" applyNumberFormat="0" applyAlignment="0" applyProtection="0"/>
    <xf numFmtId="0" fontId="18" fillId="7" borderId="35" applyNumberFormat="0" applyAlignment="0" applyProtection="0"/>
    <xf numFmtId="0" fontId="22" fillId="0" borderId="32" applyNumberFormat="0" applyFill="0" applyAlignment="0" applyProtection="0"/>
    <xf numFmtId="0" fontId="22" fillId="0" borderId="32" applyNumberFormat="0" applyFill="0" applyAlignment="0" applyProtection="0"/>
    <xf numFmtId="0" fontId="22" fillId="0" borderId="32" applyNumberFormat="0" applyFill="0" applyAlignment="0" applyProtection="0"/>
    <xf numFmtId="0" fontId="22" fillId="0" borderId="32" applyNumberFormat="0" applyFill="0" applyAlignment="0" applyProtection="0"/>
    <xf numFmtId="0" fontId="22" fillId="0" borderId="32" applyNumberFormat="0" applyFill="0" applyAlignment="0" applyProtection="0"/>
    <xf numFmtId="0" fontId="39" fillId="7" borderId="31" applyNumberFormat="0" applyAlignment="0" applyProtection="0"/>
    <xf numFmtId="0" fontId="39" fillId="7" borderId="31" applyNumberFormat="0" applyAlignment="0" applyProtection="0"/>
    <xf numFmtId="0" fontId="39" fillId="7" borderId="31" applyNumberFormat="0" applyAlignment="0" applyProtection="0"/>
    <xf numFmtId="0" fontId="39" fillId="7" borderId="31" applyNumberFormat="0" applyAlignment="0" applyProtection="0"/>
    <xf numFmtId="0" fontId="3" fillId="9" borderId="34" applyNumberFormat="0" applyFont="0" applyAlignment="0" applyProtection="0"/>
    <xf numFmtId="0" fontId="3" fillId="9" borderId="34" applyNumberFormat="0" applyFont="0" applyAlignment="0" applyProtection="0"/>
    <xf numFmtId="0" fontId="34" fillId="8" borderId="33" applyNumberFormat="0" applyAlignment="0" applyProtection="0"/>
    <xf numFmtId="0" fontId="34" fillId="8" borderId="33" applyNumberFormat="0" applyAlignment="0" applyProtection="0"/>
    <xf numFmtId="0" fontId="34" fillId="8" borderId="33" applyNumberFormat="0" applyAlignment="0" applyProtection="0"/>
    <xf numFmtId="0" fontId="18" fillId="7" borderId="33" applyNumberFormat="0" applyAlignment="0" applyProtection="0"/>
    <xf numFmtId="0" fontId="18" fillId="7" borderId="33" applyNumberFormat="0" applyAlignment="0" applyProtection="0"/>
    <xf numFmtId="0" fontId="22" fillId="0" borderId="32" applyNumberFormat="0" applyFill="0" applyAlignment="0" applyProtection="0"/>
    <xf numFmtId="0" fontId="39" fillId="7" borderId="31" applyNumberFormat="0" applyAlignment="0" applyProtection="0"/>
    <xf numFmtId="0" fontId="3" fillId="9" borderId="34" applyNumberFormat="0" applyFont="0" applyAlignment="0" applyProtection="0"/>
    <xf numFmtId="0" fontId="3" fillId="9" borderId="34" applyNumberFormat="0" applyFont="0" applyAlignment="0" applyProtection="0"/>
    <xf numFmtId="0" fontId="34" fillId="8" borderId="33" applyNumberFormat="0" applyAlignment="0" applyProtection="0"/>
    <xf numFmtId="0" fontId="34" fillId="8" borderId="33" applyNumberFormat="0" applyAlignment="0" applyProtection="0"/>
    <xf numFmtId="0" fontId="18" fillId="7" borderId="33" applyNumberFormat="0" applyAlignment="0" applyProtection="0"/>
    <xf numFmtId="0" fontId="3" fillId="9" borderId="28" applyNumberFormat="0" applyFont="0" applyAlignment="0" applyProtection="0"/>
    <xf numFmtId="0" fontId="34" fillId="8" borderId="27" applyNumberFormat="0" applyAlignment="0" applyProtection="0"/>
    <xf numFmtId="0" fontId="18" fillId="7" borderId="27" applyNumberFormat="0" applyAlignment="0" applyProtection="0"/>
    <xf numFmtId="0" fontId="34" fillId="8" borderId="39" applyNumberFormat="0" applyAlignment="0" applyProtection="0"/>
    <xf numFmtId="0" fontId="3" fillId="9" borderId="40" applyNumberFormat="0" applyFont="0" applyAlignment="0" applyProtection="0"/>
    <xf numFmtId="0" fontId="22" fillId="0" borderId="32" applyNumberFormat="0" applyFill="0" applyAlignment="0" applyProtection="0"/>
    <xf numFmtId="0" fontId="39" fillId="7" borderId="31" applyNumberFormat="0" applyAlignment="0" applyProtection="0"/>
    <xf numFmtId="0" fontId="42" fillId="0" borderId="1">
      <alignment horizontal="center"/>
    </xf>
    <xf numFmtId="0" fontId="34" fillId="8" borderId="33" applyNumberFormat="0" applyAlignment="0" applyProtection="0"/>
    <xf numFmtId="0" fontId="39" fillId="7" borderId="41" applyNumberFormat="0" applyAlignment="0" applyProtection="0"/>
    <xf numFmtId="0" fontId="3" fillId="9" borderId="40" applyNumberFormat="0" applyFont="0" applyAlignment="0" applyProtection="0"/>
    <xf numFmtId="0" fontId="3" fillId="9" borderId="40" applyNumberFormat="0" applyFont="0" applyAlignment="0" applyProtection="0"/>
    <xf numFmtId="0" fontId="34" fillId="8" borderId="39" applyNumberFormat="0" applyAlignment="0" applyProtection="0"/>
    <xf numFmtId="0" fontId="34" fillId="8" borderId="39" applyNumberFormat="0" applyAlignment="0" applyProtection="0"/>
    <xf numFmtId="0" fontId="22" fillId="0" borderId="42" applyNumberFormat="0" applyFill="0" applyAlignment="0" applyProtection="0"/>
    <xf numFmtId="0" fontId="3" fillId="9" borderId="40" applyNumberFormat="0" applyFont="0" applyAlignment="0" applyProtection="0"/>
    <xf numFmtId="0" fontId="39" fillId="7" borderId="41" applyNumberFormat="0" applyAlignment="0" applyProtection="0"/>
    <xf numFmtId="0" fontId="34" fillId="8" borderId="35" applyNumberFormat="0" applyAlignment="0" applyProtection="0"/>
    <xf numFmtId="0" fontId="34" fillId="8" borderId="35" applyNumberFormat="0" applyAlignment="0" applyProtection="0"/>
    <xf numFmtId="0" fontId="18" fillId="7" borderId="35" applyNumberFormat="0" applyAlignment="0" applyProtection="0"/>
    <xf numFmtId="0" fontId="22" fillId="0" borderId="32" applyNumberFormat="0" applyFill="0" applyAlignment="0" applyProtection="0"/>
    <xf numFmtId="0" fontId="22" fillId="0" borderId="32" applyNumberFormat="0" applyFill="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4" fillId="8" borderId="39" applyNumberFormat="0" applyAlignment="0" applyProtection="0"/>
    <xf numFmtId="0" fontId="3" fillId="9" borderId="40" applyNumberFormat="0" applyFon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39" fillId="7" borderId="41" applyNumberFormat="0" applyAlignment="0" applyProtection="0"/>
    <xf numFmtId="0" fontId="3" fillId="9" borderId="40" applyNumberFormat="0" applyFont="0" applyAlignment="0" applyProtection="0"/>
    <xf numFmtId="0" fontId="34" fillId="8" borderId="39" applyNumberFormat="0" applyAlignment="0" applyProtection="0"/>
    <xf numFmtId="0" fontId="18" fillId="7" borderId="39" applyNumberFormat="0" applyAlignment="0" applyProtection="0"/>
    <xf numFmtId="0" fontId="3" fillId="9" borderId="36" applyNumberFormat="0" applyFont="0" applyAlignment="0" applyProtection="0"/>
    <xf numFmtId="0" fontId="34" fillId="8" borderId="35" applyNumberFormat="0" applyAlignment="0" applyProtection="0"/>
    <xf numFmtId="0" fontId="18" fillId="7" borderId="35" applyNumberFormat="0" applyAlignment="0" applyProtection="0"/>
    <xf numFmtId="0" fontId="22" fillId="0" borderId="32" applyNumberFormat="0" applyFill="0" applyAlignment="0" applyProtection="0"/>
    <xf numFmtId="0" fontId="39" fillId="7" borderId="31" applyNumberFormat="0" applyAlignment="0" applyProtection="0"/>
    <xf numFmtId="0" fontId="3" fillId="9" borderId="34" applyNumberFormat="0" applyFont="0" applyAlignment="0" applyProtection="0"/>
    <xf numFmtId="0" fontId="18" fillId="7" borderId="33" applyNumberFormat="0" applyAlignment="0" applyProtection="0"/>
    <xf numFmtId="0" fontId="18" fillId="7" borderId="33" applyNumberFormat="0" applyAlignment="0" applyProtection="0"/>
    <xf numFmtId="0" fontId="39" fillId="7" borderId="31" applyNumberFormat="0" applyAlignment="0" applyProtection="0"/>
    <xf numFmtId="0" fontId="3" fillId="9" borderId="34" applyNumberFormat="0" applyFont="0" applyAlignment="0" applyProtection="0"/>
    <xf numFmtId="0" fontId="22" fillId="0" borderId="32" applyNumberFormat="0" applyFill="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4" fillId="8" borderId="39" applyNumberForma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22" fillId="0" borderId="42" applyNumberFormat="0" applyFill="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4" fillId="8" borderId="39" applyNumberFormat="0" applyAlignment="0" applyProtection="0"/>
    <xf numFmtId="0" fontId="18" fillId="7" borderId="39" applyNumberFormat="0" applyAlignment="0" applyProtection="0"/>
    <xf numFmtId="0" fontId="22" fillId="0" borderId="42" applyNumberFormat="0" applyFill="0" applyAlignment="0" applyProtection="0"/>
    <xf numFmtId="0" fontId="39" fillId="7" borderId="41" applyNumberForma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4" fillId="8" borderId="35" applyNumberFormat="0" applyAlignment="0" applyProtection="0"/>
    <xf numFmtId="0" fontId="34" fillId="8" borderId="35" applyNumberFormat="0" applyAlignment="0" applyProtection="0"/>
    <xf numFmtId="0" fontId="34" fillId="8" borderId="35" applyNumberFormat="0" applyAlignment="0" applyProtection="0"/>
    <xf numFmtId="0" fontId="34" fillId="8" borderId="35" applyNumberFormat="0" applyAlignment="0" applyProtection="0"/>
    <xf numFmtId="0" fontId="18" fillId="7" borderId="35" applyNumberFormat="0" applyAlignment="0" applyProtection="0"/>
    <xf numFmtId="0" fontId="18" fillId="7" borderId="35" applyNumberFormat="0" applyAlignment="0" applyProtection="0"/>
    <xf numFmtId="0" fontId="18" fillId="7" borderId="35" applyNumberFormat="0" applyAlignment="0" applyProtection="0"/>
    <xf numFmtId="0" fontId="18" fillId="7" borderId="35" applyNumberFormat="0" applyAlignment="0" applyProtection="0"/>
    <xf numFmtId="0" fontId="22" fillId="0" borderId="32" applyNumberFormat="0" applyFill="0" applyAlignment="0" applyProtection="0"/>
    <xf numFmtId="0" fontId="22" fillId="0" borderId="32" applyNumberFormat="0" applyFill="0" applyAlignment="0" applyProtection="0"/>
    <xf numFmtId="0" fontId="22" fillId="0" borderId="32" applyNumberFormat="0" applyFill="0" applyAlignment="0" applyProtection="0"/>
    <xf numFmtId="0" fontId="22" fillId="0" borderId="32" applyNumberFormat="0" applyFill="0" applyAlignment="0" applyProtection="0"/>
    <xf numFmtId="0" fontId="22" fillId="0" borderId="32" applyNumberFormat="0" applyFill="0" applyAlignment="0" applyProtection="0"/>
    <xf numFmtId="0" fontId="39" fillId="7" borderId="31" applyNumberFormat="0" applyAlignment="0" applyProtection="0"/>
    <xf numFmtId="0" fontId="39" fillId="7" borderId="31" applyNumberFormat="0" applyAlignment="0" applyProtection="0"/>
    <xf numFmtId="0" fontId="39" fillId="7" borderId="31" applyNumberFormat="0" applyAlignment="0" applyProtection="0"/>
    <xf numFmtId="0" fontId="39" fillId="7" borderId="31" applyNumberFormat="0" applyAlignment="0" applyProtection="0"/>
    <xf numFmtId="0" fontId="39" fillId="7" borderId="31" applyNumberFormat="0" applyAlignment="0" applyProtection="0"/>
    <xf numFmtId="0" fontId="3" fillId="9" borderId="34" applyNumberFormat="0" applyFont="0" applyAlignment="0" applyProtection="0"/>
    <xf numFmtId="0" fontId="3" fillId="9" borderId="34" applyNumberFormat="0" applyFont="0" applyAlignment="0" applyProtection="0"/>
    <xf numFmtId="0" fontId="34" fillId="8" borderId="33" applyNumberFormat="0" applyAlignment="0" applyProtection="0"/>
    <xf numFmtId="0" fontId="34" fillId="8" borderId="33" applyNumberFormat="0" applyAlignment="0" applyProtection="0"/>
    <xf numFmtId="0" fontId="18" fillId="7" borderId="33" applyNumberFormat="0" applyAlignment="0" applyProtection="0"/>
    <xf numFmtId="0" fontId="18" fillId="7" borderId="33" applyNumberFormat="0" applyAlignment="0" applyProtection="0"/>
    <xf numFmtId="0" fontId="18" fillId="7" borderId="33" applyNumberFormat="0" applyAlignment="0" applyProtection="0"/>
    <xf numFmtId="0" fontId="22" fillId="0" borderId="32" applyNumberFormat="0" applyFill="0" applyAlignment="0" applyProtection="0"/>
    <xf numFmtId="0" fontId="39" fillId="7" borderId="31" applyNumberFormat="0" applyAlignment="0" applyProtection="0"/>
    <xf numFmtId="0" fontId="39" fillId="7" borderId="31" applyNumberFormat="0" applyAlignment="0" applyProtection="0"/>
    <xf numFmtId="0" fontId="3" fillId="9" borderId="34" applyNumberFormat="0" applyFont="0" applyAlignment="0" applyProtection="0"/>
    <xf numFmtId="0" fontId="3" fillId="9" borderId="34" applyNumberFormat="0" applyFont="0" applyAlignment="0" applyProtection="0"/>
    <xf numFmtId="0" fontId="34" fillId="8" borderId="33" applyNumberFormat="0" applyAlignment="0" applyProtection="0"/>
    <xf numFmtId="0" fontId="34" fillId="8" borderId="33" applyNumberFormat="0" applyAlignment="0" applyProtection="0"/>
    <xf numFmtId="0" fontId="18" fillId="7" borderId="33" applyNumberFormat="0" applyAlignment="0" applyProtection="0"/>
    <xf numFmtId="0" fontId="22" fillId="0" borderId="30" applyNumberFormat="0" applyFill="0" applyAlignment="0" applyProtection="0"/>
    <xf numFmtId="0" fontId="42" fillId="0" borderId="1">
      <alignment horizontal="center"/>
    </xf>
    <xf numFmtId="0" fontId="34" fillId="8" borderId="39"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169" fontId="3" fillId="0" borderId="0" applyFill="0"/>
    <xf numFmtId="169" fontId="1" fillId="0" borderId="0"/>
    <xf numFmtId="169" fontId="3" fillId="0" borderId="0"/>
    <xf numFmtId="169" fontId="3" fillId="0" borderId="0"/>
    <xf numFmtId="169" fontId="3" fillId="0" borderId="0"/>
    <xf numFmtId="169" fontId="3" fillId="0" borderId="0"/>
    <xf numFmtId="169" fontId="3" fillId="0" borderId="0"/>
    <xf numFmtId="169" fontId="1" fillId="0" borderId="0"/>
    <xf numFmtId="169" fontId="7" fillId="0" borderId="0" applyNumberFormat="0" applyFill="0" applyBorder="0" applyAlignment="0" applyProtection="0">
      <alignment vertical="top"/>
      <protection locked="0"/>
    </xf>
    <xf numFmtId="169" fontId="1" fillId="0" borderId="0"/>
    <xf numFmtId="169" fontId="1" fillId="0" borderId="0"/>
    <xf numFmtId="169" fontId="3" fillId="0" borderId="0" applyFill="0"/>
    <xf numFmtId="169" fontId="3" fillId="0" borderId="0"/>
    <xf numFmtId="169" fontId="3" fillId="0" borderId="0"/>
    <xf numFmtId="169" fontId="11" fillId="7" borderId="0" applyNumberFormat="0" applyBorder="0" applyAlignment="0" applyProtection="0"/>
    <xf numFmtId="169" fontId="11" fillId="8" borderId="0" applyNumberFormat="0" applyBorder="0" applyAlignment="0" applyProtection="0"/>
    <xf numFmtId="169" fontId="11" fillId="9" borderId="0" applyNumberFormat="0" applyBorder="0" applyAlignment="0" applyProtection="0"/>
    <xf numFmtId="169" fontId="11" fillId="7" borderId="0" applyNumberFormat="0" applyBorder="0" applyAlignment="0" applyProtection="0"/>
    <xf numFmtId="169" fontId="11" fillId="10" borderId="0" applyNumberFormat="0" applyBorder="0" applyAlignment="0" applyProtection="0"/>
    <xf numFmtId="169" fontId="11" fillId="8" borderId="0" applyNumberFormat="0" applyBorder="0" applyAlignment="0" applyProtection="0"/>
    <xf numFmtId="169" fontId="11" fillId="11" borderId="0" applyNumberFormat="0" applyBorder="0" applyAlignment="0" applyProtection="0"/>
    <xf numFmtId="169" fontId="11" fillId="8" borderId="0" applyNumberFormat="0" applyBorder="0" applyAlignment="0" applyProtection="0"/>
    <xf numFmtId="169" fontId="11" fillId="12" borderId="0" applyNumberFormat="0" applyBorder="0" applyAlignment="0" applyProtection="0"/>
    <xf numFmtId="169" fontId="11" fillId="11" borderId="0" applyNumberFormat="0" applyBorder="0" applyAlignment="0" applyProtection="0"/>
    <xf numFmtId="169" fontId="11" fillId="13" borderId="0" applyNumberFormat="0" applyBorder="0" applyAlignment="0" applyProtection="0"/>
    <xf numFmtId="169" fontId="11" fillId="8" borderId="0" applyNumberFormat="0" applyBorder="0" applyAlignment="0" applyProtection="0"/>
    <xf numFmtId="169" fontId="12" fillId="14" borderId="0" applyNumberFormat="0" applyBorder="0" applyAlignment="0" applyProtection="0"/>
    <xf numFmtId="169" fontId="12" fillId="8" borderId="0" applyNumberFormat="0" applyBorder="0" applyAlignment="0" applyProtection="0"/>
    <xf numFmtId="169" fontId="12" fillId="12" borderId="0" applyNumberFormat="0" applyBorder="0" applyAlignment="0" applyProtection="0"/>
    <xf numFmtId="169" fontId="12" fillId="11" borderId="0" applyNumberFormat="0" applyBorder="0" applyAlignment="0" applyProtection="0"/>
    <xf numFmtId="169" fontId="12" fillId="14" borderId="0" applyNumberFormat="0" applyBorder="0" applyAlignment="0" applyProtection="0"/>
    <xf numFmtId="169" fontId="12" fillId="8" borderId="0" applyNumberFormat="0" applyBorder="0" applyAlignment="0" applyProtection="0"/>
    <xf numFmtId="169" fontId="11" fillId="15" borderId="0" applyNumberFormat="0" applyBorder="0" applyAlignment="0" applyProtection="0"/>
    <xf numFmtId="169" fontId="11" fillId="15" borderId="0" applyNumberFormat="0" applyBorder="0" applyAlignment="0" applyProtection="0"/>
    <xf numFmtId="169" fontId="12" fillId="16" borderId="0" applyNumberFormat="0" applyBorder="0" applyAlignment="0" applyProtection="0"/>
    <xf numFmtId="169" fontId="12" fillId="14" borderId="0" applyNumberFormat="0" applyBorder="0" applyAlignment="0" applyProtection="0"/>
    <xf numFmtId="169" fontId="11" fillId="17" borderId="0" applyNumberFormat="0" applyBorder="0" applyAlignment="0" applyProtection="0"/>
    <xf numFmtId="169" fontId="11" fillId="18" borderId="0" applyNumberFormat="0" applyBorder="0" applyAlignment="0" applyProtection="0"/>
    <xf numFmtId="169" fontId="12" fillId="19" borderId="0" applyNumberFormat="0" applyBorder="0" applyAlignment="0" applyProtection="0"/>
    <xf numFmtId="169" fontId="12" fillId="20" borderId="0" applyNumberFormat="0" applyBorder="0" applyAlignment="0" applyProtection="0"/>
    <xf numFmtId="169" fontId="11" fillId="17" borderId="0" applyNumberFormat="0" applyBorder="0" applyAlignment="0" applyProtection="0"/>
    <xf numFmtId="169" fontId="11" fillId="21" borderId="0" applyNumberFormat="0" applyBorder="0" applyAlignment="0" applyProtection="0"/>
    <xf numFmtId="169" fontId="12" fillId="18" borderId="0" applyNumberFormat="0" applyBorder="0" applyAlignment="0" applyProtection="0"/>
    <xf numFmtId="169" fontId="12" fillId="22" borderId="0" applyNumberFormat="0" applyBorder="0" applyAlignment="0" applyProtection="0"/>
    <xf numFmtId="169" fontId="11" fillId="15" borderId="0" applyNumberFormat="0" applyBorder="0" applyAlignment="0" applyProtection="0"/>
    <xf numFmtId="169" fontId="11" fillId="18" borderId="0" applyNumberFormat="0" applyBorder="0" applyAlignment="0" applyProtection="0"/>
    <xf numFmtId="169" fontId="12" fillId="18" borderId="0" applyNumberFormat="0" applyBorder="0" applyAlignment="0" applyProtection="0"/>
    <xf numFmtId="169" fontId="12" fillId="23" borderId="0" applyNumberFormat="0" applyBorder="0" applyAlignment="0" applyProtection="0"/>
    <xf numFmtId="169" fontId="11" fillId="24" borderId="0" applyNumberFormat="0" applyBorder="0" applyAlignment="0" applyProtection="0"/>
    <xf numFmtId="169" fontId="11" fillId="15" borderId="0" applyNumberFormat="0" applyBorder="0" applyAlignment="0" applyProtection="0"/>
    <xf numFmtId="169" fontId="12" fillId="16" borderId="0" applyNumberFormat="0" applyBorder="0" applyAlignment="0" applyProtection="0"/>
    <xf numFmtId="169" fontId="12" fillId="14" borderId="0" applyNumberFormat="0" applyBorder="0" applyAlignment="0" applyProtection="0"/>
    <xf numFmtId="169" fontId="11" fillId="17" borderId="0" applyNumberFormat="0" applyBorder="0" applyAlignment="0" applyProtection="0"/>
    <xf numFmtId="169" fontId="11" fillId="25" borderId="0" applyNumberFormat="0" applyBorder="0" applyAlignment="0" applyProtection="0"/>
    <xf numFmtId="169" fontId="12" fillId="25" borderId="0" applyNumberFormat="0" applyBorder="0" applyAlignment="0" applyProtection="0"/>
    <xf numFmtId="169" fontId="12" fillId="26" borderId="0" applyNumberFormat="0" applyBorder="0" applyAlignment="0" applyProtection="0"/>
    <xf numFmtId="169" fontId="13" fillId="0" borderId="0"/>
    <xf numFmtId="169" fontId="15" fillId="27" borderId="0" applyNumberFormat="0" applyBorder="0" applyAlignment="0" applyProtection="0"/>
    <xf numFmtId="169" fontId="16" fillId="0" borderId="0" applyNumberFormat="0" applyFill="0" applyBorder="0" applyAlignment="0"/>
    <xf numFmtId="169" fontId="17" fillId="0" borderId="0" applyNumberFormat="0" applyFill="0" applyBorder="0" applyAlignment="0">
      <protection locked="0"/>
    </xf>
    <xf numFmtId="169" fontId="18" fillId="7" borderId="39" applyNumberFormat="0" applyAlignment="0" applyProtection="0"/>
    <xf numFmtId="169" fontId="19" fillId="28" borderId="7" applyNumberFormat="0" applyAlignment="0" applyProtection="0"/>
    <xf numFmtId="169" fontId="20"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2" fillId="29" borderId="0" applyNumberFormat="0" applyBorder="0" applyAlignment="0" applyProtection="0"/>
    <xf numFmtId="169" fontId="22" fillId="30" borderId="0" applyNumberFormat="0" applyBorder="0" applyAlignment="0" applyProtection="0"/>
    <xf numFmtId="169" fontId="22" fillId="31" borderId="0" applyNumberFormat="0" applyBorder="0" applyAlignment="0" applyProtection="0"/>
    <xf numFmtId="169" fontId="23" fillId="0" borderId="0" applyNumberFormat="0" applyFill="0" applyBorder="0" applyAlignment="0" applyProtection="0"/>
    <xf numFmtId="169" fontId="24" fillId="0" borderId="0"/>
    <xf numFmtId="169" fontId="25" fillId="0" borderId="0"/>
    <xf numFmtId="169" fontId="9" fillId="6" borderId="0" applyNumberFormat="0" applyBorder="0" applyAlignment="0" applyProtection="0"/>
    <xf numFmtId="169" fontId="26" fillId="0" borderId="8" applyNumberFormat="0" applyFill="0" applyAlignment="0" applyProtection="0"/>
    <xf numFmtId="169" fontId="4" fillId="0" borderId="0" applyFill="0" applyBorder="0">
      <alignment vertical="center"/>
    </xf>
    <xf numFmtId="169" fontId="27" fillId="0" borderId="9" applyNumberFormat="0" applyFill="0" applyAlignment="0" applyProtection="0"/>
    <xf numFmtId="169" fontId="28" fillId="0" borderId="0" applyFill="0" applyBorder="0">
      <alignment vertical="center"/>
    </xf>
    <xf numFmtId="169" fontId="29" fillId="0" borderId="10" applyNumberFormat="0" applyFill="0" applyAlignment="0" applyProtection="0"/>
    <xf numFmtId="169" fontId="30" fillId="0" borderId="0" applyFill="0" applyBorder="0">
      <alignment vertical="center"/>
    </xf>
    <xf numFmtId="169" fontId="29" fillId="0" borderId="0" applyNumberFormat="0" applyFill="0" applyBorder="0" applyAlignment="0" applyProtection="0"/>
    <xf numFmtId="169" fontId="10" fillId="0" borderId="0" applyFill="0" applyBorder="0">
      <alignment vertical="center"/>
    </xf>
    <xf numFmtId="169" fontId="32" fillId="0" borderId="0" applyFill="0" applyBorder="0">
      <alignment horizontal="center" vertical="center"/>
      <protection locked="0"/>
    </xf>
    <xf numFmtId="169" fontId="33" fillId="0" borderId="0" applyFill="0" applyBorder="0">
      <alignment horizontal="left" vertical="center"/>
      <protection locked="0"/>
    </xf>
    <xf numFmtId="169" fontId="34" fillId="8" borderId="39" applyNumberFormat="0" applyAlignment="0" applyProtection="0"/>
    <xf numFmtId="169" fontId="10" fillId="4" borderId="0"/>
    <xf numFmtId="169" fontId="35" fillId="0" borderId="11" applyNumberFormat="0" applyFill="0" applyAlignment="0" applyProtection="0"/>
    <xf numFmtId="169" fontId="5" fillId="0" borderId="0" applyFill="0" applyBorder="0">
      <alignment horizontal="left" vertical="center"/>
    </xf>
    <xf numFmtId="169" fontId="37" fillId="12" borderId="0" applyNumberFormat="0" applyBorder="0" applyAlignment="0" applyProtection="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3" fillId="0" borderId="0"/>
    <xf numFmtId="169" fontId="3" fillId="0" borderId="0"/>
    <xf numFmtId="169" fontId="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3" fillId="0" borderId="0"/>
    <xf numFmtId="169" fontId="1" fillId="0" borderId="0"/>
    <xf numFmtId="169" fontId="3" fillId="0" borderId="0"/>
    <xf numFmtId="169" fontId="1" fillId="0" borderId="0"/>
    <xf numFmtId="169" fontId="1" fillId="0" borderId="0"/>
    <xf numFmtId="169" fontId="3" fillId="0" borderId="0"/>
    <xf numFmtId="169" fontId="11" fillId="0" borderId="0"/>
    <xf numFmtId="169" fontId="14" fillId="0" borderId="0"/>
    <xf numFmtId="169" fontId="3" fillId="0" borderId="0" applyFill="0"/>
    <xf numFmtId="169" fontId="1" fillId="0" borderId="0"/>
    <xf numFmtId="169" fontId="3" fillId="0" borderId="0"/>
    <xf numFmtId="169" fontId="3" fillId="9" borderId="40" applyNumberFormat="0" applyFont="0" applyAlignment="0" applyProtection="0"/>
    <xf numFmtId="169" fontId="39" fillId="7" borderId="41" applyNumberFormat="0" applyAlignment="0" applyProtection="0"/>
    <xf numFmtId="169" fontId="30" fillId="0" borderId="0" applyFill="0" applyBorder="0">
      <alignment vertical="center"/>
    </xf>
    <xf numFmtId="169" fontId="20" fillId="0" borderId="0" applyNumberFormat="0" applyFont="0" applyFill="0" applyBorder="0" applyAlignment="0" applyProtection="0">
      <alignment horizontal="left"/>
    </xf>
    <xf numFmtId="169" fontId="42" fillId="0" borderId="15">
      <alignment horizontal="center"/>
    </xf>
    <xf numFmtId="169" fontId="20" fillId="34" borderId="0" applyNumberFormat="0" applyFont="0" applyBorder="0" applyAlignment="0" applyProtection="0"/>
    <xf numFmtId="169" fontId="3" fillId="9" borderId="0" applyNumberFormat="0" applyFont="0" applyBorder="0" applyAlignment="0" applyProtection="0"/>
    <xf numFmtId="169" fontId="3" fillId="7" borderId="0" applyNumberFormat="0" applyFont="0" applyBorder="0" applyAlignment="0" applyProtection="0"/>
    <xf numFmtId="169" fontId="3" fillId="11" borderId="0" applyNumberFormat="0" applyFont="0" applyBorder="0" applyAlignment="0" applyProtection="0"/>
    <xf numFmtId="169" fontId="3" fillId="0" borderId="0" applyNumberFormat="0" applyFont="0" applyFill="0" applyBorder="0" applyAlignment="0" applyProtection="0"/>
    <xf numFmtId="169" fontId="3" fillId="11" borderId="0" applyNumberFormat="0" applyFont="0" applyBorder="0" applyAlignment="0" applyProtection="0"/>
    <xf numFmtId="169" fontId="3" fillId="0" borderId="0" applyNumberFormat="0" applyFont="0" applyFill="0" applyBorder="0" applyAlignment="0" applyProtection="0"/>
    <xf numFmtId="169" fontId="3" fillId="0" borderId="0" applyNumberFormat="0" applyFont="0" applyBorder="0" applyAlignment="0" applyProtection="0"/>
    <xf numFmtId="169" fontId="43" fillId="0" borderId="0" applyNumberFormat="0" applyFill="0" applyBorder="0" applyAlignment="0" applyProtection="0"/>
    <xf numFmtId="169" fontId="3" fillId="0" borderId="0"/>
    <xf numFmtId="169" fontId="5" fillId="0" borderId="0"/>
    <xf numFmtId="169" fontId="8" fillId="0" borderId="0"/>
    <xf numFmtId="169" fontId="44" fillId="3" borderId="5" applyBorder="0" applyProtection="0">
      <alignment horizontal="centerContinuous" vertical="center"/>
    </xf>
    <xf numFmtId="169" fontId="46" fillId="0" borderId="0">
      <alignment horizontal="left"/>
    </xf>
    <xf numFmtId="169" fontId="46" fillId="0" borderId="4" applyFill="0" applyBorder="0" applyProtection="0">
      <alignment horizontal="left" vertical="top"/>
    </xf>
    <xf numFmtId="169" fontId="47" fillId="0" borderId="0"/>
    <xf numFmtId="169" fontId="48" fillId="0" borderId="0"/>
    <xf numFmtId="169" fontId="48" fillId="0" borderId="0"/>
    <xf numFmtId="169" fontId="47" fillId="0" borderId="0"/>
    <xf numFmtId="169" fontId="43" fillId="0" borderId="0" applyNumberFormat="0" applyFill="0" applyBorder="0" applyAlignment="0" applyProtection="0"/>
    <xf numFmtId="169" fontId="50" fillId="0" borderId="0" applyFill="0" applyBorder="0">
      <alignment horizontal="left" vertical="center"/>
      <protection locked="0"/>
    </xf>
    <xf numFmtId="169" fontId="47" fillId="0" borderId="0"/>
    <xf numFmtId="169" fontId="51" fillId="0" borderId="0" applyFill="0" applyBorder="0">
      <alignment horizontal="left" vertical="center"/>
      <protection locked="0"/>
    </xf>
    <xf numFmtId="169" fontId="22" fillId="0" borderId="42" applyNumberFormat="0" applyFill="0" applyAlignment="0" applyProtection="0"/>
    <xf numFmtId="169" fontId="52" fillId="0" borderId="0" applyNumberFormat="0" applyFill="0" applyBorder="0" applyAlignment="0" applyProtection="0"/>
    <xf numFmtId="169" fontId="3" fillId="0" borderId="0"/>
    <xf numFmtId="169" fontId="3" fillId="0" borderId="0"/>
    <xf numFmtId="169" fontId="3" fillId="0" borderId="0" applyFill="0"/>
    <xf numFmtId="169" fontId="39" fillId="7" borderId="41" applyNumberFormat="0" applyAlignment="0" applyProtection="0"/>
    <xf numFmtId="169" fontId="22" fillId="0" borderId="42" applyNumberFormat="0" applyFill="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29" fillId="0" borderId="10" applyNumberFormat="0" applyFill="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44" fillId="3" borderId="5" applyBorder="0" applyProtection="0">
      <alignment horizontal="centerContinuous" vertical="center"/>
    </xf>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54" fillId="0" borderId="0" applyNumberFormat="0" applyFill="0" applyBorder="0" applyAlignment="0" applyProtection="0"/>
    <xf numFmtId="169" fontId="1" fillId="0" borderId="0"/>
    <xf numFmtId="169" fontId="3" fillId="0" borderId="0"/>
    <xf numFmtId="169" fontId="3" fillId="0" borderId="0"/>
    <xf numFmtId="169" fontId="3" fillId="0" borderId="0"/>
    <xf numFmtId="169" fontId="3" fillId="0" borderId="0"/>
    <xf numFmtId="169" fontId="3" fillId="0" borderId="0"/>
    <xf numFmtId="169" fontId="1" fillId="0" borderId="0"/>
    <xf numFmtId="169" fontId="7" fillId="0" borderId="0" applyNumberFormat="0" applyFill="0" applyBorder="0" applyAlignment="0" applyProtection="0">
      <alignment vertical="top"/>
      <protection locked="0"/>
    </xf>
    <xf numFmtId="169" fontId="1" fillId="0" borderId="0"/>
    <xf numFmtId="169" fontId="1" fillId="0" borderId="0"/>
    <xf numFmtId="169" fontId="3" fillId="0" borderId="0" applyFill="0"/>
    <xf numFmtId="169" fontId="3" fillId="0" borderId="0"/>
    <xf numFmtId="169" fontId="3" fillId="0" borderId="0"/>
    <xf numFmtId="169" fontId="11" fillId="7" borderId="0" applyNumberFormat="0" applyBorder="0" applyAlignment="0" applyProtection="0"/>
    <xf numFmtId="169" fontId="11" fillId="8" borderId="0" applyNumberFormat="0" applyBorder="0" applyAlignment="0" applyProtection="0"/>
    <xf numFmtId="169" fontId="11" fillId="9" borderId="0" applyNumberFormat="0" applyBorder="0" applyAlignment="0" applyProtection="0"/>
    <xf numFmtId="169" fontId="11" fillId="7" borderId="0" applyNumberFormat="0" applyBorder="0" applyAlignment="0" applyProtection="0"/>
    <xf numFmtId="169" fontId="11" fillId="10" borderId="0" applyNumberFormat="0" applyBorder="0" applyAlignment="0" applyProtection="0"/>
    <xf numFmtId="169" fontId="11" fillId="8" borderId="0" applyNumberFormat="0" applyBorder="0" applyAlignment="0" applyProtection="0"/>
    <xf numFmtId="169" fontId="11" fillId="11" borderId="0" applyNumberFormat="0" applyBorder="0" applyAlignment="0" applyProtection="0"/>
    <xf numFmtId="169" fontId="11" fillId="8" borderId="0" applyNumberFormat="0" applyBorder="0" applyAlignment="0" applyProtection="0"/>
    <xf numFmtId="169" fontId="11" fillId="12" borderId="0" applyNumberFormat="0" applyBorder="0" applyAlignment="0" applyProtection="0"/>
    <xf numFmtId="169" fontId="11" fillId="11" borderId="0" applyNumberFormat="0" applyBorder="0" applyAlignment="0" applyProtection="0"/>
    <xf numFmtId="169" fontId="11" fillId="13" borderId="0" applyNumberFormat="0" applyBorder="0" applyAlignment="0" applyProtection="0"/>
    <xf numFmtId="169" fontId="11" fillId="8" borderId="0" applyNumberFormat="0" applyBorder="0" applyAlignment="0" applyProtection="0"/>
    <xf numFmtId="169" fontId="12" fillId="14" borderId="0" applyNumberFormat="0" applyBorder="0" applyAlignment="0" applyProtection="0"/>
    <xf numFmtId="169" fontId="12" fillId="8" borderId="0" applyNumberFormat="0" applyBorder="0" applyAlignment="0" applyProtection="0"/>
    <xf numFmtId="169" fontId="12" fillId="12" borderId="0" applyNumberFormat="0" applyBorder="0" applyAlignment="0" applyProtection="0"/>
    <xf numFmtId="169" fontId="12" fillId="11" borderId="0" applyNumberFormat="0" applyBorder="0" applyAlignment="0" applyProtection="0"/>
    <xf numFmtId="169" fontId="12" fillId="14" borderId="0" applyNumberFormat="0" applyBorder="0" applyAlignment="0" applyProtection="0"/>
    <xf numFmtId="169" fontId="12" fillId="8" borderId="0" applyNumberFormat="0" applyBorder="0" applyAlignment="0" applyProtection="0"/>
    <xf numFmtId="169" fontId="11" fillId="15" borderId="0" applyNumberFormat="0" applyBorder="0" applyAlignment="0" applyProtection="0"/>
    <xf numFmtId="169" fontId="11" fillId="15" borderId="0" applyNumberFormat="0" applyBorder="0" applyAlignment="0" applyProtection="0"/>
    <xf numFmtId="169" fontId="12" fillId="16" borderId="0" applyNumberFormat="0" applyBorder="0" applyAlignment="0" applyProtection="0"/>
    <xf numFmtId="169" fontId="12" fillId="14" borderId="0" applyNumberFormat="0" applyBorder="0" applyAlignment="0" applyProtection="0"/>
    <xf numFmtId="169" fontId="11" fillId="17" borderId="0" applyNumberFormat="0" applyBorder="0" applyAlignment="0" applyProtection="0"/>
    <xf numFmtId="169" fontId="11" fillId="18" borderId="0" applyNumberFormat="0" applyBorder="0" applyAlignment="0" applyProtection="0"/>
    <xf numFmtId="169" fontId="12" fillId="19" borderId="0" applyNumberFormat="0" applyBorder="0" applyAlignment="0" applyProtection="0"/>
    <xf numFmtId="169" fontId="12" fillId="20" borderId="0" applyNumberFormat="0" applyBorder="0" applyAlignment="0" applyProtection="0"/>
    <xf numFmtId="169" fontId="11" fillId="17" borderId="0" applyNumberFormat="0" applyBorder="0" applyAlignment="0" applyProtection="0"/>
    <xf numFmtId="169" fontId="11" fillId="21" borderId="0" applyNumberFormat="0" applyBorder="0" applyAlignment="0" applyProtection="0"/>
    <xf numFmtId="169" fontId="12" fillId="18" borderId="0" applyNumberFormat="0" applyBorder="0" applyAlignment="0" applyProtection="0"/>
    <xf numFmtId="169" fontId="12" fillId="22" borderId="0" applyNumberFormat="0" applyBorder="0" applyAlignment="0" applyProtection="0"/>
    <xf numFmtId="169" fontId="11" fillId="15" borderId="0" applyNumberFormat="0" applyBorder="0" applyAlignment="0" applyProtection="0"/>
    <xf numFmtId="169" fontId="11" fillId="18" borderId="0" applyNumberFormat="0" applyBorder="0" applyAlignment="0" applyProtection="0"/>
    <xf numFmtId="169" fontId="12" fillId="18" borderId="0" applyNumberFormat="0" applyBorder="0" applyAlignment="0" applyProtection="0"/>
    <xf numFmtId="169" fontId="12" fillId="23" borderId="0" applyNumberFormat="0" applyBorder="0" applyAlignment="0" applyProtection="0"/>
    <xf numFmtId="169" fontId="11" fillId="24" borderId="0" applyNumberFormat="0" applyBorder="0" applyAlignment="0" applyProtection="0"/>
    <xf numFmtId="169" fontId="11" fillId="15" borderId="0" applyNumberFormat="0" applyBorder="0" applyAlignment="0" applyProtection="0"/>
    <xf numFmtId="169" fontId="12" fillId="16" borderId="0" applyNumberFormat="0" applyBorder="0" applyAlignment="0" applyProtection="0"/>
    <xf numFmtId="169" fontId="12" fillId="14" borderId="0" applyNumberFormat="0" applyBorder="0" applyAlignment="0" applyProtection="0"/>
    <xf numFmtId="169" fontId="11" fillId="17" borderId="0" applyNumberFormat="0" applyBorder="0" applyAlignment="0" applyProtection="0"/>
    <xf numFmtId="169" fontId="11" fillId="25" borderId="0" applyNumberFormat="0" applyBorder="0" applyAlignment="0" applyProtection="0"/>
    <xf numFmtId="169" fontId="12" fillId="25" borderId="0" applyNumberFormat="0" applyBorder="0" applyAlignment="0" applyProtection="0"/>
    <xf numFmtId="169" fontId="12" fillId="26" borderId="0" applyNumberFormat="0" applyBorder="0" applyAlignment="0" applyProtection="0"/>
    <xf numFmtId="169" fontId="13" fillId="0" borderId="0"/>
    <xf numFmtId="169" fontId="15" fillId="27" borderId="0" applyNumberFormat="0" applyBorder="0" applyAlignment="0" applyProtection="0"/>
    <xf numFmtId="169" fontId="16" fillId="0" borderId="0" applyNumberFormat="0" applyFill="0" applyBorder="0" applyAlignment="0"/>
    <xf numFmtId="169" fontId="17" fillId="0" borderId="0" applyNumberFormat="0" applyFill="0" applyBorder="0" applyAlignment="0">
      <protection locked="0"/>
    </xf>
    <xf numFmtId="169" fontId="18" fillId="7" borderId="39" applyNumberFormat="0" applyAlignment="0" applyProtection="0"/>
    <xf numFmtId="169" fontId="19" fillId="28" borderId="7" applyNumberFormat="0" applyAlignment="0" applyProtection="0"/>
    <xf numFmtId="169" fontId="20"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2" fillId="29" borderId="0" applyNumberFormat="0" applyBorder="0" applyAlignment="0" applyProtection="0"/>
    <xf numFmtId="169" fontId="22" fillId="30" borderId="0" applyNumberFormat="0" applyBorder="0" applyAlignment="0" applyProtection="0"/>
    <xf numFmtId="169" fontId="22" fillId="31" borderId="0" applyNumberFormat="0" applyBorder="0" applyAlignment="0" applyProtection="0"/>
    <xf numFmtId="169" fontId="23" fillId="0" borderId="0" applyNumberFormat="0" applyFill="0" applyBorder="0" applyAlignment="0" applyProtection="0"/>
    <xf numFmtId="169" fontId="24" fillId="0" borderId="0"/>
    <xf numFmtId="169" fontId="25" fillId="0" borderId="0"/>
    <xf numFmtId="169" fontId="9" fillId="6" borderId="0" applyNumberFormat="0" applyBorder="0" applyAlignment="0" applyProtection="0"/>
    <xf numFmtId="169" fontId="26" fillId="0" borderId="8" applyNumberFormat="0" applyFill="0" applyAlignment="0" applyProtection="0"/>
    <xf numFmtId="169" fontId="4" fillId="0" borderId="0" applyFill="0" applyBorder="0">
      <alignment vertical="center"/>
    </xf>
    <xf numFmtId="169" fontId="27" fillId="0" borderId="9" applyNumberFormat="0" applyFill="0" applyAlignment="0" applyProtection="0"/>
    <xf numFmtId="169" fontId="28" fillId="0" borderId="0" applyFill="0" applyBorder="0">
      <alignment vertical="center"/>
    </xf>
    <xf numFmtId="169" fontId="29" fillId="0" borderId="10" applyNumberFormat="0" applyFill="0" applyAlignment="0" applyProtection="0"/>
    <xf numFmtId="169" fontId="30" fillId="0" borderId="0" applyFill="0" applyBorder="0">
      <alignment vertical="center"/>
    </xf>
    <xf numFmtId="169" fontId="29" fillId="0" borderId="0" applyNumberFormat="0" applyFill="0" applyBorder="0" applyAlignment="0" applyProtection="0"/>
    <xf numFmtId="169" fontId="10" fillId="0" borderId="0" applyFill="0" applyBorder="0">
      <alignment vertical="center"/>
    </xf>
    <xf numFmtId="169" fontId="32" fillId="0" borderId="0" applyFill="0" applyBorder="0">
      <alignment horizontal="center" vertical="center"/>
      <protection locked="0"/>
    </xf>
    <xf numFmtId="169" fontId="33" fillId="0" borderId="0" applyFill="0" applyBorder="0">
      <alignment horizontal="left" vertical="center"/>
      <protection locked="0"/>
    </xf>
    <xf numFmtId="169" fontId="34" fillId="8" borderId="39" applyNumberFormat="0" applyAlignment="0" applyProtection="0"/>
    <xf numFmtId="169" fontId="10" fillId="4" borderId="0"/>
    <xf numFmtId="169" fontId="35" fillId="0" borderId="11" applyNumberFormat="0" applyFill="0" applyAlignment="0" applyProtection="0"/>
    <xf numFmtId="169" fontId="5" fillId="0" borderId="0" applyFill="0" applyBorder="0">
      <alignment horizontal="left" vertical="center"/>
    </xf>
    <xf numFmtId="169" fontId="37" fillId="12" borderId="0" applyNumberFormat="0" applyBorder="0" applyAlignment="0" applyProtection="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3" fillId="0" borderId="0"/>
    <xf numFmtId="169" fontId="3" fillId="0" borderId="0"/>
    <xf numFmtId="169" fontId="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3" fillId="0" borderId="0"/>
    <xf numFmtId="169" fontId="1" fillId="0" borderId="0"/>
    <xf numFmtId="169" fontId="3" fillId="0" borderId="0"/>
    <xf numFmtId="169" fontId="1" fillId="0" borderId="0"/>
    <xf numFmtId="169" fontId="1" fillId="0" borderId="0"/>
    <xf numFmtId="169" fontId="3" fillId="0" borderId="0"/>
    <xf numFmtId="169" fontId="11" fillId="0" borderId="0"/>
    <xf numFmtId="169" fontId="14" fillId="0" borderId="0"/>
    <xf numFmtId="169" fontId="3" fillId="0" borderId="0" applyFill="0"/>
    <xf numFmtId="169" fontId="1" fillId="0" borderId="0"/>
    <xf numFmtId="169" fontId="3" fillId="0" borderId="0"/>
    <xf numFmtId="169" fontId="3" fillId="9" borderId="40" applyNumberFormat="0" applyFont="0" applyAlignment="0" applyProtection="0"/>
    <xf numFmtId="169" fontId="39" fillId="7" borderId="41" applyNumberFormat="0" applyAlignment="0" applyProtection="0"/>
    <xf numFmtId="169" fontId="30" fillId="0" borderId="0" applyFill="0" applyBorder="0">
      <alignment vertical="center"/>
    </xf>
    <xf numFmtId="169" fontId="20" fillId="0" borderId="0" applyNumberFormat="0" applyFont="0" applyFill="0" applyBorder="0" applyAlignment="0" applyProtection="0">
      <alignment horizontal="left"/>
    </xf>
    <xf numFmtId="169" fontId="42" fillId="0" borderId="15">
      <alignment horizontal="center"/>
    </xf>
    <xf numFmtId="169" fontId="20" fillId="34" borderId="0" applyNumberFormat="0" applyFont="0" applyBorder="0" applyAlignment="0" applyProtection="0"/>
    <xf numFmtId="169" fontId="3" fillId="9" borderId="0" applyNumberFormat="0" applyFont="0" applyBorder="0" applyAlignment="0" applyProtection="0"/>
    <xf numFmtId="169" fontId="3" fillId="7" borderId="0" applyNumberFormat="0" applyFont="0" applyBorder="0" applyAlignment="0" applyProtection="0"/>
    <xf numFmtId="169" fontId="3" fillId="11" borderId="0" applyNumberFormat="0" applyFont="0" applyBorder="0" applyAlignment="0" applyProtection="0"/>
    <xf numFmtId="169" fontId="3" fillId="0" borderId="0" applyNumberFormat="0" applyFont="0" applyFill="0" applyBorder="0" applyAlignment="0" applyProtection="0"/>
    <xf numFmtId="169" fontId="3" fillId="11" borderId="0" applyNumberFormat="0" applyFont="0" applyBorder="0" applyAlignment="0" applyProtection="0"/>
    <xf numFmtId="169" fontId="3" fillId="0" borderId="0" applyNumberFormat="0" applyFont="0" applyFill="0" applyBorder="0" applyAlignment="0" applyProtection="0"/>
    <xf numFmtId="169" fontId="3" fillId="0" borderId="0" applyNumberFormat="0" applyFont="0" applyBorder="0" applyAlignment="0" applyProtection="0"/>
    <xf numFmtId="169" fontId="43" fillId="0" borderId="0" applyNumberFormat="0" applyFill="0" applyBorder="0" applyAlignment="0" applyProtection="0"/>
    <xf numFmtId="169" fontId="3" fillId="0" borderId="0"/>
    <xf numFmtId="169" fontId="5" fillId="0" borderId="0"/>
    <xf numFmtId="169" fontId="8" fillId="0" borderId="0"/>
    <xf numFmtId="169" fontId="44" fillId="3" borderId="5" applyBorder="0" applyProtection="0">
      <alignment horizontal="centerContinuous" vertical="center"/>
    </xf>
    <xf numFmtId="169" fontId="46" fillId="0" borderId="0">
      <alignment horizontal="left"/>
    </xf>
    <xf numFmtId="169" fontId="46" fillId="0" borderId="4" applyFill="0" applyBorder="0" applyProtection="0">
      <alignment horizontal="left" vertical="top"/>
    </xf>
    <xf numFmtId="169" fontId="47" fillId="0" borderId="0"/>
    <xf numFmtId="169" fontId="48" fillId="0" borderId="0"/>
    <xf numFmtId="169" fontId="48" fillId="0" borderId="0"/>
    <xf numFmtId="169" fontId="47" fillId="0" borderId="0"/>
    <xf numFmtId="169" fontId="43" fillId="0" borderId="0" applyNumberFormat="0" applyFill="0" applyBorder="0" applyAlignment="0" applyProtection="0"/>
    <xf numFmtId="169" fontId="50" fillId="0" borderId="0" applyFill="0" applyBorder="0">
      <alignment horizontal="left" vertical="center"/>
      <protection locked="0"/>
    </xf>
    <xf numFmtId="169" fontId="47" fillId="0" borderId="0"/>
    <xf numFmtId="169" fontId="51" fillId="0" borderId="0" applyFill="0" applyBorder="0">
      <alignment horizontal="left" vertical="center"/>
      <protection locked="0"/>
    </xf>
    <xf numFmtId="169" fontId="22" fillId="0" borderId="42" applyNumberFormat="0" applyFill="0" applyAlignment="0" applyProtection="0"/>
    <xf numFmtId="169" fontId="52" fillId="0" borderId="0" applyNumberFormat="0" applyFill="0" applyBorder="0" applyAlignment="0" applyProtection="0"/>
    <xf numFmtId="169" fontId="3" fillId="0" borderId="0"/>
    <xf numFmtId="169" fontId="53" fillId="0" borderId="0" applyNumberFormat="0" applyFill="0" applyBorder="0" applyAlignment="0" applyProtection="0"/>
    <xf numFmtId="169" fontId="3" fillId="0" borderId="0"/>
    <xf numFmtId="169" fontId="3" fillId="0" borderId="0" applyFill="0"/>
    <xf numFmtId="169" fontId="39" fillId="7" borderId="41" applyNumberFormat="0" applyAlignment="0" applyProtection="0"/>
    <xf numFmtId="169" fontId="22" fillId="0" borderId="42" applyNumberFormat="0" applyFill="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29" fillId="0" borderId="10" applyNumberFormat="0" applyFill="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44" fillId="3" borderId="5" applyBorder="0" applyProtection="0">
      <alignment horizontal="centerContinuous" vertical="center"/>
    </xf>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18" fillId="7"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4" fillId="8" borderId="39" applyNumberForma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 fillId="9" borderId="40" applyNumberFormat="0" applyFon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39" fillId="7" borderId="41" applyNumberFormat="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22" fillId="0" borderId="42" applyNumberFormat="0" applyFill="0" applyAlignment="0" applyProtection="0"/>
    <xf numFmtId="169" fontId="54" fillId="0" borderId="0" applyNumberFormat="0" applyFill="0" applyBorder="0" applyAlignment="0" applyProtection="0"/>
    <xf numFmtId="169" fontId="3" fillId="0" borderId="0"/>
    <xf numFmtId="43" fontId="3" fillId="0" borderId="0" applyFont="0" applyFill="0" applyBorder="0" applyAlignment="0" applyProtection="0"/>
    <xf numFmtId="169" fontId="1" fillId="0" borderId="0"/>
    <xf numFmtId="169" fontId="1" fillId="0" borderId="0"/>
    <xf numFmtId="169" fontId="42" fillId="0" borderId="1">
      <alignment horizontal="center"/>
    </xf>
    <xf numFmtId="169" fontId="42" fillId="0" borderId="1">
      <alignment horizontal="center"/>
    </xf>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18" fillId="7" borderId="39" applyNumberForma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9" fillId="7" borderId="41" applyNumberFormat="0" applyAlignment="0" applyProtection="0"/>
    <xf numFmtId="0" fontId="34" fillId="8" borderId="39"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 fillId="9" borderId="40" applyNumberFormat="0" applyFon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22" fillId="0" borderId="42" applyNumberFormat="0" applyFill="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42" fillId="0" borderId="15">
      <alignment horizontal="center"/>
    </xf>
    <xf numFmtId="0" fontId="18" fillId="7" borderId="39" applyNumberFormat="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18" fillId="7"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4" fillId="8" borderId="39" applyNumberFormat="0" applyAlignment="0" applyProtection="0"/>
    <xf numFmtId="0" fontId="42" fillId="0" borderId="15">
      <alignment horizontal="center"/>
    </xf>
    <xf numFmtId="0" fontId="18" fillId="7" borderId="39" applyNumberFormat="0" applyAlignment="0" applyProtection="0"/>
    <xf numFmtId="0" fontId="34" fillId="8" borderId="39" applyNumberFormat="0" applyAlignment="0" applyProtection="0"/>
    <xf numFmtId="0" fontId="22" fillId="0" borderId="42" applyNumberFormat="0" applyFill="0" applyAlignment="0" applyProtection="0"/>
    <xf numFmtId="0" fontId="34" fillId="8" borderId="39" applyNumberFormat="0" applyAlignment="0" applyProtection="0"/>
    <xf numFmtId="0" fontId="34" fillId="8" borderId="39" applyNumberFormat="0" applyAlignment="0" applyProtection="0"/>
    <xf numFmtId="0" fontId="18" fillId="7" borderId="39" applyNumberForma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9" fillId="7" borderId="41"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4" fillId="8" borderId="39"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18" fillId="7" borderId="39" applyNumberFormat="0" applyAlignment="0" applyProtection="0"/>
    <xf numFmtId="0" fontId="3" fillId="9" borderId="40" applyNumberFormat="0" applyFon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9" fillId="7" borderId="41" applyNumberFormat="0" applyAlignment="0" applyProtection="0"/>
    <xf numFmtId="0" fontId="39" fillId="7" borderId="41"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 fillId="9" borderId="40" applyNumberFormat="0" applyFont="0" applyAlignment="0" applyProtection="0"/>
    <xf numFmtId="0" fontId="39" fillId="7" borderId="41" applyNumberFormat="0" applyAlignment="0" applyProtection="0"/>
    <xf numFmtId="0" fontId="34" fillId="8" borderId="39" applyNumberFormat="0" applyAlignment="0" applyProtection="0"/>
    <xf numFmtId="0" fontId="22" fillId="0" borderId="42" applyNumberFormat="0" applyFill="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3" fillId="9" borderId="40" applyNumberFormat="0" applyFont="0" applyAlignment="0" applyProtection="0"/>
    <xf numFmtId="0" fontId="18" fillId="7" borderId="39" applyNumberFormat="0" applyAlignment="0" applyProtection="0"/>
    <xf numFmtId="0" fontId="3" fillId="9" borderId="40" applyNumberFormat="0" applyFont="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9" fillId="7" borderId="41" applyNumberFormat="0" applyAlignment="0" applyProtection="0"/>
    <xf numFmtId="0" fontId="3" fillId="9" borderId="40" applyNumberFormat="0" applyFon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4" fillId="8" borderId="39"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 fillId="9" borderId="40" applyNumberFormat="0" applyFont="0" applyAlignment="0" applyProtection="0"/>
    <xf numFmtId="0" fontId="18" fillId="7" borderId="39" applyNumberFormat="0" applyAlignment="0" applyProtection="0"/>
    <xf numFmtId="0" fontId="39" fillId="7" borderId="41" applyNumberFormat="0" applyAlignment="0" applyProtection="0"/>
    <xf numFmtId="0" fontId="34" fillId="8" borderId="39" applyNumberForma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4" fillId="8" borderId="39" applyNumberFormat="0" applyAlignment="0" applyProtection="0"/>
    <xf numFmtId="0" fontId="34" fillId="8"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4" fillId="8"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42" fillId="0" borderId="15">
      <alignment horizontal="center"/>
    </xf>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42" fillId="0" borderId="15">
      <alignment horizontal="center"/>
    </xf>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42" fillId="0" borderId="15">
      <alignment horizontal="center"/>
    </xf>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42" fillId="0" borderId="15">
      <alignment horizontal="center"/>
    </xf>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42" fillId="0" borderId="15">
      <alignment horizontal="center"/>
    </xf>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42" fillId="0" borderId="15">
      <alignment horizontal="center"/>
    </xf>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42" fillId="0" borderId="15">
      <alignment horizontal="center"/>
    </xf>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42" fillId="0" borderId="15">
      <alignment horizontal="center"/>
    </xf>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42" fillId="0" borderId="15">
      <alignment horizontal="center"/>
    </xf>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42" fillId="0" borderId="15">
      <alignment horizontal="center"/>
    </xf>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42" fillId="0" borderId="15">
      <alignment horizontal="center"/>
    </xf>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42" fillId="0" borderId="15">
      <alignment horizontal="center"/>
    </xf>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29" fillId="0" borderId="10" applyNumberFormat="0" applyFill="0" applyAlignment="0" applyProtection="0"/>
    <xf numFmtId="0" fontId="29" fillId="0" borderId="10" applyNumberFormat="0" applyFill="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9" fillId="7" borderId="41" applyNumberFormat="0" applyAlignment="0" applyProtection="0"/>
    <xf numFmtId="0" fontId="42" fillId="0" borderId="15">
      <alignment horizontal="center"/>
    </xf>
    <xf numFmtId="0" fontId="22" fillId="0" borderId="42" applyNumberFormat="0" applyFill="0" applyAlignment="0" applyProtection="0"/>
    <xf numFmtId="0" fontId="39" fillId="7" borderId="41" applyNumberFormat="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18" fillId="7"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4" fillId="8" borderId="39" applyNumberForma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 fillId="9" borderId="40" applyNumberFormat="0" applyFon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39" fillId="7" borderId="41" applyNumberFormat="0" applyAlignment="0" applyProtection="0"/>
    <xf numFmtId="0" fontId="42" fillId="0" borderId="15">
      <alignment horizontal="center"/>
    </xf>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2" fillId="0" borderId="42" applyNumberFormat="0" applyFill="0" applyAlignment="0" applyProtection="0"/>
    <xf numFmtId="0" fontId="29" fillId="0" borderId="47" applyNumberFormat="0" applyFill="0" applyAlignment="0" applyProtection="0"/>
    <xf numFmtId="0" fontId="29" fillId="0" borderId="47" applyNumberFormat="0" applyFill="0" applyAlignment="0" applyProtection="0"/>
    <xf numFmtId="0" fontId="29" fillId="0" borderId="47" applyNumberFormat="0" applyFill="0" applyAlignment="0" applyProtection="0"/>
    <xf numFmtId="0" fontId="29" fillId="0" borderId="47" applyNumberFormat="0" applyFill="0" applyAlignment="0" applyProtection="0"/>
    <xf numFmtId="0" fontId="18" fillId="7" borderId="49" applyNumberFormat="0" applyAlignment="0" applyProtection="0"/>
    <xf numFmtId="0" fontId="34" fillId="8" borderId="49" applyNumberFormat="0" applyAlignment="0" applyProtection="0"/>
    <xf numFmtId="0" fontId="3" fillId="9" borderId="50" applyNumberFormat="0" applyFont="0" applyAlignment="0" applyProtection="0"/>
    <xf numFmtId="0" fontId="39" fillId="7" borderId="51" applyNumberFormat="0" applyAlignment="0" applyProtection="0"/>
    <xf numFmtId="0" fontId="22" fillId="0" borderId="52" applyNumberFormat="0" applyFill="0" applyAlignment="0" applyProtection="0"/>
    <xf numFmtId="0" fontId="39" fillId="7" borderId="51" applyNumberFormat="0" applyAlignment="0" applyProtection="0"/>
    <xf numFmtId="0" fontId="22" fillId="0" borderId="52" applyNumberFormat="0" applyFill="0" applyAlignment="0" applyProtection="0"/>
    <xf numFmtId="0" fontId="18" fillId="7" borderId="49" applyNumberFormat="0" applyAlignment="0" applyProtection="0"/>
    <xf numFmtId="0" fontId="18" fillId="7" borderId="49" applyNumberFormat="0" applyAlignment="0" applyProtection="0"/>
    <xf numFmtId="0" fontId="18" fillId="7" borderId="49" applyNumberFormat="0" applyAlignment="0" applyProtection="0"/>
    <xf numFmtId="0" fontId="18" fillId="7" borderId="49" applyNumberFormat="0" applyAlignment="0" applyProtection="0"/>
    <xf numFmtId="0" fontId="34" fillId="8" borderId="49" applyNumberFormat="0" applyAlignment="0" applyProtection="0"/>
    <xf numFmtId="0" fontId="34" fillId="8" borderId="49" applyNumberFormat="0" applyAlignment="0" applyProtection="0"/>
    <xf numFmtId="0" fontId="34" fillId="8" borderId="49" applyNumberFormat="0" applyAlignment="0" applyProtection="0"/>
    <xf numFmtId="0" fontId="34" fillId="8" borderId="49" applyNumberFormat="0" applyAlignment="0" applyProtection="0"/>
    <xf numFmtId="0" fontId="3" fillId="9" borderId="50" applyNumberFormat="0" applyFont="0" applyAlignment="0" applyProtection="0"/>
    <xf numFmtId="0" fontId="3" fillId="9" borderId="50" applyNumberFormat="0" applyFont="0" applyAlignment="0" applyProtection="0"/>
    <xf numFmtId="0" fontId="3" fillId="9" borderId="50" applyNumberFormat="0" applyFont="0" applyAlignment="0" applyProtection="0"/>
    <xf numFmtId="0" fontId="3" fillId="9" borderId="50" applyNumberFormat="0" applyFont="0" applyAlignment="0" applyProtection="0"/>
    <xf numFmtId="0" fontId="3" fillId="9" borderId="50" applyNumberFormat="0" applyFon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18" fillId="7" borderId="49" applyNumberFormat="0" applyAlignment="0" applyProtection="0"/>
    <xf numFmtId="0" fontId="18" fillId="7" borderId="49" applyNumberFormat="0" applyAlignment="0" applyProtection="0"/>
    <xf numFmtId="0" fontId="18" fillId="7" borderId="49" applyNumberFormat="0" applyAlignment="0" applyProtection="0"/>
    <xf numFmtId="0" fontId="18" fillId="7" borderId="49" applyNumberFormat="0" applyAlignment="0" applyProtection="0"/>
    <xf numFmtId="0" fontId="18" fillId="7" borderId="49" applyNumberFormat="0" applyAlignment="0" applyProtection="0"/>
    <xf numFmtId="0" fontId="18" fillId="7" borderId="49" applyNumberFormat="0" applyAlignment="0" applyProtection="0"/>
    <xf numFmtId="0" fontId="18" fillId="7" borderId="49" applyNumberFormat="0" applyAlignment="0" applyProtection="0"/>
    <xf numFmtId="0" fontId="18" fillId="7" borderId="49" applyNumberFormat="0" applyAlignment="0" applyProtection="0"/>
    <xf numFmtId="0" fontId="34" fillId="8" borderId="49" applyNumberFormat="0" applyAlignment="0" applyProtection="0"/>
    <xf numFmtId="0" fontId="34" fillId="8" borderId="49" applyNumberFormat="0" applyAlignment="0" applyProtection="0"/>
    <xf numFmtId="0" fontId="34" fillId="8" borderId="49" applyNumberFormat="0" applyAlignment="0" applyProtection="0"/>
    <xf numFmtId="0" fontId="34" fillId="8" borderId="49" applyNumberFormat="0" applyAlignment="0" applyProtection="0"/>
    <xf numFmtId="0" fontId="34" fillId="8" borderId="49" applyNumberFormat="0" applyAlignment="0" applyProtection="0"/>
    <xf numFmtId="0" fontId="34" fillId="8" borderId="49" applyNumberFormat="0" applyAlignment="0" applyProtection="0"/>
    <xf numFmtId="0" fontId="34" fillId="8" borderId="49" applyNumberFormat="0" applyAlignment="0" applyProtection="0"/>
    <xf numFmtId="0" fontId="34" fillId="8" borderId="49" applyNumberFormat="0" applyAlignment="0" applyProtection="0"/>
    <xf numFmtId="0" fontId="3" fillId="9" borderId="50" applyNumberFormat="0" applyFont="0" applyAlignment="0" applyProtection="0"/>
    <xf numFmtId="0" fontId="3" fillId="9" borderId="50" applyNumberFormat="0" applyFont="0" applyAlignment="0" applyProtection="0"/>
    <xf numFmtId="0" fontId="3" fillId="9" borderId="50" applyNumberFormat="0" applyFont="0" applyAlignment="0" applyProtection="0"/>
    <xf numFmtId="0" fontId="3" fillId="9" borderId="50" applyNumberFormat="0" applyFont="0" applyAlignment="0" applyProtection="0"/>
    <xf numFmtId="0" fontId="3" fillId="9" borderId="50" applyNumberFormat="0" applyFon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39" fillId="7" borderId="51" applyNumberFormat="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0" fontId="22" fillId="0" borderId="52" applyNumberFormat="0" applyFill="0" applyAlignment="0" applyProtection="0"/>
    <xf numFmtId="9" fontId="1" fillId="0" borderId="0" applyFont="0" applyFill="0" applyBorder="0" applyAlignment="0" applyProtection="0"/>
    <xf numFmtId="167" fontId="1" fillId="0" borderId="0" applyFont="0" applyFill="0" applyBorder="0" applyAlignment="0" applyProtection="0"/>
    <xf numFmtId="0" fontId="18" fillId="7" borderId="65" applyNumberFormat="0" applyAlignment="0" applyProtection="0"/>
    <xf numFmtId="0" fontId="34" fillId="8" borderId="65" applyNumberFormat="0" applyAlignment="0" applyProtection="0"/>
    <xf numFmtId="0" fontId="3" fillId="9" borderId="66" applyNumberFormat="0" applyFont="0" applyAlignment="0" applyProtection="0"/>
    <xf numFmtId="0" fontId="39" fillId="7" borderId="67" applyNumberFormat="0" applyAlignment="0" applyProtection="0"/>
    <xf numFmtId="0" fontId="22" fillId="0" borderId="68" applyNumberFormat="0" applyFill="0" applyAlignment="0" applyProtection="0"/>
    <xf numFmtId="0" fontId="39" fillId="7" borderId="69" applyNumberFormat="0" applyAlignment="0" applyProtection="0"/>
    <xf numFmtId="0" fontId="22" fillId="0" borderId="70" applyNumberFormat="0" applyFill="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39" fillId="7" borderId="69" applyNumberFormat="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18" fillId="7" borderId="71" applyNumberFormat="0" applyAlignment="0" applyProtection="0"/>
    <xf numFmtId="0" fontId="29" fillId="0" borderId="73" applyNumberFormat="0" applyFill="0" applyAlignment="0" applyProtection="0"/>
    <xf numFmtId="0" fontId="29" fillId="0" borderId="73" applyNumberFormat="0" applyFill="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4" fillId="8" borderId="71" applyNumberForma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 fillId="9" borderId="72" applyNumberFormat="0" applyFon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39" fillId="7" borderId="67" applyNumberFormat="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22" fillId="0" borderId="70" applyNumberFormat="0" applyFill="0" applyAlignment="0" applyProtection="0"/>
    <xf numFmtId="0" fontId="18" fillId="7" borderId="74" applyNumberFormat="0" applyAlignment="0" applyProtection="0"/>
    <xf numFmtId="0" fontId="29" fillId="0" borderId="73" applyNumberFormat="0" applyFill="0" applyAlignment="0" applyProtection="0"/>
    <xf numFmtId="0" fontId="34" fillId="8" borderId="74" applyNumberFormat="0" applyAlignment="0" applyProtection="0"/>
    <xf numFmtId="0" fontId="3" fillId="9" borderId="75" applyNumberFormat="0" applyFont="0" applyAlignment="0" applyProtection="0"/>
    <xf numFmtId="0" fontId="39" fillId="7" borderId="76" applyNumberFormat="0" applyAlignment="0" applyProtection="0"/>
    <xf numFmtId="0" fontId="22" fillId="0" borderId="77" applyNumberFormat="0" applyFill="0" applyAlignment="0" applyProtection="0"/>
    <xf numFmtId="0" fontId="39" fillId="7" borderId="76" applyNumberFormat="0" applyAlignment="0" applyProtection="0"/>
    <xf numFmtId="0" fontId="22" fillId="0" borderId="77" applyNumberFormat="0" applyFill="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29" fillId="0" borderId="73" applyNumberFormat="0" applyFill="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29" fillId="0" borderId="73" applyNumberFormat="0" applyFill="0" applyAlignment="0" applyProtection="0"/>
    <xf numFmtId="0" fontId="29" fillId="0" borderId="73" applyNumberFormat="0" applyFill="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18" fillId="7" borderId="74" applyNumberFormat="0" applyAlignment="0" applyProtection="0"/>
    <xf numFmtId="0" fontId="34" fillId="8" borderId="74" applyNumberFormat="0" applyAlignment="0" applyProtection="0"/>
    <xf numFmtId="0" fontId="3" fillId="9" borderId="75" applyNumberFormat="0" applyFont="0" applyAlignment="0" applyProtection="0"/>
    <xf numFmtId="0" fontId="39" fillId="7" borderId="76" applyNumberFormat="0" applyAlignment="0" applyProtection="0"/>
    <xf numFmtId="0" fontId="42" fillId="0" borderId="78">
      <alignment horizontal="center"/>
    </xf>
    <xf numFmtId="0" fontId="22" fillId="0" borderId="77" applyNumberFormat="0" applyFill="0" applyAlignment="0" applyProtection="0"/>
    <xf numFmtId="0" fontId="39" fillId="7" borderId="76" applyNumberFormat="0" applyAlignment="0" applyProtection="0"/>
    <xf numFmtId="0" fontId="22" fillId="0" borderId="77" applyNumberFormat="0" applyFill="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18" fillId="7"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4" fillId="8" borderId="74" applyNumberForma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 fillId="9" borderId="75" applyNumberFormat="0" applyFon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39" fillId="7" borderId="76" applyNumberFormat="0" applyAlignment="0" applyProtection="0"/>
    <xf numFmtId="0" fontId="42" fillId="0" borderId="78">
      <alignment horizontal="center"/>
    </xf>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0" fontId="22" fillId="0" borderId="77" applyNumberFormat="0" applyFill="0" applyAlignment="0" applyProtection="0"/>
    <xf numFmtId="167" fontId="1" fillId="0" borderId="0" applyFont="0" applyFill="0" applyBorder="0" applyAlignment="0" applyProtection="0"/>
    <xf numFmtId="0" fontId="18" fillId="7" borderId="89" applyNumberFormat="0" applyAlignment="0" applyProtection="0"/>
    <xf numFmtId="0" fontId="18" fillId="7" borderId="89" applyNumberFormat="0" applyAlignment="0" applyProtection="0"/>
    <xf numFmtId="0" fontId="18" fillId="7" borderId="89" applyNumberFormat="0" applyAlignment="0" applyProtection="0"/>
    <xf numFmtId="0" fontId="18" fillId="7" borderId="89" applyNumberFormat="0" applyAlignment="0" applyProtection="0"/>
    <xf numFmtId="0" fontId="18" fillId="7" borderId="89" applyNumberFormat="0" applyAlignment="0" applyProtection="0"/>
    <xf numFmtId="0" fontId="18" fillId="7" borderId="89" applyNumberFormat="0" applyAlignment="0" applyProtection="0"/>
    <xf numFmtId="0" fontId="18" fillId="7" borderId="89" applyNumberFormat="0" applyAlignment="0" applyProtection="0"/>
    <xf numFmtId="0" fontId="18" fillId="7" borderId="89" applyNumberFormat="0" applyAlignment="0" applyProtection="0"/>
    <xf numFmtId="0" fontId="18" fillId="7" borderId="89" applyNumberFormat="0" applyAlignment="0" applyProtection="0"/>
    <xf numFmtId="0" fontId="18" fillId="7" borderId="89" applyNumberFormat="0" applyAlignment="0" applyProtection="0"/>
    <xf numFmtId="0" fontId="18" fillId="7" borderId="89" applyNumberFormat="0" applyAlignment="0" applyProtection="0"/>
    <xf numFmtId="0" fontId="18" fillId="7" borderId="89" applyNumberFormat="0" applyAlignment="0" applyProtection="0"/>
    <xf numFmtId="0" fontId="18" fillId="7" borderId="89" applyNumberFormat="0" applyAlignment="0" applyProtection="0"/>
    <xf numFmtId="0" fontId="34" fillId="8" borderId="89" applyNumberFormat="0" applyAlignment="0" applyProtection="0"/>
    <xf numFmtId="0" fontId="34" fillId="8" borderId="89" applyNumberFormat="0" applyAlignment="0" applyProtection="0"/>
    <xf numFmtId="0" fontId="34" fillId="8" borderId="89" applyNumberFormat="0" applyAlignment="0" applyProtection="0"/>
    <xf numFmtId="0" fontId="34" fillId="8" borderId="89" applyNumberFormat="0" applyAlignment="0" applyProtection="0"/>
    <xf numFmtId="0" fontId="34" fillId="8" borderId="89" applyNumberFormat="0" applyAlignment="0" applyProtection="0"/>
    <xf numFmtId="0" fontId="34" fillId="8" borderId="89" applyNumberFormat="0" applyAlignment="0" applyProtection="0"/>
    <xf numFmtId="0" fontId="34" fillId="8" borderId="89" applyNumberFormat="0" applyAlignment="0" applyProtection="0"/>
    <xf numFmtId="0" fontId="34" fillId="8" borderId="89" applyNumberFormat="0" applyAlignment="0" applyProtection="0"/>
    <xf numFmtId="0" fontId="34" fillId="8" borderId="89" applyNumberFormat="0" applyAlignment="0" applyProtection="0"/>
    <xf numFmtId="0" fontId="34" fillId="8" borderId="89" applyNumberFormat="0" applyAlignment="0" applyProtection="0"/>
    <xf numFmtId="0" fontId="34" fillId="8" borderId="89" applyNumberFormat="0" applyAlignment="0" applyProtection="0"/>
    <xf numFmtId="0" fontId="34" fillId="8" borderId="89" applyNumberFormat="0" applyAlignment="0" applyProtection="0"/>
    <xf numFmtId="0" fontId="34" fillId="8" borderId="89" applyNumberForma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 fillId="9" borderId="90" applyNumberFormat="0" applyFon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39" fillId="7" borderId="91" applyNumberFormat="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22" fillId="0" borderId="92" applyNumberFormat="0" applyFill="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60" fillId="65" borderId="0" applyNumberFormat="0" applyBorder="0" applyAlignment="0" applyProtection="0"/>
    <xf numFmtId="0" fontId="60" fillId="69" borderId="0" applyNumberFormat="0" applyBorder="0" applyAlignment="0" applyProtection="0"/>
    <xf numFmtId="0" fontId="60" fillId="73" borderId="0" applyNumberFormat="0" applyBorder="0" applyAlignment="0" applyProtection="0"/>
    <xf numFmtId="0" fontId="60" fillId="77" borderId="0" applyNumberFormat="0" applyBorder="0" applyAlignment="0" applyProtection="0"/>
    <xf numFmtId="0" fontId="12" fillId="14" borderId="0" applyNumberFormat="0" applyBorder="0" applyAlignment="0" applyProtection="0"/>
    <xf numFmtId="0" fontId="60" fillId="81" borderId="0" applyNumberFormat="0" applyBorder="0" applyAlignment="0" applyProtection="0"/>
    <xf numFmtId="0" fontId="60" fillId="8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60" fillId="6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60" fillId="6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60" fillId="6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60" fillId="6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60" fillId="6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60" fillId="6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60" fillId="6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60" fillId="6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60" fillId="6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60" fillId="6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60" fillId="6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60" fillId="6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60" fillId="6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60" fillId="6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60" fillId="7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60" fillId="7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60" fillId="7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60" fillId="7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60" fillId="7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60" fillId="7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60" fillId="7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60" fillId="74"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60" fillId="74"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60" fillId="74"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60" fillId="74"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60" fillId="74"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60" fillId="74"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60" fillId="74"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6"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84" fontId="60" fillId="78"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60" fillId="78"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60" fillId="78"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60" fillId="78"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60" fillId="78"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60" fillId="78"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60" fillId="78"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60" fillId="78"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60" fillId="8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60" fillId="8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60" fillId="8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60" fillId="8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60" fillId="8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60" fillId="8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60" fillId="8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73" fillId="56" borderId="0" applyNumberFormat="0" applyBorder="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0" fontId="18" fillId="7" borderId="94" applyNumberFormat="0" applyAlignment="0" applyProtection="0"/>
    <xf numFmtId="184" fontId="77" fillId="59" borderId="83" applyProtection="0"/>
    <xf numFmtId="0" fontId="81" fillId="86" borderId="95" applyNumberFormat="0" applyAlignment="0" applyProtection="0"/>
    <xf numFmtId="0" fontId="61" fillId="60" borderId="8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1" fontId="82" fillId="0" borderId="0" applyFont="0" applyFill="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80" fillId="0" borderId="0" applyNumberFormat="0" applyFill="0" applyBorder="0" applyAlignment="0" applyProtection="0"/>
    <xf numFmtId="184" fontId="68" fillId="87" borderId="0"/>
    <xf numFmtId="0" fontId="72" fillId="55" borderId="0" applyNumberFormat="0" applyBorder="0" applyAlignment="0" applyProtection="0"/>
    <xf numFmtId="0" fontId="69" fillId="0" borderId="80" applyNumberFormat="0" applyFill="0" applyAlignment="0" applyProtection="0"/>
    <xf numFmtId="0" fontId="70" fillId="0" borderId="81" applyNumberFormat="0" applyFill="0" applyAlignment="0" applyProtection="0"/>
    <xf numFmtId="0" fontId="29" fillId="0" borderId="73" applyNumberFormat="0" applyFill="0" applyAlignment="0" applyProtection="0"/>
    <xf numFmtId="0" fontId="29" fillId="0" borderId="73" applyNumberFormat="0" applyFill="0" applyAlignment="0" applyProtection="0"/>
    <xf numFmtId="0" fontId="29" fillId="0" borderId="73" applyNumberFormat="0" applyFill="0" applyAlignment="0" applyProtection="0"/>
    <xf numFmtId="0" fontId="29" fillId="0" borderId="73" applyNumberFormat="0" applyFill="0" applyAlignment="0" applyProtection="0"/>
    <xf numFmtId="0" fontId="29" fillId="0" borderId="73" applyNumberFormat="0" applyFill="0" applyAlignment="0" applyProtection="0"/>
    <xf numFmtId="0" fontId="29" fillId="0" borderId="73" applyNumberFormat="0" applyFill="0" applyAlignment="0" applyProtection="0"/>
    <xf numFmtId="0" fontId="29" fillId="0" borderId="73" applyNumberFormat="0" applyFill="0" applyAlignment="0" applyProtection="0"/>
    <xf numFmtId="0" fontId="29" fillId="0" borderId="73" applyNumberFormat="0" applyFill="0" applyAlignment="0" applyProtection="0"/>
    <xf numFmtId="0" fontId="71" fillId="0" borderId="82" applyNumberFormat="0" applyFill="0" applyAlignment="0" applyProtection="0"/>
    <xf numFmtId="0" fontId="71" fillId="0" borderId="0" applyNumberForma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34" fillId="8" borderId="94" applyNumberFormat="0" applyAlignment="0" applyProtection="0"/>
    <xf numFmtId="0" fontId="75" fillId="58" borderId="83" applyNumberFormat="0" applyAlignment="0" applyProtection="0"/>
    <xf numFmtId="185" fontId="3" fillId="88" borderId="0" applyFont="0" applyBorder="0">
      <alignment horizontal="right"/>
      <protection locked="0"/>
    </xf>
    <xf numFmtId="0" fontId="78" fillId="0" borderId="85" applyNumberFormat="0" applyFill="0" applyAlignment="0" applyProtection="0"/>
    <xf numFmtId="0" fontId="74" fillId="57" borderId="0" applyNumberFormat="0" applyBorder="0" applyAlignment="0" applyProtection="0"/>
    <xf numFmtId="184" fontId="1" fillId="0" borderId="0"/>
    <xf numFmtId="184" fontId="1" fillId="0" borderId="0"/>
    <xf numFmtId="184"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4" fontId="1" fillId="0" borderId="0"/>
    <xf numFmtId="184" fontId="1" fillId="0" borderId="0"/>
    <xf numFmtId="184" fontId="11" fillId="0" borderId="0"/>
    <xf numFmtId="0" fontId="3" fillId="0" borderId="0"/>
    <xf numFmtId="0" fontId="3" fillId="0" borderId="0"/>
    <xf numFmtId="0" fontId="3" fillId="0" borderId="0"/>
    <xf numFmtId="184" fontId="1" fillId="0" borderId="0"/>
    <xf numFmtId="184" fontId="1" fillId="0" borderId="0"/>
    <xf numFmtId="184" fontId="11" fillId="0" borderId="0"/>
    <xf numFmtId="184" fontId="1" fillId="0" borderId="0"/>
    <xf numFmtId="184" fontId="1" fillId="0" borderId="0"/>
    <xf numFmtId="184" fontId="11" fillId="0" borderId="0"/>
    <xf numFmtId="184" fontId="1" fillId="0" borderId="0"/>
    <xf numFmtId="184" fontId="1" fillId="0" borderId="0"/>
    <xf numFmtId="184" fontId="11" fillId="0" borderId="0"/>
    <xf numFmtId="0" fontId="3" fillId="5" borderId="0"/>
    <xf numFmtId="184" fontId="1" fillId="0" borderId="0"/>
    <xf numFmtId="184" fontId="11" fillId="0" borderId="0"/>
    <xf numFmtId="184" fontId="1" fillId="0" borderId="0"/>
    <xf numFmtId="184" fontId="1" fillId="0" borderId="0"/>
    <xf numFmtId="184" fontId="11" fillId="0" borderId="0"/>
    <xf numFmtId="184" fontId="1" fillId="0" borderId="0"/>
    <xf numFmtId="184" fontId="1" fillId="0" borderId="0"/>
    <xf numFmtId="184" fontId="11" fillId="0" borderId="0"/>
    <xf numFmtId="184" fontId="1" fillId="0" borderId="0"/>
    <xf numFmtId="184" fontId="1" fillId="0" borderId="0"/>
    <xf numFmtId="184" fontId="11" fillId="0" borderId="0"/>
    <xf numFmtId="184" fontId="1" fillId="0" borderId="0"/>
    <xf numFmtId="184" fontId="1" fillId="0" borderId="0"/>
    <xf numFmtId="184" fontId="11" fillId="0" borderId="0"/>
    <xf numFmtId="184" fontId="3" fillId="0" borderId="0"/>
    <xf numFmtId="0" fontId="3" fillId="0" borderId="0"/>
    <xf numFmtId="184" fontId="1" fillId="0" borderId="0"/>
    <xf numFmtId="0" fontId="3" fillId="0" borderId="0"/>
    <xf numFmtId="184" fontId="3" fillId="0" borderId="0"/>
    <xf numFmtId="0" fontId="3" fillId="0" borderId="0"/>
    <xf numFmtId="0" fontId="3" fillId="0" borderId="0" applyFill="0"/>
    <xf numFmtId="0" fontId="3" fillId="0" borderId="0"/>
    <xf numFmtId="0" fontId="1" fillId="0" borderId="0"/>
    <xf numFmtId="0" fontId="1" fillId="0" borderId="0"/>
    <xf numFmtId="184" fontId="1" fillId="0" borderId="0"/>
    <xf numFmtId="184" fontId="1" fillId="0" borderId="0"/>
    <xf numFmtId="184" fontId="11" fillId="0" borderId="0"/>
    <xf numFmtId="184" fontId="1" fillId="0" borderId="0"/>
    <xf numFmtId="184" fontId="1" fillId="0" borderId="0"/>
    <xf numFmtId="184" fontId="11" fillId="0" borderId="0"/>
    <xf numFmtId="184" fontId="1" fillId="0" borderId="0"/>
    <xf numFmtId="184" fontId="1" fillId="0" borderId="0"/>
    <xf numFmtId="184" fontId="11" fillId="0" borderId="0"/>
    <xf numFmtId="184" fontId="1" fillId="0" borderId="0"/>
    <xf numFmtId="184" fontId="1" fillId="0" borderId="0"/>
    <xf numFmtId="184" fontId="11" fillId="0" borderId="0"/>
    <xf numFmtId="184" fontId="1" fillId="0" borderId="0"/>
    <xf numFmtId="184" fontId="1" fillId="0" borderId="0"/>
    <xf numFmtId="184" fontId="11" fillId="0" borderId="0"/>
    <xf numFmtId="184" fontId="1" fillId="0" borderId="0"/>
    <xf numFmtId="184" fontId="1" fillId="0" borderId="0"/>
    <xf numFmtId="184" fontId="11" fillId="0" borderId="0"/>
    <xf numFmtId="184" fontId="1" fillId="0" borderId="0"/>
    <xf numFmtId="184" fontId="1" fillId="0" borderId="0"/>
    <xf numFmtId="184" fontId="11" fillId="0" borderId="0"/>
    <xf numFmtId="184" fontId="1" fillId="0" borderId="0"/>
    <xf numFmtId="184" fontId="1" fillId="0" borderId="0"/>
    <xf numFmtId="184" fontId="11" fillId="0" borderId="0"/>
    <xf numFmtId="184" fontId="3" fillId="0" borderId="0"/>
    <xf numFmtId="184" fontId="3" fillId="0" borderId="0"/>
    <xf numFmtId="184" fontId="3" fillId="0" borderId="0"/>
    <xf numFmtId="184" fontId="3" fillId="0" borderId="0"/>
    <xf numFmtId="0" fontId="1" fillId="0" borderId="0"/>
    <xf numFmtId="184" fontId="3" fillId="0" borderId="0"/>
    <xf numFmtId="184" fontId="3" fillId="0" borderId="0"/>
    <xf numFmtId="0" fontId="3" fillId="0" borderId="0"/>
    <xf numFmtId="0" fontId="3" fillId="0" borderId="0"/>
    <xf numFmtId="0" fontId="3" fillId="0" borderId="0"/>
    <xf numFmtId="0" fontId="3" fillId="0" borderId="0"/>
    <xf numFmtId="0" fontId="3" fillId="0" borderId="0"/>
    <xf numFmtId="0" fontId="3" fillId="0" borderId="0"/>
    <xf numFmtId="184" fontId="1" fillId="0" borderId="0"/>
    <xf numFmtId="0" fontId="1" fillId="0" borderId="0"/>
    <xf numFmtId="0" fontId="1" fillId="0" borderId="0"/>
    <xf numFmtId="184" fontId="1" fillId="0" borderId="0"/>
    <xf numFmtId="0" fontId="3" fillId="0" borderId="0" applyFill="0"/>
    <xf numFmtId="184"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4" fontId="1" fillId="0" borderId="0"/>
    <xf numFmtId="184" fontId="3" fillId="0" borderId="0"/>
    <xf numFmtId="184" fontId="1" fillId="0" borderId="0"/>
    <xf numFmtId="0" fontId="3" fillId="0" borderId="0">
      <alignment horizontal="left" vertical="center" indent="1"/>
    </xf>
    <xf numFmtId="184"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4" fontId="1" fillId="0" borderId="0"/>
    <xf numFmtId="184" fontId="1" fillId="0" borderId="0"/>
    <xf numFmtId="184"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4" fontId="1" fillId="0" borderId="0"/>
    <xf numFmtId="184" fontId="1" fillId="0" borderId="0"/>
    <xf numFmtId="184"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4" fontId="1" fillId="0" borderId="0"/>
    <xf numFmtId="184" fontId="1" fillId="0" borderId="0"/>
    <xf numFmtId="184" fontId="1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4" fontId="1" fillId="0" borderId="0"/>
    <xf numFmtId="184" fontId="1" fillId="0" borderId="0"/>
    <xf numFmtId="184" fontId="1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1" fillId="61" borderId="87"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 fillId="9" borderId="96" applyNumberFormat="0" applyFon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39" fillId="7" borderId="97" applyNumberFormat="0" applyAlignment="0" applyProtection="0"/>
    <xf numFmtId="0" fontId="76" fillId="59" borderId="84" applyNumberFormat="0" applyAlignment="0" applyProtection="0"/>
    <xf numFmtId="9" fontId="8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2" fillId="0" borderId="78">
      <alignment horizontal="center"/>
    </xf>
    <xf numFmtId="0" fontId="42" fillId="0" borderId="78">
      <alignment horizontal="center"/>
    </xf>
    <xf numFmtId="0" fontId="42" fillId="0" borderId="78">
      <alignment horizontal="center"/>
    </xf>
    <xf numFmtId="0" fontId="42" fillId="0" borderId="78">
      <alignment horizontal="center"/>
    </xf>
    <xf numFmtId="0" fontId="42" fillId="0" borderId="78">
      <alignment horizontal="center"/>
    </xf>
    <xf numFmtId="0" fontId="42" fillId="0" borderId="78">
      <alignment horizontal="center"/>
    </xf>
    <xf numFmtId="0" fontId="42" fillId="0" borderId="78">
      <alignment horizontal="center"/>
    </xf>
    <xf numFmtId="0" fontId="42" fillId="0" borderId="78">
      <alignment horizontal="center"/>
    </xf>
    <xf numFmtId="0" fontId="85" fillId="0" borderId="0" applyFill="0" applyBorder="0">
      <alignment vertical="center"/>
    </xf>
    <xf numFmtId="0" fontId="59" fillId="0" borderId="0" applyNumberFormat="0" applyFill="0" applyBorder="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2" fillId="0" borderId="98" applyNumberFormat="0" applyFill="0" applyAlignment="0" applyProtection="0"/>
    <xf numFmtId="0" fontId="2" fillId="0" borderId="88" applyNumberFormat="0" applyFill="0" applyAlignment="0" applyProtection="0"/>
    <xf numFmtId="0" fontId="79" fillId="0" borderId="0" applyNumberFormat="0" applyFill="0" applyBorder="0" applyAlignment="0" applyProtection="0"/>
    <xf numFmtId="0" fontId="18" fillId="7" borderId="105" applyNumberFormat="0" applyAlignment="0" applyProtection="0"/>
    <xf numFmtId="0" fontId="18" fillId="7" borderId="105" applyNumberFormat="0" applyAlignment="0" applyProtection="0"/>
    <xf numFmtId="0" fontId="18" fillId="7" borderId="105" applyNumberFormat="0" applyAlignment="0" applyProtection="0"/>
    <xf numFmtId="0" fontId="18" fillId="7" borderId="105" applyNumberFormat="0" applyAlignment="0" applyProtection="0"/>
    <xf numFmtId="0" fontId="18" fillId="7" borderId="105" applyNumberFormat="0" applyAlignment="0" applyProtection="0"/>
    <xf numFmtId="0" fontId="18" fillId="7" borderId="105" applyNumberFormat="0" applyAlignment="0" applyProtection="0"/>
    <xf numFmtId="0" fontId="18" fillId="7" borderId="105" applyNumberFormat="0" applyAlignment="0" applyProtection="0"/>
    <xf numFmtId="0" fontId="18" fillId="7" borderId="105" applyNumberFormat="0" applyAlignment="0" applyProtection="0"/>
    <xf numFmtId="0" fontId="18" fillId="7" borderId="105" applyNumberFormat="0" applyAlignment="0" applyProtection="0"/>
    <xf numFmtId="0" fontId="18" fillId="7" borderId="105" applyNumberFormat="0" applyAlignment="0" applyProtection="0"/>
    <xf numFmtId="0" fontId="18" fillId="7" borderId="105" applyNumberFormat="0" applyAlignment="0" applyProtection="0"/>
    <xf numFmtId="0" fontId="18" fillId="7" borderId="105" applyNumberFormat="0" applyAlignment="0" applyProtection="0"/>
    <xf numFmtId="0" fontId="18" fillId="7" borderId="105" applyNumberFormat="0" applyAlignment="0" applyProtection="0"/>
    <xf numFmtId="0" fontId="34" fillId="8" borderId="105" applyNumberFormat="0" applyAlignment="0" applyProtection="0"/>
    <xf numFmtId="0" fontId="34" fillId="8" borderId="105" applyNumberFormat="0" applyAlignment="0" applyProtection="0"/>
    <xf numFmtId="0" fontId="34" fillId="8" borderId="105" applyNumberFormat="0" applyAlignment="0" applyProtection="0"/>
    <xf numFmtId="0" fontId="34" fillId="8" borderId="105" applyNumberFormat="0" applyAlignment="0" applyProtection="0"/>
    <xf numFmtId="0" fontId="34" fillId="8" borderId="105" applyNumberFormat="0" applyAlignment="0" applyProtection="0"/>
    <xf numFmtId="0" fontId="34" fillId="8" borderId="105" applyNumberFormat="0" applyAlignment="0" applyProtection="0"/>
    <xf numFmtId="0" fontId="34" fillId="8" borderId="105" applyNumberFormat="0" applyAlignment="0" applyProtection="0"/>
    <xf numFmtId="0" fontId="34" fillId="8" borderId="105" applyNumberFormat="0" applyAlignment="0" applyProtection="0"/>
    <xf numFmtId="0" fontId="34" fillId="8" borderId="105" applyNumberFormat="0" applyAlignment="0" applyProtection="0"/>
    <xf numFmtId="0" fontId="34" fillId="8" borderId="105" applyNumberFormat="0" applyAlignment="0" applyProtection="0"/>
    <xf numFmtId="0" fontId="34" fillId="8" borderId="105" applyNumberFormat="0" applyAlignment="0" applyProtection="0"/>
    <xf numFmtId="0" fontId="34" fillId="8" borderId="105" applyNumberFormat="0" applyAlignment="0" applyProtection="0"/>
    <xf numFmtId="0" fontId="34" fillId="8" borderId="105" applyNumberForma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 fillId="9" borderId="106" applyNumberFormat="0" applyFon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39" fillId="7" borderId="107" applyNumberFormat="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22" fillId="0" borderId="108" applyNumberFormat="0" applyFill="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18" fillId="7"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4" fillId="8" borderId="110" applyNumberForma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 fillId="9" borderId="111" applyNumberFormat="0" applyFon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39" fillId="7" borderId="112" applyNumberFormat="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xf numFmtId="0" fontId="22" fillId="0" borderId="113" applyNumberFormat="0" applyFill="0" applyAlignment="0" applyProtection="0"/>
  </cellStyleXfs>
  <cellXfs count="429">
    <xf numFmtId="0" fontId="0" fillId="0" borderId="0" xfId="0"/>
    <xf numFmtId="0" fontId="0" fillId="0" borderId="0" xfId="0"/>
    <xf numFmtId="0" fontId="2" fillId="0" borderId="0" xfId="0" applyFont="1"/>
    <xf numFmtId="0" fontId="0" fillId="0" borderId="0" xfId="0" applyAlignment="1">
      <alignment wrapText="1"/>
    </xf>
    <xf numFmtId="0" fontId="0" fillId="0" borderId="0" xfId="0" applyFont="1" applyAlignment="1">
      <alignment vertical="center"/>
    </xf>
    <xf numFmtId="0" fontId="0" fillId="0" borderId="0" xfId="0" applyFont="1" applyAlignment="1">
      <alignment horizontal="left" vertical="center"/>
    </xf>
    <xf numFmtId="164" fontId="0" fillId="0" borderId="0" xfId="1" applyNumberFormat="1" applyFont="1" applyAlignment="1">
      <alignment horizontal="left" vertical="center"/>
    </xf>
    <xf numFmtId="164" fontId="2" fillId="0" borderId="0" xfId="1" applyNumberFormat="1" applyFont="1" applyAlignment="1">
      <alignment horizontal="left" vertical="center"/>
    </xf>
    <xf numFmtId="0" fontId="0" fillId="0" borderId="0" xfId="0" applyFont="1" applyAlignment="1">
      <alignment vertical="center"/>
    </xf>
    <xf numFmtId="0" fontId="0" fillId="45" borderId="0" xfId="0" applyFill="1"/>
    <xf numFmtId="0" fontId="0" fillId="0" borderId="0" xfId="0" applyFont="1" applyAlignment="1">
      <alignment vertical="center"/>
    </xf>
    <xf numFmtId="182" fontId="0" fillId="0" borderId="0" xfId="1" applyNumberFormat="1" applyFont="1"/>
    <xf numFmtId="0" fontId="0" fillId="45" borderId="56" xfId="0" applyFill="1" applyBorder="1" applyAlignment="1">
      <alignment wrapText="1"/>
    </xf>
    <xf numFmtId="0" fontId="0" fillId="45" borderId="56" xfId="0" applyFill="1" applyBorder="1"/>
    <xf numFmtId="0" fontId="0" fillId="0" borderId="56" xfId="0" applyBorder="1" applyAlignment="1">
      <alignment wrapText="1"/>
    </xf>
    <xf numFmtId="0" fontId="0" fillId="0" borderId="56" xfId="0" applyBorder="1"/>
    <xf numFmtId="164" fontId="0" fillId="45" borderId="56" xfId="1" applyNumberFormat="1" applyFont="1" applyFill="1" applyBorder="1"/>
    <xf numFmtId="43" fontId="0" fillId="45" borderId="56" xfId="1" applyFont="1" applyFill="1" applyBorder="1"/>
    <xf numFmtId="0" fontId="0" fillId="50" borderId="56" xfId="0" applyFill="1" applyBorder="1"/>
    <xf numFmtId="0" fontId="0" fillId="50" borderId="0" xfId="0" applyFill="1"/>
    <xf numFmtId="182" fontId="0" fillId="0" borderId="56" xfId="1" applyNumberFormat="1" applyFont="1" applyBorder="1"/>
    <xf numFmtId="182" fontId="65" fillId="0" borderId="0" xfId="1" applyNumberFormat="1" applyFont="1"/>
    <xf numFmtId="0" fontId="65" fillId="0" borderId="0" xfId="0" applyFont="1"/>
    <xf numFmtId="182" fontId="66" fillId="0" borderId="0" xfId="1" applyNumberFormat="1" applyFont="1"/>
    <xf numFmtId="0" fontId="66" fillId="0" borderId="0" xfId="0" applyFont="1"/>
    <xf numFmtId="182" fontId="67" fillId="0" borderId="0" xfId="1" applyNumberFormat="1" applyFont="1"/>
    <xf numFmtId="0" fontId="67" fillId="0" borderId="0" xfId="0" applyFont="1"/>
    <xf numFmtId="183" fontId="0" fillId="0" borderId="0" xfId="2" applyNumberFormat="1" applyFont="1" applyAlignment="1">
      <alignment horizontal="left" vertical="center"/>
    </xf>
    <xf numFmtId="11" fontId="0" fillId="0" borderId="0" xfId="0" applyNumberFormat="1"/>
    <xf numFmtId="0" fontId="0" fillId="0" borderId="0" xfId="0" applyAlignment="1">
      <alignment horizontal="left"/>
    </xf>
    <xf numFmtId="0" fontId="0" fillId="0" borderId="0" xfId="0"/>
    <xf numFmtId="0" fontId="0" fillId="0" borderId="0" xfId="0" applyAlignment="1">
      <alignment wrapText="1"/>
    </xf>
    <xf numFmtId="0" fontId="0" fillId="0" borderId="0" xfId="0" applyAlignment="1"/>
    <xf numFmtId="0" fontId="0" fillId="45" borderId="0" xfId="0" applyFill="1" applyAlignment="1">
      <alignment horizontal="left"/>
    </xf>
    <xf numFmtId="0" fontId="65" fillId="45" borderId="56" xfId="0" applyFont="1" applyFill="1" applyBorder="1" applyAlignment="1">
      <alignment horizontal="left"/>
    </xf>
    <xf numFmtId="0" fontId="66" fillId="45" borderId="56" xfId="0" applyFont="1" applyFill="1" applyBorder="1" applyAlignment="1">
      <alignment horizontal="left"/>
    </xf>
    <xf numFmtId="0" fontId="67" fillId="45" borderId="56" xfId="0" applyFont="1" applyFill="1" applyBorder="1" applyAlignment="1">
      <alignment horizontal="left"/>
    </xf>
    <xf numFmtId="43" fontId="0" fillId="2" borderId="0" xfId="1" applyFont="1" applyFill="1" applyAlignment="1">
      <alignment vertical="top"/>
    </xf>
    <xf numFmtId="0" fontId="0" fillId="0" borderId="0" xfId="0" applyAlignment="1">
      <alignment vertical="top"/>
    </xf>
    <xf numFmtId="0" fontId="0" fillId="45" borderId="93" xfId="0" applyFill="1" applyBorder="1" applyAlignment="1">
      <alignment vertical="top" wrapText="1"/>
    </xf>
    <xf numFmtId="44" fontId="0" fillId="0" borderId="0" xfId="2" applyFont="1" applyAlignment="1">
      <alignment vertical="top"/>
    </xf>
    <xf numFmtId="43" fontId="0" fillId="0" borderId="0" xfId="1" applyFont="1" applyAlignment="1">
      <alignment vertical="top"/>
    </xf>
    <xf numFmtId="0" fontId="0" fillId="45" borderId="93" xfId="0" applyFill="1" applyBorder="1" applyAlignment="1">
      <alignment vertical="top"/>
    </xf>
    <xf numFmtId="0" fontId="0" fillId="0" borderId="0" xfId="0" applyAlignment="1">
      <alignment vertical="top" wrapText="1"/>
    </xf>
    <xf numFmtId="0" fontId="0" fillId="0" borderId="0" xfId="0"/>
    <xf numFmtId="43" fontId="0" fillId="0" borderId="0" xfId="0" applyNumberFormat="1" applyAlignment="1">
      <alignment vertical="top"/>
    </xf>
    <xf numFmtId="44" fontId="0" fillId="0" borderId="0" xfId="0" applyNumberFormat="1" applyAlignment="1">
      <alignment vertical="top"/>
    </xf>
    <xf numFmtId="0" fontId="2" fillId="0" borderId="0" xfId="0" applyNumberFormat="1" applyFont="1" applyAlignment="1">
      <alignment horizontal="center" vertical="top"/>
    </xf>
    <xf numFmtId="0" fontId="2" fillId="45" borderId="93" xfId="0" applyNumberFormat="1" applyFont="1" applyFill="1" applyBorder="1" applyAlignment="1">
      <alignment horizontal="center" vertical="top"/>
    </xf>
    <xf numFmtId="0" fontId="2" fillId="45" borderId="93" xfId="0" applyNumberFormat="1" applyFont="1" applyFill="1" applyBorder="1" applyAlignment="1">
      <alignment horizontal="center" vertical="top" wrapText="1"/>
    </xf>
    <xf numFmtId="0" fontId="2" fillId="53" borderId="93" xfId="1" applyNumberFormat="1" applyFont="1" applyFill="1" applyBorder="1" applyAlignment="1">
      <alignment horizontal="center" vertical="top"/>
    </xf>
    <xf numFmtId="0" fontId="2" fillId="50" borderId="93" xfId="1" applyNumberFormat="1" applyFont="1" applyFill="1" applyBorder="1" applyAlignment="1">
      <alignment horizontal="center" vertical="top"/>
    </xf>
    <xf numFmtId="0" fontId="2" fillId="45" borderId="93" xfId="1" applyNumberFormat="1" applyFont="1" applyFill="1" applyBorder="1" applyAlignment="1">
      <alignment horizontal="center" vertical="top"/>
    </xf>
    <xf numFmtId="43" fontId="0" fillId="45" borderId="93" xfId="0" applyNumberFormat="1" applyFill="1" applyBorder="1" applyAlignment="1">
      <alignment vertical="top"/>
    </xf>
    <xf numFmtId="44" fontId="0" fillId="45" borderId="93" xfId="0" applyNumberFormat="1" applyFill="1" applyBorder="1" applyAlignment="1">
      <alignment vertical="top"/>
    </xf>
    <xf numFmtId="164" fontId="0" fillId="0" borderId="54" xfId="1" applyNumberFormat="1" applyFont="1" applyBorder="1" applyAlignment="1">
      <alignment horizontal="left" vertical="center"/>
    </xf>
    <xf numFmtId="0" fontId="2" fillId="0" borderId="55" xfId="0" applyFont="1" applyBorder="1" applyAlignment="1">
      <alignment horizontal="left" vertical="center"/>
    </xf>
    <xf numFmtId="0" fontId="61" fillId="47" borderId="0" xfId="0" applyFont="1" applyFill="1" applyBorder="1" applyAlignment="1">
      <alignment horizontal="left" vertical="center"/>
    </xf>
    <xf numFmtId="0" fontId="0" fillId="0" borderId="0" xfId="0" applyNumberFormat="1" applyFont="1" applyAlignment="1">
      <alignment horizontal="left" vertical="center"/>
    </xf>
    <xf numFmtId="164" fontId="0" fillId="0" borderId="100" xfId="1" applyNumberFormat="1" applyFont="1" applyBorder="1" applyAlignment="1">
      <alignment horizontal="left" vertical="center"/>
    </xf>
    <xf numFmtId="164" fontId="0" fillId="0" borderId="54" xfId="1" applyNumberFormat="1" applyFont="1" applyBorder="1" applyAlignment="1">
      <alignment horizontal="left" vertical="center" wrapText="1"/>
    </xf>
    <xf numFmtId="164" fontId="0" fillId="0" borderId="0" xfId="1" applyNumberFormat="1" applyFont="1" applyFill="1" applyAlignment="1">
      <alignment horizontal="left" vertical="center"/>
    </xf>
    <xf numFmtId="0" fontId="2" fillId="45" borderId="56" xfId="0" applyFont="1" applyFill="1" applyBorder="1" applyAlignment="1">
      <alignment wrapText="1"/>
    </xf>
    <xf numFmtId="0" fontId="2" fillId="45" borderId="56" xfId="0" applyFont="1" applyFill="1" applyBorder="1"/>
    <xf numFmtId="0" fontId="2" fillId="50" borderId="56" xfId="0" applyFont="1" applyFill="1" applyBorder="1"/>
    <xf numFmtId="182" fontId="66" fillId="2" borderId="43" xfId="1" applyNumberFormat="1" applyFont="1" applyFill="1" applyBorder="1"/>
    <xf numFmtId="182" fontId="66" fillId="2" borderId="44" xfId="1" applyNumberFormat="1" applyFont="1" applyFill="1" applyBorder="1"/>
    <xf numFmtId="182" fontId="66" fillId="2" borderId="53" xfId="1" applyNumberFormat="1" applyFont="1" applyFill="1" applyBorder="1"/>
    <xf numFmtId="182" fontId="66" fillId="2" borderId="45" xfId="1" applyNumberFormat="1" applyFont="1" applyFill="1" applyBorder="1"/>
    <xf numFmtId="182" fontId="66" fillId="2" borderId="0" xfId="1" applyNumberFormat="1" applyFont="1" applyFill="1" applyBorder="1"/>
    <xf numFmtId="182" fontId="66" fillId="2" borderId="46" xfId="1" applyNumberFormat="1" applyFont="1" applyFill="1" applyBorder="1"/>
    <xf numFmtId="182" fontId="66" fillId="2" borderId="48" xfId="1" applyNumberFormat="1" applyFont="1" applyFill="1" applyBorder="1"/>
    <xf numFmtId="182" fontId="66" fillId="2" borderId="78" xfId="1" applyNumberFormat="1" applyFont="1" applyFill="1" applyBorder="1"/>
    <xf numFmtId="182" fontId="66" fillId="2" borderId="79" xfId="1" applyNumberFormat="1" applyFont="1" applyFill="1" applyBorder="1"/>
    <xf numFmtId="0" fontId="88" fillId="0" borderId="55" xfId="0" applyFont="1" applyBorder="1" applyAlignment="1">
      <alignment horizontal="left" vertical="center"/>
    </xf>
    <xf numFmtId="0" fontId="89" fillId="0" borderId="0" xfId="0" applyNumberFormat="1" applyFont="1" applyAlignment="1">
      <alignment horizontal="left" vertical="center"/>
    </xf>
    <xf numFmtId="0" fontId="90" fillId="0" borderId="0" xfId="0" applyNumberFormat="1" applyFont="1" applyAlignment="1">
      <alignment horizontal="left" vertical="center"/>
    </xf>
    <xf numFmtId="0" fontId="91" fillId="0" borderId="0" xfId="0" applyFont="1" applyAlignment="1">
      <alignment horizontal="left"/>
    </xf>
    <xf numFmtId="0" fontId="2" fillId="0" borderId="0" xfId="0" applyNumberFormat="1" applyFont="1" applyAlignment="1">
      <alignment horizontal="center" vertical="top" wrapText="1"/>
    </xf>
    <xf numFmtId="44" fontId="0" fillId="2" borderId="0" xfId="2" applyFont="1" applyFill="1" applyAlignment="1">
      <alignment vertical="top"/>
    </xf>
    <xf numFmtId="0" fontId="92" fillId="0" borderId="0" xfId="0" applyFont="1" applyAlignment="1">
      <alignment horizontal="left" vertical="center"/>
    </xf>
    <xf numFmtId="0" fontId="93" fillId="0" borderId="0" xfId="0" applyFont="1" applyAlignment="1">
      <alignment horizontal="left" vertical="center"/>
    </xf>
    <xf numFmtId="183" fontId="93" fillId="0" borderId="0" xfId="2" applyNumberFormat="1" applyFont="1" applyAlignment="1">
      <alignment horizontal="left" vertical="center"/>
    </xf>
    <xf numFmtId="0" fontId="94" fillId="0" borderId="0" xfId="0" applyFont="1" applyAlignment="1">
      <alignment horizontal="left" vertical="center"/>
    </xf>
    <xf numFmtId="183" fontId="94" fillId="0" borderId="0" xfId="2" applyNumberFormat="1" applyFont="1" applyAlignment="1">
      <alignment horizontal="left" vertical="center"/>
    </xf>
    <xf numFmtId="182" fontId="66" fillId="2" borderId="0" xfId="1" applyNumberFormat="1" applyFont="1" applyFill="1"/>
    <xf numFmtId="182" fontId="67" fillId="2" borderId="0" xfId="1" applyNumberFormat="1" applyFont="1" applyFill="1"/>
    <xf numFmtId="0" fontId="95" fillId="0" borderId="55" xfId="0" applyFont="1" applyBorder="1" applyAlignment="1">
      <alignment horizontal="left" vertical="center"/>
    </xf>
    <xf numFmtId="164" fontId="96" fillId="0" borderId="54" xfId="1" applyNumberFormat="1" applyFont="1" applyBorder="1" applyAlignment="1">
      <alignment horizontal="left" vertical="center"/>
    </xf>
    <xf numFmtId="0" fontId="0" fillId="45" borderId="58" xfId="0" applyFill="1" applyBorder="1"/>
    <xf numFmtId="0" fontId="97" fillId="0" borderId="55" xfId="0" applyFont="1" applyBorder="1" applyAlignment="1">
      <alignment horizontal="left" vertical="center"/>
    </xf>
    <xf numFmtId="0" fontId="0" fillId="45" borderId="0" xfId="0" applyFill="1" applyAlignment="1"/>
    <xf numFmtId="183" fontId="2" fillId="45" borderId="0" xfId="2" applyNumberFormat="1" applyFont="1" applyFill="1"/>
    <xf numFmtId="183" fontId="2" fillId="92" borderId="0" xfId="2" applyNumberFormat="1" applyFont="1" applyFill="1"/>
    <xf numFmtId="0" fontId="2" fillId="92" borderId="0" xfId="0" applyFont="1" applyFill="1"/>
    <xf numFmtId="0" fontId="2" fillId="91" borderId="0" xfId="0" applyFont="1" applyFill="1"/>
    <xf numFmtId="183" fontId="2" fillId="93" borderId="0" xfId="2" applyNumberFormat="1" applyFont="1" applyFill="1"/>
    <xf numFmtId="0" fontId="2" fillId="93" borderId="0" xfId="0" applyFont="1" applyFill="1"/>
    <xf numFmtId="183" fontId="2" fillId="94" borderId="0" xfId="2" applyNumberFormat="1" applyFont="1" applyFill="1"/>
    <xf numFmtId="0" fontId="2" fillId="94" borderId="0" xfId="0" applyFont="1" applyFill="1"/>
    <xf numFmtId="183" fontId="2" fillId="95" borderId="0" xfId="2" applyNumberFormat="1" applyFont="1" applyFill="1"/>
    <xf numFmtId="0" fontId="2" fillId="95" borderId="0" xfId="0" applyFont="1" applyFill="1"/>
    <xf numFmtId="183" fontId="2" fillId="96" borderId="0" xfId="2" applyNumberFormat="1" applyFont="1" applyFill="1"/>
    <xf numFmtId="0" fontId="2" fillId="96" borderId="0" xfId="0" applyFont="1" applyFill="1"/>
    <xf numFmtId="183" fontId="0" fillId="96" borderId="0" xfId="2" applyNumberFormat="1" applyFont="1" applyFill="1"/>
    <xf numFmtId="0" fontId="0" fillId="96" borderId="0" xfId="0" applyFill="1"/>
    <xf numFmtId="183" fontId="0" fillId="92" borderId="0" xfId="2" applyNumberFormat="1" applyFont="1" applyFill="1"/>
    <xf numFmtId="183" fontId="0" fillId="95" borderId="0" xfId="2" applyNumberFormat="1" applyFont="1" applyFill="1"/>
    <xf numFmtId="183" fontId="0" fillId="91" borderId="0" xfId="2" applyNumberFormat="1" applyFont="1" applyFill="1"/>
    <xf numFmtId="183" fontId="2" fillId="91" borderId="0" xfId="2" applyNumberFormat="1" applyFont="1" applyFill="1"/>
    <xf numFmtId="0" fontId="0" fillId="92" borderId="0" xfId="0" applyFill="1"/>
    <xf numFmtId="183" fontId="0" fillId="94" borderId="0" xfId="2" applyNumberFormat="1" applyFont="1" applyFill="1"/>
    <xf numFmtId="0" fontId="0" fillId="95" borderId="0" xfId="0" applyFill="1"/>
    <xf numFmtId="0" fontId="0" fillId="94" borderId="0" xfId="0" applyFill="1"/>
    <xf numFmtId="0" fontId="0" fillId="93" borderId="0" xfId="0" applyFill="1"/>
    <xf numFmtId="183" fontId="0" fillId="93" borderId="0" xfId="2" applyNumberFormat="1" applyFont="1" applyFill="1"/>
    <xf numFmtId="0" fontId="0" fillId="91" borderId="0" xfId="0" applyFill="1"/>
    <xf numFmtId="183" fontId="0" fillId="0" borderId="0" xfId="2" applyNumberFormat="1" applyFont="1"/>
    <xf numFmtId="183" fontId="2" fillId="0" borderId="0" xfId="2" applyNumberFormat="1" applyFont="1"/>
    <xf numFmtId="0" fontId="0" fillId="0" borderId="0" xfId="0"/>
    <xf numFmtId="0" fontId="2" fillId="45" borderId="109" xfId="0" applyNumberFormat="1" applyFont="1" applyFill="1" applyBorder="1" applyAlignment="1">
      <alignment horizontal="center" vertical="top" wrapText="1"/>
    </xf>
    <xf numFmtId="44" fontId="0" fillId="45" borderId="0" xfId="0" applyNumberFormat="1" applyFill="1" applyBorder="1" applyAlignment="1">
      <alignment vertical="top"/>
    </xf>
    <xf numFmtId="0" fontId="2" fillId="0" borderId="0" xfId="0" applyFont="1" applyAlignment="1">
      <alignment vertical="top"/>
    </xf>
    <xf numFmtId="44" fontId="2" fillId="45" borderId="93" xfId="0" applyNumberFormat="1" applyFont="1" applyFill="1" applyBorder="1" applyAlignment="1">
      <alignment vertical="top"/>
    </xf>
    <xf numFmtId="164" fontId="0" fillId="0" borderId="0" xfId="1" applyNumberFormat="1" applyFont="1" applyAlignment="1">
      <alignment horizontal="left"/>
    </xf>
    <xf numFmtId="0" fontId="2" fillId="0" borderId="0" xfId="0" applyFont="1" applyBorder="1" applyAlignment="1">
      <alignment horizontal="left" vertical="center"/>
    </xf>
    <xf numFmtId="0" fontId="0" fillId="0" borderId="100" xfId="0" applyNumberFormat="1" applyFont="1" applyBorder="1" applyAlignment="1">
      <alignment horizontal="left" vertical="center"/>
    </xf>
    <xf numFmtId="183" fontId="0" fillId="0" borderId="0" xfId="2" applyNumberFormat="1" applyFont="1" applyAlignment="1">
      <alignment horizontal="left" vertical="center" wrapText="1"/>
    </xf>
    <xf numFmtId="0" fontId="0" fillId="0" borderId="0" xfId="0" applyFont="1" applyAlignment="1">
      <alignment vertical="center" wrapText="1"/>
    </xf>
    <xf numFmtId="164" fontId="0" fillId="0" borderId="0" xfId="1" applyNumberFormat="1" applyFont="1" applyAlignment="1">
      <alignment wrapText="1"/>
    </xf>
    <xf numFmtId="0" fontId="2" fillId="0" borderId="0" xfId="0" applyFont="1" applyAlignment="1"/>
    <xf numFmtId="0" fontId="0" fillId="0" borderId="0" xfId="0" applyFont="1" applyAlignment="1">
      <alignment horizontal="left" vertical="center" wrapText="1"/>
    </xf>
    <xf numFmtId="0" fontId="86" fillId="0" borderId="0" xfId="0" applyFont="1" applyAlignment="1">
      <alignment horizontal="left" vertical="center" wrapText="1"/>
    </xf>
    <xf numFmtId="0" fontId="61" fillId="47" borderId="55" xfId="0" applyFont="1" applyFill="1" applyBorder="1" applyAlignment="1">
      <alignment horizontal="left" vertical="center" wrapText="1"/>
    </xf>
    <xf numFmtId="164" fontId="0" fillId="0" borderId="0" xfId="1" applyNumberFormat="1" applyFont="1" applyAlignment="1">
      <alignment horizontal="left" vertical="center" wrapText="1"/>
    </xf>
    <xf numFmtId="164" fontId="0" fillId="0" borderId="0" xfId="1" applyNumberFormat="1" applyFont="1" applyFill="1" applyAlignment="1">
      <alignment horizontal="left" vertical="center" wrapText="1"/>
    </xf>
    <xf numFmtId="164" fontId="0" fillId="2" borderId="0" xfId="1" applyNumberFormat="1" applyFont="1" applyFill="1" applyAlignment="1">
      <alignment horizontal="left" vertical="center" wrapText="1"/>
    </xf>
    <xf numFmtId="0" fontId="92" fillId="0" borderId="0" xfId="0" applyFont="1" applyAlignment="1">
      <alignment horizontal="left" vertical="center" wrapText="1"/>
    </xf>
    <xf numFmtId="182" fontId="0" fillId="0" borderId="0" xfId="1" applyNumberFormat="1" applyFont="1" applyAlignment="1">
      <alignment horizontal="left" vertical="center" wrapText="1"/>
    </xf>
    <xf numFmtId="182" fontId="92" fillId="0" borderId="0" xfId="1" applyNumberFormat="1" applyFont="1" applyAlignment="1">
      <alignment horizontal="left" vertical="center" wrapText="1"/>
    </xf>
    <xf numFmtId="164" fontId="2" fillId="0" borderId="0" xfId="1" applyNumberFormat="1" applyFont="1" applyAlignment="1">
      <alignment horizontal="left" vertical="center" wrapText="1"/>
    </xf>
    <xf numFmtId="0" fontId="61" fillId="47" borderId="0" xfId="0" applyFont="1" applyFill="1" applyBorder="1" applyAlignment="1">
      <alignment horizontal="left" vertical="center" wrapText="1"/>
    </xf>
    <xf numFmtId="164" fontId="0" fillId="0" borderId="100" xfId="1" applyNumberFormat="1" applyFont="1" applyBorder="1" applyAlignment="1">
      <alignment horizontal="left" vertical="center" wrapText="1"/>
    </xf>
    <xf numFmtId="164" fontId="0" fillId="2" borderId="54" xfId="1" applyNumberFormat="1" applyFont="1" applyFill="1" applyBorder="1" applyAlignment="1">
      <alignment horizontal="left" vertical="center" wrapText="1"/>
    </xf>
    <xf numFmtId="9" fontId="0" fillId="0" borderId="54" xfId="40763" applyFont="1" applyBorder="1" applyAlignment="1">
      <alignment horizontal="right" vertical="center" wrapText="1"/>
    </xf>
    <xf numFmtId="9" fontId="0" fillId="0" borderId="100" xfId="40763" applyFont="1" applyBorder="1" applyAlignment="1">
      <alignment horizontal="right" vertical="center" wrapText="1"/>
    </xf>
    <xf numFmtId="164" fontId="89" fillId="0" borderId="54" xfId="1" applyNumberFormat="1" applyFont="1" applyBorder="1" applyAlignment="1">
      <alignment horizontal="left" vertical="center" wrapText="1"/>
    </xf>
    <xf numFmtId="182" fontId="96" fillId="0" borderId="54" xfId="1" applyNumberFormat="1" applyFont="1" applyBorder="1" applyAlignment="1">
      <alignment horizontal="left" vertical="center" wrapText="1"/>
    </xf>
    <xf numFmtId="182" fontId="0" fillId="0" borderId="54" xfId="1" applyNumberFormat="1" applyFont="1" applyBorder="1" applyAlignment="1">
      <alignment horizontal="left" vertical="center" wrapText="1"/>
    </xf>
    <xf numFmtId="182" fontId="0" fillId="0" borderId="100" xfId="1" applyNumberFormat="1" applyFont="1" applyBorder="1" applyAlignment="1">
      <alignment horizontal="left" vertical="center" wrapText="1"/>
    </xf>
    <xf numFmtId="164" fontId="98" fillId="0" borderId="54" xfId="1" applyNumberFormat="1" applyFont="1" applyBorder="1" applyAlignment="1">
      <alignment horizontal="left" vertical="center" wrapText="1"/>
    </xf>
    <xf numFmtId="164" fontId="98" fillId="0" borderId="100" xfId="1" applyNumberFormat="1" applyFont="1" applyBorder="1" applyAlignment="1">
      <alignment horizontal="left" vertical="center" wrapText="1"/>
    </xf>
    <xf numFmtId="164" fontId="0" fillId="0" borderId="100" xfId="0" applyNumberFormat="1" applyFont="1" applyBorder="1" applyAlignment="1">
      <alignment horizontal="left" vertical="center" wrapText="1"/>
    </xf>
    <xf numFmtId="9" fontId="0" fillId="0" borderId="54" xfId="40763" applyFont="1" applyBorder="1" applyAlignment="1">
      <alignment horizontal="center" vertical="center" wrapText="1"/>
    </xf>
    <xf numFmtId="9" fontId="0" fillId="0" borderId="100" xfId="40763" applyFont="1" applyBorder="1" applyAlignment="1">
      <alignment horizontal="center" vertical="center" wrapText="1"/>
    </xf>
    <xf numFmtId="9" fontId="0" fillId="0" borderId="100" xfId="0" applyNumberFormat="1" applyFont="1" applyBorder="1" applyAlignment="1">
      <alignment horizontal="center" vertical="center" wrapText="1"/>
    </xf>
    <xf numFmtId="0" fontId="93" fillId="0" borderId="0" xfId="0" applyFont="1" applyAlignment="1">
      <alignment horizontal="left" vertical="center" wrapText="1"/>
    </xf>
    <xf numFmtId="183" fontId="93" fillId="0" borderId="0" xfId="2" applyNumberFormat="1" applyFont="1" applyAlignment="1">
      <alignment horizontal="left" vertical="center" wrapText="1"/>
    </xf>
    <xf numFmtId="183" fontId="0" fillId="0" borderId="0" xfId="0" applyNumberFormat="1" applyFont="1" applyAlignment="1">
      <alignment horizontal="left" vertical="center" wrapText="1"/>
    </xf>
    <xf numFmtId="164" fontId="93" fillId="0" borderId="0" xfId="1" applyNumberFormat="1" applyFont="1" applyAlignment="1">
      <alignment horizontal="left" vertical="center" wrapText="1"/>
    </xf>
    <xf numFmtId="164" fontId="0" fillId="0" borderId="0" xfId="0" applyNumberFormat="1" applyFont="1" applyAlignment="1">
      <alignment horizontal="left" vertical="center" wrapText="1"/>
    </xf>
    <xf numFmtId="0" fontId="94" fillId="0" borderId="0" xfId="0" applyFont="1" applyAlignment="1">
      <alignment horizontal="left" vertical="center" wrapText="1"/>
    </xf>
    <xf numFmtId="183" fontId="94" fillId="0" borderId="0" xfId="2" applyNumberFormat="1" applyFont="1" applyAlignment="1">
      <alignment horizontal="left" vertical="center" wrapText="1"/>
    </xf>
    <xf numFmtId="183" fontId="87" fillId="0" borderId="0" xfId="2" applyNumberFormat="1" applyFont="1" applyAlignment="1">
      <alignment horizontal="left" vertical="center" wrapText="1"/>
    </xf>
    <xf numFmtId="183" fontId="87" fillId="0" borderId="0" xfId="0" applyNumberFormat="1" applyFont="1" applyAlignment="1">
      <alignment horizontal="left" vertical="center" wrapText="1"/>
    </xf>
    <xf numFmtId="41" fontId="0" fillId="0" borderId="0" xfId="2" applyNumberFormat="1" applyFont="1" applyAlignment="1">
      <alignment horizontal="left" vertical="center" wrapText="1"/>
    </xf>
    <xf numFmtId="41" fontId="87" fillId="0" borderId="0" xfId="2" applyNumberFormat="1" applyFont="1" applyAlignment="1">
      <alignment horizontal="left" vertical="center" wrapText="1"/>
    </xf>
    <xf numFmtId="41" fontId="0" fillId="0" borderId="0" xfId="0" applyNumberFormat="1" applyFont="1" applyAlignment="1">
      <alignment horizontal="left" vertical="center" wrapText="1"/>
    </xf>
    <xf numFmtId="41" fontId="87" fillId="0" borderId="0" xfId="0" applyNumberFormat="1" applyFont="1" applyAlignment="1">
      <alignment horizontal="left" vertical="center" wrapText="1"/>
    </xf>
    <xf numFmtId="41" fontId="0" fillId="0" borderId="0" xfId="1" applyNumberFormat="1" applyFont="1" applyAlignment="1">
      <alignment horizontal="left" vertical="center" wrapText="1"/>
    </xf>
    <xf numFmtId="186" fontId="0" fillId="0" borderId="0" xfId="2" applyNumberFormat="1" applyFont="1" applyAlignment="1">
      <alignment horizontal="left" vertical="center" wrapText="1"/>
    </xf>
    <xf numFmtId="186" fontId="87" fillId="0" borderId="0" xfId="2" applyNumberFormat="1" applyFont="1" applyAlignment="1">
      <alignment horizontal="left" vertical="center" wrapText="1"/>
    </xf>
    <xf numFmtId="186" fontId="0" fillId="0" borderId="0" xfId="1" applyNumberFormat="1" applyFont="1" applyAlignment="1">
      <alignment horizontal="left" vertical="center" wrapText="1"/>
    </xf>
    <xf numFmtId="0" fontId="0" fillId="0" borderId="0" xfId="0" applyFont="1" applyAlignment="1">
      <alignment horizontal="center" vertical="center"/>
    </xf>
    <xf numFmtId="0" fontId="0" fillId="0" borderId="0" xfId="0" applyAlignment="1">
      <alignment horizontal="center"/>
    </xf>
    <xf numFmtId="0" fontId="0" fillId="0" borderId="0" xfId="0" applyNumberFormat="1" applyFont="1" applyAlignment="1">
      <alignment horizontal="center" vertical="center" wrapText="1"/>
    </xf>
    <xf numFmtId="2" fontId="87" fillId="0" borderId="0" xfId="2" applyNumberFormat="1" applyFont="1" applyAlignment="1">
      <alignment horizontal="center" vertical="center"/>
    </xf>
    <xf numFmtId="0" fontId="99" fillId="0" borderId="0" xfId="0" applyFont="1" applyAlignment="1">
      <alignment horizontal="left" vertical="center"/>
    </xf>
    <xf numFmtId="164" fontId="99" fillId="0" borderId="0" xfId="1" applyNumberFormat="1" applyFont="1" applyAlignment="1">
      <alignment horizontal="left" vertical="center" wrapText="1"/>
    </xf>
    <xf numFmtId="164" fontId="99" fillId="0" borderId="0" xfId="1" applyNumberFormat="1" applyFont="1" applyFill="1" applyAlignment="1">
      <alignment horizontal="left" vertical="center" wrapText="1"/>
    </xf>
    <xf numFmtId="164" fontId="99" fillId="0" borderId="0" xfId="1" applyNumberFormat="1" applyFont="1" applyFill="1" applyAlignment="1">
      <alignment horizontal="left" vertical="center"/>
    </xf>
    <xf numFmtId="164" fontId="99" fillId="0" borderId="0" xfId="1" applyNumberFormat="1" applyFont="1" applyAlignment="1">
      <alignment horizontal="left" vertical="center"/>
    </xf>
    <xf numFmtId="164" fontId="100" fillId="0" borderId="0" xfId="1" applyNumberFormat="1" applyFont="1" applyAlignment="1">
      <alignment horizontal="left" vertical="center"/>
    </xf>
    <xf numFmtId="0" fontId="100" fillId="0" borderId="55" xfId="0" applyFont="1" applyBorder="1" applyAlignment="1">
      <alignment horizontal="left" vertical="center"/>
    </xf>
    <xf numFmtId="183" fontId="99" fillId="0" borderId="0" xfId="2" applyNumberFormat="1" applyFont="1" applyAlignment="1">
      <alignment horizontal="left" vertical="center"/>
    </xf>
    <xf numFmtId="183" fontId="99" fillId="0" borderId="0" xfId="2" applyNumberFormat="1" applyFont="1" applyAlignment="1">
      <alignment horizontal="left" vertical="center" wrapText="1"/>
    </xf>
    <xf numFmtId="182" fontId="0" fillId="0" borderId="0" xfId="1" applyNumberFormat="1" applyFont="1" applyBorder="1" applyAlignment="1">
      <alignment horizontal="left" vertical="center" wrapText="1"/>
    </xf>
    <xf numFmtId="164" fontId="0" fillId="0" borderId="55" xfId="1" applyNumberFormat="1" applyFont="1" applyBorder="1" applyAlignment="1">
      <alignment horizontal="left" vertical="center" wrapText="1"/>
    </xf>
    <xf numFmtId="164" fontId="0" fillId="0" borderId="0" xfId="1" applyNumberFormat="1" applyFont="1" applyBorder="1" applyAlignment="1">
      <alignment horizontal="left" vertical="center" wrapText="1"/>
    </xf>
    <xf numFmtId="164" fontId="0" fillId="0" borderId="55" xfId="1" applyNumberFormat="1" applyFont="1" applyBorder="1" applyAlignment="1">
      <alignment horizontal="left" vertical="center"/>
    </xf>
    <xf numFmtId="0" fontId="2" fillId="0" borderId="115" xfId="0" applyNumberFormat="1" applyFont="1" applyBorder="1" applyAlignment="1">
      <alignment horizontal="left" vertical="center"/>
    </xf>
    <xf numFmtId="164" fontId="0" fillId="0" borderId="116" xfId="40763" applyNumberFormat="1" applyFont="1" applyBorder="1" applyAlignment="1">
      <alignment horizontal="center" vertical="center" wrapText="1"/>
    </xf>
    <xf numFmtId="164" fontId="0" fillId="0" borderId="115" xfId="40763" applyNumberFormat="1" applyFont="1" applyBorder="1" applyAlignment="1">
      <alignment horizontal="center" vertical="center" wrapText="1"/>
    </xf>
    <xf numFmtId="9" fontId="0" fillId="0" borderId="55" xfId="40763" applyNumberFormat="1" applyFont="1" applyBorder="1" applyAlignment="1">
      <alignment horizontal="center" vertical="center" wrapText="1"/>
    </xf>
    <xf numFmtId="164" fontId="0" fillId="0" borderId="55" xfId="40763" applyNumberFormat="1" applyFont="1" applyBorder="1" applyAlignment="1">
      <alignment horizontal="center" vertical="center" wrapText="1"/>
    </xf>
    <xf numFmtId="164" fontId="94" fillId="0" borderId="0" xfId="1" applyNumberFormat="1" applyFont="1" applyAlignment="1">
      <alignment horizontal="left" vertical="center" wrapText="1"/>
    </xf>
    <xf numFmtId="0" fontId="101" fillId="0" borderId="0" xfId="0" applyFont="1" applyAlignment="1">
      <alignment horizontal="left" vertical="center"/>
    </xf>
    <xf numFmtId="164" fontId="101" fillId="0" borderId="0" xfId="1" applyNumberFormat="1" applyFont="1" applyAlignment="1">
      <alignment horizontal="left" vertical="center" wrapText="1"/>
    </xf>
    <xf numFmtId="164" fontId="101" fillId="0" borderId="0" xfId="1" applyNumberFormat="1" applyFont="1" applyFill="1" applyAlignment="1">
      <alignment horizontal="left" vertical="center" wrapText="1"/>
    </xf>
    <xf numFmtId="164" fontId="101" fillId="0" borderId="0" xfId="1" applyNumberFormat="1" applyFont="1" applyAlignment="1">
      <alignment horizontal="left" vertical="center"/>
    </xf>
    <xf numFmtId="164" fontId="102" fillId="0" borderId="0" xfId="1" applyNumberFormat="1" applyFont="1" applyAlignment="1">
      <alignment horizontal="left" vertical="center"/>
    </xf>
    <xf numFmtId="164" fontId="0" fillId="0" borderId="0" xfId="1" applyNumberFormat="1" applyFont="1" applyBorder="1" applyAlignment="1">
      <alignment horizontal="left" vertical="center"/>
    </xf>
    <xf numFmtId="0" fontId="103" fillId="0" borderId="0" xfId="0" applyFont="1" applyAlignment="1">
      <alignment horizontal="left" vertical="center"/>
    </xf>
    <xf numFmtId="164" fontId="103" fillId="0" borderId="0" xfId="1" applyNumberFormat="1" applyFont="1" applyAlignment="1">
      <alignment horizontal="left" vertical="center" wrapText="1"/>
    </xf>
    <xf numFmtId="164" fontId="103" fillId="0" borderId="0" xfId="1" applyNumberFormat="1" applyFont="1" applyFill="1" applyAlignment="1">
      <alignment horizontal="left" vertical="center" wrapText="1"/>
    </xf>
    <xf numFmtId="164" fontId="103" fillId="0" borderId="0" xfId="1" applyNumberFormat="1" applyFont="1" applyAlignment="1">
      <alignment horizontal="left" vertical="center"/>
    </xf>
    <xf numFmtId="164" fontId="104" fillId="0" borderId="0" xfId="1" applyNumberFormat="1" applyFont="1" applyAlignment="1">
      <alignment horizontal="left" vertical="center"/>
    </xf>
    <xf numFmtId="0" fontId="104" fillId="0" borderId="55" xfId="0" applyFont="1" applyBorder="1" applyAlignment="1">
      <alignment horizontal="left" vertical="center"/>
    </xf>
    <xf numFmtId="164" fontId="103" fillId="0" borderId="54" xfId="1" applyNumberFormat="1" applyFont="1" applyBorder="1" applyAlignment="1">
      <alignment horizontal="left" vertical="center" wrapText="1"/>
    </xf>
    <xf numFmtId="164" fontId="103" fillId="0" borderId="55" xfId="1" applyNumberFormat="1" applyFont="1" applyBorder="1" applyAlignment="1">
      <alignment horizontal="left" vertical="center" wrapText="1"/>
    </xf>
    <xf numFmtId="164" fontId="103" fillId="0" borderId="55" xfId="1" applyNumberFormat="1" applyFont="1" applyBorder="1" applyAlignment="1">
      <alignment horizontal="left" vertical="center"/>
    </xf>
    <xf numFmtId="164" fontId="103" fillId="2" borderId="54" xfId="1" applyNumberFormat="1" applyFont="1" applyFill="1" applyBorder="1" applyAlignment="1">
      <alignment horizontal="left" vertical="center" wrapText="1"/>
    </xf>
    <xf numFmtId="0" fontId="2" fillId="0" borderId="0" xfId="0" applyFont="1" applyAlignment="1">
      <alignment vertical="top" wrapText="1"/>
    </xf>
    <xf numFmtId="164" fontId="103" fillId="0" borderId="54" xfId="1" applyNumberFormat="1" applyFont="1" applyFill="1" applyBorder="1" applyAlignment="1">
      <alignment horizontal="left" vertical="center" wrapText="1"/>
    </xf>
    <xf numFmtId="164" fontId="0" fillId="0" borderId="54" xfId="1" applyNumberFormat="1" applyFont="1" applyBorder="1" applyAlignment="1">
      <alignment horizontal="right" vertical="center" wrapText="1"/>
    </xf>
    <xf numFmtId="164" fontId="0" fillId="2" borderId="54" xfId="1" applyNumberFormat="1" applyFont="1" applyFill="1" applyBorder="1" applyAlignment="1">
      <alignment horizontal="right" vertical="center" wrapText="1"/>
    </xf>
    <xf numFmtId="164" fontId="0" fillId="0" borderId="54" xfId="1" applyNumberFormat="1" applyFont="1" applyFill="1" applyBorder="1" applyAlignment="1">
      <alignment horizontal="left" vertical="center" wrapText="1"/>
    </xf>
    <xf numFmtId="164" fontId="103" fillId="2" borderId="55" xfId="1" applyNumberFormat="1" applyFont="1" applyFill="1" applyBorder="1" applyAlignment="1">
      <alignment horizontal="left" vertical="center" wrapText="1"/>
    </xf>
    <xf numFmtId="164" fontId="105" fillId="2" borderId="0" xfId="1" applyNumberFormat="1" applyFont="1" applyFill="1" applyAlignment="1">
      <alignment horizontal="left" vertical="center"/>
    </xf>
    <xf numFmtId="0" fontId="105" fillId="0" borderId="0" xfId="0" applyFont="1" applyAlignment="1">
      <alignment horizontal="left" vertical="center"/>
    </xf>
    <xf numFmtId="164" fontId="105" fillId="0" borderId="0" xfId="1" applyNumberFormat="1" applyFont="1" applyAlignment="1">
      <alignment horizontal="left" vertical="center"/>
    </xf>
    <xf numFmtId="0" fontId="105" fillId="0" borderId="0" xfId="0" applyFont="1"/>
    <xf numFmtId="164" fontId="105" fillId="97" borderId="0" xfId="1" applyNumberFormat="1" applyFont="1" applyFill="1" applyAlignment="1">
      <alignment horizontal="left" vertical="center"/>
    </xf>
    <xf numFmtId="164" fontId="105" fillId="0" borderId="0" xfId="1" applyNumberFormat="1" applyFont="1" applyAlignment="1">
      <alignment wrapText="1"/>
    </xf>
    <xf numFmtId="182" fontId="105" fillId="0" borderId="0" xfId="1" applyNumberFormat="1" applyFont="1" applyAlignment="1">
      <alignment horizontal="left" vertical="center"/>
    </xf>
    <xf numFmtId="0" fontId="105" fillId="2" borderId="0" xfId="0" applyFont="1" applyFill="1"/>
    <xf numFmtId="0" fontId="106" fillId="47" borderId="0" xfId="0" applyFont="1" applyFill="1" applyBorder="1" applyAlignment="1">
      <alignment horizontal="left" vertical="center"/>
    </xf>
    <xf numFmtId="164" fontId="105" fillId="0" borderId="100" xfId="1" applyNumberFormat="1" applyFont="1" applyBorder="1" applyAlignment="1">
      <alignment horizontal="left" vertical="center"/>
    </xf>
    <xf numFmtId="164" fontId="105" fillId="0" borderId="54" xfId="1" applyNumberFormat="1" applyFont="1" applyBorder="1" applyAlignment="1">
      <alignment horizontal="left" vertical="center"/>
    </xf>
    <xf numFmtId="164" fontId="105" fillId="0" borderId="54" xfId="1" quotePrefix="1" applyNumberFormat="1" applyFont="1" applyBorder="1" applyAlignment="1">
      <alignment horizontal="left" vertical="center"/>
    </xf>
    <xf numFmtId="164" fontId="105" fillId="0" borderId="0" xfId="1" applyNumberFormat="1" applyFont="1" applyBorder="1" applyAlignment="1">
      <alignment horizontal="left" vertical="center"/>
    </xf>
    <xf numFmtId="0" fontId="105" fillId="0" borderId="100" xfId="0" applyNumberFormat="1" applyFont="1" applyBorder="1" applyAlignment="1">
      <alignment horizontal="left" vertical="center"/>
    </xf>
    <xf numFmtId="164" fontId="0" fillId="0" borderId="100" xfId="1" quotePrefix="1" applyNumberFormat="1" applyFont="1" applyBorder="1" applyAlignment="1">
      <alignment horizontal="left" vertical="center"/>
    </xf>
    <xf numFmtId="0" fontId="103" fillId="0" borderId="0" xfId="0" applyNumberFormat="1" applyFont="1" applyAlignment="1">
      <alignment horizontal="left" vertical="center"/>
    </xf>
    <xf numFmtId="183" fontId="103" fillId="0" borderId="0" xfId="2" applyNumberFormat="1" applyFont="1" applyAlignment="1">
      <alignment horizontal="left" vertical="center" wrapText="1"/>
    </xf>
    <xf numFmtId="183" fontId="107" fillId="0" borderId="0" xfId="2" applyNumberFormat="1" applyFont="1" applyAlignment="1">
      <alignment horizontal="left" vertical="center" wrapText="1"/>
    </xf>
    <xf numFmtId="44" fontId="0" fillId="0" borderId="0" xfId="0" applyNumberFormat="1" applyFont="1" applyAlignment="1">
      <alignment vertical="center"/>
    </xf>
    <xf numFmtId="0" fontId="61" fillId="47" borderId="54" xfId="0" applyFont="1" applyFill="1" applyBorder="1"/>
    <xf numFmtId="0" fontId="61" fillId="47" borderId="55" xfId="0" applyFont="1" applyFill="1" applyBorder="1"/>
    <xf numFmtId="0" fontId="61" fillId="47" borderId="55" xfId="0" applyFont="1" applyFill="1" applyBorder="1" applyAlignment="1">
      <alignment wrapText="1"/>
    </xf>
    <xf numFmtId="0" fontId="61" fillId="47" borderId="115" xfId="0" applyFont="1" applyFill="1" applyBorder="1"/>
    <xf numFmtId="0" fontId="61" fillId="47" borderId="54" xfId="0" applyFont="1" applyFill="1" applyBorder="1" applyAlignment="1">
      <alignment wrapText="1"/>
    </xf>
    <xf numFmtId="0" fontId="2" fillId="0" borderId="117" xfId="0" applyFont="1" applyBorder="1"/>
    <xf numFmtId="164" fontId="0" fillId="0" borderId="117" xfId="1" applyNumberFormat="1" applyFont="1" applyBorder="1"/>
    <xf numFmtId="164" fontId="0" fillId="0" borderId="117" xfId="1" applyNumberFormat="1" applyFont="1" applyBorder="1" applyAlignment="1">
      <alignment wrapText="1"/>
    </xf>
    <xf numFmtId="164" fontId="0" fillId="0" borderId="118" xfId="1" applyNumberFormat="1" applyFont="1" applyBorder="1"/>
    <xf numFmtId="0" fontId="61" fillId="47" borderId="115" xfId="0" applyFont="1" applyFill="1" applyBorder="1" applyAlignment="1">
      <alignment wrapText="1"/>
    </xf>
    <xf numFmtId="183" fontId="0" fillId="0" borderId="117" xfId="2" applyNumberFormat="1" applyFont="1" applyBorder="1"/>
    <xf numFmtId="0" fontId="0" fillId="0" borderId="0" xfId="0" applyNumberFormat="1" applyAlignment="1">
      <alignment horizontal="center" wrapText="1"/>
    </xf>
    <xf numFmtId="5" fontId="0" fillId="0" borderId="117" xfId="1" applyNumberFormat="1" applyFont="1" applyBorder="1"/>
    <xf numFmtId="5" fontId="0" fillId="0" borderId="118" xfId="1" applyNumberFormat="1" applyFont="1" applyBorder="1"/>
    <xf numFmtId="187" fontId="87" fillId="0" borderId="0" xfId="2" applyNumberFormat="1" applyFont="1" applyAlignment="1">
      <alignment horizontal="center" vertical="center"/>
    </xf>
    <xf numFmtId="42" fontId="87" fillId="0" borderId="0" xfId="2" applyNumberFormat="1" applyFont="1" applyAlignment="1">
      <alignment horizontal="center" vertical="center"/>
    </xf>
    <xf numFmtId="187" fontId="0" fillId="0" borderId="0" xfId="0" applyNumberFormat="1"/>
    <xf numFmtId="188" fontId="87" fillId="0" borderId="0" xfId="2" applyNumberFormat="1" applyFont="1" applyAlignment="1">
      <alignment horizontal="center" vertical="center"/>
    </xf>
    <xf numFmtId="0" fontId="0" fillId="0" borderId="0" xfId="0" applyFont="1"/>
    <xf numFmtId="183" fontId="87" fillId="0" borderId="0" xfId="2" applyNumberFormat="1" applyFont="1" applyAlignment="1">
      <alignment horizontal="center" vertical="center" wrapText="1"/>
    </xf>
    <xf numFmtId="183" fontId="87" fillId="0" borderId="0" xfId="2" applyNumberFormat="1" applyFont="1" applyAlignment="1">
      <alignment horizontal="left" vertical="center"/>
    </xf>
    <xf numFmtId="183" fontId="0" fillId="0" borderId="0" xfId="0" applyNumberFormat="1" applyFont="1" applyAlignment="1">
      <alignment horizontal="center" vertical="center" wrapText="1"/>
    </xf>
    <xf numFmtId="183" fontId="0" fillId="0" borderId="0" xfId="0" applyNumberFormat="1"/>
    <xf numFmtId="0" fontId="105" fillId="0" borderId="0" xfId="0" applyFont="1" applyAlignment="1">
      <alignment wrapText="1"/>
    </xf>
    <xf numFmtId="0" fontId="106" fillId="47" borderId="0" xfId="0" applyFont="1" applyFill="1" applyBorder="1" applyAlignment="1">
      <alignment horizontal="left" vertical="center" wrapText="1"/>
    </xf>
    <xf numFmtId="0" fontId="0" fillId="0" borderId="0" xfId="0" applyNumberFormat="1" applyFont="1" applyAlignment="1">
      <alignment horizontal="left" vertical="center" wrapText="1"/>
    </xf>
    <xf numFmtId="0" fontId="0" fillId="0" borderId="0" xfId="0" applyAlignment="1">
      <alignment horizontal="left" wrapText="1"/>
    </xf>
    <xf numFmtId="0" fontId="105" fillId="0" borderId="0" xfId="0" applyFont="1" applyAlignment="1">
      <alignment horizontal="center" vertical="center" wrapText="1"/>
    </xf>
    <xf numFmtId="0" fontId="0" fillId="0" borderId="0" xfId="0" applyAlignment="1">
      <alignment horizontal="right"/>
    </xf>
    <xf numFmtId="10" fontId="0" fillId="0" borderId="0" xfId="40763" applyNumberFormat="1" applyFont="1"/>
    <xf numFmtId="10" fontId="0" fillId="0" borderId="0" xfId="0" applyNumberFormat="1"/>
    <xf numFmtId="182" fontId="2" fillId="0" borderId="0" xfId="1" applyNumberFormat="1" applyFont="1"/>
    <xf numFmtId="182" fontId="1" fillId="0" borderId="0" xfId="1" applyNumberFormat="1" applyFont="1"/>
    <xf numFmtId="183" fontId="1" fillId="0" borderId="0" xfId="2" applyNumberFormat="1" applyFont="1"/>
    <xf numFmtId="183" fontId="108" fillId="0" borderId="0" xfId="2" applyNumberFormat="1" applyFont="1" applyFill="1"/>
    <xf numFmtId="43" fontId="0" fillId="0" borderId="117" xfId="1" applyFont="1" applyBorder="1"/>
    <xf numFmtId="0" fontId="0" fillId="0" borderId="0" xfId="0" applyFill="1" applyBorder="1" applyAlignment="1">
      <alignment horizontal="left" vertical="top" wrapText="1"/>
    </xf>
    <xf numFmtId="43" fontId="0" fillId="0" borderId="0" xfId="1" applyFont="1" applyFill="1" applyBorder="1" applyAlignment="1">
      <alignment horizontal="left" vertical="top" wrapText="1"/>
    </xf>
    <xf numFmtId="164" fontId="111" fillId="0" borderId="0" xfId="1" applyNumberFormat="1" applyFont="1" applyFill="1" applyBorder="1" applyAlignment="1">
      <alignment horizontal="left" vertical="top" wrapText="1"/>
    </xf>
    <xf numFmtId="0" fontId="2" fillId="0" borderId="0" xfId="0" applyFont="1" applyFill="1" applyBorder="1" applyAlignment="1">
      <alignment horizontal="left" vertical="top" wrapText="1"/>
    </xf>
    <xf numFmtId="164" fontId="114" fillId="0" borderId="0" xfId="1" applyNumberFormat="1" applyFont="1" applyFill="1" applyBorder="1" applyAlignment="1">
      <alignment horizontal="left" vertical="top" wrapText="1"/>
    </xf>
    <xf numFmtId="164" fontId="0" fillId="0" borderId="0" xfId="0" applyNumberFormat="1"/>
    <xf numFmtId="164" fontId="0" fillId="92" borderId="0" xfId="0" applyNumberFormat="1" applyFill="1"/>
    <xf numFmtId="183" fontId="110" fillId="0" borderId="0" xfId="2" applyNumberFormat="1" applyFont="1" applyFill="1"/>
    <xf numFmtId="0" fontId="2" fillId="98" borderId="0" xfId="0" applyFont="1" applyFill="1"/>
    <xf numFmtId="183" fontId="2" fillId="98" borderId="0" xfId="2" applyNumberFormat="1" applyFont="1" applyFill="1"/>
    <xf numFmtId="183" fontId="110" fillId="98" borderId="0" xfId="2" applyNumberFormat="1" applyFont="1" applyFill="1"/>
    <xf numFmtId="0" fontId="2" fillId="89" borderId="0" xfId="0" applyFont="1" applyFill="1"/>
    <xf numFmtId="183" fontId="2" fillId="89" borderId="0" xfId="2" applyNumberFormat="1" applyFont="1" applyFill="1"/>
    <xf numFmtId="183" fontId="116" fillId="0" borderId="0" xfId="0" applyNumberFormat="1" applyFont="1" applyAlignment="1">
      <alignment horizontal="left" vertical="center" wrapText="1"/>
    </xf>
    <xf numFmtId="0" fontId="116" fillId="0" borderId="0" xfId="0" applyFont="1" applyAlignment="1">
      <alignment horizontal="left" vertical="center"/>
    </xf>
    <xf numFmtId="182" fontId="2" fillId="0" borderId="0" xfId="0" applyNumberFormat="1" applyFont="1"/>
    <xf numFmtId="0" fontId="0" fillId="98" borderId="0" xfId="0" applyFont="1" applyFill="1"/>
    <xf numFmtId="182" fontId="0" fillId="98" borderId="0" xfId="1" applyNumberFormat="1" applyFont="1" applyFill="1"/>
    <xf numFmtId="182" fontId="2" fillId="98" borderId="0" xfId="1" applyNumberFormat="1" applyFont="1" applyFill="1"/>
    <xf numFmtId="0" fontId="0" fillId="89" borderId="0" xfId="0" applyFont="1" applyFill="1"/>
    <xf numFmtId="182" fontId="0" fillId="89" borderId="0" xfId="1" applyNumberFormat="1" applyFont="1" applyFill="1"/>
    <xf numFmtId="182" fontId="2" fillId="89" borderId="0" xfId="0" applyNumberFormat="1" applyFont="1" applyFill="1"/>
    <xf numFmtId="0" fontId="0" fillId="89" borderId="0" xfId="0" applyFill="1"/>
    <xf numFmtId="0" fontId="0" fillId="99" borderId="0" xfId="0" applyFont="1" applyFill="1"/>
    <xf numFmtId="182" fontId="108" fillId="99" borderId="0" xfId="1" applyNumberFormat="1" applyFont="1" applyFill="1"/>
    <xf numFmtId="182" fontId="110" fillId="99" borderId="0" xfId="1" applyNumberFormat="1" applyFont="1" applyFill="1"/>
    <xf numFmtId="0" fontId="2" fillId="99" borderId="0" xfId="0" applyFont="1" applyFill="1"/>
    <xf numFmtId="183" fontId="87" fillId="0" borderId="0" xfId="2" applyNumberFormat="1" applyFont="1" applyAlignment="1">
      <alignment horizontal="center" vertical="center"/>
    </xf>
    <xf numFmtId="0" fontId="0" fillId="92" borderId="0" xfId="0" applyFont="1" applyFill="1"/>
    <xf numFmtId="182" fontId="1" fillId="92" borderId="0" xfId="1" applyNumberFormat="1" applyFont="1" applyFill="1"/>
    <xf numFmtId="182" fontId="2" fillId="92" borderId="0" xfId="1" applyNumberFormat="1" applyFont="1" applyFill="1"/>
    <xf numFmtId="182" fontId="0" fillId="0" borderId="55" xfId="1" applyNumberFormat="1" applyFont="1" applyBorder="1" applyAlignment="1">
      <alignment horizontal="left" vertical="center" wrapText="1"/>
    </xf>
    <xf numFmtId="0" fontId="2" fillId="48" borderId="119" xfId="0" applyFont="1" applyFill="1" applyBorder="1" applyAlignment="1">
      <alignment wrapText="1"/>
    </xf>
    <xf numFmtId="9" fontId="2" fillId="48" borderId="120" xfId="0" applyNumberFormat="1" applyFont="1" applyFill="1" applyBorder="1" applyAlignment="1">
      <alignment horizontal="center"/>
    </xf>
    <xf numFmtId="164" fontId="117" fillId="0" borderId="100" xfId="1" applyNumberFormat="1" applyFont="1" applyBorder="1" applyAlignment="1">
      <alignment horizontal="left" vertical="center"/>
    </xf>
    <xf numFmtId="0" fontId="118" fillId="47" borderId="0" xfId="0" applyFont="1" applyFill="1" applyBorder="1" applyAlignment="1">
      <alignment horizontal="left" vertical="center" wrapText="1"/>
    </xf>
    <xf numFmtId="0" fontId="119" fillId="0" borderId="0" xfId="0" applyFont="1"/>
    <xf numFmtId="0" fontId="2" fillId="45" borderId="114" xfId="0" applyFont="1" applyFill="1" applyBorder="1" applyAlignment="1">
      <alignment horizontal="left"/>
    </xf>
    <xf numFmtId="0" fontId="0" fillId="45" borderId="93" xfId="0" applyFill="1" applyBorder="1" applyAlignment="1">
      <alignment horizontal="left"/>
    </xf>
    <xf numFmtId="183" fontId="0" fillId="45" borderId="93" xfId="2" applyNumberFormat="1" applyFont="1" applyFill="1" applyBorder="1" applyAlignment="1">
      <alignment horizontal="left"/>
    </xf>
    <xf numFmtId="183" fontId="2" fillId="45" borderId="3" xfId="2" applyNumberFormat="1" applyFont="1" applyFill="1" applyBorder="1" applyAlignment="1">
      <alignment horizontal="left"/>
    </xf>
    <xf numFmtId="183" fontId="0" fillId="45" borderId="103" xfId="2" applyNumberFormat="1" applyFont="1" applyFill="1" applyBorder="1" applyAlignment="1">
      <alignment horizontal="left"/>
    </xf>
    <xf numFmtId="183" fontId="2" fillId="45" borderId="103" xfId="2" applyNumberFormat="1" applyFont="1" applyFill="1" applyBorder="1" applyAlignment="1">
      <alignment horizontal="left"/>
    </xf>
    <xf numFmtId="0" fontId="0" fillId="92" borderId="0" xfId="0" applyFill="1" applyAlignment="1">
      <alignment horizontal="left"/>
    </xf>
    <xf numFmtId="183" fontId="0" fillId="92" borderId="0" xfId="2" applyNumberFormat="1" applyFont="1" applyFill="1" applyAlignment="1">
      <alignment horizontal="left"/>
    </xf>
    <xf numFmtId="183" fontId="2" fillId="45" borderId="0" xfId="2" applyNumberFormat="1" applyFont="1" applyFill="1" applyAlignment="1">
      <alignment horizontal="left"/>
    </xf>
    <xf numFmtId="0" fontId="0" fillId="91" borderId="0" xfId="0" applyFill="1" applyAlignment="1">
      <alignment horizontal="left"/>
    </xf>
    <xf numFmtId="183" fontId="0" fillId="91" borderId="0" xfId="2" applyNumberFormat="1" applyFont="1" applyFill="1" applyAlignment="1">
      <alignment horizontal="left"/>
    </xf>
    <xf numFmtId="0" fontId="0" fillId="93" borderId="0" xfId="0" applyFill="1" applyAlignment="1">
      <alignment horizontal="left"/>
    </xf>
    <xf numFmtId="183" fontId="0" fillId="93" borderId="0" xfId="2" applyNumberFormat="1" applyFont="1" applyFill="1" applyAlignment="1">
      <alignment horizontal="left"/>
    </xf>
    <xf numFmtId="0" fontId="0" fillId="94" borderId="0" xfId="0" applyFill="1" applyAlignment="1">
      <alignment horizontal="left"/>
    </xf>
    <xf numFmtId="183" fontId="0" fillId="94" borderId="0" xfId="2" applyNumberFormat="1" applyFont="1" applyFill="1" applyAlignment="1">
      <alignment horizontal="left"/>
    </xf>
    <xf numFmtId="0" fontId="0" fillId="95" borderId="0" xfId="0" applyFill="1" applyAlignment="1">
      <alignment horizontal="left"/>
    </xf>
    <xf numFmtId="183" fontId="0" fillId="95" borderId="0" xfId="2" applyNumberFormat="1" applyFont="1" applyFill="1" applyAlignment="1">
      <alignment horizontal="left"/>
    </xf>
    <xf numFmtId="0" fontId="0" fillId="96" borderId="0" xfId="0" applyFill="1" applyAlignment="1">
      <alignment horizontal="left"/>
    </xf>
    <xf numFmtId="183" fontId="0" fillId="96" borderId="0" xfId="2" applyNumberFormat="1" applyFont="1" applyFill="1" applyAlignment="1">
      <alignment horizontal="left"/>
    </xf>
    <xf numFmtId="0" fontId="0" fillId="0" borderId="0" xfId="0" applyFont="1" applyAlignment="1">
      <alignment horizontal="left" vertical="top"/>
    </xf>
    <xf numFmtId="183" fontId="0" fillId="0" borderId="0" xfId="2" applyNumberFormat="1" applyFont="1" applyAlignment="1">
      <alignment horizontal="left"/>
    </xf>
    <xf numFmtId="183" fontId="2" fillId="0" borderId="0" xfId="2" applyNumberFormat="1" applyFont="1" applyAlignment="1">
      <alignment horizontal="left"/>
    </xf>
    <xf numFmtId="0" fontId="0" fillId="0" borderId="0" xfId="0" applyFont="1" applyAlignment="1"/>
    <xf numFmtId="0" fontId="0" fillId="45" borderId="0" xfId="0" applyFont="1" applyFill="1" applyAlignment="1"/>
    <xf numFmtId="0" fontId="0" fillId="45" borderId="0" xfId="0" applyFont="1" applyFill="1" applyAlignment="1">
      <alignment horizontal="left"/>
    </xf>
    <xf numFmtId="0" fontId="0" fillId="45" borderId="93" xfId="0" applyFont="1" applyFill="1" applyBorder="1" applyAlignment="1">
      <alignment vertical="top"/>
    </xf>
    <xf numFmtId="0" fontId="0" fillId="0" borderId="0" xfId="0" applyFont="1" applyAlignment="1">
      <alignment vertical="top"/>
    </xf>
    <xf numFmtId="0" fontId="0" fillId="45" borderId="56" xfId="0" applyFont="1" applyFill="1" applyBorder="1" applyAlignment="1">
      <alignment wrapText="1"/>
    </xf>
    <xf numFmtId="0" fontId="120" fillId="100" borderId="121" xfId="0" applyFont="1" applyFill="1" applyBorder="1" applyAlignment="1">
      <alignment vertical="center" wrapText="1"/>
    </xf>
    <xf numFmtId="0" fontId="120" fillId="100" borderId="122" xfId="0" applyFont="1" applyFill="1" applyBorder="1" applyAlignment="1">
      <alignment horizontal="center" vertical="center" wrapText="1"/>
    </xf>
    <xf numFmtId="0" fontId="3" fillId="101" borderId="123" xfId="0" applyFont="1" applyFill="1" applyBorder="1" applyAlignment="1">
      <alignment vertical="center" wrapText="1"/>
    </xf>
    <xf numFmtId="164" fontId="3" fillId="101" borderId="124" xfId="0" applyNumberFormat="1" applyFont="1" applyFill="1" applyBorder="1" applyAlignment="1">
      <alignment horizontal="right" vertical="center"/>
    </xf>
    <xf numFmtId="0" fontId="3" fillId="102" borderId="123" xfId="0" applyFont="1" applyFill="1" applyBorder="1" applyAlignment="1">
      <alignment vertical="center" wrapText="1"/>
    </xf>
    <xf numFmtId="164" fontId="3" fillId="102" borderId="124" xfId="0" applyNumberFormat="1" applyFont="1" applyFill="1" applyBorder="1" applyAlignment="1">
      <alignment horizontal="right" vertical="center"/>
    </xf>
    <xf numFmtId="0" fontId="4" fillId="101" borderId="123" xfId="0" applyFont="1" applyFill="1" applyBorder="1" applyAlignment="1">
      <alignment vertical="center" wrapText="1"/>
    </xf>
    <xf numFmtId="164" fontId="4" fillId="101" borderId="124" xfId="0" applyNumberFormat="1" applyFont="1" applyFill="1" applyBorder="1" applyAlignment="1">
      <alignment horizontal="right" vertical="center"/>
    </xf>
    <xf numFmtId="0" fontId="120" fillId="100" borderId="122" xfId="0" applyFont="1" applyFill="1" applyBorder="1" applyAlignment="1">
      <alignment vertical="center" wrapText="1"/>
    </xf>
    <xf numFmtId="0" fontId="3" fillId="101" borderId="0" xfId="0" applyFont="1" applyFill="1" applyBorder="1" applyAlignment="1">
      <alignment vertical="center" wrapText="1"/>
    </xf>
    <xf numFmtId="0" fontId="3" fillId="102" borderId="0" xfId="0" applyFont="1" applyFill="1" applyBorder="1" applyAlignment="1">
      <alignment vertical="center" wrapText="1"/>
    </xf>
    <xf numFmtId="0" fontId="4" fillId="101" borderId="0" xfId="0" applyFont="1" applyFill="1" applyBorder="1" applyAlignment="1">
      <alignment vertical="center" wrapText="1"/>
    </xf>
    <xf numFmtId="164" fontId="0" fillId="98" borderId="0" xfId="1" applyNumberFormat="1" applyFont="1" applyFill="1" applyAlignment="1">
      <alignment horizontal="center"/>
    </xf>
    <xf numFmtId="0" fontId="0" fillId="0" borderId="0" xfId="0" applyAlignment="1">
      <alignment horizontal="center"/>
    </xf>
    <xf numFmtId="164" fontId="105" fillId="0" borderId="0" xfId="1" applyNumberFormat="1" applyFont="1" applyAlignment="1">
      <alignment horizontal="center" wrapText="1"/>
    </xf>
    <xf numFmtId="0" fontId="0" fillId="46" borderId="0" xfId="0" applyFont="1" applyFill="1" applyBorder="1" applyAlignment="1">
      <alignment horizontal="left" vertical="top"/>
    </xf>
    <xf numFmtId="0" fontId="0" fillId="46" borderId="0" xfId="0" applyFont="1" applyFill="1" applyBorder="1" applyAlignment="1">
      <alignment horizontal="center" vertical="top"/>
    </xf>
    <xf numFmtId="0" fontId="0" fillId="51" borderId="62" xfId="0" applyFont="1" applyFill="1" applyBorder="1" applyAlignment="1">
      <alignment horizontal="left" vertical="top"/>
    </xf>
    <xf numFmtId="0" fontId="0" fillId="51" borderId="0" xfId="0" applyFont="1" applyFill="1" applyBorder="1" applyAlignment="1">
      <alignment horizontal="center" vertical="top"/>
    </xf>
    <xf numFmtId="0" fontId="0" fillId="54" borderId="62" xfId="0" applyFont="1" applyFill="1" applyBorder="1" applyAlignment="1">
      <alignment horizontal="left" vertical="top"/>
    </xf>
    <xf numFmtId="0" fontId="0" fillId="54" borderId="0" xfId="0" applyFont="1" applyFill="1" applyBorder="1" applyAlignment="1">
      <alignment horizontal="center" vertical="top"/>
    </xf>
    <xf numFmtId="0" fontId="0" fillId="54" borderId="64" xfId="0" applyFont="1" applyFill="1" applyBorder="1" applyAlignment="1">
      <alignment horizontal="center" vertical="top"/>
    </xf>
    <xf numFmtId="0" fontId="0" fillId="45" borderId="104" xfId="0" applyFont="1" applyFill="1" applyBorder="1" applyAlignment="1">
      <alignment horizontal="left" vertical="top"/>
    </xf>
    <xf numFmtId="0" fontId="0" fillId="45" borderId="3" xfId="0" applyFont="1" applyFill="1" applyBorder="1" applyAlignment="1">
      <alignment horizontal="left" vertical="top"/>
    </xf>
    <xf numFmtId="0" fontId="0" fillId="45" borderId="103" xfId="0" applyFont="1" applyFill="1" applyBorder="1" applyAlignment="1">
      <alignment horizontal="left" vertical="top"/>
    </xf>
    <xf numFmtId="0" fontId="0" fillId="48" borderId="62" xfId="0" applyFont="1" applyFill="1" applyBorder="1" applyAlignment="1">
      <alignment horizontal="left" vertical="top"/>
    </xf>
    <xf numFmtId="0" fontId="0" fillId="48" borderId="0" xfId="0" applyFont="1" applyFill="1" applyBorder="1" applyAlignment="1">
      <alignment horizontal="center" vertical="top"/>
    </xf>
    <xf numFmtId="0" fontId="0" fillId="48" borderId="64" xfId="0" applyFont="1" applyFill="1" applyBorder="1" applyAlignment="1">
      <alignment horizontal="center" vertical="top"/>
    </xf>
    <xf numFmtId="0" fontId="0" fillId="52" borderId="62" xfId="0" applyFont="1" applyFill="1" applyBorder="1" applyAlignment="1">
      <alignment horizontal="left" vertical="top"/>
    </xf>
    <xf numFmtId="0" fontId="0" fillId="52" borderId="0" xfId="0" applyFont="1" applyFill="1" applyBorder="1" applyAlignment="1">
      <alignment horizontal="center" vertical="top"/>
    </xf>
    <xf numFmtId="0" fontId="0" fillId="52" borderId="64" xfId="0" applyFont="1" applyFill="1" applyBorder="1" applyAlignment="1">
      <alignment horizontal="center" vertical="top"/>
    </xf>
    <xf numFmtId="0" fontId="0" fillId="89" borderId="62" xfId="0" applyFont="1" applyFill="1" applyBorder="1" applyAlignment="1">
      <alignment horizontal="left" vertical="top"/>
    </xf>
    <xf numFmtId="0" fontId="0" fillId="89" borderId="0" xfId="0" applyFont="1" applyFill="1" applyBorder="1" applyAlignment="1">
      <alignment horizontal="center" vertical="top"/>
    </xf>
    <xf numFmtId="183" fontId="0" fillId="45" borderId="93" xfId="2" applyNumberFormat="1" applyFont="1" applyFill="1" applyBorder="1" applyAlignment="1">
      <alignment horizontal="left"/>
    </xf>
    <xf numFmtId="0" fontId="0" fillId="46" borderId="114" xfId="0" applyFont="1" applyFill="1" applyBorder="1" applyAlignment="1">
      <alignment horizontal="left" vertical="top"/>
    </xf>
    <xf numFmtId="0" fontId="0" fillId="46" borderId="64" xfId="0" applyFont="1" applyFill="1" applyBorder="1" applyAlignment="1">
      <alignment horizontal="center" vertical="top"/>
    </xf>
    <xf numFmtId="0" fontId="0" fillId="49" borderId="62" xfId="0" applyFont="1" applyFill="1" applyBorder="1" applyAlignment="1">
      <alignment horizontal="left" vertical="top"/>
    </xf>
    <xf numFmtId="0" fontId="0" fillId="49" borderId="0" xfId="0" applyFont="1" applyFill="1" applyBorder="1" applyAlignment="1">
      <alignment horizontal="center" vertical="top"/>
    </xf>
    <xf numFmtId="0" fontId="0" fillId="45" borderId="3" xfId="0" applyFill="1" applyBorder="1" applyAlignment="1">
      <alignment horizontal="left"/>
    </xf>
    <xf numFmtId="0" fontId="0" fillId="45" borderId="103" xfId="0" applyFill="1" applyBorder="1" applyAlignment="1">
      <alignment horizontal="left"/>
    </xf>
    <xf numFmtId="183" fontId="2" fillId="45" borderId="109" xfId="2" applyNumberFormat="1" applyFont="1" applyFill="1" applyBorder="1" applyAlignment="1">
      <alignment horizontal="left"/>
    </xf>
    <xf numFmtId="183" fontId="0" fillId="45" borderId="103" xfId="2" applyNumberFormat="1" applyFont="1" applyFill="1" applyBorder="1" applyAlignment="1">
      <alignment horizontal="left"/>
    </xf>
    <xf numFmtId="183" fontId="0" fillId="45" borderId="109" xfId="2" applyNumberFormat="1" applyFont="1" applyFill="1" applyBorder="1" applyAlignment="1">
      <alignment horizontal="left"/>
    </xf>
    <xf numFmtId="0" fontId="2" fillId="45" borderId="101" xfId="0" applyFont="1" applyFill="1" applyBorder="1" applyAlignment="1">
      <alignment horizontal="left"/>
    </xf>
    <xf numFmtId="0" fontId="2" fillId="45" borderId="102" xfId="0" applyFont="1" applyFill="1" applyBorder="1" applyAlignment="1">
      <alignment horizontal="left"/>
    </xf>
    <xf numFmtId="0" fontId="0" fillId="46" borderId="60" xfId="0" applyFont="1" applyFill="1" applyBorder="1" applyAlignment="1">
      <alignment vertical="top"/>
    </xf>
    <xf numFmtId="0" fontId="0" fillId="46" borderId="61" xfId="0" applyFont="1" applyFill="1" applyBorder="1" applyAlignment="1">
      <alignment vertical="top"/>
    </xf>
    <xf numFmtId="0" fontId="0" fillId="90" borderId="0" xfId="0" applyFont="1" applyFill="1" applyBorder="1" applyAlignment="1">
      <alignment vertical="top"/>
    </xf>
    <xf numFmtId="0" fontId="0" fillId="54" borderId="62" xfId="0" applyFont="1" applyFill="1" applyBorder="1" applyAlignment="1">
      <alignment vertical="top"/>
    </xf>
    <xf numFmtId="0" fontId="0" fillId="54" borderId="0" xfId="0" applyFont="1" applyFill="1" applyBorder="1" applyAlignment="1">
      <alignment vertical="top"/>
    </xf>
    <xf numFmtId="0" fontId="67" fillId="45" borderId="63" xfId="0" applyFont="1" applyFill="1" applyBorder="1" applyAlignment="1">
      <alignment horizontal="center"/>
    </xf>
    <xf numFmtId="0" fontId="67" fillId="45" borderId="64" xfId="0" applyFont="1" applyFill="1" applyBorder="1" applyAlignment="1">
      <alignment horizontal="center"/>
    </xf>
    <xf numFmtId="0" fontId="0" fillId="51" borderId="62" xfId="0" applyFont="1" applyFill="1" applyBorder="1" applyAlignment="1">
      <alignment vertical="top"/>
    </xf>
    <xf numFmtId="0" fontId="0" fillId="51" borderId="0" xfId="0" applyFont="1" applyFill="1" applyBorder="1" applyAlignment="1">
      <alignment vertical="top"/>
    </xf>
    <xf numFmtId="0" fontId="0" fillId="52" borderId="62" xfId="0" applyFont="1" applyFill="1" applyBorder="1" applyAlignment="1">
      <alignment vertical="top"/>
    </xf>
    <xf numFmtId="0" fontId="0" fillId="52" borderId="0" xfId="0" applyFont="1" applyFill="1" applyBorder="1" applyAlignment="1">
      <alignment vertical="top"/>
    </xf>
    <xf numFmtId="0" fontId="0" fillId="48" borderId="62" xfId="0" applyFont="1" applyFill="1" applyBorder="1" applyAlignment="1">
      <alignment vertical="top"/>
    </xf>
    <xf numFmtId="0" fontId="0" fillId="48" borderId="0" xfId="0" applyFont="1" applyFill="1" applyBorder="1" applyAlignment="1">
      <alignment vertical="top"/>
    </xf>
    <xf numFmtId="0" fontId="0" fillId="49" borderId="62" xfId="0" applyFont="1" applyFill="1" applyBorder="1" applyAlignment="1">
      <alignment vertical="top"/>
    </xf>
    <xf numFmtId="0" fontId="0" fillId="49" borderId="0" xfId="0" applyFont="1" applyFill="1" applyBorder="1" applyAlignment="1">
      <alignment vertical="top"/>
    </xf>
    <xf numFmtId="0" fontId="65" fillId="45" borderId="56" xfId="0" applyFont="1" applyFill="1" applyBorder="1" applyAlignment="1">
      <alignment horizontal="center"/>
    </xf>
    <xf numFmtId="0" fontId="66" fillId="45" borderId="63" xfId="0" applyFont="1" applyFill="1" applyBorder="1" applyAlignment="1">
      <alignment horizontal="center"/>
    </xf>
    <xf numFmtId="0" fontId="66" fillId="45" borderId="64" xfId="0" applyFont="1" applyFill="1" applyBorder="1" applyAlignment="1">
      <alignment horizontal="center"/>
    </xf>
    <xf numFmtId="0" fontId="0" fillId="45" borderId="0" xfId="0" applyFill="1" applyAlignment="1">
      <alignment horizontal="center"/>
    </xf>
    <xf numFmtId="0" fontId="0" fillId="89" borderId="62" xfId="0" applyFont="1" applyFill="1" applyBorder="1" applyAlignment="1">
      <alignment vertical="top"/>
    </xf>
    <xf numFmtId="0" fontId="0" fillId="89" borderId="0" xfId="0" applyFont="1" applyFill="1" applyBorder="1" applyAlignment="1">
      <alignment vertical="top"/>
    </xf>
    <xf numFmtId="0" fontId="0" fillId="46" borderId="62" xfId="0" applyFont="1" applyFill="1" applyBorder="1" applyAlignment="1">
      <alignment vertical="top"/>
    </xf>
    <xf numFmtId="0" fontId="0" fillId="46" borderId="0" xfId="0" applyFont="1" applyFill="1" applyBorder="1" applyAlignment="1">
      <alignment vertical="top"/>
    </xf>
    <xf numFmtId="0" fontId="64" fillId="46" borderId="0" xfId="0" applyFont="1" applyFill="1" applyBorder="1" applyAlignment="1">
      <alignment vertical="top" textRotation="90"/>
    </xf>
    <xf numFmtId="0" fontId="64" fillId="46" borderId="64" xfId="0" applyFont="1" applyFill="1" applyBorder="1" applyAlignment="1">
      <alignment vertical="top" textRotation="90"/>
    </xf>
    <xf numFmtId="0" fontId="64" fillId="89" borderId="0" xfId="0" applyFont="1" applyFill="1" applyBorder="1" applyAlignment="1">
      <alignment vertical="top" textRotation="90"/>
    </xf>
    <xf numFmtId="0" fontId="64" fillId="54" borderId="0" xfId="0" applyFont="1" applyFill="1" applyBorder="1" applyAlignment="1">
      <alignment vertical="top" textRotation="90"/>
    </xf>
    <xf numFmtId="0" fontId="64" fillId="48" borderId="0" xfId="0" applyFont="1" applyFill="1" applyBorder="1" applyAlignment="1">
      <alignment vertical="top" textRotation="90"/>
    </xf>
    <xf numFmtId="0" fontId="64" fillId="48" borderId="64" xfId="0" applyFont="1" applyFill="1" applyBorder="1" applyAlignment="1">
      <alignment vertical="top" textRotation="90"/>
    </xf>
    <xf numFmtId="44" fontId="0" fillId="45" borderId="93" xfId="2" applyFont="1" applyFill="1" applyBorder="1" applyAlignment="1">
      <alignment horizontal="center" vertical="top"/>
    </xf>
    <xf numFmtId="0" fontId="64" fillId="49" borderId="0" xfId="0" applyFont="1" applyFill="1" applyBorder="1" applyAlignment="1">
      <alignment vertical="top" textRotation="90"/>
    </xf>
    <xf numFmtId="0" fontId="64" fillId="49" borderId="64" xfId="0" applyFont="1" applyFill="1" applyBorder="1" applyAlignment="1">
      <alignment vertical="top" textRotation="90"/>
    </xf>
    <xf numFmtId="0" fontId="0" fillId="51" borderId="57" xfId="0" applyFont="1" applyFill="1" applyBorder="1" applyAlignment="1">
      <alignment vertical="top"/>
    </xf>
    <xf numFmtId="0" fontId="0" fillId="51" borderId="58" xfId="0" applyFont="1" applyFill="1" applyBorder="1" applyAlignment="1">
      <alignment vertical="top"/>
    </xf>
    <xf numFmtId="0" fontId="64" fillId="51" borderId="58" xfId="0" applyFont="1" applyFill="1" applyBorder="1" applyAlignment="1">
      <alignment vertical="top" textRotation="90"/>
    </xf>
    <xf numFmtId="0" fontId="64" fillId="51" borderId="59" xfId="0" applyFont="1" applyFill="1" applyBorder="1" applyAlignment="1">
      <alignment vertical="top" textRotation="90"/>
    </xf>
    <xf numFmtId="43" fontId="0" fillId="53" borderId="93" xfId="1" applyFont="1" applyFill="1" applyBorder="1" applyAlignment="1">
      <alignment horizontal="center" vertical="top"/>
    </xf>
    <xf numFmtId="43" fontId="0" fillId="50" borderId="93" xfId="1" applyFont="1" applyFill="1" applyBorder="1" applyAlignment="1">
      <alignment horizontal="center" vertical="top"/>
    </xf>
    <xf numFmtId="43" fontId="0" fillId="45" borderId="93" xfId="1" applyFont="1" applyFill="1" applyBorder="1" applyAlignment="1">
      <alignment horizontal="center" vertical="top"/>
    </xf>
    <xf numFmtId="0" fontId="0" fillId="52" borderId="99" xfId="0" applyFont="1" applyFill="1" applyBorder="1" applyAlignment="1">
      <alignment vertical="top"/>
    </xf>
    <xf numFmtId="0" fontId="64" fillId="52" borderId="0" xfId="0" applyFont="1" applyFill="1" applyBorder="1" applyAlignment="1">
      <alignment vertical="top" textRotation="90"/>
    </xf>
    <xf numFmtId="0" fontId="64" fillId="52" borderId="64" xfId="0" applyFont="1" applyFill="1" applyBorder="1" applyAlignment="1">
      <alignment vertical="top" textRotation="90"/>
    </xf>
    <xf numFmtId="0" fontId="0" fillId="52" borderId="57" xfId="0" applyFont="1" applyFill="1" applyBorder="1" applyAlignment="1">
      <alignment vertical="top"/>
    </xf>
    <xf numFmtId="0" fontId="0" fillId="52" borderId="58" xfId="0" applyFont="1" applyFill="1" applyBorder="1" applyAlignment="1">
      <alignment vertical="top"/>
    </xf>
    <xf numFmtId="0" fontId="0" fillId="90" borderId="62" xfId="0" applyFont="1" applyFill="1" applyBorder="1" applyAlignment="1">
      <alignment vertical="top"/>
    </xf>
    <xf numFmtId="187" fontId="0" fillId="0" borderId="0" xfId="0" applyNumberFormat="1" applyAlignment="1"/>
  </cellXfs>
  <cellStyles count="58514">
    <cellStyle name=" 1" xfId="15"/>
    <cellStyle name=" 1 2" xfId="35466"/>
    <cellStyle name=" 1 3" xfId="35198"/>
    <cellStyle name="_Capex" xfId="16"/>
    <cellStyle name="_Capex 2" xfId="35467"/>
    <cellStyle name="_Capex 3" xfId="35199"/>
    <cellStyle name="_UED AMP 2009-14 Final 250309 Less PU" xfId="17"/>
    <cellStyle name="_UED AMP 2009-14 Final 250309 Less PU_1011 monthly" xfId="18"/>
    <cellStyle name="20% - Accent1 2" xfId="19"/>
    <cellStyle name="20% - Accent1 2 2" xfId="1535"/>
    <cellStyle name="20% - Accent1 2 2 2" xfId="1536"/>
    <cellStyle name="20% - Accent1 2 2 3" xfId="1537"/>
    <cellStyle name="20% - Accent1 2 2 4" xfId="35468"/>
    <cellStyle name="20% - Accent1 2 2 5" xfId="41539"/>
    <cellStyle name="20% - Accent1 2 3" xfId="35200"/>
    <cellStyle name="20% - Accent1 3" xfId="41540"/>
    <cellStyle name="20% - Accent2 2" xfId="20"/>
    <cellStyle name="20% - Accent2 2 2" xfId="1538"/>
    <cellStyle name="20% - Accent2 2 2 2" xfId="1539"/>
    <cellStyle name="20% - Accent2 2 2 3" xfId="1540"/>
    <cellStyle name="20% - Accent2 2 2 4" xfId="35469"/>
    <cellStyle name="20% - Accent2 2 2 5" xfId="41541"/>
    <cellStyle name="20% - Accent2 2 3" xfId="35201"/>
    <cellStyle name="20% - Accent2 3" xfId="41542"/>
    <cellStyle name="20% - Accent3 2" xfId="21"/>
    <cellStyle name="20% - Accent3 2 2" xfId="1541"/>
    <cellStyle name="20% - Accent3 2 2 2" xfId="1542"/>
    <cellStyle name="20% - Accent3 2 2 3" xfId="1543"/>
    <cellStyle name="20% - Accent3 2 2 4" xfId="35470"/>
    <cellStyle name="20% - Accent3 2 2 5" xfId="41543"/>
    <cellStyle name="20% - Accent3 2 3" xfId="35202"/>
    <cellStyle name="20% - Accent3 3" xfId="41544"/>
    <cellStyle name="20% - Accent4 2" xfId="22"/>
    <cellStyle name="20% - Accent4 2 2" xfId="1544"/>
    <cellStyle name="20% - Accent4 2 2 2" xfId="1545"/>
    <cellStyle name="20% - Accent4 2 2 3" xfId="1546"/>
    <cellStyle name="20% - Accent4 2 2 4" xfId="35471"/>
    <cellStyle name="20% - Accent4 2 2 5" xfId="41545"/>
    <cellStyle name="20% - Accent4 2 3" xfId="35203"/>
    <cellStyle name="20% - Accent4 3" xfId="41546"/>
    <cellStyle name="20% - Accent5 2" xfId="23"/>
    <cellStyle name="20% - Accent5 2 2" xfId="35472"/>
    <cellStyle name="20% - Accent5 2 2 2" xfId="41547"/>
    <cellStyle name="20% - Accent5 2 3" xfId="35204"/>
    <cellStyle name="20% - Accent5 3" xfId="41548"/>
    <cellStyle name="20% - Accent6 2" xfId="24"/>
    <cellStyle name="20% - Accent6 2 2" xfId="35473"/>
    <cellStyle name="20% - Accent6 2 2 2" xfId="41549"/>
    <cellStyle name="20% - Accent6 2 3" xfId="35205"/>
    <cellStyle name="20% - Accent6 3" xfId="41550"/>
    <cellStyle name="40% - Accent1 2" xfId="25"/>
    <cellStyle name="40% - Accent1 2 2" xfId="1547"/>
    <cellStyle name="40% - Accent1 2 2 2" xfId="1548"/>
    <cellStyle name="40% - Accent1 2 2 3" xfId="1549"/>
    <cellStyle name="40% - Accent1 2 2 4" xfId="35474"/>
    <cellStyle name="40% - Accent1 2 2 5" xfId="41551"/>
    <cellStyle name="40% - Accent1 2 3" xfId="35206"/>
    <cellStyle name="40% - Accent1 3" xfId="41552"/>
    <cellStyle name="40% - Accent2 2" xfId="26"/>
    <cellStyle name="40% - Accent2 2 2" xfId="1550"/>
    <cellStyle name="40% - Accent2 2 2 2" xfId="1551"/>
    <cellStyle name="40% - Accent2 2 2 3" xfId="1552"/>
    <cellStyle name="40% - Accent2 2 2 4" xfId="35475"/>
    <cellStyle name="40% - Accent2 2 2 5" xfId="41553"/>
    <cellStyle name="40% - Accent2 2 3" xfId="35207"/>
    <cellStyle name="40% - Accent2 3" xfId="41554"/>
    <cellStyle name="40% - Accent3 2" xfId="27"/>
    <cellStyle name="40% - Accent3 2 2" xfId="1553"/>
    <cellStyle name="40% - Accent3 2 2 2" xfId="1554"/>
    <cellStyle name="40% - Accent3 2 2 3" xfId="1555"/>
    <cellStyle name="40% - Accent3 2 2 4" xfId="35476"/>
    <cellStyle name="40% - Accent3 2 2 5" xfId="41555"/>
    <cellStyle name="40% - Accent3 2 3" xfId="35208"/>
    <cellStyle name="40% - Accent3 3" xfId="41556"/>
    <cellStyle name="40% - Accent4 2" xfId="28"/>
    <cellStyle name="40% - Accent4 2 2" xfId="1556"/>
    <cellStyle name="40% - Accent4 2 2 2" xfId="1557"/>
    <cellStyle name="40% - Accent4 2 2 3" xfId="1558"/>
    <cellStyle name="40% - Accent4 2 2 4" xfId="35477"/>
    <cellStyle name="40% - Accent4 2 2 5" xfId="41557"/>
    <cellStyle name="40% - Accent4 2 3" xfId="35209"/>
    <cellStyle name="40% - Accent4 3" xfId="41558"/>
    <cellStyle name="40% - Accent5 2" xfId="29"/>
    <cellStyle name="40% - Accent5 2 2" xfId="35478"/>
    <cellStyle name="40% - Accent5 2 2 2" xfId="41559"/>
    <cellStyle name="40% - Accent5 2 3" xfId="35210"/>
    <cellStyle name="40% - Accent5 3" xfId="41560"/>
    <cellStyle name="40% - Accent6 2" xfId="30"/>
    <cellStyle name="40% - Accent6 2 2" xfId="1559"/>
    <cellStyle name="40% - Accent6 2 2 2" xfId="1560"/>
    <cellStyle name="40% - Accent6 2 2 3" xfId="1561"/>
    <cellStyle name="40% - Accent6 2 2 4" xfId="35479"/>
    <cellStyle name="40% - Accent6 2 2 5" xfId="41561"/>
    <cellStyle name="40% - Accent6 2 3" xfId="35211"/>
    <cellStyle name="40% - Accent6 3" xfId="41562"/>
    <cellStyle name="60% - Accent1 2" xfId="31"/>
    <cellStyle name="60% - Accent1 2 2" xfId="1562"/>
    <cellStyle name="60% - Accent1 2 2 2" xfId="1563"/>
    <cellStyle name="60% - Accent1 2 2 3" xfId="1564"/>
    <cellStyle name="60% - Accent1 2 2 4" xfId="35480"/>
    <cellStyle name="60% - Accent1 2 3" xfId="35212"/>
    <cellStyle name="60% - Accent1 3" xfId="41563"/>
    <cellStyle name="60% - Accent2 2" xfId="32"/>
    <cellStyle name="60% - Accent2 2 2" xfId="1565"/>
    <cellStyle name="60% - Accent2 2 2 2" xfId="1566"/>
    <cellStyle name="60% - Accent2 2 2 3" xfId="1567"/>
    <cellStyle name="60% - Accent2 2 2 4" xfId="35481"/>
    <cellStyle name="60% - Accent2 2 3" xfId="35213"/>
    <cellStyle name="60% - Accent2 3" xfId="41564"/>
    <cellStyle name="60% - Accent3 2" xfId="33"/>
    <cellStyle name="60% - Accent3 2 2" xfId="1568"/>
    <cellStyle name="60% - Accent3 2 2 2" xfId="1569"/>
    <cellStyle name="60% - Accent3 2 2 3" xfId="1570"/>
    <cellStyle name="60% - Accent3 2 2 4" xfId="35482"/>
    <cellStyle name="60% - Accent3 2 3" xfId="35214"/>
    <cellStyle name="60% - Accent3 3" xfId="41565"/>
    <cellStyle name="60% - Accent4 2" xfId="34"/>
    <cellStyle name="60% - Accent4 2 2" xfId="1571"/>
    <cellStyle name="60% - Accent4 2 2 2" xfId="1572"/>
    <cellStyle name="60% - Accent4 2 2 3" xfId="1573"/>
    <cellStyle name="60% - Accent4 2 2 4" xfId="35483"/>
    <cellStyle name="60% - Accent4 2 3" xfId="35215"/>
    <cellStyle name="60% - Accent4 3" xfId="41566"/>
    <cellStyle name="60% - Accent5 2" xfId="35"/>
    <cellStyle name="60% - Accent5 2 2" xfId="35484"/>
    <cellStyle name="60% - Accent5 2 2 2" xfId="41567"/>
    <cellStyle name="60% - Accent5 2 3" xfId="35216"/>
    <cellStyle name="60% - Accent5 3" xfId="41568"/>
    <cellStyle name="60% - Accent6 2" xfId="36"/>
    <cellStyle name="60% - Accent6 2 2" xfId="1574"/>
    <cellStyle name="60% - Accent6 2 2 2" xfId="1575"/>
    <cellStyle name="60% - Accent6 2 2 3" xfId="1576"/>
    <cellStyle name="60% - Accent6 2 2 4" xfId="35485"/>
    <cellStyle name="60% - Accent6 2 3" xfId="35217"/>
    <cellStyle name="60% - Accent6 3" xfId="41569"/>
    <cellStyle name="Accent1 - 20%" xfId="37"/>
    <cellStyle name="Accent1 - 20% 2" xfId="35486"/>
    <cellStyle name="Accent1 - 20% 3" xfId="35218"/>
    <cellStyle name="Accent1 - 40%" xfId="38"/>
    <cellStyle name="Accent1 - 40% 2" xfId="35487"/>
    <cellStyle name="Accent1 - 40% 3" xfId="35219"/>
    <cellStyle name="Accent1 - 60%" xfId="39"/>
    <cellStyle name="Accent1 - 60% 2" xfId="35488"/>
    <cellStyle name="Accent1 - 60% 2 2" xfId="41570"/>
    <cellStyle name="Accent1 - 60% 3" xfId="35220"/>
    <cellStyle name="Accent1 10" xfId="41571"/>
    <cellStyle name="Accent1 11" xfId="41572"/>
    <cellStyle name="Accent1 12" xfId="41573"/>
    <cellStyle name="Accent1 13" xfId="41574"/>
    <cellStyle name="Accent1 14" xfId="41575"/>
    <cellStyle name="Accent1 15" xfId="41576"/>
    <cellStyle name="Accent1 16" xfId="41577"/>
    <cellStyle name="Accent1 17" xfId="41578"/>
    <cellStyle name="Accent1 18" xfId="41579"/>
    <cellStyle name="Accent1 19" xfId="41580"/>
    <cellStyle name="Accent1 2" xfId="40"/>
    <cellStyle name="Accent1 2 2" xfId="1577"/>
    <cellStyle name="Accent1 2 2 2" xfId="1578"/>
    <cellStyle name="Accent1 2 2 3" xfId="1579"/>
    <cellStyle name="Accent1 2 2 4" xfId="35489"/>
    <cellStyle name="Accent1 2 3" xfId="35221"/>
    <cellStyle name="Accent1 20" xfId="41581"/>
    <cellStyle name="Accent1 21" xfId="41582"/>
    <cellStyle name="Accent1 22" xfId="41583"/>
    <cellStyle name="Accent1 23" xfId="41584"/>
    <cellStyle name="Accent1 24" xfId="41585"/>
    <cellStyle name="Accent1 25" xfId="41586"/>
    <cellStyle name="Accent1 26" xfId="41587"/>
    <cellStyle name="Accent1 27" xfId="41588"/>
    <cellStyle name="Accent1 28" xfId="41589"/>
    <cellStyle name="Accent1 29" xfId="41590"/>
    <cellStyle name="Accent1 3" xfId="41591"/>
    <cellStyle name="Accent1 30" xfId="41592"/>
    <cellStyle name="Accent1 31" xfId="41593"/>
    <cellStyle name="Accent1 32" xfId="41594"/>
    <cellStyle name="Accent1 33" xfId="41595"/>
    <cellStyle name="Accent1 34" xfId="41596"/>
    <cellStyle name="Accent1 35" xfId="41597"/>
    <cellStyle name="Accent1 36" xfId="41598"/>
    <cellStyle name="Accent1 37" xfId="41599"/>
    <cellStyle name="Accent1 38" xfId="41600"/>
    <cellStyle name="Accent1 39" xfId="41601"/>
    <cellStyle name="Accent1 4" xfId="41602"/>
    <cellStyle name="Accent1 40" xfId="41603"/>
    <cellStyle name="Accent1 41" xfId="41604"/>
    <cellStyle name="Accent1 42" xfId="41605"/>
    <cellStyle name="Accent1 43" xfId="41606"/>
    <cellStyle name="Accent1 44" xfId="41607"/>
    <cellStyle name="Accent1 45" xfId="41608"/>
    <cellStyle name="Accent1 46" xfId="41609"/>
    <cellStyle name="Accent1 47" xfId="41610"/>
    <cellStyle name="Accent1 48" xfId="41611"/>
    <cellStyle name="Accent1 49" xfId="41612"/>
    <cellStyle name="Accent1 5" xfId="41613"/>
    <cellStyle name="Accent1 50" xfId="41614"/>
    <cellStyle name="Accent1 51" xfId="41615"/>
    <cellStyle name="Accent1 52" xfId="41616"/>
    <cellStyle name="Accent1 53" xfId="41617"/>
    <cellStyle name="Accent1 54" xfId="41618"/>
    <cellStyle name="Accent1 55" xfId="41619"/>
    <cellStyle name="Accent1 56" xfId="41620"/>
    <cellStyle name="Accent1 57" xfId="41621"/>
    <cellStyle name="Accent1 58" xfId="41622"/>
    <cellStyle name="Accent1 59" xfId="41623"/>
    <cellStyle name="Accent1 6" xfId="41624"/>
    <cellStyle name="Accent1 60" xfId="41625"/>
    <cellStyle name="Accent1 61" xfId="41626"/>
    <cellStyle name="Accent1 62" xfId="41627"/>
    <cellStyle name="Accent1 63" xfId="41628"/>
    <cellStyle name="Accent1 64" xfId="41629"/>
    <cellStyle name="Accent1 65" xfId="41630"/>
    <cellStyle name="Accent1 66" xfId="41631"/>
    <cellStyle name="Accent1 67" xfId="41632"/>
    <cellStyle name="Accent1 68" xfId="41633"/>
    <cellStyle name="Accent1 69" xfId="41634"/>
    <cellStyle name="Accent1 7" xfId="41635"/>
    <cellStyle name="Accent1 70" xfId="41636"/>
    <cellStyle name="Accent1 71" xfId="41637"/>
    <cellStyle name="Accent1 72" xfId="41638"/>
    <cellStyle name="Accent1 73" xfId="41639"/>
    <cellStyle name="Accent1 74" xfId="41640"/>
    <cellStyle name="Accent1 75" xfId="41641"/>
    <cellStyle name="Accent1 76" xfId="41642"/>
    <cellStyle name="Accent1 77" xfId="41643"/>
    <cellStyle name="Accent1 78" xfId="41644"/>
    <cellStyle name="Accent1 79" xfId="41645"/>
    <cellStyle name="Accent1 8" xfId="41646"/>
    <cellStyle name="Accent1 80" xfId="41647"/>
    <cellStyle name="Accent1 81" xfId="41648"/>
    <cellStyle name="Accent1 82" xfId="41649"/>
    <cellStyle name="Accent1 83" xfId="41650"/>
    <cellStyle name="Accent1 84" xfId="41651"/>
    <cellStyle name="Accent1 85" xfId="41652"/>
    <cellStyle name="Accent1 86" xfId="41653"/>
    <cellStyle name="Accent1 87" xfId="41654"/>
    <cellStyle name="Accent1 88" xfId="41655"/>
    <cellStyle name="Accent1 89" xfId="41656"/>
    <cellStyle name="Accent1 9" xfId="41657"/>
    <cellStyle name="Accent1 90" xfId="41658"/>
    <cellStyle name="Accent1 91" xfId="41659"/>
    <cellStyle name="Accent1 92" xfId="41660"/>
    <cellStyle name="Accent1 93" xfId="41661"/>
    <cellStyle name="Accent2 - 20%" xfId="41"/>
    <cellStyle name="Accent2 - 20% 2" xfId="35490"/>
    <cellStyle name="Accent2 - 20% 3" xfId="35222"/>
    <cellStyle name="Accent2 - 40%" xfId="42"/>
    <cellStyle name="Accent2 - 40% 2" xfId="35491"/>
    <cellStyle name="Accent2 - 40% 3" xfId="35223"/>
    <cellStyle name="Accent2 - 60%" xfId="43"/>
    <cellStyle name="Accent2 - 60% 2" xfId="35492"/>
    <cellStyle name="Accent2 - 60% 2 2" xfId="41662"/>
    <cellStyle name="Accent2 - 60% 3" xfId="35224"/>
    <cellStyle name="Accent2 10" xfId="41663"/>
    <cellStyle name="Accent2 11" xfId="41664"/>
    <cellStyle name="Accent2 12" xfId="41665"/>
    <cellStyle name="Accent2 13" xfId="41666"/>
    <cellStyle name="Accent2 14" xfId="41667"/>
    <cellStyle name="Accent2 15" xfId="41668"/>
    <cellStyle name="Accent2 16" xfId="41669"/>
    <cellStyle name="Accent2 17" xfId="41670"/>
    <cellStyle name="Accent2 18" xfId="41671"/>
    <cellStyle name="Accent2 19" xfId="41672"/>
    <cellStyle name="Accent2 2" xfId="44"/>
    <cellStyle name="Accent2 2 2" xfId="35493"/>
    <cellStyle name="Accent2 2 2 2" xfId="41673"/>
    <cellStyle name="Accent2 2 3" xfId="35225"/>
    <cellStyle name="Accent2 20" xfId="41674"/>
    <cellStyle name="Accent2 21" xfId="41675"/>
    <cellStyle name="Accent2 22" xfId="41676"/>
    <cellStyle name="Accent2 23" xfId="41677"/>
    <cellStyle name="Accent2 24" xfId="41678"/>
    <cellStyle name="Accent2 25" xfId="41679"/>
    <cellStyle name="Accent2 26" xfId="41680"/>
    <cellStyle name="Accent2 27" xfId="41681"/>
    <cellStyle name="Accent2 28" xfId="41682"/>
    <cellStyle name="Accent2 29" xfId="41683"/>
    <cellStyle name="Accent2 3" xfId="41684"/>
    <cellStyle name="Accent2 30" xfId="41685"/>
    <cellStyle name="Accent2 31" xfId="41686"/>
    <cellStyle name="Accent2 32" xfId="41687"/>
    <cellStyle name="Accent2 33" xfId="41688"/>
    <cellStyle name="Accent2 34" xfId="41689"/>
    <cellStyle name="Accent2 35" xfId="41690"/>
    <cellStyle name="Accent2 36" xfId="41691"/>
    <cellStyle name="Accent2 37" xfId="41692"/>
    <cellStyle name="Accent2 38" xfId="41693"/>
    <cellStyle name="Accent2 39" xfId="41694"/>
    <cellStyle name="Accent2 4" xfId="41695"/>
    <cellStyle name="Accent2 40" xfId="41696"/>
    <cellStyle name="Accent2 41" xfId="41697"/>
    <cellStyle name="Accent2 42" xfId="41698"/>
    <cellStyle name="Accent2 43" xfId="41699"/>
    <cellStyle name="Accent2 44" xfId="41700"/>
    <cellStyle name="Accent2 45" xfId="41701"/>
    <cellStyle name="Accent2 46" xfId="41702"/>
    <cellStyle name="Accent2 47" xfId="41703"/>
    <cellStyle name="Accent2 48" xfId="41704"/>
    <cellStyle name="Accent2 49" xfId="41705"/>
    <cellStyle name="Accent2 5" xfId="41706"/>
    <cellStyle name="Accent2 50" xfId="41707"/>
    <cellStyle name="Accent2 51" xfId="41708"/>
    <cellStyle name="Accent2 52" xfId="41709"/>
    <cellStyle name="Accent2 53" xfId="41710"/>
    <cellStyle name="Accent2 54" xfId="41711"/>
    <cellStyle name="Accent2 55" xfId="41712"/>
    <cellStyle name="Accent2 56" xfId="41713"/>
    <cellStyle name="Accent2 57" xfId="41714"/>
    <cellStyle name="Accent2 58" xfId="41715"/>
    <cellStyle name="Accent2 59" xfId="41716"/>
    <cellStyle name="Accent2 6" xfId="41717"/>
    <cellStyle name="Accent2 60" xfId="41718"/>
    <cellStyle name="Accent2 61" xfId="41719"/>
    <cellStyle name="Accent2 62" xfId="41720"/>
    <cellStyle name="Accent2 63" xfId="41721"/>
    <cellStyle name="Accent2 64" xfId="41722"/>
    <cellStyle name="Accent2 65" xfId="41723"/>
    <cellStyle name="Accent2 66" xfId="41724"/>
    <cellStyle name="Accent2 67" xfId="41725"/>
    <cellStyle name="Accent2 68" xfId="41726"/>
    <cellStyle name="Accent2 69" xfId="41727"/>
    <cellStyle name="Accent2 7" xfId="41728"/>
    <cellStyle name="Accent2 70" xfId="41729"/>
    <cellStyle name="Accent2 71" xfId="41730"/>
    <cellStyle name="Accent2 72" xfId="41731"/>
    <cellStyle name="Accent2 73" xfId="41732"/>
    <cellStyle name="Accent2 74" xfId="41733"/>
    <cellStyle name="Accent2 75" xfId="41734"/>
    <cellStyle name="Accent2 76" xfId="41735"/>
    <cellStyle name="Accent2 77" xfId="41736"/>
    <cellStyle name="Accent2 78" xfId="41737"/>
    <cellStyle name="Accent2 79" xfId="41738"/>
    <cellStyle name="Accent2 8" xfId="41739"/>
    <cellStyle name="Accent2 80" xfId="41740"/>
    <cellStyle name="Accent2 81" xfId="41741"/>
    <cellStyle name="Accent2 82" xfId="41742"/>
    <cellStyle name="Accent2 83" xfId="41743"/>
    <cellStyle name="Accent2 84" xfId="41744"/>
    <cellStyle name="Accent2 85" xfId="41745"/>
    <cellStyle name="Accent2 86" xfId="41746"/>
    <cellStyle name="Accent2 87" xfId="41747"/>
    <cellStyle name="Accent2 88" xfId="41748"/>
    <cellStyle name="Accent2 89" xfId="41749"/>
    <cellStyle name="Accent2 9" xfId="41750"/>
    <cellStyle name="Accent2 90" xfId="41751"/>
    <cellStyle name="Accent2 91" xfId="41752"/>
    <cellStyle name="Accent2 92" xfId="41753"/>
    <cellStyle name="Accent2 93" xfId="41754"/>
    <cellStyle name="Accent3 - 20%" xfId="45"/>
    <cellStyle name="Accent3 - 20% 2" xfId="35494"/>
    <cellStyle name="Accent3 - 20% 3" xfId="35226"/>
    <cellStyle name="Accent3 - 40%" xfId="46"/>
    <cellStyle name="Accent3 - 40% 2" xfId="35495"/>
    <cellStyle name="Accent3 - 40% 3" xfId="35227"/>
    <cellStyle name="Accent3 - 60%" xfId="47"/>
    <cellStyle name="Accent3 - 60% 2" xfId="35496"/>
    <cellStyle name="Accent3 - 60% 2 2" xfId="41755"/>
    <cellStyle name="Accent3 - 60% 3" xfId="35228"/>
    <cellStyle name="Accent3 10" xfId="41756"/>
    <cellStyle name="Accent3 11" xfId="41757"/>
    <cellStyle name="Accent3 12" xfId="41758"/>
    <cellStyle name="Accent3 13" xfId="41759"/>
    <cellStyle name="Accent3 14" xfId="41760"/>
    <cellStyle name="Accent3 15" xfId="41761"/>
    <cellStyle name="Accent3 16" xfId="41762"/>
    <cellStyle name="Accent3 17" xfId="41763"/>
    <cellStyle name="Accent3 18" xfId="41764"/>
    <cellStyle name="Accent3 19" xfId="41765"/>
    <cellStyle name="Accent3 2" xfId="48"/>
    <cellStyle name="Accent3 2 2" xfId="35497"/>
    <cellStyle name="Accent3 2 2 2" xfId="41766"/>
    <cellStyle name="Accent3 2 3" xfId="35229"/>
    <cellStyle name="Accent3 20" xfId="41767"/>
    <cellStyle name="Accent3 21" xfId="41768"/>
    <cellStyle name="Accent3 22" xfId="41769"/>
    <cellStyle name="Accent3 23" xfId="41770"/>
    <cellStyle name="Accent3 24" xfId="41771"/>
    <cellStyle name="Accent3 25" xfId="41772"/>
    <cellStyle name="Accent3 26" xfId="41773"/>
    <cellStyle name="Accent3 27" xfId="41774"/>
    <cellStyle name="Accent3 28" xfId="41775"/>
    <cellStyle name="Accent3 29" xfId="41776"/>
    <cellStyle name="Accent3 3" xfId="41777"/>
    <cellStyle name="Accent3 30" xfId="41778"/>
    <cellStyle name="Accent3 31" xfId="41779"/>
    <cellStyle name="Accent3 32" xfId="41780"/>
    <cellStyle name="Accent3 33" xfId="41781"/>
    <cellStyle name="Accent3 34" xfId="41782"/>
    <cellStyle name="Accent3 35" xfId="41783"/>
    <cellStyle name="Accent3 36" xfId="41784"/>
    <cellStyle name="Accent3 37" xfId="41785"/>
    <cellStyle name="Accent3 38" xfId="41786"/>
    <cellStyle name="Accent3 39" xfId="41787"/>
    <cellStyle name="Accent3 4" xfId="41788"/>
    <cellStyle name="Accent3 40" xfId="41789"/>
    <cellStyle name="Accent3 41" xfId="41790"/>
    <cellStyle name="Accent3 42" xfId="41791"/>
    <cellStyle name="Accent3 43" xfId="41792"/>
    <cellStyle name="Accent3 44" xfId="41793"/>
    <cellStyle name="Accent3 45" xfId="41794"/>
    <cellStyle name="Accent3 46" xfId="41795"/>
    <cellStyle name="Accent3 47" xfId="41796"/>
    <cellStyle name="Accent3 48" xfId="41797"/>
    <cellStyle name="Accent3 49" xfId="41798"/>
    <cellStyle name="Accent3 5" xfId="41799"/>
    <cellStyle name="Accent3 50" xfId="41800"/>
    <cellStyle name="Accent3 51" xfId="41801"/>
    <cellStyle name="Accent3 52" xfId="41802"/>
    <cellStyle name="Accent3 53" xfId="41803"/>
    <cellStyle name="Accent3 54" xfId="41804"/>
    <cellStyle name="Accent3 55" xfId="41805"/>
    <cellStyle name="Accent3 56" xfId="41806"/>
    <cellStyle name="Accent3 57" xfId="41807"/>
    <cellStyle name="Accent3 58" xfId="41808"/>
    <cellStyle name="Accent3 59" xfId="41809"/>
    <cellStyle name="Accent3 6" xfId="41810"/>
    <cellStyle name="Accent3 60" xfId="41811"/>
    <cellStyle name="Accent3 61" xfId="41812"/>
    <cellStyle name="Accent3 62" xfId="41813"/>
    <cellStyle name="Accent3 63" xfId="41814"/>
    <cellStyle name="Accent3 64" xfId="41815"/>
    <cellStyle name="Accent3 65" xfId="41816"/>
    <cellStyle name="Accent3 66" xfId="41817"/>
    <cellStyle name="Accent3 67" xfId="41818"/>
    <cellStyle name="Accent3 68" xfId="41819"/>
    <cellStyle name="Accent3 69" xfId="41820"/>
    <cellStyle name="Accent3 7" xfId="41821"/>
    <cellStyle name="Accent3 70" xfId="41822"/>
    <cellStyle name="Accent3 71" xfId="41823"/>
    <cellStyle name="Accent3 72" xfId="41824"/>
    <cellStyle name="Accent3 73" xfId="41825"/>
    <cellStyle name="Accent3 74" xfId="41826"/>
    <cellStyle name="Accent3 75" xfId="41827"/>
    <cellStyle name="Accent3 76" xfId="41828"/>
    <cellStyle name="Accent3 77" xfId="41829"/>
    <cellStyle name="Accent3 78" xfId="41830"/>
    <cellStyle name="Accent3 79" xfId="41831"/>
    <cellStyle name="Accent3 8" xfId="41832"/>
    <cellStyle name="Accent3 80" xfId="41833"/>
    <cellStyle name="Accent3 81" xfId="41834"/>
    <cellStyle name="Accent3 82" xfId="41835"/>
    <cellStyle name="Accent3 83" xfId="41836"/>
    <cellStyle name="Accent3 84" xfId="41837"/>
    <cellStyle name="Accent3 85" xfId="41838"/>
    <cellStyle name="Accent3 86" xfId="41839"/>
    <cellStyle name="Accent3 87" xfId="41840"/>
    <cellStyle name="Accent3 88" xfId="41841"/>
    <cellStyle name="Accent3 89" xfId="41842"/>
    <cellStyle name="Accent3 9" xfId="41843"/>
    <cellStyle name="Accent3 90" xfId="41844"/>
    <cellStyle name="Accent3 91" xfId="41845"/>
    <cellStyle name="Accent3 92" xfId="41846"/>
    <cellStyle name="Accent3 93" xfId="41847"/>
    <cellStyle name="Accent4 - 20%" xfId="49"/>
    <cellStyle name="Accent4 - 20% 2" xfId="35498"/>
    <cellStyle name="Accent4 - 20% 3" xfId="35230"/>
    <cellStyle name="Accent4 - 40%" xfId="50"/>
    <cellStyle name="Accent4 - 40% 2" xfId="35499"/>
    <cellStyle name="Accent4 - 40% 3" xfId="35231"/>
    <cellStyle name="Accent4 - 60%" xfId="51"/>
    <cellStyle name="Accent4 - 60% 2" xfId="35500"/>
    <cellStyle name="Accent4 - 60% 2 2" xfId="41848"/>
    <cellStyle name="Accent4 - 60% 3" xfId="35232"/>
    <cellStyle name="Accent4 10" xfId="41849"/>
    <cellStyle name="Accent4 11" xfId="41850"/>
    <cellStyle name="Accent4 12" xfId="41851"/>
    <cellStyle name="Accent4 13" xfId="41852"/>
    <cellStyle name="Accent4 14" xfId="41853"/>
    <cellStyle name="Accent4 15" xfId="41854"/>
    <cellStyle name="Accent4 16" xfId="41855"/>
    <cellStyle name="Accent4 17" xfId="41856"/>
    <cellStyle name="Accent4 18" xfId="41857"/>
    <cellStyle name="Accent4 19" xfId="41858"/>
    <cellStyle name="Accent4 2" xfId="52"/>
    <cellStyle name="Accent4 2 2" xfId="1580"/>
    <cellStyle name="Accent4 2 2 2" xfId="1581"/>
    <cellStyle name="Accent4 2 2 3" xfId="1582"/>
    <cellStyle name="Accent4 2 2 4" xfId="35501"/>
    <cellStyle name="Accent4 2 3" xfId="35233"/>
    <cellStyle name="Accent4 20" xfId="41859"/>
    <cellStyle name="Accent4 21" xfId="41860"/>
    <cellStyle name="Accent4 22" xfId="41861"/>
    <cellStyle name="Accent4 23" xfId="41862"/>
    <cellStyle name="Accent4 24" xfId="41863"/>
    <cellStyle name="Accent4 25" xfId="41864"/>
    <cellStyle name="Accent4 26" xfId="41865"/>
    <cellStyle name="Accent4 27" xfId="41866"/>
    <cellStyle name="Accent4 28" xfId="41867"/>
    <cellStyle name="Accent4 29" xfId="41868"/>
    <cellStyle name="Accent4 3" xfId="41869"/>
    <cellStyle name="Accent4 30" xfId="41870"/>
    <cellStyle name="Accent4 31" xfId="41871"/>
    <cellStyle name="Accent4 32" xfId="41872"/>
    <cellStyle name="Accent4 33" xfId="41873"/>
    <cellStyle name="Accent4 34" xfId="41874"/>
    <cellStyle name="Accent4 35" xfId="41875"/>
    <cellStyle name="Accent4 36" xfId="41876"/>
    <cellStyle name="Accent4 37" xfId="41877"/>
    <cellStyle name="Accent4 38" xfId="41878"/>
    <cellStyle name="Accent4 39" xfId="41879"/>
    <cellStyle name="Accent4 4" xfId="41880"/>
    <cellStyle name="Accent4 40" xfId="41881"/>
    <cellStyle name="Accent4 41" xfId="41882"/>
    <cellStyle name="Accent4 42" xfId="41883"/>
    <cellStyle name="Accent4 43" xfId="41884"/>
    <cellStyle name="Accent4 44" xfId="41885"/>
    <cellStyle name="Accent4 45" xfId="41886"/>
    <cellStyle name="Accent4 46" xfId="41887"/>
    <cellStyle name="Accent4 47" xfId="41888"/>
    <cellStyle name="Accent4 48" xfId="41889"/>
    <cellStyle name="Accent4 49" xfId="41890"/>
    <cellStyle name="Accent4 5" xfId="41891"/>
    <cellStyle name="Accent4 50" xfId="41892"/>
    <cellStyle name="Accent4 51" xfId="41893"/>
    <cellStyle name="Accent4 52" xfId="41894"/>
    <cellStyle name="Accent4 53" xfId="41895"/>
    <cellStyle name="Accent4 54" xfId="41896"/>
    <cellStyle name="Accent4 55" xfId="41897"/>
    <cellStyle name="Accent4 56" xfId="41898"/>
    <cellStyle name="Accent4 57" xfId="41899"/>
    <cellStyle name="Accent4 58" xfId="41900"/>
    <cellStyle name="Accent4 59" xfId="41901"/>
    <cellStyle name="Accent4 6" xfId="41902"/>
    <cellStyle name="Accent4 60" xfId="41903"/>
    <cellStyle name="Accent4 61" xfId="41904"/>
    <cellStyle name="Accent4 62" xfId="41905"/>
    <cellStyle name="Accent4 63" xfId="41906"/>
    <cellStyle name="Accent4 64" xfId="41907"/>
    <cellStyle name="Accent4 65" xfId="41908"/>
    <cellStyle name="Accent4 66" xfId="41909"/>
    <cellStyle name="Accent4 67" xfId="41910"/>
    <cellStyle name="Accent4 68" xfId="41911"/>
    <cellStyle name="Accent4 69" xfId="41912"/>
    <cellStyle name="Accent4 7" xfId="41913"/>
    <cellStyle name="Accent4 70" xfId="41914"/>
    <cellStyle name="Accent4 71" xfId="41915"/>
    <cellStyle name="Accent4 72" xfId="41916"/>
    <cellStyle name="Accent4 73" xfId="41917"/>
    <cellStyle name="Accent4 74" xfId="41918"/>
    <cellStyle name="Accent4 75" xfId="41919"/>
    <cellStyle name="Accent4 76" xfId="41920"/>
    <cellStyle name="Accent4 77" xfId="41921"/>
    <cellStyle name="Accent4 78" xfId="41922"/>
    <cellStyle name="Accent4 79" xfId="41923"/>
    <cellStyle name="Accent4 8" xfId="41924"/>
    <cellStyle name="Accent4 80" xfId="41925"/>
    <cellStyle name="Accent4 81" xfId="41926"/>
    <cellStyle name="Accent4 82" xfId="41927"/>
    <cellStyle name="Accent4 83" xfId="41928"/>
    <cellStyle name="Accent4 84" xfId="41929"/>
    <cellStyle name="Accent4 85" xfId="41930"/>
    <cellStyle name="Accent4 86" xfId="41931"/>
    <cellStyle name="Accent4 87" xfId="41932"/>
    <cellStyle name="Accent4 88" xfId="41933"/>
    <cellStyle name="Accent4 89" xfId="41934"/>
    <cellStyle name="Accent4 9" xfId="41935"/>
    <cellStyle name="Accent4 90" xfId="41936"/>
    <cellStyle name="Accent4 91" xfId="41937"/>
    <cellStyle name="Accent4 92" xfId="41938"/>
    <cellStyle name="Accent4 93" xfId="41939"/>
    <cellStyle name="Accent5 - 20%" xfId="53"/>
    <cellStyle name="Accent5 - 20% 2" xfId="35502"/>
    <cellStyle name="Accent5 - 20% 3" xfId="35234"/>
    <cellStyle name="Accent5 - 40%" xfId="54"/>
    <cellStyle name="Accent5 - 40% 2" xfId="35503"/>
    <cellStyle name="Accent5 - 40% 3" xfId="35235"/>
    <cellStyle name="Accent5 - 60%" xfId="55"/>
    <cellStyle name="Accent5 - 60% 2" xfId="35504"/>
    <cellStyle name="Accent5 - 60% 2 2" xfId="41940"/>
    <cellStyle name="Accent5 - 60% 3" xfId="35236"/>
    <cellStyle name="Accent5 10" xfId="41941"/>
    <cellStyle name="Accent5 11" xfId="41942"/>
    <cellStyle name="Accent5 12" xfId="41943"/>
    <cellStyle name="Accent5 13" xfId="41944"/>
    <cellStyle name="Accent5 14" xfId="41945"/>
    <cellStyle name="Accent5 15" xfId="41946"/>
    <cellStyle name="Accent5 16" xfId="41947"/>
    <cellStyle name="Accent5 17" xfId="41948"/>
    <cellStyle name="Accent5 18" xfId="41949"/>
    <cellStyle name="Accent5 19" xfId="41950"/>
    <cellStyle name="Accent5 2" xfId="56"/>
    <cellStyle name="Accent5 2 2" xfId="35505"/>
    <cellStyle name="Accent5 2 2 2" xfId="41951"/>
    <cellStyle name="Accent5 2 3" xfId="35237"/>
    <cellStyle name="Accent5 20" xfId="41952"/>
    <cellStyle name="Accent5 21" xfId="41953"/>
    <cellStyle name="Accent5 22" xfId="41954"/>
    <cellStyle name="Accent5 23" xfId="41955"/>
    <cellStyle name="Accent5 24" xfId="41956"/>
    <cellStyle name="Accent5 25" xfId="41957"/>
    <cellStyle name="Accent5 26" xfId="41958"/>
    <cellStyle name="Accent5 27" xfId="41959"/>
    <cellStyle name="Accent5 28" xfId="41960"/>
    <cellStyle name="Accent5 29" xfId="41961"/>
    <cellStyle name="Accent5 3" xfId="41962"/>
    <cellStyle name="Accent5 30" xfId="41963"/>
    <cellStyle name="Accent5 31" xfId="41964"/>
    <cellStyle name="Accent5 32" xfId="41965"/>
    <cellStyle name="Accent5 33" xfId="41966"/>
    <cellStyle name="Accent5 34" xfId="41967"/>
    <cellStyle name="Accent5 35" xfId="41968"/>
    <cellStyle name="Accent5 36" xfId="41969"/>
    <cellStyle name="Accent5 37" xfId="41970"/>
    <cellStyle name="Accent5 38" xfId="41971"/>
    <cellStyle name="Accent5 39" xfId="41972"/>
    <cellStyle name="Accent5 4" xfId="41973"/>
    <cellStyle name="Accent5 40" xfId="41974"/>
    <cellStyle name="Accent5 41" xfId="41975"/>
    <cellStyle name="Accent5 42" xfId="41976"/>
    <cellStyle name="Accent5 43" xfId="41977"/>
    <cellStyle name="Accent5 44" xfId="41978"/>
    <cellStyle name="Accent5 45" xfId="41979"/>
    <cellStyle name="Accent5 46" xfId="41980"/>
    <cellStyle name="Accent5 47" xfId="41981"/>
    <cellStyle name="Accent5 48" xfId="41982"/>
    <cellStyle name="Accent5 49" xfId="41983"/>
    <cellStyle name="Accent5 5" xfId="41984"/>
    <cellStyle name="Accent5 50" xfId="41985"/>
    <cellStyle name="Accent5 51" xfId="41986"/>
    <cellStyle name="Accent5 52" xfId="41987"/>
    <cellStyle name="Accent5 53" xfId="41988"/>
    <cellStyle name="Accent5 54" xfId="41989"/>
    <cellStyle name="Accent5 55" xfId="41990"/>
    <cellStyle name="Accent5 56" xfId="41991"/>
    <cellStyle name="Accent5 57" xfId="41992"/>
    <cellStyle name="Accent5 58" xfId="41993"/>
    <cellStyle name="Accent5 59" xfId="41994"/>
    <cellStyle name="Accent5 6" xfId="41995"/>
    <cellStyle name="Accent5 60" xfId="41996"/>
    <cellStyle name="Accent5 61" xfId="41997"/>
    <cellStyle name="Accent5 62" xfId="41998"/>
    <cellStyle name="Accent5 63" xfId="41999"/>
    <cellStyle name="Accent5 64" xfId="42000"/>
    <cellStyle name="Accent5 65" xfId="42001"/>
    <cellStyle name="Accent5 66" xfId="42002"/>
    <cellStyle name="Accent5 67" xfId="42003"/>
    <cellStyle name="Accent5 68" xfId="42004"/>
    <cellStyle name="Accent5 69" xfId="42005"/>
    <cellStyle name="Accent5 7" xfId="42006"/>
    <cellStyle name="Accent5 70" xfId="42007"/>
    <cellStyle name="Accent5 71" xfId="42008"/>
    <cellStyle name="Accent5 72" xfId="42009"/>
    <cellStyle name="Accent5 73" xfId="42010"/>
    <cellStyle name="Accent5 74" xfId="42011"/>
    <cellStyle name="Accent5 75" xfId="42012"/>
    <cellStyle name="Accent5 76" xfId="42013"/>
    <cellStyle name="Accent5 77" xfId="42014"/>
    <cellStyle name="Accent5 78" xfId="42015"/>
    <cellStyle name="Accent5 79" xfId="42016"/>
    <cellStyle name="Accent5 8" xfId="42017"/>
    <cellStyle name="Accent5 80" xfId="42018"/>
    <cellStyle name="Accent5 81" xfId="42019"/>
    <cellStyle name="Accent5 82" xfId="42020"/>
    <cellStyle name="Accent5 83" xfId="42021"/>
    <cellStyle name="Accent5 84" xfId="42022"/>
    <cellStyle name="Accent5 85" xfId="42023"/>
    <cellStyle name="Accent5 86" xfId="42024"/>
    <cellStyle name="Accent5 87" xfId="42025"/>
    <cellStyle name="Accent5 88" xfId="42026"/>
    <cellStyle name="Accent5 89" xfId="42027"/>
    <cellStyle name="Accent5 9" xfId="42028"/>
    <cellStyle name="Accent5 90" xfId="42029"/>
    <cellStyle name="Accent5 91" xfId="42030"/>
    <cellStyle name="Accent5 92" xfId="42031"/>
    <cellStyle name="Accent5 93" xfId="42032"/>
    <cellStyle name="Accent6 - 20%" xfId="57"/>
    <cellStyle name="Accent6 - 20% 2" xfId="35506"/>
    <cellStyle name="Accent6 - 20% 3" xfId="35238"/>
    <cellStyle name="Accent6 - 40%" xfId="58"/>
    <cellStyle name="Accent6 - 40% 2" xfId="35507"/>
    <cellStyle name="Accent6 - 40% 3" xfId="35239"/>
    <cellStyle name="Accent6 - 60%" xfId="59"/>
    <cellStyle name="Accent6 - 60% 2" xfId="35508"/>
    <cellStyle name="Accent6 - 60% 2 2" xfId="42033"/>
    <cellStyle name="Accent6 - 60% 3" xfId="35240"/>
    <cellStyle name="Accent6 10" xfId="42034"/>
    <cellStyle name="Accent6 11" xfId="42035"/>
    <cellStyle name="Accent6 12" xfId="42036"/>
    <cellStyle name="Accent6 13" xfId="42037"/>
    <cellStyle name="Accent6 14" xfId="42038"/>
    <cellStyle name="Accent6 15" xfId="42039"/>
    <cellStyle name="Accent6 16" xfId="42040"/>
    <cellStyle name="Accent6 17" xfId="42041"/>
    <cellStyle name="Accent6 18" xfId="42042"/>
    <cellStyle name="Accent6 19" xfId="42043"/>
    <cellStyle name="Accent6 2" xfId="60"/>
    <cellStyle name="Accent6 2 2" xfId="35509"/>
    <cellStyle name="Accent6 2 2 2" xfId="42044"/>
    <cellStyle name="Accent6 2 3" xfId="35241"/>
    <cellStyle name="Accent6 20" xfId="42045"/>
    <cellStyle name="Accent6 21" xfId="42046"/>
    <cellStyle name="Accent6 22" xfId="42047"/>
    <cellStyle name="Accent6 23" xfId="42048"/>
    <cellStyle name="Accent6 24" xfId="42049"/>
    <cellStyle name="Accent6 25" xfId="42050"/>
    <cellStyle name="Accent6 26" xfId="42051"/>
    <cellStyle name="Accent6 27" xfId="42052"/>
    <cellStyle name="Accent6 28" xfId="42053"/>
    <cellStyle name="Accent6 29" xfId="42054"/>
    <cellStyle name="Accent6 3" xfId="42055"/>
    <cellStyle name="Accent6 30" xfId="42056"/>
    <cellStyle name="Accent6 31" xfId="42057"/>
    <cellStyle name="Accent6 32" xfId="42058"/>
    <cellStyle name="Accent6 33" xfId="42059"/>
    <cellStyle name="Accent6 34" xfId="42060"/>
    <cellStyle name="Accent6 35" xfId="42061"/>
    <cellStyle name="Accent6 36" xfId="42062"/>
    <cellStyle name="Accent6 37" xfId="42063"/>
    <cellStyle name="Accent6 38" xfId="42064"/>
    <cellStyle name="Accent6 39" xfId="42065"/>
    <cellStyle name="Accent6 4" xfId="42066"/>
    <cellStyle name="Accent6 40" xfId="42067"/>
    <cellStyle name="Accent6 41" xfId="42068"/>
    <cellStyle name="Accent6 42" xfId="42069"/>
    <cellStyle name="Accent6 43" xfId="42070"/>
    <cellStyle name="Accent6 44" xfId="42071"/>
    <cellStyle name="Accent6 45" xfId="42072"/>
    <cellStyle name="Accent6 46" xfId="42073"/>
    <cellStyle name="Accent6 47" xfId="42074"/>
    <cellStyle name="Accent6 48" xfId="42075"/>
    <cellStyle name="Accent6 49" xfId="42076"/>
    <cellStyle name="Accent6 5" xfId="42077"/>
    <cellStyle name="Accent6 50" xfId="42078"/>
    <cellStyle name="Accent6 51" xfId="42079"/>
    <cellStyle name="Accent6 52" xfId="42080"/>
    <cellStyle name="Accent6 53" xfId="42081"/>
    <cellStyle name="Accent6 54" xfId="42082"/>
    <cellStyle name="Accent6 55" xfId="42083"/>
    <cellStyle name="Accent6 56" xfId="42084"/>
    <cellStyle name="Accent6 57" xfId="42085"/>
    <cellStyle name="Accent6 58" xfId="42086"/>
    <cellStyle name="Accent6 59" xfId="42087"/>
    <cellStyle name="Accent6 6" xfId="42088"/>
    <cellStyle name="Accent6 60" xfId="42089"/>
    <cellStyle name="Accent6 61" xfId="42090"/>
    <cellStyle name="Accent6 62" xfId="42091"/>
    <cellStyle name="Accent6 63" xfId="42092"/>
    <cellStyle name="Accent6 64" xfId="42093"/>
    <cellStyle name="Accent6 65" xfId="42094"/>
    <cellStyle name="Accent6 66" xfId="42095"/>
    <cellStyle name="Accent6 67" xfId="42096"/>
    <cellStyle name="Accent6 68" xfId="42097"/>
    <cellStyle name="Accent6 69" xfId="42098"/>
    <cellStyle name="Accent6 7" xfId="42099"/>
    <cellStyle name="Accent6 70" xfId="42100"/>
    <cellStyle name="Accent6 71" xfId="42101"/>
    <cellStyle name="Accent6 72" xfId="42102"/>
    <cellStyle name="Accent6 73" xfId="42103"/>
    <cellStyle name="Accent6 74" xfId="42104"/>
    <cellStyle name="Accent6 75" xfId="42105"/>
    <cellStyle name="Accent6 76" xfId="42106"/>
    <cellStyle name="Accent6 77" xfId="42107"/>
    <cellStyle name="Accent6 78" xfId="42108"/>
    <cellStyle name="Accent6 79" xfId="42109"/>
    <cellStyle name="Accent6 8" xfId="42110"/>
    <cellStyle name="Accent6 80" xfId="42111"/>
    <cellStyle name="Accent6 81" xfId="42112"/>
    <cellStyle name="Accent6 82" xfId="42113"/>
    <cellStyle name="Accent6 83" xfId="42114"/>
    <cellStyle name="Accent6 84" xfId="42115"/>
    <cellStyle name="Accent6 85" xfId="42116"/>
    <cellStyle name="Accent6 86" xfId="42117"/>
    <cellStyle name="Accent6 87" xfId="42118"/>
    <cellStyle name="Accent6 88" xfId="42119"/>
    <cellStyle name="Accent6 89" xfId="42120"/>
    <cellStyle name="Accent6 9" xfId="42121"/>
    <cellStyle name="Accent6 90" xfId="42122"/>
    <cellStyle name="Accent6 91" xfId="42123"/>
    <cellStyle name="Accent6 92" xfId="42124"/>
    <cellStyle name="Accent6 93" xfId="42125"/>
    <cellStyle name="Agara" xfId="61"/>
    <cellStyle name="Agara 2" xfId="35510"/>
    <cellStyle name="Agara 3" xfId="35242"/>
    <cellStyle name="B79812_.wvu.PrintTitlest" xfId="62"/>
    <cellStyle name="Bad 2" xfId="63"/>
    <cellStyle name="Bad 2 2" xfId="35511"/>
    <cellStyle name="Bad 2 3" xfId="35243"/>
    <cellStyle name="Bad 3" xfId="42126"/>
    <cellStyle name="Black" xfId="64"/>
    <cellStyle name="Black 2" xfId="35512"/>
    <cellStyle name="Black 3" xfId="35244"/>
    <cellStyle name="Blockout" xfId="65"/>
    <cellStyle name="Blockout 2" xfId="66"/>
    <cellStyle name="Blue" xfId="67"/>
    <cellStyle name="Blue 2" xfId="35513"/>
    <cellStyle name="Blue 3" xfId="35245"/>
    <cellStyle name="Calculation 2" xfId="68"/>
    <cellStyle name="Calculation 2 10" xfId="1583"/>
    <cellStyle name="Calculation 2 10 2" xfId="1584"/>
    <cellStyle name="Calculation 2 10 3" xfId="1585"/>
    <cellStyle name="Calculation 2 10 4" xfId="3922"/>
    <cellStyle name="Calculation 2 10 5" xfId="3923"/>
    <cellStyle name="Calculation 2 10 6" xfId="35791"/>
    <cellStyle name="Calculation 2 10 7" xfId="42127"/>
    <cellStyle name="Calculation 2 10 8" xfId="50626"/>
    <cellStyle name="Calculation 2 11" xfId="1106"/>
    <cellStyle name="Calculation 2 11 2" xfId="3924"/>
    <cellStyle name="Calculation 2 11 3" xfId="3925"/>
    <cellStyle name="Calculation 2 11 4" xfId="3926"/>
    <cellStyle name="Calculation 2 11 5" xfId="3927"/>
    <cellStyle name="Calculation 2 11 6" xfId="35889"/>
    <cellStyle name="Calculation 2 11 7" xfId="42128"/>
    <cellStyle name="Calculation 2 11 8" xfId="50627"/>
    <cellStyle name="Calculation 2 12" xfId="3090"/>
    <cellStyle name="Calculation 2 12 2" xfId="3928"/>
    <cellStyle name="Calculation 2 12 3" xfId="3929"/>
    <cellStyle name="Calculation 2 12 4" xfId="3930"/>
    <cellStyle name="Calculation 2 12 5" xfId="3931"/>
    <cellStyle name="Calculation 2 12 6" xfId="36021"/>
    <cellStyle name="Calculation 2 12 7" xfId="42129"/>
    <cellStyle name="Calculation 2 12 8" xfId="50628"/>
    <cellStyle name="Calculation 2 13" xfId="3281"/>
    <cellStyle name="Calculation 2 13 2" xfId="3932"/>
    <cellStyle name="Calculation 2 13 3" xfId="3933"/>
    <cellStyle name="Calculation 2 13 4" xfId="3934"/>
    <cellStyle name="Calculation 2 13 5" xfId="3935"/>
    <cellStyle name="Calculation 2 13 6" xfId="42130"/>
    <cellStyle name="Calculation 2 13 7" xfId="50629"/>
    <cellStyle name="Calculation 2 14" xfId="3936"/>
    <cellStyle name="Calculation 2 14 2" xfId="3937"/>
    <cellStyle name="Calculation 2 14 3" xfId="3938"/>
    <cellStyle name="Calculation 2 14 4" xfId="3939"/>
    <cellStyle name="Calculation 2 14 5" xfId="3940"/>
    <cellStyle name="Calculation 2 14 6" xfId="42131"/>
    <cellStyle name="Calculation 2 14 7" xfId="50630"/>
    <cellStyle name="Calculation 2 15" xfId="3941"/>
    <cellStyle name="Calculation 2 15 2" xfId="3942"/>
    <cellStyle name="Calculation 2 15 3" xfId="3943"/>
    <cellStyle name="Calculation 2 15 4" xfId="3944"/>
    <cellStyle name="Calculation 2 15 5" xfId="3945"/>
    <cellStyle name="Calculation 2 15 6" xfId="42132"/>
    <cellStyle name="Calculation 2 15 7" xfId="50631"/>
    <cellStyle name="Calculation 2 16" xfId="3946"/>
    <cellStyle name="Calculation 2 16 2" xfId="3947"/>
    <cellStyle name="Calculation 2 16 3" xfId="3948"/>
    <cellStyle name="Calculation 2 16 4" xfId="3949"/>
    <cellStyle name="Calculation 2 16 5" xfId="3950"/>
    <cellStyle name="Calculation 2 16 6" xfId="42133"/>
    <cellStyle name="Calculation 2 16 7" xfId="50632"/>
    <cellStyle name="Calculation 2 17" xfId="3951"/>
    <cellStyle name="Calculation 2 17 2" xfId="3952"/>
    <cellStyle name="Calculation 2 17 3" xfId="3953"/>
    <cellStyle name="Calculation 2 17 4" xfId="3954"/>
    <cellStyle name="Calculation 2 17 5" xfId="3955"/>
    <cellStyle name="Calculation 2 17 6" xfId="42134"/>
    <cellStyle name="Calculation 2 17 7" xfId="50633"/>
    <cellStyle name="Calculation 2 18" xfId="3956"/>
    <cellStyle name="Calculation 2 18 2" xfId="3957"/>
    <cellStyle name="Calculation 2 18 3" xfId="3958"/>
    <cellStyle name="Calculation 2 18 4" xfId="3959"/>
    <cellStyle name="Calculation 2 18 5" xfId="3960"/>
    <cellStyle name="Calculation 2 18 6" xfId="42135"/>
    <cellStyle name="Calculation 2 18 7" xfId="50634"/>
    <cellStyle name="Calculation 2 19" xfId="3961"/>
    <cellStyle name="Calculation 2 2" xfId="239"/>
    <cellStyle name="Calculation 2 2 10" xfId="3071"/>
    <cellStyle name="Calculation 2 2 10 2" xfId="3962"/>
    <cellStyle name="Calculation 2 2 10 3" xfId="3963"/>
    <cellStyle name="Calculation 2 2 10 4" xfId="3964"/>
    <cellStyle name="Calculation 2 2 10 5" xfId="3965"/>
    <cellStyle name="Calculation 2 2 10 6" xfId="36033"/>
    <cellStyle name="Calculation 2 2 10 7" xfId="42136"/>
    <cellStyle name="Calculation 2 2 10 8" xfId="50635"/>
    <cellStyle name="Calculation 2 2 11" xfId="3966"/>
    <cellStyle name="Calculation 2 2 11 2" xfId="3967"/>
    <cellStyle name="Calculation 2 2 11 3" xfId="3968"/>
    <cellStyle name="Calculation 2 2 11 4" xfId="3969"/>
    <cellStyle name="Calculation 2 2 11 5" xfId="3970"/>
    <cellStyle name="Calculation 2 2 11 6" xfId="35860"/>
    <cellStyle name="Calculation 2 2 11 7" xfId="42137"/>
    <cellStyle name="Calculation 2 2 11 8" xfId="50636"/>
    <cellStyle name="Calculation 2 2 12" xfId="3971"/>
    <cellStyle name="Calculation 2 2 12 2" xfId="3972"/>
    <cellStyle name="Calculation 2 2 12 3" xfId="3973"/>
    <cellStyle name="Calculation 2 2 12 4" xfId="3974"/>
    <cellStyle name="Calculation 2 2 12 5" xfId="3975"/>
    <cellStyle name="Calculation 2 2 12 6" xfId="35885"/>
    <cellStyle name="Calculation 2 2 12 7" xfId="42138"/>
    <cellStyle name="Calculation 2 2 12 8" xfId="50637"/>
    <cellStyle name="Calculation 2 2 13" xfId="3976"/>
    <cellStyle name="Calculation 2 2 13 2" xfId="3977"/>
    <cellStyle name="Calculation 2 2 13 3" xfId="3978"/>
    <cellStyle name="Calculation 2 2 13 4" xfId="3979"/>
    <cellStyle name="Calculation 2 2 13 5" xfId="3980"/>
    <cellStyle name="Calculation 2 2 13 6" xfId="36055"/>
    <cellStyle name="Calculation 2 2 13 7" xfId="42139"/>
    <cellStyle name="Calculation 2 2 13 8" xfId="50638"/>
    <cellStyle name="Calculation 2 2 14" xfId="3981"/>
    <cellStyle name="Calculation 2 2 14 2" xfId="3982"/>
    <cellStyle name="Calculation 2 2 14 3" xfId="3983"/>
    <cellStyle name="Calculation 2 2 14 4" xfId="3984"/>
    <cellStyle name="Calculation 2 2 14 5" xfId="3985"/>
    <cellStyle name="Calculation 2 2 14 6" xfId="35876"/>
    <cellStyle name="Calculation 2 2 14 7" xfId="42140"/>
    <cellStyle name="Calculation 2 2 14 8" xfId="50639"/>
    <cellStyle name="Calculation 2 2 15" xfId="3986"/>
    <cellStyle name="Calculation 2 2 15 2" xfId="3987"/>
    <cellStyle name="Calculation 2 2 15 3" xfId="3988"/>
    <cellStyle name="Calculation 2 2 15 4" xfId="3989"/>
    <cellStyle name="Calculation 2 2 15 5" xfId="3990"/>
    <cellStyle name="Calculation 2 2 15 6" xfId="35993"/>
    <cellStyle name="Calculation 2 2 15 7" xfId="42141"/>
    <cellStyle name="Calculation 2 2 15 8" xfId="50640"/>
    <cellStyle name="Calculation 2 2 16" xfId="3991"/>
    <cellStyle name="Calculation 2 2 16 2" xfId="3992"/>
    <cellStyle name="Calculation 2 2 16 3" xfId="3993"/>
    <cellStyle name="Calculation 2 2 16 4" xfId="3994"/>
    <cellStyle name="Calculation 2 2 16 5" xfId="3995"/>
    <cellStyle name="Calculation 2 2 16 6" xfId="42142"/>
    <cellStyle name="Calculation 2 2 16 7" xfId="50641"/>
    <cellStyle name="Calculation 2 2 17" xfId="3996"/>
    <cellStyle name="Calculation 2 2 17 2" xfId="3997"/>
    <cellStyle name="Calculation 2 2 17 3" xfId="3998"/>
    <cellStyle name="Calculation 2 2 17 4" xfId="3999"/>
    <cellStyle name="Calculation 2 2 17 5" xfId="4000"/>
    <cellStyle name="Calculation 2 2 18" xfId="4001"/>
    <cellStyle name="Calculation 2 2 19" xfId="687"/>
    <cellStyle name="Calculation 2 2 2" xfId="266"/>
    <cellStyle name="Calculation 2 2 2 10" xfId="4002"/>
    <cellStyle name="Calculation 2 2 2 10 2" xfId="4003"/>
    <cellStyle name="Calculation 2 2 2 10 3" xfId="4004"/>
    <cellStyle name="Calculation 2 2 2 10 4" xfId="4005"/>
    <cellStyle name="Calculation 2 2 2 10 5" xfId="4006"/>
    <cellStyle name="Calculation 2 2 2 10 6" xfId="38211"/>
    <cellStyle name="Calculation 2 2 2 10 7" xfId="42143"/>
    <cellStyle name="Calculation 2 2 2 10 8" xfId="50642"/>
    <cellStyle name="Calculation 2 2 2 11" xfId="4007"/>
    <cellStyle name="Calculation 2 2 2 11 2" xfId="4008"/>
    <cellStyle name="Calculation 2 2 2 11 3" xfId="4009"/>
    <cellStyle name="Calculation 2 2 2 11 4" xfId="4010"/>
    <cellStyle name="Calculation 2 2 2 11 5" xfId="4011"/>
    <cellStyle name="Calculation 2 2 2 11 6" xfId="38833"/>
    <cellStyle name="Calculation 2 2 2 11 7" xfId="42144"/>
    <cellStyle name="Calculation 2 2 2 11 8" xfId="50643"/>
    <cellStyle name="Calculation 2 2 2 12" xfId="4012"/>
    <cellStyle name="Calculation 2 2 2 12 2" xfId="4013"/>
    <cellStyle name="Calculation 2 2 2 12 3" xfId="4014"/>
    <cellStyle name="Calculation 2 2 2 12 4" xfId="4015"/>
    <cellStyle name="Calculation 2 2 2 12 5" xfId="4016"/>
    <cellStyle name="Calculation 2 2 2 12 6" xfId="39453"/>
    <cellStyle name="Calculation 2 2 2 12 7" xfId="42145"/>
    <cellStyle name="Calculation 2 2 2 12 8" xfId="50644"/>
    <cellStyle name="Calculation 2 2 2 13" xfId="4017"/>
    <cellStyle name="Calculation 2 2 2 13 2" xfId="4018"/>
    <cellStyle name="Calculation 2 2 2 13 3" xfId="4019"/>
    <cellStyle name="Calculation 2 2 2 13 4" xfId="4020"/>
    <cellStyle name="Calculation 2 2 2 13 5" xfId="4021"/>
    <cellStyle name="Calculation 2 2 2 13 6" xfId="40071"/>
    <cellStyle name="Calculation 2 2 2 13 7" xfId="42146"/>
    <cellStyle name="Calculation 2 2 2 13 8" xfId="50645"/>
    <cellStyle name="Calculation 2 2 2 14" xfId="4022"/>
    <cellStyle name="Calculation 2 2 2 14 2" xfId="4023"/>
    <cellStyle name="Calculation 2 2 2 14 3" xfId="4024"/>
    <cellStyle name="Calculation 2 2 2 14 4" xfId="4025"/>
    <cellStyle name="Calculation 2 2 2 14 5" xfId="4026"/>
    <cellStyle name="Calculation 2 2 2 14 6" xfId="42147"/>
    <cellStyle name="Calculation 2 2 2 14 7" xfId="50646"/>
    <cellStyle name="Calculation 2 2 2 15" xfId="4027"/>
    <cellStyle name="Calculation 2 2 2 15 2" xfId="4028"/>
    <cellStyle name="Calculation 2 2 2 15 3" xfId="4029"/>
    <cellStyle name="Calculation 2 2 2 15 4" xfId="4030"/>
    <cellStyle name="Calculation 2 2 2 15 5" xfId="4031"/>
    <cellStyle name="Calculation 2 2 2 16" xfId="4032"/>
    <cellStyle name="Calculation 2 2 2 17" xfId="711"/>
    <cellStyle name="Calculation 2 2 2 18" xfId="34897"/>
    <cellStyle name="Calculation 2 2 2 19" xfId="40795"/>
    <cellStyle name="Calculation 2 2 2 2" xfId="324"/>
    <cellStyle name="Calculation 2 2 2 2 10" xfId="4033"/>
    <cellStyle name="Calculation 2 2 2 2 10 2" xfId="4034"/>
    <cellStyle name="Calculation 2 2 2 2 10 3" xfId="4035"/>
    <cellStyle name="Calculation 2 2 2 2 10 4" xfId="4036"/>
    <cellStyle name="Calculation 2 2 2 2 10 5" xfId="4037"/>
    <cellStyle name="Calculation 2 2 2 2 10 6" xfId="39502"/>
    <cellStyle name="Calculation 2 2 2 2 10 7" xfId="42148"/>
    <cellStyle name="Calculation 2 2 2 2 10 8" xfId="50647"/>
    <cellStyle name="Calculation 2 2 2 2 11" xfId="4038"/>
    <cellStyle name="Calculation 2 2 2 2 11 2" xfId="4039"/>
    <cellStyle name="Calculation 2 2 2 2 11 3" xfId="4040"/>
    <cellStyle name="Calculation 2 2 2 2 11 4" xfId="4041"/>
    <cellStyle name="Calculation 2 2 2 2 11 5" xfId="4042"/>
    <cellStyle name="Calculation 2 2 2 2 11 6" xfId="40120"/>
    <cellStyle name="Calculation 2 2 2 2 11 7" xfId="42149"/>
    <cellStyle name="Calculation 2 2 2 2 11 8" xfId="50648"/>
    <cellStyle name="Calculation 2 2 2 2 12" xfId="4043"/>
    <cellStyle name="Calculation 2 2 2 2 12 2" xfId="4044"/>
    <cellStyle name="Calculation 2 2 2 2 12 3" xfId="4045"/>
    <cellStyle name="Calculation 2 2 2 2 12 4" xfId="4046"/>
    <cellStyle name="Calculation 2 2 2 2 12 5" xfId="4047"/>
    <cellStyle name="Calculation 2 2 2 2 12 6" xfId="42150"/>
    <cellStyle name="Calculation 2 2 2 2 12 7" xfId="50649"/>
    <cellStyle name="Calculation 2 2 2 2 13" xfId="4048"/>
    <cellStyle name="Calculation 2 2 2 2 13 2" xfId="4049"/>
    <cellStyle name="Calculation 2 2 2 2 13 3" xfId="4050"/>
    <cellStyle name="Calculation 2 2 2 2 13 4" xfId="4051"/>
    <cellStyle name="Calculation 2 2 2 2 13 5" xfId="4052"/>
    <cellStyle name="Calculation 2 2 2 2 13 6" xfId="42151"/>
    <cellStyle name="Calculation 2 2 2 2 13 7" xfId="50650"/>
    <cellStyle name="Calculation 2 2 2 2 14" xfId="4053"/>
    <cellStyle name="Calculation 2 2 2 2 14 2" xfId="4054"/>
    <cellStyle name="Calculation 2 2 2 2 14 3" xfId="4055"/>
    <cellStyle name="Calculation 2 2 2 2 14 4" xfId="4056"/>
    <cellStyle name="Calculation 2 2 2 2 14 5" xfId="4057"/>
    <cellStyle name="Calculation 2 2 2 2 15" xfId="4058"/>
    <cellStyle name="Calculation 2 2 2 2 15 2" xfId="4059"/>
    <cellStyle name="Calculation 2 2 2 2 15 3" xfId="4060"/>
    <cellStyle name="Calculation 2 2 2 2 15 4" xfId="4061"/>
    <cellStyle name="Calculation 2 2 2 2 15 5" xfId="4062"/>
    <cellStyle name="Calculation 2 2 2 2 16" xfId="4063"/>
    <cellStyle name="Calculation 2 2 2 2 16 2" xfId="4064"/>
    <cellStyle name="Calculation 2 2 2 2 16 3" xfId="4065"/>
    <cellStyle name="Calculation 2 2 2 2 16 4" xfId="4066"/>
    <cellStyle name="Calculation 2 2 2 2 16 5" xfId="4067"/>
    <cellStyle name="Calculation 2 2 2 2 17" xfId="4068"/>
    <cellStyle name="Calculation 2 2 2 2 17 2" xfId="4069"/>
    <cellStyle name="Calculation 2 2 2 2 17 3" xfId="4070"/>
    <cellStyle name="Calculation 2 2 2 2 17 4" xfId="4071"/>
    <cellStyle name="Calculation 2 2 2 2 17 5" xfId="4072"/>
    <cellStyle name="Calculation 2 2 2 2 18" xfId="4073"/>
    <cellStyle name="Calculation 2 2 2 2 19" xfId="760"/>
    <cellStyle name="Calculation 2 2 2 2 2" xfId="545"/>
    <cellStyle name="Calculation 2 2 2 2 2 10" xfId="4074"/>
    <cellStyle name="Calculation 2 2 2 2 2 10 2" xfId="4075"/>
    <cellStyle name="Calculation 2 2 2 2 2 10 3" xfId="4076"/>
    <cellStyle name="Calculation 2 2 2 2 2 10 4" xfId="4077"/>
    <cellStyle name="Calculation 2 2 2 2 2 10 5" xfId="4078"/>
    <cellStyle name="Calculation 2 2 2 2 2 10 6" xfId="42152"/>
    <cellStyle name="Calculation 2 2 2 2 2 10 7" xfId="50651"/>
    <cellStyle name="Calculation 2 2 2 2 2 11" xfId="4079"/>
    <cellStyle name="Calculation 2 2 2 2 2 11 2" xfId="4080"/>
    <cellStyle name="Calculation 2 2 2 2 2 11 3" xfId="4081"/>
    <cellStyle name="Calculation 2 2 2 2 2 11 4" xfId="4082"/>
    <cellStyle name="Calculation 2 2 2 2 2 11 5" xfId="4083"/>
    <cellStyle name="Calculation 2 2 2 2 2 12" xfId="4084"/>
    <cellStyle name="Calculation 2 2 2 2 2 12 2" xfId="4085"/>
    <cellStyle name="Calculation 2 2 2 2 2 12 3" xfId="4086"/>
    <cellStyle name="Calculation 2 2 2 2 2 12 4" xfId="4087"/>
    <cellStyle name="Calculation 2 2 2 2 2 12 5" xfId="4088"/>
    <cellStyle name="Calculation 2 2 2 2 2 13" xfId="4089"/>
    <cellStyle name="Calculation 2 2 2 2 2 13 2" xfId="4090"/>
    <cellStyle name="Calculation 2 2 2 2 2 13 3" xfId="4091"/>
    <cellStyle name="Calculation 2 2 2 2 2 13 4" xfId="4092"/>
    <cellStyle name="Calculation 2 2 2 2 2 13 5" xfId="4093"/>
    <cellStyle name="Calculation 2 2 2 2 2 14" xfId="4094"/>
    <cellStyle name="Calculation 2 2 2 2 2 14 2" xfId="4095"/>
    <cellStyle name="Calculation 2 2 2 2 2 14 3" xfId="4096"/>
    <cellStyle name="Calculation 2 2 2 2 2 14 4" xfId="4097"/>
    <cellStyle name="Calculation 2 2 2 2 2 14 5" xfId="4098"/>
    <cellStyle name="Calculation 2 2 2 2 2 15" xfId="4099"/>
    <cellStyle name="Calculation 2 2 2 2 2 15 2" xfId="4100"/>
    <cellStyle name="Calculation 2 2 2 2 2 15 3" xfId="4101"/>
    <cellStyle name="Calculation 2 2 2 2 2 15 4" xfId="4102"/>
    <cellStyle name="Calculation 2 2 2 2 2 15 5" xfId="4103"/>
    <cellStyle name="Calculation 2 2 2 2 2 16" xfId="4104"/>
    <cellStyle name="Calculation 2 2 2 2 2 16 2" xfId="4105"/>
    <cellStyle name="Calculation 2 2 2 2 2 16 3" xfId="4106"/>
    <cellStyle name="Calculation 2 2 2 2 2 16 4" xfId="4107"/>
    <cellStyle name="Calculation 2 2 2 2 2 16 5" xfId="4108"/>
    <cellStyle name="Calculation 2 2 2 2 2 17" xfId="4109"/>
    <cellStyle name="Calculation 2 2 2 2 2 17 2" xfId="4110"/>
    <cellStyle name="Calculation 2 2 2 2 2 17 3" xfId="4111"/>
    <cellStyle name="Calculation 2 2 2 2 2 17 4" xfId="4112"/>
    <cellStyle name="Calculation 2 2 2 2 2 17 5" xfId="4113"/>
    <cellStyle name="Calculation 2 2 2 2 2 18" xfId="4114"/>
    <cellStyle name="Calculation 2 2 2 2 2 19" xfId="974"/>
    <cellStyle name="Calculation 2 2 2 2 2 2" xfId="1586"/>
    <cellStyle name="Calculation 2 2 2 2 2 2 2" xfId="4115"/>
    <cellStyle name="Calculation 2 2 2 2 2 2 3" xfId="4116"/>
    <cellStyle name="Calculation 2 2 2 2 2 2 4" xfId="4117"/>
    <cellStyle name="Calculation 2 2 2 2 2 2 5" xfId="4118"/>
    <cellStyle name="Calculation 2 2 2 2 2 2 6" xfId="36349"/>
    <cellStyle name="Calculation 2 2 2 2 2 2 7" xfId="42153"/>
    <cellStyle name="Calculation 2 2 2 2 2 2 8" xfId="50652"/>
    <cellStyle name="Calculation 2 2 2 2 2 20" xfId="35054"/>
    <cellStyle name="Calculation 2 2 2 2 2 21" xfId="41273"/>
    <cellStyle name="Calculation 2 2 2 2 2 3" xfId="1587"/>
    <cellStyle name="Calculation 2 2 2 2 2 3 2" xfId="4119"/>
    <cellStyle name="Calculation 2 2 2 2 2 3 3" xfId="4120"/>
    <cellStyle name="Calculation 2 2 2 2 2 3 4" xfId="4121"/>
    <cellStyle name="Calculation 2 2 2 2 2 3 5" xfId="4122"/>
    <cellStyle name="Calculation 2 2 2 2 2 3 6" xfId="36846"/>
    <cellStyle name="Calculation 2 2 2 2 2 3 7" xfId="42154"/>
    <cellStyle name="Calculation 2 2 2 2 2 3 8" xfId="50653"/>
    <cellStyle name="Calculation 2 2 2 2 2 4" xfId="1110"/>
    <cellStyle name="Calculation 2 2 2 2 2 4 2" xfId="4123"/>
    <cellStyle name="Calculation 2 2 2 2 2 4 3" xfId="4124"/>
    <cellStyle name="Calculation 2 2 2 2 2 4 4" xfId="4125"/>
    <cellStyle name="Calculation 2 2 2 2 2 4 5" xfId="4126"/>
    <cellStyle name="Calculation 2 2 2 2 2 4 6" xfId="37462"/>
    <cellStyle name="Calculation 2 2 2 2 2 4 7" xfId="42155"/>
    <cellStyle name="Calculation 2 2 2 2 2 4 8" xfId="50654"/>
    <cellStyle name="Calculation 2 2 2 2 2 5" xfId="3094"/>
    <cellStyle name="Calculation 2 2 2 2 2 5 2" xfId="4127"/>
    <cellStyle name="Calculation 2 2 2 2 2 5 3" xfId="4128"/>
    <cellStyle name="Calculation 2 2 2 2 2 5 4" xfId="4129"/>
    <cellStyle name="Calculation 2 2 2 2 2 5 5" xfId="4130"/>
    <cellStyle name="Calculation 2 2 2 2 2 5 6" xfId="38078"/>
    <cellStyle name="Calculation 2 2 2 2 2 5 7" xfId="42156"/>
    <cellStyle name="Calculation 2 2 2 2 2 5 8" xfId="50655"/>
    <cellStyle name="Calculation 2 2 2 2 2 6" xfId="3278"/>
    <cellStyle name="Calculation 2 2 2 2 2 6 2" xfId="4131"/>
    <cellStyle name="Calculation 2 2 2 2 2 6 3" xfId="4132"/>
    <cellStyle name="Calculation 2 2 2 2 2 6 4" xfId="4133"/>
    <cellStyle name="Calculation 2 2 2 2 2 6 5" xfId="4134"/>
    <cellStyle name="Calculation 2 2 2 2 2 6 6" xfId="38696"/>
    <cellStyle name="Calculation 2 2 2 2 2 6 7" xfId="42157"/>
    <cellStyle name="Calculation 2 2 2 2 2 6 8" xfId="50656"/>
    <cellStyle name="Calculation 2 2 2 2 2 7" xfId="4135"/>
    <cellStyle name="Calculation 2 2 2 2 2 7 2" xfId="4136"/>
    <cellStyle name="Calculation 2 2 2 2 2 7 3" xfId="4137"/>
    <cellStyle name="Calculation 2 2 2 2 2 7 4" xfId="4138"/>
    <cellStyle name="Calculation 2 2 2 2 2 7 5" xfId="4139"/>
    <cellStyle name="Calculation 2 2 2 2 2 7 6" xfId="39316"/>
    <cellStyle name="Calculation 2 2 2 2 2 7 7" xfId="42158"/>
    <cellStyle name="Calculation 2 2 2 2 2 7 8" xfId="50657"/>
    <cellStyle name="Calculation 2 2 2 2 2 8" xfId="4140"/>
    <cellStyle name="Calculation 2 2 2 2 2 8 2" xfId="4141"/>
    <cellStyle name="Calculation 2 2 2 2 2 8 3" xfId="4142"/>
    <cellStyle name="Calculation 2 2 2 2 2 8 4" xfId="4143"/>
    <cellStyle name="Calculation 2 2 2 2 2 8 5" xfId="4144"/>
    <cellStyle name="Calculation 2 2 2 2 2 8 6" xfId="39932"/>
    <cellStyle name="Calculation 2 2 2 2 2 8 7" xfId="42159"/>
    <cellStyle name="Calculation 2 2 2 2 2 8 8" xfId="50658"/>
    <cellStyle name="Calculation 2 2 2 2 2 9" xfId="4145"/>
    <cellStyle name="Calculation 2 2 2 2 2 9 2" xfId="4146"/>
    <cellStyle name="Calculation 2 2 2 2 2 9 3" xfId="4147"/>
    <cellStyle name="Calculation 2 2 2 2 2 9 4" xfId="4148"/>
    <cellStyle name="Calculation 2 2 2 2 2 9 5" xfId="4149"/>
    <cellStyle name="Calculation 2 2 2 2 2 9 6" xfId="40547"/>
    <cellStyle name="Calculation 2 2 2 2 2 9 7" xfId="42160"/>
    <cellStyle name="Calculation 2 2 2 2 2 9 8" xfId="50659"/>
    <cellStyle name="Calculation 2 2 2 2 20" xfId="34828"/>
    <cellStyle name="Calculation 2 2 2 2 21" xfId="40844"/>
    <cellStyle name="Calculation 2 2 2 2 22" xfId="41407"/>
    <cellStyle name="Calculation 2 2 2 2 23" xfId="50494"/>
    <cellStyle name="Calculation 2 2 2 2 3" xfId="1588"/>
    <cellStyle name="Calculation 2 2 2 2 3 10" xfId="34630"/>
    <cellStyle name="Calculation 2 2 2 2 3 11" xfId="41059"/>
    <cellStyle name="Calculation 2 2 2 2 3 12" xfId="42161"/>
    <cellStyle name="Calculation 2 2 2 2 3 13" xfId="50660"/>
    <cellStyle name="Calculation 2 2 2 2 3 2" xfId="1589"/>
    <cellStyle name="Calculation 2 2 2 2 3 2 2" xfId="36136"/>
    <cellStyle name="Calculation 2 2 2 2 3 2 3" xfId="42162"/>
    <cellStyle name="Calculation 2 2 2 2 3 2 4" xfId="50661"/>
    <cellStyle name="Calculation 2 2 2 2 3 3" xfId="1590"/>
    <cellStyle name="Calculation 2 2 2 2 3 3 2" xfId="36635"/>
    <cellStyle name="Calculation 2 2 2 2 3 3 3" xfId="42163"/>
    <cellStyle name="Calculation 2 2 2 2 3 3 4" xfId="50662"/>
    <cellStyle name="Calculation 2 2 2 2 3 4" xfId="4150"/>
    <cellStyle name="Calculation 2 2 2 2 3 4 2" xfId="37251"/>
    <cellStyle name="Calculation 2 2 2 2 3 4 3" xfId="42164"/>
    <cellStyle name="Calculation 2 2 2 2 3 4 4" xfId="50663"/>
    <cellStyle name="Calculation 2 2 2 2 3 5" xfId="4151"/>
    <cellStyle name="Calculation 2 2 2 2 3 5 2" xfId="37867"/>
    <cellStyle name="Calculation 2 2 2 2 3 5 3" xfId="42165"/>
    <cellStyle name="Calculation 2 2 2 2 3 5 4" xfId="50664"/>
    <cellStyle name="Calculation 2 2 2 2 3 6" xfId="38482"/>
    <cellStyle name="Calculation 2 2 2 2 3 6 2" xfId="42166"/>
    <cellStyle name="Calculation 2 2 2 2 3 6 3" xfId="50665"/>
    <cellStyle name="Calculation 2 2 2 2 3 7" xfId="39102"/>
    <cellStyle name="Calculation 2 2 2 2 3 7 2" xfId="42167"/>
    <cellStyle name="Calculation 2 2 2 2 3 7 3" xfId="50666"/>
    <cellStyle name="Calculation 2 2 2 2 3 8" xfId="39718"/>
    <cellStyle name="Calculation 2 2 2 2 3 8 2" xfId="42168"/>
    <cellStyle name="Calculation 2 2 2 2 3 8 3" xfId="50667"/>
    <cellStyle name="Calculation 2 2 2 2 3 9" xfId="40333"/>
    <cellStyle name="Calculation 2 2 2 2 3 9 2" xfId="42169"/>
    <cellStyle name="Calculation 2 2 2 2 3 9 3" xfId="50668"/>
    <cellStyle name="Calculation 2 2 2 2 4" xfId="1591"/>
    <cellStyle name="Calculation 2 2 2 2 4 10" xfId="42170"/>
    <cellStyle name="Calculation 2 2 2 2 4 11" xfId="50669"/>
    <cellStyle name="Calculation 2 2 2 2 4 2" xfId="4152"/>
    <cellStyle name="Calculation 2 2 2 2 4 2 2" xfId="42171"/>
    <cellStyle name="Calculation 2 2 2 2 4 2 3" xfId="50670"/>
    <cellStyle name="Calculation 2 2 2 2 4 3" xfId="4153"/>
    <cellStyle name="Calculation 2 2 2 2 4 3 2" xfId="42172"/>
    <cellStyle name="Calculation 2 2 2 2 4 3 3" xfId="50671"/>
    <cellStyle name="Calculation 2 2 2 2 4 4" xfId="4154"/>
    <cellStyle name="Calculation 2 2 2 2 4 4 2" xfId="42173"/>
    <cellStyle name="Calculation 2 2 2 2 4 4 3" xfId="50672"/>
    <cellStyle name="Calculation 2 2 2 2 4 5" xfId="4155"/>
    <cellStyle name="Calculation 2 2 2 2 4 5 2" xfId="42174"/>
    <cellStyle name="Calculation 2 2 2 2 4 5 3" xfId="50673"/>
    <cellStyle name="Calculation 2 2 2 2 4 6" xfId="35674"/>
    <cellStyle name="Calculation 2 2 2 2 4 6 2" xfId="42175"/>
    <cellStyle name="Calculation 2 2 2 2 4 6 3" xfId="50674"/>
    <cellStyle name="Calculation 2 2 2 2 4 7" xfId="42176"/>
    <cellStyle name="Calculation 2 2 2 2 4 7 2" xfId="50675"/>
    <cellStyle name="Calculation 2 2 2 2 4 8" xfId="42177"/>
    <cellStyle name="Calculation 2 2 2 2 4 8 2" xfId="50676"/>
    <cellStyle name="Calculation 2 2 2 2 4 9" xfId="42178"/>
    <cellStyle name="Calculation 2 2 2 2 4 9 2" xfId="50677"/>
    <cellStyle name="Calculation 2 2 2 2 5" xfId="1109"/>
    <cellStyle name="Calculation 2 2 2 2 5 2" xfId="4156"/>
    <cellStyle name="Calculation 2 2 2 2 5 3" xfId="4157"/>
    <cellStyle name="Calculation 2 2 2 2 5 4" xfId="4158"/>
    <cellStyle name="Calculation 2 2 2 2 5 5" xfId="4159"/>
    <cellStyle name="Calculation 2 2 2 2 5 6" xfId="36005"/>
    <cellStyle name="Calculation 2 2 2 2 5 7" xfId="42179"/>
    <cellStyle name="Calculation 2 2 2 2 5 8" xfId="50678"/>
    <cellStyle name="Calculation 2 2 2 2 6" xfId="3093"/>
    <cellStyle name="Calculation 2 2 2 2 6 2" xfId="4160"/>
    <cellStyle name="Calculation 2 2 2 2 6 3" xfId="4161"/>
    <cellStyle name="Calculation 2 2 2 2 6 4" xfId="4162"/>
    <cellStyle name="Calculation 2 2 2 2 6 5" xfId="4163"/>
    <cellStyle name="Calculation 2 2 2 2 6 6" xfId="37036"/>
    <cellStyle name="Calculation 2 2 2 2 6 7" xfId="42180"/>
    <cellStyle name="Calculation 2 2 2 2 6 8" xfId="50679"/>
    <cellStyle name="Calculation 2 2 2 2 7" xfId="3279"/>
    <cellStyle name="Calculation 2 2 2 2 7 2" xfId="4164"/>
    <cellStyle name="Calculation 2 2 2 2 7 3" xfId="4165"/>
    <cellStyle name="Calculation 2 2 2 2 7 4" xfId="4166"/>
    <cellStyle name="Calculation 2 2 2 2 7 5" xfId="4167"/>
    <cellStyle name="Calculation 2 2 2 2 7 6" xfId="37648"/>
    <cellStyle name="Calculation 2 2 2 2 7 7" xfId="42181"/>
    <cellStyle name="Calculation 2 2 2 2 7 8" xfId="50680"/>
    <cellStyle name="Calculation 2 2 2 2 8" xfId="4168"/>
    <cellStyle name="Calculation 2 2 2 2 8 2" xfId="4169"/>
    <cellStyle name="Calculation 2 2 2 2 8 3" xfId="4170"/>
    <cellStyle name="Calculation 2 2 2 2 8 4" xfId="4171"/>
    <cellStyle name="Calculation 2 2 2 2 8 5" xfId="4172"/>
    <cellStyle name="Calculation 2 2 2 2 8 6" xfId="38263"/>
    <cellStyle name="Calculation 2 2 2 2 8 7" xfId="42182"/>
    <cellStyle name="Calculation 2 2 2 2 8 8" xfId="50681"/>
    <cellStyle name="Calculation 2 2 2 2 9" xfId="4173"/>
    <cellStyle name="Calculation 2 2 2 2 9 2" xfId="4174"/>
    <cellStyle name="Calculation 2 2 2 2 9 3" xfId="4175"/>
    <cellStyle name="Calculation 2 2 2 2 9 4" xfId="4176"/>
    <cellStyle name="Calculation 2 2 2 2 9 5" xfId="4177"/>
    <cellStyle name="Calculation 2 2 2 2 9 6" xfId="38883"/>
    <cellStyle name="Calculation 2 2 2 2 9 7" xfId="42183"/>
    <cellStyle name="Calculation 2 2 2 2 9 8" xfId="50682"/>
    <cellStyle name="Calculation 2 2 2 3" xfId="496"/>
    <cellStyle name="Calculation 2 2 2 3 10" xfId="4178"/>
    <cellStyle name="Calculation 2 2 2 3 10 2" xfId="4179"/>
    <cellStyle name="Calculation 2 2 2 3 10 3" xfId="4180"/>
    <cellStyle name="Calculation 2 2 2 3 10 4" xfId="4181"/>
    <cellStyle name="Calculation 2 2 2 3 10 5" xfId="4182"/>
    <cellStyle name="Calculation 2 2 2 3 10 6" xfId="42184"/>
    <cellStyle name="Calculation 2 2 2 3 10 7" xfId="50683"/>
    <cellStyle name="Calculation 2 2 2 3 11" xfId="4183"/>
    <cellStyle name="Calculation 2 2 2 3 11 2" xfId="4184"/>
    <cellStyle name="Calculation 2 2 2 3 11 3" xfId="4185"/>
    <cellStyle name="Calculation 2 2 2 3 11 4" xfId="4186"/>
    <cellStyle name="Calculation 2 2 2 3 11 5" xfId="4187"/>
    <cellStyle name="Calculation 2 2 2 3 12" xfId="4188"/>
    <cellStyle name="Calculation 2 2 2 3 12 2" xfId="4189"/>
    <cellStyle name="Calculation 2 2 2 3 12 3" xfId="4190"/>
    <cellStyle name="Calculation 2 2 2 3 12 4" xfId="4191"/>
    <cellStyle name="Calculation 2 2 2 3 12 5" xfId="4192"/>
    <cellStyle name="Calculation 2 2 2 3 13" xfId="4193"/>
    <cellStyle name="Calculation 2 2 2 3 13 2" xfId="4194"/>
    <cellStyle name="Calculation 2 2 2 3 13 3" xfId="4195"/>
    <cellStyle name="Calculation 2 2 2 3 13 4" xfId="4196"/>
    <cellStyle name="Calculation 2 2 2 3 13 5" xfId="4197"/>
    <cellStyle name="Calculation 2 2 2 3 14" xfId="4198"/>
    <cellStyle name="Calculation 2 2 2 3 14 2" xfId="4199"/>
    <cellStyle name="Calculation 2 2 2 3 14 3" xfId="4200"/>
    <cellStyle name="Calculation 2 2 2 3 14 4" xfId="4201"/>
    <cellStyle name="Calculation 2 2 2 3 14 5" xfId="4202"/>
    <cellStyle name="Calculation 2 2 2 3 15" xfId="4203"/>
    <cellStyle name="Calculation 2 2 2 3 15 2" xfId="4204"/>
    <cellStyle name="Calculation 2 2 2 3 15 3" xfId="4205"/>
    <cellStyle name="Calculation 2 2 2 3 15 4" xfId="4206"/>
    <cellStyle name="Calculation 2 2 2 3 15 5" xfId="4207"/>
    <cellStyle name="Calculation 2 2 2 3 16" xfId="4208"/>
    <cellStyle name="Calculation 2 2 2 3 16 2" xfId="4209"/>
    <cellStyle name="Calculation 2 2 2 3 16 3" xfId="4210"/>
    <cellStyle name="Calculation 2 2 2 3 16 4" xfId="4211"/>
    <cellStyle name="Calculation 2 2 2 3 16 5" xfId="4212"/>
    <cellStyle name="Calculation 2 2 2 3 17" xfId="4213"/>
    <cellStyle name="Calculation 2 2 2 3 17 2" xfId="4214"/>
    <cellStyle name="Calculation 2 2 2 3 17 3" xfId="4215"/>
    <cellStyle name="Calculation 2 2 2 3 17 4" xfId="4216"/>
    <cellStyle name="Calculation 2 2 2 3 17 5" xfId="4217"/>
    <cellStyle name="Calculation 2 2 2 3 18" xfId="4218"/>
    <cellStyle name="Calculation 2 2 2 3 19" xfId="925"/>
    <cellStyle name="Calculation 2 2 2 3 2" xfId="1592"/>
    <cellStyle name="Calculation 2 2 2 3 2 2" xfId="1593"/>
    <cellStyle name="Calculation 2 2 2 3 2 3" xfId="1594"/>
    <cellStyle name="Calculation 2 2 2 3 2 4" xfId="4219"/>
    <cellStyle name="Calculation 2 2 2 3 2 5" xfId="4220"/>
    <cellStyle name="Calculation 2 2 2 3 2 6" xfId="36300"/>
    <cellStyle name="Calculation 2 2 2 3 2 7" xfId="42185"/>
    <cellStyle name="Calculation 2 2 2 3 2 8" xfId="50684"/>
    <cellStyle name="Calculation 2 2 2 3 20" xfId="35005"/>
    <cellStyle name="Calculation 2 2 2 3 21" xfId="40714"/>
    <cellStyle name="Calculation 2 2 2 3 22" xfId="41224"/>
    <cellStyle name="Calculation 2 2 2 3 3" xfId="1595"/>
    <cellStyle name="Calculation 2 2 2 3 3 2" xfId="4221"/>
    <cellStyle name="Calculation 2 2 2 3 3 3" xfId="4222"/>
    <cellStyle name="Calculation 2 2 2 3 3 4" xfId="4223"/>
    <cellStyle name="Calculation 2 2 2 3 3 5" xfId="4224"/>
    <cellStyle name="Calculation 2 2 2 3 3 6" xfId="36797"/>
    <cellStyle name="Calculation 2 2 2 3 3 7" xfId="42186"/>
    <cellStyle name="Calculation 2 2 2 3 3 8" xfId="50685"/>
    <cellStyle name="Calculation 2 2 2 3 4" xfId="1111"/>
    <cellStyle name="Calculation 2 2 2 3 4 2" xfId="4225"/>
    <cellStyle name="Calculation 2 2 2 3 4 3" xfId="4226"/>
    <cellStyle name="Calculation 2 2 2 3 4 4" xfId="4227"/>
    <cellStyle name="Calculation 2 2 2 3 4 5" xfId="4228"/>
    <cellStyle name="Calculation 2 2 2 3 4 6" xfId="37413"/>
    <cellStyle name="Calculation 2 2 2 3 4 7" xfId="42187"/>
    <cellStyle name="Calculation 2 2 2 3 4 8" xfId="50686"/>
    <cellStyle name="Calculation 2 2 2 3 5" xfId="3095"/>
    <cellStyle name="Calculation 2 2 2 3 5 2" xfId="4229"/>
    <cellStyle name="Calculation 2 2 2 3 5 3" xfId="4230"/>
    <cellStyle name="Calculation 2 2 2 3 5 4" xfId="4231"/>
    <cellStyle name="Calculation 2 2 2 3 5 5" xfId="4232"/>
    <cellStyle name="Calculation 2 2 2 3 5 6" xfId="38029"/>
    <cellStyle name="Calculation 2 2 2 3 5 7" xfId="42188"/>
    <cellStyle name="Calculation 2 2 2 3 5 8" xfId="50687"/>
    <cellStyle name="Calculation 2 2 2 3 6" xfId="3277"/>
    <cellStyle name="Calculation 2 2 2 3 6 2" xfId="4233"/>
    <cellStyle name="Calculation 2 2 2 3 6 3" xfId="4234"/>
    <cellStyle name="Calculation 2 2 2 3 6 4" xfId="4235"/>
    <cellStyle name="Calculation 2 2 2 3 6 5" xfId="4236"/>
    <cellStyle name="Calculation 2 2 2 3 6 6" xfId="38647"/>
    <cellStyle name="Calculation 2 2 2 3 6 7" xfId="42189"/>
    <cellStyle name="Calculation 2 2 2 3 6 8" xfId="50688"/>
    <cellStyle name="Calculation 2 2 2 3 7" xfId="4237"/>
    <cellStyle name="Calculation 2 2 2 3 7 2" xfId="4238"/>
    <cellStyle name="Calculation 2 2 2 3 7 3" xfId="4239"/>
    <cellStyle name="Calculation 2 2 2 3 7 4" xfId="4240"/>
    <cellStyle name="Calculation 2 2 2 3 7 5" xfId="4241"/>
    <cellStyle name="Calculation 2 2 2 3 7 6" xfId="39267"/>
    <cellStyle name="Calculation 2 2 2 3 7 7" xfId="42190"/>
    <cellStyle name="Calculation 2 2 2 3 7 8" xfId="50689"/>
    <cellStyle name="Calculation 2 2 2 3 8" xfId="4242"/>
    <cellStyle name="Calculation 2 2 2 3 8 2" xfId="4243"/>
    <cellStyle name="Calculation 2 2 2 3 8 3" xfId="4244"/>
    <cellStyle name="Calculation 2 2 2 3 8 4" xfId="4245"/>
    <cellStyle name="Calculation 2 2 2 3 8 5" xfId="4246"/>
    <cellStyle name="Calculation 2 2 2 3 8 6" xfId="39883"/>
    <cellStyle name="Calculation 2 2 2 3 8 7" xfId="42191"/>
    <cellStyle name="Calculation 2 2 2 3 8 8" xfId="50690"/>
    <cellStyle name="Calculation 2 2 2 3 9" xfId="4247"/>
    <cellStyle name="Calculation 2 2 2 3 9 2" xfId="4248"/>
    <cellStyle name="Calculation 2 2 2 3 9 3" xfId="4249"/>
    <cellStyle name="Calculation 2 2 2 3 9 4" xfId="4250"/>
    <cellStyle name="Calculation 2 2 2 3 9 5" xfId="4251"/>
    <cellStyle name="Calculation 2 2 2 3 9 6" xfId="40498"/>
    <cellStyle name="Calculation 2 2 2 3 9 7" xfId="42192"/>
    <cellStyle name="Calculation 2 2 2 3 9 8" xfId="50691"/>
    <cellStyle name="Calculation 2 2 2 4" xfId="1596"/>
    <cellStyle name="Calculation 2 2 2 4 10" xfId="34808"/>
    <cellStyle name="Calculation 2 2 2 4 11" xfId="41010"/>
    <cellStyle name="Calculation 2 2 2 4 12" xfId="42193"/>
    <cellStyle name="Calculation 2 2 2 4 13" xfId="50692"/>
    <cellStyle name="Calculation 2 2 2 4 2" xfId="1597"/>
    <cellStyle name="Calculation 2 2 2 4 2 2" xfId="36087"/>
    <cellStyle name="Calculation 2 2 2 4 2 3" xfId="42194"/>
    <cellStyle name="Calculation 2 2 2 4 2 4" xfId="50693"/>
    <cellStyle name="Calculation 2 2 2 4 3" xfId="1598"/>
    <cellStyle name="Calculation 2 2 2 4 3 2" xfId="36586"/>
    <cellStyle name="Calculation 2 2 2 4 3 3" xfId="42195"/>
    <cellStyle name="Calculation 2 2 2 4 3 4" xfId="50694"/>
    <cellStyle name="Calculation 2 2 2 4 4" xfId="4252"/>
    <cellStyle name="Calculation 2 2 2 4 4 2" xfId="37202"/>
    <cellStyle name="Calculation 2 2 2 4 4 3" xfId="42196"/>
    <cellStyle name="Calculation 2 2 2 4 4 4" xfId="50695"/>
    <cellStyle name="Calculation 2 2 2 4 5" xfId="4253"/>
    <cellStyle name="Calculation 2 2 2 4 5 2" xfId="37818"/>
    <cellStyle name="Calculation 2 2 2 4 5 3" xfId="42197"/>
    <cellStyle name="Calculation 2 2 2 4 5 4" xfId="50696"/>
    <cellStyle name="Calculation 2 2 2 4 6" xfId="38433"/>
    <cellStyle name="Calculation 2 2 2 4 6 2" xfId="42198"/>
    <cellStyle name="Calculation 2 2 2 4 6 3" xfId="50697"/>
    <cellStyle name="Calculation 2 2 2 4 7" xfId="39053"/>
    <cellStyle name="Calculation 2 2 2 4 7 2" xfId="42199"/>
    <cellStyle name="Calculation 2 2 2 4 7 3" xfId="50698"/>
    <cellStyle name="Calculation 2 2 2 4 8" xfId="39669"/>
    <cellStyle name="Calculation 2 2 2 4 8 2" xfId="42200"/>
    <cellStyle name="Calculation 2 2 2 4 8 3" xfId="50699"/>
    <cellStyle name="Calculation 2 2 2 4 9" xfId="40284"/>
    <cellStyle name="Calculation 2 2 2 4 9 2" xfId="42201"/>
    <cellStyle name="Calculation 2 2 2 4 9 3" xfId="50700"/>
    <cellStyle name="Calculation 2 2 2 5" xfId="1599"/>
    <cellStyle name="Calculation 2 2 2 5 10" xfId="42202"/>
    <cellStyle name="Calculation 2 2 2 5 11" xfId="50701"/>
    <cellStyle name="Calculation 2 2 2 5 2" xfId="1600"/>
    <cellStyle name="Calculation 2 2 2 5 2 2" xfId="42203"/>
    <cellStyle name="Calculation 2 2 2 5 2 3" xfId="50702"/>
    <cellStyle name="Calculation 2 2 2 5 3" xfId="1601"/>
    <cellStyle name="Calculation 2 2 2 5 3 2" xfId="42204"/>
    <cellStyle name="Calculation 2 2 2 5 3 3" xfId="50703"/>
    <cellStyle name="Calculation 2 2 2 5 4" xfId="4254"/>
    <cellStyle name="Calculation 2 2 2 5 4 2" xfId="42205"/>
    <cellStyle name="Calculation 2 2 2 5 4 3" xfId="50704"/>
    <cellStyle name="Calculation 2 2 2 5 5" xfId="4255"/>
    <cellStyle name="Calculation 2 2 2 5 5 2" xfId="42206"/>
    <cellStyle name="Calculation 2 2 2 5 5 3" xfId="50705"/>
    <cellStyle name="Calculation 2 2 2 5 6" xfId="35405"/>
    <cellStyle name="Calculation 2 2 2 5 6 2" xfId="42207"/>
    <cellStyle name="Calculation 2 2 2 5 6 3" xfId="50706"/>
    <cellStyle name="Calculation 2 2 2 5 7" xfId="42208"/>
    <cellStyle name="Calculation 2 2 2 5 7 2" xfId="50707"/>
    <cellStyle name="Calculation 2 2 2 5 8" xfId="42209"/>
    <cellStyle name="Calculation 2 2 2 5 8 2" xfId="50708"/>
    <cellStyle name="Calculation 2 2 2 5 9" xfId="42210"/>
    <cellStyle name="Calculation 2 2 2 5 9 2" xfId="50709"/>
    <cellStyle name="Calculation 2 2 2 6" xfId="1108"/>
    <cellStyle name="Calculation 2 2 2 6 2" xfId="4256"/>
    <cellStyle name="Calculation 2 2 2 6 3" xfId="4257"/>
    <cellStyle name="Calculation 2 2 2 6 4" xfId="4258"/>
    <cellStyle name="Calculation 2 2 2 6 5" xfId="4259"/>
    <cellStyle name="Calculation 2 2 2 6 6" xfId="35937"/>
    <cellStyle name="Calculation 2 2 2 6 7" xfId="42211"/>
    <cellStyle name="Calculation 2 2 2 6 8" xfId="50710"/>
    <cellStyle name="Calculation 2 2 2 7" xfId="3092"/>
    <cellStyle name="Calculation 2 2 2 7 2" xfId="4260"/>
    <cellStyle name="Calculation 2 2 2 7 3" xfId="4261"/>
    <cellStyle name="Calculation 2 2 2 7 4" xfId="4262"/>
    <cellStyle name="Calculation 2 2 2 7 5" xfId="4263"/>
    <cellStyle name="Calculation 2 2 2 7 6" xfId="36020"/>
    <cellStyle name="Calculation 2 2 2 7 7" xfId="42212"/>
    <cellStyle name="Calculation 2 2 2 7 8" xfId="50711"/>
    <cellStyle name="Calculation 2 2 2 8" xfId="3280"/>
    <cellStyle name="Calculation 2 2 2 8 2" xfId="4264"/>
    <cellStyle name="Calculation 2 2 2 8 3" xfId="4265"/>
    <cellStyle name="Calculation 2 2 2 8 4" xfId="4266"/>
    <cellStyle name="Calculation 2 2 2 8 5" xfId="4267"/>
    <cellStyle name="Calculation 2 2 2 8 6" xfId="36982"/>
    <cellStyle name="Calculation 2 2 2 8 7" xfId="42213"/>
    <cellStyle name="Calculation 2 2 2 8 8" xfId="50712"/>
    <cellStyle name="Calculation 2 2 2 9" xfId="4268"/>
    <cellStyle name="Calculation 2 2 2 9 2" xfId="4269"/>
    <cellStyle name="Calculation 2 2 2 9 3" xfId="4270"/>
    <cellStyle name="Calculation 2 2 2 9 4" xfId="4271"/>
    <cellStyle name="Calculation 2 2 2 9 5" xfId="4272"/>
    <cellStyle name="Calculation 2 2 2 9 6" xfId="37594"/>
    <cellStyle name="Calculation 2 2 2 9 7" xfId="42214"/>
    <cellStyle name="Calculation 2 2 2 9 8" xfId="50713"/>
    <cellStyle name="Calculation 2 2 2_SS10_Codes Cat Analysis RIN" xfId="42215"/>
    <cellStyle name="Calculation 2 2 20" xfId="34963"/>
    <cellStyle name="Calculation 2 2 21" xfId="40772"/>
    <cellStyle name="Calculation 2 2 3" xfId="267"/>
    <cellStyle name="Calculation 2 2 3 10" xfId="4273"/>
    <cellStyle name="Calculation 2 2 3 10 2" xfId="4274"/>
    <cellStyle name="Calculation 2 2 3 10 3" xfId="4275"/>
    <cellStyle name="Calculation 2 2 3 10 4" xfId="4276"/>
    <cellStyle name="Calculation 2 2 3 10 5" xfId="4277"/>
    <cellStyle name="Calculation 2 2 3 10 6" xfId="38212"/>
    <cellStyle name="Calculation 2 2 3 10 7" xfId="42216"/>
    <cellStyle name="Calculation 2 2 3 10 8" xfId="50714"/>
    <cellStyle name="Calculation 2 2 3 11" xfId="4278"/>
    <cellStyle name="Calculation 2 2 3 11 2" xfId="4279"/>
    <cellStyle name="Calculation 2 2 3 11 3" xfId="4280"/>
    <cellStyle name="Calculation 2 2 3 11 4" xfId="4281"/>
    <cellStyle name="Calculation 2 2 3 11 5" xfId="4282"/>
    <cellStyle name="Calculation 2 2 3 11 6" xfId="38834"/>
    <cellStyle name="Calculation 2 2 3 11 7" xfId="42217"/>
    <cellStyle name="Calculation 2 2 3 11 8" xfId="50715"/>
    <cellStyle name="Calculation 2 2 3 12" xfId="4283"/>
    <cellStyle name="Calculation 2 2 3 12 2" xfId="4284"/>
    <cellStyle name="Calculation 2 2 3 12 3" xfId="4285"/>
    <cellStyle name="Calculation 2 2 3 12 4" xfId="4286"/>
    <cellStyle name="Calculation 2 2 3 12 5" xfId="4287"/>
    <cellStyle name="Calculation 2 2 3 12 6" xfId="39454"/>
    <cellStyle name="Calculation 2 2 3 12 7" xfId="42218"/>
    <cellStyle name="Calculation 2 2 3 12 8" xfId="50716"/>
    <cellStyle name="Calculation 2 2 3 13" xfId="4288"/>
    <cellStyle name="Calculation 2 2 3 13 2" xfId="4289"/>
    <cellStyle name="Calculation 2 2 3 13 3" xfId="4290"/>
    <cellStyle name="Calculation 2 2 3 13 4" xfId="4291"/>
    <cellStyle name="Calculation 2 2 3 13 5" xfId="4292"/>
    <cellStyle name="Calculation 2 2 3 13 6" xfId="40072"/>
    <cellStyle name="Calculation 2 2 3 13 7" xfId="42219"/>
    <cellStyle name="Calculation 2 2 3 13 8" xfId="50717"/>
    <cellStyle name="Calculation 2 2 3 14" xfId="4293"/>
    <cellStyle name="Calculation 2 2 3 14 2" xfId="4294"/>
    <cellStyle name="Calculation 2 2 3 14 3" xfId="4295"/>
    <cellStyle name="Calculation 2 2 3 14 4" xfId="4296"/>
    <cellStyle name="Calculation 2 2 3 14 5" xfId="4297"/>
    <cellStyle name="Calculation 2 2 3 14 6" xfId="42220"/>
    <cellStyle name="Calculation 2 2 3 14 7" xfId="50718"/>
    <cellStyle name="Calculation 2 2 3 15" xfId="4298"/>
    <cellStyle name="Calculation 2 2 3 15 2" xfId="4299"/>
    <cellStyle name="Calculation 2 2 3 15 3" xfId="4300"/>
    <cellStyle name="Calculation 2 2 3 15 4" xfId="4301"/>
    <cellStyle name="Calculation 2 2 3 15 5" xfId="4302"/>
    <cellStyle name="Calculation 2 2 3 16" xfId="4303"/>
    <cellStyle name="Calculation 2 2 3 17" xfId="712"/>
    <cellStyle name="Calculation 2 2 3 18" xfId="34955"/>
    <cellStyle name="Calculation 2 2 3 19" xfId="40796"/>
    <cellStyle name="Calculation 2 2 3 2" xfId="325"/>
    <cellStyle name="Calculation 2 2 3 2 10" xfId="4304"/>
    <cellStyle name="Calculation 2 2 3 2 10 2" xfId="4305"/>
    <cellStyle name="Calculation 2 2 3 2 10 3" xfId="4306"/>
    <cellStyle name="Calculation 2 2 3 2 10 4" xfId="4307"/>
    <cellStyle name="Calculation 2 2 3 2 10 5" xfId="4308"/>
    <cellStyle name="Calculation 2 2 3 2 10 6" xfId="39503"/>
    <cellStyle name="Calculation 2 2 3 2 10 7" xfId="42221"/>
    <cellStyle name="Calculation 2 2 3 2 10 8" xfId="50719"/>
    <cellStyle name="Calculation 2 2 3 2 11" xfId="4309"/>
    <cellStyle name="Calculation 2 2 3 2 11 2" xfId="4310"/>
    <cellStyle name="Calculation 2 2 3 2 11 3" xfId="4311"/>
    <cellStyle name="Calculation 2 2 3 2 11 4" xfId="4312"/>
    <cellStyle name="Calculation 2 2 3 2 11 5" xfId="4313"/>
    <cellStyle name="Calculation 2 2 3 2 11 6" xfId="40121"/>
    <cellStyle name="Calculation 2 2 3 2 11 7" xfId="42222"/>
    <cellStyle name="Calculation 2 2 3 2 11 8" xfId="50720"/>
    <cellStyle name="Calculation 2 2 3 2 12" xfId="4314"/>
    <cellStyle name="Calculation 2 2 3 2 12 2" xfId="4315"/>
    <cellStyle name="Calculation 2 2 3 2 12 3" xfId="4316"/>
    <cellStyle name="Calculation 2 2 3 2 12 4" xfId="4317"/>
    <cellStyle name="Calculation 2 2 3 2 12 5" xfId="4318"/>
    <cellStyle name="Calculation 2 2 3 2 12 6" xfId="42223"/>
    <cellStyle name="Calculation 2 2 3 2 12 7" xfId="50721"/>
    <cellStyle name="Calculation 2 2 3 2 13" xfId="4319"/>
    <cellStyle name="Calculation 2 2 3 2 13 2" xfId="4320"/>
    <cellStyle name="Calculation 2 2 3 2 13 3" xfId="4321"/>
    <cellStyle name="Calculation 2 2 3 2 13 4" xfId="4322"/>
    <cellStyle name="Calculation 2 2 3 2 13 5" xfId="4323"/>
    <cellStyle name="Calculation 2 2 3 2 13 6" xfId="42224"/>
    <cellStyle name="Calculation 2 2 3 2 13 7" xfId="50722"/>
    <cellStyle name="Calculation 2 2 3 2 14" xfId="4324"/>
    <cellStyle name="Calculation 2 2 3 2 14 2" xfId="4325"/>
    <cellStyle name="Calculation 2 2 3 2 14 3" xfId="4326"/>
    <cellStyle name="Calculation 2 2 3 2 14 4" xfId="4327"/>
    <cellStyle name="Calculation 2 2 3 2 14 5" xfId="4328"/>
    <cellStyle name="Calculation 2 2 3 2 15" xfId="4329"/>
    <cellStyle name="Calculation 2 2 3 2 15 2" xfId="4330"/>
    <cellStyle name="Calculation 2 2 3 2 15 3" xfId="4331"/>
    <cellStyle name="Calculation 2 2 3 2 15 4" xfId="4332"/>
    <cellStyle name="Calculation 2 2 3 2 15 5" xfId="4333"/>
    <cellStyle name="Calculation 2 2 3 2 16" xfId="4334"/>
    <cellStyle name="Calculation 2 2 3 2 16 2" xfId="4335"/>
    <cellStyle name="Calculation 2 2 3 2 16 3" xfId="4336"/>
    <cellStyle name="Calculation 2 2 3 2 16 4" xfId="4337"/>
    <cellStyle name="Calculation 2 2 3 2 16 5" xfId="4338"/>
    <cellStyle name="Calculation 2 2 3 2 17" xfId="4339"/>
    <cellStyle name="Calculation 2 2 3 2 17 2" xfId="4340"/>
    <cellStyle name="Calculation 2 2 3 2 17 3" xfId="4341"/>
    <cellStyle name="Calculation 2 2 3 2 17 4" xfId="4342"/>
    <cellStyle name="Calculation 2 2 3 2 17 5" xfId="4343"/>
    <cellStyle name="Calculation 2 2 3 2 18" xfId="4344"/>
    <cellStyle name="Calculation 2 2 3 2 19" xfId="761"/>
    <cellStyle name="Calculation 2 2 3 2 2" xfId="546"/>
    <cellStyle name="Calculation 2 2 3 2 2 10" xfId="4345"/>
    <cellStyle name="Calculation 2 2 3 2 2 10 2" xfId="4346"/>
    <cellStyle name="Calculation 2 2 3 2 2 10 3" xfId="4347"/>
    <cellStyle name="Calculation 2 2 3 2 2 10 4" xfId="4348"/>
    <cellStyle name="Calculation 2 2 3 2 2 10 5" xfId="4349"/>
    <cellStyle name="Calculation 2 2 3 2 2 10 6" xfId="42225"/>
    <cellStyle name="Calculation 2 2 3 2 2 10 7" xfId="50723"/>
    <cellStyle name="Calculation 2 2 3 2 2 11" xfId="4350"/>
    <cellStyle name="Calculation 2 2 3 2 2 11 2" xfId="4351"/>
    <cellStyle name="Calculation 2 2 3 2 2 11 3" xfId="4352"/>
    <cellStyle name="Calculation 2 2 3 2 2 11 4" xfId="4353"/>
    <cellStyle name="Calculation 2 2 3 2 2 11 5" xfId="4354"/>
    <cellStyle name="Calculation 2 2 3 2 2 12" xfId="4355"/>
    <cellStyle name="Calculation 2 2 3 2 2 12 2" xfId="4356"/>
    <cellStyle name="Calculation 2 2 3 2 2 12 3" xfId="4357"/>
    <cellStyle name="Calculation 2 2 3 2 2 12 4" xfId="4358"/>
    <cellStyle name="Calculation 2 2 3 2 2 12 5" xfId="4359"/>
    <cellStyle name="Calculation 2 2 3 2 2 13" xfId="4360"/>
    <cellStyle name="Calculation 2 2 3 2 2 13 2" xfId="4361"/>
    <cellStyle name="Calculation 2 2 3 2 2 13 3" xfId="4362"/>
    <cellStyle name="Calculation 2 2 3 2 2 13 4" xfId="4363"/>
    <cellStyle name="Calculation 2 2 3 2 2 13 5" xfId="4364"/>
    <cellStyle name="Calculation 2 2 3 2 2 14" xfId="4365"/>
    <cellStyle name="Calculation 2 2 3 2 2 14 2" xfId="4366"/>
    <cellStyle name="Calculation 2 2 3 2 2 14 3" xfId="4367"/>
    <cellStyle name="Calculation 2 2 3 2 2 14 4" xfId="4368"/>
    <cellStyle name="Calculation 2 2 3 2 2 14 5" xfId="4369"/>
    <cellStyle name="Calculation 2 2 3 2 2 15" xfId="4370"/>
    <cellStyle name="Calculation 2 2 3 2 2 15 2" xfId="4371"/>
    <cellStyle name="Calculation 2 2 3 2 2 15 3" xfId="4372"/>
    <cellStyle name="Calculation 2 2 3 2 2 15 4" xfId="4373"/>
    <cellStyle name="Calculation 2 2 3 2 2 15 5" xfId="4374"/>
    <cellStyle name="Calculation 2 2 3 2 2 16" xfId="4375"/>
    <cellStyle name="Calculation 2 2 3 2 2 16 2" xfId="4376"/>
    <cellStyle name="Calculation 2 2 3 2 2 16 3" xfId="4377"/>
    <cellStyle name="Calculation 2 2 3 2 2 16 4" xfId="4378"/>
    <cellStyle name="Calculation 2 2 3 2 2 16 5" xfId="4379"/>
    <cellStyle name="Calculation 2 2 3 2 2 17" xfId="4380"/>
    <cellStyle name="Calculation 2 2 3 2 2 17 2" xfId="4381"/>
    <cellStyle name="Calculation 2 2 3 2 2 17 3" xfId="4382"/>
    <cellStyle name="Calculation 2 2 3 2 2 17 4" xfId="4383"/>
    <cellStyle name="Calculation 2 2 3 2 2 17 5" xfId="4384"/>
    <cellStyle name="Calculation 2 2 3 2 2 18" xfId="4385"/>
    <cellStyle name="Calculation 2 2 3 2 2 19" xfId="975"/>
    <cellStyle name="Calculation 2 2 3 2 2 2" xfId="1602"/>
    <cellStyle name="Calculation 2 2 3 2 2 2 2" xfId="4386"/>
    <cellStyle name="Calculation 2 2 3 2 2 2 3" xfId="4387"/>
    <cellStyle name="Calculation 2 2 3 2 2 2 4" xfId="4388"/>
    <cellStyle name="Calculation 2 2 3 2 2 2 5" xfId="4389"/>
    <cellStyle name="Calculation 2 2 3 2 2 2 6" xfId="36350"/>
    <cellStyle name="Calculation 2 2 3 2 2 2 7" xfId="42226"/>
    <cellStyle name="Calculation 2 2 3 2 2 2 8" xfId="50724"/>
    <cellStyle name="Calculation 2 2 3 2 2 20" xfId="35055"/>
    <cellStyle name="Calculation 2 2 3 2 2 21" xfId="41274"/>
    <cellStyle name="Calculation 2 2 3 2 2 3" xfId="1603"/>
    <cellStyle name="Calculation 2 2 3 2 2 3 2" xfId="4390"/>
    <cellStyle name="Calculation 2 2 3 2 2 3 3" xfId="4391"/>
    <cellStyle name="Calculation 2 2 3 2 2 3 4" xfId="4392"/>
    <cellStyle name="Calculation 2 2 3 2 2 3 5" xfId="4393"/>
    <cellStyle name="Calculation 2 2 3 2 2 3 6" xfId="36847"/>
    <cellStyle name="Calculation 2 2 3 2 2 3 7" xfId="42227"/>
    <cellStyle name="Calculation 2 2 3 2 2 3 8" xfId="50725"/>
    <cellStyle name="Calculation 2 2 3 2 2 4" xfId="1114"/>
    <cellStyle name="Calculation 2 2 3 2 2 4 2" xfId="4394"/>
    <cellStyle name="Calculation 2 2 3 2 2 4 3" xfId="4395"/>
    <cellStyle name="Calculation 2 2 3 2 2 4 4" xfId="4396"/>
    <cellStyle name="Calculation 2 2 3 2 2 4 5" xfId="4397"/>
    <cellStyle name="Calculation 2 2 3 2 2 4 6" xfId="37463"/>
    <cellStyle name="Calculation 2 2 3 2 2 4 7" xfId="42228"/>
    <cellStyle name="Calculation 2 2 3 2 2 4 8" xfId="50726"/>
    <cellStyle name="Calculation 2 2 3 2 2 5" xfId="3098"/>
    <cellStyle name="Calculation 2 2 3 2 2 5 2" xfId="4398"/>
    <cellStyle name="Calculation 2 2 3 2 2 5 3" xfId="4399"/>
    <cellStyle name="Calculation 2 2 3 2 2 5 4" xfId="4400"/>
    <cellStyle name="Calculation 2 2 3 2 2 5 5" xfId="4401"/>
    <cellStyle name="Calculation 2 2 3 2 2 5 6" xfId="38079"/>
    <cellStyle name="Calculation 2 2 3 2 2 5 7" xfId="42229"/>
    <cellStyle name="Calculation 2 2 3 2 2 5 8" xfId="50727"/>
    <cellStyle name="Calculation 2 2 3 2 2 6" xfId="3274"/>
    <cellStyle name="Calculation 2 2 3 2 2 6 2" xfId="4402"/>
    <cellStyle name="Calculation 2 2 3 2 2 6 3" xfId="4403"/>
    <cellStyle name="Calculation 2 2 3 2 2 6 4" xfId="4404"/>
    <cellStyle name="Calculation 2 2 3 2 2 6 5" xfId="4405"/>
    <cellStyle name="Calculation 2 2 3 2 2 6 6" xfId="38697"/>
    <cellStyle name="Calculation 2 2 3 2 2 6 7" xfId="42230"/>
    <cellStyle name="Calculation 2 2 3 2 2 6 8" xfId="50728"/>
    <cellStyle name="Calculation 2 2 3 2 2 7" xfId="4406"/>
    <cellStyle name="Calculation 2 2 3 2 2 7 2" xfId="4407"/>
    <cellStyle name="Calculation 2 2 3 2 2 7 3" xfId="4408"/>
    <cellStyle name="Calculation 2 2 3 2 2 7 4" xfId="4409"/>
    <cellStyle name="Calculation 2 2 3 2 2 7 5" xfId="4410"/>
    <cellStyle name="Calculation 2 2 3 2 2 7 6" xfId="39317"/>
    <cellStyle name="Calculation 2 2 3 2 2 7 7" xfId="42231"/>
    <cellStyle name="Calculation 2 2 3 2 2 7 8" xfId="50729"/>
    <cellStyle name="Calculation 2 2 3 2 2 8" xfId="4411"/>
    <cellStyle name="Calculation 2 2 3 2 2 8 2" xfId="4412"/>
    <cellStyle name="Calculation 2 2 3 2 2 8 3" xfId="4413"/>
    <cellStyle name="Calculation 2 2 3 2 2 8 4" xfId="4414"/>
    <cellStyle name="Calculation 2 2 3 2 2 8 5" xfId="4415"/>
    <cellStyle name="Calculation 2 2 3 2 2 8 6" xfId="39933"/>
    <cellStyle name="Calculation 2 2 3 2 2 8 7" xfId="42232"/>
    <cellStyle name="Calculation 2 2 3 2 2 8 8" xfId="50730"/>
    <cellStyle name="Calculation 2 2 3 2 2 9" xfId="4416"/>
    <cellStyle name="Calculation 2 2 3 2 2 9 2" xfId="4417"/>
    <cellStyle name="Calculation 2 2 3 2 2 9 3" xfId="4418"/>
    <cellStyle name="Calculation 2 2 3 2 2 9 4" xfId="4419"/>
    <cellStyle name="Calculation 2 2 3 2 2 9 5" xfId="4420"/>
    <cellStyle name="Calculation 2 2 3 2 2 9 6" xfId="40548"/>
    <cellStyle name="Calculation 2 2 3 2 2 9 7" xfId="42233"/>
    <cellStyle name="Calculation 2 2 3 2 2 9 8" xfId="50731"/>
    <cellStyle name="Calculation 2 2 3 2 20" xfId="34768"/>
    <cellStyle name="Calculation 2 2 3 2 21" xfId="40845"/>
    <cellStyle name="Calculation 2 2 3 2 22" xfId="41408"/>
    <cellStyle name="Calculation 2 2 3 2 23" xfId="50495"/>
    <cellStyle name="Calculation 2 2 3 2 3" xfId="1604"/>
    <cellStyle name="Calculation 2 2 3 2 3 10" xfId="34629"/>
    <cellStyle name="Calculation 2 2 3 2 3 11" xfId="41060"/>
    <cellStyle name="Calculation 2 2 3 2 3 12" xfId="42234"/>
    <cellStyle name="Calculation 2 2 3 2 3 13" xfId="50732"/>
    <cellStyle name="Calculation 2 2 3 2 3 2" xfId="1605"/>
    <cellStyle name="Calculation 2 2 3 2 3 2 2" xfId="36137"/>
    <cellStyle name="Calculation 2 2 3 2 3 2 3" xfId="42235"/>
    <cellStyle name="Calculation 2 2 3 2 3 2 4" xfId="50733"/>
    <cellStyle name="Calculation 2 2 3 2 3 3" xfId="1606"/>
    <cellStyle name="Calculation 2 2 3 2 3 3 2" xfId="36636"/>
    <cellStyle name="Calculation 2 2 3 2 3 3 3" xfId="42236"/>
    <cellStyle name="Calculation 2 2 3 2 3 3 4" xfId="50734"/>
    <cellStyle name="Calculation 2 2 3 2 3 4" xfId="4421"/>
    <cellStyle name="Calculation 2 2 3 2 3 4 2" xfId="37252"/>
    <cellStyle name="Calculation 2 2 3 2 3 4 3" xfId="42237"/>
    <cellStyle name="Calculation 2 2 3 2 3 4 4" xfId="50735"/>
    <cellStyle name="Calculation 2 2 3 2 3 5" xfId="4422"/>
    <cellStyle name="Calculation 2 2 3 2 3 5 2" xfId="37868"/>
    <cellStyle name="Calculation 2 2 3 2 3 5 3" xfId="42238"/>
    <cellStyle name="Calculation 2 2 3 2 3 5 4" xfId="50736"/>
    <cellStyle name="Calculation 2 2 3 2 3 6" xfId="38483"/>
    <cellStyle name="Calculation 2 2 3 2 3 6 2" xfId="42239"/>
    <cellStyle name="Calculation 2 2 3 2 3 6 3" xfId="50737"/>
    <cellStyle name="Calculation 2 2 3 2 3 7" xfId="39103"/>
    <cellStyle name="Calculation 2 2 3 2 3 7 2" xfId="42240"/>
    <cellStyle name="Calculation 2 2 3 2 3 7 3" xfId="50738"/>
    <cellStyle name="Calculation 2 2 3 2 3 8" xfId="39719"/>
    <cellStyle name="Calculation 2 2 3 2 3 8 2" xfId="42241"/>
    <cellStyle name="Calculation 2 2 3 2 3 8 3" xfId="50739"/>
    <cellStyle name="Calculation 2 2 3 2 3 9" xfId="40334"/>
    <cellStyle name="Calculation 2 2 3 2 3 9 2" xfId="42242"/>
    <cellStyle name="Calculation 2 2 3 2 3 9 3" xfId="50740"/>
    <cellStyle name="Calculation 2 2 3 2 4" xfId="1607"/>
    <cellStyle name="Calculation 2 2 3 2 4 10" xfId="42243"/>
    <cellStyle name="Calculation 2 2 3 2 4 11" xfId="50741"/>
    <cellStyle name="Calculation 2 2 3 2 4 2" xfId="4423"/>
    <cellStyle name="Calculation 2 2 3 2 4 2 2" xfId="42244"/>
    <cellStyle name="Calculation 2 2 3 2 4 2 3" xfId="50742"/>
    <cellStyle name="Calculation 2 2 3 2 4 3" xfId="4424"/>
    <cellStyle name="Calculation 2 2 3 2 4 3 2" xfId="42245"/>
    <cellStyle name="Calculation 2 2 3 2 4 3 3" xfId="50743"/>
    <cellStyle name="Calculation 2 2 3 2 4 4" xfId="4425"/>
    <cellStyle name="Calculation 2 2 3 2 4 4 2" xfId="42246"/>
    <cellStyle name="Calculation 2 2 3 2 4 4 3" xfId="50744"/>
    <cellStyle name="Calculation 2 2 3 2 4 5" xfId="4426"/>
    <cellStyle name="Calculation 2 2 3 2 4 5 2" xfId="42247"/>
    <cellStyle name="Calculation 2 2 3 2 4 5 3" xfId="50745"/>
    <cellStyle name="Calculation 2 2 3 2 4 6" xfId="35675"/>
    <cellStyle name="Calculation 2 2 3 2 4 6 2" xfId="42248"/>
    <cellStyle name="Calculation 2 2 3 2 4 6 3" xfId="50746"/>
    <cellStyle name="Calculation 2 2 3 2 4 7" xfId="42249"/>
    <cellStyle name="Calculation 2 2 3 2 4 7 2" xfId="50747"/>
    <cellStyle name="Calculation 2 2 3 2 4 8" xfId="42250"/>
    <cellStyle name="Calculation 2 2 3 2 4 8 2" xfId="50748"/>
    <cellStyle name="Calculation 2 2 3 2 4 9" xfId="42251"/>
    <cellStyle name="Calculation 2 2 3 2 4 9 2" xfId="50749"/>
    <cellStyle name="Calculation 2 2 3 2 5" xfId="1113"/>
    <cellStyle name="Calculation 2 2 3 2 5 2" xfId="4427"/>
    <cellStyle name="Calculation 2 2 3 2 5 3" xfId="4428"/>
    <cellStyle name="Calculation 2 2 3 2 5 4" xfId="4429"/>
    <cellStyle name="Calculation 2 2 3 2 5 5" xfId="4430"/>
    <cellStyle name="Calculation 2 2 3 2 5 6" xfId="36004"/>
    <cellStyle name="Calculation 2 2 3 2 5 7" xfId="42252"/>
    <cellStyle name="Calculation 2 2 3 2 5 8" xfId="50750"/>
    <cellStyle name="Calculation 2 2 3 2 6" xfId="3097"/>
    <cellStyle name="Calculation 2 2 3 2 6 2" xfId="4431"/>
    <cellStyle name="Calculation 2 2 3 2 6 3" xfId="4432"/>
    <cellStyle name="Calculation 2 2 3 2 6 4" xfId="4433"/>
    <cellStyle name="Calculation 2 2 3 2 6 5" xfId="4434"/>
    <cellStyle name="Calculation 2 2 3 2 6 6" xfId="37037"/>
    <cellStyle name="Calculation 2 2 3 2 6 7" xfId="42253"/>
    <cellStyle name="Calculation 2 2 3 2 6 8" xfId="50751"/>
    <cellStyle name="Calculation 2 2 3 2 7" xfId="3275"/>
    <cellStyle name="Calculation 2 2 3 2 7 2" xfId="4435"/>
    <cellStyle name="Calculation 2 2 3 2 7 3" xfId="4436"/>
    <cellStyle name="Calculation 2 2 3 2 7 4" xfId="4437"/>
    <cellStyle name="Calculation 2 2 3 2 7 5" xfId="4438"/>
    <cellStyle name="Calculation 2 2 3 2 7 6" xfId="37649"/>
    <cellStyle name="Calculation 2 2 3 2 7 7" xfId="42254"/>
    <cellStyle name="Calculation 2 2 3 2 7 8" xfId="50752"/>
    <cellStyle name="Calculation 2 2 3 2 8" xfId="4439"/>
    <cellStyle name="Calculation 2 2 3 2 8 2" xfId="4440"/>
    <cellStyle name="Calculation 2 2 3 2 8 3" xfId="4441"/>
    <cellStyle name="Calculation 2 2 3 2 8 4" xfId="4442"/>
    <cellStyle name="Calculation 2 2 3 2 8 5" xfId="4443"/>
    <cellStyle name="Calculation 2 2 3 2 8 6" xfId="38264"/>
    <cellStyle name="Calculation 2 2 3 2 8 7" xfId="42255"/>
    <cellStyle name="Calculation 2 2 3 2 8 8" xfId="50753"/>
    <cellStyle name="Calculation 2 2 3 2 9" xfId="4444"/>
    <cellStyle name="Calculation 2 2 3 2 9 2" xfId="4445"/>
    <cellStyle name="Calculation 2 2 3 2 9 3" xfId="4446"/>
    <cellStyle name="Calculation 2 2 3 2 9 4" xfId="4447"/>
    <cellStyle name="Calculation 2 2 3 2 9 5" xfId="4448"/>
    <cellStyle name="Calculation 2 2 3 2 9 6" xfId="38884"/>
    <cellStyle name="Calculation 2 2 3 2 9 7" xfId="42256"/>
    <cellStyle name="Calculation 2 2 3 2 9 8" xfId="50754"/>
    <cellStyle name="Calculation 2 2 3 3" xfId="497"/>
    <cellStyle name="Calculation 2 2 3 3 10" xfId="4449"/>
    <cellStyle name="Calculation 2 2 3 3 10 2" xfId="4450"/>
    <cellStyle name="Calculation 2 2 3 3 10 3" xfId="4451"/>
    <cellStyle name="Calculation 2 2 3 3 10 4" xfId="4452"/>
    <cellStyle name="Calculation 2 2 3 3 10 5" xfId="4453"/>
    <cellStyle name="Calculation 2 2 3 3 10 6" xfId="42257"/>
    <cellStyle name="Calculation 2 2 3 3 10 7" xfId="50755"/>
    <cellStyle name="Calculation 2 2 3 3 11" xfId="4454"/>
    <cellStyle name="Calculation 2 2 3 3 11 2" xfId="4455"/>
    <cellStyle name="Calculation 2 2 3 3 11 3" xfId="4456"/>
    <cellStyle name="Calculation 2 2 3 3 11 4" xfId="4457"/>
    <cellStyle name="Calculation 2 2 3 3 11 5" xfId="4458"/>
    <cellStyle name="Calculation 2 2 3 3 12" xfId="4459"/>
    <cellStyle name="Calculation 2 2 3 3 12 2" xfId="4460"/>
    <cellStyle name="Calculation 2 2 3 3 12 3" xfId="4461"/>
    <cellStyle name="Calculation 2 2 3 3 12 4" xfId="4462"/>
    <cellStyle name="Calculation 2 2 3 3 12 5" xfId="4463"/>
    <cellStyle name="Calculation 2 2 3 3 13" xfId="4464"/>
    <cellStyle name="Calculation 2 2 3 3 13 2" xfId="4465"/>
    <cellStyle name="Calculation 2 2 3 3 13 3" xfId="4466"/>
    <cellStyle name="Calculation 2 2 3 3 13 4" xfId="4467"/>
    <cellStyle name="Calculation 2 2 3 3 13 5" xfId="4468"/>
    <cellStyle name="Calculation 2 2 3 3 14" xfId="4469"/>
    <cellStyle name="Calculation 2 2 3 3 14 2" xfId="4470"/>
    <cellStyle name="Calculation 2 2 3 3 14 3" xfId="4471"/>
    <cellStyle name="Calculation 2 2 3 3 14 4" xfId="4472"/>
    <cellStyle name="Calculation 2 2 3 3 14 5" xfId="4473"/>
    <cellStyle name="Calculation 2 2 3 3 15" xfId="4474"/>
    <cellStyle name="Calculation 2 2 3 3 15 2" xfId="4475"/>
    <cellStyle name="Calculation 2 2 3 3 15 3" xfId="4476"/>
    <cellStyle name="Calculation 2 2 3 3 15 4" xfId="4477"/>
    <cellStyle name="Calculation 2 2 3 3 15 5" xfId="4478"/>
    <cellStyle name="Calculation 2 2 3 3 16" xfId="4479"/>
    <cellStyle name="Calculation 2 2 3 3 16 2" xfId="4480"/>
    <cellStyle name="Calculation 2 2 3 3 16 3" xfId="4481"/>
    <cellStyle name="Calculation 2 2 3 3 16 4" xfId="4482"/>
    <cellStyle name="Calculation 2 2 3 3 16 5" xfId="4483"/>
    <cellStyle name="Calculation 2 2 3 3 17" xfId="4484"/>
    <cellStyle name="Calculation 2 2 3 3 17 2" xfId="4485"/>
    <cellStyle name="Calculation 2 2 3 3 17 3" xfId="4486"/>
    <cellStyle name="Calculation 2 2 3 3 17 4" xfId="4487"/>
    <cellStyle name="Calculation 2 2 3 3 17 5" xfId="4488"/>
    <cellStyle name="Calculation 2 2 3 3 18" xfId="4489"/>
    <cellStyle name="Calculation 2 2 3 3 19" xfId="926"/>
    <cellStyle name="Calculation 2 2 3 3 2" xfId="1608"/>
    <cellStyle name="Calculation 2 2 3 3 2 2" xfId="1609"/>
    <cellStyle name="Calculation 2 2 3 3 2 3" xfId="1610"/>
    <cellStyle name="Calculation 2 2 3 3 2 4" xfId="4490"/>
    <cellStyle name="Calculation 2 2 3 3 2 5" xfId="4491"/>
    <cellStyle name="Calculation 2 2 3 3 2 6" xfId="36301"/>
    <cellStyle name="Calculation 2 2 3 3 2 7" xfId="42258"/>
    <cellStyle name="Calculation 2 2 3 3 2 8" xfId="50756"/>
    <cellStyle name="Calculation 2 2 3 3 20" xfId="35006"/>
    <cellStyle name="Calculation 2 2 3 3 21" xfId="40715"/>
    <cellStyle name="Calculation 2 2 3 3 22" xfId="41225"/>
    <cellStyle name="Calculation 2 2 3 3 3" xfId="1611"/>
    <cellStyle name="Calculation 2 2 3 3 3 2" xfId="4492"/>
    <cellStyle name="Calculation 2 2 3 3 3 3" xfId="4493"/>
    <cellStyle name="Calculation 2 2 3 3 3 4" xfId="4494"/>
    <cellStyle name="Calculation 2 2 3 3 3 5" xfId="4495"/>
    <cellStyle name="Calculation 2 2 3 3 3 6" xfId="36798"/>
    <cellStyle name="Calculation 2 2 3 3 3 7" xfId="42259"/>
    <cellStyle name="Calculation 2 2 3 3 3 8" xfId="50757"/>
    <cellStyle name="Calculation 2 2 3 3 4" xfId="1115"/>
    <cellStyle name="Calculation 2 2 3 3 4 2" xfId="4496"/>
    <cellStyle name="Calculation 2 2 3 3 4 3" xfId="4497"/>
    <cellStyle name="Calculation 2 2 3 3 4 4" xfId="4498"/>
    <cellStyle name="Calculation 2 2 3 3 4 5" xfId="4499"/>
    <cellStyle name="Calculation 2 2 3 3 4 6" xfId="37414"/>
    <cellStyle name="Calculation 2 2 3 3 4 7" xfId="42260"/>
    <cellStyle name="Calculation 2 2 3 3 4 8" xfId="50758"/>
    <cellStyle name="Calculation 2 2 3 3 5" xfId="3099"/>
    <cellStyle name="Calculation 2 2 3 3 5 2" xfId="4500"/>
    <cellStyle name="Calculation 2 2 3 3 5 3" xfId="4501"/>
    <cellStyle name="Calculation 2 2 3 3 5 4" xfId="4502"/>
    <cellStyle name="Calculation 2 2 3 3 5 5" xfId="4503"/>
    <cellStyle name="Calculation 2 2 3 3 5 6" xfId="38030"/>
    <cellStyle name="Calculation 2 2 3 3 5 7" xfId="42261"/>
    <cellStyle name="Calculation 2 2 3 3 5 8" xfId="50759"/>
    <cellStyle name="Calculation 2 2 3 3 6" xfId="3273"/>
    <cellStyle name="Calculation 2 2 3 3 6 2" xfId="4504"/>
    <cellStyle name="Calculation 2 2 3 3 6 3" xfId="4505"/>
    <cellStyle name="Calculation 2 2 3 3 6 4" xfId="4506"/>
    <cellStyle name="Calculation 2 2 3 3 6 5" xfId="4507"/>
    <cellStyle name="Calculation 2 2 3 3 6 6" xfId="38648"/>
    <cellStyle name="Calculation 2 2 3 3 6 7" xfId="42262"/>
    <cellStyle name="Calculation 2 2 3 3 6 8" xfId="50760"/>
    <cellStyle name="Calculation 2 2 3 3 7" xfId="4508"/>
    <cellStyle name="Calculation 2 2 3 3 7 2" xfId="4509"/>
    <cellStyle name="Calculation 2 2 3 3 7 3" xfId="4510"/>
    <cellStyle name="Calculation 2 2 3 3 7 4" xfId="4511"/>
    <cellStyle name="Calculation 2 2 3 3 7 5" xfId="4512"/>
    <cellStyle name="Calculation 2 2 3 3 7 6" xfId="39268"/>
    <cellStyle name="Calculation 2 2 3 3 7 7" xfId="42263"/>
    <cellStyle name="Calculation 2 2 3 3 7 8" xfId="50761"/>
    <cellStyle name="Calculation 2 2 3 3 8" xfId="4513"/>
    <cellStyle name="Calculation 2 2 3 3 8 2" xfId="4514"/>
    <cellStyle name="Calculation 2 2 3 3 8 3" xfId="4515"/>
    <cellStyle name="Calculation 2 2 3 3 8 4" xfId="4516"/>
    <cellStyle name="Calculation 2 2 3 3 8 5" xfId="4517"/>
    <cellStyle name="Calculation 2 2 3 3 8 6" xfId="39884"/>
    <cellStyle name="Calculation 2 2 3 3 8 7" xfId="42264"/>
    <cellStyle name="Calculation 2 2 3 3 8 8" xfId="50762"/>
    <cellStyle name="Calculation 2 2 3 3 9" xfId="4518"/>
    <cellStyle name="Calculation 2 2 3 3 9 2" xfId="4519"/>
    <cellStyle name="Calculation 2 2 3 3 9 3" xfId="4520"/>
    <cellStyle name="Calculation 2 2 3 3 9 4" xfId="4521"/>
    <cellStyle name="Calculation 2 2 3 3 9 5" xfId="4522"/>
    <cellStyle name="Calculation 2 2 3 3 9 6" xfId="40499"/>
    <cellStyle name="Calculation 2 2 3 3 9 7" xfId="42265"/>
    <cellStyle name="Calculation 2 2 3 3 9 8" xfId="50763"/>
    <cellStyle name="Calculation 2 2 3 4" xfId="1612"/>
    <cellStyle name="Calculation 2 2 3 4 10" xfId="34885"/>
    <cellStyle name="Calculation 2 2 3 4 11" xfId="41011"/>
    <cellStyle name="Calculation 2 2 3 4 12" xfId="42266"/>
    <cellStyle name="Calculation 2 2 3 4 13" xfId="50764"/>
    <cellStyle name="Calculation 2 2 3 4 2" xfId="1613"/>
    <cellStyle name="Calculation 2 2 3 4 2 2" xfId="36088"/>
    <cellStyle name="Calculation 2 2 3 4 2 3" xfId="42267"/>
    <cellStyle name="Calculation 2 2 3 4 2 4" xfId="50765"/>
    <cellStyle name="Calculation 2 2 3 4 3" xfId="1614"/>
    <cellStyle name="Calculation 2 2 3 4 3 2" xfId="36587"/>
    <cellStyle name="Calculation 2 2 3 4 3 3" xfId="42268"/>
    <cellStyle name="Calculation 2 2 3 4 3 4" xfId="50766"/>
    <cellStyle name="Calculation 2 2 3 4 4" xfId="4523"/>
    <cellStyle name="Calculation 2 2 3 4 4 2" xfId="37203"/>
    <cellStyle name="Calculation 2 2 3 4 4 3" xfId="42269"/>
    <cellStyle name="Calculation 2 2 3 4 4 4" xfId="50767"/>
    <cellStyle name="Calculation 2 2 3 4 5" xfId="4524"/>
    <cellStyle name="Calculation 2 2 3 4 5 2" xfId="37819"/>
    <cellStyle name="Calculation 2 2 3 4 5 3" xfId="42270"/>
    <cellStyle name="Calculation 2 2 3 4 5 4" xfId="50768"/>
    <cellStyle name="Calculation 2 2 3 4 6" xfId="38434"/>
    <cellStyle name="Calculation 2 2 3 4 6 2" xfId="42271"/>
    <cellStyle name="Calculation 2 2 3 4 6 3" xfId="50769"/>
    <cellStyle name="Calculation 2 2 3 4 7" xfId="39054"/>
    <cellStyle name="Calculation 2 2 3 4 7 2" xfId="42272"/>
    <cellStyle name="Calculation 2 2 3 4 7 3" xfId="50770"/>
    <cellStyle name="Calculation 2 2 3 4 8" xfId="39670"/>
    <cellStyle name="Calculation 2 2 3 4 8 2" xfId="42273"/>
    <cellStyle name="Calculation 2 2 3 4 8 3" xfId="50771"/>
    <cellStyle name="Calculation 2 2 3 4 9" xfId="40285"/>
    <cellStyle name="Calculation 2 2 3 4 9 2" xfId="42274"/>
    <cellStyle name="Calculation 2 2 3 4 9 3" xfId="50772"/>
    <cellStyle name="Calculation 2 2 3 5" xfId="1615"/>
    <cellStyle name="Calculation 2 2 3 5 10" xfId="42275"/>
    <cellStyle name="Calculation 2 2 3 5 11" xfId="50773"/>
    <cellStyle name="Calculation 2 2 3 5 2" xfId="1616"/>
    <cellStyle name="Calculation 2 2 3 5 2 2" xfId="42276"/>
    <cellStyle name="Calculation 2 2 3 5 2 3" xfId="50774"/>
    <cellStyle name="Calculation 2 2 3 5 3" xfId="1617"/>
    <cellStyle name="Calculation 2 2 3 5 3 2" xfId="42277"/>
    <cellStyle name="Calculation 2 2 3 5 3 3" xfId="50775"/>
    <cellStyle name="Calculation 2 2 3 5 4" xfId="4525"/>
    <cellStyle name="Calculation 2 2 3 5 4 2" xfId="42278"/>
    <cellStyle name="Calculation 2 2 3 5 4 3" xfId="50776"/>
    <cellStyle name="Calculation 2 2 3 5 5" xfId="4526"/>
    <cellStyle name="Calculation 2 2 3 5 5 2" xfId="42279"/>
    <cellStyle name="Calculation 2 2 3 5 5 3" xfId="50777"/>
    <cellStyle name="Calculation 2 2 3 5 6" xfId="35406"/>
    <cellStyle name="Calculation 2 2 3 5 6 2" xfId="42280"/>
    <cellStyle name="Calculation 2 2 3 5 6 3" xfId="50778"/>
    <cellStyle name="Calculation 2 2 3 5 7" xfId="42281"/>
    <cellStyle name="Calculation 2 2 3 5 7 2" xfId="50779"/>
    <cellStyle name="Calculation 2 2 3 5 8" xfId="42282"/>
    <cellStyle name="Calculation 2 2 3 5 8 2" xfId="50780"/>
    <cellStyle name="Calculation 2 2 3 5 9" xfId="42283"/>
    <cellStyle name="Calculation 2 2 3 5 9 2" xfId="50781"/>
    <cellStyle name="Calculation 2 2 3 6" xfId="1112"/>
    <cellStyle name="Calculation 2 2 3 6 2" xfId="4527"/>
    <cellStyle name="Calculation 2 2 3 6 3" xfId="4528"/>
    <cellStyle name="Calculation 2 2 3 6 4" xfId="4529"/>
    <cellStyle name="Calculation 2 2 3 6 5" xfId="4530"/>
    <cellStyle name="Calculation 2 2 3 6 6" xfId="35938"/>
    <cellStyle name="Calculation 2 2 3 6 7" xfId="42284"/>
    <cellStyle name="Calculation 2 2 3 6 8" xfId="50782"/>
    <cellStyle name="Calculation 2 2 3 7" xfId="3096"/>
    <cellStyle name="Calculation 2 2 3 7 2" xfId="4531"/>
    <cellStyle name="Calculation 2 2 3 7 3" xfId="4532"/>
    <cellStyle name="Calculation 2 2 3 7 4" xfId="4533"/>
    <cellStyle name="Calculation 2 2 3 7 5" xfId="4534"/>
    <cellStyle name="Calculation 2 2 3 7 6" xfId="36019"/>
    <cellStyle name="Calculation 2 2 3 7 7" xfId="42285"/>
    <cellStyle name="Calculation 2 2 3 7 8" xfId="50783"/>
    <cellStyle name="Calculation 2 2 3 8" xfId="3276"/>
    <cellStyle name="Calculation 2 2 3 8 2" xfId="4535"/>
    <cellStyle name="Calculation 2 2 3 8 3" xfId="4536"/>
    <cellStyle name="Calculation 2 2 3 8 4" xfId="4537"/>
    <cellStyle name="Calculation 2 2 3 8 5" xfId="4538"/>
    <cellStyle name="Calculation 2 2 3 8 6" xfId="36983"/>
    <cellStyle name="Calculation 2 2 3 8 7" xfId="42286"/>
    <cellStyle name="Calculation 2 2 3 8 8" xfId="50784"/>
    <cellStyle name="Calculation 2 2 3 9" xfId="4539"/>
    <cellStyle name="Calculation 2 2 3 9 2" xfId="4540"/>
    <cellStyle name="Calculation 2 2 3 9 3" xfId="4541"/>
    <cellStyle name="Calculation 2 2 3 9 4" xfId="4542"/>
    <cellStyle name="Calculation 2 2 3 9 5" xfId="4543"/>
    <cellStyle name="Calculation 2 2 3 9 6" xfId="37595"/>
    <cellStyle name="Calculation 2 2 3 9 7" xfId="42287"/>
    <cellStyle name="Calculation 2 2 3 9 8" xfId="50785"/>
    <cellStyle name="Calculation 2 2 3_SS10_Codes Cat Analysis RIN" xfId="42288"/>
    <cellStyle name="Calculation 2 2 4" xfId="326"/>
    <cellStyle name="Calculation 2 2 4 10" xfId="4544"/>
    <cellStyle name="Calculation 2 2 4 10 2" xfId="4545"/>
    <cellStyle name="Calculation 2 2 4 10 3" xfId="4546"/>
    <cellStyle name="Calculation 2 2 4 10 4" xfId="4547"/>
    <cellStyle name="Calculation 2 2 4 10 5" xfId="4548"/>
    <cellStyle name="Calculation 2 2 4 10 6" xfId="39504"/>
    <cellStyle name="Calculation 2 2 4 10 7" xfId="42289"/>
    <cellStyle name="Calculation 2 2 4 10 8" xfId="50786"/>
    <cellStyle name="Calculation 2 2 4 11" xfId="4549"/>
    <cellStyle name="Calculation 2 2 4 11 2" xfId="4550"/>
    <cellStyle name="Calculation 2 2 4 11 3" xfId="4551"/>
    <cellStyle name="Calculation 2 2 4 11 4" xfId="4552"/>
    <cellStyle name="Calculation 2 2 4 11 5" xfId="4553"/>
    <cellStyle name="Calculation 2 2 4 11 6" xfId="40122"/>
    <cellStyle name="Calculation 2 2 4 11 7" xfId="42290"/>
    <cellStyle name="Calculation 2 2 4 11 8" xfId="50787"/>
    <cellStyle name="Calculation 2 2 4 12" xfId="4554"/>
    <cellStyle name="Calculation 2 2 4 12 2" xfId="4555"/>
    <cellStyle name="Calculation 2 2 4 12 3" xfId="4556"/>
    <cellStyle name="Calculation 2 2 4 12 4" xfId="4557"/>
    <cellStyle name="Calculation 2 2 4 12 5" xfId="4558"/>
    <cellStyle name="Calculation 2 2 4 12 6" xfId="42291"/>
    <cellStyle name="Calculation 2 2 4 12 7" xfId="50788"/>
    <cellStyle name="Calculation 2 2 4 13" xfId="4559"/>
    <cellStyle name="Calculation 2 2 4 13 2" xfId="4560"/>
    <cellStyle name="Calculation 2 2 4 13 3" xfId="4561"/>
    <cellStyle name="Calculation 2 2 4 13 4" xfId="4562"/>
    <cellStyle name="Calculation 2 2 4 13 5" xfId="4563"/>
    <cellStyle name="Calculation 2 2 4 13 6" xfId="42292"/>
    <cellStyle name="Calculation 2 2 4 13 7" xfId="50789"/>
    <cellStyle name="Calculation 2 2 4 14" xfId="4564"/>
    <cellStyle name="Calculation 2 2 4 14 2" xfId="4565"/>
    <cellStyle name="Calculation 2 2 4 14 3" xfId="4566"/>
    <cellStyle name="Calculation 2 2 4 14 4" xfId="4567"/>
    <cellStyle name="Calculation 2 2 4 14 5" xfId="4568"/>
    <cellStyle name="Calculation 2 2 4 15" xfId="4569"/>
    <cellStyle name="Calculation 2 2 4 15 2" xfId="4570"/>
    <cellStyle name="Calculation 2 2 4 15 3" xfId="4571"/>
    <cellStyle name="Calculation 2 2 4 15 4" xfId="4572"/>
    <cellStyle name="Calculation 2 2 4 15 5" xfId="4573"/>
    <cellStyle name="Calculation 2 2 4 16" xfId="4574"/>
    <cellStyle name="Calculation 2 2 4 16 2" xfId="4575"/>
    <cellStyle name="Calculation 2 2 4 16 3" xfId="4576"/>
    <cellStyle name="Calculation 2 2 4 16 4" xfId="4577"/>
    <cellStyle name="Calculation 2 2 4 16 5" xfId="4578"/>
    <cellStyle name="Calculation 2 2 4 17" xfId="4579"/>
    <cellStyle name="Calculation 2 2 4 17 2" xfId="4580"/>
    <cellStyle name="Calculation 2 2 4 17 3" xfId="4581"/>
    <cellStyle name="Calculation 2 2 4 17 4" xfId="4582"/>
    <cellStyle name="Calculation 2 2 4 17 5" xfId="4583"/>
    <cellStyle name="Calculation 2 2 4 18" xfId="4584"/>
    <cellStyle name="Calculation 2 2 4 19" xfId="762"/>
    <cellStyle name="Calculation 2 2 4 2" xfId="547"/>
    <cellStyle name="Calculation 2 2 4 2 10" xfId="4585"/>
    <cellStyle name="Calculation 2 2 4 2 10 2" xfId="4586"/>
    <cellStyle name="Calculation 2 2 4 2 10 3" xfId="4587"/>
    <cellStyle name="Calculation 2 2 4 2 10 4" xfId="4588"/>
    <cellStyle name="Calculation 2 2 4 2 10 5" xfId="4589"/>
    <cellStyle name="Calculation 2 2 4 2 10 6" xfId="42293"/>
    <cellStyle name="Calculation 2 2 4 2 10 7" xfId="50790"/>
    <cellStyle name="Calculation 2 2 4 2 11" xfId="4590"/>
    <cellStyle name="Calculation 2 2 4 2 11 2" xfId="4591"/>
    <cellStyle name="Calculation 2 2 4 2 11 3" xfId="4592"/>
    <cellStyle name="Calculation 2 2 4 2 11 4" xfId="4593"/>
    <cellStyle name="Calculation 2 2 4 2 11 5" xfId="4594"/>
    <cellStyle name="Calculation 2 2 4 2 12" xfId="4595"/>
    <cellStyle name="Calculation 2 2 4 2 12 2" xfId="4596"/>
    <cellStyle name="Calculation 2 2 4 2 12 3" xfId="4597"/>
    <cellStyle name="Calculation 2 2 4 2 12 4" xfId="4598"/>
    <cellStyle name="Calculation 2 2 4 2 12 5" xfId="4599"/>
    <cellStyle name="Calculation 2 2 4 2 13" xfId="4600"/>
    <cellStyle name="Calculation 2 2 4 2 13 2" xfId="4601"/>
    <cellStyle name="Calculation 2 2 4 2 13 3" xfId="4602"/>
    <cellStyle name="Calculation 2 2 4 2 13 4" xfId="4603"/>
    <cellStyle name="Calculation 2 2 4 2 13 5" xfId="4604"/>
    <cellStyle name="Calculation 2 2 4 2 14" xfId="4605"/>
    <cellStyle name="Calculation 2 2 4 2 14 2" xfId="4606"/>
    <cellStyle name="Calculation 2 2 4 2 14 3" xfId="4607"/>
    <cellStyle name="Calculation 2 2 4 2 14 4" xfId="4608"/>
    <cellStyle name="Calculation 2 2 4 2 14 5" xfId="4609"/>
    <cellStyle name="Calculation 2 2 4 2 15" xfId="4610"/>
    <cellStyle name="Calculation 2 2 4 2 15 2" xfId="4611"/>
    <cellStyle name="Calculation 2 2 4 2 15 3" xfId="4612"/>
    <cellStyle name="Calculation 2 2 4 2 15 4" xfId="4613"/>
    <cellStyle name="Calculation 2 2 4 2 15 5" xfId="4614"/>
    <cellStyle name="Calculation 2 2 4 2 16" xfId="4615"/>
    <cellStyle name="Calculation 2 2 4 2 16 2" xfId="4616"/>
    <cellStyle name="Calculation 2 2 4 2 16 3" xfId="4617"/>
    <cellStyle name="Calculation 2 2 4 2 16 4" xfId="4618"/>
    <cellStyle name="Calculation 2 2 4 2 16 5" xfId="4619"/>
    <cellStyle name="Calculation 2 2 4 2 17" xfId="4620"/>
    <cellStyle name="Calculation 2 2 4 2 17 2" xfId="4621"/>
    <cellStyle name="Calculation 2 2 4 2 17 3" xfId="4622"/>
    <cellStyle name="Calculation 2 2 4 2 17 4" xfId="4623"/>
    <cellStyle name="Calculation 2 2 4 2 17 5" xfId="4624"/>
    <cellStyle name="Calculation 2 2 4 2 18" xfId="4625"/>
    <cellStyle name="Calculation 2 2 4 2 19" xfId="976"/>
    <cellStyle name="Calculation 2 2 4 2 2" xfId="1618"/>
    <cellStyle name="Calculation 2 2 4 2 2 2" xfId="4626"/>
    <cellStyle name="Calculation 2 2 4 2 2 3" xfId="4627"/>
    <cellStyle name="Calculation 2 2 4 2 2 4" xfId="4628"/>
    <cellStyle name="Calculation 2 2 4 2 2 5" xfId="4629"/>
    <cellStyle name="Calculation 2 2 4 2 2 6" xfId="36351"/>
    <cellStyle name="Calculation 2 2 4 2 2 7" xfId="42294"/>
    <cellStyle name="Calculation 2 2 4 2 2 8" xfId="50791"/>
    <cellStyle name="Calculation 2 2 4 2 20" xfId="35056"/>
    <cellStyle name="Calculation 2 2 4 2 21" xfId="41275"/>
    <cellStyle name="Calculation 2 2 4 2 3" xfId="1619"/>
    <cellStyle name="Calculation 2 2 4 2 3 2" xfId="4630"/>
    <cellStyle name="Calculation 2 2 4 2 3 3" xfId="4631"/>
    <cellStyle name="Calculation 2 2 4 2 3 4" xfId="4632"/>
    <cellStyle name="Calculation 2 2 4 2 3 5" xfId="4633"/>
    <cellStyle name="Calculation 2 2 4 2 3 6" xfId="36848"/>
    <cellStyle name="Calculation 2 2 4 2 3 7" xfId="42295"/>
    <cellStyle name="Calculation 2 2 4 2 3 8" xfId="50792"/>
    <cellStyle name="Calculation 2 2 4 2 4" xfId="1117"/>
    <cellStyle name="Calculation 2 2 4 2 4 2" xfId="4634"/>
    <cellStyle name="Calculation 2 2 4 2 4 3" xfId="4635"/>
    <cellStyle name="Calculation 2 2 4 2 4 4" xfId="4636"/>
    <cellStyle name="Calculation 2 2 4 2 4 5" xfId="4637"/>
    <cellStyle name="Calculation 2 2 4 2 4 6" xfId="37464"/>
    <cellStyle name="Calculation 2 2 4 2 4 7" xfId="42296"/>
    <cellStyle name="Calculation 2 2 4 2 4 8" xfId="50793"/>
    <cellStyle name="Calculation 2 2 4 2 5" xfId="3101"/>
    <cellStyle name="Calculation 2 2 4 2 5 2" xfId="4638"/>
    <cellStyle name="Calculation 2 2 4 2 5 3" xfId="4639"/>
    <cellStyle name="Calculation 2 2 4 2 5 4" xfId="4640"/>
    <cellStyle name="Calculation 2 2 4 2 5 5" xfId="4641"/>
    <cellStyle name="Calculation 2 2 4 2 5 6" xfId="38080"/>
    <cellStyle name="Calculation 2 2 4 2 5 7" xfId="42297"/>
    <cellStyle name="Calculation 2 2 4 2 5 8" xfId="50794"/>
    <cellStyle name="Calculation 2 2 4 2 6" xfId="3271"/>
    <cellStyle name="Calculation 2 2 4 2 6 2" xfId="4642"/>
    <cellStyle name="Calculation 2 2 4 2 6 3" xfId="4643"/>
    <cellStyle name="Calculation 2 2 4 2 6 4" xfId="4644"/>
    <cellStyle name="Calculation 2 2 4 2 6 5" xfId="4645"/>
    <cellStyle name="Calculation 2 2 4 2 6 6" xfId="38698"/>
    <cellStyle name="Calculation 2 2 4 2 6 7" xfId="42298"/>
    <cellStyle name="Calculation 2 2 4 2 6 8" xfId="50795"/>
    <cellStyle name="Calculation 2 2 4 2 7" xfId="4646"/>
    <cellStyle name="Calculation 2 2 4 2 7 2" xfId="4647"/>
    <cellStyle name="Calculation 2 2 4 2 7 3" xfId="4648"/>
    <cellStyle name="Calculation 2 2 4 2 7 4" xfId="4649"/>
    <cellStyle name="Calculation 2 2 4 2 7 5" xfId="4650"/>
    <cellStyle name="Calculation 2 2 4 2 7 6" xfId="39318"/>
    <cellStyle name="Calculation 2 2 4 2 7 7" xfId="42299"/>
    <cellStyle name="Calculation 2 2 4 2 7 8" xfId="50796"/>
    <cellStyle name="Calculation 2 2 4 2 8" xfId="4651"/>
    <cellStyle name="Calculation 2 2 4 2 8 2" xfId="4652"/>
    <cellStyle name="Calculation 2 2 4 2 8 3" xfId="4653"/>
    <cellStyle name="Calculation 2 2 4 2 8 4" xfId="4654"/>
    <cellStyle name="Calculation 2 2 4 2 8 5" xfId="4655"/>
    <cellStyle name="Calculation 2 2 4 2 8 6" xfId="39934"/>
    <cellStyle name="Calculation 2 2 4 2 8 7" xfId="42300"/>
    <cellStyle name="Calculation 2 2 4 2 8 8" xfId="50797"/>
    <cellStyle name="Calculation 2 2 4 2 9" xfId="4656"/>
    <cellStyle name="Calculation 2 2 4 2 9 2" xfId="4657"/>
    <cellStyle name="Calculation 2 2 4 2 9 3" xfId="4658"/>
    <cellStyle name="Calculation 2 2 4 2 9 4" xfId="4659"/>
    <cellStyle name="Calculation 2 2 4 2 9 5" xfId="4660"/>
    <cellStyle name="Calculation 2 2 4 2 9 6" xfId="40549"/>
    <cellStyle name="Calculation 2 2 4 2 9 7" xfId="42301"/>
    <cellStyle name="Calculation 2 2 4 2 9 8" xfId="50798"/>
    <cellStyle name="Calculation 2 2 4 20" xfId="34746"/>
    <cellStyle name="Calculation 2 2 4 21" xfId="40846"/>
    <cellStyle name="Calculation 2 2 4 22" xfId="41409"/>
    <cellStyle name="Calculation 2 2 4 23" xfId="50496"/>
    <cellStyle name="Calculation 2 2 4 3" xfId="1620"/>
    <cellStyle name="Calculation 2 2 4 3 10" xfId="34628"/>
    <cellStyle name="Calculation 2 2 4 3 11" xfId="41061"/>
    <cellStyle name="Calculation 2 2 4 3 12" xfId="42302"/>
    <cellStyle name="Calculation 2 2 4 3 13" xfId="50799"/>
    <cellStyle name="Calculation 2 2 4 3 2" xfId="1621"/>
    <cellStyle name="Calculation 2 2 4 3 2 2" xfId="36138"/>
    <cellStyle name="Calculation 2 2 4 3 2 3" xfId="42303"/>
    <cellStyle name="Calculation 2 2 4 3 2 4" xfId="50800"/>
    <cellStyle name="Calculation 2 2 4 3 3" xfId="1622"/>
    <cellStyle name="Calculation 2 2 4 3 3 2" xfId="36637"/>
    <cellStyle name="Calculation 2 2 4 3 3 3" xfId="42304"/>
    <cellStyle name="Calculation 2 2 4 3 3 4" xfId="50801"/>
    <cellStyle name="Calculation 2 2 4 3 4" xfId="4661"/>
    <cellStyle name="Calculation 2 2 4 3 4 2" xfId="37253"/>
    <cellStyle name="Calculation 2 2 4 3 4 3" xfId="42305"/>
    <cellStyle name="Calculation 2 2 4 3 4 4" xfId="50802"/>
    <cellStyle name="Calculation 2 2 4 3 5" xfId="4662"/>
    <cellStyle name="Calculation 2 2 4 3 5 2" xfId="37869"/>
    <cellStyle name="Calculation 2 2 4 3 5 3" xfId="42306"/>
    <cellStyle name="Calculation 2 2 4 3 5 4" xfId="50803"/>
    <cellStyle name="Calculation 2 2 4 3 6" xfId="38484"/>
    <cellStyle name="Calculation 2 2 4 3 6 2" xfId="42307"/>
    <cellStyle name="Calculation 2 2 4 3 6 3" xfId="50804"/>
    <cellStyle name="Calculation 2 2 4 3 7" xfId="39104"/>
    <cellStyle name="Calculation 2 2 4 3 7 2" xfId="42308"/>
    <cellStyle name="Calculation 2 2 4 3 7 3" xfId="50805"/>
    <cellStyle name="Calculation 2 2 4 3 8" xfId="39720"/>
    <cellStyle name="Calculation 2 2 4 3 8 2" xfId="42309"/>
    <cellStyle name="Calculation 2 2 4 3 8 3" xfId="50806"/>
    <cellStyle name="Calculation 2 2 4 3 9" xfId="40335"/>
    <cellStyle name="Calculation 2 2 4 3 9 2" xfId="42310"/>
    <cellStyle name="Calculation 2 2 4 3 9 3" xfId="50807"/>
    <cellStyle name="Calculation 2 2 4 4" xfId="1623"/>
    <cellStyle name="Calculation 2 2 4 4 10" xfId="42311"/>
    <cellStyle name="Calculation 2 2 4 4 11" xfId="50808"/>
    <cellStyle name="Calculation 2 2 4 4 2" xfId="4663"/>
    <cellStyle name="Calculation 2 2 4 4 2 2" xfId="42312"/>
    <cellStyle name="Calculation 2 2 4 4 2 3" xfId="50809"/>
    <cellStyle name="Calculation 2 2 4 4 3" xfId="4664"/>
    <cellStyle name="Calculation 2 2 4 4 3 2" xfId="42313"/>
    <cellStyle name="Calculation 2 2 4 4 3 3" xfId="50810"/>
    <cellStyle name="Calculation 2 2 4 4 4" xfId="4665"/>
    <cellStyle name="Calculation 2 2 4 4 4 2" xfId="42314"/>
    <cellStyle name="Calculation 2 2 4 4 4 3" xfId="50811"/>
    <cellStyle name="Calculation 2 2 4 4 5" xfId="4666"/>
    <cellStyle name="Calculation 2 2 4 4 5 2" xfId="42315"/>
    <cellStyle name="Calculation 2 2 4 4 5 3" xfId="50812"/>
    <cellStyle name="Calculation 2 2 4 4 6" xfId="35649"/>
    <cellStyle name="Calculation 2 2 4 4 6 2" xfId="42316"/>
    <cellStyle name="Calculation 2 2 4 4 6 3" xfId="50813"/>
    <cellStyle name="Calculation 2 2 4 4 7" xfId="42317"/>
    <cellStyle name="Calculation 2 2 4 4 7 2" xfId="50814"/>
    <cellStyle name="Calculation 2 2 4 4 8" xfId="42318"/>
    <cellStyle name="Calculation 2 2 4 4 8 2" xfId="50815"/>
    <cellStyle name="Calculation 2 2 4 4 9" xfId="42319"/>
    <cellStyle name="Calculation 2 2 4 4 9 2" xfId="50816"/>
    <cellStyle name="Calculation 2 2 4 5" xfId="1116"/>
    <cellStyle name="Calculation 2 2 4 5 2" xfId="4667"/>
    <cellStyle name="Calculation 2 2 4 5 3" xfId="4668"/>
    <cellStyle name="Calculation 2 2 4 5 4" xfId="4669"/>
    <cellStyle name="Calculation 2 2 4 5 5" xfId="4670"/>
    <cellStyle name="Calculation 2 2 4 5 6" xfId="36003"/>
    <cellStyle name="Calculation 2 2 4 5 7" xfId="42320"/>
    <cellStyle name="Calculation 2 2 4 5 8" xfId="50817"/>
    <cellStyle name="Calculation 2 2 4 6" xfId="3100"/>
    <cellStyle name="Calculation 2 2 4 6 2" xfId="4671"/>
    <cellStyle name="Calculation 2 2 4 6 3" xfId="4672"/>
    <cellStyle name="Calculation 2 2 4 6 4" xfId="4673"/>
    <cellStyle name="Calculation 2 2 4 6 5" xfId="4674"/>
    <cellStyle name="Calculation 2 2 4 6 6" xfId="37038"/>
    <cellStyle name="Calculation 2 2 4 6 7" xfId="42321"/>
    <cellStyle name="Calculation 2 2 4 6 8" xfId="50818"/>
    <cellStyle name="Calculation 2 2 4 7" xfId="3272"/>
    <cellStyle name="Calculation 2 2 4 7 2" xfId="4675"/>
    <cellStyle name="Calculation 2 2 4 7 3" xfId="4676"/>
    <cellStyle name="Calculation 2 2 4 7 4" xfId="4677"/>
    <cellStyle name="Calculation 2 2 4 7 5" xfId="4678"/>
    <cellStyle name="Calculation 2 2 4 7 6" xfId="37650"/>
    <cellStyle name="Calculation 2 2 4 7 7" xfId="42322"/>
    <cellStyle name="Calculation 2 2 4 7 8" xfId="50819"/>
    <cellStyle name="Calculation 2 2 4 8" xfId="4679"/>
    <cellStyle name="Calculation 2 2 4 8 2" xfId="4680"/>
    <cellStyle name="Calculation 2 2 4 8 3" xfId="4681"/>
    <cellStyle name="Calculation 2 2 4 8 4" xfId="4682"/>
    <cellStyle name="Calculation 2 2 4 8 5" xfId="4683"/>
    <cellStyle name="Calculation 2 2 4 8 6" xfId="38265"/>
    <cellStyle name="Calculation 2 2 4 8 7" xfId="42323"/>
    <cellStyle name="Calculation 2 2 4 8 8" xfId="50820"/>
    <cellStyle name="Calculation 2 2 4 9" xfId="4684"/>
    <cellStyle name="Calculation 2 2 4 9 2" xfId="4685"/>
    <cellStyle name="Calculation 2 2 4 9 3" xfId="4686"/>
    <cellStyle name="Calculation 2 2 4 9 4" xfId="4687"/>
    <cellStyle name="Calculation 2 2 4 9 5" xfId="4688"/>
    <cellStyle name="Calculation 2 2 4 9 6" xfId="38885"/>
    <cellStyle name="Calculation 2 2 4 9 7" xfId="42324"/>
    <cellStyle name="Calculation 2 2 4 9 8" xfId="50821"/>
    <cellStyle name="Calculation 2 2 5" xfId="473"/>
    <cellStyle name="Calculation 2 2 5 10" xfId="4689"/>
    <cellStyle name="Calculation 2 2 5 10 2" xfId="4690"/>
    <cellStyle name="Calculation 2 2 5 10 3" xfId="4691"/>
    <cellStyle name="Calculation 2 2 5 10 4" xfId="4692"/>
    <cellStyle name="Calculation 2 2 5 10 5" xfId="4693"/>
    <cellStyle name="Calculation 2 2 5 10 6" xfId="42325"/>
    <cellStyle name="Calculation 2 2 5 10 7" xfId="50822"/>
    <cellStyle name="Calculation 2 2 5 11" xfId="4694"/>
    <cellStyle name="Calculation 2 2 5 11 2" xfId="4695"/>
    <cellStyle name="Calculation 2 2 5 11 3" xfId="4696"/>
    <cellStyle name="Calculation 2 2 5 11 4" xfId="4697"/>
    <cellStyle name="Calculation 2 2 5 11 5" xfId="4698"/>
    <cellStyle name="Calculation 2 2 5 12" xfId="4699"/>
    <cellStyle name="Calculation 2 2 5 12 2" xfId="4700"/>
    <cellStyle name="Calculation 2 2 5 12 3" xfId="4701"/>
    <cellStyle name="Calculation 2 2 5 12 4" xfId="4702"/>
    <cellStyle name="Calculation 2 2 5 12 5" xfId="4703"/>
    <cellStyle name="Calculation 2 2 5 13" xfId="4704"/>
    <cellStyle name="Calculation 2 2 5 13 2" xfId="4705"/>
    <cellStyle name="Calculation 2 2 5 13 3" xfId="4706"/>
    <cellStyle name="Calculation 2 2 5 13 4" xfId="4707"/>
    <cellStyle name="Calculation 2 2 5 13 5" xfId="4708"/>
    <cellStyle name="Calculation 2 2 5 14" xfId="4709"/>
    <cellStyle name="Calculation 2 2 5 14 2" xfId="4710"/>
    <cellStyle name="Calculation 2 2 5 14 3" xfId="4711"/>
    <cellStyle name="Calculation 2 2 5 14 4" xfId="4712"/>
    <cellStyle name="Calculation 2 2 5 14 5" xfId="4713"/>
    <cellStyle name="Calculation 2 2 5 15" xfId="4714"/>
    <cellStyle name="Calculation 2 2 5 15 2" xfId="4715"/>
    <cellStyle name="Calculation 2 2 5 15 3" xfId="4716"/>
    <cellStyle name="Calculation 2 2 5 15 4" xfId="4717"/>
    <cellStyle name="Calculation 2 2 5 15 5" xfId="4718"/>
    <cellStyle name="Calculation 2 2 5 16" xfId="4719"/>
    <cellStyle name="Calculation 2 2 5 16 2" xfId="4720"/>
    <cellStyle name="Calculation 2 2 5 16 3" xfId="4721"/>
    <cellStyle name="Calculation 2 2 5 16 4" xfId="4722"/>
    <cellStyle name="Calculation 2 2 5 16 5" xfId="4723"/>
    <cellStyle name="Calculation 2 2 5 17" xfId="4724"/>
    <cellStyle name="Calculation 2 2 5 17 2" xfId="4725"/>
    <cellStyle name="Calculation 2 2 5 17 3" xfId="4726"/>
    <cellStyle name="Calculation 2 2 5 17 4" xfId="4727"/>
    <cellStyle name="Calculation 2 2 5 17 5" xfId="4728"/>
    <cellStyle name="Calculation 2 2 5 18" xfId="4729"/>
    <cellStyle name="Calculation 2 2 5 19" xfId="902"/>
    <cellStyle name="Calculation 2 2 5 2" xfId="1624"/>
    <cellStyle name="Calculation 2 2 5 2 2" xfId="1625"/>
    <cellStyle name="Calculation 2 2 5 2 3" xfId="1626"/>
    <cellStyle name="Calculation 2 2 5 2 4" xfId="4730"/>
    <cellStyle name="Calculation 2 2 5 2 5" xfId="4731"/>
    <cellStyle name="Calculation 2 2 5 2 6" xfId="36277"/>
    <cellStyle name="Calculation 2 2 5 2 7" xfId="42326"/>
    <cellStyle name="Calculation 2 2 5 2 8" xfId="50823"/>
    <cellStyle name="Calculation 2 2 5 20" xfId="34982"/>
    <cellStyle name="Calculation 2 2 5 21" xfId="40691"/>
    <cellStyle name="Calculation 2 2 5 22" xfId="41201"/>
    <cellStyle name="Calculation 2 2 5 3" xfId="1627"/>
    <cellStyle name="Calculation 2 2 5 3 2" xfId="4732"/>
    <cellStyle name="Calculation 2 2 5 3 3" xfId="4733"/>
    <cellStyle name="Calculation 2 2 5 3 4" xfId="4734"/>
    <cellStyle name="Calculation 2 2 5 3 5" xfId="4735"/>
    <cellStyle name="Calculation 2 2 5 3 6" xfId="36774"/>
    <cellStyle name="Calculation 2 2 5 3 7" xfId="42327"/>
    <cellStyle name="Calculation 2 2 5 3 8" xfId="50824"/>
    <cellStyle name="Calculation 2 2 5 4" xfId="1118"/>
    <cellStyle name="Calculation 2 2 5 4 2" xfId="4736"/>
    <cellStyle name="Calculation 2 2 5 4 3" xfId="4737"/>
    <cellStyle name="Calculation 2 2 5 4 4" xfId="4738"/>
    <cellStyle name="Calculation 2 2 5 4 5" xfId="4739"/>
    <cellStyle name="Calculation 2 2 5 4 6" xfId="37390"/>
    <cellStyle name="Calculation 2 2 5 4 7" xfId="42328"/>
    <cellStyle name="Calculation 2 2 5 4 8" xfId="50825"/>
    <cellStyle name="Calculation 2 2 5 5" xfId="3102"/>
    <cellStyle name="Calculation 2 2 5 5 2" xfId="4740"/>
    <cellStyle name="Calculation 2 2 5 5 3" xfId="4741"/>
    <cellStyle name="Calculation 2 2 5 5 4" xfId="4742"/>
    <cellStyle name="Calculation 2 2 5 5 5" xfId="4743"/>
    <cellStyle name="Calculation 2 2 5 5 6" xfId="38006"/>
    <cellStyle name="Calculation 2 2 5 5 7" xfId="42329"/>
    <cellStyle name="Calculation 2 2 5 5 8" xfId="50826"/>
    <cellStyle name="Calculation 2 2 5 6" xfId="3270"/>
    <cellStyle name="Calculation 2 2 5 6 2" xfId="4744"/>
    <cellStyle name="Calculation 2 2 5 6 3" xfId="4745"/>
    <cellStyle name="Calculation 2 2 5 6 4" xfId="4746"/>
    <cellStyle name="Calculation 2 2 5 6 5" xfId="4747"/>
    <cellStyle name="Calculation 2 2 5 6 6" xfId="38624"/>
    <cellStyle name="Calculation 2 2 5 6 7" xfId="42330"/>
    <cellStyle name="Calculation 2 2 5 6 8" xfId="50827"/>
    <cellStyle name="Calculation 2 2 5 7" xfId="4748"/>
    <cellStyle name="Calculation 2 2 5 7 2" xfId="4749"/>
    <cellStyle name="Calculation 2 2 5 7 3" xfId="4750"/>
    <cellStyle name="Calculation 2 2 5 7 4" xfId="4751"/>
    <cellStyle name="Calculation 2 2 5 7 5" xfId="4752"/>
    <cellStyle name="Calculation 2 2 5 7 6" xfId="39244"/>
    <cellStyle name="Calculation 2 2 5 7 7" xfId="42331"/>
    <cellStyle name="Calculation 2 2 5 7 8" xfId="50828"/>
    <cellStyle name="Calculation 2 2 5 8" xfId="4753"/>
    <cellStyle name="Calculation 2 2 5 8 2" xfId="4754"/>
    <cellStyle name="Calculation 2 2 5 8 3" xfId="4755"/>
    <cellStyle name="Calculation 2 2 5 8 4" xfId="4756"/>
    <cellStyle name="Calculation 2 2 5 8 5" xfId="4757"/>
    <cellStyle name="Calculation 2 2 5 8 6" xfId="39860"/>
    <cellStyle name="Calculation 2 2 5 8 7" xfId="42332"/>
    <cellStyle name="Calculation 2 2 5 8 8" xfId="50829"/>
    <cellStyle name="Calculation 2 2 5 9" xfId="4758"/>
    <cellStyle name="Calculation 2 2 5 9 2" xfId="4759"/>
    <cellStyle name="Calculation 2 2 5 9 3" xfId="4760"/>
    <cellStyle name="Calculation 2 2 5 9 4" xfId="4761"/>
    <cellStyle name="Calculation 2 2 5 9 5" xfId="4762"/>
    <cellStyle name="Calculation 2 2 5 9 6" xfId="40475"/>
    <cellStyle name="Calculation 2 2 5 9 7" xfId="42333"/>
    <cellStyle name="Calculation 2 2 5 9 8" xfId="50830"/>
    <cellStyle name="Calculation 2 2 6" xfId="1628"/>
    <cellStyle name="Calculation 2 2 6 10" xfId="34814"/>
    <cellStyle name="Calculation 2 2 6 11" xfId="40986"/>
    <cellStyle name="Calculation 2 2 6 12" xfId="42334"/>
    <cellStyle name="Calculation 2 2 6 13" xfId="50831"/>
    <cellStyle name="Calculation 2 2 6 2" xfId="1629"/>
    <cellStyle name="Calculation 2 2 6 2 2" xfId="36064"/>
    <cellStyle name="Calculation 2 2 6 2 3" xfId="42335"/>
    <cellStyle name="Calculation 2 2 6 2 4" xfId="50832"/>
    <cellStyle name="Calculation 2 2 6 3" xfId="1630"/>
    <cellStyle name="Calculation 2 2 6 3 2" xfId="36563"/>
    <cellStyle name="Calculation 2 2 6 3 3" xfId="42336"/>
    <cellStyle name="Calculation 2 2 6 3 4" xfId="50833"/>
    <cellStyle name="Calculation 2 2 6 4" xfId="4763"/>
    <cellStyle name="Calculation 2 2 6 4 2" xfId="37179"/>
    <cellStyle name="Calculation 2 2 6 4 3" xfId="42337"/>
    <cellStyle name="Calculation 2 2 6 4 4" xfId="50834"/>
    <cellStyle name="Calculation 2 2 6 5" xfId="4764"/>
    <cellStyle name="Calculation 2 2 6 5 2" xfId="37794"/>
    <cellStyle name="Calculation 2 2 6 5 3" xfId="42338"/>
    <cellStyle name="Calculation 2 2 6 5 4" xfId="50835"/>
    <cellStyle name="Calculation 2 2 6 6" xfId="38409"/>
    <cellStyle name="Calculation 2 2 6 6 2" xfId="42339"/>
    <cellStyle name="Calculation 2 2 6 6 3" xfId="50836"/>
    <cellStyle name="Calculation 2 2 6 7" xfId="39029"/>
    <cellStyle name="Calculation 2 2 6 7 2" xfId="42340"/>
    <cellStyle name="Calculation 2 2 6 7 3" xfId="50837"/>
    <cellStyle name="Calculation 2 2 6 8" xfId="39645"/>
    <cellStyle name="Calculation 2 2 6 8 2" xfId="42341"/>
    <cellStyle name="Calculation 2 2 6 8 3" xfId="50838"/>
    <cellStyle name="Calculation 2 2 6 9" xfId="40260"/>
    <cellStyle name="Calculation 2 2 6 9 2" xfId="42342"/>
    <cellStyle name="Calculation 2 2 6 9 3" xfId="50839"/>
    <cellStyle name="Calculation 2 2 7" xfId="1631"/>
    <cellStyle name="Calculation 2 2 7 10" xfId="42343"/>
    <cellStyle name="Calculation 2 2 7 11" xfId="50840"/>
    <cellStyle name="Calculation 2 2 7 2" xfId="1632"/>
    <cellStyle name="Calculation 2 2 7 2 2" xfId="42344"/>
    <cellStyle name="Calculation 2 2 7 2 3" xfId="50841"/>
    <cellStyle name="Calculation 2 2 7 3" xfId="1633"/>
    <cellStyle name="Calculation 2 2 7 3 2" xfId="42345"/>
    <cellStyle name="Calculation 2 2 7 3 3" xfId="50842"/>
    <cellStyle name="Calculation 2 2 7 4" xfId="4765"/>
    <cellStyle name="Calculation 2 2 7 4 2" xfId="42346"/>
    <cellStyle name="Calculation 2 2 7 4 3" xfId="50843"/>
    <cellStyle name="Calculation 2 2 7 5" xfId="4766"/>
    <cellStyle name="Calculation 2 2 7 5 2" xfId="42347"/>
    <cellStyle name="Calculation 2 2 7 5 3" xfId="50844"/>
    <cellStyle name="Calculation 2 2 7 6" xfId="35380"/>
    <cellStyle name="Calculation 2 2 7 6 2" xfId="42348"/>
    <cellStyle name="Calculation 2 2 7 6 3" xfId="50845"/>
    <cellStyle name="Calculation 2 2 7 7" xfId="42349"/>
    <cellStyle name="Calculation 2 2 7 7 2" xfId="50846"/>
    <cellStyle name="Calculation 2 2 7 8" xfId="42350"/>
    <cellStyle name="Calculation 2 2 7 8 2" xfId="50847"/>
    <cellStyle name="Calculation 2 2 7 9" xfId="42351"/>
    <cellStyle name="Calculation 2 2 7 9 2" xfId="50848"/>
    <cellStyle name="Calculation 2 2 8" xfId="1107"/>
    <cellStyle name="Calculation 2 2 8 2" xfId="4767"/>
    <cellStyle name="Calculation 2 2 8 3" xfId="4768"/>
    <cellStyle name="Calculation 2 2 8 4" xfId="4769"/>
    <cellStyle name="Calculation 2 2 8 5" xfId="4770"/>
    <cellStyle name="Calculation 2 2 8 6" xfId="35911"/>
    <cellStyle name="Calculation 2 2 8 7" xfId="42352"/>
    <cellStyle name="Calculation 2 2 8 8" xfId="50849"/>
    <cellStyle name="Calculation 2 2 9" xfId="3091"/>
    <cellStyle name="Calculation 2 2 9 2" xfId="4771"/>
    <cellStyle name="Calculation 2 2 9 3" xfId="4772"/>
    <cellStyle name="Calculation 2 2 9 4" xfId="4773"/>
    <cellStyle name="Calculation 2 2 9 5" xfId="4774"/>
    <cellStyle name="Calculation 2 2 9 6" xfId="35833"/>
    <cellStyle name="Calculation 2 2 9 7" xfId="42353"/>
    <cellStyle name="Calculation 2 2 9 8" xfId="50850"/>
    <cellStyle name="Calculation 2 2_SS10_Codes Cat Analysis RIN" xfId="42354"/>
    <cellStyle name="Calculation 2 20" xfId="679"/>
    <cellStyle name="Calculation 2 21" xfId="34854"/>
    <cellStyle name="Calculation 2 22" xfId="40765"/>
    <cellStyle name="Calculation 2 3" xfId="240"/>
    <cellStyle name="Calculation 2 3 10" xfId="3269"/>
    <cellStyle name="Calculation 2 3 10 2" xfId="4775"/>
    <cellStyle name="Calculation 2 3 10 3" xfId="4776"/>
    <cellStyle name="Calculation 2 3 10 4" xfId="4777"/>
    <cellStyle name="Calculation 2 3 10 5" xfId="4778"/>
    <cellStyle name="Calculation 2 3 10 6" xfId="36034"/>
    <cellStyle name="Calculation 2 3 10 7" xfId="42355"/>
    <cellStyle name="Calculation 2 3 10 8" xfId="50851"/>
    <cellStyle name="Calculation 2 3 11" xfId="4779"/>
    <cellStyle name="Calculation 2 3 11 2" xfId="4780"/>
    <cellStyle name="Calculation 2 3 11 3" xfId="4781"/>
    <cellStyle name="Calculation 2 3 11 4" xfId="4782"/>
    <cellStyle name="Calculation 2 3 11 5" xfId="4783"/>
    <cellStyle name="Calculation 2 3 11 6" xfId="35859"/>
    <cellStyle name="Calculation 2 3 11 7" xfId="42356"/>
    <cellStyle name="Calculation 2 3 11 8" xfId="50852"/>
    <cellStyle name="Calculation 2 3 12" xfId="4784"/>
    <cellStyle name="Calculation 2 3 12 2" xfId="4785"/>
    <cellStyle name="Calculation 2 3 12 3" xfId="4786"/>
    <cellStyle name="Calculation 2 3 12 4" xfId="4787"/>
    <cellStyle name="Calculation 2 3 12 5" xfId="4788"/>
    <cellStyle name="Calculation 2 3 12 6" xfId="35886"/>
    <cellStyle name="Calculation 2 3 12 7" xfId="42357"/>
    <cellStyle name="Calculation 2 3 12 8" xfId="50853"/>
    <cellStyle name="Calculation 2 3 13" xfId="4789"/>
    <cellStyle name="Calculation 2 3 13 2" xfId="4790"/>
    <cellStyle name="Calculation 2 3 13 3" xfId="4791"/>
    <cellStyle name="Calculation 2 3 13 4" xfId="4792"/>
    <cellStyle name="Calculation 2 3 13 5" xfId="4793"/>
    <cellStyle name="Calculation 2 3 13 6" xfId="35871"/>
    <cellStyle name="Calculation 2 3 13 7" xfId="42358"/>
    <cellStyle name="Calculation 2 3 13 8" xfId="50854"/>
    <cellStyle name="Calculation 2 3 14" xfId="4794"/>
    <cellStyle name="Calculation 2 3 14 2" xfId="4795"/>
    <cellStyle name="Calculation 2 3 14 3" xfId="4796"/>
    <cellStyle name="Calculation 2 3 14 4" xfId="4797"/>
    <cellStyle name="Calculation 2 3 14 5" xfId="4798"/>
    <cellStyle name="Calculation 2 3 14 6" xfId="35877"/>
    <cellStyle name="Calculation 2 3 14 7" xfId="42359"/>
    <cellStyle name="Calculation 2 3 14 8" xfId="50855"/>
    <cellStyle name="Calculation 2 3 15" xfId="4799"/>
    <cellStyle name="Calculation 2 3 15 2" xfId="4800"/>
    <cellStyle name="Calculation 2 3 15 3" xfId="4801"/>
    <cellStyle name="Calculation 2 3 15 4" xfId="4802"/>
    <cellStyle name="Calculation 2 3 15 5" xfId="4803"/>
    <cellStyle name="Calculation 2 3 15 6" xfId="35899"/>
    <cellStyle name="Calculation 2 3 15 7" xfId="42360"/>
    <cellStyle name="Calculation 2 3 15 8" xfId="50856"/>
    <cellStyle name="Calculation 2 3 16" xfId="4804"/>
    <cellStyle name="Calculation 2 3 16 2" xfId="4805"/>
    <cellStyle name="Calculation 2 3 16 3" xfId="4806"/>
    <cellStyle name="Calculation 2 3 16 4" xfId="4807"/>
    <cellStyle name="Calculation 2 3 16 5" xfId="4808"/>
    <cellStyle name="Calculation 2 3 16 6" xfId="42361"/>
    <cellStyle name="Calculation 2 3 16 7" xfId="50857"/>
    <cellStyle name="Calculation 2 3 17" xfId="4809"/>
    <cellStyle name="Calculation 2 3 17 2" xfId="4810"/>
    <cellStyle name="Calculation 2 3 17 3" xfId="4811"/>
    <cellStyle name="Calculation 2 3 17 4" xfId="4812"/>
    <cellStyle name="Calculation 2 3 17 5" xfId="4813"/>
    <cellStyle name="Calculation 2 3 18" xfId="4814"/>
    <cellStyle name="Calculation 2 3 19" xfId="688"/>
    <cellStyle name="Calculation 2 3 2" xfId="268"/>
    <cellStyle name="Calculation 2 3 2 10" xfId="4815"/>
    <cellStyle name="Calculation 2 3 2 10 2" xfId="4816"/>
    <cellStyle name="Calculation 2 3 2 10 3" xfId="4817"/>
    <cellStyle name="Calculation 2 3 2 10 4" xfId="4818"/>
    <cellStyle name="Calculation 2 3 2 10 5" xfId="4819"/>
    <cellStyle name="Calculation 2 3 2 10 6" xfId="38213"/>
    <cellStyle name="Calculation 2 3 2 10 7" xfId="42362"/>
    <cellStyle name="Calculation 2 3 2 10 8" xfId="50858"/>
    <cellStyle name="Calculation 2 3 2 11" xfId="4820"/>
    <cellStyle name="Calculation 2 3 2 11 2" xfId="4821"/>
    <cellStyle name="Calculation 2 3 2 11 3" xfId="4822"/>
    <cellStyle name="Calculation 2 3 2 11 4" xfId="4823"/>
    <cellStyle name="Calculation 2 3 2 11 5" xfId="4824"/>
    <cellStyle name="Calculation 2 3 2 11 6" xfId="38835"/>
    <cellStyle name="Calculation 2 3 2 11 7" xfId="42363"/>
    <cellStyle name="Calculation 2 3 2 11 8" xfId="50859"/>
    <cellStyle name="Calculation 2 3 2 12" xfId="4825"/>
    <cellStyle name="Calculation 2 3 2 12 2" xfId="4826"/>
    <cellStyle name="Calculation 2 3 2 12 3" xfId="4827"/>
    <cellStyle name="Calculation 2 3 2 12 4" xfId="4828"/>
    <cellStyle name="Calculation 2 3 2 12 5" xfId="4829"/>
    <cellStyle name="Calculation 2 3 2 12 6" xfId="39455"/>
    <cellStyle name="Calculation 2 3 2 12 7" xfId="42364"/>
    <cellStyle name="Calculation 2 3 2 12 8" xfId="50860"/>
    <cellStyle name="Calculation 2 3 2 13" xfId="4830"/>
    <cellStyle name="Calculation 2 3 2 13 2" xfId="4831"/>
    <cellStyle name="Calculation 2 3 2 13 3" xfId="4832"/>
    <cellStyle name="Calculation 2 3 2 13 4" xfId="4833"/>
    <cellStyle name="Calculation 2 3 2 13 5" xfId="4834"/>
    <cellStyle name="Calculation 2 3 2 13 6" xfId="40073"/>
    <cellStyle name="Calculation 2 3 2 13 7" xfId="42365"/>
    <cellStyle name="Calculation 2 3 2 13 8" xfId="50861"/>
    <cellStyle name="Calculation 2 3 2 14" xfId="4835"/>
    <cellStyle name="Calculation 2 3 2 14 2" xfId="4836"/>
    <cellStyle name="Calculation 2 3 2 14 3" xfId="4837"/>
    <cellStyle name="Calculation 2 3 2 14 4" xfId="4838"/>
    <cellStyle name="Calculation 2 3 2 14 5" xfId="4839"/>
    <cellStyle name="Calculation 2 3 2 14 6" xfId="42366"/>
    <cellStyle name="Calculation 2 3 2 14 7" xfId="50862"/>
    <cellStyle name="Calculation 2 3 2 15" xfId="4840"/>
    <cellStyle name="Calculation 2 3 2 15 2" xfId="4841"/>
    <cellStyle name="Calculation 2 3 2 15 3" xfId="4842"/>
    <cellStyle name="Calculation 2 3 2 15 4" xfId="4843"/>
    <cellStyle name="Calculation 2 3 2 15 5" xfId="4844"/>
    <cellStyle name="Calculation 2 3 2 16" xfId="4845"/>
    <cellStyle name="Calculation 2 3 2 17" xfId="713"/>
    <cellStyle name="Calculation 2 3 2 18" xfId="34844"/>
    <cellStyle name="Calculation 2 3 2 19" xfId="40797"/>
    <cellStyle name="Calculation 2 3 2 2" xfId="327"/>
    <cellStyle name="Calculation 2 3 2 2 10" xfId="4846"/>
    <cellStyle name="Calculation 2 3 2 2 10 2" xfId="4847"/>
    <cellStyle name="Calculation 2 3 2 2 10 3" xfId="4848"/>
    <cellStyle name="Calculation 2 3 2 2 10 4" xfId="4849"/>
    <cellStyle name="Calculation 2 3 2 2 10 5" xfId="4850"/>
    <cellStyle name="Calculation 2 3 2 2 10 6" xfId="39505"/>
    <cellStyle name="Calculation 2 3 2 2 10 7" xfId="42367"/>
    <cellStyle name="Calculation 2 3 2 2 10 8" xfId="50863"/>
    <cellStyle name="Calculation 2 3 2 2 11" xfId="4851"/>
    <cellStyle name="Calculation 2 3 2 2 11 2" xfId="4852"/>
    <cellStyle name="Calculation 2 3 2 2 11 3" xfId="4853"/>
    <cellStyle name="Calculation 2 3 2 2 11 4" xfId="4854"/>
    <cellStyle name="Calculation 2 3 2 2 11 5" xfId="4855"/>
    <cellStyle name="Calculation 2 3 2 2 11 6" xfId="40123"/>
    <cellStyle name="Calculation 2 3 2 2 11 7" xfId="42368"/>
    <cellStyle name="Calculation 2 3 2 2 11 8" xfId="50864"/>
    <cellStyle name="Calculation 2 3 2 2 12" xfId="4856"/>
    <cellStyle name="Calculation 2 3 2 2 12 2" xfId="4857"/>
    <cellStyle name="Calculation 2 3 2 2 12 3" xfId="4858"/>
    <cellStyle name="Calculation 2 3 2 2 12 4" xfId="4859"/>
    <cellStyle name="Calculation 2 3 2 2 12 5" xfId="4860"/>
    <cellStyle name="Calculation 2 3 2 2 12 6" xfId="42369"/>
    <cellStyle name="Calculation 2 3 2 2 12 7" xfId="50865"/>
    <cellStyle name="Calculation 2 3 2 2 13" xfId="4861"/>
    <cellStyle name="Calculation 2 3 2 2 13 2" xfId="4862"/>
    <cellStyle name="Calculation 2 3 2 2 13 3" xfId="4863"/>
    <cellStyle name="Calculation 2 3 2 2 13 4" xfId="4864"/>
    <cellStyle name="Calculation 2 3 2 2 13 5" xfId="4865"/>
    <cellStyle name="Calculation 2 3 2 2 13 6" xfId="42370"/>
    <cellStyle name="Calculation 2 3 2 2 13 7" xfId="50866"/>
    <cellStyle name="Calculation 2 3 2 2 14" xfId="4866"/>
    <cellStyle name="Calculation 2 3 2 2 14 2" xfId="4867"/>
    <cellStyle name="Calculation 2 3 2 2 14 3" xfId="4868"/>
    <cellStyle name="Calculation 2 3 2 2 14 4" xfId="4869"/>
    <cellStyle name="Calculation 2 3 2 2 14 5" xfId="4870"/>
    <cellStyle name="Calculation 2 3 2 2 15" xfId="4871"/>
    <cellStyle name="Calculation 2 3 2 2 15 2" xfId="4872"/>
    <cellStyle name="Calculation 2 3 2 2 15 3" xfId="4873"/>
    <cellStyle name="Calculation 2 3 2 2 15 4" xfId="4874"/>
    <cellStyle name="Calculation 2 3 2 2 15 5" xfId="4875"/>
    <cellStyle name="Calculation 2 3 2 2 16" xfId="4876"/>
    <cellStyle name="Calculation 2 3 2 2 16 2" xfId="4877"/>
    <cellStyle name="Calculation 2 3 2 2 16 3" xfId="4878"/>
    <cellStyle name="Calculation 2 3 2 2 16 4" xfId="4879"/>
    <cellStyle name="Calculation 2 3 2 2 16 5" xfId="4880"/>
    <cellStyle name="Calculation 2 3 2 2 17" xfId="4881"/>
    <cellStyle name="Calculation 2 3 2 2 17 2" xfId="4882"/>
    <cellStyle name="Calculation 2 3 2 2 17 3" xfId="4883"/>
    <cellStyle name="Calculation 2 3 2 2 17 4" xfId="4884"/>
    <cellStyle name="Calculation 2 3 2 2 17 5" xfId="4885"/>
    <cellStyle name="Calculation 2 3 2 2 18" xfId="4886"/>
    <cellStyle name="Calculation 2 3 2 2 19" xfId="763"/>
    <cellStyle name="Calculation 2 3 2 2 2" xfId="548"/>
    <cellStyle name="Calculation 2 3 2 2 2 10" xfId="4887"/>
    <cellStyle name="Calculation 2 3 2 2 2 10 2" xfId="4888"/>
    <cellStyle name="Calculation 2 3 2 2 2 10 3" xfId="4889"/>
    <cellStyle name="Calculation 2 3 2 2 2 10 4" xfId="4890"/>
    <cellStyle name="Calculation 2 3 2 2 2 10 5" xfId="4891"/>
    <cellStyle name="Calculation 2 3 2 2 2 10 6" xfId="42371"/>
    <cellStyle name="Calculation 2 3 2 2 2 10 7" xfId="50867"/>
    <cellStyle name="Calculation 2 3 2 2 2 11" xfId="4892"/>
    <cellStyle name="Calculation 2 3 2 2 2 11 2" xfId="4893"/>
    <cellStyle name="Calculation 2 3 2 2 2 11 3" xfId="4894"/>
    <cellStyle name="Calculation 2 3 2 2 2 11 4" xfId="4895"/>
    <cellStyle name="Calculation 2 3 2 2 2 11 5" xfId="4896"/>
    <cellStyle name="Calculation 2 3 2 2 2 12" xfId="4897"/>
    <cellStyle name="Calculation 2 3 2 2 2 12 2" xfId="4898"/>
    <cellStyle name="Calculation 2 3 2 2 2 12 3" xfId="4899"/>
    <cellStyle name="Calculation 2 3 2 2 2 12 4" xfId="4900"/>
    <cellStyle name="Calculation 2 3 2 2 2 12 5" xfId="4901"/>
    <cellStyle name="Calculation 2 3 2 2 2 13" xfId="4902"/>
    <cellStyle name="Calculation 2 3 2 2 2 13 2" xfId="4903"/>
    <cellStyle name="Calculation 2 3 2 2 2 13 3" xfId="4904"/>
    <cellStyle name="Calculation 2 3 2 2 2 13 4" xfId="4905"/>
    <cellStyle name="Calculation 2 3 2 2 2 13 5" xfId="4906"/>
    <cellStyle name="Calculation 2 3 2 2 2 14" xfId="4907"/>
    <cellStyle name="Calculation 2 3 2 2 2 14 2" xfId="4908"/>
    <cellStyle name="Calculation 2 3 2 2 2 14 3" xfId="4909"/>
    <cellStyle name="Calculation 2 3 2 2 2 14 4" xfId="4910"/>
    <cellStyle name="Calculation 2 3 2 2 2 14 5" xfId="4911"/>
    <cellStyle name="Calculation 2 3 2 2 2 15" xfId="4912"/>
    <cellStyle name="Calculation 2 3 2 2 2 15 2" xfId="4913"/>
    <cellStyle name="Calculation 2 3 2 2 2 15 3" xfId="4914"/>
    <cellStyle name="Calculation 2 3 2 2 2 15 4" xfId="4915"/>
    <cellStyle name="Calculation 2 3 2 2 2 15 5" xfId="4916"/>
    <cellStyle name="Calculation 2 3 2 2 2 16" xfId="4917"/>
    <cellStyle name="Calculation 2 3 2 2 2 16 2" xfId="4918"/>
    <cellStyle name="Calculation 2 3 2 2 2 16 3" xfId="4919"/>
    <cellStyle name="Calculation 2 3 2 2 2 16 4" xfId="4920"/>
    <cellStyle name="Calculation 2 3 2 2 2 16 5" xfId="4921"/>
    <cellStyle name="Calculation 2 3 2 2 2 17" xfId="4922"/>
    <cellStyle name="Calculation 2 3 2 2 2 17 2" xfId="4923"/>
    <cellStyle name="Calculation 2 3 2 2 2 17 3" xfId="4924"/>
    <cellStyle name="Calculation 2 3 2 2 2 17 4" xfId="4925"/>
    <cellStyle name="Calculation 2 3 2 2 2 17 5" xfId="4926"/>
    <cellStyle name="Calculation 2 3 2 2 2 18" xfId="4927"/>
    <cellStyle name="Calculation 2 3 2 2 2 19" xfId="977"/>
    <cellStyle name="Calculation 2 3 2 2 2 2" xfId="1634"/>
    <cellStyle name="Calculation 2 3 2 2 2 2 2" xfId="4928"/>
    <cellStyle name="Calculation 2 3 2 2 2 2 3" xfId="4929"/>
    <cellStyle name="Calculation 2 3 2 2 2 2 4" xfId="4930"/>
    <cellStyle name="Calculation 2 3 2 2 2 2 5" xfId="4931"/>
    <cellStyle name="Calculation 2 3 2 2 2 2 6" xfId="36352"/>
    <cellStyle name="Calculation 2 3 2 2 2 2 7" xfId="42372"/>
    <cellStyle name="Calculation 2 3 2 2 2 2 8" xfId="50868"/>
    <cellStyle name="Calculation 2 3 2 2 2 20" xfId="35057"/>
    <cellStyle name="Calculation 2 3 2 2 2 21" xfId="41276"/>
    <cellStyle name="Calculation 2 3 2 2 2 3" xfId="1635"/>
    <cellStyle name="Calculation 2 3 2 2 2 3 2" xfId="4932"/>
    <cellStyle name="Calculation 2 3 2 2 2 3 3" xfId="4933"/>
    <cellStyle name="Calculation 2 3 2 2 2 3 4" xfId="4934"/>
    <cellStyle name="Calculation 2 3 2 2 2 3 5" xfId="4935"/>
    <cellStyle name="Calculation 2 3 2 2 2 3 6" xfId="36849"/>
    <cellStyle name="Calculation 2 3 2 2 2 3 7" xfId="42373"/>
    <cellStyle name="Calculation 2 3 2 2 2 3 8" xfId="50869"/>
    <cellStyle name="Calculation 2 3 2 2 2 4" xfId="1122"/>
    <cellStyle name="Calculation 2 3 2 2 2 4 2" xfId="4936"/>
    <cellStyle name="Calculation 2 3 2 2 2 4 3" xfId="4937"/>
    <cellStyle name="Calculation 2 3 2 2 2 4 4" xfId="4938"/>
    <cellStyle name="Calculation 2 3 2 2 2 4 5" xfId="4939"/>
    <cellStyle name="Calculation 2 3 2 2 2 4 6" xfId="37465"/>
    <cellStyle name="Calculation 2 3 2 2 2 4 7" xfId="42374"/>
    <cellStyle name="Calculation 2 3 2 2 2 4 8" xfId="50870"/>
    <cellStyle name="Calculation 2 3 2 2 2 5" xfId="3106"/>
    <cellStyle name="Calculation 2 3 2 2 2 5 2" xfId="4940"/>
    <cellStyle name="Calculation 2 3 2 2 2 5 3" xfId="4941"/>
    <cellStyle name="Calculation 2 3 2 2 2 5 4" xfId="4942"/>
    <cellStyle name="Calculation 2 3 2 2 2 5 5" xfId="4943"/>
    <cellStyle name="Calculation 2 3 2 2 2 5 6" xfId="38081"/>
    <cellStyle name="Calculation 2 3 2 2 2 5 7" xfId="42375"/>
    <cellStyle name="Calculation 2 3 2 2 2 5 8" xfId="50871"/>
    <cellStyle name="Calculation 2 3 2 2 2 6" xfId="3266"/>
    <cellStyle name="Calculation 2 3 2 2 2 6 2" xfId="4944"/>
    <cellStyle name="Calculation 2 3 2 2 2 6 3" xfId="4945"/>
    <cellStyle name="Calculation 2 3 2 2 2 6 4" xfId="4946"/>
    <cellStyle name="Calculation 2 3 2 2 2 6 5" xfId="4947"/>
    <cellStyle name="Calculation 2 3 2 2 2 6 6" xfId="38699"/>
    <cellStyle name="Calculation 2 3 2 2 2 6 7" xfId="42376"/>
    <cellStyle name="Calculation 2 3 2 2 2 6 8" xfId="50872"/>
    <cellStyle name="Calculation 2 3 2 2 2 7" xfId="4948"/>
    <cellStyle name="Calculation 2 3 2 2 2 7 2" xfId="4949"/>
    <cellStyle name="Calculation 2 3 2 2 2 7 3" xfId="4950"/>
    <cellStyle name="Calculation 2 3 2 2 2 7 4" xfId="4951"/>
    <cellStyle name="Calculation 2 3 2 2 2 7 5" xfId="4952"/>
    <cellStyle name="Calculation 2 3 2 2 2 7 6" xfId="39319"/>
    <cellStyle name="Calculation 2 3 2 2 2 7 7" xfId="42377"/>
    <cellStyle name="Calculation 2 3 2 2 2 7 8" xfId="50873"/>
    <cellStyle name="Calculation 2 3 2 2 2 8" xfId="4953"/>
    <cellStyle name="Calculation 2 3 2 2 2 8 2" xfId="4954"/>
    <cellStyle name="Calculation 2 3 2 2 2 8 3" xfId="4955"/>
    <cellStyle name="Calculation 2 3 2 2 2 8 4" xfId="4956"/>
    <cellStyle name="Calculation 2 3 2 2 2 8 5" xfId="4957"/>
    <cellStyle name="Calculation 2 3 2 2 2 8 6" xfId="39935"/>
    <cellStyle name="Calculation 2 3 2 2 2 8 7" xfId="42378"/>
    <cellStyle name="Calculation 2 3 2 2 2 8 8" xfId="50874"/>
    <cellStyle name="Calculation 2 3 2 2 2 9" xfId="4958"/>
    <cellStyle name="Calculation 2 3 2 2 2 9 2" xfId="4959"/>
    <cellStyle name="Calculation 2 3 2 2 2 9 3" xfId="4960"/>
    <cellStyle name="Calculation 2 3 2 2 2 9 4" xfId="4961"/>
    <cellStyle name="Calculation 2 3 2 2 2 9 5" xfId="4962"/>
    <cellStyle name="Calculation 2 3 2 2 2 9 6" xfId="40550"/>
    <cellStyle name="Calculation 2 3 2 2 2 9 7" xfId="42379"/>
    <cellStyle name="Calculation 2 3 2 2 2 9 8" xfId="50875"/>
    <cellStyle name="Calculation 2 3 2 2 20" xfId="34871"/>
    <cellStyle name="Calculation 2 3 2 2 21" xfId="40847"/>
    <cellStyle name="Calculation 2 3 2 2 22" xfId="41410"/>
    <cellStyle name="Calculation 2 3 2 2 23" xfId="50497"/>
    <cellStyle name="Calculation 2 3 2 2 3" xfId="1636"/>
    <cellStyle name="Calculation 2 3 2 2 3 10" xfId="34627"/>
    <cellStyle name="Calculation 2 3 2 2 3 11" xfId="41062"/>
    <cellStyle name="Calculation 2 3 2 2 3 12" xfId="42380"/>
    <cellStyle name="Calculation 2 3 2 2 3 13" xfId="50876"/>
    <cellStyle name="Calculation 2 3 2 2 3 2" xfId="1637"/>
    <cellStyle name="Calculation 2 3 2 2 3 2 2" xfId="36139"/>
    <cellStyle name="Calculation 2 3 2 2 3 2 3" xfId="42381"/>
    <cellStyle name="Calculation 2 3 2 2 3 2 4" xfId="50877"/>
    <cellStyle name="Calculation 2 3 2 2 3 3" xfId="1638"/>
    <cellStyle name="Calculation 2 3 2 2 3 3 2" xfId="36638"/>
    <cellStyle name="Calculation 2 3 2 2 3 3 3" xfId="42382"/>
    <cellStyle name="Calculation 2 3 2 2 3 3 4" xfId="50878"/>
    <cellStyle name="Calculation 2 3 2 2 3 4" xfId="4963"/>
    <cellStyle name="Calculation 2 3 2 2 3 4 2" xfId="37254"/>
    <cellStyle name="Calculation 2 3 2 2 3 4 3" xfId="42383"/>
    <cellStyle name="Calculation 2 3 2 2 3 4 4" xfId="50879"/>
    <cellStyle name="Calculation 2 3 2 2 3 5" xfId="4964"/>
    <cellStyle name="Calculation 2 3 2 2 3 5 2" xfId="37870"/>
    <cellStyle name="Calculation 2 3 2 2 3 5 3" xfId="42384"/>
    <cellStyle name="Calculation 2 3 2 2 3 5 4" xfId="50880"/>
    <cellStyle name="Calculation 2 3 2 2 3 6" xfId="38485"/>
    <cellStyle name="Calculation 2 3 2 2 3 6 2" xfId="42385"/>
    <cellStyle name="Calculation 2 3 2 2 3 6 3" xfId="50881"/>
    <cellStyle name="Calculation 2 3 2 2 3 7" xfId="39105"/>
    <cellStyle name="Calculation 2 3 2 2 3 7 2" xfId="42386"/>
    <cellStyle name="Calculation 2 3 2 2 3 7 3" xfId="50882"/>
    <cellStyle name="Calculation 2 3 2 2 3 8" xfId="39721"/>
    <cellStyle name="Calculation 2 3 2 2 3 8 2" xfId="42387"/>
    <cellStyle name="Calculation 2 3 2 2 3 8 3" xfId="50883"/>
    <cellStyle name="Calculation 2 3 2 2 3 9" xfId="40336"/>
    <cellStyle name="Calculation 2 3 2 2 3 9 2" xfId="42388"/>
    <cellStyle name="Calculation 2 3 2 2 3 9 3" xfId="50884"/>
    <cellStyle name="Calculation 2 3 2 2 4" xfId="1639"/>
    <cellStyle name="Calculation 2 3 2 2 4 10" xfId="42389"/>
    <cellStyle name="Calculation 2 3 2 2 4 11" xfId="50885"/>
    <cellStyle name="Calculation 2 3 2 2 4 2" xfId="4965"/>
    <cellStyle name="Calculation 2 3 2 2 4 2 2" xfId="42390"/>
    <cellStyle name="Calculation 2 3 2 2 4 2 3" xfId="50886"/>
    <cellStyle name="Calculation 2 3 2 2 4 3" xfId="4966"/>
    <cellStyle name="Calculation 2 3 2 2 4 3 2" xfId="42391"/>
    <cellStyle name="Calculation 2 3 2 2 4 3 3" xfId="50887"/>
    <cellStyle name="Calculation 2 3 2 2 4 4" xfId="4967"/>
    <cellStyle name="Calculation 2 3 2 2 4 4 2" xfId="42392"/>
    <cellStyle name="Calculation 2 3 2 2 4 4 3" xfId="50888"/>
    <cellStyle name="Calculation 2 3 2 2 4 5" xfId="4968"/>
    <cellStyle name="Calculation 2 3 2 2 4 5 2" xfId="42393"/>
    <cellStyle name="Calculation 2 3 2 2 4 5 3" xfId="50889"/>
    <cellStyle name="Calculation 2 3 2 2 4 6" xfId="35676"/>
    <cellStyle name="Calculation 2 3 2 2 4 6 2" xfId="42394"/>
    <cellStyle name="Calculation 2 3 2 2 4 6 3" xfId="50890"/>
    <cellStyle name="Calculation 2 3 2 2 4 7" xfId="42395"/>
    <cellStyle name="Calculation 2 3 2 2 4 7 2" xfId="50891"/>
    <cellStyle name="Calculation 2 3 2 2 4 8" xfId="42396"/>
    <cellStyle name="Calculation 2 3 2 2 4 8 2" xfId="50892"/>
    <cellStyle name="Calculation 2 3 2 2 4 9" xfId="42397"/>
    <cellStyle name="Calculation 2 3 2 2 4 9 2" xfId="50893"/>
    <cellStyle name="Calculation 2 3 2 2 5" xfId="1121"/>
    <cellStyle name="Calculation 2 3 2 2 5 2" xfId="4969"/>
    <cellStyle name="Calculation 2 3 2 2 5 3" xfId="4970"/>
    <cellStyle name="Calculation 2 3 2 2 5 4" xfId="4971"/>
    <cellStyle name="Calculation 2 3 2 2 5 5" xfId="4972"/>
    <cellStyle name="Calculation 2 3 2 2 5 6" xfId="36002"/>
    <cellStyle name="Calculation 2 3 2 2 5 7" xfId="42398"/>
    <cellStyle name="Calculation 2 3 2 2 5 8" xfId="50894"/>
    <cellStyle name="Calculation 2 3 2 2 6" xfId="3105"/>
    <cellStyle name="Calculation 2 3 2 2 6 2" xfId="4973"/>
    <cellStyle name="Calculation 2 3 2 2 6 3" xfId="4974"/>
    <cellStyle name="Calculation 2 3 2 2 6 4" xfId="4975"/>
    <cellStyle name="Calculation 2 3 2 2 6 5" xfId="4976"/>
    <cellStyle name="Calculation 2 3 2 2 6 6" xfId="37039"/>
    <cellStyle name="Calculation 2 3 2 2 6 7" xfId="42399"/>
    <cellStyle name="Calculation 2 3 2 2 6 8" xfId="50895"/>
    <cellStyle name="Calculation 2 3 2 2 7" xfId="3267"/>
    <cellStyle name="Calculation 2 3 2 2 7 2" xfId="4977"/>
    <cellStyle name="Calculation 2 3 2 2 7 3" xfId="4978"/>
    <cellStyle name="Calculation 2 3 2 2 7 4" xfId="4979"/>
    <cellStyle name="Calculation 2 3 2 2 7 5" xfId="4980"/>
    <cellStyle name="Calculation 2 3 2 2 7 6" xfId="37651"/>
    <cellStyle name="Calculation 2 3 2 2 7 7" xfId="42400"/>
    <cellStyle name="Calculation 2 3 2 2 7 8" xfId="50896"/>
    <cellStyle name="Calculation 2 3 2 2 8" xfId="4981"/>
    <cellStyle name="Calculation 2 3 2 2 8 2" xfId="4982"/>
    <cellStyle name="Calculation 2 3 2 2 8 3" xfId="4983"/>
    <cellStyle name="Calculation 2 3 2 2 8 4" xfId="4984"/>
    <cellStyle name="Calculation 2 3 2 2 8 5" xfId="4985"/>
    <cellStyle name="Calculation 2 3 2 2 8 6" xfId="38266"/>
    <cellStyle name="Calculation 2 3 2 2 8 7" xfId="42401"/>
    <cellStyle name="Calculation 2 3 2 2 8 8" xfId="50897"/>
    <cellStyle name="Calculation 2 3 2 2 9" xfId="4986"/>
    <cellStyle name="Calculation 2 3 2 2 9 2" xfId="4987"/>
    <cellStyle name="Calculation 2 3 2 2 9 3" xfId="4988"/>
    <cellStyle name="Calculation 2 3 2 2 9 4" xfId="4989"/>
    <cellStyle name="Calculation 2 3 2 2 9 5" xfId="4990"/>
    <cellStyle name="Calculation 2 3 2 2 9 6" xfId="38886"/>
    <cellStyle name="Calculation 2 3 2 2 9 7" xfId="42402"/>
    <cellStyle name="Calculation 2 3 2 2 9 8" xfId="50898"/>
    <cellStyle name="Calculation 2 3 2 3" xfId="498"/>
    <cellStyle name="Calculation 2 3 2 3 10" xfId="4991"/>
    <cellStyle name="Calculation 2 3 2 3 10 2" xfId="4992"/>
    <cellStyle name="Calculation 2 3 2 3 10 3" xfId="4993"/>
    <cellStyle name="Calculation 2 3 2 3 10 4" xfId="4994"/>
    <cellStyle name="Calculation 2 3 2 3 10 5" xfId="4995"/>
    <cellStyle name="Calculation 2 3 2 3 10 6" xfId="42403"/>
    <cellStyle name="Calculation 2 3 2 3 10 7" xfId="50899"/>
    <cellStyle name="Calculation 2 3 2 3 11" xfId="4996"/>
    <cellStyle name="Calculation 2 3 2 3 11 2" xfId="4997"/>
    <cellStyle name="Calculation 2 3 2 3 11 3" xfId="4998"/>
    <cellStyle name="Calculation 2 3 2 3 11 4" xfId="4999"/>
    <cellStyle name="Calculation 2 3 2 3 11 5" xfId="5000"/>
    <cellStyle name="Calculation 2 3 2 3 12" xfId="5001"/>
    <cellStyle name="Calculation 2 3 2 3 12 2" xfId="5002"/>
    <cellStyle name="Calculation 2 3 2 3 12 3" xfId="5003"/>
    <cellStyle name="Calculation 2 3 2 3 12 4" xfId="5004"/>
    <cellStyle name="Calculation 2 3 2 3 12 5" xfId="5005"/>
    <cellStyle name="Calculation 2 3 2 3 13" xfId="5006"/>
    <cellStyle name="Calculation 2 3 2 3 13 2" xfId="5007"/>
    <cellStyle name="Calculation 2 3 2 3 13 3" xfId="5008"/>
    <cellStyle name="Calculation 2 3 2 3 13 4" xfId="5009"/>
    <cellStyle name="Calculation 2 3 2 3 13 5" xfId="5010"/>
    <cellStyle name="Calculation 2 3 2 3 14" xfId="5011"/>
    <cellStyle name="Calculation 2 3 2 3 14 2" xfId="5012"/>
    <cellStyle name="Calculation 2 3 2 3 14 3" xfId="5013"/>
    <cellStyle name="Calculation 2 3 2 3 14 4" xfId="5014"/>
    <cellStyle name="Calculation 2 3 2 3 14 5" xfId="5015"/>
    <cellStyle name="Calculation 2 3 2 3 15" xfId="5016"/>
    <cellStyle name="Calculation 2 3 2 3 15 2" xfId="5017"/>
    <cellStyle name="Calculation 2 3 2 3 15 3" xfId="5018"/>
    <cellStyle name="Calculation 2 3 2 3 15 4" xfId="5019"/>
    <cellStyle name="Calculation 2 3 2 3 15 5" xfId="5020"/>
    <cellStyle name="Calculation 2 3 2 3 16" xfId="5021"/>
    <cellStyle name="Calculation 2 3 2 3 16 2" xfId="5022"/>
    <cellStyle name="Calculation 2 3 2 3 16 3" xfId="5023"/>
    <cellStyle name="Calculation 2 3 2 3 16 4" xfId="5024"/>
    <cellStyle name="Calculation 2 3 2 3 16 5" xfId="5025"/>
    <cellStyle name="Calculation 2 3 2 3 17" xfId="5026"/>
    <cellStyle name="Calculation 2 3 2 3 17 2" xfId="5027"/>
    <cellStyle name="Calculation 2 3 2 3 17 3" xfId="5028"/>
    <cellStyle name="Calculation 2 3 2 3 17 4" xfId="5029"/>
    <cellStyle name="Calculation 2 3 2 3 17 5" xfId="5030"/>
    <cellStyle name="Calculation 2 3 2 3 18" xfId="5031"/>
    <cellStyle name="Calculation 2 3 2 3 19" xfId="927"/>
    <cellStyle name="Calculation 2 3 2 3 2" xfId="1640"/>
    <cellStyle name="Calculation 2 3 2 3 2 2" xfId="1641"/>
    <cellStyle name="Calculation 2 3 2 3 2 3" xfId="1642"/>
    <cellStyle name="Calculation 2 3 2 3 2 4" xfId="5032"/>
    <cellStyle name="Calculation 2 3 2 3 2 5" xfId="5033"/>
    <cellStyle name="Calculation 2 3 2 3 2 6" xfId="36302"/>
    <cellStyle name="Calculation 2 3 2 3 2 7" xfId="42404"/>
    <cellStyle name="Calculation 2 3 2 3 2 8" xfId="50900"/>
    <cellStyle name="Calculation 2 3 2 3 20" xfId="35007"/>
    <cellStyle name="Calculation 2 3 2 3 21" xfId="40716"/>
    <cellStyle name="Calculation 2 3 2 3 22" xfId="41226"/>
    <cellStyle name="Calculation 2 3 2 3 3" xfId="1643"/>
    <cellStyle name="Calculation 2 3 2 3 3 2" xfId="5034"/>
    <cellStyle name="Calculation 2 3 2 3 3 3" xfId="5035"/>
    <cellStyle name="Calculation 2 3 2 3 3 4" xfId="5036"/>
    <cellStyle name="Calculation 2 3 2 3 3 5" xfId="5037"/>
    <cellStyle name="Calculation 2 3 2 3 3 6" xfId="36799"/>
    <cellStyle name="Calculation 2 3 2 3 3 7" xfId="42405"/>
    <cellStyle name="Calculation 2 3 2 3 3 8" xfId="50901"/>
    <cellStyle name="Calculation 2 3 2 3 4" xfId="1123"/>
    <cellStyle name="Calculation 2 3 2 3 4 2" xfId="5038"/>
    <cellStyle name="Calculation 2 3 2 3 4 3" xfId="5039"/>
    <cellStyle name="Calculation 2 3 2 3 4 4" xfId="5040"/>
    <cellStyle name="Calculation 2 3 2 3 4 5" xfId="5041"/>
    <cellStyle name="Calculation 2 3 2 3 4 6" xfId="37415"/>
    <cellStyle name="Calculation 2 3 2 3 4 7" xfId="42406"/>
    <cellStyle name="Calculation 2 3 2 3 4 8" xfId="50902"/>
    <cellStyle name="Calculation 2 3 2 3 5" xfId="3107"/>
    <cellStyle name="Calculation 2 3 2 3 5 2" xfId="5042"/>
    <cellStyle name="Calculation 2 3 2 3 5 3" xfId="5043"/>
    <cellStyle name="Calculation 2 3 2 3 5 4" xfId="5044"/>
    <cellStyle name="Calculation 2 3 2 3 5 5" xfId="5045"/>
    <cellStyle name="Calculation 2 3 2 3 5 6" xfId="38031"/>
    <cellStyle name="Calculation 2 3 2 3 5 7" xfId="42407"/>
    <cellStyle name="Calculation 2 3 2 3 5 8" xfId="50903"/>
    <cellStyle name="Calculation 2 3 2 3 6" xfId="3265"/>
    <cellStyle name="Calculation 2 3 2 3 6 2" xfId="5046"/>
    <cellStyle name="Calculation 2 3 2 3 6 3" xfId="5047"/>
    <cellStyle name="Calculation 2 3 2 3 6 4" xfId="5048"/>
    <cellStyle name="Calculation 2 3 2 3 6 5" xfId="5049"/>
    <cellStyle name="Calculation 2 3 2 3 6 6" xfId="38649"/>
    <cellStyle name="Calculation 2 3 2 3 6 7" xfId="42408"/>
    <cellStyle name="Calculation 2 3 2 3 6 8" xfId="50904"/>
    <cellStyle name="Calculation 2 3 2 3 7" xfId="5050"/>
    <cellStyle name="Calculation 2 3 2 3 7 2" xfId="5051"/>
    <cellStyle name="Calculation 2 3 2 3 7 3" xfId="5052"/>
    <cellStyle name="Calculation 2 3 2 3 7 4" xfId="5053"/>
    <cellStyle name="Calculation 2 3 2 3 7 5" xfId="5054"/>
    <cellStyle name="Calculation 2 3 2 3 7 6" xfId="39269"/>
    <cellStyle name="Calculation 2 3 2 3 7 7" xfId="42409"/>
    <cellStyle name="Calculation 2 3 2 3 7 8" xfId="50905"/>
    <cellStyle name="Calculation 2 3 2 3 8" xfId="5055"/>
    <cellStyle name="Calculation 2 3 2 3 8 2" xfId="5056"/>
    <cellStyle name="Calculation 2 3 2 3 8 3" xfId="5057"/>
    <cellStyle name="Calculation 2 3 2 3 8 4" xfId="5058"/>
    <cellStyle name="Calculation 2 3 2 3 8 5" xfId="5059"/>
    <cellStyle name="Calculation 2 3 2 3 8 6" xfId="39885"/>
    <cellStyle name="Calculation 2 3 2 3 8 7" xfId="42410"/>
    <cellStyle name="Calculation 2 3 2 3 8 8" xfId="50906"/>
    <cellStyle name="Calculation 2 3 2 3 9" xfId="5060"/>
    <cellStyle name="Calculation 2 3 2 3 9 2" xfId="5061"/>
    <cellStyle name="Calculation 2 3 2 3 9 3" xfId="5062"/>
    <cellStyle name="Calculation 2 3 2 3 9 4" xfId="5063"/>
    <cellStyle name="Calculation 2 3 2 3 9 5" xfId="5064"/>
    <cellStyle name="Calculation 2 3 2 3 9 6" xfId="40500"/>
    <cellStyle name="Calculation 2 3 2 3 9 7" xfId="42411"/>
    <cellStyle name="Calculation 2 3 2 3 9 8" xfId="50907"/>
    <cellStyle name="Calculation 2 3 2 4" xfId="1644"/>
    <cellStyle name="Calculation 2 3 2 4 10" xfId="34918"/>
    <cellStyle name="Calculation 2 3 2 4 11" xfId="41012"/>
    <cellStyle name="Calculation 2 3 2 4 12" xfId="42412"/>
    <cellStyle name="Calculation 2 3 2 4 13" xfId="50908"/>
    <cellStyle name="Calculation 2 3 2 4 2" xfId="1645"/>
    <cellStyle name="Calculation 2 3 2 4 2 2" xfId="36089"/>
    <cellStyle name="Calculation 2 3 2 4 2 3" xfId="42413"/>
    <cellStyle name="Calculation 2 3 2 4 2 4" xfId="50909"/>
    <cellStyle name="Calculation 2 3 2 4 3" xfId="1646"/>
    <cellStyle name="Calculation 2 3 2 4 3 2" xfId="36588"/>
    <cellStyle name="Calculation 2 3 2 4 3 3" xfId="42414"/>
    <cellStyle name="Calculation 2 3 2 4 3 4" xfId="50910"/>
    <cellStyle name="Calculation 2 3 2 4 4" xfId="5065"/>
    <cellStyle name="Calculation 2 3 2 4 4 2" xfId="37204"/>
    <cellStyle name="Calculation 2 3 2 4 4 3" xfId="42415"/>
    <cellStyle name="Calculation 2 3 2 4 4 4" xfId="50911"/>
    <cellStyle name="Calculation 2 3 2 4 5" xfId="5066"/>
    <cellStyle name="Calculation 2 3 2 4 5 2" xfId="37820"/>
    <cellStyle name="Calculation 2 3 2 4 5 3" xfId="42416"/>
    <cellStyle name="Calculation 2 3 2 4 5 4" xfId="50912"/>
    <cellStyle name="Calculation 2 3 2 4 6" xfId="38435"/>
    <cellStyle name="Calculation 2 3 2 4 6 2" xfId="42417"/>
    <cellStyle name="Calculation 2 3 2 4 6 3" xfId="50913"/>
    <cellStyle name="Calculation 2 3 2 4 7" xfId="39055"/>
    <cellStyle name="Calculation 2 3 2 4 7 2" xfId="42418"/>
    <cellStyle name="Calculation 2 3 2 4 7 3" xfId="50914"/>
    <cellStyle name="Calculation 2 3 2 4 8" xfId="39671"/>
    <cellStyle name="Calculation 2 3 2 4 8 2" xfId="42419"/>
    <cellStyle name="Calculation 2 3 2 4 8 3" xfId="50915"/>
    <cellStyle name="Calculation 2 3 2 4 9" xfId="40286"/>
    <cellStyle name="Calculation 2 3 2 4 9 2" xfId="42420"/>
    <cellStyle name="Calculation 2 3 2 4 9 3" xfId="50916"/>
    <cellStyle name="Calculation 2 3 2 5" xfId="1647"/>
    <cellStyle name="Calculation 2 3 2 5 10" xfId="42421"/>
    <cellStyle name="Calculation 2 3 2 5 11" xfId="50917"/>
    <cellStyle name="Calculation 2 3 2 5 2" xfId="1648"/>
    <cellStyle name="Calculation 2 3 2 5 2 2" xfId="42422"/>
    <cellStyle name="Calculation 2 3 2 5 2 3" xfId="50918"/>
    <cellStyle name="Calculation 2 3 2 5 3" xfId="1649"/>
    <cellStyle name="Calculation 2 3 2 5 3 2" xfId="42423"/>
    <cellStyle name="Calculation 2 3 2 5 3 3" xfId="50919"/>
    <cellStyle name="Calculation 2 3 2 5 4" xfId="5067"/>
    <cellStyle name="Calculation 2 3 2 5 4 2" xfId="42424"/>
    <cellStyle name="Calculation 2 3 2 5 4 3" xfId="50920"/>
    <cellStyle name="Calculation 2 3 2 5 5" xfId="5068"/>
    <cellStyle name="Calculation 2 3 2 5 5 2" xfId="42425"/>
    <cellStyle name="Calculation 2 3 2 5 5 3" xfId="50921"/>
    <cellStyle name="Calculation 2 3 2 5 6" xfId="35407"/>
    <cellStyle name="Calculation 2 3 2 5 6 2" xfId="42426"/>
    <cellStyle name="Calculation 2 3 2 5 6 3" xfId="50922"/>
    <cellStyle name="Calculation 2 3 2 5 7" xfId="42427"/>
    <cellStyle name="Calculation 2 3 2 5 7 2" xfId="50923"/>
    <cellStyle name="Calculation 2 3 2 5 8" xfId="42428"/>
    <cellStyle name="Calculation 2 3 2 5 8 2" xfId="50924"/>
    <cellStyle name="Calculation 2 3 2 5 9" xfId="42429"/>
    <cellStyle name="Calculation 2 3 2 5 9 2" xfId="50925"/>
    <cellStyle name="Calculation 2 3 2 6" xfId="1120"/>
    <cellStyle name="Calculation 2 3 2 6 2" xfId="5069"/>
    <cellStyle name="Calculation 2 3 2 6 3" xfId="5070"/>
    <cellStyle name="Calculation 2 3 2 6 4" xfId="5071"/>
    <cellStyle name="Calculation 2 3 2 6 5" xfId="5072"/>
    <cellStyle name="Calculation 2 3 2 6 6" xfId="35939"/>
    <cellStyle name="Calculation 2 3 2 6 7" xfId="42430"/>
    <cellStyle name="Calculation 2 3 2 6 8" xfId="50926"/>
    <cellStyle name="Calculation 2 3 2 7" xfId="3104"/>
    <cellStyle name="Calculation 2 3 2 7 2" xfId="5073"/>
    <cellStyle name="Calculation 2 3 2 7 3" xfId="5074"/>
    <cellStyle name="Calculation 2 3 2 7 4" xfId="5075"/>
    <cellStyle name="Calculation 2 3 2 7 5" xfId="5076"/>
    <cellStyle name="Calculation 2 3 2 7 6" xfId="36018"/>
    <cellStyle name="Calculation 2 3 2 7 7" xfId="42431"/>
    <cellStyle name="Calculation 2 3 2 7 8" xfId="50927"/>
    <cellStyle name="Calculation 2 3 2 8" xfId="3268"/>
    <cellStyle name="Calculation 2 3 2 8 2" xfId="5077"/>
    <cellStyle name="Calculation 2 3 2 8 3" xfId="5078"/>
    <cellStyle name="Calculation 2 3 2 8 4" xfId="5079"/>
    <cellStyle name="Calculation 2 3 2 8 5" xfId="5080"/>
    <cellStyle name="Calculation 2 3 2 8 6" xfId="36984"/>
    <cellStyle name="Calculation 2 3 2 8 7" xfId="42432"/>
    <cellStyle name="Calculation 2 3 2 8 8" xfId="50928"/>
    <cellStyle name="Calculation 2 3 2 9" xfId="5081"/>
    <cellStyle name="Calculation 2 3 2 9 2" xfId="5082"/>
    <cellStyle name="Calculation 2 3 2 9 3" xfId="5083"/>
    <cellStyle name="Calculation 2 3 2 9 4" xfId="5084"/>
    <cellStyle name="Calculation 2 3 2 9 5" xfId="5085"/>
    <cellStyle name="Calculation 2 3 2 9 6" xfId="37596"/>
    <cellStyle name="Calculation 2 3 2 9 7" xfId="42433"/>
    <cellStyle name="Calculation 2 3 2 9 8" xfId="50929"/>
    <cellStyle name="Calculation 2 3 2_SS10_Codes Cat Analysis RIN" xfId="42434"/>
    <cellStyle name="Calculation 2 3 20" xfId="34851"/>
    <cellStyle name="Calculation 2 3 21" xfId="40773"/>
    <cellStyle name="Calculation 2 3 3" xfId="269"/>
    <cellStyle name="Calculation 2 3 3 10" xfId="5086"/>
    <cellStyle name="Calculation 2 3 3 10 2" xfId="5087"/>
    <cellStyle name="Calculation 2 3 3 10 3" xfId="5088"/>
    <cellStyle name="Calculation 2 3 3 10 4" xfId="5089"/>
    <cellStyle name="Calculation 2 3 3 10 5" xfId="5090"/>
    <cellStyle name="Calculation 2 3 3 10 6" xfId="38214"/>
    <cellStyle name="Calculation 2 3 3 10 7" xfId="42435"/>
    <cellStyle name="Calculation 2 3 3 10 8" xfId="50930"/>
    <cellStyle name="Calculation 2 3 3 11" xfId="5091"/>
    <cellStyle name="Calculation 2 3 3 11 2" xfId="5092"/>
    <cellStyle name="Calculation 2 3 3 11 3" xfId="5093"/>
    <cellStyle name="Calculation 2 3 3 11 4" xfId="5094"/>
    <cellStyle name="Calculation 2 3 3 11 5" xfId="5095"/>
    <cellStyle name="Calculation 2 3 3 11 6" xfId="38836"/>
    <cellStyle name="Calculation 2 3 3 11 7" xfId="42436"/>
    <cellStyle name="Calculation 2 3 3 11 8" xfId="50931"/>
    <cellStyle name="Calculation 2 3 3 12" xfId="5096"/>
    <cellStyle name="Calculation 2 3 3 12 2" xfId="5097"/>
    <cellStyle name="Calculation 2 3 3 12 3" xfId="5098"/>
    <cellStyle name="Calculation 2 3 3 12 4" xfId="5099"/>
    <cellStyle name="Calculation 2 3 3 12 5" xfId="5100"/>
    <cellStyle name="Calculation 2 3 3 12 6" xfId="39456"/>
    <cellStyle name="Calculation 2 3 3 12 7" xfId="42437"/>
    <cellStyle name="Calculation 2 3 3 12 8" xfId="50932"/>
    <cellStyle name="Calculation 2 3 3 13" xfId="5101"/>
    <cellStyle name="Calculation 2 3 3 13 2" xfId="5102"/>
    <cellStyle name="Calculation 2 3 3 13 3" xfId="5103"/>
    <cellStyle name="Calculation 2 3 3 13 4" xfId="5104"/>
    <cellStyle name="Calculation 2 3 3 13 5" xfId="5105"/>
    <cellStyle name="Calculation 2 3 3 13 6" xfId="40074"/>
    <cellStyle name="Calculation 2 3 3 13 7" xfId="42438"/>
    <cellStyle name="Calculation 2 3 3 13 8" xfId="50933"/>
    <cellStyle name="Calculation 2 3 3 14" xfId="5106"/>
    <cellStyle name="Calculation 2 3 3 14 2" xfId="5107"/>
    <cellStyle name="Calculation 2 3 3 14 3" xfId="5108"/>
    <cellStyle name="Calculation 2 3 3 14 4" xfId="5109"/>
    <cellStyle name="Calculation 2 3 3 14 5" xfId="5110"/>
    <cellStyle name="Calculation 2 3 3 14 6" xfId="42439"/>
    <cellStyle name="Calculation 2 3 3 14 7" xfId="50934"/>
    <cellStyle name="Calculation 2 3 3 15" xfId="5111"/>
    <cellStyle name="Calculation 2 3 3 15 2" xfId="5112"/>
    <cellStyle name="Calculation 2 3 3 15 3" xfId="5113"/>
    <cellStyle name="Calculation 2 3 3 15 4" xfId="5114"/>
    <cellStyle name="Calculation 2 3 3 15 5" xfId="5115"/>
    <cellStyle name="Calculation 2 3 3 16" xfId="5116"/>
    <cellStyle name="Calculation 2 3 3 17" xfId="714"/>
    <cellStyle name="Calculation 2 3 3 18" xfId="34954"/>
    <cellStyle name="Calculation 2 3 3 19" xfId="40798"/>
    <cellStyle name="Calculation 2 3 3 2" xfId="328"/>
    <cellStyle name="Calculation 2 3 3 2 10" xfId="5117"/>
    <cellStyle name="Calculation 2 3 3 2 10 2" xfId="5118"/>
    <cellStyle name="Calculation 2 3 3 2 10 3" xfId="5119"/>
    <cellStyle name="Calculation 2 3 3 2 10 4" xfId="5120"/>
    <cellStyle name="Calculation 2 3 3 2 10 5" xfId="5121"/>
    <cellStyle name="Calculation 2 3 3 2 10 6" xfId="39506"/>
    <cellStyle name="Calculation 2 3 3 2 10 7" xfId="42440"/>
    <cellStyle name="Calculation 2 3 3 2 10 8" xfId="50935"/>
    <cellStyle name="Calculation 2 3 3 2 11" xfId="5122"/>
    <cellStyle name="Calculation 2 3 3 2 11 2" xfId="5123"/>
    <cellStyle name="Calculation 2 3 3 2 11 3" xfId="5124"/>
    <cellStyle name="Calculation 2 3 3 2 11 4" xfId="5125"/>
    <cellStyle name="Calculation 2 3 3 2 11 5" xfId="5126"/>
    <cellStyle name="Calculation 2 3 3 2 11 6" xfId="40124"/>
    <cellStyle name="Calculation 2 3 3 2 11 7" xfId="42441"/>
    <cellStyle name="Calculation 2 3 3 2 11 8" xfId="50936"/>
    <cellStyle name="Calculation 2 3 3 2 12" xfId="5127"/>
    <cellStyle name="Calculation 2 3 3 2 12 2" xfId="5128"/>
    <cellStyle name="Calculation 2 3 3 2 12 3" xfId="5129"/>
    <cellStyle name="Calculation 2 3 3 2 12 4" xfId="5130"/>
    <cellStyle name="Calculation 2 3 3 2 12 5" xfId="5131"/>
    <cellStyle name="Calculation 2 3 3 2 12 6" xfId="42442"/>
    <cellStyle name="Calculation 2 3 3 2 12 7" xfId="50937"/>
    <cellStyle name="Calculation 2 3 3 2 13" xfId="5132"/>
    <cellStyle name="Calculation 2 3 3 2 13 2" xfId="5133"/>
    <cellStyle name="Calculation 2 3 3 2 13 3" xfId="5134"/>
    <cellStyle name="Calculation 2 3 3 2 13 4" xfId="5135"/>
    <cellStyle name="Calculation 2 3 3 2 13 5" xfId="5136"/>
    <cellStyle name="Calculation 2 3 3 2 13 6" xfId="42443"/>
    <cellStyle name="Calculation 2 3 3 2 13 7" xfId="50938"/>
    <cellStyle name="Calculation 2 3 3 2 14" xfId="5137"/>
    <cellStyle name="Calculation 2 3 3 2 14 2" xfId="5138"/>
    <cellStyle name="Calculation 2 3 3 2 14 3" xfId="5139"/>
    <cellStyle name="Calculation 2 3 3 2 14 4" xfId="5140"/>
    <cellStyle name="Calculation 2 3 3 2 14 5" xfId="5141"/>
    <cellStyle name="Calculation 2 3 3 2 15" xfId="5142"/>
    <cellStyle name="Calculation 2 3 3 2 15 2" xfId="5143"/>
    <cellStyle name="Calculation 2 3 3 2 15 3" xfId="5144"/>
    <cellStyle name="Calculation 2 3 3 2 15 4" xfId="5145"/>
    <cellStyle name="Calculation 2 3 3 2 15 5" xfId="5146"/>
    <cellStyle name="Calculation 2 3 3 2 16" xfId="5147"/>
    <cellStyle name="Calculation 2 3 3 2 16 2" xfId="5148"/>
    <cellStyle name="Calculation 2 3 3 2 16 3" xfId="5149"/>
    <cellStyle name="Calculation 2 3 3 2 16 4" xfId="5150"/>
    <cellStyle name="Calculation 2 3 3 2 16 5" xfId="5151"/>
    <cellStyle name="Calculation 2 3 3 2 17" xfId="5152"/>
    <cellStyle name="Calculation 2 3 3 2 17 2" xfId="5153"/>
    <cellStyle name="Calculation 2 3 3 2 17 3" xfId="5154"/>
    <cellStyle name="Calculation 2 3 3 2 17 4" xfId="5155"/>
    <cellStyle name="Calculation 2 3 3 2 17 5" xfId="5156"/>
    <cellStyle name="Calculation 2 3 3 2 18" xfId="5157"/>
    <cellStyle name="Calculation 2 3 3 2 19" xfId="764"/>
    <cellStyle name="Calculation 2 3 3 2 2" xfId="549"/>
    <cellStyle name="Calculation 2 3 3 2 2 10" xfId="5158"/>
    <cellStyle name="Calculation 2 3 3 2 2 10 2" xfId="5159"/>
    <cellStyle name="Calculation 2 3 3 2 2 10 3" xfId="5160"/>
    <cellStyle name="Calculation 2 3 3 2 2 10 4" xfId="5161"/>
    <cellStyle name="Calculation 2 3 3 2 2 10 5" xfId="5162"/>
    <cellStyle name="Calculation 2 3 3 2 2 10 6" xfId="42444"/>
    <cellStyle name="Calculation 2 3 3 2 2 10 7" xfId="50939"/>
    <cellStyle name="Calculation 2 3 3 2 2 11" xfId="5163"/>
    <cellStyle name="Calculation 2 3 3 2 2 11 2" xfId="5164"/>
    <cellStyle name="Calculation 2 3 3 2 2 11 3" xfId="5165"/>
    <cellStyle name="Calculation 2 3 3 2 2 11 4" xfId="5166"/>
    <cellStyle name="Calculation 2 3 3 2 2 11 5" xfId="5167"/>
    <cellStyle name="Calculation 2 3 3 2 2 12" xfId="5168"/>
    <cellStyle name="Calculation 2 3 3 2 2 12 2" xfId="5169"/>
    <cellStyle name="Calculation 2 3 3 2 2 12 3" xfId="5170"/>
    <cellStyle name="Calculation 2 3 3 2 2 12 4" xfId="5171"/>
    <cellStyle name="Calculation 2 3 3 2 2 12 5" xfId="5172"/>
    <cellStyle name="Calculation 2 3 3 2 2 13" xfId="5173"/>
    <cellStyle name="Calculation 2 3 3 2 2 13 2" xfId="5174"/>
    <cellStyle name="Calculation 2 3 3 2 2 13 3" xfId="5175"/>
    <cellStyle name="Calculation 2 3 3 2 2 13 4" xfId="5176"/>
    <cellStyle name="Calculation 2 3 3 2 2 13 5" xfId="5177"/>
    <cellStyle name="Calculation 2 3 3 2 2 14" xfId="5178"/>
    <cellStyle name="Calculation 2 3 3 2 2 14 2" xfId="5179"/>
    <cellStyle name="Calculation 2 3 3 2 2 14 3" xfId="5180"/>
    <cellStyle name="Calculation 2 3 3 2 2 14 4" xfId="5181"/>
    <cellStyle name="Calculation 2 3 3 2 2 14 5" xfId="5182"/>
    <cellStyle name="Calculation 2 3 3 2 2 15" xfId="5183"/>
    <cellStyle name="Calculation 2 3 3 2 2 15 2" xfId="5184"/>
    <cellStyle name="Calculation 2 3 3 2 2 15 3" xfId="5185"/>
    <cellStyle name="Calculation 2 3 3 2 2 15 4" xfId="5186"/>
    <cellStyle name="Calculation 2 3 3 2 2 15 5" xfId="5187"/>
    <cellStyle name="Calculation 2 3 3 2 2 16" xfId="5188"/>
    <cellStyle name="Calculation 2 3 3 2 2 16 2" xfId="5189"/>
    <cellStyle name="Calculation 2 3 3 2 2 16 3" xfId="5190"/>
    <cellStyle name="Calculation 2 3 3 2 2 16 4" xfId="5191"/>
    <cellStyle name="Calculation 2 3 3 2 2 16 5" xfId="5192"/>
    <cellStyle name="Calculation 2 3 3 2 2 17" xfId="5193"/>
    <cellStyle name="Calculation 2 3 3 2 2 17 2" xfId="5194"/>
    <cellStyle name="Calculation 2 3 3 2 2 17 3" xfId="5195"/>
    <cellStyle name="Calculation 2 3 3 2 2 17 4" xfId="5196"/>
    <cellStyle name="Calculation 2 3 3 2 2 17 5" xfId="5197"/>
    <cellStyle name="Calculation 2 3 3 2 2 18" xfId="5198"/>
    <cellStyle name="Calculation 2 3 3 2 2 19" xfId="978"/>
    <cellStyle name="Calculation 2 3 3 2 2 2" xfId="1650"/>
    <cellStyle name="Calculation 2 3 3 2 2 2 2" xfId="5199"/>
    <cellStyle name="Calculation 2 3 3 2 2 2 3" xfId="5200"/>
    <cellStyle name="Calculation 2 3 3 2 2 2 4" xfId="5201"/>
    <cellStyle name="Calculation 2 3 3 2 2 2 5" xfId="5202"/>
    <cellStyle name="Calculation 2 3 3 2 2 2 6" xfId="36353"/>
    <cellStyle name="Calculation 2 3 3 2 2 2 7" xfId="42445"/>
    <cellStyle name="Calculation 2 3 3 2 2 2 8" xfId="50940"/>
    <cellStyle name="Calculation 2 3 3 2 2 20" xfId="35058"/>
    <cellStyle name="Calculation 2 3 3 2 2 21" xfId="41277"/>
    <cellStyle name="Calculation 2 3 3 2 2 3" xfId="1651"/>
    <cellStyle name="Calculation 2 3 3 2 2 3 2" xfId="5203"/>
    <cellStyle name="Calculation 2 3 3 2 2 3 3" xfId="5204"/>
    <cellStyle name="Calculation 2 3 3 2 2 3 4" xfId="5205"/>
    <cellStyle name="Calculation 2 3 3 2 2 3 5" xfId="5206"/>
    <cellStyle name="Calculation 2 3 3 2 2 3 6" xfId="36850"/>
    <cellStyle name="Calculation 2 3 3 2 2 3 7" xfId="42446"/>
    <cellStyle name="Calculation 2 3 3 2 2 3 8" xfId="50941"/>
    <cellStyle name="Calculation 2 3 3 2 2 4" xfId="1126"/>
    <cellStyle name="Calculation 2 3 3 2 2 4 2" xfId="5207"/>
    <cellStyle name="Calculation 2 3 3 2 2 4 3" xfId="5208"/>
    <cellStyle name="Calculation 2 3 3 2 2 4 4" xfId="5209"/>
    <cellStyle name="Calculation 2 3 3 2 2 4 5" xfId="5210"/>
    <cellStyle name="Calculation 2 3 3 2 2 4 6" xfId="37466"/>
    <cellStyle name="Calculation 2 3 3 2 2 4 7" xfId="42447"/>
    <cellStyle name="Calculation 2 3 3 2 2 4 8" xfId="50942"/>
    <cellStyle name="Calculation 2 3 3 2 2 5" xfId="3110"/>
    <cellStyle name="Calculation 2 3 3 2 2 5 2" xfId="5211"/>
    <cellStyle name="Calculation 2 3 3 2 2 5 3" xfId="5212"/>
    <cellStyle name="Calculation 2 3 3 2 2 5 4" xfId="5213"/>
    <cellStyle name="Calculation 2 3 3 2 2 5 5" xfId="5214"/>
    <cellStyle name="Calculation 2 3 3 2 2 5 6" xfId="38082"/>
    <cellStyle name="Calculation 2 3 3 2 2 5 7" xfId="42448"/>
    <cellStyle name="Calculation 2 3 3 2 2 5 8" xfId="50943"/>
    <cellStyle name="Calculation 2 3 3 2 2 6" xfId="3262"/>
    <cellStyle name="Calculation 2 3 3 2 2 6 2" xfId="5215"/>
    <cellStyle name="Calculation 2 3 3 2 2 6 3" xfId="5216"/>
    <cellStyle name="Calculation 2 3 3 2 2 6 4" xfId="5217"/>
    <cellStyle name="Calculation 2 3 3 2 2 6 5" xfId="5218"/>
    <cellStyle name="Calculation 2 3 3 2 2 6 6" xfId="38700"/>
    <cellStyle name="Calculation 2 3 3 2 2 6 7" xfId="42449"/>
    <cellStyle name="Calculation 2 3 3 2 2 6 8" xfId="50944"/>
    <cellStyle name="Calculation 2 3 3 2 2 7" xfId="5219"/>
    <cellStyle name="Calculation 2 3 3 2 2 7 2" xfId="5220"/>
    <cellStyle name="Calculation 2 3 3 2 2 7 3" xfId="5221"/>
    <cellStyle name="Calculation 2 3 3 2 2 7 4" xfId="5222"/>
    <cellStyle name="Calculation 2 3 3 2 2 7 5" xfId="5223"/>
    <cellStyle name="Calculation 2 3 3 2 2 7 6" xfId="39320"/>
    <cellStyle name="Calculation 2 3 3 2 2 7 7" xfId="42450"/>
    <cellStyle name="Calculation 2 3 3 2 2 7 8" xfId="50945"/>
    <cellStyle name="Calculation 2 3 3 2 2 8" xfId="5224"/>
    <cellStyle name="Calculation 2 3 3 2 2 8 2" xfId="5225"/>
    <cellStyle name="Calculation 2 3 3 2 2 8 3" xfId="5226"/>
    <cellStyle name="Calculation 2 3 3 2 2 8 4" xfId="5227"/>
    <cellStyle name="Calculation 2 3 3 2 2 8 5" xfId="5228"/>
    <cellStyle name="Calculation 2 3 3 2 2 8 6" xfId="39936"/>
    <cellStyle name="Calculation 2 3 3 2 2 8 7" xfId="42451"/>
    <cellStyle name="Calculation 2 3 3 2 2 8 8" xfId="50946"/>
    <cellStyle name="Calculation 2 3 3 2 2 9" xfId="5229"/>
    <cellStyle name="Calculation 2 3 3 2 2 9 2" xfId="5230"/>
    <cellStyle name="Calculation 2 3 3 2 2 9 3" xfId="5231"/>
    <cellStyle name="Calculation 2 3 3 2 2 9 4" xfId="5232"/>
    <cellStyle name="Calculation 2 3 3 2 2 9 5" xfId="5233"/>
    <cellStyle name="Calculation 2 3 3 2 2 9 6" xfId="40551"/>
    <cellStyle name="Calculation 2 3 3 2 2 9 7" xfId="42452"/>
    <cellStyle name="Calculation 2 3 3 2 2 9 8" xfId="50947"/>
    <cellStyle name="Calculation 2 3 3 2 20" xfId="34938"/>
    <cellStyle name="Calculation 2 3 3 2 21" xfId="40848"/>
    <cellStyle name="Calculation 2 3 3 2 22" xfId="41411"/>
    <cellStyle name="Calculation 2 3 3 2 23" xfId="50498"/>
    <cellStyle name="Calculation 2 3 3 2 3" xfId="1652"/>
    <cellStyle name="Calculation 2 3 3 2 3 10" xfId="34562"/>
    <cellStyle name="Calculation 2 3 3 2 3 11" xfId="41063"/>
    <cellStyle name="Calculation 2 3 3 2 3 12" xfId="42453"/>
    <cellStyle name="Calculation 2 3 3 2 3 13" xfId="50948"/>
    <cellStyle name="Calculation 2 3 3 2 3 2" xfId="1653"/>
    <cellStyle name="Calculation 2 3 3 2 3 2 2" xfId="36140"/>
    <cellStyle name="Calculation 2 3 3 2 3 2 3" xfId="42454"/>
    <cellStyle name="Calculation 2 3 3 2 3 2 4" xfId="50949"/>
    <cellStyle name="Calculation 2 3 3 2 3 3" xfId="1654"/>
    <cellStyle name="Calculation 2 3 3 2 3 3 2" xfId="36639"/>
    <cellStyle name="Calculation 2 3 3 2 3 3 3" xfId="42455"/>
    <cellStyle name="Calculation 2 3 3 2 3 3 4" xfId="50950"/>
    <cellStyle name="Calculation 2 3 3 2 3 4" xfId="5234"/>
    <cellStyle name="Calculation 2 3 3 2 3 4 2" xfId="37255"/>
    <cellStyle name="Calculation 2 3 3 2 3 4 3" xfId="42456"/>
    <cellStyle name="Calculation 2 3 3 2 3 4 4" xfId="50951"/>
    <cellStyle name="Calculation 2 3 3 2 3 5" xfId="5235"/>
    <cellStyle name="Calculation 2 3 3 2 3 5 2" xfId="37871"/>
    <cellStyle name="Calculation 2 3 3 2 3 5 3" xfId="42457"/>
    <cellStyle name="Calculation 2 3 3 2 3 5 4" xfId="50952"/>
    <cellStyle name="Calculation 2 3 3 2 3 6" xfId="38486"/>
    <cellStyle name="Calculation 2 3 3 2 3 6 2" xfId="42458"/>
    <cellStyle name="Calculation 2 3 3 2 3 6 3" xfId="50953"/>
    <cellStyle name="Calculation 2 3 3 2 3 7" xfId="39106"/>
    <cellStyle name="Calculation 2 3 3 2 3 7 2" xfId="42459"/>
    <cellStyle name="Calculation 2 3 3 2 3 7 3" xfId="50954"/>
    <cellStyle name="Calculation 2 3 3 2 3 8" xfId="39722"/>
    <cellStyle name="Calculation 2 3 3 2 3 8 2" xfId="42460"/>
    <cellStyle name="Calculation 2 3 3 2 3 8 3" xfId="50955"/>
    <cellStyle name="Calculation 2 3 3 2 3 9" xfId="40337"/>
    <cellStyle name="Calculation 2 3 3 2 3 9 2" xfId="42461"/>
    <cellStyle name="Calculation 2 3 3 2 3 9 3" xfId="50956"/>
    <cellStyle name="Calculation 2 3 3 2 4" xfId="1655"/>
    <cellStyle name="Calculation 2 3 3 2 4 10" xfId="42462"/>
    <cellStyle name="Calculation 2 3 3 2 4 11" xfId="50957"/>
    <cellStyle name="Calculation 2 3 3 2 4 2" xfId="5236"/>
    <cellStyle name="Calculation 2 3 3 2 4 2 2" xfId="42463"/>
    <cellStyle name="Calculation 2 3 3 2 4 2 3" xfId="50958"/>
    <cellStyle name="Calculation 2 3 3 2 4 3" xfId="5237"/>
    <cellStyle name="Calculation 2 3 3 2 4 3 2" xfId="42464"/>
    <cellStyle name="Calculation 2 3 3 2 4 3 3" xfId="50959"/>
    <cellStyle name="Calculation 2 3 3 2 4 4" xfId="5238"/>
    <cellStyle name="Calculation 2 3 3 2 4 4 2" xfId="42465"/>
    <cellStyle name="Calculation 2 3 3 2 4 4 3" xfId="50960"/>
    <cellStyle name="Calculation 2 3 3 2 4 5" xfId="5239"/>
    <cellStyle name="Calculation 2 3 3 2 4 5 2" xfId="42466"/>
    <cellStyle name="Calculation 2 3 3 2 4 5 3" xfId="50961"/>
    <cellStyle name="Calculation 2 3 3 2 4 6" xfId="35677"/>
    <cellStyle name="Calculation 2 3 3 2 4 6 2" xfId="42467"/>
    <cellStyle name="Calculation 2 3 3 2 4 6 3" xfId="50962"/>
    <cellStyle name="Calculation 2 3 3 2 4 7" xfId="42468"/>
    <cellStyle name="Calculation 2 3 3 2 4 7 2" xfId="50963"/>
    <cellStyle name="Calculation 2 3 3 2 4 8" xfId="42469"/>
    <cellStyle name="Calculation 2 3 3 2 4 8 2" xfId="50964"/>
    <cellStyle name="Calculation 2 3 3 2 4 9" xfId="42470"/>
    <cellStyle name="Calculation 2 3 3 2 4 9 2" xfId="50965"/>
    <cellStyle name="Calculation 2 3 3 2 5" xfId="1125"/>
    <cellStyle name="Calculation 2 3 3 2 5 2" xfId="5240"/>
    <cellStyle name="Calculation 2 3 3 2 5 3" xfId="5241"/>
    <cellStyle name="Calculation 2 3 3 2 5 4" xfId="5242"/>
    <cellStyle name="Calculation 2 3 3 2 5 5" xfId="5243"/>
    <cellStyle name="Calculation 2 3 3 2 5 6" xfId="36001"/>
    <cellStyle name="Calculation 2 3 3 2 5 7" xfId="42471"/>
    <cellStyle name="Calculation 2 3 3 2 5 8" xfId="50966"/>
    <cellStyle name="Calculation 2 3 3 2 6" xfId="3109"/>
    <cellStyle name="Calculation 2 3 3 2 6 2" xfId="5244"/>
    <cellStyle name="Calculation 2 3 3 2 6 3" xfId="5245"/>
    <cellStyle name="Calculation 2 3 3 2 6 4" xfId="5246"/>
    <cellStyle name="Calculation 2 3 3 2 6 5" xfId="5247"/>
    <cellStyle name="Calculation 2 3 3 2 6 6" xfId="37040"/>
    <cellStyle name="Calculation 2 3 3 2 6 7" xfId="42472"/>
    <cellStyle name="Calculation 2 3 3 2 6 8" xfId="50967"/>
    <cellStyle name="Calculation 2 3 3 2 7" xfId="3263"/>
    <cellStyle name="Calculation 2 3 3 2 7 2" xfId="5248"/>
    <cellStyle name="Calculation 2 3 3 2 7 3" xfId="5249"/>
    <cellStyle name="Calculation 2 3 3 2 7 4" xfId="5250"/>
    <cellStyle name="Calculation 2 3 3 2 7 5" xfId="5251"/>
    <cellStyle name="Calculation 2 3 3 2 7 6" xfId="37652"/>
    <cellStyle name="Calculation 2 3 3 2 7 7" xfId="42473"/>
    <cellStyle name="Calculation 2 3 3 2 7 8" xfId="50968"/>
    <cellStyle name="Calculation 2 3 3 2 8" xfId="5252"/>
    <cellStyle name="Calculation 2 3 3 2 8 2" xfId="5253"/>
    <cellStyle name="Calculation 2 3 3 2 8 3" xfId="5254"/>
    <cellStyle name="Calculation 2 3 3 2 8 4" xfId="5255"/>
    <cellStyle name="Calculation 2 3 3 2 8 5" xfId="5256"/>
    <cellStyle name="Calculation 2 3 3 2 8 6" xfId="38267"/>
    <cellStyle name="Calculation 2 3 3 2 8 7" xfId="42474"/>
    <cellStyle name="Calculation 2 3 3 2 8 8" xfId="50969"/>
    <cellStyle name="Calculation 2 3 3 2 9" xfId="5257"/>
    <cellStyle name="Calculation 2 3 3 2 9 2" xfId="5258"/>
    <cellStyle name="Calculation 2 3 3 2 9 3" xfId="5259"/>
    <cellStyle name="Calculation 2 3 3 2 9 4" xfId="5260"/>
    <cellStyle name="Calculation 2 3 3 2 9 5" xfId="5261"/>
    <cellStyle name="Calculation 2 3 3 2 9 6" xfId="38887"/>
    <cellStyle name="Calculation 2 3 3 2 9 7" xfId="42475"/>
    <cellStyle name="Calculation 2 3 3 2 9 8" xfId="50970"/>
    <cellStyle name="Calculation 2 3 3 3" xfId="499"/>
    <cellStyle name="Calculation 2 3 3 3 10" xfId="5262"/>
    <cellStyle name="Calculation 2 3 3 3 10 2" xfId="5263"/>
    <cellStyle name="Calculation 2 3 3 3 10 3" xfId="5264"/>
    <cellStyle name="Calculation 2 3 3 3 10 4" xfId="5265"/>
    <cellStyle name="Calculation 2 3 3 3 10 5" xfId="5266"/>
    <cellStyle name="Calculation 2 3 3 3 10 6" xfId="42476"/>
    <cellStyle name="Calculation 2 3 3 3 10 7" xfId="50971"/>
    <cellStyle name="Calculation 2 3 3 3 11" xfId="5267"/>
    <cellStyle name="Calculation 2 3 3 3 11 2" xfId="5268"/>
    <cellStyle name="Calculation 2 3 3 3 11 3" xfId="5269"/>
    <cellStyle name="Calculation 2 3 3 3 11 4" xfId="5270"/>
    <cellStyle name="Calculation 2 3 3 3 11 5" xfId="5271"/>
    <cellStyle name="Calculation 2 3 3 3 12" xfId="5272"/>
    <cellStyle name="Calculation 2 3 3 3 12 2" xfId="5273"/>
    <cellStyle name="Calculation 2 3 3 3 12 3" xfId="5274"/>
    <cellStyle name="Calculation 2 3 3 3 12 4" xfId="5275"/>
    <cellStyle name="Calculation 2 3 3 3 12 5" xfId="5276"/>
    <cellStyle name="Calculation 2 3 3 3 13" xfId="5277"/>
    <cellStyle name="Calculation 2 3 3 3 13 2" xfId="5278"/>
    <cellStyle name="Calculation 2 3 3 3 13 3" xfId="5279"/>
    <cellStyle name="Calculation 2 3 3 3 13 4" xfId="5280"/>
    <cellStyle name="Calculation 2 3 3 3 13 5" xfId="5281"/>
    <cellStyle name="Calculation 2 3 3 3 14" xfId="5282"/>
    <cellStyle name="Calculation 2 3 3 3 14 2" xfId="5283"/>
    <cellStyle name="Calculation 2 3 3 3 14 3" xfId="5284"/>
    <cellStyle name="Calculation 2 3 3 3 14 4" xfId="5285"/>
    <cellStyle name="Calculation 2 3 3 3 14 5" xfId="5286"/>
    <cellStyle name="Calculation 2 3 3 3 15" xfId="5287"/>
    <cellStyle name="Calculation 2 3 3 3 15 2" xfId="5288"/>
    <cellStyle name="Calculation 2 3 3 3 15 3" xfId="5289"/>
    <cellStyle name="Calculation 2 3 3 3 15 4" xfId="5290"/>
    <cellStyle name="Calculation 2 3 3 3 15 5" xfId="5291"/>
    <cellStyle name="Calculation 2 3 3 3 16" xfId="5292"/>
    <cellStyle name="Calculation 2 3 3 3 16 2" xfId="5293"/>
    <cellStyle name="Calculation 2 3 3 3 16 3" xfId="5294"/>
    <cellStyle name="Calculation 2 3 3 3 16 4" xfId="5295"/>
    <cellStyle name="Calculation 2 3 3 3 16 5" xfId="5296"/>
    <cellStyle name="Calculation 2 3 3 3 17" xfId="5297"/>
    <cellStyle name="Calculation 2 3 3 3 17 2" xfId="5298"/>
    <cellStyle name="Calculation 2 3 3 3 17 3" xfId="5299"/>
    <cellStyle name="Calculation 2 3 3 3 17 4" xfId="5300"/>
    <cellStyle name="Calculation 2 3 3 3 17 5" xfId="5301"/>
    <cellStyle name="Calculation 2 3 3 3 18" xfId="5302"/>
    <cellStyle name="Calculation 2 3 3 3 19" xfId="928"/>
    <cellStyle name="Calculation 2 3 3 3 2" xfId="1656"/>
    <cellStyle name="Calculation 2 3 3 3 2 2" xfId="1657"/>
    <cellStyle name="Calculation 2 3 3 3 2 3" xfId="1658"/>
    <cellStyle name="Calculation 2 3 3 3 2 4" xfId="5303"/>
    <cellStyle name="Calculation 2 3 3 3 2 5" xfId="5304"/>
    <cellStyle name="Calculation 2 3 3 3 2 6" xfId="36303"/>
    <cellStyle name="Calculation 2 3 3 3 2 7" xfId="42477"/>
    <cellStyle name="Calculation 2 3 3 3 2 8" xfId="50972"/>
    <cellStyle name="Calculation 2 3 3 3 20" xfId="35008"/>
    <cellStyle name="Calculation 2 3 3 3 21" xfId="40717"/>
    <cellStyle name="Calculation 2 3 3 3 22" xfId="41227"/>
    <cellStyle name="Calculation 2 3 3 3 3" xfId="1659"/>
    <cellStyle name="Calculation 2 3 3 3 3 2" xfId="5305"/>
    <cellStyle name="Calculation 2 3 3 3 3 3" xfId="5306"/>
    <cellStyle name="Calculation 2 3 3 3 3 4" xfId="5307"/>
    <cellStyle name="Calculation 2 3 3 3 3 5" xfId="5308"/>
    <cellStyle name="Calculation 2 3 3 3 3 6" xfId="36800"/>
    <cellStyle name="Calculation 2 3 3 3 3 7" xfId="42478"/>
    <cellStyle name="Calculation 2 3 3 3 3 8" xfId="50973"/>
    <cellStyle name="Calculation 2 3 3 3 4" xfId="1127"/>
    <cellStyle name="Calculation 2 3 3 3 4 2" xfId="5309"/>
    <cellStyle name="Calculation 2 3 3 3 4 3" xfId="5310"/>
    <cellStyle name="Calculation 2 3 3 3 4 4" xfId="5311"/>
    <cellStyle name="Calculation 2 3 3 3 4 5" xfId="5312"/>
    <cellStyle name="Calculation 2 3 3 3 4 6" xfId="37416"/>
    <cellStyle name="Calculation 2 3 3 3 4 7" xfId="42479"/>
    <cellStyle name="Calculation 2 3 3 3 4 8" xfId="50974"/>
    <cellStyle name="Calculation 2 3 3 3 5" xfId="3111"/>
    <cellStyle name="Calculation 2 3 3 3 5 2" xfId="5313"/>
    <cellStyle name="Calculation 2 3 3 3 5 3" xfId="5314"/>
    <cellStyle name="Calculation 2 3 3 3 5 4" xfId="5315"/>
    <cellStyle name="Calculation 2 3 3 3 5 5" xfId="5316"/>
    <cellStyle name="Calculation 2 3 3 3 5 6" xfId="38032"/>
    <cellStyle name="Calculation 2 3 3 3 5 7" xfId="42480"/>
    <cellStyle name="Calculation 2 3 3 3 5 8" xfId="50975"/>
    <cellStyle name="Calculation 2 3 3 3 6" xfId="3261"/>
    <cellStyle name="Calculation 2 3 3 3 6 2" xfId="5317"/>
    <cellStyle name="Calculation 2 3 3 3 6 3" xfId="5318"/>
    <cellStyle name="Calculation 2 3 3 3 6 4" xfId="5319"/>
    <cellStyle name="Calculation 2 3 3 3 6 5" xfId="5320"/>
    <cellStyle name="Calculation 2 3 3 3 6 6" xfId="38650"/>
    <cellStyle name="Calculation 2 3 3 3 6 7" xfId="42481"/>
    <cellStyle name="Calculation 2 3 3 3 6 8" xfId="50976"/>
    <cellStyle name="Calculation 2 3 3 3 7" xfId="5321"/>
    <cellStyle name="Calculation 2 3 3 3 7 2" xfId="5322"/>
    <cellStyle name="Calculation 2 3 3 3 7 3" xfId="5323"/>
    <cellStyle name="Calculation 2 3 3 3 7 4" xfId="5324"/>
    <cellStyle name="Calculation 2 3 3 3 7 5" xfId="5325"/>
    <cellStyle name="Calculation 2 3 3 3 7 6" xfId="39270"/>
    <cellStyle name="Calculation 2 3 3 3 7 7" xfId="42482"/>
    <cellStyle name="Calculation 2 3 3 3 7 8" xfId="50977"/>
    <cellStyle name="Calculation 2 3 3 3 8" xfId="5326"/>
    <cellStyle name="Calculation 2 3 3 3 8 2" xfId="5327"/>
    <cellStyle name="Calculation 2 3 3 3 8 3" xfId="5328"/>
    <cellStyle name="Calculation 2 3 3 3 8 4" xfId="5329"/>
    <cellStyle name="Calculation 2 3 3 3 8 5" xfId="5330"/>
    <cellStyle name="Calculation 2 3 3 3 8 6" xfId="39886"/>
    <cellStyle name="Calculation 2 3 3 3 8 7" xfId="42483"/>
    <cellStyle name="Calculation 2 3 3 3 8 8" xfId="50978"/>
    <cellStyle name="Calculation 2 3 3 3 9" xfId="5331"/>
    <cellStyle name="Calculation 2 3 3 3 9 2" xfId="5332"/>
    <cellStyle name="Calculation 2 3 3 3 9 3" xfId="5333"/>
    <cellStyle name="Calculation 2 3 3 3 9 4" xfId="5334"/>
    <cellStyle name="Calculation 2 3 3 3 9 5" xfId="5335"/>
    <cellStyle name="Calculation 2 3 3 3 9 6" xfId="40501"/>
    <cellStyle name="Calculation 2 3 3 3 9 7" xfId="42484"/>
    <cellStyle name="Calculation 2 3 3 3 9 8" xfId="50979"/>
    <cellStyle name="Calculation 2 3 3 4" xfId="1660"/>
    <cellStyle name="Calculation 2 3 3 4 10" xfId="34807"/>
    <cellStyle name="Calculation 2 3 3 4 11" xfId="41013"/>
    <cellStyle name="Calculation 2 3 3 4 12" xfId="42485"/>
    <cellStyle name="Calculation 2 3 3 4 13" xfId="50980"/>
    <cellStyle name="Calculation 2 3 3 4 2" xfId="1661"/>
    <cellStyle name="Calculation 2 3 3 4 2 2" xfId="36090"/>
    <cellStyle name="Calculation 2 3 3 4 2 3" xfId="42486"/>
    <cellStyle name="Calculation 2 3 3 4 2 4" xfId="50981"/>
    <cellStyle name="Calculation 2 3 3 4 3" xfId="1662"/>
    <cellStyle name="Calculation 2 3 3 4 3 2" xfId="36589"/>
    <cellStyle name="Calculation 2 3 3 4 3 3" xfId="42487"/>
    <cellStyle name="Calculation 2 3 3 4 3 4" xfId="50982"/>
    <cellStyle name="Calculation 2 3 3 4 4" xfId="5336"/>
    <cellStyle name="Calculation 2 3 3 4 4 2" xfId="37205"/>
    <cellStyle name="Calculation 2 3 3 4 4 3" xfId="42488"/>
    <cellStyle name="Calculation 2 3 3 4 4 4" xfId="50983"/>
    <cellStyle name="Calculation 2 3 3 4 5" xfId="5337"/>
    <cellStyle name="Calculation 2 3 3 4 5 2" xfId="37821"/>
    <cellStyle name="Calculation 2 3 3 4 5 3" xfId="42489"/>
    <cellStyle name="Calculation 2 3 3 4 5 4" xfId="50984"/>
    <cellStyle name="Calculation 2 3 3 4 6" xfId="38436"/>
    <cellStyle name="Calculation 2 3 3 4 6 2" xfId="42490"/>
    <cellStyle name="Calculation 2 3 3 4 6 3" xfId="50985"/>
    <cellStyle name="Calculation 2 3 3 4 7" xfId="39056"/>
    <cellStyle name="Calculation 2 3 3 4 7 2" xfId="42491"/>
    <cellStyle name="Calculation 2 3 3 4 7 3" xfId="50986"/>
    <cellStyle name="Calculation 2 3 3 4 8" xfId="39672"/>
    <cellStyle name="Calculation 2 3 3 4 8 2" xfId="42492"/>
    <cellStyle name="Calculation 2 3 3 4 8 3" xfId="50987"/>
    <cellStyle name="Calculation 2 3 3 4 9" xfId="40287"/>
    <cellStyle name="Calculation 2 3 3 4 9 2" xfId="42493"/>
    <cellStyle name="Calculation 2 3 3 4 9 3" xfId="50988"/>
    <cellStyle name="Calculation 2 3 3 5" xfId="1663"/>
    <cellStyle name="Calculation 2 3 3 5 10" xfId="42494"/>
    <cellStyle name="Calculation 2 3 3 5 11" xfId="50989"/>
    <cellStyle name="Calculation 2 3 3 5 2" xfId="1664"/>
    <cellStyle name="Calculation 2 3 3 5 2 2" xfId="42495"/>
    <cellStyle name="Calculation 2 3 3 5 2 3" xfId="50990"/>
    <cellStyle name="Calculation 2 3 3 5 3" xfId="1665"/>
    <cellStyle name="Calculation 2 3 3 5 3 2" xfId="42496"/>
    <cellStyle name="Calculation 2 3 3 5 3 3" xfId="50991"/>
    <cellStyle name="Calculation 2 3 3 5 4" xfId="5338"/>
    <cellStyle name="Calculation 2 3 3 5 4 2" xfId="42497"/>
    <cellStyle name="Calculation 2 3 3 5 4 3" xfId="50992"/>
    <cellStyle name="Calculation 2 3 3 5 5" xfId="5339"/>
    <cellStyle name="Calculation 2 3 3 5 5 2" xfId="42498"/>
    <cellStyle name="Calculation 2 3 3 5 5 3" xfId="50993"/>
    <cellStyle name="Calculation 2 3 3 5 6" xfId="35408"/>
    <cellStyle name="Calculation 2 3 3 5 6 2" xfId="42499"/>
    <cellStyle name="Calculation 2 3 3 5 6 3" xfId="50994"/>
    <cellStyle name="Calculation 2 3 3 5 7" xfId="42500"/>
    <cellStyle name="Calculation 2 3 3 5 7 2" xfId="50995"/>
    <cellStyle name="Calculation 2 3 3 5 8" xfId="42501"/>
    <cellStyle name="Calculation 2 3 3 5 8 2" xfId="50996"/>
    <cellStyle name="Calculation 2 3 3 5 9" xfId="42502"/>
    <cellStyle name="Calculation 2 3 3 5 9 2" xfId="50997"/>
    <cellStyle name="Calculation 2 3 3 6" xfId="1124"/>
    <cellStyle name="Calculation 2 3 3 6 2" xfId="5340"/>
    <cellStyle name="Calculation 2 3 3 6 3" xfId="5341"/>
    <cellStyle name="Calculation 2 3 3 6 4" xfId="5342"/>
    <cellStyle name="Calculation 2 3 3 6 5" xfId="5343"/>
    <cellStyle name="Calculation 2 3 3 6 6" xfId="35940"/>
    <cellStyle name="Calculation 2 3 3 6 7" xfId="42503"/>
    <cellStyle name="Calculation 2 3 3 6 8" xfId="50998"/>
    <cellStyle name="Calculation 2 3 3 7" xfId="3108"/>
    <cellStyle name="Calculation 2 3 3 7 2" xfId="5344"/>
    <cellStyle name="Calculation 2 3 3 7 3" xfId="5345"/>
    <cellStyle name="Calculation 2 3 3 7 4" xfId="5346"/>
    <cellStyle name="Calculation 2 3 3 7 5" xfId="5347"/>
    <cellStyle name="Calculation 2 3 3 7 6" xfId="36017"/>
    <cellStyle name="Calculation 2 3 3 7 7" xfId="42504"/>
    <cellStyle name="Calculation 2 3 3 7 8" xfId="50999"/>
    <cellStyle name="Calculation 2 3 3 8" xfId="3264"/>
    <cellStyle name="Calculation 2 3 3 8 2" xfId="5348"/>
    <cellStyle name="Calculation 2 3 3 8 3" xfId="5349"/>
    <cellStyle name="Calculation 2 3 3 8 4" xfId="5350"/>
    <cellStyle name="Calculation 2 3 3 8 5" xfId="5351"/>
    <cellStyle name="Calculation 2 3 3 8 6" xfId="36985"/>
    <cellStyle name="Calculation 2 3 3 8 7" xfId="42505"/>
    <cellStyle name="Calculation 2 3 3 8 8" xfId="51000"/>
    <cellStyle name="Calculation 2 3 3 9" xfId="5352"/>
    <cellStyle name="Calculation 2 3 3 9 2" xfId="5353"/>
    <cellStyle name="Calculation 2 3 3 9 3" xfId="5354"/>
    <cellStyle name="Calculation 2 3 3 9 4" xfId="5355"/>
    <cellStyle name="Calculation 2 3 3 9 5" xfId="5356"/>
    <cellStyle name="Calculation 2 3 3 9 6" xfId="37597"/>
    <cellStyle name="Calculation 2 3 3 9 7" xfId="42506"/>
    <cellStyle name="Calculation 2 3 3 9 8" xfId="51001"/>
    <cellStyle name="Calculation 2 3 3_SS10_Codes Cat Analysis RIN" xfId="42507"/>
    <cellStyle name="Calculation 2 3 4" xfId="329"/>
    <cellStyle name="Calculation 2 3 4 10" xfId="5357"/>
    <cellStyle name="Calculation 2 3 4 10 2" xfId="5358"/>
    <cellStyle name="Calculation 2 3 4 10 3" xfId="5359"/>
    <cellStyle name="Calculation 2 3 4 10 4" xfId="5360"/>
    <cellStyle name="Calculation 2 3 4 10 5" xfId="5361"/>
    <cellStyle name="Calculation 2 3 4 10 6" xfId="39507"/>
    <cellStyle name="Calculation 2 3 4 10 7" xfId="42508"/>
    <cellStyle name="Calculation 2 3 4 10 8" xfId="51002"/>
    <cellStyle name="Calculation 2 3 4 11" xfId="5362"/>
    <cellStyle name="Calculation 2 3 4 11 2" xfId="5363"/>
    <cellStyle name="Calculation 2 3 4 11 3" xfId="5364"/>
    <cellStyle name="Calculation 2 3 4 11 4" xfId="5365"/>
    <cellStyle name="Calculation 2 3 4 11 5" xfId="5366"/>
    <cellStyle name="Calculation 2 3 4 11 6" xfId="40125"/>
    <cellStyle name="Calculation 2 3 4 11 7" xfId="42509"/>
    <cellStyle name="Calculation 2 3 4 11 8" xfId="51003"/>
    <cellStyle name="Calculation 2 3 4 12" xfId="5367"/>
    <cellStyle name="Calculation 2 3 4 12 2" xfId="5368"/>
    <cellStyle name="Calculation 2 3 4 12 3" xfId="5369"/>
    <cellStyle name="Calculation 2 3 4 12 4" xfId="5370"/>
    <cellStyle name="Calculation 2 3 4 12 5" xfId="5371"/>
    <cellStyle name="Calculation 2 3 4 12 6" xfId="42510"/>
    <cellStyle name="Calculation 2 3 4 12 7" xfId="51004"/>
    <cellStyle name="Calculation 2 3 4 13" xfId="5372"/>
    <cellStyle name="Calculation 2 3 4 13 2" xfId="5373"/>
    <cellStyle name="Calculation 2 3 4 13 3" xfId="5374"/>
    <cellStyle name="Calculation 2 3 4 13 4" xfId="5375"/>
    <cellStyle name="Calculation 2 3 4 13 5" xfId="5376"/>
    <cellStyle name="Calculation 2 3 4 13 6" xfId="42511"/>
    <cellStyle name="Calculation 2 3 4 13 7" xfId="51005"/>
    <cellStyle name="Calculation 2 3 4 14" xfId="5377"/>
    <cellStyle name="Calculation 2 3 4 14 2" xfId="5378"/>
    <cellStyle name="Calculation 2 3 4 14 3" xfId="5379"/>
    <cellStyle name="Calculation 2 3 4 14 4" xfId="5380"/>
    <cellStyle name="Calculation 2 3 4 14 5" xfId="5381"/>
    <cellStyle name="Calculation 2 3 4 15" xfId="5382"/>
    <cellStyle name="Calculation 2 3 4 15 2" xfId="5383"/>
    <cellStyle name="Calculation 2 3 4 15 3" xfId="5384"/>
    <cellStyle name="Calculation 2 3 4 15 4" xfId="5385"/>
    <cellStyle name="Calculation 2 3 4 15 5" xfId="5386"/>
    <cellStyle name="Calculation 2 3 4 16" xfId="5387"/>
    <cellStyle name="Calculation 2 3 4 16 2" xfId="5388"/>
    <cellStyle name="Calculation 2 3 4 16 3" xfId="5389"/>
    <cellStyle name="Calculation 2 3 4 16 4" xfId="5390"/>
    <cellStyle name="Calculation 2 3 4 16 5" xfId="5391"/>
    <cellStyle name="Calculation 2 3 4 17" xfId="5392"/>
    <cellStyle name="Calculation 2 3 4 17 2" xfId="5393"/>
    <cellStyle name="Calculation 2 3 4 17 3" xfId="5394"/>
    <cellStyle name="Calculation 2 3 4 17 4" xfId="5395"/>
    <cellStyle name="Calculation 2 3 4 17 5" xfId="5396"/>
    <cellStyle name="Calculation 2 3 4 18" xfId="5397"/>
    <cellStyle name="Calculation 2 3 4 19" xfId="765"/>
    <cellStyle name="Calculation 2 3 4 2" xfId="550"/>
    <cellStyle name="Calculation 2 3 4 2 10" xfId="5398"/>
    <cellStyle name="Calculation 2 3 4 2 10 2" xfId="5399"/>
    <cellStyle name="Calculation 2 3 4 2 10 3" xfId="5400"/>
    <cellStyle name="Calculation 2 3 4 2 10 4" xfId="5401"/>
    <cellStyle name="Calculation 2 3 4 2 10 5" xfId="5402"/>
    <cellStyle name="Calculation 2 3 4 2 10 6" xfId="42512"/>
    <cellStyle name="Calculation 2 3 4 2 10 7" xfId="51006"/>
    <cellStyle name="Calculation 2 3 4 2 11" xfId="5403"/>
    <cellStyle name="Calculation 2 3 4 2 11 2" xfId="5404"/>
    <cellStyle name="Calculation 2 3 4 2 11 3" xfId="5405"/>
    <cellStyle name="Calculation 2 3 4 2 11 4" xfId="5406"/>
    <cellStyle name="Calculation 2 3 4 2 11 5" xfId="5407"/>
    <cellStyle name="Calculation 2 3 4 2 12" xfId="5408"/>
    <cellStyle name="Calculation 2 3 4 2 12 2" xfId="5409"/>
    <cellStyle name="Calculation 2 3 4 2 12 3" xfId="5410"/>
    <cellStyle name="Calculation 2 3 4 2 12 4" xfId="5411"/>
    <cellStyle name="Calculation 2 3 4 2 12 5" xfId="5412"/>
    <cellStyle name="Calculation 2 3 4 2 13" xfId="5413"/>
    <cellStyle name="Calculation 2 3 4 2 13 2" xfId="5414"/>
    <cellStyle name="Calculation 2 3 4 2 13 3" xfId="5415"/>
    <cellStyle name="Calculation 2 3 4 2 13 4" xfId="5416"/>
    <cellStyle name="Calculation 2 3 4 2 13 5" xfId="5417"/>
    <cellStyle name="Calculation 2 3 4 2 14" xfId="5418"/>
    <cellStyle name="Calculation 2 3 4 2 14 2" xfId="5419"/>
    <cellStyle name="Calculation 2 3 4 2 14 3" xfId="5420"/>
    <cellStyle name="Calculation 2 3 4 2 14 4" xfId="5421"/>
    <cellStyle name="Calculation 2 3 4 2 14 5" xfId="5422"/>
    <cellStyle name="Calculation 2 3 4 2 15" xfId="5423"/>
    <cellStyle name="Calculation 2 3 4 2 15 2" xfId="5424"/>
    <cellStyle name="Calculation 2 3 4 2 15 3" xfId="5425"/>
    <cellStyle name="Calculation 2 3 4 2 15 4" xfId="5426"/>
    <cellStyle name="Calculation 2 3 4 2 15 5" xfId="5427"/>
    <cellStyle name="Calculation 2 3 4 2 16" xfId="5428"/>
    <cellStyle name="Calculation 2 3 4 2 16 2" xfId="5429"/>
    <cellStyle name="Calculation 2 3 4 2 16 3" xfId="5430"/>
    <cellStyle name="Calculation 2 3 4 2 16 4" xfId="5431"/>
    <cellStyle name="Calculation 2 3 4 2 16 5" xfId="5432"/>
    <cellStyle name="Calculation 2 3 4 2 17" xfId="5433"/>
    <cellStyle name="Calculation 2 3 4 2 17 2" xfId="5434"/>
    <cellStyle name="Calculation 2 3 4 2 17 3" xfId="5435"/>
    <cellStyle name="Calculation 2 3 4 2 17 4" xfId="5436"/>
    <cellStyle name="Calculation 2 3 4 2 17 5" xfId="5437"/>
    <cellStyle name="Calculation 2 3 4 2 18" xfId="5438"/>
    <cellStyle name="Calculation 2 3 4 2 19" xfId="979"/>
    <cellStyle name="Calculation 2 3 4 2 2" xfId="1666"/>
    <cellStyle name="Calculation 2 3 4 2 2 2" xfId="5439"/>
    <cellStyle name="Calculation 2 3 4 2 2 3" xfId="5440"/>
    <cellStyle name="Calculation 2 3 4 2 2 4" xfId="5441"/>
    <cellStyle name="Calculation 2 3 4 2 2 5" xfId="5442"/>
    <cellStyle name="Calculation 2 3 4 2 2 6" xfId="36354"/>
    <cellStyle name="Calculation 2 3 4 2 2 7" xfId="42513"/>
    <cellStyle name="Calculation 2 3 4 2 2 8" xfId="51007"/>
    <cellStyle name="Calculation 2 3 4 2 20" xfId="35059"/>
    <cellStyle name="Calculation 2 3 4 2 21" xfId="41278"/>
    <cellStyle name="Calculation 2 3 4 2 3" xfId="1667"/>
    <cellStyle name="Calculation 2 3 4 2 3 2" xfId="5443"/>
    <cellStyle name="Calculation 2 3 4 2 3 3" xfId="5444"/>
    <cellStyle name="Calculation 2 3 4 2 3 4" xfId="5445"/>
    <cellStyle name="Calculation 2 3 4 2 3 5" xfId="5446"/>
    <cellStyle name="Calculation 2 3 4 2 3 6" xfId="36851"/>
    <cellStyle name="Calculation 2 3 4 2 3 7" xfId="42514"/>
    <cellStyle name="Calculation 2 3 4 2 3 8" xfId="51008"/>
    <cellStyle name="Calculation 2 3 4 2 4" xfId="1129"/>
    <cellStyle name="Calculation 2 3 4 2 4 2" xfId="5447"/>
    <cellStyle name="Calculation 2 3 4 2 4 3" xfId="5448"/>
    <cellStyle name="Calculation 2 3 4 2 4 4" xfId="5449"/>
    <cellStyle name="Calculation 2 3 4 2 4 5" xfId="5450"/>
    <cellStyle name="Calculation 2 3 4 2 4 6" xfId="37467"/>
    <cellStyle name="Calculation 2 3 4 2 4 7" xfId="42515"/>
    <cellStyle name="Calculation 2 3 4 2 4 8" xfId="51009"/>
    <cellStyle name="Calculation 2 3 4 2 5" xfId="3113"/>
    <cellStyle name="Calculation 2 3 4 2 5 2" xfId="5451"/>
    <cellStyle name="Calculation 2 3 4 2 5 3" xfId="5452"/>
    <cellStyle name="Calculation 2 3 4 2 5 4" xfId="5453"/>
    <cellStyle name="Calculation 2 3 4 2 5 5" xfId="5454"/>
    <cellStyle name="Calculation 2 3 4 2 5 6" xfId="38083"/>
    <cellStyle name="Calculation 2 3 4 2 5 7" xfId="42516"/>
    <cellStyle name="Calculation 2 3 4 2 5 8" xfId="51010"/>
    <cellStyle name="Calculation 2 3 4 2 6" xfId="3259"/>
    <cellStyle name="Calculation 2 3 4 2 6 2" xfId="5455"/>
    <cellStyle name="Calculation 2 3 4 2 6 3" xfId="5456"/>
    <cellStyle name="Calculation 2 3 4 2 6 4" xfId="5457"/>
    <cellStyle name="Calculation 2 3 4 2 6 5" xfId="5458"/>
    <cellStyle name="Calculation 2 3 4 2 6 6" xfId="38701"/>
    <cellStyle name="Calculation 2 3 4 2 6 7" xfId="42517"/>
    <cellStyle name="Calculation 2 3 4 2 6 8" xfId="51011"/>
    <cellStyle name="Calculation 2 3 4 2 7" xfId="5459"/>
    <cellStyle name="Calculation 2 3 4 2 7 2" xfId="5460"/>
    <cellStyle name="Calculation 2 3 4 2 7 3" xfId="5461"/>
    <cellStyle name="Calculation 2 3 4 2 7 4" xfId="5462"/>
    <cellStyle name="Calculation 2 3 4 2 7 5" xfId="5463"/>
    <cellStyle name="Calculation 2 3 4 2 7 6" xfId="39321"/>
    <cellStyle name="Calculation 2 3 4 2 7 7" xfId="42518"/>
    <cellStyle name="Calculation 2 3 4 2 7 8" xfId="51012"/>
    <cellStyle name="Calculation 2 3 4 2 8" xfId="5464"/>
    <cellStyle name="Calculation 2 3 4 2 8 2" xfId="5465"/>
    <cellStyle name="Calculation 2 3 4 2 8 3" xfId="5466"/>
    <cellStyle name="Calculation 2 3 4 2 8 4" xfId="5467"/>
    <cellStyle name="Calculation 2 3 4 2 8 5" xfId="5468"/>
    <cellStyle name="Calculation 2 3 4 2 8 6" xfId="39937"/>
    <cellStyle name="Calculation 2 3 4 2 8 7" xfId="42519"/>
    <cellStyle name="Calculation 2 3 4 2 8 8" xfId="51013"/>
    <cellStyle name="Calculation 2 3 4 2 9" xfId="5469"/>
    <cellStyle name="Calculation 2 3 4 2 9 2" xfId="5470"/>
    <cellStyle name="Calculation 2 3 4 2 9 3" xfId="5471"/>
    <cellStyle name="Calculation 2 3 4 2 9 4" xfId="5472"/>
    <cellStyle name="Calculation 2 3 4 2 9 5" xfId="5473"/>
    <cellStyle name="Calculation 2 3 4 2 9 6" xfId="40552"/>
    <cellStyle name="Calculation 2 3 4 2 9 7" xfId="42520"/>
    <cellStyle name="Calculation 2 3 4 2 9 8" xfId="51014"/>
    <cellStyle name="Calculation 2 3 4 20" xfId="34827"/>
    <cellStyle name="Calculation 2 3 4 21" xfId="40849"/>
    <cellStyle name="Calculation 2 3 4 22" xfId="41412"/>
    <cellStyle name="Calculation 2 3 4 23" xfId="50499"/>
    <cellStyle name="Calculation 2 3 4 3" xfId="1668"/>
    <cellStyle name="Calculation 2 3 4 3 10" xfId="34626"/>
    <cellStyle name="Calculation 2 3 4 3 11" xfId="41064"/>
    <cellStyle name="Calculation 2 3 4 3 12" xfId="42521"/>
    <cellStyle name="Calculation 2 3 4 3 13" xfId="51015"/>
    <cellStyle name="Calculation 2 3 4 3 2" xfId="1669"/>
    <cellStyle name="Calculation 2 3 4 3 2 2" xfId="36141"/>
    <cellStyle name="Calculation 2 3 4 3 2 3" xfId="42522"/>
    <cellStyle name="Calculation 2 3 4 3 2 4" xfId="51016"/>
    <cellStyle name="Calculation 2 3 4 3 3" xfId="1670"/>
    <cellStyle name="Calculation 2 3 4 3 3 2" xfId="36640"/>
    <cellStyle name="Calculation 2 3 4 3 3 3" xfId="42523"/>
    <cellStyle name="Calculation 2 3 4 3 3 4" xfId="51017"/>
    <cellStyle name="Calculation 2 3 4 3 4" xfId="5474"/>
    <cellStyle name="Calculation 2 3 4 3 4 2" xfId="37256"/>
    <cellStyle name="Calculation 2 3 4 3 4 3" xfId="42524"/>
    <cellStyle name="Calculation 2 3 4 3 4 4" xfId="51018"/>
    <cellStyle name="Calculation 2 3 4 3 5" xfId="5475"/>
    <cellStyle name="Calculation 2 3 4 3 5 2" xfId="37872"/>
    <cellStyle name="Calculation 2 3 4 3 5 3" xfId="42525"/>
    <cellStyle name="Calculation 2 3 4 3 5 4" xfId="51019"/>
    <cellStyle name="Calculation 2 3 4 3 6" xfId="38487"/>
    <cellStyle name="Calculation 2 3 4 3 6 2" xfId="42526"/>
    <cellStyle name="Calculation 2 3 4 3 6 3" xfId="51020"/>
    <cellStyle name="Calculation 2 3 4 3 7" xfId="39107"/>
    <cellStyle name="Calculation 2 3 4 3 7 2" xfId="42527"/>
    <cellStyle name="Calculation 2 3 4 3 7 3" xfId="51021"/>
    <cellStyle name="Calculation 2 3 4 3 8" xfId="39723"/>
    <cellStyle name="Calculation 2 3 4 3 8 2" xfId="42528"/>
    <cellStyle name="Calculation 2 3 4 3 8 3" xfId="51022"/>
    <cellStyle name="Calculation 2 3 4 3 9" xfId="40338"/>
    <cellStyle name="Calculation 2 3 4 3 9 2" xfId="42529"/>
    <cellStyle name="Calculation 2 3 4 3 9 3" xfId="51023"/>
    <cellStyle name="Calculation 2 3 4 4" xfId="1671"/>
    <cellStyle name="Calculation 2 3 4 4 10" xfId="42530"/>
    <cellStyle name="Calculation 2 3 4 4 11" xfId="51024"/>
    <cellStyle name="Calculation 2 3 4 4 2" xfId="5476"/>
    <cellStyle name="Calculation 2 3 4 4 2 2" xfId="42531"/>
    <cellStyle name="Calculation 2 3 4 4 2 3" xfId="51025"/>
    <cellStyle name="Calculation 2 3 4 4 3" xfId="5477"/>
    <cellStyle name="Calculation 2 3 4 4 3 2" xfId="42532"/>
    <cellStyle name="Calculation 2 3 4 4 3 3" xfId="51026"/>
    <cellStyle name="Calculation 2 3 4 4 4" xfId="5478"/>
    <cellStyle name="Calculation 2 3 4 4 4 2" xfId="42533"/>
    <cellStyle name="Calculation 2 3 4 4 4 3" xfId="51027"/>
    <cellStyle name="Calculation 2 3 4 4 5" xfId="5479"/>
    <cellStyle name="Calculation 2 3 4 4 5 2" xfId="42534"/>
    <cellStyle name="Calculation 2 3 4 4 5 3" xfId="51028"/>
    <cellStyle name="Calculation 2 3 4 4 6" xfId="35650"/>
    <cellStyle name="Calculation 2 3 4 4 6 2" xfId="42535"/>
    <cellStyle name="Calculation 2 3 4 4 6 3" xfId="51029"/>
    <cellStyle name="Calculation 2 3 4 4 7" xfId="42536"/>
    <cellStyle name="Calculation 2 3 4 4 7 2" xfId="51030"/>
    <cellStyle name="Calculation 2 3 4 4 8" xfId="42537"/>
    <cellStyle name="Calculation 2 3 4 4 8 2" xfId="51031"/>
    <cellStyle name="Calculation 2 3 4 4 9" xfId="42538"/>
    <cellStyle name="Calculation 2 3 4 4 9 2" xfId="51032"/>
    <cellStyle name="Calculation 2 3 4 5" xfId="1128"/>
    <cellStyle name="Calculation 2 3 4 5 2" xfId="5480"/>
    <cellStyle name="Calculation 2 3 4 5 3" xfId="5481"/>
    <cellStyle name="Calculation 2 3 4 5 4" xfId="5482"/>
    <cellStyle name="Calculation 2 3 4 5 5" xfId="5483"/>
    <cellStyle name="Calculation 2 3 4 5 6" xfId="36000"/>
    <cellStyle name="Calculation 2 3 4 5 7" xfId="42539"/>
    <cellStyle name="Calculation 2 3 4 5 8" xfId="51033"/>
    <cellStyle name="Calculation 2 3 4 6" xfId="3112"/>
    <cellStyle name="Calculation 2 3 4 6 2" xfId="5484"/>
    <cellStyle name="Calculation 2 3 4 6 3" xfId="5485"/>
    <cellStyle name="Calculation 2 3 4 6 4" xfId="5486"/>
    <cellStyle name="Calculation 2 3 4 6 5" xfId="5487"/>
    <cellStyle name="Calculation 2 3 4 6 6" xfId="37041"/>
    <cellStyle name="Calculation 2 3 4 6 7" xfId="42540"/>
    <cellStyle name="Calculation 2 3 4 6 8" xfId="51034"/>
    <cellStyle name="Calculation 2 3 4 7" xfId="3260"/>
    <cellStyle name="Calculation 2 3 4 7 2" xfId="5488"/>
    <cellStyle name="Calculation 2 3 4 7 3" xfId="5489"/>
    <cellStyle name="Calculation 2 3 4 7 4" xfId="5490"/>
    <cellStyle name="Calculation 2 3 4 7 5" xfId="5491"/>
    <cellStyle name="Calculation 2 3 4 7 6" xfId="37653"/>
    <cellStyle name="Calculation 2 3 4 7 7" xfId="42541"/>
    <cellStyle name="Calculation 2 3 4 7 8" xfId="51035"/>
    <cellStyle name="Calculation 2 3 4 8" xfId="5492"/>
    <cellStyle name="Calculation 2 3 4 8 2" xfId="5493"/>
    <cellStyle name="Calculation 2 3 4 8 3" xfId="5494"/>
    <cellStyle name="Calculation 2 3 4 8 4" xfId="5495"/>
    <cellStyle name="Calculation 2 3 4 8 5" xfId="5496"/>
    <cellStyle name="Calculation 2 3 4 8 6" xfId="38268"/>
    <cellStyle name="Calculation 2 3 4 8 7" xfId="42542"/>
    <cellStyle name="Calculation 2 3 4 8 8" xfId="51036"/>
    <cellStyle name="Calculation 2 3 4 9" xfId="5497"/>
    <cellStyle name="Calculation 2 3 4 9 2" xfId="5498"/>
    <cellStyle name="Calculation 2 3 4 9 3" xfId="5499"/>
    <cellStyle name="Calculation 2 3 4 9 4" xfId="5500"/>
    <cellStyle name="Calculation 2 3 4 9 5" xfId="5501"/>
    <cellStyle name="Calculation 2 3 4 9 6" xfId="38888"/>
    <cellStyle name="Calculation 2 3 4 9 7" xfId="42543"/>
    <cellStyle name="Calculation 2 3 4 9 8" xfId="51037"/>
    <cellStyle name="Calculation 2 3 5" xfId="474"/>
    <cellStyle name="Calculation 2 3 5 10" xfId="5502"/>
    <cellStyle name="Calculation 2 3 5 10 2" xfId="5503"/>
    <cellStyle name="Calculation 2 3 5 10 3" xfId="5504"/>
    <cellStyle name="Calculation 2 3 5 10 4" xfId="5505"/>
    <cellStyle name="Calculation 2 3 5 10 5" xfId="5506"/>
    <cellStyle name="Calculation 2 3 5 10 6" xfId="42544"/>
    <cellStyle name="Calculation 2 3 5 10 7" xfId="51038"/>
    <cellStyle name="Calculation 2 3 5 11" xfId="5507"/>
    <cellStyle name="Calculation 2 3 5 11 2" xfId="5508"/>
    <cellStyle name="Calculation 2 3 5 11 3" xfId="5509"/>
    <cellStyle name="Calculation 2 3 5 11 4" xfId="5510"/>
    <cellStyle name="Calculation 2 3 5 11 5" xfId="5511"/>
    <cellStyle name="Calculation 2 3 5 12" xfId="5512"/>
    <cellStyle name="Calculation 2 3 5 12 2" xfId="5513"/>
    <cellStyle name="Calculation 2 3 5 12 3" xfId="5514"/>
    <cellStyle name="Calculation 2 3 5 12 4" xfId="5515"/>
    <cellStyle name="Calculation 2 3 5 12 5" xfId="5516"/>
    <cellStyle name="Calculation 2 3 5 13" xfId="5517"/>
    <cellStyle name="Calculation 2 3 5 13 2" xfId="5518"/>
    <cellStyle name="Calculation 2 3 5 13 3" xfId="5519"/>
    <cellStyle name="Calculation 2 3 5 13 4" xfId="5520"/>
    <cellStyle name="Calculation 2 3 5 13 5" xfId="5521"/>
    <cellStyle name="Calculation 2 3 5 14" xfId="5522"/>
    <cellStyle name="Calculation 2 3 5 14 2" xfId="5523"/>
    <cellStyle name="Calculation 2 3 5 14 3" xfId="5524"/>
    <cellStyle name="Calculation 2 3 5 14 4" xfId="5525"/>
    <cellStyle name="Calculation 2 3 5 14 5" xfId="5526"/>
    <cellStyle name="Calculation 2 3 5 15" xfId="5527"/>
    <cellStyle name="Calculation 2 3 5 15 2" xfId="5528"/>
    <cellStyle name="Calculation 2 3 5 15 3" xfId="5529"/>
    <cellStyle name="Calculation 2 3 5 15 4" xfId="5530"/>
    <cellStyle name="Calculation 2 3 5 15 5" xfId="5531"/>
    <cellStyle name="Calculation 2 3 5 16" xfId="5532"/>
    <cellStyle name="Calculation 2 3 5 16 2" xfId="5533"/>
    <cellStyle name="Calculation 2 3 5 16 3" xfId="5534"/>
    <cellStyle name="Calculation 2 3 5 16 4" xfId="5535"/>
    <cellStyle name="Calculation 2 3 5 16 5" xfId="5536"/>
    <cellStyle name="Calculation 2 3 5 17" xfId="5537"/>
    <cellStyle name="Calculation 2 3 5 17 2" xfId="5538"/>
    <cellStyle name="Calculation 2 3 5 17 3" xfId="5539"/>
    <cellStyle name="Calculation 2 3 5 17 4" xfId="5540"/>
    <cellStyle name="Calculation 2 3 5 17 5" xfId="5541"/>
    <cellStyle name="Calculation 2 3 5 18" xfId="5542"/>
    <cellStyle name="Calculation 2 3 5 19" xfId="903"/>
    <cellStyle name="Calculation 2 3 5 2" xfId="1672"/>
    <cellStyle name="Calculation 2 3 5 2 2" xfId="1673"/>
    <cellStyle name="Calculation 2 3 5 2 3" xfId="1674"/>
    <cellStyle name="Calculation 2 3 5 2 4" xfId="5543"/>
    <cellStyle name="Calculation 2 3 5 2 5" xfId="5544"/>
    <cellStyle name="Calculation 2 3 5 2 6" xfId="36278"/>
    <cellStyle name="Calculation 2 3 5 2 7" xfId="42545"/>
    <cellStyle name="Calculation 2 3 5 2 8" xfId="51039"/>
    <cellStyle name="Calculation 2 3 5 20" xfId="34983"/>
    <cellStyle name="Calculation 2 3 5 21" xfId="40692"/>
    <cellStyle name="Calculation 2 3 5 22" xfId="41202"/>
    <cellStyle name="Calculation 2 3 5 3" xfId="1675"/>
    <cellStyle name="Calculation 2 3 5 3 2" xfId="5545"/>
    <cellStyle name="Calculation 2 3 5 3 3" xfId="5546"/>
    <cellStyle name="Calculation 2 3 5 3 4" xfId="5547"/>
    <cellStyle name="Calculation 2 3 5 3 5" xfId="5548"/>
    <cellStyle name="Calculation 2 3 5 3 6" xfId="36775"/>
    <cellStyle name="Calculation 2 3 5 3 7" xfId="42546"/>
    <cellStyle name="Calculation 2 3 5 3 8" xfId="51040"/>
    <cellStyle name="Calculation 2 3 5 4" xfId="1130"/>
    <cellStyle name="Calculation 2 3 5 4 2" xfId="5549"/>
    <cellStyle name="Calculation 2 3 5 4 3" xfId="5550"/>
    <cellStyle name="Calculation 2 3 5 4 4" xfId="5551"/>
    <cellStyle name="Calculation 2 3 5 4 5" xfId="5552"/>
    <cellStyle name="Calculation 2 3 5 4 6" xfId="37391"/>
    <cellStyle name="Calculation 2 3 5 4 7" xfId="42547"/>
    <cellStyle name="Calculation 2 3 5 4 8" xfId="51041"/>
    <cellStyle name="Calculation 2 3 5 5" xfId="3114"/>
    <cellStyle name="Calculation 2 3 5 5 2" xfId="5553"/>
    <cellStyle name="Calculation 2 3 5 5 3" xfId="5554"/>
    <cellStyle name="Calculation 2 3 5 5 4" xfId="5555"/>
    <cellStyle name="Calculation 2 3 5 5 5" xfId="5556"/>
    <cellStyle name="Calculation 2 3 5 5 6" xfId="38007"/>
    <cellStyle name="Calculation 2 3 5 5 7" xfId="42548"/>
    <cellStyle name="Calculation 2 3 5 5 8" xfId="51042"/>
    <cellStyle name="Calculation 2 3 5 6" xfId="3258"/>
    <cellStyle name="Calculation 2 3 5 6 2" xfId="5557"/>
    <cellStyle name="Calculation 2 3 5 6 3" xfId="5558"/>
    <cellStyle name="Calculation 2 3 5 6 4" xfId="5559"/>
    <cellStyle name="Calculation 2 3 5 6 5" xfId="5560"/>
    <cellStyle name="Calculation 2 3 5 6 6" xfId="38625"/>
    <cellStyle name="Calculation 2 3 5 6 7" xfId="42549"/>
    <cellStyle name="Calculation 2 3 5 6 8" xfId="51043"/>
    <cellStyle name="Calculation 2 3 5 7" xfId="5561"/>
    <cellStyle name="Calculation 2 3 5 7 2" xfId="5562"/>
    <cellStyle name="Calculation 2 3 5 7 3" xfId="5563"/>
    <cellStyle name="Calculation 2 3 5 7 4" xfId="5564"/>
    <cellStyle name="Calculation 2 3 5 7 5" xfId="5565"/>
    <cellStyle name="Calculation 2 3 5 7 6" xfId="39245"/>
    <cellStyle name="Calculation 2 3 5 7 7" xfId="42550"/>
    <cellStyle name="Calculation 2 3 5 7 8" xfId="51044"/>
    <cellStyle name="Calculation 2 3 5 8" xfId="5566"/>
    <cellStyle name="Calculation 2 3 5 8 2" xfId="5567"/>
    <cellStyle name="Calculation 2 3 5 8 3" xfId="5568"/>
    <cellStyle name="Calculation 2 3 5 8 4" xfId="5569"/>
    <cellStyle name="Calculation 2 3 5 8 5" xfId="5570"/>
    <cellStyle name="Calculation 2 3 5 8 6" xfId="39861"/>
    <cellStyle name="Calculation 2 3 5 8 7" xfId="42551"/>
    <cellStyle name="Calculation 2 3 5 8 8" xfId="51045"/>
    <cellStyle name="Calculation 2 3 5 9" xfId="5571"/>
    <cellStyle name="Calculation 2 3 5 9 2" xfId="5572"/>
    <cellStyle name="Calculation 2 3 5 9 3" xfId="5573"/>
    <cellStyle name="Calculation 2 3 5 9 4" xfId="5574"/>
    <cellStyle name="Calculation 2 3 5 9 5" xfId="5575"/>
    <cellStyle name="Calculation 2 3 5 9 6" xfId="40476"/>
    <cellStyle name="Calculation 2 3 5 9 7" xfId="42552"/>
    <cellStyle name="Calculation 2 3 5 9 8" xfId="51046"/>
    <cellStyle name="Calculation 2 3 6" xfId="1676"/>
    <cellStyle name="Calculation 2 3 6 10" xfId="34889"/>
    <cellStyle name="Calculation 2 3 6 11" xfId="40987"/>
    <cellStyle name="Calculation 2 3 6 12" xfId="42553"/>
    <cellStyle name="Calculation 2 3 6 13" xfId="51047"/>
    <cellStyle name="Calculation 2 3 6 2" xfId="1677"/>
    <cellStyle name="Calculation 2 3 6 2 2" xfId="36065"/>
    <cellStyle name="Calculation 2 3 6 2 3" xfId="42554"/>
    <cellStyle name="Calculation 2 3 6 2 4" xfId="51048"/>
    <cellStyle name="Calculation 2 3 6 3" xfId="1678"/>
    <cellStyle name="Calculation 2 3 6 3 2" xfId="36564"/>
    <cellStyle name="Calculation 2 3 6 3 3" xfId="42555"/>
    <cellStyle name="Calculation 2 3 6 3 4" xfId="51049"/>
    <cellStyle name="Calculation 2 3 6 4" xfId="5576"/>
    <cellStyle name="Calculation 2 3 6 4 2" xfId="37180"/>
    <cellStyle name="Calculation 2 3 6 4 3" xfId="42556"/>
    <cellStyle name="Calculation 2 3 6 4 4" xfId="51050"/>
    <cellStyle name="Calculation 2 3 6 5" xfId="5577"/>
    <cellStyle name="Calculation 2 3 6 5 2" xfId="37795"/>
    <cellStyle name="Calculation 2 3 6 5 3" xfId="42557"/>
    <cellStyle name="Calculation 2 3 6 5 4" xfId="51051"/>
    <cellStyle name="Calculation 2 3 6 6" xfId="38410"/>
    <cellStyle name="Calculation 2 3 6 6 2" xfId="42558"/>
    <cellStyle name="Calculation 2 3 6 6 3" xfId="51052"/>
    <cellStyle name="Calculation 2 3 6 7" xfId="39030"/>
    <cellStyle name="Calculation 2 3 6 7 2" xfId="42559"/>
    <cellStyle name="Calculation 2 3 6 7 3" xfId="51053"/>
    <cellStyle name="Calculation 2 3 6 8" xfId="39646"/>
    <cellStyle name="Calculation 2 3 6 8 2" xfId="42560"/>
    <cellStyle name="Calculation 2 3 6 8 3" xfId="51054"/>
    <cellStyle name="Calculation 2 3 6 9" xfId="40261"/>
    <cellStyle name="Calculation 2 3 6 9 2" xfId="42561"/>
    <cellStyle name="Calculation 2 3 6 9 3" xfId="51055"/>
    <cellStyle name="Calculation 2 3 7" xfId="1679"/>
    <cellStyle name="Calculation 2 3 7 10" xfId="42562"/>
    <cellStyle name="Calculation 2 3 7 11" xfId="51056"/>
    <cellStyle name="Calculation 2 3 7 2" xfId="1680"/>
    <cellStyle name="Calculation 2 3 7 2 2" xfId="42563"/>
    <cellStyle name="Calculation 2 3 7 2 3" xfId="51057"/>
    <cellStyle name="Calculation 2 3 7 3" xfId="1681"/>
    <cellStyle name="Calculation 2 3 7 3 2" xfId="42564"/>
    <cellStyle name="Calculation 2 3 7 3 3" xfId="51058"/>
    <cellStyle name="Calculation 2 3 7 4" xfId="5578"/>
    <cellStyle name="Calculation 2 3 7 4 2" xfId="42565"/>
    <cellStyle name="Calculation 2 3 7 4 3" xfId="51059"/>
    <cellStyle name="Calculation 2 3 7 5" xfId="5579"/>
    <cellStyle name="Calculation 2 3 7 5 2" xfId="42566"/>
    <cellStyle name="Calculation 2 3 7 5 3" xfId="51060"/>
    <cellStyle name="Calculation 2 3 7 6" xfId="35381"/>
    <cellStyle name="Calculation 2 3 7 6 2" xfId="42567"/>
    <cellStyle name="Calculation 2 3 7 6 3" xfId="51061"/>
    <cellStyle name="Calculation 2 3 7 7" xfId="42568"/>
    <cellStyle name="Calculation 2 3 7 7 2" xfId="51062"/>
    <cellStyle name="Calculation 2 3 7 8" xfId="42569"/>
    <cellStyle name="Calculation 2 3 7 8 2" xfId="51063"/>
    <cellStyle name="Calculation 2 3 7 9" xfId="42570"/>
    <cellStyle name="Calculation 2 3 7 9 2" xfId="51064"/>
    <cellStyle name="Calculation 2 3 8" xfId="1119"/>
    <cellStyle name="Calculation 2 3 8 2" xfId="5580"/>
    <cellStyle name="Calculation 2 3 8 3" xfId="5581"/>
    <cellStyle name="Calculation 2 3 8 4" xfId="5582"/>
    <cellStyle name="Calculation 2 3 8 5" xfId="5583"/>
    <cellStyle name="Calculation 2 3 8 6" xfId="35912"/>
    <cellStyle name="Calculation 2 3 8 7" xfId="42571"/>
    <cellStyle name="Calculation 2 3 8 8" xfId="51065"/>
    <cellStyle name="Calculation 2 3 9" xfId="3103"/>
    <cellStyle name="Calculation 2 3 9 2" xfId="5584"/>
    <cellStyle name="Calculation 2 3 9 3" xfId="5585"/>
    <cellStyle name="Calculation 2 3 9 4" xfId="5586"/>
    <cellStyle name="Calculation 2 3 9 5" xfId="5587"/>
    <cellStyle name="Calculation 2 3 9 6" xfId="35832"/>
    <cellStyle name="Calculation 2 3 9 7" xfId="42572"/>
    <cellStyle name="Calculation 2 3 9 8" xfId="51066"/>
    <cellStyle name="Calculation 2 3_SS10_Codes Cat Analysis RIN" xfId="42573"/>
    <cellStyle name="Calculation 2 4" xfId="241"/>
    <cellStyle name="Calculation 2 4 10" xfId="3070"/>
    <cellStyle name="Calculation 2 4 10 2" xfId="5588"/>
    <cellStyle name="Calculation 2 4 10 3" xfId="5589"/>
    <cellStyle name="Calculation 2 4 10 4" xfId="5590"/>
    <cellStyle name="Calculation 2 4 10 5" xfId="5591"/>
    <cellStyle name="Calculation 2 4 10 6" xfId="36035"/>
    <cellStyle name="Calculation 2 4 10 7" xfId="42574"/>
    <cellStyle name="Calculation 2 4 10 8" xfId="51067"/>
    <cellStyle name="Calculation 2 4 11" xfId="5592"/>
    <cellStyle name="Calculation 2 4 11 2" xfId="5593"/>
    <cellStyle name="Calculation 2 4 11 3" xfId="5594"/>
    <cellStyle name="Calculation 2 4 11 4" xfId="5595"/>
    <cellStyle name="Calculation 2 4 11 5" xfId="5596"/>
    <cellStyle name="Calculation 2 4 11 6" xfId="35858"/>
    <cellStyle name="Calculation 2 4 11 7" xfId="42575"/>
    <cellStyle name="Calculation 2 4 11 8" xfId="51068"/>
    <cellStyle name="Calculation 2 4 12" xfId="5597"/>
    <cellStyle name="Calculation 2 4 12 2" xfId="5598"/>
    <cellStyle name="Calculation 2 4 12 3" xfId="5599"/>
    <cellStyle name="Calculation 2 4 12 4" xfId="5600"/>
    <cellStyle name="Calculation 2 4 12 5" xfId="5601"/>
    <cellStyle name="Calculation 2 4 12 6" xfId="35887"/>
    <cellStyle name="Calculation 2 4 12 7" xfId="42576"/>
    <cellStyle name="Calculation 2 4 12 8" xfId="51069"/>
    <cellStyle name="Calculation 2 4 13" xfId="5602"/>
    <cellStyle name="Calculation 2 4 13 2" xfId="5603"/>
    <cellStyle name="Calculation 2 4 13 3" xfId="5604"/>
    <cellStyle name="Calculation 2 4 13 4" xfId="5605"/>
    <cellStyle name="Calculation 2 4 13 5" xfId="5606"/>
    <cellStyle name="Calculation 2 4 13 6" xfId="35870"/>
    <cellStyle name="Calculation 2 4 13 7" xfId="42577"/>
    <cellStyle name="Calculation 2 4 13 8" xfId="51070"/>
    <cellStyle name="Calculation 2 4 14" xfId="5607"/>
    <cellStyle name="Calculation 2 4 14 2" xfId="5608"/>
    <cellStyle name="Calculation 2 4 14 3" xfId="5609"/>
    <cellStyle name="Calculation 2 4 14 4" xfId="5610"/>
    <cellStyle name="Calculation 2 4 14 5" xfId="5611"/>
    <cellStyle name="Calculation 2 4 14 6" xfId="35878"/>
    <cellStyle name="Calculation 2 4 14 7" xfId="42578"/>
    <cellStyle name="Calculation 2 4 14 8" xfId="51071"/>
    <cellStyle name="Calculation 2 4 15" xfId="5612"/>
    <cellStyle name="Calculation 2 4 15 2" xfId="5613"/>
    <cellStyle name="Calculation 2 4 15 3" xfId="5614"/>
    <cellStyle name="Calculation 2 4 15 4" xfId="5615"/>
    <cellStyle name="Calculation 2 4 15 5" xfId="5616"/>
    <cellStyle name="Calculation 2 4 15 6" xfId="35910"/>
    <cellStyle name="Calculation 2 4 15 7" xfId="42579"/>
    <cellStyle name="Calculation 2 4 15 8" xfId="51072"/>
    <cellStyle name="Calculation 2 4 16" xfId="5617"/>
    <cellStyle name="Calculation 2 4 16 2" xfId="5618"/>
    <cellStyle name="Calculation 2 4 16 3" xfId="5619"/>
    <cellStyle name="Calculation 2 4 16 4" xfId="5620"/>
    <cellStyle name="Calculation 2 4 16 5" xfId="5621"/>
    <cellStyle name="Calculation 2 4 16 6" xfId="42580"/>
    <cellStyle name="Calculation 2 4 16 7" xfId="51073"/>
    <cellStyle name="Calculation 2 4 17" xfId="5622"/>
    <cellStyle name="Calculation 2 4 17 2" xfId="5623"/>
    <cellStyle name="Calculation 2 4 17 3" xfId="5624"/>
    <cellStyle name="Calculation 2 4 17 4" xfId="5625"/>
    <cellStyle name="Calculation 2 4 17 5" xfId="5626"/>
    <cellStyle name="Calculation 2 4 18" xfId="5627"/>
    <cellStyle name="Calculation 2 4 19" xfId="689"/>
    <cellStyle name="Calculation 2 4 2" xfId="270"/>
    <cellStyle name="Calculation 2 4 2 10" xfId="5628"/>
    <cellStyle name="Calculation 2 4 2 10 2" xfId="5629"/>
    <cellStyle name="Calculation 2 4 2 10 3" xfId="5630"/>
    <cellStyle name="Calculation 2 4 2 10 4" xfId="5631"/>
    <cellStyle name="Calculation 2 4 2 10 5" xfId="5632"/>
    <cellStyle name="Calculation 2 4 2 10 6" xfId="38215"/>
    <cellStyle name="Calculation 2 4 2 10 7" xfId="42581"/>
    <cellStyle name="Calculation 2 4 2 10 8" xfId="51074"/>
    <cellStyle name="Calculation 2 4 2 11" xfId="5633"/>
    <cellStyle name="Calculation 2 4 2 11 2" xfId="5634"/>
    <cellStyle name="Calculation 2 4 2 11 3" xfId="5635"/>
    <cellStyle name="Calculation 2 4 2 11 4" xfId="5636"/>
    <cellStyle name="Calculation 2 4 2 11 5" xfId="5637"/>
    <cellStyle name="Calculation 2 4 2 11 6" xfId="38837"/>
    <cellStyle name="Calculation 2 4 2 11 7" xfId="42582"/>
    <cellStyle name="Calculation 2 4 2 11 8" xfId="51075"/>
    <cellStyle name="Calculation 2 4 2 12" xfId="5638"/>
    <cellStyle name="Calculation 2 4 2 12 2" xfId="5639"/>
    <cellStyle name="Calculation 2 4 2 12 3" xfId="5640"/>
    <cellStyle name="Calculation 2 4 2 12 4" xfId="5641"/>
    <cellStyle name="Calculation 2 4 2 12 5" xfId="5642"/>
    <cellStyle name="Calculation 2 4 2 12 6" xfId="39457"/>
    <cellStyle name="Calculation 2 4 2 12 7" xfId="42583"/>
    <cellStyle name="Calculation 2 4 2 12 8" xfId="51076"/>
    <cellStyle name="Calculation 2 4 2 13" xfId="5643"/>
    <cellStyle name="Calculation 2 4 2 13 2" xfId="5644"/>
    <cellStyle name="Calculation 2 4 2 13 3" xfId="5645"/>
    <cellStyle name="Calculation 2 4 2 13 4" xfId="5646"/>
    <cellStyle name="Calculation 2 4 2 13 5" xfId="5647"/>
    <cellStyle name="Calculation 2 4 2 13 6" xfId="40075"/>
    <cellStyle name="Calculation 2 4 2 13 7" xfId="42584"/>
    <cellStyle name="Calculation 2 4 2 13 8" xfId="51077"/>
    <cellStyle name="Calculation 2 4 2 14" xfId="5648"/>
    <cellStyle name="Calculation 2 4 2 14 2" xfId="5649"/>
    <cellStyle name="Calculation 2 4 2 14 3" xfId="5650"/>
    <cellStyle name="Calculation 2 4 2 14 4" xfId="5651"/>
    <cellStyle name="Calculation 2 4 2 14 5" xfId="5652"/>
    <cellStyle name="Calculation 2 4 2 14 6" xfId="42585"/>
    <cellStyle name="Calculation 2 4 2 14 7" xfId="51078"/>
    <cellStyle name="Calculation 2 4 2 15" xfId="5653"/>
    <cellStyle name="Calculation 2 4 2 15 2" xfId="5654"/>
    <cellStyle name="Calculation 2 4 2 15 3" xfId="5655"/>
    <cellStyle name="Calculation 2 4 2 15 4" xfId="5656"/>
    <cellStyle name="Calculation 2 4 2 15 5" xfId="5657"/>
    <cellStyle name="Calculation 2 4 2 16" xfId="5658"/>
    <cellStyle name="Calculation 2 4 2 17" xfId="715"/>
    <cellStyle name="Calculation 2 4 2 18" xfId="34843"/>
    <cellStyle name="Calculation 2 4 2 19" xfId="40799"/>
    <cellStyle name="Calculation 2 4 2 2" xfId="330"/>
    <cellStyle name="Calculation 2 4 2 2 10" xfId="5659"/>
    <cellStyle name="Calculation 2 4 2 2 10 2" xfId="5660"/>
    <cellStyle name="Calculation 2 4 2 2 10 3" xfId="5661"/>
    <cellStyle name="Calculation 2 4 2 2 10 4" xfId="5662"/>
    <cellStyle name="Calculation 2 4 2 2 10 5" xfId="5663"/>
    <cellStyle name="Calculation 2 4 2 2 10 6" xfId="39508"/>
    <cellStyle name="Calculation 2 4 2 2 10 7" xfId="42586"/>
    <cellStyle name="Calculation 2 4 2 2 10 8" xfId="51079"/>
    <cellStyle name="Calculation 2 4 2 2 11" xfId="5664"/>
    <cellStyle name="Calculation 2 4 2 2 11 2" xfId="5665"/>
    <cellStyle name="Calculation 2 4 2 2 11 3" xfId="5666"/>
    <cellStyle name="Calculation 2 4 2 2 11 4" xfId="5667"/>
    <cellStyle name="Calculation 2 4 2 2 11 5" xfId="5668"/>
    <cellStyle name="Calculation 2 4 2 2 11 6" xfId="40126"/>
    <cellStyle name="Calculation 2 4 2 2 11 7" xfId="42587"/>
    <cellStyle name="Calculation 2 4 2 2 11 8" xfId="51080"/>
    <cellStyle name="Calculation 2 4 2 2 12" xfId="5669"/>
    <cellStyle name="Calculation 2 4 2 2 12 2" xfId="5670"/>
    <cellStyle name="Calculation 2 4 2 2 12 3" xfId="5671"/>
    <cellStyle name="Calculation 2 4 2 2 12 4" xfId="5672"/>
    <cellStyle name="Calculation 2 4 2 2 12 5" xfId="5673"/>
    <cellStyle name="Calculation 2 4 2 2 12 6" xfId="42588"/>
    <cellStyle name="Calculation 2 4 2 2 12 7" xfId="51081"/>
    <cellStyle name="Calculation 2 4 2 2 13" xfId="5674"/>
    <cellStyle name="Calculation 2 4 2 2 13 2" xfId="5675"/>
    <cellStyle name="Calculation 2 4 2 2 13 3" xfId="5676"/>
    <cellStyle name="Calculation 2 4 2 2 13 4" xfId="5677"/>
    <cellStyle name="Calculation 2 4 2 2 13 5" xfId="5678"/>
    <cellStyle name="Calculation 2 4 2 2 13 6" xfId="42589"/>
    <cellStyle name="Calculation 2 4 2 2 13 7" xfId="51082"/>
    <cellStyle name="Calculation 2 4 2 2 14" xfId="5679"/>
    <cellStyle name="Calculation 2 4 2 2 14 2" xfId="5680"/>
    <cellStyle name="Calculation 2 4 2 2 14 3" xfId="5681"/>
    <cellStyle name="Calculation 2 4 2 2 14 4" xfId="5682"/>
    <cellStyle name="Calculation 2 4 2 2 14 5" xfId="5683"/>
    <cellStyle name="Calculation 2 4 2 2 15" xfId="5684"/>
    <cellStyle name="Calculation 2 4 2 2 15 2" xfId="5685"/>
    <cellStyle name="Calculation 2 4 2 2 15 3" xfId="5686"/>
    <cellStyle name="Calculation 2 4 2 2 15 4" xfId="5687"/>
    <cellStyle name="Calculation 2 4 2 2 15 5" xfId="5688"/>
    <cellStyle name="Calculation 2 4 2 2 16" xfId="5689"/>
    <cellStyle name="Calculation 2 4 2 2 16 2" xfId="5690"/>
    <cellStyle name="Calculation 2 4 2 2 16 3" xfId="5691"/>
    <cellStyle name="Calculation 2 4 2 2 16 4" xfId="5692"/>
    <cellStyle name="Calculation 2 4 2 2 16 5" xfId="5693"/>
    <cellStyle name="Calculation 2 4 2 2 17" xfId="5694"/>
    <cellStyle name="Calculation 2 4 2 2 17 2" xfId="5695"/>
    <cellStyle name="Calculation 2 4 2 2 17 3" xfId="5696"/>
    <cellStyle name="Calculation 2 4 2 2 17 4" xfId="5697"/>
    <cellStyle name="Calculation 2 4 2 2 17 5" xfId="5698"/>
    <cellStyle name="Calculation 2 4 2 2 18" xfId="5699"/>
    <cellStyle name="Calculation 2 4 2 2 19" xfId="766"/>
    <cellStyle name="Calculation 2 4 2 2 2" xfId="551"/>
    <cellStyle name="Calculation 2 4 2 2 2 10" xfId="5700"/>
    <cellStyle name="Calculation 2 4 2 2 2 10 2" xfId="5701"/>
    <cellStyle name="Calculation 2 4 2 2 2 10 3" xfId="5702"/>
    <cellStyle name="Calculation 2 4 2 2 2 10 4" xfId="5703"/>
    <cellStyle name="Calculation 2 4 2 2 2 10 5" xfId="5704"/>
    <cellStyle name="Calculation 2 4 2 2 2 10 6" xfId="42590"/>
    <cellStyle name="Calculation 2 4 2 2 2 10 7" xfId="51083"/>
    <cellStyle name="Calculation 2 4 2 2 2 11" xfId="5705"/>
    <cellStyle name="Calculation 2 4 2 2 2 11 2" xfId="5706"/>
    <cellStyle name="Calculation 2 4 2 2 2 11 3" xfId="5707"/>
    <cellStyle name="Calculation 2 4 2 2 2 11 4" xfId="5708"/>
    <cellStyle name="Calculation 2 4 2 2 2 11 5" xfId="5709"/>
    <cellStyle name="Calculation 2 4 2 2 2 12" xfId="5710"/>
    <cellStyle name="Calculation 2 4 2 2 2 12 2" xfId="5711"/>
    <cellStyle name="Calculation 2 4 2 2 2 12 3" xfId="5712"/>
    <cellStyle name="Calculation 2 4 2 2 2 12 4" xfId="5713"/>
    <cellStyle name="Calculation 2 4 2 2 2 12 5" xfId="5714"/>
    <cellStyle name="Calculation 2 4 2 2 2 13" xfId="5715"/>
    <cellStyle name="Calculation 2 4 2 2 2 13 2" xfId="5716"/>
    <cellStyle name="Calculation 2 4 2 2 2 13 3" xfId="5717"/>
    <cellStyle name="Calculation 2 4 2 2 2 13 4" xfId="5718"/>
    <cellStyle name="Calculation 2 4 2 2 2 13 5" xfId="5719"/>
    <cellStyle name="Calculation 2 4 2 2 2 14" xfId="5720"/>
    <cellStyle name="Calculation 2 4 2 2 2 14 2" xfId="5721"/>
    <cellStyle name="Calculation 2 4 2 2 2 14 3" xfId="5722"/>
    <cellStyle name="Calculation 2 4 2 2 2 14 4" xfId="5723"/>
    <cellStyle name="Calculation 2 4 2 2 2 14 5" xfId="5724"/>
    <cellStyle name="Calculation 2 4 2 2 2 15" xfId="5725"/>
    <cellStyle name="Calculation 2 4 2 2 2 15 2" xfId="5726"/>
    <cellStyle name="Calculation 2 4 2 2 2 15 3" xfId="5727"/>
    <cellStyle name="Calculation 2 4 2 2 2 15 4" xfId="5728"/>
    <cellStyle name="Calculation 2 4 2 2 2 15 5" xfId="5729"/>
    <cellStyle name="Calculation 2 4 2 2 2 16" xfId="5730"/>
    <cellStyle name="Calculation 2 4 2 2 2 16 2" xfId="5731"/>
    <cellStyle name="Calculation 2 4 2 2 2 16 3" xfId="5732"/>
    <cellStyle name="Calculation 2 4 2 2 2 16 4" xfId="5733"/>
    <cellStyle name="Calculation 2 4 2 2 2 16 5" xfId="5734"/>
    <cellStyle name="Calculation 2 4 2 2 2 17" xfId="5735"/>
    <cellStyle name="Calculation 2 4 2 2 2 17 2" xfId="5736"/>
    <cellStyle name="Calculation 2 4 2 2 2 17 3" xfId="5737"/>
    <cellStyle name="Calculation 2 4 2 2 2 17 4" xfId="5738"/>
    <cellStyle name="Calculation 2 4 2 2 2 17 5" xfId="5739"/>
    <cellStyle name="Calculation 2 4 2 2 2 18" xfId="5740"/>
    <cellStyle name="Calculation 2 4 2 2 2 19" xfId="980"/>
    <cellStyle name="Calculation 2 4 2 2 2 2" xfId="1682"/>
    <cellStyle name="Calculation 2 4 2 2 2 2 2" xfId="5741"/>
    <cellStyle name="Calculation 2 4 2 2 2 2 3" xfId="5742"/>
    <cellStyle name="Calculation 2 4 2 2 2 2 4" xfId="5743"/>
    <cellStyle name="Calculation 2 4 2 2 2 2 5" xfId="5744"/>
    <cellStyle name="Calculation 2 4 2 2 2 2 6" xfId="36355"/>
    <cellStyle name="Calculation 2 4 2 2 2 2 7" xfId="42591"/>
    <cellStyle name="Calculation 2 4 2 2 2 2 8" xfId="51084"/>
    <cellStyle name="Calculation 2 4 2 2 2 20" xfId="35060"/>
    <cellStyle name="Calculation 2 4 2 2 2 21" xfId="41279"/>
    <cellStyle name="Calculation 2 4 2 2 2 3" xfId="1683"/>
    <cellStyle name="Calculation 2 4 2 2 2 3 2" xfId="5745"/>
    <cellStyle name="Calculation 2 4 2 2 2 3 3" xfId="5746"/>
    <cellStyle name="Calculation 2 4 2 2 2 3 4" xfId="5747"/>
    <cellStyle name="Calculation 2 4 2 2 2 3 5" xfId="5748"/>
    <cellStyle name="Calculation 2 4 2 2 2 3 6" xfId="36852"/>
    <cellStyle name="Calculation 2 4 2 2 2 3 7" xfId="42592"/>
    <cellStyle name="Calculation 2 4 2 2 2 3 8" xfId="51085"/>
    <cellStyle name="Calculation 2 4 2 2 2 4" xfId="1134"/>
    <cellStyle name="Calculation 2 4 2 2 2 4 2" xfId="5749"/>
    <cellStyle name="Calculation 2 4 2 2 2 4 3" xfId="5750"/>
    <cellStyle name="Calculation 2 4 2 2 2 4 4" xfId="5751"/>
    <cellStyle name="Calculation 2 4 2 2 2 4 5" xfId="5752"/>
    <cellStyle name="Calculation 2 4 2 2 2 4 6" xfId="37468"/>
    <cellStyle name="Calculation 2 4 2 2 2 4 7" xfId="42593"/>
    <cellStyle name="Calculation 2 4 2 2 2 4 8" xfId="51086"/>
    <cellStyle name="Calculation 2 4 2 2 2 5" xfId="3118"/>
    <cellStyle name="Calculation 2 4 2 2 2 5 2" xfId="5753"/>
    <cellStyle name="Calculation 2 4 2 2 2 5 3" xfId="5754"/>
    <cellStyle name="Calculation 2 4 2 2 2 5 4" xfId="5755"/>
    <cellStyle name="Calculation 2 4 2 2 2 5 5" xfId="5756"/>
    <cellStyle name="Calculation 2 4 2 2 2 5 6" xfId="38084"/>
    <cellStyle name="Calculation 2 4 2 2 2 5 7" xfId="42594"/>
    <cellStyle name="Calculation 2 4 2 2 2 5 8" xfId="51087"/>
    <cellStyle name="Calculation 2 4 2 2 2 6" xfId="3255"/>
    <cellStyle name="Calculation 2 4 2 2 2 6 2" xfId="5757"/>
    <cellStyle name="Calculation 2 4 2 2 2 6 3" xfId="5758"/>
    <cellStyle name="Calculation 2 4 2 2 2 6 4" xfId="5759"/>
    <cellStyle name="Calculation 2 4 2 2 2 6 5" xfId="5760"/>
    <cellStyle name="Calculation 2 4 2 2 2 6 6" xfId="38702"/>
    <cellStyle name="Calculation 2 4 2 2 2 6 7" xfId="42595"/>
    <cellStyle name="Calculation 2 4 2 2 2 6 8" xfId="51088"/>
    <cellStyle name="Calculation 2 4 2 2 2 7" xfId="5761"/>
    <cellStyle name="Calculation 2 4 2 2 2 7 2" xfId="5762"/>
    <cellStyle name="Calculation 2 4 2 2 2 7 3" xfId="5763"/>
    <cellStyle name="Calculation 2 4 2 2 2 7 4" xfId="5764"/>
    <cellStyle name="Calculation 2 4 2 2 2 7 5" xfId="5765"/>
    <cellStyle name="Calculation 2 4 2 2 2 7 6" xfId="39322"/>
    <cellStyle name="Calculation 2 4 2 2 2 7 7" xfId="42596"/>
    <cellStyle name="Calculation 2 4 2 2 2 7 8" xfId="51089"/>
    <cellStyle name="Calculation 2 4 2 2 2 8" xfId="5766"/>
    <cellStyle name="Calculation 2 4 2 2 2 8 2" xfId="5767"/>
    <cellStyle name="Calculation 2 4 2 2 2 8 3" xfId="5768"/>
    <cellStyle name="Calculation 2 4 2 2 2 8 4" xfId="5769"/>
    <cellStyle name="Calculation 2 4 2 2 2 8 5" xfId="5770"/>
    <cellStyle name="Calculation 2 4 2 2 2 8 6" xfId="39938"/>
    <cellStyle name="Calculation 2 4 2 2 2 8 7" xfId="42597"/>
    <cellStyle name="Calculation 2 4 2 2 2 8 8" xfId="51090"/>
    <cellStyle name="Calculation 2 4 2 2 2 9" xfId="5771"/>
    <cellStyle name="Calculation 2 4 2 2 2 9 2" xfId="5772"/>
    <cellStyle name="Calculation 2 4 2 2 2 9 3" xfId="5773"/>
    <cellStyle name="Calculation 2 4 2 2 2 9 4" xfId="5774"/>
    <cellStyle name="Calculation 2 4 2 2 2 9 5" xfId="5775"/>
    <cellStyle name="Calculation 2 4 2 2 2 9 6" xfId="40553"/>
    <cellStyle name="Calculation 2 4 2 2 2 9 7" xfId="42598"/>
    <cellStyle name="Calculation 2 4 2 2 2 9 8" xfId="51091"/>
    <cellStyle name="Calculation 2 4 2 2 20" xfId="34937"/>
    <cellStyle name="Calculation 2 4 2 2 21" xfId="40850"/>
    <cellStyle name="Calculation 2 4 2 2 22" xfId="41413"/>
    <cellStyle name="Calculation 2 4 2 2 23" xfId="50500"/>
    <cellStyle name="Calculation 2 4 2 2 3" xfId="1684"/>
    <cellStyle name="Calculation 2 4 2 2 3 10" xfId="34750"/>
    <cellStyle name="Calculation 2 4 2 2 3 11" xfId="41065"/>
    <cellStyle name="Calculation 2 4 2 2 3 12" xfId="42599"/>
    <cellStyle name="Calculation 2 4 2 2 3 13" xfId="51092"/>
    <cellStyle name="Calculation 2 4 2 2 3 2" xfId="1685"/>
    <cellStyle name="Calculation 2 4 2 2 3 2 2" xfId="36142"/>
    <cellStyle name="Calculation 2 4 2 2 3 2 3" xfId="42600"/>
    <cellStyle name="Calculation 2 4 2 2 3 2 4" xfId="51093"/>
    <cellStyle name="Calculation 2 4 2 2 3 3" xfId="1686"/>
    <cellStyle name="Calculation 2 4 2 2 3 3 2" xfId="36641"/>
    <cellStyle name="Calculation 2 4 2 2 3 3 3" xfId="42601"/>
    <cellStyle name="Calculation 2 4 2 2 3 3 4" xfId="51094"/>
    <cellStyle name="Calculation 2 4 2 2 3 4" xfId="5776"/>
    <cellStyle name="Calculation 2 4 2 2 3 4 2" xfId="37257"/>
    <cellStyle name="Calculation 2 4 2 2 3 4 3" xfId="42602"/>
    <cellStyle name="Calculation 2 4 2 2 3 4 4" xfId="51095"/>
    <cellStyle name="Calculation 2 4 2 2 3 5" xfId="5777"/>
    <cellStyle name="Calculation 2 4 2 2 3 5 2" xfId="37873"/>
    <cellStyle name="Calculation 2 4 2 2 3 5 3" xfId="42603"/>
    <cellStyle name="Calculation 2 4 2 2 3 5 4" xfId="51096"/>
    <cellStyle name="Calculation 2 4 2 2 3 6" xfId="38488"/>
    <cellStyle name="Calculation 2 4 2 2 3 6 2" xfId="42604"/>
    <cellStyle name="Calculation 2 4 2 2 3 6 3" xfId="51097"/>
    <cellStyle name="Calculation 2 4 2 2 3 7" xfId="39108"/>
    <cellStyle name="Calculation 2 4 2 2 3 7 2" xfId="42605"/>
    <cellStyle name="Calculation 2 4 2 2 3 7 3" xfId="51098"/>
    <cellStyle name="Calculation 2 4 2 2 3 8" xfId="39724"/>
    <cellStyle name="Calculation 2 4 2 2 3 8 2" xfId="42606"/>
    <cellStyle name="Calculation 2 4 2 2 3 8 3" xfId="51099"/>
    <cellStyle name="Calculation 2 4 2 2 3 9" xfId="40339"/>
    <cellStyle name="Calculation 2 4 2 2 3 9 2" xfId="42607"/>
    <cellStyle name="Calculation 2 4 2 2 3 9 3" xfId="51100"/>
    <cellStyle name="Calculation 2 4 2 2 4" xfId="1687"/>
    <cellStyle name="Calculation 2 4 2 2 4 10" xfId="42608"/>
    <cellStyle name="Calculation 2 4 2 2 4 11" xfId="51101"/>
    <cellStyle name="Calculation 2 4 2 2 4 2" xfId="5778"/>
    <cellStyle name="Calculation 2 4 2 2 4 2 2" xfId="42609"/>
    <cellStyle name="Calculation 2 4 2 2 4 2 3" xfId="51102"/>
    <cellStyle name="Calculation 2 4 2 2 4 3" xfId="5779"/>
    <cellStyle name="Calculation 2 4 2 2 4 3 2" xfId="42610"/>
    <cellStyle name="Calculation 2 4 2 2 4 3 3" xfId="51103"/>
    <cellStyle name="Calculation 2 4 2 2 4 4" xfId="5780"/>
    <cellStyle name="Calculation 2 4 2 2 4 4 2" xfId="42611"/>
    <cellStyle name="Calculation 2 4 2 2 4 4 3" xfId="51104"/>
    <cellStyle name="Calculation 2 4 2 2 4 5" xfId="5781"/>
    <cellStyle name="Calculation 2 4 2 2 4 5 2" xfId="42612"/>
    <cellStyle name="Calculation 2 4 2 2 4 5 3" xfId="51105"/>
    <cellStyle name="Calculation 2 4 2 2 4 6" xfId="35678"/>
    <cellStyle name="Calculation 2 4 2 2 4 6 2" xfId="42613"/>
    <cellStyle name="Calculation 2 4 2 2 4 6 3" xfId="51106"/>
    <cellStyle name="Calculation 2 4 2 2 4 7" xfId="42614"/>
    <cellStyle name="Calculation 2 4 2 2 4 7 2" xfId="51107"/>
    <cellStyle name="Calculation 2 4 2 2 4 8" xfId="42615"/>
    <cellStyle name="Calculation 2 4 2 2 4 8 2" xfId="51108"/>
    <cellStyle name="Calculation 2 4 2 2 4 9" xfId="42616"/>
    <cellStyle name="Calculation 2 4 2 2 4 9 2" xfId="51109"/>
    <cellStyle name="Calculation 2 4 2 2 5" xfId="1133"/>
    <cellStyle name="Calculation 2 4 2 2 5 2" xfId="5782"/>
    <cellStyle name="Calculation 2 4 2 2 5 3" xfId="5783"/>
    <cellStyle name="Calculation 2 4 2 2 5 4" xfId="5784"/>
    <cellStyle name="Calculation 2 4 2 2 5 5" xfId="5785"/>
    <cellStyle name="Calculation 2 4 2 2 5 6" xfId="35999"/>
    <cellStyle name="Calculation 2 4 2 2 5 7" xfId="42617"/>
    <cellStyle name="Calculation 2 4 2 2 5 8" xfId="51110"/>
    <cellStyle name="Calculation 2 4 2 2 6" xfId="3117"/>
    <cellStyle name="Calculation 2 4 2 2 6 2" xfId="5786"/>
    <cellStyle name="Calculation 2 4 2 2 6 3" xfId="5787"/>
    <cellStyle name="Calculation 2 4 2 2 6 4" xfId="5788"/>
    <cellStyle name="Calculation 2 4 2 2 6 5" xfId="5789"/>
    <cellStyle name="Calculation 2 4 2 2 6 6" xfId="37042"/>
    <cellStyle name="Calculation 2 4 2 2 6 7" xfId="42618"/>
    <cellStyle name="Calculation 2 4 2 2 6 8" xfId="51111"/>
    <cellStyle name="Calculation 2 4 2 2 7" xfId="3256"/>
    <cellStyle name="Calculation 2 4 2 2 7 2" xfId="5790"/>
    <cellStyle name="Calculation 2 4 2 2 7 3" xfId="5791"/>
    <cellStyle name="Calculation 2 4 2 2 7 4" xfId="5792"/>
    <cellStyle name="Calculation 2 4 2 2 7 5" xfId="5793"/>
    <cellStyle name="Calculation 2 4 2 2 7 6" xfId="37654"/>
    <cellStyle name="Calculation 2 4 2 2 7 7" xfId="42619"/>
    <cellStyle name="Calculation 2 4 2 2 7 8" xfId="51112"/>
    <cellStyle name="Calculation 2 4 2 2 8" xfId="5794"/>
    <cellStyle name="Calculation 2 4 2 2 8 2" xfId="5795"/>
    <cellStyle name="Calculation 2 4 2 2 8 3" xfId="5796"/>
    <cellStyle name="Calculation 2 4 2 2 8 4" xfId="5797"/>
    <cellStyle name="Calculation 2 4 2 2 8 5" xfId="5798"/>
    <cellStyle name="Calculation 2 4 2 2 8 6" xfId="38269"/>
    <cellStyle name="Calculation 2 4 2 2 8 7" xfId="42620"/>
    <cellStyle name="Calculation 2 4 2 2 8 8" xfId="51113"/>
    <cellStyle name="Calculation 2 4 2 2 9" xfId="5799"/>
    <cellStyle name="Calculation 2 4 2 2 9 2" xfId="5800"/>
    <cellStyle name="Calculation 2 4 2 2 9 3" xfId="5801"/>
    <cellStyle name="Calculation 2 4 2 2 9 4" xfId="5802"/>
    <cellStyle name="Calculation 2 4 2 2 9 5" xfId="5803"/>
    <cellStyle name="Calculation 2 4 2 2 9 6" xfId="38889"/>
    <cellStyle name="Calculation 2 4 2 2 9 7" xfId="42621"/>
    <cellStyle name="Calculation 2 4 2 2 9 8" xfId="51114"/>
    <cellStyle name="Calculation 2 4 2 3" xfId="500"/>
    <cellStyle name="Calculation 2 4 2 3 10" xfId="5804"/>
    <cellStyle name="Calculation 2 4 2 3 10 2" xfId="5805"/>
    <cellStyle name="Calculation 2 4 2 3 10 3" xfId="5806"/>
    <cellStyle name="Calculation 2 4 2 3 10 4" xfId="5807"/>
    <cellStyle name="Calculation 2 4 2 3 10 5" xfId="5808"/>
    <cellStyle name="Calculation 2 4 2 3 10 6" xfId="42622"/>
    <cellStyle name="Calculation 2 4 2 3 10 7" xfId="51115"/>
    <cellStyle name="Calculation 2 4 2 3 11" xfId="5809"/>
    <cellStyle name="Calculation 2 4 2 3 11 2" xfId="5810"/>
    <cellStyle name="Calculation 2 4 2 3 11 3" xfId="5811"/>
    <cellStyle name="Calculation 2 4 2 3 11 4" xfId="5812"/>
    <cellStyle name="Calculation 2 4 2 3 11 5" xfId="5813"/>
    <cellStyle name="Calculation 2 4 2 3 12" xfId="5814"/>
    <cellStyle name="Calculation 2 4 2 3 12 2" xfId="5815"/>
    <cellStyle name="Calculation 2 4 2 3 12 3" xfId="5816"/>
    <cellStyle name="Calculation 2 4 2 3 12 4" xfId="5817"/>
    <cellStyle name="Calculation 2 4 2 3 12 5" xfId="5818"/>
    <cellStyle name="Calculation 2 4 2 3 13" xfId="5819"/>
    <cellStyle name="Calculation 2 4 2 3 13 2" xfId="5820"/>
    <cellStyle name="Calculation 2 4 2 3 13 3" xfId="5821"/>
    <cellStyle name="Calculation 2 4 2 3 13 4" xfId="5822"/>
    <cellStyle name="Calculation 2 4 2 3 13 5" xfId="5823"/>
    <cellStyle name="Calculation 2 4 2 3 14" xfId="5824"/>
    <cellStyle name="Calculation 2 4 2 3 14 2" xfId="5825"/>
    <cellStyle name="Calculation 2 4 2 3 14 3" xfId="5826"/>
    <cellStyle name="Calculation 2 4 2 3 14 4" xfId="5827"/>
    <cellStyle name="Calculation 2 4 2 3 14 5" xfId="5828"/>
    <cellStyle name="Calculation 2 4 2 3 15" xfId="5829"/>
    <cellStyle name="Calculation 2 4 2 3 15 2" xfId="5830"/>
    <cellStyle name="Calculation 2 4 2 3 15 3" xfId="5831"/>
    <cellStyle name="Calculation 2 4 2 3 15 4" xfId="5832"/>
    <cellStyle name="Calculation 2 4 2 3 15 5" xfId="5833"/>
    <cellStyle name="Calculation 2 4 2 3 16" xfId="5834"/>
    <cellStyle name="Calculation 2 4 2 3 16 2" xfId="5835"/>
    <cellStyle name="Calculation 2 4 2 3 16 3" xfId="5836"/>
    <cellStyle name="Calculation 2 4 2 3 16 4" xfId="5837"/>
    <cellStyle name="Calculation 2 4 2 3 16 5" xfId="5838"/>
    <cellStyle name="Calculation 2 4 2 3 17" xfId="5839"/>
    <cellStyle name="Calculation 2 4 2 3 17 2" xfId="5840"/>
    <cellStyle name="Calculation 2 4 2 3 17 3" xfId="5841"/>
    <cellStyle name="Calculation 2 4 2 3 17 4" xfId="5842"/>
    <cellStyle name="Calculation 2 4 2 3 17 5" xfId="5843"/>
    <cellStyle name="Calculation 2 4 2 3 18" xfId="5844"/>
    <cellStyle name="Calculation 2 4 2 3 19" xfId="929"/>
    <cellStyle name="Calculation 2 4 2 3 2" xfId="1688"/>
    <cellStyle name="Calculation 2 4 2 3 2 2" xfId="1689"/>
    <cellStyle name="Calculation 2 4 2 3 2 3" xfId="1690"/>
    <cellStyle name="Calculation 2 4 2 3 2 4" xfId="5845"/>
    <cellStyle name="Calculation 2 4 2 3 2 5" xfId="5846"/>
    <cellStyle name="Calculation 2 4 2 3 2 6" xfId="36304"/>
    <cellStyle name="Calculation 2 4 2 3 2 7" xfId="42623"/>
    <cellStyle name="Calculation 2 4 2 3 2 8" xfId="51116"/>
    <cellStyle name="Calculation 2 4 2 3 20" xfId="35009"/>
    <cellStyle name="Calculation 2 4 2 3 21" xfId="40718"/>
    <cellStyle name="Calculation 2 4 2 3 22" xfId="41228"/>
    <cellStyle name="Calculation 2 4 2 3 3" xfId="1691"/>
    <cellStyle name="Calculation 2 4 2 3 3 2" xfId="5847"/>
    <cellStyle name="Calculation 2 4 2 3 3 3" xfId="5848"/>
    <cellStyle name="Calculation 2 4 2 3 3 4" xfId="5849"/>
    <cellStyle name="Calculation 2 4 2 3 3 5" xfId="5850"/>
    <cellStyle name="Calculation 2 4 2 3 3 6" xfId="36801"/>
    <cellStyle name="Calculation 2 4 2 3 3 7" xfId="42624"/>
    <cellStyle name="Calculation 2 4 2 3 3 8" xfId="51117"/>
    <cellStyle name="Calculation 2 4 2 3 4" xfId="1135"/>
    <cellStyle name="Calculation 2 4 2 3 4 2" xfId="5851"/>
    <cellStyle name="Calculation 2 4 2 3 4 3" xfId="5852"/>
    <cellStyle name="Calculation 2 4 2 3 4 4" xfId="5853"/>
    <cellStyle name="Calculation 2 4 2 3 4 5" xfId="5854"/>
    <cellStyle name="Calculation 2 4 2 3 4 6" xfId="37417"/>
    <cellStyle name="Calculation 2 4 2 3 4 7" xfId="42625"/>
    <cellStyle name="Calculation 2 4 2 3 4 8" xfId="51118"/>
    <cellStyle name="Calculation 2 4 2 3 5" xfId="3119"/>
    <cellStyle name="Calculation 2 4 2 3 5 2" xfId="5855"/>
    <cellStyle name="Calculation 2 4 2 3 5 3" xfId="5856"/>
    <cellStyle name="Calculation 2 4 2 3 5 4" xfId="5857"/>
    <cellStyle name="Calculation 2 4 2 3 5 5" xfId="5858"/>
    <cellStyle name="Calculation 2 4 2 3 5 6" xfId="38033"/>
    <cellStyle name="Calculation 2 4 2 3 5 7" xfId="42626"/>
    <cellStyle name="Calculation 2 4 2 3 5 8" xfId="51119"/>
    <cellStyle name="Calculation 2 4 2 3 6" xfId="3254"/>
    <cellStyle name="Calculation 2 4 2 3 6 2" xfId="5859"/>
    <cellStyle name="Calculation 2 4 2 3 6 3" xfId="5860"/>
    <cellStyle name="Calculation 2 4 2 3 6 4" xfId="5861"/>
    <cellStyle name="Calculation 2 4 2 3 6 5" xfId="5862"/>
    <cellStyle name="Calculation 2 4 2 3 6 6" xfId="38651"/>
    <cellStyle name="Calculation 2 4 2 3 6 7" xfId="42627"/>
    <cellStyle name="Calculation 2 4 2 3 6 8" xfId="51120"/>
    <cellStyle name="Calculation 2 4 2 3 7" xfId="5863"/>
    <cellStyle name="Calculation 2 4 2 3 7 2" xfId="5864"/>
    <cellStyle name="Calculation 2 4 2 3 7 3" xfId="5865"/>
    <cellStyle name="Calculation 2 4 2 3 7 4" xfId="5866"/>
    <cellStyle name="Calculation 2 4 2 3 7 5" xfId="5867"/>
    <cellStyle name="Calculation 2 4 2 3 7 6" xfId="39271"/>
    <cellStyle name="Calculation 2 4 2 3 7 7" xfId="42628"/>
    <cellStyle name="Calculation 2 4 2 3 7 8" xfId="51121"/>
    <cellStyle name="Calculation 2 4 2 3 8" xfId="5868"/>
    <cellStyle name="Calculation 2 4 2 3 8 2" xfId="5869"/>
    <cellStyle name="Calculation 2 4 2 3 8 3" xfId="5870"/>
    <cellStyle name="Calculation 2 4 2 3 8 4" xfId="5871"/>
    <cellStyle name="Calculation 2 4 2 3 8 5" xfId="5872"/>
    <cellStyle name="Calculation 2 4 2 3 8 6" xfId="39887"/>
    <cellStyle name="Calculation 2 4 2 3 8 7" xfId="42629"/>
    <cellStyle name="Calculation 2 4 2 3 8 8" xfId="51122"/>
    <cellStyle name="Calculation 2 4 2 3 9" xfId="5873"/>
    <cellStyle name="Calculation 2 4 2 3 9 2" xfId="5874"/>
    <cellStyle name="Calculation 2 4 2 3 9 3" xfId="5875"/>
    <cellStyle name="Calculation 2 4 2 3 9 4" xfId="5876"/>
    <cellStyle name="Calculation 2 4 2 3 9 5" xfId="5877"/>
    <cellStyle name="Calculation 2 4 2 3 9 6" xfId="40502"/>
    <cellStyle name="Calculation 2 4 2 3 9 7" xfId="42630"/>
    <cellStyle name="Calculation 2 4 2 3 9 8" xfId="51123"/>
    <cellStyle name="Calculation 2 4 2 4" xfId="1692"/>
    <cellStyle name="Calculation 2 4 2 4 10" xfId="34762"/>
    <cellStyle name="Calculation 2 4 2 4 11" xfId="41014"/>
    <cellStyle name="Calculation 2 4 2 4 12" xfId="42631"/>
    <cellStyle name="Calculation 2 4 2 4 13" xfId="51124"/>
    <cellStyle name="Calculation 2 4 2 4 2" xfId="1693"/>
    <cellStyle name="Calculation 2 4 2 4 2 2" xfId="36091"/>
    <cellStyle name="Calculation 2 4 2 4 2 3" xfId="42632"/>
    <cellStyle name="Calculation 2 4 2 4 2 4" xfId="51125"/>
    <cellStyle name="Calculation 2 4 2 4 3" xfId="1694"/>
    <cellStyle name="Calculation 2 4 2 4 3 2" xfId="36590"/>
    <cellStyle name="Calculation 2 4 2 4 3 3" xfId="42633"/>
    <cellStyle name="Calculation 2 4 2 4 3 4" xfId="51126"/>
    <cellStyle name="Calculation 2 4 2 4 4" xfId="5878"/>
    <cellStyle name="Calculation 2 4 2 4 4 2" xfId="37206"/>
    <cellStyle name="Calculation 2 4 2 4 4 3" xfId="42634"/>
    <cellStyle name="Calculation 2 4 2 4 4 4" xfId="51127"/>
    <cellStyle name="Calculation 2 4 2 4 5" xfId="5879"/>
    <cellStyle name="Calculation 2 4 2 4 5 2" xfId="37822"/>
    <cellStyle name="Calculation 2 4 2 4 5 3" xfId="42635"/>
    <cellStyle name="Calculation 2 4 2 4 5 4" xfId="51128"/>
    <cellStyle name="Calculation 2 4 2 4 6" xfId="38437"/>
    <cellStyle name="Calculation 2 4 2 4 6 2" xfId="42636"/>
    <cellStyle name="Calculation 2 4 2 4 6 3" xfId="51129"/>
    <cellStyle name="Calculation 2 4 2 4 7" xfId="39057"/>
    <cellStyle name="Calculation 2 4 2 4 7 2" xfId="42637"/>
    <cellStyle name="Calculation 2 4 2 4 7 3" xfId="51130"/>
    <cellStyle name="Calculation 2 4 2 4 8" xfId="39673"/>
    <cellStyle name="Calculation 2 4 2 4 8 2" xfId="42638"/>
    <cellStyle name="Calculation 2 4 2 4 8 3" xfId="51131"/>
    <cellStyle name="Calculation 2 4 2 4 9" xfId="40288"/>
    <cellStyle name="Calculation 2 4 2 4 9 2" xfId="42639"/>
    <cellStyle name="Calculation 2 4 2 4 9 3" xfId="51132"/>
    <cellStyle name="Calculation 2 4 2 5" xfId="1695"/>
    <cellStyle name="Calculation 2 4 2 5 10" xfId="42640"/>
    <cellStyle name="Calculation 2 4 2 5 11" xfId="51133"/>
    <cellStyle name="Calculation 2 4 2 5 2" xfId="1696"/>
    <cellStyle name="Calculation 2 4 2 5 2 2" xfId="42641"/>
    <cellStyle name="Calculation 2 4 2 5 2 3" xfId="51134"/>
    <cellStyle name="Calculation 2 4 2 5 3" xfId="1697"/>
    <cellStyle name="Calculation 2 4 2 5 3 2" xfId="42642"/>
    <cellStyle name="Calculation 2 4 2 5 3 3" xfId="51135"/>
    <cellStyle name="Calculation 2 4 2 5 4" xfId="5880"/>
    <cellStyle name="Calculation 2 4 2 5 4 2" xfId="42643"/>
    <cellStyle name="Calculation 2 4 2 5 4 3" xfId="51136"/>
    <cellStyle name="Calculation 2 4 2 5 5" xfId="5881"/>
    <cellStyle name="Calculation 2 4 2 5 5 2" xfId="42644"/>
    <cellStyle name="Calculation 2 4 2 5 5 3" xfId="51137"/>
    <cellStyle name="Calculation 2 4 2 5 6" xfId="35409"/>
    <cellStyle name="Calculation 2 4 2 5 6 2" xfId="42645"/>
    <cellStyle name="Calculation 2 4 2 5 6 3" xfId="51138"/>
    <cellStyle name="Calculation 2 4 2 5 7" xfId="42646"/>
    <cellStyle name="Calculation 2 4 2 5 7 2" xfId="51139"/>
    <cellStyle name="Calculation 2 4 2 5 8" xfId="42647"/>
    <cellStyle name="Calculation 2 4 2 5 8 2" xfId="51140"/>
    <cellStyle name="Calculation 2 4 2 5 9" xfId="42648"/>
    <cellStyle name="Calculation 2 4 2 5 9 2" xfId="51141"/>
    <cellStyle name="Calculation 2 4 2 6" xfId="1132"/>
    <cellStyle name="Calculation 2 4 2 6 2" xfId="5882"/>
    <cellStyle name="Calculation 2 4 2 6 3" xfId="5883"/>
    <cellStyle name="Calculation 2 4 2 6 4" xfId="5884"/>
    <cellStyle name="Calculation 2 4 2 6 5" xfId="5885"/>
    <cellStyle name="Calculation 2 4 2 6 6" xfId="35941"/>
    <cellStyle name="Calculation 2 4 2 6 7" xfId="42649"/>
    <cellStyle name="Calculation 2 4 2 6 8" xfId="51142"/>
    <cellStyle name="Calculation 2 4 2 7" xfId="3116"/>
    <cellStyle name="Calculation 2 4 2 7 2" xfId="5886"/>
    <cellStyle name="Calculation 2 4 2 7 3" xfId="5887"/>
    <cellStyle name="Calculation 2 4 2 7 4" xfId="5888"/>
    <cellStyle name="Calculation 2 4 2 7 5" xfId="5889"/>
    <cellStyle name="Calculation 2 4 2 7 6" xfId="36016"/>
    <cellStyle name="Calculation 2 4 2 7 7" xfId="42650"/>
    <cellStyle name="Calculation 2 4 2 7 8" xfId="51143"/>
    <cellStyle name="Calculation 2 4 2 8" xfId="3257"/>
    <cellStyle name="Calculation 2 4 2 8 2" xfId="5890"/>
    <cellStyle name="Calculation 2 4 2 8 3" xfId="5891"/>
    <cellStyle name="Calculation 2 4 2 8 4" xfId="5892"/>
    <cellStyle name="Calculation 2 4 2 8 5" xfId="5893"/>
    <cellStyle name="Calculation 2 4 2 8 6" xfId="36986"/>
    <cellStyle name="Calculation 2 4 2 8 7" xfId="42651"/>
    <cellStyle name="Calculation 2 4 2 8 8" xfId="51144"/>
    <cellStyle name="Calculation 2 4 2 9" xfId="5894"/>
    <cellStyle name="Calculation 2 4 2 9 2" xfId="5895"/>
    <cellStyle name="Calculation 2 4 2 9 3" xfId="5896"/>
    <cellStyle name="Calculation 2 4 2 9 4" xfId="5897"/>
    <cellStyle name="Calculation 2 4 2 9 5" xfId="5898"/>
    <cellStyle name="Calculation 2 4 2 9 6" xfId="37598"/>
    <cellStyle name="Calculation 2 4 2 9 7" xfId="42652"/>
    <cellStyle name="Calculation 2 4 2 9 8" xfId="51145"/>
    <cellStyle name="Calculation 2 4 2_SS10_Codes Cat Analysis RIN" xfId="42653"/>
    <cellStyle name="Calculation 2 4 20" xfId="34775"/>
    <cellStyle name="Calculation 2 4 21" xfId="40774"/>
    <cellStyle name="Calculation 2 4 3" xfId="271"/>
    <cellStyle name="Calculation 2 4 3 10" xfId="5899"/>
    <cellStyle name="Calculation 2 4 3 10 2" xfId="5900"/>
    <cellStyle name="Calculation 2 4 3 10 3" xfId="5901"/>
    <cellStyle name="Calculation 2 4 3 10 4" xfId="5902"/>
    <cellStyle name="Calculation 2 4 3 10 5" xfId="5903"/>
    <cellStyle name="Calculation 2 4 3 10 6" xfId="38216"/>
    <cellStyle name="Calculation 2 4 3 10 7" xfId="42654"/>
    <cellStyle name="Calculation 2 4 3 10 8" xfId="51146"/>
    <cellStyle name="Calculation 2 4 3 11" xfId="5904"/>
    <cellStyle name="Calculation 2 4 3 11 2" xfId="5905"/>
    <cellStyle name="Calculation 2 4 3 11 3" xfId="5906"/>
    <cellStyle name="Calculation 2 4 3 11 4" xfId="5907"/>
    <cellStyle name="Calculation 2 4 3 11 5" xfId="5908"/>
    <cellStyle name="Calculation 2 4 3 11 6" xfId="38838"/>
    <cellStyle name="Calculation 2 4 3 11 7" xfId="42655"/>
    <cellStyle name="Calculation 2 4 3 11 8" xfId="51147"/>
    <cellStyle name="Calculation 2 4 3 12" xfId="5909"/>
    <cellStyle name="Calculation 2 4 3 12 2" xfId="5910"/>
    <cellStyle name="Calculation 2 4 3 12 3" xfId="5911"/>
    <cellStyle name="Calculation 2 4 3 12 4" xfId="5912"/>
    <cellStyle name="Calculation 2 4 3 12 5" xfId="5913"/>
    <cellStyle name="Calculation 2 4 3 12 6" xfId="39458"/>
    <cellStyle name="Calculation 2 4 3 12 7" xfId="42656"/>
    <cellStyle name="Calculation 2 4 3 12 8" xfId="51148"/>
    <cellStyle name="Calculation 2 4 3 13" xfId="5914"/>
    <cellStyle name="Calculation 2 4 3 13 2" xfId="5915"/>
    <cellStyle name="Calculation 2 4 3 13 3" xfId="5916"/>
    <cellStyle name="Calculation 2 4 3 13 4" xfId="5917"/>
    <cellStyle name="Calculation 2 4 3 13 5" xfId="5918"/>
    <cellStyle name="Calculation 2 4 3 13 6" xfId="40076"/>
    <cellStyle name="Calculation 2 4 3 13 7" xfId="42657"/>
    <cellStyle name="Calculation 2 4 3 13 8" xfId="51149"/>
    <cellStyle name="Calculation 2 4 3 14" xfId="5919"/>
    <cellStyle name="Calculation 2 4 3 14 2" xfId="5920"/>
    <cellStyle name="Calculation 2 4 3 14 3" xfId="5921"/>
    <cellStyle name="Calculation 2 4 3 14 4" xfId="5922"/>
    <cellStyle name="Calculation 2 4 3 14 5" xfId="5923"/>
    <cellStyle name="Calculation 2 4 3 14 6" xfId="42658"/>
    <cellStyle name="Calculation 2 4 3 14 7" xfId="51150"/>
    <cellStyle name="Calculation 2 4 3 15" xfId="5924"/>
    <cellStyle name="Calculation 2 4 3 15 2" xfId="5925"/>
    <cellStyle name="Calculation 2 4 3 15 3" xfId="5926"/>
    <cellStyle name="Calculation 2 4 3 15 4" xfId="5927"/>
    <cellStyle name="Calculation 2 4 3 15 5" xfId="5928"/>
    <cellStyle name="Calculation 2 4 3 16" xfId="5929"/>
    <cellStyle name="Calculation 2 4 3 17" xfId="716"/>
    <cellStyle name="Calculation 2 4 3 18" xfId="34772"/>
    <cellStyle name="Calculation 2 4 3 19" xfId="40800"/>
    <cellStyle name="Calculation 2 4 3 2" xfId="331"/>
    <cellStyle name="Calculation 2 4 3 2 10" xfId="5930"/>
    <cellStyle name="Calculation 2 4 3 2 10 2" xfId="5931"/>
    <cellStyle name="Calculation 2 4 3 2 10 3" xfId="5932"/>
    <cellStyle name="Calculation 2 4 3 2 10 4" xfId="5933"/>
    <cellStyle name="Calculation 2 4 3 2 10 5" xfId="5934"/>
    <cellStyle name="Calculation 2 4 3 2 10 6" xfId="39509"/>
    <cellStyle name="Calculation 2 4 3 2 10 7" xfId="42659"/>
    <cellStyle name="Calculation 2 4 3 2 10 8" xfId="51151"/>
    <cellStyle name="Calculation 2 4 3 2 11" xfId="5935"/>
    <cellStyle name="Calculation 2 4 3 2 11 2" xfId="5936"/>
    <cellStyle name="Calculation 2 4 3 2 11 3" xfId="5937"/>
    <cellStyle name="Calculation 2 4 3 2 11 4" xfId="5938"/>
    <cellStyle name="Calculation 2 4 3 2 11 5" xfId="5939"/>
    <cellStyle name="Calculation 2 4 3 2 11 6" xfId="40127"/>
    <cellStyle name="Calculation 2 4 3 2 11 7" xfId="42660"/>
    <cellStyle name="Calculation 2 4 3 2 11 8" xfId="51152"/>
    <cellStyle name="Calculation 2 4 3 2 12" xfId="5940"/>
    <cellStyle name="Calculation 2 4 3 2 12 2" xfId="5941"/>
    <cellStyle name="Calculation 2 4 3 2 12 3" xfId="5942"/>
    <cellStyle name="Calculation 2 4 3 2 12 4" xfId="5943"/>
    <cellStyle name="Calculation 2 4 3 2 12 5" xfId="5944"/>
    <cellStyle name="Calculation 2 4 3 2 12 6" xfId="42661"/>
    <cellStyle name="Calculation 2 4 3 2 12 7" xfId="51153"/>
    <cellStyle name="Calculation 2 4 3 2 13" xfId="5945"/>
    <cellStyle name="Calculation 2 4 3 2 13 2" xfId="5946"/>
    <cellStyle name="Calculation 2 4 3 2 13 3" xfId="5947"/>
    <cellStyle name="Calculation 2 4 3 2 13 4" xfId="5948"/>
    <cellStyle name="Calculation 2 4 3 2 13 5" xfId="5949"/>
    <cellStyle name="Calculation 2 4 3 2 13 6" xfId="42662"/>
    <cellStyle name="Calculation 2 4 3 2 13 7" xfId="51154"/>
    <cellStyle name="Calculation 2 4 3 2 14" xfId="5950"/>
    <cellStyle name="Calculation 2 4 3 2 14 2" xfId="5951"/>
    <cellStyle name="Calculation 2 4 3 2 14 3" xfId="5952"/>
    <cellStyle name="Calculation 2 4 3 2 14 4" xfId="5953"/>
    <cellStyle name="Calculation 2 4 3 2 14 5" xfId="5954"/>
    <cellStyle name="Calculation 2 4 3 2 15" xfId="5955"/>
    <cellStyle name="Calculation 2 4 3 2 15 2" xfId="5956"/>
    <cellStyle name="Calculation 2 4 3 2 15 3" xfId="5957"/>
    <cellStyle name="Calculation 2 4 3 2 15 4" xfId="5958"/>
    <cellStyle name="Calculation 2 4 3 2 15 5" xfId="5959"/>
    <cellStyle name="Calculation 2 4 3 2 16" xfId="5960"/>
    <cellStyle name="Calculation 2 4 3 2 16 2" xfId="5961"/>
    <cellStyle name="Calculation 2 4 3 2 16 3" xfId="5962"/>
    <cellStyle name="Calculation 2 4 3 2 16 4" xfId="5963"/>
    <cellStyle name="Calculation 2 4 3 2 16 5" xfId="5964"/>
    <cellStyle name="Calculation 2 4 3 2 17" xfId="5965"/>
    <cellStyle name="Calculation 2 4 3 2 17 2" xfId="5966"/>
    <cellStyle name="Calculation 2 4 3 2 17 3" xfId="5967"/>
    <cellStyle name="Calculation 2 4 3 2 17 4" xfId="5968"/>
    <cellStyle name="Calculation 2 4 3 2 17 5" xfId="5969"/>
    <cellStyle name="Calculation 2 4 3 2 18" xfId="5970"/>
    <cellStyle name="Calculation 2 4 3 2 19" xfId="767"/>
    <cellStyle name="Calculation 2 4 3 2 2" xfId="552"/>
    <cellStyle name="Calculation 2 4 3 2 2 10" xfId="5971"/>
    <cellStyle name="Calculation 2 4 3 2 2 10 2" xfId="5972"/>
    <cellStyle name="Calculation 2 4 3 2 2 10 3" xfId="5973"/>
    <cellStyle name="Calculation 2 4 3 2 2 10 4" xfId="5974"/>
    <cellStyle name="Calculation 2 4 3 2 2 10 5" xfId="5975"/>
    <cellStyle name="Calculation 2 4 3 2 2 10 6" xfId="42663"/>
    <cellStyle name="Calculation 2 4 3 2 2 10 7" xfId="51155"/>
    <cellStyle name="Calculation 2 4 3 2 2 11" xfId="5976"/>
    <cellStyle name="Calculation 2 4 3 2 2 11 2" xfId="5977"/>
    <cellStyle name="Calculation 2 4 3 2 2 11 3" xfId="5978"/>
    <cellStyle name="Calculation 2 4 3 2 2 11 4" xfId="5979"/>
    <cellStyle name="Calculation 2 4 3 2 2 11 5" xfId="5980"/>
    <cellStyle name="Calculation 2 4 3 2 2 12" xfId="5981"/>
    <cellStyle name="Calculation 2 4 3 2 2 12 2" xfId="5982"/>
    <cellStyle name="Calculation 2 4 3 2 2 12 3" xfId="5983"/>
    <cellStyle name="Calculation 2 4 3 2 2 12 4" xfId="5984"/>
    <cellStyle name="Calculation 2 4 3 2 2 12 5" xfId="5985"/>
    <cellStyle name="Calculation 2 4 3 2 2 13" xfId="5986"/>
    <cellStyle name="Calculation 2 4 3 2 2 13 2" xfId="5987"/>
    <cellStyle name="Calculation 2 4 3 2 2 13 3" xfId="5988"/>
    <cellStyle name="Calculation 2 4 3 2 2 13 4" xfId="5989"/>
    <cellStyle name="Calculation 2 4 3 2 2 13 5" xfId="5990"/>
    <cellStyle name="Calculation 2 4 3 2 2 14" xfId="5991"/>
    <cellStyle name="Calculation 2 4 3 2 2 14 2" xfId="5992"/>
    <cellStyle name="Calculation 2 4 3 2 2 14 3" xfId="5993"/>
    <cellStyle name="Calculation 2 4 3 2 2 14 4" xfId="5994"/>
    <cellStyle name="Calculation 2 4 3 2 2 14 5" xfId="5995"/>
    <cellStyle name="Calculation 2 4 3 2 2 15" xfId="5996"/>
    <cellStyle name="Calculation 2 4 3 2 2 15 2" xfId="5997"/>
    <cellStyle name="Calculation 2 4 3 2 2 15 3" xfId="5998"/>
    <cellStyle name="Calculation 2 4 3 2 2 15 4" xfId="5999"/>
    <cellStyle name="Calculation 2 4 3 2 2 15 5" xfId="6000"/>
    <cellStyle name="Calculation 2 4 3 2 2 16" xfId="6001"/>
    <cellStyle name="Calculation 2 4 3 2 2 16 2" xfId="6002"/>
    <cellStyle name="Calculation 2 4 3 2 2 16 3" xfId="6003"/>
    <cellStyle name="Calculation 2 4 3 2 2 16 4" xfId="6004"/>
    <cellStyle name="Calculation 2 4 3 2 2 16 5" xfId="6005"/>
    <cellStyle name="Calculation 2 4 3 2 2 17" xfId="6006"/>
    <cellStyle name="Calculation 2 4 3 2 2 17 2" xfId="6007"/>
    <cellStyle name="Calculation 2 4 3 2 2 17 3" xfId="6008"/>
    <cellStyle name="Calculation 2 4 3 2 2 17 4" xfId="6009"/>
    <cellStyle name="Calculation 2 4 3 2 2 17 5" xfId="6010"/>
    <cellStyle name="Calculation 2 4 3 2 2 18" xfId="6011"/>
    <cellStyle name="Calculation 2 4 3 2 2 19" xfId="981"/>
    <cellStyle name="Calculation 2 4 3 2 2 2" xfId="1698"/>
    <cellStyle name="Calculation 2 4 3 2 2 2 2" xfId="6012"/>
    <cellStyle name="Calculation 2 4 3 2 2 2 3" xfId="6013"/>
    <cellStyle name="Calculation 2 4 3 2 2 2 4" xfId="6014"/>
    <cellStyle name="Calculation 2 4 3 2 2 2 5" xfId="6015"/>
    <cellStyle name="Calculation 2 4 3 2 2 2 6" xfId="36356"/>
    <cellStyle name="Calculation 2 4 3 2 2 2 7" xfId="42664"/>
    <cellStyle name="Calculation 2 4 3 2 2 2 8" xfId="51156"/>
    <cellStyle name="Calculation 2 4 3 2 2 20" xfId="35061"/>
    <cellStyle name="Calculation 2 4 3 2 2 21" xfId="41280"/>
    <cellStyle name="Calculation 2 4 3 2 2 3" xfId="1699"/>
    <cellStyle name="Calculation 2 4 3 2 2 3 2" xfId="6016"/>
    <cellStyle name="Calculation 2 4 3 2 2 3 3" xfId="6017"/>
    <cellStyle name="Calculation 2 4 3 2 2 3 4" xfId="6018"/>
    <cellStyle name="Calculation 2 4 3 2 2 3 5" xfId="6019"/>
    <cellStyle name="Calculation 2 4 3 2 2 3 6" xfId="36853"/>
    <cellStyle name="Calculation 2 4 3 2 2 3 7" xfId="42665"/>
    <cellStyle name="Calculation 2 4 3 2 2 3 8" xfId="51157"/>
    <cellStyle name="Calculation 2 4 3 2 2 4" xfId="1138"/>
    <cellStyle name="Calculation 2 4 3 2 2 4 2" xfId="6020"/>
    <cellStyle name="Calculation 2 4 3 2 2 4 3" xfId="6021"/>
    <cellStyle name="Calculation 2 4 3 2 2 4 4" xfId="6022"/>
    <cellStyle name="Calculation 2 4 3 2 2 4 5" xfId="6023"/>
    <cellStyle name="Calculation 2 4 3 2 2 4 6" xfId="37469"/>
    <cellStyle name="Calculation 2 4 3 2 2 4 7" xfId="42666"/>
    <cellStyle name="Calculation 2 4 3 2 2 4 8" xfId="51158"/>
    <cellStyle name="Calculation 2 4 3 2 2 5" xfId="3122"/>
    <cellStyle name="Calculation 2 4 3 2 2 5 2" xfId="6024"/>
    <cellStyle name="Calculation 2 4 3 2 2 5 3" xfId="6025"/>
    <cellStyle name="Calculation 2 4 3 2 2 5 4" xfId="6026"/>
    <cellStyle name="Calculation 2 4 3 2 2 5 5" xfId="6027"/>
    <cellStyle name="Calculation 2 4 3 2 2 5 6" xfId="38085"/>
    <cellStyle name="Calculation 2 4 3 2 2 5 7" xfId="42667"/>
    <cellStyle name="Calculation 2 4 3 2 2 5 8" xfId="51159"/>
    <cellStyle name="Calculation 2 4 3 2 2 6" xfId="3251"/>
    <cellStyle name="Calculation 2 4 3 2 2 6 2" xfId="6028"/>
    <cellStyle name="Calculation 2 4 3 2 2 6 3" xfId="6029"/>
    <cellStyle name="Calculation 2 4 3 2 2 6 4" xfId="6030"/>
    <cellStyle name="Calculation 2 4 3 2 2 6 5" xfId="6031"/>
    <cellStyle name="Calculation 2 4 3 2 2 6 6" xfId="38703"/>
    <cellStyle name="Calculation 2 4 3 2 2 6 7" xfId="42668"/>
    <cellStyle name="Calculation 2 4 3 2 2 6 8" xfId="51160"/>
    <cellStyle name="Calculation 2 4 3 2 2 7" xfId="6032"/>
    <cellStyle name="Calculation 2 4 3 2 2 7 2" xfId="6033"/>
    <cellStyle name="Calculation 2 4 3 2 2 7 3" xfId="6034"/>
    <cellStyle name="Calculation 2 4 3 2 2 7 4" xfId="6035"/>
    <cellStyle name="Calculation 2 4 3 2 2 7 5" xfId="6036"/>
    <cellStyle name="Calculation 2 4 3 2 2 7 6" xfId="39323"/>
    <cellStyle name="Calculation 2 4 3 2 2 7 7" xfId="42669"/>
    <cellStyle name="Calculation 2 4 3 2 2 7 8" xfId="51161"/>
    <cellStyle name="Calculation 2 4 3 2 2 8" xfId="6037"/>
    <cellStyle name="Calculation 2 4 3 2 2 8 2" xfId="6038"/>
    <cellStyle name="Calculation 2 4 3 2 2 8 3" xfId="6039"/>
    <cellStyle name="Calculation 2 4 3 2 2 8 4" xfId="6040"/>
    <cellStyle name="Calculation 2 4 3 2 2 8 5" xfId="6041"/>
    <cellStyle name="Calculation 2 4 3 2 2 8 6" xfId="39939"/>
    <cellStyle name="Calculation 2 4 3 2 2 8 7" xfId="42670"/>
    <cellStyle name="Calculation 2 4 3 2 2 8 8" xfId="51162"/>
    <cellStyle name="Calculation 2 4 3 2 2 9" xfId="6042"/>
    <cellStyle name="Calculation 2 4 3 2 2 9 2" xfId="6043"/>
    <cellStyle name="Calculation 2 4 3 2 2 9 3" xfId="6044"/>
    <cellStyle name="Calculation 2 4 3 2 2 9 4" xfId="6045"/>
    <cellStyle name="Calculation 2 4 3 2 2 9 5" xfId="6046"/>
    <cellStyle name="Calculation 2 4 3 2 2 9 6" xfId="40554"/>
    <cellStyle name="Calculation 2 4 3 2 2 9 7" xfId="42671"/>
    <cellStyle name="Calculation 2 4 3 2 2 9 8" xfId="51163"/>
    <cellStyle name="Calculation 2 4 3 2 20" xfId="34826"/>
    <cellStyle name="Calculation 2 4 3 2 21" xfId="40851"/>
    <cellStyle name="Calculation 2 4 3 2 22" xfId="41414"/>
    <cellStyle name="Calculation 2 4 3 2 23" xfId="50501"/>
    <cellStyle name="Calculation 2 4 3 2 3" xfId="1700"/>
    <cellStyle name="Calculation 2 4 3 2 3 10" xfId="34625"/>
    <cellStyle name="Calculation 2 4 3 2 3 11" xfId="41066"/>
    <cellStyle name="Calculation 2 4 3 2 3 12" xfId="42672"/>
    <cellStyle name="Calculation 2 4 3 2 3 13" xfId="51164"/>
    <cellStyle name="Calculation 2 4 3 2 3 2" xfId="1701"/>
    <cellStyle name="Calculation 2 4 3 2 3 2 2" xfId="36143"/>
    <cellStyle name="Calculation 2 4 3 2 3 2 3" xfId="42673"/>
    <cellStyle name="Calculation 2 4 3 2 3 2 4" xfId="51165"/>
    <cellStyle name="Calculation 2 4 3 2 3 3" xfId="1702"/>
    <cellStyle name="Calculation 2 4 3 2 3 3 2" xfId="36642"/>
    <cellStyle name="Calculation 2 4 3 2 3 3 3" xfId="42674"/>
    <cellStyle name="Calculation 2 4 3 2 3 3 4" xfId="51166"/>
    <cellStyle name="Calculation 2 4 3 2 3 4" xfId="6047"/>
    <cellStyle name="Calculation 2 4 3 2 3 4 2" xfId="37258"/>
    <cellStyle name="Calculation 2 4 3 2 3 4 3" xfId="42675"/>
    <cellStyle name="Calculation 2 4 3 2 3 4 4" xfId="51167"/>
    <cellStyle name="Calculation 2 4 3 2 3 5" xfId="6048"/>
    <cellStyle name="Calculation 2 4 3 2 3 5 2" xfId="37874"/>
    <cellStyle name="Calculation 2 4 3 2 3 5 3" xfId="42676"/>
    <cellStyle name="Calculation 2 4 3 2 3 5 4" xfId="51168"/>
    <cellStyle name="Calculation 2 4 3 2 3 6" xfId="38489"/>
    <cellStyle name="Calculation 2 4 3 2 3 6 2" xfId="42677"/>
    <cellStyle name="Calculation 2 4 3 2 3 6 3" xfId="51169"/>
    <cellStyle name="Calculation 2 4 3 2 3 7" xfId="39109"/>
    <cellStyle name="Calculation 2 4 3 2 3 7 2" xfId="42678"/>
    <cellStyle name="Calculation 2 4 3 2 3 7 3" xfId="51170"/>
    <cellStyle name="Calculation 2 4 3 2 3 8" xfId="39725"/>
    <cellStyle name="Calculation 2 4 3 2 3 8 2" xfId="42679"/>
    <cellStyle name="Calculation 2 4 3 2 3 8 3" xfId="51171"/>
    <cellStyle name="Calculation 2 4 3 2 3 9" xfId="40340"/>
    <cellStyle name="Calculation 2 4 3 2 3 9 2" xfId="42680"/>
    <cellStyle name="Calculation 2 4 3 2 3 9 3" xfId="51172"/>
    <cellStyle name="Calculation 2 4 3 2 4" xfId="1703"/>
    <cellStyle name="Calculation 2 4 3 2 4 10" xfId="42681"/>
    <cellStyle name="Calculation 2 4 3 2 4 11" xfId="51173"/>
    <cellStyle name="Calculation 2 4 3 2 4 2" xfId="6049"/>
    <cellStyle name="Calculation 2 4 3 2 4 2 2" xfId="42682"/>
    <cellStyle name="Calculation 2 4 3 2 4 2 3" xfId="51174"/>
    <cellStyle name="Calculation 2 4 3 2 4 3" xfId="6050"/>
    <cellStyle name="Calculation 2 4 3 2 4 3 2" xfId="42683"/>
    <cellStyle name="Calculation 2 4 3 2 4 3 3" xfId="51175"/>
    <cellStyle name="Calculation 2 4 3 2 4 4" xfId="6051"/>
    <cellStyle name="Calculation 2 4 3 2 4 4 2" xfId="42684"/>
    <cellStyle name="Calculation 2 4 3 2 4 4 3" xfId="51176"/>
    <cellStyle name="Calculation 2 4 3 2 4 5" xfId="6052"/>
    <cellStyle name="Calculation 2 4 3 2 4 5 2" xfId="42685"/>
    <cellStyle name="Calculation 2 4 3 2 4 5 3" xfId="51177"/>
    <cellStyle name="Calculation 2 4 3 2 4 6" xfId="35679"/>
    <cellStyle name="Calculation 2 4 3 2 4 6 2" xfId="42686"/>
    <cellStyle name="Calculation 2 4 3 2 4 6 3" xfId="51178"/>
    <cellStyle name="Calculation 2 4 3 2 4 7" xfId="42687"/>
    <cellStyle name="Calculation 2 4 3 2 4 7 2" xfId="51179"/>
    <cellStyle name="Calculation 2 4 3 2 4 8" xfId="42688"/>
    <cellStyle name="Calculation 2 4 3 2 4 8 2" xfId="51180"/>
    <cellStyle name="Calculation 2 4 3 2 4 9" xfId="42689"/>
    <cellStyle name="Calculation 2 4 3 2 4 9 2" xfId="51181"/>
    <cellStyle name="Calculation 2 4 3 2 5" xfId="1137"/>
    <cellStyle name="Calculation 2 4 3 2 5 2" xfId="6053"/>
    <cellStyle name="Calculation 2 4 3 2 5 3" xfId="6054"/>
    <cellStyle name="Calculation 2 4 3 2 5 4" xfId="6055"/>
    <cellStyle name="Calculation 2 4 3 2 5 5" xfId="6056"/>
    <cellStyle name="Calculation 2 4 3 2 5 6" xfId="35998"/>
    <cellStyle name="Calculation 2 4 3 2 5 7" xfId="42690"/>
    <cellStyle name="Calculation 2 4 3 2 5 8" xfId="51182"/>
    <cellStyle name="Calculation 2 4 3 2 6" xfId="3121"/>
    <cellStyle name="Calculation 2 4 3 2 6 2" xfId="6057"/>
    <cellStyle name="Calculation 2 4 3 2 6 3" xfId="6058"/>
    <cellStyle name="Calculation 2 4 3 2 6 4" xfId="6059"/>
    <cellStyle name="Calculation 2 4 3 2 6 5" xfId="6060"/>
    <cellStyle name="Calculation 2 4 3 2 6 6" xfId="37043"/>
    <cellStyle name="Calculation 2 4 3 2 6 7" xfId="42691"/>
    <cellStyle name="Calculation 2 4 3 2 6 8" xfId="51183"/>
    <cellStyle name="Calculation 2 4 3 2 7" xfId="3252"/>
    <cellStyle name="Calculation 2 4 3 2 7 2" xfId="6061"/>
    <cellStyle name="Calculation 2 4 3 2 7 3" xfId="6062"/>
    <cellStyle name="Calculation 2 4 3 2 7 4" xfId="6063"/>
    <cellStyle name="Calculation 2 4 3 2 7 5" xfId="6064"/>
    <cellStyle name="Calculation 2 4 3 2 7 6" xfId="37655"/>
    <cellStyle name="Calculation 2 4 3 2 7 7" xfId="42692"/>
    <cellStyle name="Calculation 2 4 3 2 7 8" xfId="51184"/>
    <cellStyle name="Calculation 2 4 3 2 8" xfId="6065"/>
    <cellStyle name="Calculation 2 4 3 2 8 2" xfId="6066"/>
    <cellStyle name="Calculation 2 4 3 2 8 3" xfId="6067"/>
    <cellStyle name="Calculation 2 4 3 2 8 4" xfId="6068"/>
    <cellStyle name="Calculation 2 4 3 2 8 5" xfId="6069"/>
    <cellStyle name="Calculation 2 4 3 2 8 6" xfId="38270"/>
    <cellStyle name="Calculation 2 4 3 2 8 7" xfId="42693"/>
    <cellStyle name="Calculation 2 4 3 2 8 8" xfId="51185"/>
    <cellStyle name="Calculation 2 4 3 2 9" xfId="6070"/>
    <cellStyle name="Calculation 2 4 3 2 9 2" xfId="6071"/>
    <cellStyle name="Calculation 2 4 3 2 9 3" xfId="6072"/>
    <cellStyle name="Calculation 2 4 3 2 9 4" xfId="6073"/>
    <cellStyle name="Calculation 2 4 3 2 9 5" xfId="6074"/>
    <cellStyle name="Calculation 2 4 3 2 9 6" xfId="38890"/>
    <cellStyle name="Calculation 2 4 3 2 9 7" xfId="42694"/>
    <cellStyle name="Calculation 2 4 3 2 9 8" xfId="51186"/>
    <cellStyle name="Calculation 2 4 3 3" xfId="501"/>
    <cellStyle name="Calculation 2 4 3 3 10" xfId="6075"/>
    <cellStyle name="Calculation 2 4 3 3 10 2" xfId="6076"/>
    <cellStyle name="Calculation 2 4 3 3 10 3" xfId="6077"/>
    <cellStyle name="Calculation 2 4 3 3 10 4" xfId="6078"/>
    <cellStyle name="Calculation 2 4 3 3 10 5" xfId="6079"/>
    <cellStyle name="Calculation 2 4 3 3 10 6" xfId="42695"/>
    <cellStyle name="Calculation 2 4 3 3 10 7" xfId="51187"/>
    <cellStyle name="Calculation 2 4 3 3 11" xfId="6080"/>
    <cellStyle name="Calculation 2 4 3 3 11 2" xfId="6081"/>
    <cellStyle name="Calculation 2 4 3 3 11 3" xfId="6082"/>
    <cellStyle name="Calculation 2 4 3 3 11 4" xfId="6083"/>
    <cellStyle name="Calculation 2 4 3 3 11 5" xfId="6084"/>
    <cellStyle name="Calculation 2 4 3 3 12" xfId="6085"/>
    <cellStyle name="Calculation 2 4 3 3 12 2" xfId="6086"/>
    <cellStyle name="Calculation 2 4 3 3 12 3" xfId="6087"/>
    <cellStyle name="Calculation 2 4 3 3 12 4" xfId="6088"/>
    <cellStyle name="Calculation 2 4 3 3 12 5" xfId="6089"/>
    <cellStyle name="Calculation 2 4 3 3 13" xfId="6090"/>
    <cellStyle name="Calculation 2 4 3 3 13 2" xfId="6091"/>
    <cellStyle name="Calculation 2 4 3 3 13 3" xfId="6092"/>
    <cellStyle name="Calculation 2 4 3 3 13 4" xfId="6093"/>
    <cellStyle name="Calculation 2 4 3 3 13 5" xfId="6094"/>
    <cellStyle name="Calculation 2 4 3 3 14" xfId="6095"/>
    <cellStyle name="Calculation 2 4 3 3 14 2" xfId="6096"/>
    <cellStyle name="Calculation 2 4 3 3 14 3" xfId="6097"/>
    <cellStyle name="Calculation 2 4 3 3 14 4" xfId="6098"/>
    <cellStyle name="Calculation 2 4 3 3 14 5" xfId="6099"/>
    <cellStyle name="Calculation 2 4 3 3 15" xfId="6100"/>
    <cellStyle name="Calculation 2 4 3 3 15 2" xfId="6101"/>
    <cellStyle name="Calculation 2 4 3 3 15 3" xfId="6102"/>
    <cellStyle name="Calculation 2 4 3 3 15 4" xfId="6103"/>
    <cellStyle name="Calculation 2 4 3 3 15 5" xfId="6104"/>
    <cellStyle name="Calculation 2 4 3 3 16" xfId="6105"/>
    <cellStyle name="Calculation 2 4 3 3 16 2" xfId="6106"/>
    <cellStyle name="Calculation 2 4 3 3 16 3" xfId="6107"/>
    <cellStyle name="Calculation 2 4 3 3 16 4" xfId="6108"/>
    <cellStyle name="Calculation 2 4 3 3 16 5" xfId="6109"/>
    <cellStyle name="Calculation 2 4 3 3 17" xfId="6110"/>
    <cellStyle name="Calculation 2 4 3 3 17 2" xfId="6111"/>
    <cellStyle name="Calculation 2 4 3 3 17 3" xfId="6112"/>
    <cellStyle name="Calculation 2 4 3 3 17 4" xfId="6113"/>
    <cellStyle name="Calculation 2 4 3 3 17 5" xfId="6114"/>
    <cellStyle name="Calculation 2 4 3 3 18" xfId="6115"/>
    <cellStyle name="Calculation 2 4 3 3 19" xfId="930"/>
    <cellStyle name="Calculation 2 4 3 3 2" xfId="1704"/>
    <cellStyle name="Calculation 2 4 3 3 2 2" xfId="1705"/>
    <cellStyle name="Calculation 2 4 3 3 2 3" xfId="1706"/>
    <cellStyle name="Calculation 2 4 3 3 2 4" xfId="6116"/>
    <cellStyle name="Calculation 2 4 3 3 2 5" xfId="6117"/>
    <cellStyle name="Calculation 2 4 3 3 2 6" xfId="36305"/>
    <cellStyle name="Calculation 2 4 3 3 2 7" xfId="42696"/>
    <cellStyle name="Calculation 2 4 3 3 2 8" xfId="51188"/>
    <cellStyle name="Calculation 2 4 3 3 20" xfId="35010"/>
    <cellStyle name="Calculation 2 4 3 3 21" xfId="40719"/>
    <cellStyle name="Calculation 2 4 3 3 22" xfId="41229"/>
    <cellStyle name="Calculation 2 4 3 3 3" xfId="1707"/>
    <cellStyle name="Calculation 2 4 3 3 3 2" xfId="6118"/>
    <cellStyle name="Calculation 2 4 3 3 3 3" xfId="6119"/>
    <cellStyle name="Calculation 2 4 3 3 3 4" xfId="6120"/>
    <cellStyle name="Calculation 2 4 3 3 3 5" xfId="6121"/>
    <cellStyle name="Calculation 2 4 3 3 3 6" xfId="36802"/>
    <cellStyle name="Calculation 2 4 3 3 3 7" xfId="42697"/>
    <cellStyle name="Calculation 2 4 3 3 3 8" xfId="51189"/>
    <cellStyle name="Calculation 2 4 3 3 4" xfId="1139"/>
    <cellStyle name="Calculation 2 4 3 3 4 2" xfId="6122"/>
    <cellStyle name="Calculation 2 4 3 3 4 3" xfId="6123"/>
    <cellStyle name="Calculation 2 4 3 3 4 4" xfId="6124"/>
    <cellStyle name="Calculation 2 4 3 3 4 5" xfId="6125"/>
    <cellStyle name="Calculation 2 4 3 3 4 6" xfId="37418"/>
    <cellStyle name="Calculation 2 4 3 3 4 7" xfId="42698"/>
    <cellStyle name="Calculation 2 4 3 3 4 8" xfId="51190"/>
    <cellStyle name="Calculation 2 4 3 3 5" xfId="3123"/>
    <cellStyle name="Calculation 2 4 3 3 5 2" xfId="6126"/>
    <cellStyle name="Calculation 2 4 3 3 5 3" xfId="6127"/>
    <cellStyle name="Calculation 2 4 3 3 5 4" xfId="6128"/>
    <cellStyle name="Calculation 2 4 3 3 5 5" xfId="6129"/>
    <cellStyle name="Calculation 2 4 3 3 5 6" xfId="38034"/>
    <cellStyle name="Calculation 2 4 3 3 5 7" xfId="42699"/>
    <cellStyle name="Calculation 2 4 3 3 5 8" xfId="51191"/>
    <cellStyle name="Calculation 2 4 3 3 6" xfId="3250"/>
    <cellStyle name="Calculation 2 4 3 3 6 2" xfId="6130"/>
    <cellStyle name="Calculation 2 4 3 3 6 3" xfId="6131"/>
    <cellStyle name="Calculation 2 4 3 3 6 4" xfId="6132"/>
    <cellStyle name="Calculation 2 4 3 3 6 5" xfId="6133"/>
    <cellStyle name="Calculation 2 4 3 3 6 6" xfId="38652"/>
    <cellStyle name="Calculation 2 4 3 3 6 7" xfId="42700"/>
    <cellStyle name="Calculation 2 4 3 3 6 8" xfId="51192"/>
    <cellStyle name="Calculation 2 4 3 3 7" xfId="6134"/>
    <cellStyle name="Calculation 2 4 3 3 7 2" xfId="6135"/>
    <cellStyle name="Calculation 2 4 3 3 7 3" xfId="6136"/>
    <cellStyle name="Calculation 2 4 3 3 7 4" xfId="6137"/>
    <cellStyle name="Calculation 2 4 3 3 7 5" xfId="6138"/>
    <cellStyle name="Calculation 2 4 3 3 7 6" xfId="39272"/>
    <cellStyle name="Calculation 2 4 3 3 7 7" xfId="42701"/>
    <cellStyle name="Calculation 2 4 3 3 7 8" xfId="51193"/>
    <cellStyle name="Calculation 2 4 3 3 8" xfId="6139"/>
    <cellStyle name="Calculation 2 4 3 3 8 2" xfId="6140"/>
    <cellStyle name="Calculation 2 4 3 3 8 3" xfId="6141"/>
    <cellStyle name="Calculation 2 4 3 3 8 4" xfId="6142"/>
    <cellStyle name="Calculation 2 4 3 3 8 5" xfId="6143"/>
    <cellStyle name="Calculation 2 4 3 3 8 6" xfId="39888"/>
    <cellStyle name="Calculation 2 4 3 3 8 7" xfId="42702"/>
    <cellStyle name="Calculation 2 4 3 3 8 8" xfId="51194"/>
    <cellStyle name="Calculation 2 4 3 3 9" xfId="6144"/>
    <cellStyle name="Calculation 2 4 3 3 9 2" xfId="6145"/>
    <cellStyle name="Calculation 2 4 3 3 9 3" xfId="6146"/>
    <cellStyle name="Calculation 2 4 3 3 9 4" xfId="6147"/>
    <cellStyle name="Calculation 2 4 3 3 9 5" xfId="6148"/>
    <cellStyle name="Calculation 2 4 3 3 9 6" xfId="40503"/>
    <cellStyle name="Calculation 2 4 3 3 9 7" xfId="42703"/>
    <cellStyle name="Calculation 2 4 3 3 9 8" xfId="51195"/>
    <cellStyle name="Calculation 2 4 3 4" xfId="1708"/>
    <cellStyle name="Calculation 2 4 3 4 10" xfId="34884"/>
    <cellStyle name="Calculation 2 4 3 4 11" xfId="41015"/>
    <cellStyle name="Calculation 2 4 3 4 12" xfId="42704"/>
    <cellStyle name="Calculation 2 4 3 4 13" xfId="51196"/>
    <cellStyle name="Calculation 2 4 3 4 2" xfId="1709"/>
    <cellStyle name="Calculation 2 4 3 4 2 2" xfId="36092"/>
    <cellStyle name="Calculation 2 4 3 4 2 3" xfId="42705"/>
    <cellStyle name="Calculation 2 4 3 4 2 4" xfId="51197"/>
    <cellStyle name="Calculation 2 4 3 4 3" xfId="1710"/>
    <cellStyle name="Calculation 2 4 3 4 3 2" xfId="36591"/>
    <cellStyle name="Calculation 2 4 3 4 3 3" xfId="42706"/>
    <cellStyle name="Calculation 2 4 3 4 3 4" xfId="51198"/>
    <cellStyle name="Calculation 2 4 3 4 4" xfId="6149"/>
    <cellStyle name="Calculation 2 4 3 4 4 2" xfId="37207"/>
    <cellStyle name="Calculation 2 4 3 4 4 3" xfId="42707"/>
    <cellStyle name="Calculation 2 4 3 4 4 4" xfId="51199"/>
    <cellStyle name="Calculation 2 4 3 4 5" xfId="6150"/>
    <cellStyle name="Calculation 2 4 3 4 5 2" xfId="37823"/>
    <cellStyle name="Calculation 2 4 3 4 5 3" xfId="42708"/>
    <cellStyle name="Calculation 2 4 3 4 5 4" xfId="51200"/>
    <cellStyle name="Calculation 2 4 3 4 6" xfId="38438"/>
    <cellStyle name="Calculation 2 4 3 4 6 2" xfId="42709"/>
    <cellStyle name="Calculation 2 4 3 4 6 3" xfId="51201"/>
    <cellStyle name="Calculation 2 4 3 4 7" xfId="39058"/>
    <cellStyle name="Calculation 2 4 3 4 7 2" xfId="42710"/>
    <cellStyle name="Calculation 2 4 3 4 7 3" xfId="51202"/>
    <cellStyle name="Calculation 2 4 3 4 8" xfId="39674"/>
    <cellStyle name="Calculation 2 4 3 4 8 2" xfId="42711"/>
    <cellStyle name="Calculation 2 4 3 4 8 3" xfId="51203"/>
    <cellStyle name="Calculation 2 4 3 4 9" xfId="40289"/>
    <cellStyle name="Calculation 2 4 3 4 9 2" xfId="42712"/>
    <cellStyle name="Calculation 2 4 3 4 9 3" xfId="51204"/>
    <cellStyle name="Calculation 2 4 3 5" xfId="1711"/>
    <cellStyle name="Calculation 2 4 3 5 10" xfId="42713"/>
    <cellStyle name="Calculation 2 4 3 5 11" xfId="51205"/>
    <cellStyle name="Calculation 2 4 3 5 2" xfId="1712"/>
    <cellStyle name="Calculation 2 4 3 5 2 2" xfId="42714"/>
    <cellStyle name="Calculation 2 4 3 5 2 3" xfId="51206"/>
    <cellStyle name="Calculation 2 4 3 5 3" xfId="1713"/>
    <cellStyle name="Calculation 2 4 3 5 3 2" xfId="42715"/>
    <cellStyle name="Calculation 2 4 3 5 3 3" xfId="51207"/>
    <cellStyle name="Calculation 2 4 3 5 4" xfId="6151"/>
    <cellStyle name="Calculation 2 4 3 5 4 2" xfId="42716"/>
    <cellStyle name="Calculation 2 4 3 5 4 3" xfId="51208"/>
    <cellStyle name="Calculation 2 4 3 5 5" xfId="6152"/>
    <cellStyle name="Calculation 2 4 3 5 5 2" xfId="42717"/>
    <cellStyle name="Calculation 2 4 3 5 5 3" xfId="51209"/>
    <cellStyle name="Calculation 2 4 3 5 6" xfId="35410"/>
    <cellStyle name="Calculation 2 4 3 5 6 2" xfId="42718"/>
    <cellStyle name="Calculation 2 4 3 5 6 3" xfId="51210"/>
    <cellStyle name="Calculation 2 4 3 5 7" xfId="42719"/>
    <cellStyle name="Calculation 2 4 3 5 7 2" xfId="51211"/>
    <cellStyle name="Calculation 2 4 3 5 8" xfId="42720"/>
    <cellStyle name="Calculation 2 4 3 5 8 2" xfId="51212"/>
    <cellStyle name="Calculation 2 4 3 5 9" xfId="42721"/>
    <cellStyle name="Calculation 2 4 3 5 9 2" xfId="51213"/>
    <cellStyle name="Calculation 2 4 3 6" xfId="1136"/>
    <cellStyle name="Calculation 2 4 3 6 2" xfId="6153"/>
    <cellStyle name="Calculation 2 4 3 6 3" xfId="6154"/>
    <cellStyle name="Calculation 2 4 3 6 4" xfId="6155"/>
    <cellStyle name="Calculation 2 4 3 6 5" xfId="6156"/>
    <cellStyle name="Calculation 2 4 3 6 6" xfId="35942"/>
    <cellStyle name="Calculation 2 4 3 6 7" xfId="42722"/>
    <cellStyle name="Calculation 2 4 3 6 8" xfId="51214"/>
    <cellStyle name="Calculation 2 4 3 7" xfId="3120"/>
    <cellStyle name="Calculation 2 4 3 7 2" xfId="6157"/>
    <cellStyle name="Calculation 2 4 3 7 3" xfId="6158"/>
    <cellStyle name="Calculation 2 4 3 7 4" xfId="6159"/>
    <cellStyle name="Calculation 2 4 3 7 5" xfId="6160"/>
    <cellStyle name="Calculation 2 4 3 7 6" xfId="36015"/>
    <cellStyle name="Calculation 2 4 3 7 7" xfId="42723"/>
    <cellStyle name="Calculation 2 4 3 7 8" xfId="51215"/>
    <cellStyle name="Calculation 2 4 3 8" xfId="3253"/>
    <cellStyle name="Calculation 2 4 3 8 2" xfId="6161"/>
    <cellStyle name="Calculation 2 4 3 8 3" xfId="6162"/>
    <cellStyle name="Calculation 2 4 3 8 4" xfId="6163"/>
    <cellStyle name="Calculation 2 4 3 8 5" xfId="6164"/>
    <cellStyle name="Calculation 2 4 3 8 6" xfId="36987"/>
    <cellStyle name="Calculation 2 4 3 8 7" xfId="42724"/>
    <cellStyle name="Calculation 2 4 3 8 8" xfId="51216"/>
    <cellStyle name="Calculation 2 4 3 9" xfId="6165"/>
    <cellStyle name="Calculation 2 4 3 9 2" xfId="6166"/>
    <cellStyle name="Calculation 2 4 3 9 3" xfId="6167"/>
    <cellStyle name="Calculation 2 4 3 9 4" xfId="6168"/>
    <cellStyle name="Calculation 2 4 3 9 5" xfId="6169"/>
    <cellStyle name="Calculation 2 4 3 9 6" xfId="37599"/>
    <cellStyle name="Calculation 2 4 3 9 7" xfId="42725"/>
    <cellStyle name="Calculation 2 4 3 9 8" xfId="51217"/>
    <cellStyle name="Calculation 2 4 3_SS10_Codes Cat Analysis RIN" xfId="42726"/>
    <cellStyle name="Calculation 2 4 4" xfId="332"/>
    <cellStyle name="Calculation 2 4 4 10" xfId="6170"/>
    <cellStyle name="Calculation 2 4 4 10 2" xfId="6171"/>
    <cellStyle name="Calculation 2 4 4 10 3" xfId="6172"/>
    <cellStyle name="Calculation 2 4 4 10 4" xfId="6173"/>
    <cellStyle name="Calculation 2 4 4 10 5" xfId="6174"/>
    <cellStyle name="Calculation 2 4 4 10 6" xfId="39510"/>
    <cellStyle name="Calculation 2 4 4 10 7" xfId="42727"/>
    <cellStyle name="Calculation 2 4 4 10 8" xfId="51218"/>
    <cellStyle name="Calculation 2 4 4 11" xfId="6175"/>
    <cellStyle name="Calculation 2 4 4 11 2" xfId="6176"/>
    <cellStyle name="Calculation 2 4 4 11 3" xfId="6177"/>
    <cellStyle name="Calculation 2 4 4 11 4" xfId="6178"/>
    <cellStyle name="Calculation 2 4 4 11 5" xfId="6179"/>
    <cellStyle name="Calculation 2 4 4 11 6" xfId="40128"/>
    <cellStyle name="Calculation 2 4 4 11 7" xfId="42728"/>
    <cellStyle name="Calculation 2 4 4 11 8" xfId="51219"/>
    <cellStyle name="Calculation 2 4 4 12" xfId="6180"/>
    <cellStyle name="Calculation 2 4 4 12 2" xfId="6181"/>
    <cellStyle name="Calculation 2 4 4 12 3" xfId="6182"/>
    <cellStyle name="Calculation 2 4 4 12 4" xfId="6183"/>
    <cellStyle name="Calculation 2 4 4 12 5" xfId="6184"/>
    <cellStyle name="Calculation 2 4 4 12 6" xfId="42729"/>
    <cellStyle name="Calculation 2 4 4 12 7" xfId="51220"/>
    <cellStyle name="Calculation 2 4 4 13" xfId="6185"/>
    <cellStyle name="Calculation 2 4 4 13 2" xfId="6186"/>
    <cellStyle name="Calculation 2 4 4 13 3" xfId="6187"/>
    <cellStyle name="Calculation 2 4 4 13 4" xfId="6188"/>
    <cellStyle name="Calculation 2 4 4 13 5" xfId="6189"/>
    <cellStyle name="Calculation 2 4 4 13 6" xfId="42730"/>
    <cellStyle name="Calculation 2 4 4 13 7" xfId="51221"/>
    <cellStyle name="Calculation 2 4 4 14" xfId="6190"/>
    <cellStyle name="Calculation 2 4 4 14 2" xfId="6191"/>
    <cellStyle name="Calculation 2 4 4 14 3" xfId="6192"/>
    <cellStyle name="Calculation 2 4 4 14 4" xfId="6193"/>
    <cellStyle name="Calculation 2 4 4 14 5" xfId="6194"/>
    <cellStyle name="Calculation 2 4 4 15" xfId="6195"/>
    <cellStyle name="Calculation 2 4 4 15 2" xfId="6196"/>
    <cellStyle name="Calculation 2 4 4 15 3" xfId="6197"/>
    <cellStyle name="Calculation 2 4 4 15 4" xfId="6198"/>
    <cellStyle name="Calculation 2 4 4 15 5" xfId="6199"/>
    <cellStyle name="Calculation 2 4 4 16" xfId="6200"/>
    <cellStyle name="Calculation 2 4 4 16 2" xfId="6201"/>
    <cellStyle name="Calculation 2 4 4 16 3" xfId="6202"/>
    <cellStyle name="Calculation 2 4 4 16 4" xfId="6203"/>
    <cellStyle name="Calculation 2 4 4 16 5" xfId="6204"/>
    <cellStyle name="Calculation 2 4 4 17" xfId="6205"/>
    <cellStyle name="Calculation 2 4 4 17 2" xfId="6206"/>
    <cellStyle name="Calculation 2 4 4 17 3" xfId="6207"/>
    <cellStyle name="Calculation 2 4 4 17 4" xfId="6208"/>
    <cellStyle name="Calculation 2 4 4 17 5" xfId="6209"/>
    <cellStyle name="Calculation 2 4 4 18" xfId="6210"/>
    <cellStyle name="Calculation 2 4 4 19" xfId="768"/>
    <cellStyle name="Calculation 2 4 4 2" xfId="553"/>
    <cellStyle name="Calculation 2 4 4 2 10" xfId="6211"/>
    <cellStyle name="Calculation 2 4 4 2 10 2" xfId="6212"/>
    <cellStyle name="Calculation 2 4 4 2 10 3" xfId="6213"/>
    <cellStyle name="Calculation 2 4 4 2 10 4" xfId="6214"/>
    <cellStyle name="Calculation 2 4 4 2 10 5" xfId="6215"/>
    <cellStyle name="Calculation 2 4 4 2 10 6" xfId="42731"/>
    <cellStyle name="Calculation 2 4 4 2 10 7" xfId="51222"/>
    <cellStyle name="Calculation 2 4 4 2 11" xfId="6216"/>
    <cellStyle name="Calculation 2 4 4 2 11 2" xfId="6217"/>
    <cellStyle name="Calculation 2 4 4 2 11 3" xfId="6218"/>
    <cellStyle name="Calculation 2 4 4 2 11 4" xfId="6219"/>
    <cellStyle name="Calculation 2 4 4 2 11 5" xfId="6220"/>
    <cellStyle name="Calculation 2 4 4 2 12" xfId="6221"/>
    <cellStyle name="Calculation 2 4 4 2 12 2" xfId="6222"/>
    <cellStyle name="Calculation 2 4 4 2 12 3" xfId="6223"/>
    <cellStyle name="Calculation 2 4 4 2 12 4" xfId="6224"/>
    <cellStyle name="Calculation 2 4 4 2 12 5" xfId="6225"/>
    <cellStyle name="Calculation 2 4 4 2 13" xfId="6226"/>
    <cellStyle name="Calculation 2 4 4 2 13 2" xfId="6227"/>
    <cellStyle name="Calculation 2 4 4 2 13 3" xfId="6228"/>
    <cellStyle name="Calculation 2 4 4 2 13 4" xfId="6229"/>
    <cellStyle name="Calculation 2 4 4 2 13 5" xfId="6230"/>
    <cellStyle name="Calculation 2 4 4 2 14" xfId="6231"/>
    <cellStyle name="Calculation 2 4 4 2 14 2" xfId="6232"/>
    <cellStyle name="Calculation 2 4 4 2 14 3" xfId="6233"/>
    <cellStyle name="Calculation 2 4 4 2 14 4" xfId="6234"/>
    <cellStyle name="Calculation 2 4 4 2 14 5" xfId="6235"/>
    <cellStyle name="Calculation 2 4 4 2 15" xfId="6236"/>
    <cellStyle name="Calculation 2 4 4 2 15 2" xfId="6237"/>
    <cellStyle name="Calculation 2 4 4 2 15 3" xfId="6238"/>
    <cellStyle name="Calculation 2 4 4 2 15 4" xfId="6239"/>
    <cellStyle name="Calculation 2 4 4 2 15 5" xfId="6240"/>
    <cellStyle name="Calculation 2 4 4 2 16" xfId="6241"/>
    <cellStyle name="Calculation 2 4 4 2 16 2" xfId="6242"/>
    <cellStyle name="Calculation 2 4 4 2 16 3" xfId="6243"/>
    <cellStyle name="Calculation 2 4 4 2 16 4" xfId="6244"/>
    <cellStyle name="Calculation 2 4 4 2 16 5" xfId="6245"/>
    <cellStyle name="Calculation 2 4 4 2 17" xfId="6246"/>
    <cellStyle name="Calculation 2 4 4 2 17 2" xfId="6247"/>
    <cellStyle name="Calculation 2 4 4 2 17 3" xfId="6248"/>
    <cellStyle name="Calculation 2 4 4 2 17 4" xfId="6249"/>
    <cellStyle name="Calculation 2 4 4 2 17 5" xfId="6250"/>
    <cellStyle name="Calculation 2 4 4 2 18" xfId="6251"/>
    <cellStyle name="Calculation 2 4 4 2 19" xfId="982"/>
    <cellStyle name="Calculation 2 4 4 2 2" xfId="1714"/>
    <cellStyle name="Calculation 2 4 4 2 2 2" xfId="6252"/>
    <cellStyle name="Calculation 2 4 4 2 2 3" xfId="6253"/>
    <cellStyle name="Calculation 2 4 4 2 2 4" xfId="6254"/>
    <cellStyle name="Calculation 2 4 4 2 2 5" xfId="6255"/>
    <cellStyle name="Calculation 2 4 4 2 2 6" xfId="36357"/>
    <cellStyle name="Calculation 2 4 4 2 2 7" xfId="42732"/>
    <cellStyle name="Calculation 2 4 4 2 2 8" xfId="51223"/>
    <cellStyle name="Calculation 2 4 4 2 20" xfId="35062"/>
    <cellStyle name="Calculation 2 4 4 2 21" xfId="41281"/>
    <cellStyle name="Calculation 2 4 4 2 3" xfId="1715"/>
    <cellStyle name="Calculation 2 4 4 2 3 2" xfId="6256"/>
    <cellStyle name="Calculation 2 4 4 2 3 3" xfId="6257"/>
    <cellStyle name="Calculation 2 4 4 2 3 4" xfId="6258"/>
    <cellStyle name="Calculation 2 4 4 2 3 5" xfId="6259"/>
    <cellStyle name="Calculation 2 4 4 2 3 6" xfId="36854"/>
    <cellStyle name="Calculation 2 4 4 2 3 7" xfId="42733"/>
    <cellStyle name="Calculation 2 4 4 2 3 8" xfId="51224"/>
    <cellStyle name="Calculation 2 4 4 2 4" xfId="1141"/>
    <cellStyle name="Calculation 2 4 4 2 4 2" xfId="6260"/>
    <cellStyle name="Calculation 2 4 4 2 4 3" xfId="6261"/>
    <cellStyle name="Calculation 2 4 4 2 4 4" xfId="6262"/>
    <cellStyle name="Calculation 2 4 4 2 4 5" xfId="6263"/>
    <cellStyle name="Calculation 2 4 4 2 4 6" xfId="37470"/>
    <cellStyle name="Calculation 2 4 4 2 4 7" xfId="42734"/>
    <cellStyle name="Calculation 2 4 4 2 4 8" xfId="51225"/>
    <cellStyle name="Calculation 2 4 4 2 5" xfId="3125"/>
    <cellStyle name="Calculation 2 4 4 2 5 2" xfId="6264"/>
    <cellStyle name="Calculation 2 4 4 2 5 3" xfId="6265"/>
    <cellStyle name="Calculation 2 4 4 2 5 4" xfId="6266"/>
    <cellStyle name="Calculation 2 4 4 2 5 5" xfId="6267"/>
    <cellStyle name="Calculation 2 4 4 2 5 6" xfId="38086"/>
    <cellStyle name="Calculation 2 4 4 2 5 7" xfId="42735"/>
    <cellStyle name="Calculation 2 4 4 2 5 8" xfId="51226"/>
    <cellStyle name="Calculation 2 4 4 2 6" xfId="3248"/>
    <cellStyle name="Calculation 2 4 4 2 6 2" xfId="6268"/>
    <cellStyle name="Calculation 2 4 4 2 6 3" xfId="6269"/>
    <cellStyle name="Calculation 2 4 4 2 6 4" xfId="6270"/>
    <cellStyle name="Calculation 2 4 4 2 6 5" xfId="6271"/>
    <cellStyle name="Calculation 2 4 4 2 6 6" xfId="38704"/>
    <cellStyle name="Calculation 2 4 4 2 6 7" xfId="42736"/>
    <cellStyle name="Calculation 2 4 4 2 6 8" xfId="51227"/>
    <cellStyle name="Calculation 2 4 4 2 7" xfId="6272"/>
    <cellStyle name="Calculation 2 4 4 2 7 2" xfId="6273"/>
    <cellStyle name="Calculation 2 4 4 2 7 3" xfId="6274"/>
    <cellStyle name="Calculation 2 4 4 2 7 4" xfId="6275"/>
    <cellStyle name="Calculation 2 4 4 2 7 5" xfId="6276"/>
    <cellStyle name="Calculation 2 4 4 2 7 6" xfId="39324"/>
    <cellStyle name="Calculation 2 4 4 2 7 7" xfId="42737"/>
    <cellStyle name="Calculation 2 4 4 2 7 8" xfId="51228"/>
    <cellStyle name="Calculation 2 4 4 2 8" xfId="6277"/>
    <cellStyle name="Calculation 2 4 4 2 8 2" xfId="6278"/>
    <cellStyle name="Calculation 2 4 4 2 8 3" xfId="6279"/>
    <cellStyle name="Calculation 2 4 4 2 8 4" xfId="6280"/>
    <cellStyle name="Calculation 2 4 4 2 8 5" xfId="6281"/>
    <cellStyle name="Calculation 2 4 4 2 8 6" xfId="39940"/>
    <cellStyle name="Calculation 2 4 4 2 8 7" xfId="42738"/>
    <cellStyle name="Calculation 2 4 4 2 8 8" xfId="51229"/>
    <cellStyle name="Calculation 2 4 4 2 9" xfId="6282"/>
    <cellStyle name="Calculation 2 4 4 2 9 2" xfId="6283"/>
    <cellStyle name="Calculation 2 4 4 2 9 3" xfId="6284"/>
    <cellStyle name="Calculation 2 4 4 2 9 4" xfId="6285"/>
    <cellStyle name="Calculation 2 4 4 2 9 5" xfId="6286"/>
    <cellStyle name="Calculation 2 4 4 2 9 6" xfId="40555"/>
    <cellStyle name="Calculation 2 4 4 2 9 7" xfId="42739"/>
    <cellStyle name="Calculation 2 4 4 2 9 8" xfId="51230"/>
    <cellStyle name="Calculation 2 4 4 20" xfId="34892"/>
    <cellStyle name="Calculation 2 4 4 21" xfId="40852"/>
    <cellStyle name="Calculation 2 4 4 22" xfId="41415"/>
    <cellStyle name="Calculation 2 4 4 23" xfId="50502"/>
    <cellStyle name="Calculation 2 4 4 3" xfId="1716"/>
    <cellStyle name="Calculation 2 4 4 3 10" xfId="34624"/>
    <cellStyle name="Calculation 2 4 4 3 11" xfId="41067"/>
    <cellStyle name="Calculation 2 4 4 3 12" xfId="42740"/>
    <cellStyle name="Calculation 2 4 4 3 13" xfId="51231"/>
    <cellStyle name="Calculation 2 4 4 3 2" xfId="1717"/>
    <cellStyle name="Calculation 2 4 4 3 2 2" xfId="36144"/>
    <cellStyle name="Calculation 2 4 4 3 2 3" xfId="42741"/>
    <cellStyle name="Calculation 2 4 4 3 2 4" xfId="51232"/>
    <cellStyle name="Calculation 2 4 4 3 3" xfId="1718"/>
    <cellStyle name="Calculation 2 4 4 3 3 2" xfId="36643"/>
    <cellStyle name="Calculation 2 4 4 3 3 3" xfId="42742"/>
    <cellStyle name="Calculation 2 4 4 3 3 4" xfId="51233"/>
    <cellStyle name="Calculation 2 4 4 3 4" xfId="6287"/>
    <cellStyle name="Calculation 2 4 4 3 4 2" xfId="37259"/>
    <cellStyle name="Calculation 2 4 4 3 4 3" xfId="42743"/>
    <cellStyle name="Calculation 2 4 4 3 4 4" xfId="51234"/>
    <cellStyle name="Calculation 2 4 4 3 5" xfId="6288"/>
    <cellStyle name="Calculation 2 4 4 3 5 2" xfId="37875"/>
    <cellStyle name="Calculation 2 4 4 3 5 3" xfId="42744"/>
    <cellStyle name="Calculation 2 4 4 3 5 4" xfId="51235"/>
    <cellStyle name="Calculation 2 4 4 3 6" xfId="38490"/>
    <cellStyle name="Calculation 2 4 4 3 6 2" xfId="42745"/>
    <cellStyle name="Calculation 2 4 4 3 6 3" xfId="51236"/>
    <cellStyle name="Calculation 2 4 4 3 7" xfId="39110"/>
    <cellStyle name="Calculation 2 4 4 3 7 2" xfId="42746"/>
    <cellStyle name="Calculation 2 4 4 3 7 3" xfId="51237"/>
    <cellStyle name="Calculation 2 4 4 3 8" xfId="39726"/>
    <cellStyle name="Calculation 2 4 4 3 8 2" xfId="42747"/>
    <cellStyle name="Calculation 2 4 4 3 8 3" xfId="51238"/>
    <cellStyle name="Calculation 2 4 4 3 9" xfId="40341"/>
    <cellStyle name="Calculation 2 4 4 3 9 2" xfId="42748"/>
    <cellStyle name="Calculation 2 4 4 3 9 3" xfId="51239"/>
    <cellStyle name="Calculation 2 4 4 4" xfId="1719"/>
    <cellStyle name="Calculation 2 4 4 4 10" xfId="42749"/>
    <cellStyle name="Calculation 2 4 4 4 11" xfId="51240"/>
    <cellStyle name="Calculation 2 4 4 4 2" xfId="6289"/>
    <cellStyle name="Calculation 2 4 4 4 2 2" xfId="42750"/>
    <cellStyle name="Calculation 2 4 4 4 2 3" xfId="51241"/>
    <cellStyle name="Calculation 2 4 4 4 3" xfId="6290"/>
    <cellStyle name="Calculation 2 4 4 4 3 2" xfId="42751"/>
    <cellStyle name="Calculation 2 4 4 4 3 3" xfId="51242"/>
    <cellStyle name="Calculation 2 4 4 4 4" xfId="6291"/>
    <cellStyle name="Calculation 2 4 4 4 4 2" xfId="42752"/>
    <cellStyle name="Calculation 2 4 4 4 4 3" xfId="51243"/>
    <cellStyle name="Calculation 2 4 4 4 5" xfId="6292"/>
    <cellStyle name="Calculation 2 4 4 4 5 2" xfId="42753"/>
    <cellStyle name="Calculation 2 4 4 4 5 3" xfId="51244"/>
    <cellStyle name="Calculation 2 4 4 4 6" xfId="35651"/>
    <cellStyle name="Calculation 2 4 4 4 6 2" xfId="42754"/>
    <cellStyle name="Calculation 2 4 4 4 6 3" xfId="51245"/>
    <cellStyle name="Calculation 2 4 4 4 7" xfId="42755"/>
    <cellStyle name="Calculation 2 4 4 4 7 2" xfId="51246"/>
    <cellStyle name="Calculation 2 4 4 4 8" xfId="42756"/>
    <cellStyle name="Calculation 2 4 4 4 8 2" xfId="51247"/>
    <cellStyle name="Calculation 2 4 4 4 9" xfId="42757"/>
    <cellStyle name="Calculation 2 4 4 4 9 2" xfId="51248"/>
    <cellStyle name="Calculation 2 4 4 5" xfId="1140"/>
    <cellStyle name="Calculation 2 4 4 5 2" xfId="6293"/>
    <cellStyle name="Calculation 2 4 4 5 3" xfId="6294"/>
    <cellStyle name="Calculation 2 4 4 5 4" xfId="6295"/>
    <cellStyle name="Calculation 2 4 4 5 5" xfId="6296"/>
    <cellStyle name="Calculation 2 4 4 5 6" xfId="35997"/>
    <cellStyle name="Calculation 2 4 4 5 7" xfId="42758"/>
    <cellStyle name="Calculation 2 4 4 5 8" xfId="51249"/>
    <cellStyle name="Calculation 2 4 4 6" xfId="3124"/>
    <cellStyle name="Calculation 2 4 4 6 2" xfId="6297"/>
    <cellStyle name="Calculation 2 4 4 6 3" xfId="6298"/>
    <cellStyle name="Calculation 2 4 4 6 4" xfId="6299"/>
    <cellStyle name="Calculation 2 4 4 6 5" xfId="6300"/>
    <cellStyle name="Calculation 2 4 4 6 6" xfId="37044"/>
    <cellStyle name="Calculation 2 4 4 6 7" xfId="42759"/>
    <cellStyle name="Calculation 2 4 4 6 8" xfId="51250"/>
    <cellStyle name="Calculation 2 4 4 7" xfId="3249"/>
    <cellStyle name="Calculation 2 4 4 7 2" xfId="6301"/>
    <cellStyle name="Calculation 2 4 4 7 3" xfId="6302"/>
    <cellStyle name="Calculation 2 4 4 7 4" xfId="6303"/>
    <cellStyle name="Calculation 2 4 4 7 5" xfId="6304"/>
    <cellStyle name="Calculation 2 4 4 7 6" xfId="37656"/>
    <cellStyle name="Calculation 2 4 4 7 7" xfId="42760"/>
    <cellStyle name="Calculation 2 4 4 7 8" xfId="51251"/>
    <cellStyle name="Calculation 2 4 4 8" xfId="6305"/>
    <cellStyle name="Calculation 2 4 4 8 2" xfId="6306"/>
    <cellStyle name="Calculation 2 4 4 8 3" xfId="6307"/>
    <cellStyle name="Calculation 2 4 4 8 4" xfId="6308"/>
    <cellStyle name="Calculation 2 4 4 8 5" xfId="6309"/>
    <cellStyle name="Calculation 2 4 4 8 6" xfId="38271"/>
    <cellStyle name="Calculation 2 4 4 8 7" xfId="42761"/>
    <cellStyle name="Calculation 2 4 4 8 8" xfId="51252"/>
    <cellStyle name="Calculation 2 4 4 9" xfId="6310"/>
    <cellStyle name="Calculation 2 4 4 9 2" xfId="6311"/>
    <cellStyle name="Calculation 2 4 4 9 3" xfId="6312"/>
    <cellStyle name="Calculation 2 4 4 9 4" xfId="6313"/>
    <cellStyle name="Calculation 2 4 4 9 5" xfId="6314"/>
    <cellStyle name="Calculation 2 4 4 9 6" xfId="38891"/>
    <cellStyle name="Calculation 2 4 4 9 7" xfId="42762"/>
    <cellStyle name="Calculation 2 4 4 9 8" xfId="51253"/>
    <cellStyle name="Calculation 2 4 5" xfId="475"/>
    <cellStyle name="Calculation 2 4 5 10" xfId="6315"/>
    <cellStyle name="Calculation 2 4 5 10 2" xfId="6316"/>
    <cellStyle name="Calculation 2 4 5 10 3" xfId="6317"/>
    <cellStyle name="Calculation 2 4 5 10 4" xfId="6318"/>
    <cellStyle name="Calculation 2 4 5 10 5" xfId="6319"/>
    <cellStyle name="Calculation 2 4 5 10 6" xfId="42763"/>
    <cellStyle name="Calculation 2 4 5 10 7" xfId="51254"/>
    <cellStyle name="Calculation 2 4 5 11" xfId="6320"/>
    <cellStyle name="Calculation 2 4 5 11 2" xfId="6321"/>
    <cellStyle name="Calculation 2 4 5 11 3" xfId="6322"/>
    <cellStyle name="Calculation 2 4 5 11 4" xfId="6323"/>
    <cellStyle name="Calculation 2 4 5 11 5" xfId="6324"/>
    <cellStyle name="Calculation 2 4 5 12" xfId="6325"/>
    <cellStyle name="Calculation 2 4 5 12 2" xfId="6326"/>
    <cellStyle name="Calculation 2 4 5 12 3" xfId="6327"/>
    <cellStyle name="Calculation 2 4 5 12 4" xfId="6328"/>
    <cellStyle name="Calculation 2 4 5 12 5" xfId="6329"/>
    <cellStyle name="Calculation 2 4 5 13" xfId="6330"/>
    <cellStyle name="Calculation 2 4 5 13 2" xfId="6331"/>
    <cellStyle name="Calculation 2 4 5 13 3" xfId="6332"/>
    <cellStyle name="Calculation 2 4 5 13 4" xfId="6333"/>
    <cellStyle name="Calculation 2 4 5 13 5" xfId="6334"/>
    <cellStyle name="Calculation 2 4 5 14" xfId="6335"/>
    <cellStyle name="Calculation 2 4 5 14 2" xfId="6336"/>
    <cellStyle name="Calculation 2 4 5 14 3" xfId="6337"/>
    <cellStyle name="Calculation 2 4 5 14 4" xfId="6338"/>
    <cellStyle name="Calculation 2 4 5 14 5" xfId="6339"/>
    <cellStyle name="Calculation 2 4 5 15" xfId="6340"/>
    <cellStyle name="Calculation 2 4 5 15 2" xfId="6341"/>
    <cellStyle name="Calculation 2 4 5 15 3" xfId="6342"/>
    <cellStyle name="Calculation 2 4 5 15 4" xfId="6343"/>
    <cellStyle name="Calculation 2 4 5 15 5" xfId="6344"/>
    <cellStyle name="Calculation 2 4 5 16" xfId="6345"/>
    <cellStyle name="Calculation 2 4 5 16 2" xfId="6346"/>
    <cellStyle name="Calculation 2 4 5 16 3" xfId="6347"/>
    <cellStyle name="Calculation 2 4 5 16 4" xfId="6348"/>
    <cellStyle name="Calculation 2 4 5 16 5" xfId="6349"/>
    <cellStyle name="Calculation 2 4 5 17" xfId="6350"/>
    <cellStyle name="Calculation 2 4 5 17 2" xfId="6351"/>
    <cellStyle name="Calculation 2 4 5 17 3" xfId="6352"/>
    <cellStyle name="Calculation 2 4 5 17 4" xfId="6353"/>
    <cellStyle name="Calculation 2 4 5 17 5" xfId="6354"/>
    <cellStyle name="Calculation 2 4 5 18" xfId="6355"/>
    <cellStyle name="Calculation 2 4 5 19" xfId="904"/>
    <cellStyle name="Calculation 2 4 5 2" xfId="1720"/>
    <cellStyle name="Calculation 2 4 5 2 2" xfId="1721"/>
    <cellStyle name="Calculation 2 4 5 2 3" xfId="1722"/>
    <cellStyle name="Calculation 2 4 5 2 4" xfId="6356"/>
    <cellStyle name="Calculation 2 4 5 2 5" xfId="6357"/>
    <cellStyle name="Calculation 2 4 5 2 6" xfId="36279"/>
    <cellStyle name="Calculation 2 4 5 2 7" xfId="42764"/>
    <cellStyle name="Calculation 2 4 5 2 8" xfId="51255"/>
    <cellStyle name="Calculation 2 4 5 20" xfId="34984"/>
    <cellStyle name="Calculation 2 4 5 21" xfId="40693"/>
    <cellStyle name="Calculation 2 4 5 22" xfId="41203"/>
    <cellStyle name="Calculation 2 4 5 3" xfId="1723"/>
    <cellStyle name="Calculation 2 4 5 3 2" xfId="6358"/>
    <cellStyle name="Calculation 2 4 5 3 3" xfId="6359"/>
    <cellStyle name="Calculation 2 4 5 3 4" xfId="6360"/>
    <cellStyle name="Calculation 2 4 5 3 5" xfId="6361"/>
    <cellStyle name="Calculation 2 4 5 3 6" xfId="36776"/>
    <cellStyle name="Calculation 2 4 5 3 7" xfId="42765"/>
    <cellStyle name="Calculation 2 4 5 3 8" xfId="51256"/>
    <cellStyle name="Calculation 2 4 5 4" xfId="1142"/>
    <cellStyle name="Calculation 2 4 5 4 2" xfId="6362"/>
    <cellStyle name="Calculation 2 4 5 4 3" xfId="6363"/>
    <cellStyle name="Calculation 2 4 5 4 4" xfId="6364"/>
    <cellStyle name="Calculation 2 4 5 4 5" xfId="6365"/>
    <cellStyle name="Calculation 2 4 5 4 6" xfId="37392"/>
    <cellStyle name="Calculation 2 4 5 4 7" xfId="42766"/>
    <cellStyle name="Calculation 2 4 5 4 8" xfId="51257"/>
    <cellStyle name="Calculation 2 4 5 5" xfId="3126"/>
    <cellStyle name="Calculation 2 4 5 5 2" xfId="6366"/>
    <cellStyle name="Calculation 2 4 5 5 3" xfId="6367"/>
    <cellStyle name="Calculation 2 4 5 5 4" xfId="6368"/>
    <cellStyle name="Calculation 2 4 5 5 5" xfId="6369"/>
    <cellStyle name="Calculation 2 4 5 5 6" xfId="38008"/>
    <cellStyle name="Calculation 2 4 5 5 7" xfId="42767"/>
    <cellStyle name="Calculation 2 4 5 5 8" xfId="51258"/>
    <cellStyle name="Calculation 2 4 5 6" xfId="3247"/>
    <cellStyle name="Calculation 2 4 5 6 2" xfId="6370"/>
    <cellStyle name="Calculation 2 4 5 6 3" xfId="6371"/>
    <cellStyle name="Calculation 2 4 5 6 4" xfId="6372"/>
    <cellStyle name="Calculation 2 4 5 6 5" xfId="6373"/>
    <cellStyle name="Calculation 2 4 5 6 6" xfId="38626"/>
    <cellStyle name="Calculation 2 4 5 6 7" xfId="42768"/>
    <cellStyle name="Calculation 2 4 5 6 8" xfId="51259"/>
    <cellStyle name="Calculation 2 4 5 7" xfId="6374"/>
    <cellStyle name="Calculation 2 4 5 7 2" xfId="6375"/>
    <cellStyle name="Calculation 2 4 5 7 3" xfId="6376"/>
    <cellStyle name="Calculation 2 4 5 7 4" xfId="6377"/>
    <cellStyle name="Calculation 2 4 5 7 5" xfId="6378"/>
    <cellStyle name="Calculation 2 4 5 7 6" xfId="39246"/>
    <cellStyle name="Calculation 2 4 5 7 7" xfId="42769"/>
    <cellStyle name="Calculation 2 4 5 7 8" xfId="51260"/>
    <cellStyle name="Calculation 2 4 5 8" xfId="6379"/>
    <cellStyle name="Calculation 2 4 5 8 2" xfId="6380"/>
    <cellStyle name="Calculation 2 4 5 8 3" xfId="6381"/>
    <cellStyle name="Calculation 2 4 5 8 4" xfId="6382"/>
    <cellStyle name="Calculation 2 4 5 8 5" xfId="6383"/>
    <cellStyle name="Calculation 2 4 5 8 6" xfId="39862"/>
    <cellStyle name="Calculation 2 4 5 8 7" xfId="42770"/>
    <cellStyle name="Calculation 2 4 5 8 8" xfId="51261"/>
    <cellStyle name="Calculation 2 4 5 9" xfId="6384"/>
    <cellStyle name="Calculation 2 4 5 9 2" xfId="6385"/>
    <cellStyle name="Calculation 2 4 5 9 3" xfId="6386"/>
    <cellStyle name="Calculation 2 4 5 9 4" xfId="6387"/>
    <cellStyle name="Calculation 2 4 5 9 5" xfId="6388"/>
    <cellStyle name="Calculation 2 4 5 9 6" xfId="40477"/>
    <cellStyle name="Calculation 2 4 5 9 7" xfId="42771"/>
    <cellStyle name="Calculation 2 4 5 9 8" xfId="51262"/>
    <cellStyle name="Calculation 2 4 6" xfId="1724"/>
    <cellStyle name="Calculation 2 4 6 10" xfId="34924"/>
    <cellStyle name="Calculation 2 4 6 11" xfId="40988"/>
    <cellStyle name="Calculation 2 4 6 12" xfId="42772"/>
    <cellStyle name="Calculation 2 4 6 13" xfId="51263"/>
    <cellStyle name="Calculation 2 4 6 2" xfId="1725"/>
    <cellStyle name="Calculation 2 4 6 2 2" xfId="36066"/>
    <cellStyle name="Calculation 2 4 6 2 3" xfId="42773"/>
    <cellStyle name="Calculation 2 4 6 2 4" xfId="51264"/>
    <cellStyle name="Calculation 2 4 6 3" xfId="1726"/>
    <cellStyle name="Calculation 2 4 6 3 2" xfId="36565"/>
    <cellStyle name="Calculation 2 4 6 3 3" xfId="42774"/>
    <cellStyle name="Calculation 2 4 6 3 4" xfId="51265"/>
    <cellStyle name="Calculation 2 4 6 4" xfId="6389"/>
    <cellStyle name="Calculation 2 4 6 4 2" xfId="37181"/>
    <cellStyle name="Calculation 2 4 6 4 3" xfId="42775"/>
    <cellStyle name="Calculation 2 4 6 4 4" xfId="51266"/>
    <cellStyle name="Calculation 2 4 6 5" xfId="6390"/>
    <cellStyle name="Calculation 2 4 6 5 2" xfId="37796"/>
    <cellStyle name="Calculation 2 4 6 5 3" xfId="42776"/>
    <cellStyle name="Calculation 2 4 6 5 4" xfId="51267"/>
    <cellStyle name="Calculation 2 4 6 6" xfId="38411"/>
    <cellStyle name="Calculation 2 4 6 6 2" xfId="42777"/>
    <cellStyle name="Calculation 2 4 6 6 3" xfId="51268"/>
    <cellStyle name="Calculation 2 4 6 7" xfId="39031"/>
    <cellStyle name="Calculation 2 4 6 7 2" xfId="42778"/>
    <cellStyle name="Calculation 2 4 6 7 3" xfId="51269"/>
    <cellStyle name="Calculation 2 4 6 8" xfId="39647"/>
    <cellStyle name="Calculation 2 4 6 8 2" xfId="42779"/>
    <cellStyle name="Calculation 2 4 6 8 3" xfId="51270"/>
    <cellStyle name="Calculation 2 4 6 9" xfId="40262"/>
    <cellStyle name="Calculation 2 4 6 9 2" xfId="42780"/>
    <cellStyle name="Calculation 2 4 6 9 3" xfId="51271"/>
    <cellStyle name="Calculation 2 4 7" xfId="1727"/>
    <cellStyle name="Calculation 2 4 7 10" xfId="42781"/>
    <cellStyle name="Calculation 2 4 7 11" xfId="51272"/>
    <cellStyle name="Calculation 2 4 7 2" xfId="1728"/>
    <cellStyle name="Calculation 2 4 7 2 2" xfId="42782"/>
    <cellStyle name="Calculation 2 4 7 2 3" xfId="51273"/>
    <cellStyle name="Calculation 2 4 7 3" xfId="1729"/>
    <cellStyle name="Calculation 2 4 7 3 2" xfId="42783"/>
    <cellStyle name="Calculation 2 4 7 3 3" xfId="51274"/>
    <cellStyle name="Calculation 2 4 7 4" xfId="6391"/>
    <cellStyle name="Calculation 2 4 7 4 2" xfId="42784"/>
    <cellStyle name="Calculation 2 4 7 4 3" xfId="51275"/>
    <cellStyle name="Calculation 2 4 7 5" xfId="6392"/>
    <cellStyle name="Calculation 2 4 7 5 2" xfId="42785"/>
    <cellStyle name="Calculation 2 4 7 5 3" xfId="51276"/>
    <cellStyle name="Calculation 2 4 7 6" xfId="35382"/>
    <cellStyle name="Calculation 2 4 7 6 2" xfId="42786"/>
    <cellStyle name="Calculation 2 4 7 6 3" xfId="51277"/>
    <cellStyle name="Calculation 2 4 7 7" xfId="42787"/>
    <cellStyle name="Calculation 2 4 7 7 2" xfId="51278"/>
    <cellStyle name="Calculation 2 4 7 8" xfId="42788"/>
    <cellStyle name="Calculation 2 4 7 8 2" xfId="51279"/>
    <cellStyle name="Calculation 2 4 7 9" xfId="42789"/>
    <cellStyle name="Calculation 2 4 7 9 2" xfId="51280"/>
    <cellStyle name="Calculation 2 4 8" xfId="1131"/>
    <cellStyle name="Calculation 2 4 8 2" xfId="6393"/>
    <cellStyle name="Calculation 2 4 8 3" xfId="6394"/>
    <cellStyle name="Calculation 2 4 8 4" xfId="6395"/>
    <cellStyle name="Calculation 2 4 8 5" xfId="6396"/>
    <cellStyle name="Calculation 2 4 8 6" xfId="35913"/>
    <cellStyle name="Calculation 2 4 8 7" xfId="42790"/>
    <cellStyle name="Calculation 2 4 8 8" xfId="51281"/>
    <cellStyle name="Calculation 2 4 9" xfId="3115"/>
    <cellStyle name="Calculation 2 4 9 2" xfId="6397"/>
    <cellStyle name="Calculation 2 4 9 3" xfId="6398"/>
    <cellStyle name="Calculation 2 4 9 4" xfId="6399"/>
    <cellStyle name="Calculation 2 4 9 5" xfId="6400"/>
    <cellStyle name="Calculation 2 4 9 6" xfId="35737"/>
    <cellStyle name="Calculation 2 4 9 7" xfId="42791"/>
    <cellStyle name="Calculation 2 4 9 8" xfId="51282"/>
    <cellStyle name="Calculation 2 4_SS10_Codes Cat Analysis RIN" xfId="42792"/>
    <cellStyle name="Calculation 2 5" xfId="242"/>
    <cellStyle name="Calculation 2 5 10" xfId="3246"/>
    <cellStyle name="Calculation 2 5 10 2" xfId="6401"/>
    <cellStyle name="Calculation 2 5 10 3" xfId="6402"/>
    <cellStyle name="Calculation 2 5 10 4" xfId="6403"/>
    <cellStyle name="Calculation 2 5 10 5" xfId="6404"/>
    <cellStyle name="Calculation 2 5 10 6" xfId="36036"/>
    <cellStyle name="Calculation 2 5 10 7" xfId="42793"/>
    <cellStyle name="Calculation 2 5 10 8" xfId="51283"/>
    <cellStyle name="Calculation 2 5 11" xfId="6405"/>
    <cellStyle name="Calculation 2 5 11 2" xfId="6406"/>
    <cellStyle name="Calculation 2 5 11 3" xfId="6407"/>
    <cellStyle name="Calculation 2 5 11 4" xfId="6408"/>
    <cellStyle name="Calculation 2 5 11 5" xfId="6409"/>
    <cellStyle name="Calculation 2 5 11 6" xfId="35857"/>
    <cellStyle name="Calculation 2 5 11 7" xfId="42794"/>
    <cellStyle name="Calculation 2 5 11 8" xfId="51284"/>
    <cellStyle name="Calculation 2 5 12" xfId="6410"/>
    <cellStyle name="Calculation 2 5 12 2" xfId="6411"/>
    <cellStyle name="Calculation 2 5 12 3" xfId="6412"/>
    <cellStyle name="Calculation 2 5 12 4" xfId="6413"/>
    <cellStyle name="Calculation 2 5 12 5" xfId="6414"/>
    <cellStyle name="Calculation 2 5 12 6" xfId="35734"/>
    <cellStyle name="Calculation 2 5 12 7" xfId="42795"/>
    <cellStyle name="Calculation 2 5 12 8" xfId="51285"/>
    <cellStyle name="Calculation 2 5 13" xfId="6415"/>
    <cellStyle name="Calculation 2 5 13 2" xfId="6416"/>
    <cellStyle name="Calculation 2 5 13 3" xfId="6417"/>
    <cellStyle name="Calculation 2 5 13 4" xfId="6418"/>
    <cellStyle name="Calculation 2 5 13 5" xfId="6419"/>
    <cellStyle name="Calculation 2 5 13 6" xfId="37032"/>
    <cellStyle name="Calculation 2 5 13 7" xfId="42796"/>
    <cellStyle name="Calculation 2 5 13 8" xfId="51286"/>
    <cellStyle name="Calculation 2 5 14" xfId="6420"/>
    <cellStyle name="Calculation 2 5 14 2" xfId="6421"/>
    <cellStyle name="Calculation 2 5 14 3" xfId="6422"/>
    <cellStyle name="Calculation 2 5 14 4" xfId="6423"/>
    <cellStyle name="Calculation 2 5 14 5" xfId="6424"/>
    <cellStyle name="Calculation 2 5 14 6" xfId="37643"/>
    <cellStyle name="Calculation 2 5 14 7" xfId="42797"/>
    <cellStyle name="Calculation 2 5 14 8" xfId="51287"/>
    <cellStyle name="Calculation 2 5 15" xfId="6425"/>
    <cellStyle name="Calculation 2 5 15 2" xfId="6426"/>
    <cellStyle name="Calculation 2 5 15 3" xfId="6427"/>
    <cellStyle name="Calculation 2 5 15 4" xfId="6428"/>
    <cellStyle name="Calculation 2 5 15 5" xfId="6429"/>
    <cellStyle name="Calculation 2 5 15 6" xfId="35882"/>
    <cellStyle name="Calculation 2 5 15 7" xfId="42798"/>
    <cellStyle name="Calculation 2 5 15 8" xfId="51288"/>
    <cellStyle name="Calculation 2 5 16" xfId="6430"/>
    <cellStyle name="Calculation 2 5 16 2" xfId="6431"/>
    <cellStyle name="Calculation 2 5 16 3" xfId="6432"/>
    <cellStyle name="Calculation 2 5 16 4" xfId="6433"/>
    <cellStyle name="Calculation 2 5 16 5" xfId="6434"/>
    <cellStyle name="Calculation 2 5 16 6" xfId="42799"/>
    <cellStyle name="Calculation 2 5 16 7" xfId="51289"/>
    <cellStyle name="Calculation 2 5 17" xfId="6435"/>
    <cellStyle name="Calculation 2 5 17 2" xfId="6436"/>
    <cellStyle name="Calculation 2 5 17 3" xfId="6437"/>
    <cellStyle name="Calculation 2 5 17 4" xfId="6438"/>
    <cellStyle name="Calculation 2 5 17 5" xfId="6439"/>
    <cellStyle name="Calculation 2 5 18" xfId="6440"/>
    <cellStyle name="Calculation 2 5 19" xfId="690"/>
    <cellStyle name="Calculation 2 5 2" xfId="272"/>
    <cellStyle name="Calculation 2 5 2 10" xfId="6441"/>
    <cellStyle name="Calculation 2 5 2 10 2" xfId="6442"/>
    <cellStyle name="Calculation 2 5 2 10 3" xfId="6443"/>
    <cellStyle name="Calculation 2 5 2 10 4" xfId="6444"/>
    <cellStyle name="Calculation 2 5 2 10 5" xfId="6445"/>
    <cellStyle name="Calculation 2 5 2 10 6" xfId="38217"/>
    <cellStyle name="Calculation 2 5 2 10 7" xfId="42800"/>
    <cellStyle name="Calculation 2 5 2 10 8" xfId="51290"/>
    <cellStyle name="Calculation 2 5 2 11" xfId="6446"/>
    <cellStyle name="Calculation 2 5 2 11 2" xfId="6447"/>
    <cellStyle name="Calculation 2 5 2 11 3" xfId="6448"/>
    <cellStyle name="Calculation 2 5 2 11 4" xfId="6449"/>
    <cellStyle name="Calculation 2 5 2 11 5" xfId="6450"/>
    <cellStyle name="Calculation 2 5 2 11 6" xfId="38839"/>
    <cellStyle name="Calculation 2 5 2 11 7" xfId="42801"/>
    <cellStyle name="Calculation 2 5 2 11 8" xfId="51291"/>
    <cellStyle name="Calculation 2 5 2 12" xfId="6451"/>
    <cellStyle name="Calculation 2 5 2 12 2" xfId="6452"/>
    <cellStyle name="Calculation 2 5 2 12 3" xfId="6453"/>
    <cellStyle name="Calculation 2 5 2 12 4" xfId="6454"/>
    <cellStyle name="Calculation 2 5 2 12 5" xfId="6455"/>
    <cellStyle name="Calculation 2 5 2 12 6" xfId="39459"/>
    <cellStyle name="Calculation 2 5 2 12 7" xfId="42802"/>
    <cellStyle name="Calculation 2 5 2 12 8" xfId="51292"/>
    <cellStyle name="Calculation 2 5 2 13" xfId="6456"/>
    <cellStyle name="Calculation 2 5 2 13 2" xfId="6457"/>
    <cellStyle name="Calculation 2 5 2 13 3" xfId="6458"/>
    <cellStyle name="Calculation 2 5 2 13 4" xfId="6459"/>
    <cellStyle name="Calculation 2 5 2 13 5" xfId="6460"/>
    <cellStyle name="Calculation 2 5 2 13 6" xfId="40077"/>
    <cellStyle name="Calculation 2 5 2 13 7" xfId="42803"/>
    <cellStyle name="Calculation 2 5 2 13 8" xfId="51293"/>
    <cellStyle name="Calculation 2 5 2 14" xfId="6461"/>
    <cellStyle name="Calculation 2 5 2 14 2" xfId="6462"/>
    <cellStyle name="Calculation 2 5 2 14 3" xfId="6463"/>
    <cellStyle name="Calculation 2 5 2 14 4" xfId="6464"/>
    <cellStyle name="Calculation 2 5 2 14 5" xfId="6465"/>
    <cellStyle name="Calculation 2 5 2 14 6" xfId="42804"/>
    <cellStyle name="Calculation 2 5 2 14 7" xfId="51294"/>
    <cellStyle name="Calculation 2 5 2 15" xfId="6466"/>
    <cellStyle name="Calculation 2 5 2 15 2" xfId="6467"/>
    <cellStyle name="Calculation 2 5 2 15 3" xfId="6468"/>
    <cellStyle name="Calculation 2 5 2 15 4" xfId="6469"/>
    <cellStyle name="Calculation 2 5 2 15 5" xfId="6470"/>
    <cellStyle name="Calculation 2 5 2 16" xfId="6471"/>
    <cellStyle name="Calculation 2 5 2 17" xfId="717"/>
    <cellStyle name="Calculation 2 5 2 18" xfId="34896"/>
    <cellStyle name="Calculation 2 5 2 19" xfId="40801"/>
    <cellStyle name="Calculation 2 5 2 2" xfId="333"/>
    <cellStyle name="Calculation 2 5 2 2 10" xfId="6472"/>
    <cellStyle name="Calculation 2 5 2 2 10 2" xfId="6473"/>
    <cellStyle name="Calculation 2 5 2 2 10 3" xfId="6474"/>
    <cellStyle name="Calculation 2 5 2 2 10 4" xfId="6475"/>
    <cellStyle name="Calculation 2 5 2 2 10 5" xfId="6476"/>
    <cellStyle name="Calculation 2 5 2 2 10 6" xfId="39511"/>
    <cellStyle name="Calculation 2 5 2 2 10 7" xfId="42805"/>
    <cellStyle name="Calculation 2 5 2 2 10 8" xfId="51295"/>
    <cellStyle name="Calculation 2 5 2 2 11" xfId="6477"/>
    <cellStyle name="Calculation 2 5 2 2 11 2" xfId="6478"/>
    <cellStyle name="Calculation 2 5 2 2 11 3" xfId="6479"/>
    <cellStyle name="Calculation 2 5 2 2 11 4" xfId="6480"/>
    <cellStyle name="Calculation 2 5 2 2 11 5" xfId="6481"/>
    <cellStyle name="Calculation 2 5 2 2 11 6" xfId="40129"/>
    <cellStyle name="Calculation 2 5 2 2 11 7" xfId="42806"/>
    <cellStyle name="Calculation 2 5 2 2 11 8" xfId="51296"/>
    <cellStyle name="Calculation 2 5 2 2 12" xfId="6482"/>
    <cellStyle name="Calculation 2 5 2 2 12 2" xfId="6483"/>
    <cellStyle name="Calculation 2 5 2 2 12 3" xfId="6484"/>
    <cellStyle name="Calculation 2 5 2 2 12 4" xfId="6485"/>
    <cellStyle name="Calculation 2 5 2 2 12 5" xfId="6486"/>
    <cellStyle name="Calculation 2 5 2 2 12 6" xfId="42807"/>
    <cellStyle name="Calculation 2 5 2 2 12 7" xfId="51297"/>
    <cellStyle name="Calculation 2 5 2 2 13" xfId="6487"/>
    <cellStyle name="Calculation 2 5 2 2 13 2" xfId="6488"/>
    <cellStyle name="Calculation 2 5 2 2 13 3" xfId="6489"/>
    <cellStyle name="Calculation 2 5 2 2 13 4" xfId="6490"/>
    <cellStyle name="Calculation 2 5 2 2 13 5" xfId="6491"/>
    <cellStyle name="Calculation 2 5 2 2 13 6" xfId="42808"/>
    <cellStyle name="Calculation 2 5 2 2 13 7" xfId="51298"/>
    <cellStyle name="Calculation 2 5 2 2 14" xfId="6492"/>
    <cellStyle name="Calculation 2 5 2 2 14 2" xfId="6493"/>
    <cellStyle name="Calculation 2 5 2 2 14 3" xfId="6494"/>
    <cellStyle name="Calculation 2 5 2 2 14 4" xfId="6495"/>
    <cellStyle name="Calculation 2 5 2 2 14 5" xfId="6496"/>
    <cellStyle name="Calculation 2 5 2 2 15" xfId="6497"/>
    <cellStyle name="Calculation 2 5 2 2 15 2" xfId="6498"/>
    <cellStyle name="Calculation 2 5 2 2 15 3" xfId="6499"/>
    <cellStyle name="Calculation 2 5 2 2 15 4" xfId="6500"/>
    <cellStyle name="Calculation 2 5 2 2 15 5" xfId="6501"/>
    <cellStyle name="Calculation 2 5 2 2 16" xfId="6502"/>
    <cellStyle name="Calculation 2 5 2 2 16 2" xfId="6503"/>
    <cellStyle name="Calculation 2 5 2 2 16 3" xfId="6504"/>
    <cellStyle name="Calculation 2 5 2 2 16 4" xfId="6505"/>
    <cellStyle name="Calculation 2 5 2 2 16 5" xfId="6506"/>
    <cellStyle name="Calculation 2 5 2 2 17" xfId="6507"/>
    <cellStyle name="Calculation 2 5 2 2 17 2" xfId="6508"/>
    <cellStyle name="Calculation 2 5 2 2 17 3" xfId="6509"/>
    <cellStyle name="Calculation 2 5 2 2 17 4" xfId="6510"/>
    <cellStyle name="Calculation 2 5 2 2 17 5" xfId="6511"/>
    <cellStyle name="Calculation 2 5 2 2 18" xfId="6512"/>
    <cellStyle name="Calculation 2 5 2 2 19" xfId="769"/>
    <cellStyle name="Calculation 2 5 2 2 2" xfId="554"/>
    <cellStyle name="Calculation 2 5 2 2 2 10" xfId="6513"/>
    <cellStyle name="Calculation 2 5 2 2 2 10 2" xfId="6514"/>
    <cellStyle name="Calculation 2 5 2 2 2 10 3" xfId="6515"/>
    <cellStyle name="Calculation 2 5 2 2 2 10 4" xfId="6516"/>
    <cellStyle name="Calculation 2 5 2 2 2 10 5" xfId="6517"/>
    <cellStyle name="Calculation 2 5 2 2 2 10 6" xfId="42809"/>
    <cellStyle name="Calculation 2 5 2 2 2 10 7" xfId="51299"/>
    <cellStyle name="Calculation 2 5 2 2 2 11" xfId="6518"/>
    <cellStyle name="Calculation 2 5 2 2 2 11 2" xfId="6519"/>
    <cellStyle name="Calculation 2 5 2 2 2 11 3" xfId="6520"/>
    <cellStyle name="Calculation 2 5 2 2 2 11 4" xfId="6521"/>
    <cellStyle name="Calculation 2 5 2 2 2 11 5" xfId="6522"/>
    <cellStyle name="Calculation 2 5 2 2 2 12" xfId="6523"/>
    <cellStyle name="Calculation 2 5 2 2 2 12 2" xfId="6524"/>
    <cellStyle name="Calculation 2 5 2 2 2 12 3" xfId="6525"/>
    <cellStyle name="Calculation 2 5 2 2 2 12 4" xfId="6526"/>
    <cellStyle name="Calculation 2 5 2 2 2 12 5" xfId="6527"/>
    <cellStyle name="Calculation 2 5 2 2 2 13" xfId="6528"/>
    <cellStyle name="Calculation 2 5 2 2 2 13 2" xfId="6529"/>
    <cellStyle name="Calculation 2 5 2 2 2 13 3" xfId="6530"/>
    <cellStyle name="Calculation 2 5 2 2 2 13 4" xfId="6531"/>
    <cellStyle name="Calculation 2 5 2 2 2 13 5" xfId="6532"/>
    <cellStyle name="Calculation 2 5 2 2 2 14" xfId="6533"/>
    <cellStyle name="Calculation 2 5 2 2 2 14 2" xfId="6534"/>
    <cellStyle name="Calculation 2 5 2 2 2 14 3" xfId="6535"/>
    <cellStyle name="Calculation 2 5 2 2 2 14 4" xfId="6536"/>
    <cellStyle name="Calculation 2 5 2 2 2 14 5" xfId="6537"/>
    <cellStyle name="Calculation 2 5 2 2 2 15" xfId="6538"/>
    <cellStyle name="Calculation 2 5 2 2 2 15 2" xfId="6539"/>
    <cellStyle name="Calculation 2 5 2 2 2 15 3" xfId="6540"/>
    <cellStyle name="Calculation 2 5 2 2 2 15 4" xfId="6541"/>
    <cellStyle name="Calculation 2 5 2 2 2 15 5" xfId="6542"/>
    <cellStyle name="Calculation 2 5 2 2 2 16" xfId="6543"/>
    <cellStyle name="Calculation 2 5 2 2 2 16 2" xfId="6544"/>
    <cellStyle name="Calculation 2 5 2 2 2 16 3" xfId="6545"/>
    <cellStyle name="Calculation 2 5 2 2 2 16 4" xfId="6546"/>
    <cellStyle name="Calculation 2 5 2 2 2 16 5" xfId="6547"/>
    <cellStyle name="Calculation 2 5 2 2 2 17" xfId="6548"/>
    <cellStyle name="Calculation 2 5 2 2 2 17 2" xfId="6549"/>
    <cellStyle name="Calculation 2 5 2 2 2 17 3" xfId="6550"/>
    <cellStyle name="Calculation 2 5 2 2 2 17 4" xfId="6551"/>
    <cellStyle name="Calculation 2 5 2 2 2 17 5" xfId="6552"/>
    <cellStyle name="Calculation 2 5 2 2 2 18" xfId="6553"/>
    <cellStyle name="Calculation 2 5 2 2 2 19" xfId="983"/>
    <cellStyle name="Calculation 2 5 2 2 2 2" xfId="1730"/>
    <cellStyle name="Calculation 2 5 2 2 2 2 2" xfId="6554"/>
    <cellStyle name="Calculation 2 5 2 2 2 2 3" xfId="6555"/>
    <cellStyle name="Calculation 2 5 2 2 2 2 4" xfId="6556"/>
    <cellStyle name="Calculation 2 5 2 2 2 2 5" xfId="6557"/>
    <cellStyle name="Calculation 2 5 2 2 2 2 6" xfId="36358"/>
    <cellStyle name="Calculation 2 5 2 2 2 2 7" xfId="42810"/>
    <cellStyle name="Calculation 2 5 2 2 2 2 8" xfId="51300"/>
    <cellStyle name="Calculation 2 5 2 2 2 20" xfId="35063"/>
    <cellStyle name="Calculation 2 5 2 2 2 21" xfId="41282"/>
    <cellStyle name="Calculation 2 5 2 2 2 3" xfId="1731"/>
    <cellStyle name="Calculation 2 5 2 2 2 3 2" xfId="6558"/>
    <cellStyle name="Calculation 2 5 2 2 2 3 3" xfId="6559"/>
    <cellStyle name="Calculation 2 5 2 2 2 3 4" xfId="6560"/>
    <cellStyle name="Calculation 2 5 2 2 2 3 5" xfId="6561"/>
    <cellStyle name="Calculation 2 5 2 2 2 3 6" xfId="36855"/>
    <cellStyle name="Calculation 2 5 2 2 2 3 7" xfId="42811"/>
    <cellStyle name="Calculation 2 5 2 2 2 3 8" xfId="51301"/>
    <cellStyle name="Calculation 2 5 2 2 2 4" xfId="1146"/>
    <cellStyle name="Calculation 2 5 2 2 2 4 2" xfId="6562"/>
    <cellStyle name="Calculation 2 5 2 2 2 4 3" xfId="6563"/>
    <cellStyle name="Calculation 2 5 2 2 2 4 4" xfId="6564"/>
    <cellStyle name="Calculation 2 5 2 2 2 4 5" xfId="6565"/>
    <cellStyle name="Calculation 2 5 2 2 2 4 6" xfId="37471"/>
    <cellStyle name="Calculation 2 5 2 2 2 4 7" xfId="42812"/>
    <cellStyle name="Calculation 2 5 2 2 2 4 8" xfId="51302"/>
    <cellStyle name="Calculation 2 5 2 2 2 5" xfId="3130"/>
    <cellStyle name="Calculation 2 5 2 2 2 5 2" xfId="6566"/>
    <cellStyle name="Calculation 2 5 2 2 2 5 3" xfId="6567"/>
    <cellStyle name="Calculation 2 5 2 2 2 5 4" xfId="6568"/>
    <cellStyle name="Calculation 2 5 2 2 2 5 5" xfId="6569"/>
    <cellStyle name="Calculation 2 5 2 2 2 5 6" xfId="38087"/>
    <cellStyle name="Calculation 2 5 2 2 2 5 7" xfId="42813"/>
    <cellStyle name="Calculation 2 5 2 2 2 5 8" xfId="51303"/>
    <cellStyle name="Calculation 2 5 2 2 2 6" xfId="3243"/>
    <cellStyle name="Calculation 2 5 2 2 2 6 2" xfId="6570"/>
    <cellStyle name="Calculation 2 5 2 2 2 6 3" xfId="6571"/>
    <cellStyle name="Calculation 2 5 2 2 2 6 4" xfId="6572"/>
    <cellStyle name="Calculation 2 5 2 2 2 6 5" xfId="6573"/>
    <cellStyle name="Calculation 2 5 2 2 2 6 6" xfId="38705"/>
    <cellStyle name="Calculation 2 5 2 2 2 6 7" xfId="42814"/>
    <cellStyle name="Calculation 2 5 2 2 2 6 8" xfId="51304"/>
    <cellStyle name="Calculation 2 5 2 2 2 7" xfId="6574"/>
    <cellStyle name="Calculation 2 5 2 2 2 7 2" xfId="6575"/>
    <cellStyle name="Calculation 2 5 2 2 2 7 3" xfId="6576"/>
    <cellStyle name="Calculation 2 5 2 2 2 7 4" xfId="6577"/>
    <cellStyle name="Calculation 2 5 2 2 2 7 5" xfId="6578"/>
    <cellStyle name="Calculation 2 5 2 2 2 7 6" xfId="39325"/>
    <cellStyle name="Calculation 2 5 2 2 2 7 7" xfId="42815"/>
    <cellStyle name="Calculation 2 5 2 2 2 7 8" xfId="51305"/>
    <cellStyle name="Calculation 2 5 2 2 2 8" xfId="6579"/>
    <cellStyle name="Calculation 2 5 2 2 2 8 2" xfId="6580"/>
    <cellStyle name="Calculation 2 5 2 2 2 8 3" xfId="6581"/>
    <cellStyle name="Calculation 2 5 2 2 2 8 4" xfId="6582"/>
    <cellStyle name="Calculation 2 5 2 2 2 8 5" xfId="6583"/>
    <cellStyle name="Calculation 2 5 2 2 2 8 6" xfId="39941"/>
    <cellStyle name="Calculation 2 5 2 2 2 8 7" xfId="42816"/>
    <cellStyle name="Calculation 2 5 2 2 2 8 8" xfId="51306"/>
    <cellStyle name="Calculation 2 5 2 2 2 9" xfId="6584"/>
    <cellStyle name="Calculation 2 5 2 2 2 9 2" xfId="6585"/>
    <cellStyle name="Calculation 2 5 2 2 2 9 3" xfId="6586"/>
    <cellStyle name="Calculation 2 5 2 2 2 9 4" xfId="6587"/>
    <cellStyle name="Calculation 2 5 2 2 2 9 5" xfId="6588"/>
    <cellStyle name="Calculation 2 5 2 2 2 9 6" xfId="40556"/>
    <cellStyle name="Calculation 2 5 2 2 2 9 7" xfId="42817"/>
    <cellStyle name="Calculation 2 5 2 2 2 9 8" xfId="51307"/>
    <cellStyle name="Calculation 2 5 2 2 20" xfId="34936"/>
    <cellStyle name="Calculation 2 5 2 2 21" xfId="40853"/>
    <cellStyle name="Calculation 2 5 2 2 22" xfId="41416"/>
    <cellStyle name="Calculation 2 5 2 2 23" xfId="50503"/>
    <cellStyle name="Calculation 2 5 2 2 3" xfId="1732"/>
    <cellStyle name="Calculation 2 5 2 2 3 10" xfId="34623"/>
    <cellStyle name="Calculation 2 5 2 2 3 11" xfId="41068"/>
    <cellStyle name="Calculation 2 5 2 2 3 12" xfId="42818"/>
    <cellStyle name="Calculation 2 5 2 2 3 13" xfId="51308"/>
    <cellStyle name="Calculation 2 5 2 2 3 2" xfId="1733"/>
    <cellStyle name="Calculation 2 5 2 2 3 2 2" xfId="36145"/>
    <cellStyle name="Calculation 2 5 2 2 3 2 3" xfId="42819"/>
    <cellStyle name="Calculation 2 5 2 2 3 2 4" xfId="51309"/>
    <cellStyle name="Calculation 2 5 2 2 3 3" xfId="1734"/>
    <cellStyle name="Calculation 2 5 2 2 3 3 2" xfId="36644"/>
    <cellStyle name="Calculation 2 5 2 2 3 3 3" xfId="42820"/>
    <cellStyle name="Calculation 2 5 2 2 3 3 4" xfId="51310"/>
    <cellStyle name="Calculation 2 5 2 2 3 4" xfId="6589"/>
    <cellStyle name="Calculation 2 5 2 2 3 4 2" xfId="37260"/>
    <cellStyle name="Calculation 2 5 2 2 3 4 3" xfId="42821"/>
    <cellStyle name="Calculation 2 5 2 2 3 4 4" xfId="51311"/>
    <cellStyle name="Calculation 2 5 2 2 3 5" xfId="6590"/>
    <cellStyle name="Calculation 2 5 2 2 3 5 2" xfId="37876"/>
    <cellStyle name="Calculation 2 5 2 2 3 5 3" xfId="42822"/>
    <cellStyle name="Calculation 2 5 2 2 3 5 4" xfId="51312"/>
    <cellStyle name="Calculation 2 5 2 2 3 6" xfId="38491"/>
    <cellStyle name="Calculation 2 5 2 2 3 6 2" xfId="42823"/>
    <cellStyle name="Calculation 2 5 2 2 3 6 3" xfId="51313"/>
    <cellStyle name="Calculation 2 5 2 2 3 7" xfId="39111"/>
    <cellStyle name="Calculation 2 5 2 2 3 7 2" xfId="42824"/>
    <cellStyle name="Calculation 2 5 2 2 3 7 3" xfId="51314"/>
    <cellStyle name="Calculation 2 5 2 2 3 8" xfId="39727"/>
    <cellStyle name="Calculation 2 5 2 2 3 8 2" xfId="42825"/>
    <cellStyle name="Calculation 2 5 2 2 3 8 3" xfId="51315"/>
    <cellStyle name="Calculation 2 5 2 2 3 9" xfId="40342"/>
    <cellStyle name="Calculation 2 5 2 2 3 9 2" xfId="42826"/>
    <cellStyle name="Calculation 2 5 2 2 3 9 3" xfId="51316"/>
    <cellStyle name="Calculation 2 5 2 2 4" xfId="1735"/>
    <cellStyle name="Calculation 2 5 2 2 4 10" xfId="42827"/>
    <cellStyle name="Calculation 2 5 2 2 4 11" xfId="51317"/>
    <cellStyle name="Calculation 2 5 2 2 4 2" xfId="6591"/>
    <cellStyle name="Calculation 2 5 2 2 4 2 2" xfId="42828"/>
    <cellStyle name="Calculation 2 5 2 2 4 2 3" xfId="51318"/>
    <cellStyle name="Calculation 2 5 2 2 4 3" xfId="6592"/>
    <cellStyle name="Calculation 2 5 2 2 4 3 2" xfId="42829"/>
    <cellStyle name="Calculation 2 5 2 2 4 3 3" xfId="51319"/>
    <cellStyle name="Calculation 2 5 2 2 4 4" xfId="6593"/>
    <cellStyle name="Calculation 2 5 2 2 4 4 2" xfId="42830"/>
    <cellStyle name="Calculation 2 5 2 2 4 4 3" xfId="51320"/>
    <cellStyle name="Calculation 2 5 2 2 4 5" xfId="6594"/>
    <cellStyle name="Calculation 2 5 2 2 4 5 2" xfId="42831"/>
    <cellStyle name="Calculation 2 5 2 2 4 5 3" xfId="51321"/>
    <cellStyle name="Calculation 2 5 2 2 4 6" xfId="35680"/>
    <cellStyle name="Calculation 2 5 2 2 4 6 2" xfId="42832"/>
    <cellStyle name="Calculation 2 5 2 2 4 6 3" xfId="51322"/>
    <cellStyle name="Calculation 2 5 2 2 4 7" xfId="42833"/>
    <cellStyle name="Calculation 2 5 2 2 4 7 2" xfId="51323"/>
    <cellStyle name="Calculation 2 5 2 2 4 8" xfId="42834"/>
    <cellStyle name="Calculation 2 5 2 2 4 8 2" xfId="51324"/>
    <cellStyle name="Calculation 2 5 2 2 4 9" xfId="42835"/>
    <cellStyle name="Calculation 2 5 2 2 4 9 2" xfId="51325"/>
    <cellStyle name="Calculation 2 5 2 2 5" xfId="1145"/>
    <cellStyle name="Calculation 2 5 2 2 5 2" xfId="6595"/>
    <cellStyle name="Calculation 2 5 2 2 5 3" xfId="6596"/>
    <cellStyle name="Calculation 2 5 2 2 5 4" xfId="6597"/>
    <cellStyle name="Calculation 2 5 2 2 5 5" xfId="6598"/>
    <cellStyle name="Calculation 2 5 2 2 5 6" xfId="35996"/>
    <cellStyle name="Calculation 2 5 2 2 5 7" xfId="42836"/>
    <cellStyle name="Calculation 2 5 2 2 5 8" xfId="51326"/>
    <cellStyle name="Calculation 2 5 2 2 6" xfId="3129"/>
    <cellStyle name="Calculation 2 5 2 2 6 2" xfId="6599"/>
    <cellStyle name="Calculation 2 5 2 2 6 3" xfId="6600"/>
    <cellStyle name="Calculation 2 5 2 2 6 4" xfId="6601"/>
    <cellStyle name="Calculation 2 5 2 2 6 5" xfId="6602"/>
    <cellStyle name="Calculation 2 5 2 2 6 6" xfId="37045"/>
    <cellStyle name="Calculation 2 5 2 2 6 7" xfId="42837"/>
    <cellStyle name="Calculation 2 5 2 2 6 8" xfId="51327"/>
    <cellStyle name="Calculation 2 5 2 2 7" xfId="3244"/>
    <cellStyle name="Calculation 2 5 2 2 7 2" xfId="6603"/>
    <cellStyle name="Calculation 2 5 2 2 7 3" xfId="6604"/>
    <cellStyle name="Calculation 2 5 2 2 7 4" xfId="6605"/>
    <cellStyle name="Calculation 2 5 2 2 7 5" xfId="6606"/>
    <cellStyle name="Calculation 2 5 2 2 7 6" xfId="37657"/>
    <cellStyle name="Calculation 2 5 2 2 7 7" xfId="42838"/>
    <cellStyle name="Calculation 2 5 2 2 7 8" xfId="51328"/>
    <cellStyle name="Calculation 2 5 2 2 8" xfId="6607"/>
    <cellStyle name="Calculation 2 5 2 2 8 2" xfId="6608"/>
    <cellStyle name="Calculation 2 5 2 2 8 3" xfId="6609"/>
    <cellStyle name="Calculation 2 5 2 2 8 4" xfId="6610"/>
    <cellStyle name="Calculation 2 5 2 2 8 5" xfId="6611"/>
    <cellStyle name="Calculation 2 5 2 2 8 6" xfId="38272"/>
    <cellStyle name="Calculation 2 5 2 2 8 7" xfId="42839"/>
    <cellStyle name="Calculation 2 5 2 2 8 8" xfId="51329"/>
    <cellStyle name="Calculation 2 5 2 2 9" xfId="6612"/>
    <cellStyle name="Calculation 2 5 2 2 9 2" xfId="6613"/>
    <cellStyle name="Calculation 2 5 2 2 9 3" xfId="6614"/>
    <cellStyle name="Calculation 2 5 2 2 9 4" xfId="6615"/>
    <cellStyle name="Calculation 2 5 2 2 9 5" xfId="6616"/>
    <cellStyle name="Calculation 2 5 2 2 9 6" xfId="38892"/>
    <cellStyle name="Calculation 2 5 2 2 9 7" xfId="42840"/>
    <cellStyle name="Calculation 2 5 2 2 9 8" xfId="51330"/>
    <cellStyle name="Calculation 2 5 2 3" xfId="502"/>
    <cellStyle name="Calculation 2 5 2 3 10" xfId="6617"/>
    <cellStyle name="Calculation 2 5 2 3 10 2" xfId="6618"/>
    <cellStyle name="Calculation 2 5 2 3 10 3" xfId="6619"/>
    <cellStyle name="Calculation 2 5 2 3 10 4" xfId="6620"/>
    <cellStyle name="Calculation 2 5 2 3 10 5" xfId="6621"/>
    <cellStyle name="Calculation 2 5 2 3 10 6" xfId="42841"/>
    <cellStyle name="Calculation 2 5 2 3 10 7" xfId="51331"/>
    <cellStyle name="Calculation 2 5 2 3 11" xfId="6622"/>
    <cellStyle name="Calculation 2 5 2 3 11 2" xfId="6623"/>
    <cellStyle name="Calculation 2 5 2 3 11 3" xfId="6624"/>
    <cellStyle name="Calculation 2 5 2 3 11 4" xfId="6625"/>
    <cellStyle name="Calculation 2 5 2 3 11 5" xfId="6626"/>
    <cellStyle name="Calculation 2 5 2 3 12" xfId="6627"/>
    <cellStyle name="Calculation 2 5 2 3 12 2" xfId="6628"/>
    <cellStyle name="Calculation 2 5 2 3 12 3" xfId="6629"/>
    <cellStyle name="Calculation 2 5 2 3 12 4" xfId="6630"/>
    <cellStyle name="Calculation 2 5 2 3 12 5" xfId="6631"/>
    <cellStyle name="Calculation 2 5 2 3 13" xfId="6632"/>
    <cellStyle name="Calculation 2 5 2 3 13 2" xfId="6633"/>
    <cellStyle name="Calculation 2 5 2 3 13 3" xfId="6634"/>
    <cellStyle name="Calculation 2 5 2 3 13 4" xfId="6635"/>
    <cellStyle name="Calculation 2 5 2 3 13 5" xfId="6636"/>
    <cellStyle name="Calculation 2 5 2 3 14" xfId="6637"/>
    <cellStyle name="Calculation 2 5 2 3 14 2" xfId="6638"/>
    <cellStyle name="Calculation 2 5 2 3 14 3" xfId="6639"/>
    <cellStyle name="Calculation 2 5 2 3 14 4" xfId="6640"/>
    <cellStyle name="Calculation 2 5 2 3 14 5" xfId="6641"/>
    <cellStyle name="Calculation 2 5 2 3 15" xfId="6642"/>
    <cellStyle name="Calculation 2 5 2 3 15 2" xfId="6643"/>
    <cellStyle name="Calculation 2 5 2 3 15 3" xfId="6644"/>
    <cellStyle name="Calculation 2 5 2 3 15 4" xfId="6645"/>
    <cellStyle name="Calculation 2 5 2 3 15 5" xfId="6646"/>
    <cellStyle name="Calculation 2 5 2 3 16" xfId="6647"/>
    <cellStyle name="Calculation 2 5 2 3 16 2" xfId="6648"/>
    <cellStyle name="Calculation 2 5 2 3 16 3" xfId="6649"/>
    <cellStyle name="Calculation 2 5 2 3 16 4" xfId="6650"/>
    <cellStyle name="Calculation 2 5 2 3 16 5" xfId="6651"/>
    <cellStyle name="Calculation 2 5 2 3 17" xfId="6652"/>
    <cellStyle name="Calculation 2 5 2 3 17 2" xfId="6653"/>
    <cellStyle name="Calculation 2 5 2 3 17 3" xfId="6654"/>
    <cellStyle name="Calculation 2 5 2 3 17 4" xfId="6655"/>
    <cellStyle name="Calculation 2 5 2 3 17 5" xfId="6656"/>
    <cellStyle name="Calculation 2 5 2 3 18" xfId="6657"/>
    <cellStyle name="Calculation 2 5 2 3 19" xfId="931"/>
    <cellStyle name="Calculation 2 5 2 3 2" xfId="1736"/>
    <cellStyle name="Calculation 2 5 2 3 2 2" xfId="1737"/>
    <cellStyle name="Calculation 2 5 2 3 2 3" xfId="1738"/>
    <cellStyle name="Calculation 2 5 2 3 2 4" xfId="6658"/>
    <cellStyle name="Calculation 2 5 2 3 2 5" xfId="6659"/>
    <cellStyle name="Calculation 2 5 2 3 2 6" xfId="36306"/>
    <cellStyle name="Calculation 2 5 2 3 2 7" xfId="42842"/>
    <cellStyle name="Calculation 2 5 2 3 2 8" xfId="51332"/>
    <cellStyle name="Calculation 2 5 2 3 20" xfId="35011"/>
    <cellStyle name="Calculation 2 5 2 3 21" xfId="40720"/>
    <cellStyle name="Calculation 2 5 2 3 22" xfId="41230"/>
    <cellStyle name="Calculation 2 5 2 3 3" xfId="1739"/>
    <cellStyle name="Calculation 2 5 2 3 3 2" xfId="6660"/>
    <cellStyle name="Calculation 2 5 2 3 3 3" xfId="6661"/>
    <cellStyle name="Calculation 2 5 2 3 3 4" xfId="6662"/>
    <cellStyle name="Calculation 2 5 2 3 3 5" xfId="6663"/>
    <cellStyle name="Calculation 2 5 2 3 3 6" xfId="36803"/>
    <cellStyle name="Calculation 2 5 2 3 3 7" xfId="42843"/>
    <cellStyle name="Calculation 2 5 2 3 3 8" xfId="51333"/>
    <cellStyle name="Calculation 2 5 2 3 4" xfId="1147"/>
    <cellStyle name="Calculation 2 5 2 3 4 2" xfId="6664"/>
    <cellStyle name="Calculation 2 5 2 3 4 3" xfId="6665"/>
    <cellStyle name="Calculation 2 5 2 3 4 4" xfId="6666"/>
    <cellStyle name="Calculation 2 5 2 3 4 5" xfId="6667"/>
    <cellStyle name="Calculation 2 5 2 3 4 6" xfId="37419"/>
    <cellStyle name="Calculation 2 5 2 3 4 7" xfId="42844"/>
    <cellStyle name="Calculation 2 5 2 3 4 8" xfId="51334"/>
    <cellStyle name="Calculation 2 5 2 3 5" xfId="3131"/>
    <cellStyle name="Calculation 2 5 2 3 5 2" xfId="6668"/>
    <cellStyle name="Calculation 2 5 2 3 5 3" xfId="6669"/>
    <cellStyle name="Calculation 2 5 2 3 5 4" xfId="6670"/>
    <cellStyle name="Calculation 2 5 2 3 5 5" xfId="6671"/>
    <cellStyle name="Calculation 2 5 2 3 5 6" xfId="38035"/>
    <cellStyle name="Calculation 2 5 2 3 5 7" xfId="42845"/>
    <cellStyle name="Calculation 2 5 2 3 5 8" xfId="51335"/>
    <cellStyle name="Calculation 2 5 2 3 6" xfId="3242"/>
    <cellStyle name="Calculation 2 5 2 3 6 2" xfId="6672"/>
    <cellStyle name="Calculation 2 5 2 3 6 3" xfId="6673"/>
    <cellStyle name="Calculation 2 5 2 3 6 4" xfId="6674"/>
    <cellStyle name="Calculation 2 5 2 3 6 5" xfId="6675"/>
    <cellStyle name="Calculation 2 5 2 3 6 6" xfId="38653"/>
    <cellStyle name="Calculation 2 5 2 3 6 7" xfId="42846"/>
    <cellStyle name="Calculation 2 5 2 3 6 8" xfId="51336"/>
    <cellStyle name="Calculation 2 5 2 3 7" xfId="6676"/>
    <cellStyle name="Calculation 2 5 2 3 7 2" xfId="6677"/>
    <cellStyle name="Calculation 2 5 2 3 7 3" xfId="6678"/>
    <cellStyle name="Calculation 2 5 2 3 7 4" xfId="6679"/>
    <cellStyle name="Calculation 2 5 2 3 7 5" xfId="6680"/>
    <cellStyle name="Calculation 2 5 2 3 7 6" xfId="39273"/>
    <cellStyle name="Calculation 2 5 2 3 7 7" xfId="42847"/>
    <cellStyle name="Calculation 2 5 2 3 7 8" xfId="51337"/>
    <cellStyle name="Calculation 2 5 2 3 8" xfId="6681"/>
    <cellStyle name="Calculation 2 5 2 3 8 2" xfId="6682"/>
    <cellStyle name="Calculation 2 5 2 3 8 3" xfId="6683"/>
    <cellStyle name="Calculation 2 5 2 3 8 4" xfId="6684"/>
    <cellStyle name="Calculation 2 5 2 3 8 5" xfId="6685"/>
    <cellStyle name="Calculation 2 5 2 3 8 6" xfId="39889"/>
    <cellStyle name="Calculation 2 5 2 3 8 7" xfId="42848"/>
    <cellStyle name="Calculation 2 5 2 3 8 8" xfId="51338"/>
    <cellStyle name="Calculation 2 5 2 3 9" xfId="6686"/>
    <cellStyle name="Calculation 2 5 2 3 9 2" xfId="6687"/>
    <cellStyle name="Calculation 2 5 2 3 9 3" xfId="6688"/>
    <cellStyle name="Calculation 2 5 2 3 9 4" xfId="6689"/>
    <cellStyle name="Calculation 2 5 2 3 9 5" xfId="6690"/>
    <cellStyle name="Calculation 2 5 2 3 9 6" xfId="40504"/>
    <cellStyle name="Calculation 2 5 2 3 9 7" xfId="42849"/>
    <cellStyle name="Calculation 2 5 2 3 9 8" xfId="51339"/>
    <cellStyle name="Calculation 2 5 2 4" xfId="1740"/>
    <cellStyle name="Calculation 2 5 2 4 10" xfId="34917"/>
    <cellStyle name="Calculation 2 5 2 4 11" xfId="41016"/>
    <cellStyle name="Calculation 2 5 2 4 12" xfId="42850"/>
    <cellStyle name="Calculation 2 5 2 4 13" xfId="51340"/>
    <cellStyle name="Calculation 2 5 2 4 2" xfId="1741"/>
    <cellStyle name="Calculation 2 5 2 4 2 2" xfId="36093"/>
    <cellStyle name="Calculation 2 5 2 4 2 3" xfId="42851"/>
    <cellStyle name="Calculation 2 5 2 4 2 4" xfId="51341"/>
    <cellStyle name="Calculation 2 5 2 4 3" xfId="1742"/>
    <cellStyle name="Calculation 2 5 2 4 3 2" xfId="36592"/>
    <cellStyle name="Calculation 2 5 2 4 3 3" xfId="42852"/>
    <cellStyle name="Calculation 2 5 2 4 3 4" xfId="51342"/>
    <cellStyle name="Calculation 2 5 2 4 4" xfId="6691"/>
    <cellStyle name="Calculation 2 5 2 4 4 2" xfId="37208"/>
    <cellStyle name="Calculation 2 5 2 4 4 3" xfId="42853"/>
    <cellStyle name="Calculation 2 5 2 4 4 4" xfId="51343"/>
    <cellStyle name="Calculation 2 5 2 4 5" xfId="6692"/>
    <cellStyle name="Calculation 2 5 2 4 5 2" xfId="37824"/>
    <cellStyle name="Calculation 2 5 2 4 5 3" xfId="42854"/>
    <cellStyle name="Calculation 2 5 2 4 5 4" xfId="51344"/>
    <cellStyle name="Calculation 2 5 2 4 6" xfId="38439"/>
    <cellStyle name="Calculation 2 5 2 4 6 2" xfId="42855"/>
    <cellStyle name="Calculation 2 5 2 4 6 3" xfId="51345"/>
    <cellStyle name="Calculation 2 5 2 4 7" xfId="39059"/>
    <cellStyle name="Calculation 2 5 2 4 7 2" xfId="42856"/>
    <cellStyle name="Calculation 2 5 2 4 7 3" xfId="51346"/>
    <cellStyle name="Calculation 2 5 2 4 8" xfId="39675"/>
    <cellStyle name="Calculation 2 5 2 4 8 2" xfId="42857"/>
    <cellStyle name="Calculation 2 5 2 4 8 3" xfId="51347"/>
    <cellStyle name="Calculation 2 5 2 4 9" xfId="40290"/>
    <cellStyle name="Calculation 2 5 2 4 9 2" xfId="42858"/>
    <cellStyle name="Calculation 2 5 2 4 9 3" xfId="51348"/>
    <cellStyle name="Calculation 2 5 2 5" xfId="1743"/>
    <cellStyle name="Calculation 2 5 2 5 10" xfId="42859"/>
    <cellStyle name="Calculation 2 5 2 5 11" xfId="51349"/>
    <cellStyle name="Calculation 2 5 2 5 2" xfId="1744"/>
    <cellStyle name="Calculation 2 5 2 5 2 2" xfId="42860"/>
    <cellStyle name="Calculation 2 5 2 5 2 3" xfId="51350"/>
    <cellStyle name="Calculation 2 5 2 5 3" xfId="1745"/>
    <cellStyle name="Calculation 2 5 2 5 3 2" xfId="42861"/>
    <cellStyle name="Calculation 2 5 2 5 3 3" xfId="51351"/>
    <cellStyle name="Calculation 2 5 2 5 4" xfId="6693"/>
    <cellStyle name="Calculation 2 5 2 5 4 2" xfId="42862"/>
    <cellStyle name="Calculation 2 5 2 5 4 3" xfId="51352"/>
    <cellStyle name="Calculation 2 5 2 5 5" xfId="6694"/>
    <cellStyle name="Calculation 2 5 2 5 5 2" xfId="42863"/>
    <cellStyle name="Calculation 2 5 2 5 5 3" xfId="51353"/>
    <cellStyle name="Calculation 2 5 2 5 6" xfId="35411"/>
    <cellStyle name="Calculation 2 5 2 5 6 2" xfId="42864"/>
    <cellStyle name="Calculation 2 5 2 5 6 3" xfId="51354"/>
    <cellStyle name="Calculation 2 5 2 5 7" xfId="42865"/>
    <cellStyle name="Calculation 2 5 2 5 7 2" xfId="51355"/>
    <cellStyle name="Calculation 2 5 2 5 8" xfId="42866"/>
    <cellStyle name="Calculation 2 5 2 5 8 2" xfId="51356"/>
    <cellStyle name="Calculation 2 5 2 5 9" xfId="42867"/>
    <cellStyle name="Calculation 2 5 2 5 9 2" xfId="51357"/>
    <cellStyle name="Calculation 2 5 2 6" xfId="1144"/>
    <cellStyle name="Calculation 2 5 2 6 2" xfId="6695"/>
    <cellStyle name="Calculation 2 5 2 6 3" xfId="6696"/>
    <cellStyle name="Calculation 2 5 2 6 4" xfId="6697"/>
    <cellStyle name="Calculation 2 5 2 6 5" xfId="6698"/>
    <cellStyle name="Calculation 2 5 2 6 6" xfId="35943"/>
    <cellStyle name="Calculation 2 5 2 6 7" xfId="42868"/>
    <cellStyle name="Calculation 2 5 2 6 8" xfId="51358"/>
    <cellStyle name="Calculation 2 5 2 7" xfId="3128"/>
    <cellStyle name="Calculation 2 5 2 7 2" xfId="6699"/>
    <cellStyle name="Calculation 2 5 2 7 3" xfId="6700"/>
    <cellStyle name="Calculation 2 5 2 7 4" xfId="6701"/>
    <cellStyle name="Calculation 2 5 2 7 5" xfId="6702"/>
    <cellStyle name="Calculation 2 5 2 7 6" xfId="36014"/>
    <cellStyle name="Calculation 2 5 2 7 7" xfId="42869"/>
    <cellStyle name="Calculation 2 5 2 7 8" xfId="51359"/>
    <cellStyle name="Calculation 2 5 2 8" xfId="3245"/>
    <cellStyle name="Calculation 2 5 2 8 2" xfId="6703"/>
    <cellStyle name="Calculation 2 5 2 8 3" xfId="6704"/>
    <cellStyle name="Calculation 2 5 2 8 4" xfId="6705"/>
    <cellStyle name="Calculation 2 5 2 8 5" xfId="6706"/>
    <cellStyle name="Calculation 2 5 2 8 6" xfId="36988"/>
    <cellStyle name="Calculation 2 5 2 8 7" xfId="42870"/>
    <cellStyle name="Calculation 2 5 2 8 8" xfId="51360"/>
    <cellStyle name="Calculation 2 5 2 9" xfId="6707"/>
    <cellStyle name="Calculation 2 5 2 9 2" xfId="6708"/>
    <cellStyle name="Calculation 2 5 2 9 3" xfId="6709"/>
    <cellStyle name="Calculation 2 5 2 9 4" xfId="6710"/>
    <cellStyle name="Calculation 2 5 2 9 5" xfId="6711"/>
    <cellStyle name="Calculation 2 5 2 9 6" xfId="37600"/>
    <cellStyle name="Calculation 2 5 2 9 7" xfId="42871"/>
    <cellStyle name="Calculation 2 5 2 9 8" xfId="51361"/>
    <cellStyle name="Calculation 2 5 2_SS10_Codes Cat Analysis RIN" xfId="42872"/>
    <cellStyle name="Calculation 2 5 20" xfId="34749"/>
    <cellStyle name="Calculation 2 5 21" xfId="40775"/>
    <cellStyle name="Calculation 2 5 3" xfId="273"/>
    <cellStyle name="Calculation 2 5 3 10" xfId="6712"/>
    <cellStyle name="Calculation 2 5 3 10 2" xfId="6713"/>
    <cellStyle name="Calculation 2 5 3 10 3" xfId="6714"/>
    <cellStyle name="Calculation 2 5 3 10 4" xfId="6715"/>
    <cellStyle name="Calculation 2 5 3 10 5" xfId="6716"/>
    <cellStyle name="Calculation 2 5 3 10 6" xfId="38218"/>
    <cellStyle name="Calculation 2 5 3 10 7" xfId="42873"/>
    <cellStyle name="Calculation 2 5 3 10 8" xfId="51362"/>
    <cellStyle name="Calculation 2 5 3 11" xfId="6717"/>
    <cellStyle name="Calculation 2 5 3 11 2" xfId="6718"/>
    <cellStyle name="Calculation 2 5 3 11 3" xfId="6719"/>
    <cellStyle name="Calculation 2 5 3 11 4" xfId="6720"/>
    <cellStyle name="Calculation 2 5 3 11 5" xfId="6721"/>
    <cellStyle name="Calculation 2 5 3 11 6" xfId="38840"/>
    <cellStyle name="Calculation 2 5 3 11 7" xfId="42874"/>
    <cellStyle name="Calculation 2 5 3 11 8" xfId="51363"/>
    <cellStyle name="Calculation 2 5 3 12" xfId="6722"/>
    <cellStyle name="Calculation 2 5 3 12 2" xfId="6723"/>
    <cellStyle name="Calculation 2 5 3 12 3" xfId="6724"/>
    <cellStyle name="Calculation 2 5 3 12 4" xfId="6725"/>
    <cellStyle name="Calculation 2 5 3 12 5" xfId="6726"/>
    <cellStyle name="Calculation 2 5 3 12 6" xfId="39460"/>
    <cellStyle name="Calculation 2 5 3 12 7" xfId="42875"/>
    <cellStyle name="Calculation 2 5 3 12 8" xfId="51364"/>
    <cellStyle name="Calculation 2 5 3 13" xfId="6727"/>
    <cellStyle name="Calculation 2 5 3 13 2" xfId="6728"/>
    <cellStyle name="Calculation 2 5 3 13 3" xfId="6729"/>
    <cellStyle name="Calculation 2 5 3 13 4" xfId="6730"/>
    <cellStyle name="Calculation 2 5 3 13 5" xfId="6731"/>
    <cellStyle name="Calculation 2 5 3 13 6" xfId="40078"/>
    <cellStyle name="Calculation 2 5 3 13 7" xfId="42876"/>
    <cellStyle name="Calculation 2 5 3 13 8" xfId="51365"/>
    <cellStyle name="Calculation 2 5 3 14" xfId="6732"/>
    <cellStyle name="Calculation 2 5 3 14 2" xfId="6733"/>
    <cellStyle name="Calculation 2 5 3 14 3" xfId="6734"/>
    <cellStyle name="Calculation 2 5 3 14 4" xfId="6735"/>
    <cellStyle name="Calculation 2 5 3 14 5" xfId="6736"/>
    <cellStyle name="Calculation 2 5 3 14 6" xfId="42877"/>
    <cellStyle name="Calculation 2 5 3 14 7" xfId="51366"/>
    <cellStyle name="Calculation 2 5 3 15" xfId="6737"/>
    <cellStyle name="Calculation 2 5 3 15 2" xfId="6738"/>
    <cellStyle name="Calculation 2 5 3 15 3" xfId="6739"/>
    <cellStyle name="Calculation 2 5 3 15 4" xfId="6740"/>
    <cellStyle name="Calculation 2 5 3 15 5" xfId="6741"/>
    <cellStyle name="Calculation 2 5 3 16" xfId="6742"/>
    <cellStyle name="Calculation 2 5 3 17" xfId="718"/>
    <cellStyle name="Calculation 2 5 3 18" xfId="34953"/>
    <cellStyle name="Calculation 2 5 3 19" xfId="40802"/>
    <cellStyle name="Calculation 2 5 3 2" xfId="334"/>
    <cellStyle name="Calculation 2 5 3 2 10" xfId="6743"/>
    <cellStyle name="Calculation 2 5 3 2 10 2" xfId="6744"/>
    <cellStyle name="Calculation 2 5 3 2 10 3" xfId="6745"/>
    <cellStyle name="Calculation 2 5 3 2 10 4" xfId="6746"/>
    <cellStyle name="Calculation 2 5 3 2 10 5" xfId="6747"/>
    <cellStyle name="Calculation 2 5 3 2 10 6" xfId="39512"/>
    <cellStyle name="Calculation 2 5 3 2 10 7" xfId="42878"/>
    <cellStyle name="Calculation 2 5 3 2 10 8" xfId="51367"/>
    <cellStyle name="Calculation 2 5 3 2 11" xfId="6748"/>
    <cellStyle name="Calculation 2 5 3 2 11 2" xfId="6749"/>
    <cellStyle name="Calculation 2 5 3 2 11 3" xfId="6750"/>
    <cellStyle name="Calculation 2 5 3 2 11 4" xfId="6751"/>
    <cellStyle name="Calculation 2 5 3 2 11 5" xfId="6752"/>
    <cellStyle name="Calculation 2 5 3 2 11 6" xfId="40130"/>
    <cellStyle name="Calculation 2 5 3 2 11 7" xfId="42879"/>
    <cellStyle name="Calculation 2 5 3 2 11 8" xfId="51368"/>
    <cellStyle name="Calculation 2 5 3 2 12" xfId="6753"/>
    <cellStyle name="Calculation 2 5 3 2 12 2" xfId="6754"/>
    <cellStyle name="Calculation 2 5 3 2 12 3" xfId="6755"/>
    <cellStyle name="Calculation 2 5 3 2 12 4" xfId="6756"/>
    <cellStyle name="Calculation 2 5 3 2 12 5" xfId="6757"/>
    <cellStyle name="Calculation 2 5 3 2 12 6" xfId="42880"/>
    <cellStyle name="Calculation 2 5 3 2 12 7" xfId="51369"/>
    <cellStyle name="Calculation 2 5 3 2 13" xfId="6758"/>
    <cellStyle name="Calculation 2 5 3 2 13 2" xfId="6759"/>
    <cellStyle name="Calculation 2 5 3 2 13 3" xfId="6760"/>
    <cellStyle name="Calculation 2 5 3 2 13 4" xfId="6761"/>
    <cellStyle name="Calculation 2 5 3 2 13 5" xfId="6762"/>
    <cellStyle name="Calculation 2 5 3 2 13 6" xfId="42881"/>
    <cellStyle name="Calculation 2 5 3 2 13 7" xfId="51370"/>
    <cellStyle name="Calculation 2 5 3 2 14" xfId="6763"/>
    <cellStyle name="Calculation 2 5 3 2 14 2" xfId="6764"/>
    <cellStyle name="Calculation 2 5 3 2 14 3" xfId="6765"/>
    <cellStyle name="Calculation 2 5 3 2 14 4" xfId="6766"/>
    <cellStyle name="Calculation 2 5 3 2 14 5" xfId="6767"/>
    <cellStyle name="Calculation 2 5 3 2 15" xfId="6768"/>
    <cellStyle name="Calculation 2 5 3 2 15 2" xfId="6769"/>
    <cellStyle name="Calculation 2 5 3 2 15 3" xfId="6770"/>
    <cellStyle name="Calculation 2 5 3 2 15 4" xfId="6771"/>
    <cellStyle name="Calculation 2 5 3 2 15 5" xfId="6772"/>
    <cellStyle name="Calculation 2 5 3 2 16" xfId="6773"/>
    <cellStyle name="Calculation 2 5 3 2 16 2" xfId="6774"/>
    <cellStyle name="Calculation 2 5 3 2 16 3" xfId="6775"/>
    <cellStyle name="Calculation 2 5 3 2 16 4" xfId="6776"/>
    <cellStyle name="Calculation 2 5 3 2 16 5" xfId="6777"/>
    <cellStyle name="Calculation 2 5 3 2 17" xfId="6778"/>
    <cellStyle name="Calculation 2 5 3 2 17 2" xfId="6779"/>
    <cellStyle name="Calculation 2 5 3 2 17 3" xfId="6780"/>
    <cellStyle name="Calculation 2 5 3 2 17 4" xfId="6781"/>
    <cellStyle name="Calculation 2 5 3 2 17 5" xfId="6782"/>
    <cellStyle name="Calculation 2 5 3 2 18" xfId="6783"/>
    <cellStyle name="Calculation 2 5 3 2 19" xfId="770"/>
    <cellStyle name="Calculation 2 5 3 2 2" xfId="555"/>
    <cellStyle name="Calculation 2 5 3 2 2 10" xfId="6784"/>
    <cellStyle name="Calculation 2 5 3 2 2 10 2" xfId="6785"/>
    <cellStyle name="Calculation 2 5 3 2 2 10 3" xfId="6786"/>
    <cellStyle name="Calculation 2 5 3 2 2 10 4" xfId="6787"/>
    <cellStyle name="Calculation 2 5 3 2 2 10 5" xfId="6788"/>
    <cellStyle name="Calculation 2 5 3 2 2 10 6" xfId="42882"/>
    <cellStyle name="Calculation 2 5 3 2 2 10 7" xfId="51371"/>
    <cellStyle name="Calculation 2 5 3 2 2 11" xfId="6789"/>
    <cellStyle name="Calculation 2 5 3 2 2 11 2" xfId="6790"/>
    <cellStyle name="Calculation 2 5 3 2 2 11 3" xfId="6791"/>
    <cellStyle name="Calculation 2 5 3 2 2 11 4" xfId="6792"/>
    <cellStyle name="Calculation 2 5 3 2 2 11 5" xfId="6793"/>
    <cellStyle name="Calculation 2 5 3 2 2 12" xfId="6794"/>
    <cellStyle name="Calculation 2 5 3 2 2 12 2" xfId="6795"/>
    <cellStyle name="Calculation 2 5 3 2 2 12 3" xfId="6796"/>
    <cellStyle name="Calculation 2 5 3 2 2 12 4" xfId="6797"/>
    <cellStyle name="Calculation 2 5 3 2 2 12 5" xfId="6798"/>
    <cellStyle name="Calculation 2 5 3 2 2 13" xfId="6799"/>
    <cellStyle name="Calculation 2 5 3 2 2 13 2" xfId="6800"/>
    <cellStyle name="Calculation 2 5 3 2 2 13 3" xfId="6801"/>
    <cellStyle name="Calculation 2 5 3 2 2 13 4" xfId="6802"/>
    <cellStyle name="Calculation 2 5 3 2 2 13 5" xfId="6803"/>
    <cellStyle name="Calculation 2 5 3 2 2 14" xfId="6804"/>
    <cellStyle name="Calculation 2 5 3 2 2 14 2" xfId="6805"/>
    <cellStyle name="Calculation 2 5 3 2 2 14 3" xfId="6806"/>
    <cellStyle name="Calculation 2 5 3 2 2 14 4" xfId="6807"/>
    <cellStyle name="Calculation 2 5 3 2 2 14 5" xfId="6808"/>
    <cellStyle name="Calculation 2 5 3 2 2 15" xfId="6809"/>
    <cellStyle name="Calculation 2 5 3 2 2 15 2" xfId="6810"/>
    <cellStyle name="Calculation 2 5 3 2 2 15 3" xfId="6811"/>
    <cellStyle name="Calculation 2 5 3 2 2 15 4" xfId="6812"/>
    <cellStyle name="Calculation 2 5 3 2 2 15 5" xfId="6813"/>
    <cellStyle name="Calculation 2 5 3 2 2 16" xfId="6814"/>
    <cellStyle name="Calculation 2 5 3 2 2 16 2" xfId="6815"/>
    <cellStyle name="Calculation 2 5 3 2 2 16 3" xfId="6816"/>
    <cellStyle name="Calculation 2 5 3 2 2 16 4" xfId="6817"/>
    <cellStyle name="Calculation 2 5 3 2 2 16 5" xfId="6818"/>
    <cellStyle name="Calculation 2 5 3 2 2 17" xfId="6819"/>
    <cellStyle name="Calculation 2 5 3 2 2 17 2" xfId="6820"/>
    <cellStyle name="Calculation 2 5 3 2 2 17 3" xfId="6821"/>
    <cellStyle name="Calculation 2 5 3 2 2 17 4" xfId="6822"/>
    <cellStyle name="Calculation 2 5 3 2 2 17 5" xfId="6823"/>
    <cellStyle name="Calculation 2 5 3 2 2 18" xfId="6824"/>
    <cellStyle name="Calculation 2 5 3 2 2 19" xfId="984"/>
    <cellStyle name="Calculation 2 5 3 2 2 2" xfId="1746"/>
    <cellStyle name="Calculation 2 5 3 2 2 2 2" xfId="6825"/>
    <cellStyle name="Calculation 2 5 3 2 2 2 3" xfId="6826"/>
    <cellStyle name="Calculation 2 5 3 2 2 2 4" xfId="6827"/>
    <cellStyle name="Calculation 2 5 3 2 2 2 5" xfId="6828"/>
    <cellStyle name="Calculation 2 5 3 2 2 2 6" xfId="36359"/>
    <cellStyle name="Calculation 2 5 3 2 2 2 7" xfId="42883"/>
    <cellStyle name="Calculation 2 5 3 2 2 2 8" xfId="51372"/>
    <cellStyle name="Calculation 2 5 3 2 2 20" xfId="35064"/>
    <cellStyle name="Calculation 2 5 3 2 2 21" xfId="41283"/>
    <cellStyle name="Calculation 2 5 3 2 2 3" xfId="1747"/>
    <cellStyle name="Calculation 2 5 3 2 2 3 2" xfId="6829"/>
    <cellStyle name="Calculation 2 5 3 2 2 3 3" xfId="6830"/>
    <cellStyle name="Calculation 2 5 3 2 2 3 4" xfId="6831"/>
    <cellStyle name="Calculation 2 5 3 2 2 3 5" xfId="6832"/>
    <cellStyle name="Calculation 2 5 3 2 2 3 6" xfId="36856"/>
    <cellStyle name="Calculation 2 5 3 2 2 3 7" xfId="42884"/>
    <cellStyle name="Calculation 2 5 3 2 2 3 8" xfId="51373"/>
    <cellStyle name="Calculation 2 5 3 2 2 4" xfId="1150"/>
    <cellStyle name="Calculation 2 5 3 2 2 4 2" xfId="6833"/>
    <cellStyle name="Calculation 2 5 3 2 2 4 3" xfId="6834"/>
    <cellStyle name="Calculation 2 5 3 2 2 4 4" xfId="6835"/>
    <cellStyle name="Calculation 2 5 3 2 2 4 5" xfId="6836"/>
    <cellStyle name="Calculation 2 5 3 2 2 4 6" xfId="37472"/>
    <cellStyle name="Calculation 2 5 3 2 2 4 7" xfId="42885"/>
    <cellStyle name="Calculation 2 5 3 2 2 4 8" xfId="51374"/>
    <cellStyle name="Calculation 2 5 3 2 2 5" xfId="3134"/>
    <cellStyle name="Calculation 2 5 3 2 2 5 2" xfId="6837"/>
    <cellStyle name="Calculation 2 5 3 2 2 5 3" xfId="6838"/>
    <cellStyle name="Calculation 2 5 3 2 2 5 4" xfId="6839"/>
    <cellStyle name="Calculation 2 5 3 2 2 5 5" xfId="6840"/>
    <cellStyle name="Calculation 2 5 3 2 2 5 6" xfId="38088"/>
    <cellStyle name="Calculation 2 5 3 2 2 5 7" xfId="42886"/>
    <cellStyle name="Calculation 2 5 3 2 2 5 8" xfId="51375"/>
    <cellStyle name="Calculation 2 5 3 2 2 6" xfId="3239"/>
    <cellStyle name="Calculation 2 5 3 2 2 6 2" xfId="6841"/>
    <cellStyle name="Calculation 2 5 3 2 2 6 3" xfId="6842"/>
    <cellStyle name="Calculation 2 5 3 2 2 6 4" xfId="6843"/>
    <cellStyle name="Calculation 2 5 3 2 2 6 5" xfId="6844"/>
    <cellStyle name="Calculation 2 5 3 2 2 6 6" xfId="38706"/>
    <cellStyle name="Calculation 2 5 3 2 2 6 7" xfId="42887"/>
    <cellStyle name="Calculation 2 5 3 2 2 6 8" xfId="51376"/>
    <cellStyle name="Calculation 2 5 3 2 2 7" xfId="6845"/>
    <cellStyle name="Calculation 2 5 3 2 2 7 2" xfId="6846"/>
    <cellStyle name="Calculation 2 5 3 2 2 7 3" xfId="6847"/>
    <cellStyle name="Calculation 2 5 3 2 2 7 4" xfId="6848"/>
    <cellStyle name="Calculation 2 5 3 2 2 7 5" xfId="6849"/>
    <cellStyle name="Calculation 2 5 3 2 2 7 6" xfId="39326"/>
    <cellStyle name="Calculation 2 5 3 2 2 7 7" xfId="42888"/>
    <cellStyle name="Calculation 2 5 3 2 2 7 8" xfId="51377"/>
    <cellStyle name="Calculation 2 5 3 2 2 8" xfId="6850"/>
    <cellStyle name="Calculation 2 5 3 2 2 8 2" xfId="6851"/>
    <cellStyle name="Calculation 2 5 3 2 2 8 3" xfId="6852"/>
    <cellStyle name="Calculation 2 5 3 2 2 8 4" xfId="6853"/>
    <cellStyle name="Calculation 2 5 3 2 2 8 5" xfId="6854"/>
    <cellStyle name="Calculation 2 5 3 2 2 8 6" xfId="39942"/>
    <cellStyle name="Calculation 2 5 3 2 2 8 7" xfId="42889"/>
    <cellStyle name="Calculation 2 5 3 2 2 8 8" xfId="51378"/>
    <cellStyle name="Calculation 2 5 3 2 2 9" xfId="6855"/>
    <cellStyle name="Calculation 2 5 3 2 2 9 2" xfId="6856"/>
    <cellStyle name="Calculation 2 5 3 2 2 9 3" xfId="6857"/>
    <cellStyle name="Calculation 2 5 3 2 2 9 4" xfId="6858"/>
    <cellStyle name="Calculation 2 5 3 2 2 9 5" xfId="6859"/>
    <cellStyle name="Calculation 2 5 3 2 2 9 6" xfId="40557"/>
    <cellStyle name="Calculation 2 5 3 2 2 9 7" xfId="42890"/>
    <cellStyle name="Calculation 2 5 3 2 2 9 8" xfId="51379"/>
    <cellStyle name="Calculation 2 5 3 2 20" xfId="34825"/>
    <cellStyle name="Calculation 2 5 3 2 21" xfId="40854"/>
    <cellStyle name="Calculation 2 5 3 2 22" xfId="41417"/>
    <cellStyle name="Calculation 2 5 3 2 23" xfId="50504"/>
    <cellStyle name="Calculation 2 5 3 2 3" xfId="1748"/>
    <cellStyle name="Calculation 2 5 3 2 3 10" xfId="34622"/>
    <cellStyle name="Calculation 2 5 3 2 3 11" xfId="41069"/>
    <cellStyle name="Calculation 2 5 3 2 3 12" xfId="42891"/>
    <cellStyle name="Calculation 2 5 3 2 3 13" xfId="51380"/>
    <cellStyle name="Calculation 2 5 3 2 3 2" xfId="1749"/>
    <cellStyle name="Calculation 2 5 3 2 3 2 2" xfId="36146"/>
    <cellStyle name="Calculation 2 5 3 2 3 2 3" xfId="42892"/>
    <cellStyle name="Calculation 2 5 3 2 3 2 4" xfId="51381"/>
    <cellStyle name="Calculation 2 5 3 2 3 3" xfId="1750"/>
    <cellStyle name="Calculation 2 5 3 2 3 3 2" xfId="36645"/>
    <cellStyle name="Calculation 2 5 3 2 3 3 3" xfId="42893"/>
    <cellStyle name="Calculation 2 5 3 2 3 3 4" xfId="51382"/>
    <cellStyle name="Calculation 2 5 3 2 3 4" xfId="6860"/>
    <cellStyle name="Calculation 2 5 3 2 3 4 2" xfId="37261"/>
    <cellStyle name="Calculation 2 5 3 2 3 4 3" xfId="42894"/>
    <cellStyle name="Calculation 2 5 3 2 3 4 4" xfId="51383"/>
    <cellStyle name="Calculation 2 5 3 2 3 5" xfId="6861"/>
    <cellStyle name="Calculation 2 5 3 2 3 5 2" xfId="37877"/>
    <cellStyle name="Calculation 2 5 3 2 3 5 3" xfId="42895"/>
    <cellStyle name="Calculation 2 5 3 2 3 5 4" xfId="51384"/>
    <cellStyle name="Calculation 2 5 3 2 3 6" xfId="38492"/>
    <cellStyle name="Calculation 2 5 3 2 3 6 2" xfId="42896"/>
    <cellStyle name="Calculation 2 5 3 2 3 6 3" xfId="51385"/>
    <cellStyle name="Calculation 2 5 3 2 3 7" xfId="39112"/>
    <cellStyle name="Calculation 2 5 3 2 3 7 2" xfId="42897"/>
    <cellStyle name="Calculation 2 5 3 2 3 7 3" xfId="51386"/>
    <cellStyle name="Calculation 2 5 3 2 3 8" xfId="39728"/>
    <cellStyle name="Calculation 2 5 3 2 3 8 2" xfId="42898"/>
    <cellStyle name="Calculation 2 5 3 2 3 8 3" xfId="51387"/>
    <cellStyle name="Calculation 2 5 3 2 3 9" xfId="40343"/>
    <cellStyle name="Calculation 2 5 3 2 3 9 2" xfId="42899"/>
    <cellStyle name="Calculation 2 5 3 2 3 9 3" xfId="51388"/>
    <cellStyle name="Calculation 2 5 3 2 4" xfId="1751"/>
    <cellStyle name="Calculation 2 5 3 2 4 10" xfId="42900"/>
    <cellStyle name="Calculation 2 5 3 2 4 11" xfId="51389"/>
    <cellStyle name="Calculation 2 5 3 2 4 2" xfId="6862"/>
    <cellStyle name="Calculation 2 5 3 2 4 2 2" xfId="42901"/>
    <cellStyle name="Calculation 2 5 3 2 4 2 3" xfId="51390"/>
    <cellStyle name="Calculation 2 5 3 2 4 3" xfId="6863"/>
    <cellStyle name="Calculation 2 5 3 2 4 3 2" xfId="42902"/>
    <cellStyle name="Calculation 2 5 3 2 4 3 3" xfId="51391"/>
    <cellStyle name="Calculation 2 5 3 2 4 4" xfId="6864"/>
    <cellStyle name="Calculation 2 5 3 2 4 4 2" xfId="42903"/>
    <cellStyle name="Calculation 2 5 3 2 4 4 3" xfId="51392"/>
    <cellStyle name="Calculation 2 5 3 2 4 5" xfId="6865"/>
    <cellStyle name="Calculation 2 5 3 2 4 5 2" xfId="42904"/>
    <cellStyle name="Calculation 2 5 3 2 4 5 3" xfId="51393"/>
    <cellStyle name="Calculation 2 5 3 2 4 6" xfId="35681"/>
    <cellStyle name="Calculation 2 5 3 2 4 6 2" xfId="42905"/>
    <cellStyle name="Calculation 2 5 3 2 4 6 3" xfId="51394"/>
    <cellStyle name="Calculation 2 5 3 2 4 7" xfId="42906"/>
    <cellStyle name="Calculation 2 5 3 2 4 7 2" xfId="51395"/>
    <cellStyle name="Calculation 2 5 3 2 4 8" xfId="42907"/>
    <cellStyle name="Calculation 2 5 3 2 4 8 2" xfId="51396"/>
    <cellStyle name="Calculation 2 5 3 2 4 9" xfId="42908"/>
    <cellStyle name="Calculation 2 5 3 2 4 9 2" xfId="51397"/>
    <cellStyle name="Calculation 2 5 3 2 5" xfId="1149"/>
    <cellStyle name="Calculation 2 5 3 2 5 2" xfId="6866"/>
    <cellStyle name="Calculation 2 5 3 2 5 3" xfId="6867"/>
    <cellStyle name="Calculation 2 5 3 2 5 4" xfId="6868"/>
    <cellStyle name="Calculation 2 5 3 2 5 5" xfId="6869"/>
    <cellStyle name="Calculation 2 5 3 2 5 6" xfId="35995"/>
    <cellStyle name="Calculation 2 5 3 2 5 7" xfId="42909"/>
    <cellStyle name="Calculation 2 5 3 2 5 8" xfId="51398"/>
    <cellStyle name="Calculation 2 5 3 2 6" xfId="3133"/>
    <cellStyle name="Calculation 2 5 3 2 6 2" xfId="6870"/>
    <cellStyle name="Calculation 2 5 3 2 6 3" xfId="6871"/>
    <cellStyle name="Calculation 2 5 3 2 6 4" xfId="6872"/>
    <cellStyle name="Calculation 2 5 3 2 6 5" xfId="6873"/>
    <cellStyle name="Calculation 2 5 3 2 6 6" xfId="37046"/>
    <cellStyle name="Calculation 2 5 3 2 6 7" xfId="42910"/>
    <cellStyle name="Calculation 2 5 3 2 6 8" xfId="51399"/>
    <cellStyle name="Calculation 2 5 3 2 7" xfId="3240"/>
    <cellStyle name="Calculation 2 5 3 2 7 2" xfId="6874"/>
    <cellStyle name="Calculation 2 5 3 2 7 3" xfId="6875"/>
    <cellStyle name="Calculation 2 5 3 2 7 4" xfId="6876"/>
    <cellStyle name="Calculation 2 5 3 2 7 5" xfId="6877"/>
    <cellStyle name="Calculation 2 5 3 2 7 6" xfId="37658"/>
    <cellStyle name="Calculation 2 5 3 2 7 7" xfId="42911"/>
    <cellStyle name="Calculation 2 5 3 2 7 8" xfId="51400"/>
    <cellStyle name="Calculation 2 5 3 2 8" xfId="6878"/>
    <cellStyle name="Calculation 2 5 3 2 8 2" xfId="6879"/>
    <cellStyle name="Calculation 2 5 3 2 8 3" xfId="6880"/>
    <cellStyle name="Calculation 2 5 3 2 8 4" xfId="6881"/>
    <cellStyle name="Calculation 2 5 3 2 8 5" xfId="6882"/>
    <cellStyle name="Calculation 2 5 3 2 8 6" xfId="38273"/>
    <cellStyle name="Calculation 2 5 3 2 8 7" xfId="42912"/>
    <cellStyle name="Calculation 2 5 3 2 8 8" xfId="51401"/>
    <cellStyle name="Calculation 2 5 3 2 9" xfId="6883"/>
    <cellStyle name="Calculation 2 5 3 2 9 2" xfId="6884"/>
    <cellStyle name="Calculation 2 5 3 2 9 3" xfId="6885"/>
    <cellStyle name="Calculation 2 5 3 2 9 4" xfId="6886"/>
    <cellStyle name="Calculation 2 5 3 2 9 5" xfId="6887"/>
    <cellStyle name="Calculation 2 5 3 2 9 6" xfId="38893"/>
    <cellStyle name="Calculation 2 5 3 2 9 7" xfId="42913"/>
    <cellStyle name="Calculation 2 5 3 2 9 8" xfId="51402"/>
    <cellStyle name="Calculation 2 5 3 3" xfId="503"/>
    <cellStyle name="Calculation 2 5 3 3 10" xfId="6888"/>
    <cellStyle name="Calculation 2 5 3 3 10 2" xfId="6889"/>
    <cellStyle name="Calculation 2 5 3 3 10 3" xfId="6890"/>
    <cellStyle name="Calculation 2 5 3 3 10 4" xfId="6891"/>
    <cellStyle name="Calculation 2 5 3 3 10 5" xfId="6892"/>
    <cellStyle name="Calculation 2 5 3 3 10 6" xfId="42914"/>
    <cellStyle name="Calculation 2 5 3 3 10 7" xfId="51403"/>
    <cellStyle name="Calculation 2 5 3 3 11" xfId="6893"/>
    <cellStyle name="Calculation 2 5 3 3 11 2" xfId="6894"/>
    <cellStyle name="Calculation 2 5 3 3 11 3" xfId="6895"/>
    <cellStyle name="Calculation 2 5 3 3 11 4" xfId="6896"/>
    <cellStyle name="Calculation 2 5 3 3 11 5" xfId="6897"/>
    <cellStyle name="Calculation 2 5 3 3 12" xfId="6898"/>
    <cellStyle name="Calculation 2 5 3 3 12 2" xfId="6899"/>
    <cellStyle name="Calculation 2 5 3 3 12 3" xfId="6900"/>
    <cellStyle name="Calculation 2 5 3 3 12 4" xfId="6901"/>
    <cellStyle name="Calculation 2 5 3 3 12 5" xfId="6902"/>
    <cellStyle name="Calculation 2 5 3 3 13" xfId="6903"/>
    <cellStyle name="Calculation 2 5 3 3 13 2" xfId="6904"/>
    <cellStyle name="Calculation 2 5 3 3 13 3" xfId="6905"/>
    <cellStyle name="Calculation 2 5 3 3 13 4" xfId="6906"/>
    <cellStyle name="Calculation 2 5 3 3 13 5" xfId="6907"/>
    <cellStyle name="Calculation 2 5 3 3 14" xfId="6908"/>
    <cellStyle name="Calculation 2 5 3 3 14 2" xfId="6909"/>
    <cellStyle name="Calculation 2 5 3 3 14 3" xfId="6910"/>
    <cellStyle name="Calculation 2 5 3 3 14 4" xfId="6911"/>
    <cellStyle name="Calculation 2 5 3 3 14 5" xfId="6912"/>
    <cellStyle name="Calculation 2 5 3 3 15" xfId="6913"/>
    <cellStyle name="Calculation 2 5 3 3 15 2" xfId="6914"/>
    <cellStyle name="Calculation 2 5 3 3 15 3" xfId="6915"/>
    <cellStyle name="Calculation 2 5 3 3 15 4" xfId="6916"/>
    <cellStyle name="Calculation 2 5 3 3 15 5" xfId="6917"/>
    <cellStyle name="Calculation 2 5 3 3 16" xfId="6918"/>
    <cellStyle name="Calculation 2 5 3 3 16 2" xfId="6919"/>
    <cellStyle name="Calculation 2 5 3 3 16 3" xfId="6920"/>
    <cellStyle name="Calculation 2 5 3 3 16 4" xfId="6921"/>
    <cellStyle name="Calculation 2 5 3 3 16 5" xfId="6922"/>
    <cellStyle name="Calculation 2 5 3 3 17" xfId="6923"/>
    <cellStyle name="Calculation 2 5 3 3 17 2" xfId="6924"/>
    <cellStyle name="Calculation 2 5 3 3 17 3" xfId="6925"/>
    <cellStyle name="Calculation 2 5 3 3 17 4" xfId="6926"/>
    <cellStyle name="Calculation 2 5 3 3 17 5" xfId="6927"/>
    <cellStyle name="Calculation 2 5 3 3 18" xfId="6928"/>
    <cellStyle name="Calculation 2 5 3 3 19" xfId="932"/>
    <cellStyle name="Calculation 2 5 3 3 2" xfId="1752"/>
    <cellStyle name="Calculation 2 5 3 3 2 2" xfId="1753"/>
    <cellStyle name="Calculation 2 5 3 3 2 3" xfId="1754"/>
    <cellStyle name="Calculation 2 5 3 3 2 4" xfId="6929"/>
    <cellStyle name="Calculation 2 5 3 3 2 5" xfId="6930"/>
    <cellStyle name="Calculation 2 5 3 3 2 6" xfId="36307"/>
    <cellStyle name="Calculation 2 5 3 3 2 7" xfId="42915"/>
    <cellStyle name="Calculation 2 5 3 3 2 8" xfId="51404"/>
    <cellStyle name="Calculation 2 5 3 3 20" xfId="35012"/>
    <cellStyle name="Calculation 2 5 3 3 21" xfId="40721"/>
    <cellStyle name="Calculation 2 5 3 3 22" xfId="41231"/>
    <cellStyle name="Calculation 2 5 3 3 3" xfId="1755"/>
    <cellStyle name="Calculation 2 5 3 3 3 2" xfId="6931"/>
    <cellStyle name="Calculation 2 5 3 3 3 3" xfId="6932"/>
    <cellStyle name="Calculation 2 5 3 3 3 4" xfId="6933"/>
    <cellStyle name="Calculation 2 5 3 3 3 5" xfId="6934"/>
    <cellStyle name="Calculation 2 5 3 3 3 6" xfId="36804"/>
    <cellStyle name="Calculation 2 5 3 3 3 7" xfId="42916"/>
    <cellStyle name="Calculation 2 5 3 3 3 8" xfId="51405"/>
    <cellStyle name="Calculation 2 5 3 3 4" xfId="1151"/>
    <cellStyle name="Calculation 2 5 3 3 4 2" xfId="6935"/>
    <cellStyle name="Calculation 2 5 3 3 4 3" xfId="6936"/>
    <cellStyle name="Calculation 2 5 3 3 4 4" xfId="6937"/>
    <cellStyle name="Calculation 2 5 3 3 4 5" xfId="6938"/>
    <cellStyle name="Calculation 2 5 3 3 4 6" xfId="37420"/>
    <cellStyle name="Calculation 2 5 3 3 4 7" xfId="42917"/>
    <cellStyle name="Calculation 2 5 3 3 4 8" xfId="51406"/>
    <cellStyle name="Calculation 2 5 3 3 5" xfId="3135"/>
    <cellStyle name="Calculation 2 5 3 3 5 2" xfId="6939"/>
    <cellStyle name="Calculation 2 5 3 3 5 3" xfId="6940"/>
    <cellStyle name="Calculation 2 5 3 3 5 4" xfId="6941"/>
    <cellStyle name="Calculation 2 5 3 3 5 5" xfId="6942"/>
    <cellStyle name="Calculation 2 5 3 3 5 6" xfId="38036"/>
    <cellStyle name="Calculation 2 5 3 3 5 7" xfId="42918"/>
    <cellStyle name="Calculation 2 5 3 3 5 8" xfId="51407"/>
    <cellStyle name="Calculation 2 5 3 3 6" xfId="3238"/>
    <cellStyle name="Calculation 2 5 3 3 6 2" xfId="6943"/>
    <cellStyle name="Calculation 2 5 3 3 6 3" xfId="6944"/>
    <cellStyle name="Calculation 2 5 3 3 6 4" xfId="6945"/>
    <cellStyle name="Calculation 2 5 3 3 6 5" xfId="6946"/>
    <cellStyle name="Calculation 2 5 3 3 6 6" xfId="38654"/>
    <cellStyle name="Calculation 2 5 3 3 6 7" xfId="42919"/>
    <cellStyle name="Calculation 2 5 3 3 6 8" xfId="51408"/>
    <cellStyle name="Calculation 2 5 3 3 7" xfId="6947"/>
    <cellStyle name="Calculation 2 5 3 3 7 2" xfId="6948"/>
    <cellStyle name="Calculation 2 5 3 3 7 3" xfId="6949"/>
    <cellStyle name="Calculation 2 5 3 3 7 4" xfId="6950"/>
    <cellStyle name="Calculation 2 5 3 3 7 5" xfId="6951"/>
    <cellStyle name="Calculation 2 5 3 3 7 6" xfId="39274"/>
    <cellStyle name="Calculation 2 5 3 3 7 7" xfId="42920"/>
    <cellStyle name="Calculation 2 5 3 3 7 8" xfId="51409"/>
    <cellStyle name="Calculation 2 5 3 3 8" xfId="6952"/>
    <cellStyle name="Calculation 2 5 3 3 8 2" xfId="6953"/>
    <cellStyle name="Calculation 2 5 3 3 8 3" xfId="6954"/>
    <cellStyle name="Calculation 2 5 3 3 8 4" xfId="6955"/>
    <cellStyle name="Calculation 2 5 3 3 8 5" xfId="6956"/>
    <cellStyle name="Calculation 2 5 3 3 8 6" xfId="39890"/>
    <cellStyle name="Calculation 2 5 3 3 8 7" xfId="42921"/>
    <cellStyle name="Calculation 2 5 3 3 8 8" xfId="51410"/>
    <cellStyle name="Calculation 2 5 3 3 9" xfId="6957"/>
    <cellStyle name="Calculation 2 5 3 3 9 2" xfId="6958"/>
    <cellStyle name="Calculation 2 5 3 3 9 3" xfId="6959"/>
    <cellStyle name="Calculation 2 5 3 3 9 4" xfId="6960"/>
    <cellStyle name="Calculation 2 5 3 3 9 5" xfId="6961"/>
    <cellStyle name="Calculation 2 5 3 3 9 6" xfId="40505"/>
    <cellStyle name="Calculation 2 5 3 3 9 7" xfId="42922"/>
    <cellStyle name="Calculation 2 5 3 3 9 8" xfId="51411"/>
    <cellStyle name="Calculation 2 5 3 4" xfId="1756"/>
    <cellStyle name="Calculation 2 5 3 4 10" xfId="34806"/>
    <cellStyle name="Calculation 2 5 3 4 11" xfId="41017"/>
    <cellStyle name="Calculation 2 5 3 4 12" xfId="42923"/>
    <cellStyle name="Calculation 2 5 3 4 13" xfId="51412"/>
    <cellStyle name="Calculation 2 5 3 4 2" xfId="1757"/>
    <cellStyle name="Calculation 2 5 3 4 2 2" xfId="36094"/>
    <cellStyle name="Calculation 2 5 3 4 2 3" xfId="42924"/>
    <cellStyle name="Calculation 2 5 3 4 2 4" xfId="51413"/>
    <cellStyle name="Calculation 2 5 3 4 3" xfId="1758"/>
    <cellStyle name="Calculation 2 5 3 4 3 2" xfId="36593"/>
    <cellStyle name="Calculation 2 5 3 4 3 3" xfId="42925"/>
    <cellStyle name="Calculation 2 5 3 4 3 4" xfId="51414"/>
    <cellStyle name="Calculation 2 5 3 4 4" xfId="6962"/>
    <cellStyle name="Calculation 2 5 3 4 4 2" xfId="37209"/>
    <cellStyle name="Calculation 2 5 3 4 4 3" xfId="42926"/>
    <cellStyle name="Calculation 2 5 3 4 4 4" xfId="51415"/>
    <cellStyle name="Calculation 2 5 3 4 5" xfId="6963"/>
    <cellStyle name="Calculation 2 5 3 4 5 2" xfId="37825"/>
    <cellStyle name="Calculation 2 5 3 4 5 3" xfId="42927"/>
    <cellStyle name="Calculation 2 5 3 4 5 4" xfId="51416"/>
    <cellStyle name="Calculation 2 5 3 4 6" xfId="38440"/>
    <cellStyle name="Calculation 2 5 3 4 6 2" xfId="42928"/>
    <cellStyle name="Calculation 2 5 3 4 6 3" xfId="51417"/>
    <cellStyle name="Calculation 2 5 3 4 7" xfId="39060"/>
    <cellStyle name="Calculation 2 5 3 4 7 2" xfId="42929"/>
    <cellStyle name="Calculation 2 5 3 4 7 3" xfId="51418"/>
    <cellStyle name="Calculation 2 5 3 4 8" xfId="39676"/>
    <cellStyle name="Calculation 2 5 3 4 8 2" xfId="42930"/>
    <cellStyle name="Calculation 2 5 3 4 8 3" xfId="51419"/>
    <cellStyle name="Calculation 2 5 3 4 9" xfId="40291"/>
    <cellStyle name="Calculation 2 5 3 4 9 2" xfId="42931"/>
    <cellStyle name="Calculation 2 5 3 4 9 3" xfId="51420"/>
    <cellStyle name="Calculation 2 5 3 5" xfId="1759"/>
    <cellStyle name="Calculation 2 5 3 5 10" xfId="42932"/>
    <cellStyle name="Calculation 2 5 3 5 11" xfId="51421"/>
    <cellStyle name="Calculation 2 5 3 5 2" xfId="1760"/>
    <cellStyle name="Calculation 2 5 3 5 2 2" xfId="42933"/>
    <cellStyle name="Calculation 2 5 3 5 2 3" xfId="51422"/>
    <cellStyle name="Calculation 2 5 3 5 3" xfId="1761"/>
    <cellStyle name="Calculation 2 5 3 5 3 2" xfId="42934"/>
    <cellStyle name="Calculation 2 5 3 5 3 3" xfId="51423"/>
    <cellStyle name="Calculation 2 5 3 5 4" xfId="6964"/>
    <cellStyle name="Calculation 2 5 3 5 4 2" xfId="42935"/>
    <cellStyle name="Calculation 2 5 3 5 4 3" xfId="51424"/>
    <cellStyle name="Calculation 2 5 3 5 5" xfId="6965"/>
    <cellStyle name="Calculation 2 5 3 5 5 2" xfId="42936"/>
    <cellStyle name="Calculation 2 5 3 5 5 3" xfId="51425"/>
    <cellStyle name="Calculation 2 5 3 5 6" xfId="35412"/>
    <cellStyle name="Calculation 2 5 3 5 6 2" xfId="42937"/>
    <cellStyle name="Calculation 2 5 3 5 6 3" xfId="51426"/>
    <cellStyle name="Calculation 2 5 3 5 7" xfId="42938"/>
    <cellStyle name="Calculation 2 5 3 5 7 2" xfId="51427"/>
    <cellStyle name="Calculation 2 5 3 5 8" xfId="42939"/>
    <cellStyle name="Calculation 2 5 3 5 8 2" xfId="51428"/>
    <cellStyle name="Calculation 2 5 3 5 9" xfId="42940"/>
    <cellStyle name="Calculation 2 5 3 5 9 2" xfId="51429"/>
    <cellStyle name="Calculation 2 5 3 6" xfId="1148"/>
    <cellStyle name="Calculation 2 5 3 6 2" xfId="6966"/>
    <cellStyle name="Calculation 2 5 3 6 3" xfId="6967"/>
    <cellStyle name="Calculation 2 5 3 6 4" xfId="6968"/>
    <cellStyle name="Calculation 2 5 3 6 5" xfId="6969"/>
    <cellStyle name="Calculation 2 5 3 6 6" xfId="35944"/>
    <cellStyle name="Calculation 2 5 3 6 7" xfId="42941"/>
    <cellStyle name="Calculation 2 5 3 6 8" xfId="51430"/>
    <cellStyle name="Calculation 2 5 3 7" xfId="3132"/>
    <cellStyle name="Calculation 2 5 3 7 2" xfId="6970"/>
    <cellStyle name="Calculation 2 5 3 7 3" xfId="6971"/>
    <cellStyle name="Calculation 2 5 3 7 4" xfId="6972"/>
    <cellStyle name="Calculation 2 5 3 7 5" xfId="6973"/>
    <cellStyle name="Calculation 2 5 3 7 6" xfId="36013"/>
    <cellStyle name="Calculation 2 5 3 7 7" xfId="42942"/>
    <cellStyle name="Calculation 2 5 3 7 8" xfId="51431"/>
    <cellStyle name="Calculation 2 5 3 8" xfId="3241"/>
    <cellStyle name="Calculation 2 5 3 8 2" xfId="6974"/>
    <cellStyle name="Calculation 2 5 3 8 3" xfId="6975"/>
    <cellStyle name="Calculation 2 5 3 8 4" xfId="6976"/>
    <cellStyle name="Calculation 2 5 3 8 5" xfId="6977"/>
    <cellStyle name="Calculation 2 5 3 8 6" xfId="36989"/>
    <cellStyle name="Calculation 2 5 3 8 7" xfId="42943"/>
    <cellStyle name="Calculation 2 5 3 8 8" xfId="51432"/>
    <cellStyle name="Calculation 2 5 3 9" xfId="6978"/>
    <cellStyle name="Calculation 2 5 3 9 2" xfId="6979"/>
    <cellStyle name="Calculation 2 5 3 9 3" xfId="6980"/>
    <cellStyle name="Calculation 2 5 3 9 4" xfId="6981"/>
    <cellStyle name="Calculation 2 5 3 9 5" xfId="6982"/>
    <cellStyle name="Calculation 2 5 3 9 6" xfId="37601"/>
    <cellStyle name="Calculation 2 5 3 9 7" xfId="42944"/>
    <cellStyle name="Calculation 2 5 3 9 8" xfId="51433"/>
    <cellStyle name="Calculation 2 5 3_SS10_Codes Cat Analysis RIN" xfId="42945"/>
    <cellStyle name="Calculation 2 5 4" xfId="335"/>
    <cellStyle name="Calculation 2 5 4 10" xfId="6983"/>
    <cellStyle name="Calculation 2 5 4 10 2" xfId="6984"/>
    <cellStyle name="Calculation 2 5 4 10 3" xfId="6985"/>
    <cellStyle name="Calculation 2 5 4 10 4" xfId="6986"/>
    <cellStyle name="Calculation 2 5 4 10 5" xfId="6987"/>
    <cellStyle name="Calculation 2 5 4 10 6" xfId="39513"/>
    <cellStyle name="Calculation 2 5 4 10 7" xfId="42946"/>
    <cellStyle name="Calculation 2 5 4 10 8" xfId="51434"/>
    <cellStyle name="Calculation 2 5 4 11" xfId="6988"/>
    <cellStyle name="Calculation 2 5 4 11 2" xfId="6989"/>
    <cellStyle name="Calculation 2 5 4 11 3" xfId="6990"/>
    <cellStyle name="Calculation 2 5 4 11 4" xfId="6991"/>
    <cellStyle name="Calculation 2 5 4 11 5" xfId="6992"/>
    <cellStyle name="Calculation 2 5 4 11 6" xfId="40131"/>
    <cellStyle name="Calculation 2 5 4 11 7" xfId="42947"/>
    <cellStyle name="Calculation 2 5 4 11 8" xfId="51435"/>
    <cellStyle name="Calculation 2 5 4 12" xfId="6993"/>
    <cellStyle name="Calculation 2 5 4 12 2" xfId="6994"/>
    <cellStyle name="Calculation 2 5 4 12 3" xfId="6995"/>
    <cellStyle name="Calculation 2 5 4 12 4" xfId="6996"/>
    <cellStyle name="Calculation 2 5 4 12 5" xfId="6997"/>
    <cellStyle name="Calculation 2 5 4 12 6" xfId="42948"/>
    <cellStyle name="Calculation 2 5 4 12 7" xfId="51436"/>
    <cellStyle name="Calculation 2 5 4 13" xfId="6998"/>
    <cellStyle name="Calculation 2 5 4 13 2" xfId="6999"/>
    <cellStyle name="Calculation 2 5 4 13 3" xfId="7000"/>
    <cellStyle name="Calculation 2 5 4 13 4" xfId="7001"/>
    <cellStyle name="Calculation 2 5 4 13 5" xfId="7002"/>
    <cellStyle name="Calculation 2 5 4 13 6" xfId="42949"/>
    <cellStyle name="Calculation 2 5 4 13 7" xfId="51437"/>
    <cellStyle name="Calculation 2 5 4 14" xfId="7003"/>
    <cellStyle name="Calculation 2 5 4 14 2" xfId="7004"/>
    <cellStyle name="Calculation 2 5 4 14 3" xfId="7005"/>
    <cellStyle name="Calculation 2 5 4 14 4" xfId="7006"/>
    <cellStyle name="Calculation 2 5 4 14 5" xfId="7007"/>
    <cellStyle name="Calculation 2 5 4 15" xfId="7008"/>
    <cellStyle name="Calculation 2 5 4 15 2" xfId="7009"/>
    <cellStyle name="Calculation 2 5 4 15 3" xfId="7010"/>
    <cellStyle name="Calculation 2 5 4 15 4" xfId="7011"/>
    <cellStyle name="Calculation 2 5 4 15 5" xfId="7012"/>
    <cellStyle name="Calculation 2 5 4 16" xfId="7013"/>
    <cellStyle name="Calculation 2 5 4 16 2" xfId="7014"/>
    <cellStyle name="Calculation 2 5 4 16 3" xfId="7015"/>
    <cellStyle name="Calculation 2 5 4 16 4" xfId="7016"/>
    <cellStyle name="Calculation 2 5 4 16 5" xfId="7017"/>
    <cellStyle name="Calculation 2 5 4 17" xfId="7018"/>
    <cellStyle name="Calculation 2 5 4 17 2" xfId="7019"/>
    <cellStyle name="Calculation 2 5 4 17 3" xfId="7020"/>
    <cellStyle name="Calculation 2 5 4 17 4" xfId="7021"/>
    <cellStyle name="Calculation 2 5 4 17 5" xfId="7022"/>
    <cellStyle name="Calculation 2 5 4 18" xfId="7023"/>
    <cellStyle name="Calculation 2 5 4 19" xfId="771"/>
    <cellStyle name="Calculation 2 5 4 2" xfId="556"/>
    <cellStyle name="Calculation 2 5 4 2 10" xfId="7024"/>
    <cellStyle name="Calculation 2 5 4 2 10 2" xfId="7025"/>
    <cellStyle name="Calculation 2 5 4 2 10 3" xfId="7026"/>
    <cellStyle name="Calculation 2 5 4 2 10 4" xfId="7027"/>
    <cellStyle name="Calculation 2 5 4 2 10 5" xfId="7028"/>
    <cellStyle name="Calculation 2 5 4 2 10 6" xfId="42950"/>
    <cellStyle name="Calculation 2 5 4 2 10 7" xfId="51438"/>
    <cellStyle name="Calculation 2 5 4 2 11" xfId="7029"/>
    <cellStyle name="Calculation 2 5 4 2 11 2" xfId="7030"/>
    <cellStyle name="Calculation 2 5 4 2 11 3" xfId="7031"/>
    <cellStyle name="Calculation 2 5 4 2 11 4" xfId="7032"/>
    <cellStyle name="Calculation 2 5 4 2 11 5" xfId="7033"/>
    <cellStyle name="Calculation 2 5 4 2 12" xfId="7034"/>
    <cellStyle name="Calculation 2 5 4 2 12 2" xfId="7035"/>
    <cellStyle name="Calculation 2 5 4 2 12 3" xfId="7036"/>
    <cellStyle name="Calculation 2 5 4 2 12 4" xfId="7037"/>
    <cellStyle name="Calculation 2 5 4 2 12 5" xfId="7038"/>
    <cellStyle name="Calculation 2 5 4 2 13" xfId="7039"/>
    <cellStyle name="Calculation 2 5 4 2 13 2" xfId="7040"/>
    <cellStyle name="Calculation 2 5 4 2 13 3" xfId="7041"/>
    <cellStyle name="Calculation 2 5 4 2 13 4" xfId="7042"/>
    <cellStyle name="Calculation 2 5 4 2 13 5" xfId="7043"/>
    <cellStyle name="Calculation 2 5 4 2 14" xfId="7044"/>
    <cellStyle name="Calculation 2 5 4 2 14 2" xfId="7045"/>
    <cellStyle name="Calculation 2 5 4 2 14 3" xfId="7046"/>
    <cellStyle name="Calculation 2 5 4 2 14 4" xfId="7047"/>
    <cellStyle name="Calculation 2 5 4 2 14 5" xfId="7048"/>
    <cellStyle name="Calculation 2 5 4 2 15" xfId="7049"/>
    <cellStyle name="Calculation 2 5 4 2 15 2" xfId="7050"/>
    <cellStyle name="Calculation 2 5 4 2 15 3" xfId="7051"/>
    <cellStyle name="Calculation 2 5 4 2 15 4" xfId="7052"/>
    <cellStyle name="Calculation 2 5 4 2 15 5" xfId="7053"/>
    <cellStyle name="Calculation 2 5 4 2 16" xfId="7054"/>
    <cellStyle name="Calculation 2 5 4 2 16 2" xfId="7055"/>
    <cellStyle name="Calculation 2 5 4 2 16 3" xfId="7056"/>
    <cellStyle name="Calculation 2 5 4 2 16 4" xfId="7057"/>
    <cellStyle name="Calculation 2 5 4 2 16 5" xfId="7058"/>
    <cellStyle name="Calculation 2 5 4 2 17" xfId="7059"/>
    <cellStyle name="Calculation 2 5 4 2 17 2" xfId="7060"/>
    <cellStyle name="Calculation 2 5 4 2 17 3" xfId="7061"/>
    <cellStyle name="Calculation 2 5 4 2 17 4" xfId="7062"/>
    <cellStyle name="Calculation 2 5 4 2 17 5" xfId="7063"/>
    <cellStyle name="Calculation 2 5 4 2 18" xfId="7064"/>
    <cellStyle name="Calculation 2 5 4 2 19" xfId="985"/>
    <cellStyle name="Calculation 2 5 4 2 2" xfId="1762"/>
    <cellStyle name="Calculation 2 5 4 2 2 2" xfId="7065"/>
    <cellStyle name="Calculation 2 5 4 2 2 3" xfId="7066"/>
    <cellStyle name="Calculation 2 5 4 2 2 4" xfId="7067"/>
    <cellStyle name="Calculation 2 5 4 2 2 5" xfId="7068"/>
    <cellStyle name="Calculation 2 5 4 2 2 6" xfId="36360"/>
    <cellStyle name="Calculation 2 5 4 2 2 7" xfId="42951"/>
    <cellStyle name="Calculation 2 5 4 2 2 8" xfId="51439"/>
    <cellStyle name="Calculation 2 5 4 2 20" xfId="35065"/>
    <cellStyle name="Calculation 2 5 4 2 21" xfId="41284"/>
    <cellStyle name="Calculation 2 5 4 2 3" xfId="1763"/>
    <cellStyle name="Calculation 2 5 4 2 3 2" xfId="7069"/>
    <cellStyle name="Calculation 2 5 4 2 3 3" xfId="7070"/>
    <cellStyle name="Calculation 2 5 4 2 3 4" xfId="7071"/>
    <cellStyle name="Calculation 2 5 4 2 3 5" xfId="7072"/>
    <cellStyle name="Calculation 2 5 4 2 3 6" xfId="36857"/>
    <cellStyle name="Calculation 2 5 4 2 3 7" xfId="42952"/>
    <cellStyle name="Calculation 2 5 4 2 3 8" xfId="51440"/>
    <cellStyle name="Calculation 2 5 4 2 4" xfId="1153"/>
    <cellStyle name="Calculation 2 5 4 2 4 2" xfId="7073"/>
    <cellStyle name="Calculation 2 5 4 2 4 3" xfId="7074"/>
    <cellStyle name="Calculation 2 5 4 2 4 4" xfId="7075"/>
    <cellStyle name="Calculation 2 5 4 2 4 5" xfId="7076"/>
    <cellStyle name="Calculation 2 5 4 2 4 6" xfId="37473"/>
    <cellStyle name="Calculation 2 5 4 2 4 7" xfId="42953"/>
    <cellStyle name="Calculation 2 5 4 2 4 8" xfId="51441"/>
    <cellStyle name="Calculation 2 5 4 2 5" xfId="3137"/>
    <cellStyle name="Calculation 2 5 4 2 5 2" xfId="7077"/>
    <cellStyle name="Calculation 2 5 4 2 5 3" xfId="7078"/>
    <cellStyle name="Calculation 2 5 4 2 5 4" xfId="7079"/>
    <cellStyle name="Calculation 2 5 4 2 5 5" xfId="7080"/>
    <cellStyle name="Calculation 2 5 4 2 5 6" xfId="38089"/>
    <cellStyle name="Calculation 2 5 4 2 5 7" xfId="42954"/>
    <cellStyle name="Calculation 2 5 4 2 5 8" xfId="51442"/>
    <cellStyle name="Calculation 2 5 4 2 6" xfId="3236"/>
    <cellStyle name="Calculation 2 5 4 2 6 2" xfId="7081"/>
    <cellStyle name="Calculation 2 5 4 2 6 3" xfId="7082"/>
    <cellStyle name="Calculation 2 5 4 2 6 4" xfId="7083"/>
    <cellStyle name="Calculation 2 5 4 2 6 5" xfId="7084"/>
    <cellStyle name="Calculation 2 5 4 2 6 6" xfId="38707"/>
    <cellStyle name="Calculation 2 5 4 2 6 7" xfId="42955"/>
    <cellStyle name="Calculation 2 5 4 2 6 8" xfId="51443"/>
    <cellStyle name="Calculation 2 5 4 2 7" xfId="7085"/>
    <cellStyle name="Calculation 2 5 4 2 7 2" xfId="7086"/>
    <cellStyle name="Calculation 2 5 4 2 7 3" xfId="7087"/>
    <cellStyle name="Calculation 2 5 4 2 7 4" xfId="7088"/>
    <cellStyle name="Calculation 2 5 4 2 7 5" xfId="7089"/>
    <cellStyle name="Calculation 2 5 4 2 7 6" xfId="39327"/>
    <cellStyle name="Calculation 2 5 4 2 7 7" xfId="42956"/>
    <cellStyle name="Calculation 2 5 4 2 7 8" xfId="51444"/>
    <cellStyle name="Calculation 2 5 4 2 8" xfId="7090"/>
    <cellStyle name="Calculation 2 5 4 2 8 2" xfId="7091"/>
    <cellStyle name="Calculation 2 5 4 2 8 3" xfId="7092"/>
    <cellStyle name="Calculation 2 5 4 2 8 4" xfId="7093"/>
    <cellStyle name="Calculation 2 5 4 2 8 5" xfId="7094"/>
    <cellStyle name="Calculation 2 5 4 2 8 6" xfId="39943"/>
    <cellStyle name="Calculation 2 5 4 2 8 7" xfId="42957"/>
    <cellStyle name="Calculation 2 5 4 2 8 8" xfId="51445"/>
    <cellStyle name="Calculation 2 5 4 2 9" xfId="7095"/>
    <cellStyle name="Calculation 2 5 4 2 9 2" xfId="7096"/>
    <cellStyle name="Calculation 2 5 4 2 9 3" xfId="7097"/>
    <cellStyle name="Calculation 2 5 4 2 9 4" xfId="7098"/>
    <cellStyle name="Calculation 2 5 4 2 9 5" xfId="7099"/>
    <cellStyle name="Calculation 2 5 4 2 9 6" xfId="40558"/>
    <cellStyle name="Calculation 2 5 4 2 9 7" xfId="42958"/>
    <cellStyle name="Calculation 2 5 4 2 9 8" xfId="51446"/>
    <cellStyle name="Calculation 2 5 4 20" xfId="34935"/>
    <cellStyle name="Calculation 2 5 4 21" xfId="40855"/>
    <cellStyle name="Calculation 2 5 4 22" xfId="41418"/>
    <cellStyle name="Calculation 2 5 4 23" xfId="50505"/>
    <cellStyle name="Calculation 2 5 4 3" xfId="1764"/>
    <cellStyle name="Calculation 2 5 4 3 10" xfId="34621"/>
    <cellStyle name="Calculation 2 5 4 3 11" xfId="41070"/>
    <cellStyle name="Calculation 2 5 4 3 12" xfId="42959"/>
    <cellStyle name="Calculation 2 5 4 3 13" xfId="51447"/>
    <cellStyle name="Calculation 2 5 4 3 2" xfId="1765"/>
    <cellStyle name="Calculation 2 5 4 3 2 2" xfId="36147"/>
    <cellStyle name="Calculation 2 5 4 3 2 3" xfId="42960"/>
    <cellStyle name="Calculation 2 5 4 3 2 4" xfId="51448"/>
    <cellStyle name="Calculation 2 5 4 3 3" xfId="1766"/>
    <cellStyle name="Calculation 2 5 4 3 3 2" xfId="36646"/>
    <cellStyle name="Calculation 2 5 4 3 3 3" xfId="42961"/>
    <cellStyle name="Calculation 2 5 4 3 3 4" xfId="51449"/>
    <cellStyle name="Calculation 2 5 4 3 4" xfId="7100"/>
    <cellStyle name="Calculation 2 5 4 3 4 2" xfId="37262"/>
    <cellStyle name="Calculation 2 5 4 3 4 3" xfId="42962"/>
    <cellStyle name="Calculation 2 5 4 3 4 4" xfId="51450"/>
    <cellStyle name="Calculation 2 5 4 3 5" xfId="7101"/>
    <cellStyle name="Calculation 2 5 4 3 5 2" xfId="37878"/>
    <cellStyle name="Calculation 2 5 4 3 5 3" xfId="42963"/>
    <cellStyle name="Calculation 2 5 4 3 5 4" xfId="51451"/>
    <cellStyle name="Calculation 2 5 4 3 6" xfId="38493"/>
    <cellStyle name="Calculation 2 5 4 3 6 2" xfId="42964"/>
    <cellStyle name="Calculation 2 5 4 3 6 3" xfId="51452"/>
    <cellStyle name="Calculation 2 5 4 3 7" xfId="39113"/>
    <cellStyle name="Calculation 2 5 4 3 7 2" xfId="42965"/>
    <cellStyle name="Calculation 2 5 4 3 7 3" xfId="51453"/>
    <cellStyle name="Calculation 2 5 4 3 8" xfId="39729"/>
    <cellStyle name="Calculation 2 5 4 3 8 2" xfId="42966"/>
    <cellStyle name="Calculation 2 5 4 3 8 3" xfId="51454"/>
    <cellStyle name="Calculation 2 5 4 3 9" xfId="40344"/>
    <cellStyle name="Calculation 2 5 4 3 9 2" xfId="42967"/>
    <cellStyle name="Calculation 2 5 4 3 9 3" xfId="51455"/>
    <cellStyle name="Calculation 2 5 4 4" xfId="1767"/>
    <cellStyle name="Calculation 2 5 4 4 10" xfId="42968"/>
    <cellStyle name="Calculation 2 5 4 4 11" xfId="51456"/>
    <cellStyle name="Calculation 2 5 4 4 2" xfId="7102"/>
    <cellStyle name="Calculation 2 5 4 4 2 2" xfId="42969"/>
    <cellStyle name="Calculation 2 5 4 4 2 3" xfId="51457"/>
    <cellStyle name="Calculation 2 5 4 4 3" xfId="7103"/>
    <cellStyle name="Calculation 2 5 4 4 3 2" xfId="42970"/>
    <cellStyle name="Calculation 2 5 4 4 3 3" xfId="51458"/>
    <cellStyle name="Calculation 2 5 4 4 4" xfId="7104"/>
    <cellStyle name="Calculation 2 5 4 4 4 2" xfId="42971"/>
    <cellStyle name="Calculation 2 5 4 4 4 3" xfId="51459"/>
    <cellStyle name="Calculation 2 5 4 4 5" xfId="7105"/>
    <cellStyle name="Calculation 2 5 4 4 5 2" xfId="42972"/>
    <cellStyle name="Calculation 2 5 4 4 5 3" xfId="51460"/>
    <cellStyle name="Calculation 2 5 4 4 6" xfId="35652"/>
    <cellStyle name="Calculation 2 5 4 4 6 2" xfId="42973"/>
    <cellStyle name="Calculation 2 5 4 4 6 3" xfId="51461"/>
    <cellStyle name="Calculation 2 5 4 4 7" xfId="42974"/>
    <cellStyle name="Calculation 2 5 4 4 7 2" xfId="51462"/>
    <cellStyle name="Calculation 2 5 4 4 8" xfId="42975"/>
    <cellStyle name="Calculation 2 5 4 4 8 2" xfId="51463"/>
    <cellStyle name="Calculation 2 5 4 4 9" xfId="42976"/>
    <cellStyle name="Calculation 2 5 4 4 9 2" xfId="51464"/>
    <cellStyle name="Calculation 2 5 4 5" xfId="1152"/>
    <cellStyle name="Calculation 2 5 4 5 2" xfId="7106"/>
    <cellStyle name="Calculation 2 5 4 5 3" xfId="7107"/>
    <cellStyle name="Calculation 2 5 4 5 4" xfId="7108"/>
    <cellStyle name="Calculation 2 5 4 5 5" xfId="7109"/>
    <cellStyle name="Calculation 2 5 4 5 6" xfId="35790"/>
    <cellStyle name="Calculation 2 5 4 5 7" xfId="42977"/>
    <cellStyle name="Calculation 2 5 4 5 8" xfId="51465"/>
    <cellStyle name="Calculation 2 5 4 6" xfId="3136"/>
    <cellStyle name="Calculation 2 5 4 6 2" xfId="7110"/>
    <cellStyle name="Calculation 2 5 4 6 3" xfId="7111"/>
    <cellStyle name="Calculation 2 5 4 6 4" xfId="7112"/>
    <cellStyle name="Calculation 2 5 4 6 5" xfId="7113"/>
    <cellStyle name="Calculation 2 5 4 6 6" xfId="37047"/>
    <cellStyle name="Calculation 2 5 4 6 7" xfId="42978"/>
    <cellStyle name="Calculation 2 5 4 6 8" xfId="51466"/>
    <cellStyle name="Calculation 2 5 4 7" xfId="3237"/>
    <cellStyle name="Calculation 2 5 4 7 2" xfId="7114"/>
    <cellStyle name="Calculation 2 5 4 7 3" xfId="7115"/>
    <cellStyle name="Calculation 2 5 4 7 4" xfId="7116"/>
    <cellStyle name="Calculation 2 5 4 7 5" xfId="7117"/>
    <cellStyle name="Calculation 2 5 4 7 6" xfId="37659"/>
    <cellStyle name="Calculation 2 5 4 7 7" xfId="42979"/>
    <cellStyle name="Calculation 2 5 4 7 8" xfId="51467"/>
    <cellStyle name="Calculation 2 5 4 8" xfId="7118"/>
    <cellStyle name="Calculation 2 5 4 8 2" xfId="7119"/>
    <cellStyle name="Calculation 2 5 4 8 3" xfId="7120"/>
    <cellStyle name="Calculation 2 5 4 8 4" xfId="7121"/>
    <cellStyle name="Calculation 2 5 4 8 5" xfId="7122"/>
    <cellStyle name="Calculation 2 5 4 8 6" xfId="38274"/>
    <cellStyle name="Calculation 2 5 4 8 7" xfId="42980"/>
    <cellStyle name="Calculation 2 5 4 8 8" xfId="51468"/>
    <cellStyle name="Calculation 2 5 4 9" xfId="7123"/>
    <cellStyle name="Calculation 2 5 4 9 2" xfId="7124"/>
    <cellStyle name="Calculation 2 5 4 9 3" xfId="7125"/>
    <cellStyle name="Calculation 2 5 4 9 4" xfId="7126"/>
    <cellStyle name="Calculation 2 5 4 9 5" xfId="7127"/>
    <cellStyle name="Calculation 2 5 4 9 6" xfId="38894"/>
    <cellStyle name="Calculation 2 5 4 9 7" xfId="42981"/>
    <cellStyle name="Calculation 2 5 4 9 8" xfId="51469"/>
    <cellStyle name="Calculation 2 5 5" xfId="476"/>
    <cellStyle name="Calculation 2 5 5 10" xfId="7128"/>
    <cellStyle name="Calculation 2 5 5 10 2" xfId="7129"/>
    <cellStyle name="Calculation 2 5 5 10 3" xfId="7130"/>
    <cellStyle name="Calculation 2 5 5 10 4" xfId="7131"/>
    <cellStyle name="Calculation 2 5 5 10 5" xfId="7132"/>
    <cellStyle name="Calculation 2 5 5 10 6" xfId="42982"/>
    <cellStyle name="Calculation 2 5 5 10 7" xfId="51470"/>
    <cellStyle name="Calculation 2 5 5 11" xfId="7133"/>
    <cellStyle name="Calculation 2 5 5 11 2" xfId="7134"/>
    <cellStyle name="Calculation 2 5 5 11 3" xfId="7135"/>
    <cellStyle name="Calculation 2 5 5 11 4" xfId="7136"/>
    <cellStyle name="Calculation 2 5 5 11 5" xfId="7137"/>
    <cellStyle name="Calculation 2 5 5 12" xfId="7138"/>
    <cellStyle name="Calculation 2 5 5 12 2" xfId="7139"/>
    <cellStyle name="Calculation 2 5 5 12 3" xfId="7140"/>
    <cellStyle name="Calculation 2 5 5 12 4" xfId="7141"/>
    <cellStyle name="Calculation 2 5 5 12 5" xfId="7142"/>
    <cellStyle name="Calculation 2 5 5 13" xfId="7143"/>
    <cellStyle name="Calculation 2 5 5 13 2" xfId="7144"/>
    <cellStyle name="Calculation 2 5 5 13 3" xfId="7145"/>
    <cellStyle name="Calculation 2 5 5 13 4" xfId="7146"/>
    <cellStyle name="Calculation 2 5 5 13 5" xfId="7147"/>
    <cellStyle name="Calculation 2 5 5 14" xfId="7148"/>
    <cellStyle name="Calculation 2 5 5 14 2" xfId="7149"/>
    <cellStyle name="Calculation 2 5 5 14 3" xfId="7150"/>
    <cellStyle name="Calculation 2 5 5 14 4" xfId="7151"/>
    <cellStyle name="Calculation 2 5 5 14 5" xfId="7152"/>
    <cellStyle name="Calculation 2 5 5 15" xfId="7153"/>
    <cellStyle name="Calculation 2 5 5 15 2" xfId="7154"/>
    <cellStyle name="Calculation 2 5 5 15 3" xfId="7155"/>
    <cellStyle name="Calculation 2 5 5 15 4" xfId="7156"/>
    <cellStyle name="Calculation 2 5 5 15 5" xfId="7157"/>
    <cellStyle name="Calculation 2 5 5 16" xfId="7158"/>
    <cellStyle name="Calculation 2 5 5 16 2" xfId="7159"/>
    <cellStyle name="Calculation 2 5 5 16 3" xfId="7160"/>
    <cellStyle name="Calculation 2 5 5 16 4" xfId="7161"/>
    <cellStyle name="Calculation 2 5 5 16 5" xfId="7162"/>
    <cellStyle name="Calculation 2 5 5 17" xfId="7163"/>
    <cellStyle name="Calculation 2 5 5 17 2" xfId="7164"/>
    <cellStyle name="Calculation 2 5 5 17 3" xfId="7165"/>
    <cellStyle name="Calculation 2 5 5 17 4" xfId="7166"/>
    <cellStyle name="Calculation 2 5 5 17 5" xfId="7167"/>
    <cellStyle name="Calculation 2 5 5 18" xfId="7168"/>
    <cellStyle name="Calculation 2 5 5 19" xfId="905"/>
    <cellStyle name="Calculation 2 5 5 2" xfId="1768"/>
    <cellStyle name="Calculation 2 5 5 2 2" xfId="1769"/>
    <cellStyle name="Calculation 2 5 5 2 3" xfId="1770"/>
    <cellStyle name="Calculation 2 5 5 2 4" xfId="7169"/>
    <cellStyle name="Calculation 2 5 5 2 5" xfId="7170"/>
    <cellStyle name="Calculation 2 5 5 2 6" xfId="36280"/>
    <cellStyle name="Calculation 2 5 5 2 7" xfId="42983"/>
    <cellStyle name="Calculation 2 5 5 2 8" xfId="51471"/>
    <cellStyle name="Calculation 2 5 5 20" xfId="34985"/>
    <cellStyle name="Calculation 2 5 5 21" xfId="40694"/>
    <cellStyle name="Calculation 2 5 5 22" xfId="41204"/>
    <cellStyle name="Calculation 2 5 5 3" xfId="1771"/>
    <cellStyle name="Calculation 2 5 5 3 2" xfId="7171"/>
    <cellStyle name="Calculation 2 5 5 3 3" xfId="7172"/>
    <cellStyle name="Calculation 2 5 5 3 4" xfId="7173"/>
    <cellStyle name="Calculation 2 5 5 3 5" xfId="7174"/>
    <cellStyle name="Calculation 2 5 5 3 6" xfId="36777"/>
    <cellStyle name="Calculation 2 5 5 3 7" xfId="42984"/>
    <cellStyle name="Calculation 2 5 5 3 8" xfId="51472"/>
    <cellStyle name="Calculation 2 5 5 4" xfId="1154"/>
    <cellStyle name="Calculation 2 5 5 4 2" xfId="7175"/>
    <cellStyle name="Calculation 2 5 5 4 3" xfId="7176"/>
    <cellStyle name="Calculation 2 5 5 4 4" xfId="7177"/>
    <cellStyle name="Calculation 2 5 5 4 5" xfId="7178"/>
    <cellStyle name="Calculation 2 5 5 4 6" xfId="37393"/>
    <cellStyle name="Calculation 2 5 5 4 7" xfId="42985"/>
    <cellStyle name="Calculation 2 5 5 4 8" xfId="51473"/>
    <cellStyle name="Calculation 2 5 5 5" xfId="3138"/>
    <cellStyle name="Calculation 2 5 5 5 2" xfId="7179"/>
    <cellStyle name="Calculation 2 5 5 5 3" xfId="7180"/>
    <cellStyle name="Calculation 2 5 5 5 4" xfId="7181"/>
    <cellStyle name="Calculation 2 5 5 5 5" xfId="7182"/>
    <cellStyle name="Calculation 2 5 5 5 6" xfId="38009"/>
    <cellStyle name="Calculation 2 5 5 5 7" xfId="42986"/>
    <cellStyle name="Calculation 2 5 5 5 8" xfId="51474"/>
    <cellStyle name="Calculation 2 5 5 6" xfId="3235"/>
    <cellStyle name="Calculation 2 5 5 6 2" xfId="7183"/>
    <cellStyle name="Calculation 2 5 5 6 3" xfId="7184"/>
    <cellStyle name="Calculation 2 5 5 6 4" xfId="7185"/>
    <cellStyle name="Calculation 2 5 5 6 5" xfId="7186"/>
    <cellStyle name="Calculation 2 5 5 6 6" xfId="38627"/>
    <cellStyle name="Calculation 2 5 5 6 7" xfId="42987"/>
    <cellStyle name="Calculation 2 5 5 6 8" xfId="51475"/>
    <cellStyle name="Calculation 2 5 5 7" xfId="7187"/>
    <cellStyle name="Calculation 2 5 5 7 2" xfId="7188"/>
    <cellStyle name="Calculation 2 5 5 7 3" xfId="7189"/>
    <cellStyle name="Calculation 2 5 5 7 4" xfId="7190"/>
    <cellStyle name="Calculation 2 5 5 7 5" xfId="7191"/>
    <cellStyle name="Calculation 2 5 5 7 6" xfId="39247"/>
    <cellStyle name="Calculation 2 5 5 7 7" xfId="42988"/>
    <cellStyle name="Calculation 2 5 5 7 8" xfId="51476"/>
    <cellStyle name="Calculation 2 5 5 8" xfId="7192"/>
    <cellStyle name="Calculation 2 5 5 8 2" xfId="7193"/>
    <cellStyle name="Calculation 2 5 5 8 3" xfId="7194"/>
    <cellStyle name="Calculation 2 5 5 8 4" xfId="7195"/>
    <cellStyle name="Calculation 2 5 5 8 5" xfId="7196"/>
    <cellStyle name="Calculation 2 5 5 8 6" xfId="39863"/>
    <cellStyle name="Calculation 2 5 5 8 7" xfId="42989"/>
    <cellStyle name="Calculation 2 5 5 8 8" xfId="51477"/>
    <cellStyle name="Calculation 2 5 5 9" xfId="7197"/>
    <cellStyle name="Calculation 2 5 5 9 2" xfId="7198"/>
    <cellStyle name="Calculation 2 5 5 9 3" xfId="7199"/>
    <cellStyle name="Calculation 2 5 5 9 4" xfId="7200"/>
    <cellStyle name="Calculation 2 5 5 9 5" xfId="7201"/>
    <cellStyle name="Calculation 2 5 5 9 6" xfId="40478"/>
    <cellStyle name="Calculation 2 5 5 9 7" xfId="42990"/>
    <cellStyle name="Calculation 2 5 5 9 8" xfId="51478"/>
    <cellStyle name="Calculation 2 5 6" xfId="1772"/>
    <cellStyle name="Calculation 2 5 6 10" xfId="34813"/>
    <cellStyle name="Calculation 2 5 6 11" xfId="40989"/>
    <cellStyle name="Calculation 2 5 6 12" xfId="42991"/>
    <cellStyle name="Calculation 2 5 6 13" xfId="51479"/>
    <cellStyle name="Calculation 2 5 6 2" xfId="1773"/>
    <cellStyle name="Calculation 2 5 6 2 2" xfId="36067"/>
    <cellStyle name="Calculation 2 5 6 2 3" xfId="42992"/>
    <cellStyle name="Calculation 2 5 6 2 4" xfId="51480"/>
    <cellStyle name="Calculation 2 5 6 3" xfId="1774"/>
    <cellStyle name="Calculation 2 5 6 3 2" xfId="36566"/>
    <cellStyle name="Calculation 2 5 6 3 3" xfId="42993"/>
    <cellStyle name="Calculation 2 5 6 3 4" xfId="51481"/>
    <cellStyle name="Calculation 2 5 6 4" xfId="7202"/>
    <cellStyle name="Calculation 2 5 6 4 2" xfId="37182"/>
    <cellStyle name="Calculation 2 5 6 4 3" xfId="42994"/>
    <cellStyle name="Calculation 2 5 6 4 4" xfId="51482"/>
    <cellStyle name="Calculation 2 5 6 5" xfId="7203"/>
    <cellStyle name="Calculation 2 5 6 5 2" xfId="37797"/>
    <cellStyle name="Calculation 2 5 6 5 3" xfId="42995"/>
    <cellStyle name="Calculation 2 5 6 5 4" xfId="51483"/>
    <cellStyle name="Calculation 2 5 6 6" xfId="38412"/>
    <cellStyle name="Calculation 2 5 6 6 2" xfId="42996"/>
    <cellStyle name="Calculation 2 5 6 6 3" xfId="51484"/>
    <cellStyle name="Calculation 2 5 6 7" xfId="39032"/>
    <cellStyle name="Calculation 2 5 6 7 2" xfId="42997"/>
    <cellStyle name="Calculation 2 5 6 7 3" xfId="51485"/>
    <cellStyle name="Calculation 2 5 6 8" xfId="39648"/>
    <cellStyle name="Calculation 2 5 6 8 2" xfId="42998"/>
    <cellStyle name="Calculation 2 5 6 8 3" xfId="51486"/>
    <cellStyle name="Calculation 2 5 6 9" xfId="40263"/>
    <cellStyle name="Calculation 2 5 6 9 2" xfId="42999"/>
    <cellStyle name="Calculation 2 5 6 9 3" xfId="51487"/>
    <cellStyle name="Calculation 2 5 7" xfId="1775"/>
    <cellStyle name="Calculation 2 5 7 10" xfId="43000"/>
    <cellStyle name="Calculation 2 5 7 11" xfId="51488"/>
    <cellStyle name="Calculation 2 5 7 2" xfId="1776"/>
    <cellStyle name="Calculation 2 5 7 2 2" xfId="43001"/>
    <cellStyle name="Calculation 2 5 7 2 3" xfId="51489"/>
    <cellStyle name="Calculation 2 5 7 3" xfId="1777"/>
    <cellStyle name="Calculation 2 5 7 3 2" xfId="43002"/>
    <cellStyle name="Calculation 2 5 7 3 3" xfId="51490"/>
    <cellStyle name="Calculation 2 5 7 4" xfId="7204"/>
    <cellStyle name="Calculation 2 5 7 4 2" xfId="43003"/>
    <cellStyle name="Calculation 2 5 7 4 3" xfId="51491"/>
    <cellStyle name="Calculation 2 5 7 5" xfId="7205"/>
    <cellStyle name="Calculation 2 5 7 5 2" xfId="43004"/>
    <cellStyle name="Calculation 2 5 7 5 3" xfId="51492"/>
    <cellStyle name="Calculation 2 5 7 6" xfId="35383"/>
    <cellStyle name="Calculation 2 5 7 6 2" xfId="43005"/>
    <cellStyle name="Calculation 2 5 7 6 3" xfId="51493"/>
    <cellStyle name="Calculation 2 5 7 7" xfId="43006"/>
    <cellStyle name="Calculation 2 5 7 7 2" xfId="51494"/>
    <cellStyle name="Calculation 2 5 7 8" xfId="43007"/>
    <cellStyle name="Calculation 2 5 7 8 2" xfId="51495"/>
    <cellStyle name="Calculation 2 5 7 9" xfId="43008"/>
    <cellStyle name="Calculation 2 5 7 9 2" xfId="51496"/>
    <cellStyle name="Calculation 2 5 8" xfId="1143"/>
    <cellStyle name="Calculation 2 5 8 2" xfId="7206"/>
    <cellStyle name="Calculation 2 5 8 3" xfId="7207"/>
    <cellStyle name="Calculation 2 5 8 4" xfId="7208"/>
    <cellStyle name="Calculation 2 5 8 5" xfId="7209"/>
    <cellStyle name="Calculation 2 5 8 6" xfId="35914"/>
    <cellStyle name="Calculation 2 5 8 7" xfId="43009"/>
    <cellStyle name="Calculation 2 5 8 8" xfId="51497"/>
    <cellStyle name="Calculation 2 5 9" xfId="3127"/>
    <cellStyle name="Calculation 2 5 9 2" xfId="7210"/>
    <cellStyle name="Calculation 2 5 9 3" xfId="7211"/>
    <cellStyle name="Calculation 2 5 9 4" xfId="7212"/>
    <cellStyle name="Calculation 2 5 9 5" xfId="7213"/>
    <cellStyle name="Calculation 2 5 9 6" xfId="35904"/>
    <cellStyle name="Calculation 2 5 9 7" xfId="43010"/>
    <cellStyle name="Calculation 2 5 9 8" xfId="51498"/>
    <cellStyle name="Calculation 2 5_SS10_Codes Cat Analysis RIN" xfId="43011"/>
    <cellStyle name="Calculation 2 6" xfId="336"/>
    <cellStyle name="Calculation 2 6 10" xfId="7214"/>
    <cellStyle name="Calculation 2 6 10 2" xfId="7215"/>
    <cellStyle name="Calculation 2 6 10 3" xfId="7216"/>
    <cellStyle name="Calculation 2 6 10 4" xfId="7217"/>
    <cellStyle name="Calculation 2 6 10 5" xfId="7218"/>
    <cellStyle name="Calculation 2 6 10 6" xfId="39514"/>
    <cellStyle name="Calculation 2 6 10 7" xfId="43012"/>
    <cellStyle name="Calculation 2 6 10 8" xfId="51499"/>
    <cellStyle name="Calculation 2 6 11" xfId="7219"/>
    <cellStyle name="Calculation 2 6 11 2" xfId="7220"/>
    <cellStyle name="Calculation 2 6 11 3" xfId="7221"/>
    <cellStyle name="Calculation 2 6 11 4" xfId="7222"/>
    <cellStyle name="Calculation 2 6 11 5" xfId="7223"/>
    <cellStyle name="Calculation 2 6 11 6" xfId="40132"/>
    <cellStyle name="Calculation 2 6 11 7" xfId="43013"/>
    <cellStyle name="Calculation 2 6 11 8" xfId="51500"/>
    <cellStyle name="Calculation 2 6 12" xfId="7224"/>
    <cellStyle name="Calculation 2 6 12 2" xfId="7225"/>
    <cellStyle name="Calculation 2 6 12 3" xfId="7226"/>
    <cellStyle name="Calculation 2 6 12 4" xfId="7227"/>
    <cellStyle name="Calculation 2 6 12 5" xfId="7228"/>
    <cellStyle name="Calculation 2 6 12 6" xfId="43014"/>
    <cellStyle name="Calculation 2 6 12 7" xfId="51501"/>
    <cellStyle name="Calculation 2 6 13" xfId="7229"/>
    <cellStyle name="Calculation 2 6 13 2" xfId="7230"/>
    <cellStyle name="Calculation 2 6 13 3" xfId="7231"/>
    <cellStyle name="Calculation 2 6 13 4" xfId="7232"/>
    <cellStyle name="Calculation 2 6 13 5" xfId="7233"/>
    <cellStyle name="Calculation 2 6 13 6" xfId="43015"/>
    <cellStyle name="Calculation 2 6 13 7" xfId="51502"/>
    <cellStyle name="Calculation 2 6 14" xfId="7234"/>
    <cellStyle name="Calculation 2 6 14 2" xfId="7235"/>
    <cellStyle name="Calculation 2 6 14 3" xfId="7236"/>
    <cellStyle name="Calculation 2 6 14 4" xfId="7237"/>
    <cellStyle name="Calculation 2 6 14 5" xfId="7238"/>
    <cellStyle name="Calculation 2 6 15" xfId="7239"/>
    <cellStyle name="Calculation 2 6 15 2" xfId="7240"/>
    <cellStyle name="Calculation 2 6 15 3" xfId="7241"/>
    <cellStyle name="Calculation 2 6 15 4" xfId="7242"/>
    <cellStyle name="Calculation 2 6 15 5" xfId="7243"/>
    <cellStyle name="Calculation 2 6 16" xfId="7244"/>
    <cellStyle name="Calculation 2 6 16 2" xfId="7245"/>
    <cellStyle name="Calculation 2 6 16 3" xfId="7246"/>
    <cellStyle name="Calculation 2 6 16 4" xfId="7247"/>
    <cellStyle name="Calculation 2 6 16 5" xfId="7248"/>
    <cellStyle name="Calculation 2 6 17" xfId="7249"/>
    <cellStyle name="Calculation 2 6 17 2" xfId="7250"/>
    <cellStyle name="Calculation 2 6 17 3" xfId="7251"/>
    <cellStyle name="Calculation 2 6 17 4" xfId="7252"/>
    <cellStyle name="Calculation 2 6 17 5" xfId="7253"/>
    <cellStyle name="Calculation 2 6 18" xfId="7254"/>
    <cellStyle name="Calculation 2 6 19" xfId="772"/>
    <cellStyle name="Calculation 2 6 2" xfId="557"/>
    <cellStyle name="Calculation 2 6 2 10" xfId="7255"/>
    <cellStyle name="Calculation 2 6 2 10 2" xfId="7256"/>
    <cellStyle name="Calculation 2 6 2 10 3" xfId="7257"/>
    <cellStyle name="Calculation 2 6 2 10 4" xfId="7258"/>
    <cellStyle name="Calculation 2 6 2 10 5" xfId="7259"/>
    <cellStyle name="Calculation 2 6 2 10 6" xfId="43016"/>
    <cellStyle name="Calculation 2 6 2 10 7" xfId="51503"/>
    <cellStyle name="Calculation 2 6 2 11" xfId="7260"/>
    <cellStyle name="Calculation 2 6 2 11 2" xfId="7261"/>
    <cellStyle name="Calculation 2 6 2 11 3" xfId="7262"/>
    <cellStyle name="Calculation 2 6 2 11 4" xfId="7263"/>
    <cellStyle name="Calculation 2 6 2 11 5" xfId="7264"/>
    <cellStyle name="Calculation 2 6 2 12" xfId="7265"/>
    <cellStyle name="Calculation 2 6 2 12 2" xfId="7266"/>
    <cellStyle name="Calculation 2 6 2 12 3" xfId="7267"/>
    <cellStyle name="Calculation 2 6 2 12 4" xfId="7268"/>
    <cellStyle name="Calculation 2 6 2 12 5" xfId="7269"/>
    <cellStyle name="Calculation 2 6 2 13" xfId="7270"/>
    <cellStyle name="Calculation 2 6 2 13 2" xfId="7271"/>
    <cellStyle name="Calculation 2 6 2 13 3" xfId="7272"/>
    <cellStyle name="Calculation 2 6 2 13 4" xfId="7273"/>
    <cellStyle name="Calculation 2 6 2 13 5" xfId="7274"/>
    <cellStyle name="Calculation 2 6 2 14" xfId="7275"/>
    <cellStyle name="Calculation 2 6 2 14 2" xfId="7276"/>
    <cellStyle name="Calculation 2 6 2 14 3" xfId="7277"/>
    <cellStyle name="Calculation 2 6 2 14 4" xfId="7278"/>
    <cellStyle name="Calculation 2 6 2 14 5" xfId="7279"/>
    <cellStyle name="Calculation 2 6 2 15" xfId="7280"/>
    <cellStyle name="Calculation 2 6 2 15 2" xfId="7281"/>
    <cellStyle name="Calculation 2 6 2 15 3" xfId="7282"/>
    <cellStyle name="Calculation 2 6 2 15 4" xfId="7283"/>
    <cellStyle name="Calculation 2 6 2 15 5" xfId="7284"/>
    <cellStyle name="Calculation 2 6 2 16" xfId="7285"/>
    <cellStyle name="Calculation 2 6 2 16 2" xfId="7286"/>
    <cellStyle name="Calculation 2 6 2 16 3" xfId="7287"/>
    <cellStyle name="Calculation 2 6 2 16 4" xfId="7288"/>
    <cellStyle name="Calculation 2 6 2 16 5" xfId="7289"/>
    <cellStyle name="Calculation 2 6 2 17" xfId="7290"/>
    <cellStyle name="Calculation 2 6 2 17 2" xfId="7291"/>
    <cellStyle name="Calculation 2 6 2 17 3" xfId="7292"/>
    <cellStyle name="Calculation 2 6 2 17 4" xfId="7293"/>
    <cellStyle name="Calculation 2 6 2 17 5" xfId="7294"/>
    <cellStyle name="Calculation 2 6 2 18" xfId="7295"/>
    <cellStyle name="Calculation 2 6 2 19" xfId="986"/>
    <cellStyle name="Calculation 2 6 2 2" xfId="1778"/>
    <cellStyle name="Calculation 2 6 2 2 2" xfId="7296"/>
    <cellStyle name="Calculation 2 6 2 2 3" xfId="7297"/>
    <cellStyle name="Calculation 2 6 2 2 4" xfId="7298"/>
    <cellStyle name="Calculation 2 6 2 2 5" xfId="7299"/>
    <cellStyle name="Calculation 2 6 2 2 6" xfId="36361"/>
    <cellStyle name="Calculation 2 6 2 2 7" xfId="43017"/>
    <cellStyle name="Calculation 2 6 2 2 8" xfId="51504"/>
    <cellStyle name="Calculation 2 6 2 20" xfId="35066"/>
    <cellStyle name="Calculation 2 6 2 21" xfId="41285"/>
    <cellStyle name="Calculation 2 6 2 3" xfId="1779"/>
    <cellStyle name="Calculation 2 6 2 3 2" xfId="7300"/>
    <cellStyle name="Calculation 2 6 2 3 3" xfId="7301"/>
    <cellStyle name="Calculation 2 6 2 3 4" xfId="7302"/>
    <cellStyle name="Calculation 2 6 2 3 5" xfId="7303"/>
    <cellStyle name="Calculation 2 6 2 3 6" xfId="36858"/>
    <cellStyle name="Calculation 2 6 2 3 7" xfId="43018"/>
    <cellStyle name="Calculation 2 6 2 3 8" xfId="51505"/>
    <cellStyle name="Calculation 2 6 2 4" xfId="1156"/>
    <cellStyle name="Calculation 2 6 2 4 2" xfId="7304"/>
    <cellStyle name="Calculation 2 6 2 4 3" xfId="7305"/>
    <cellStyle name="Calculation 2 6 2 4 4" xfId="7306"/>
    <cellStyle name="Calculation 2 6 2 4 5" xfId="7307"/>
    <cellStyle name="Calculation 2 6 2 4 6" xfId="37474"/>
    <cellStyle name="Calculation 2 6 2 4 7" xfId="43019"/>
    <cellStyle name="Calculation 2 6 2 4 8" xfId="51506"/>
    <cellStyle name="Calculation 2 6 2 5" xfId="3140"/>
    <cellStyle name="Calculation 2 6 2 5 2" xfId="7308"/>
    <cellStyle name="Calculation 2 6 2 5 3" xfId="7309"/>
    <cellStyle name="Calculation 2 6 2 5 4" xfId="7310"/>
    <cellStyle name="Calculation 2 6 2 5 5" xfId="7311"/>
    <cellStyle name="Calculation 2 6 2 5 6" xfId="38090"/>
    <cellStyle name="Calculation 2 6 2 5 7" xfId="43020"/>
    <cellStyle name="Calculation 2 6 2 5 8" xfId="51507"/>
    <cellStyle name="Calculation 2 6 2 6" xfId="3233"/>
    <cellStyle name="Calculation 2 6 2 6 2" xfId="7312"/>
    <cellStyle name="Calculation 2 6 2 6 3" xfId="7313"/>
    <cellStyle name="Calculation 2 6 2 6 4" xfId="7314"/>
    <cellStyle name="Calculation 2 6 2 6 5" xfId="7315"/>
    <cellStyle name="Calculation 2 6 2 6 6" xfId="38708"/>
    <cellStyle name="Calculation 2 6 2 6 7" xfId="43021"/>
    <cellStyle name="Calculation 2 6 2 6 8" xfId="51508"/>
    <cellStyle name="Calculation 2 6 2 7" xfId="7316"/>
    <cellStyle name="Calculation 2 6 2 7 2" xfId="7317"/>
    <cellStyle name="Calculation 2 6 2 7 3" xfId="7318"/>
    <cellStyle name="Calculation 2 6 2 7 4" xfId="7319"/>
    <cellStyle name="Calculation 2 6 2 7 5" xfId="7320"/>
    <cellStyle name="Calculation 2 6 2 7 6" xfId="39328"/>
    <cellStyle name="Calculation 2 6 2 7 7" xfId="43022"/>
    <cellStyle name="Calculation 2 6 2 7 8" xfId="51509"/>
    <cellStyle name="Calculation 2 6 2 8" xfId="7321"/>
    <cellStyle name="Calculation 2 6 2 8 2" xfId="7322"/>
    <cellStyle name="Calculation 2 6 2 8 3" xfId="7323"/>
    <cellStyle name="Calculation 2 6 2 8 4" xfId="7324"/>
    <cellStyle name="Calculation 2 6 2 8 5" xfId="7325"/>
    <cellStyle name="Calculation 2 6 2 8 6" xfId="39944"/>
    <cellStyle name="Calculation 2 6 2 8 7" xfId="43023"/>
    <cellStyle name="Calculation 2 6 2 8 8" xfId="51510"/>
    <cellStyle name="Calculation 2 6 2 9" xfId="7326"/>
    <cellStyle name="Calculation 2 6 2 9 2" xfId="7327"/>
    <cellStyle name="Calculation 2 6 2 9 3" xfId="7328"/>
    <cellStyle name="Calculation 2 6 2 9 4" xfId="7329"/>
    <cellStyle name="Calculation 2 6 2 9 5" xfId="7330"/>
    <cellStyle name="Calculation 2 6 2 9 6" xfId="40559"/>
    <cellStyle name="Calculation 2 6 2 9 7" xfId="43024"/>
    <cellStyle name="Calculation 2 6 2 9 8" xfId="51511"/>
    <cellStyle name="Calculation 2 6 20" xfId="34824"/>
    <cellStyle name="Calculation 2 6 21" xfId="40856"/>
    <cellStyle name="Calculation 2 6 22" xfId="41419"/>
    <cellStyle name="Calculation 2 6 23" xfId="50506"/>
    <cellStyle name="Calculation 2 6 3" xfId="1780"/>
    <cellStyle name="Calculation 2 6 3 10" xfId="34620"/>
    <cellStyle name="Calculation 2 6 3 11" xfId="41071"/>
    <cellStyle name="Calculation 2 6 3 12" xfId="43025"/>
    <cellStyle name="Calculation 2 6 3 13" xfId="51512"/>
    <cellStyle name="Calculation 2 6 3 2" xfId="1781"/>
    <cellStyle name="Calculation 2 6 3 2 2" xfId="36148"/>
    <cellStyle name="Calculation 2 6 3 2 3" xfId="43026"/>
    <cellStyle name="Calculation 2 6 3 2 4" xfId="51513"/>
    <cellStyle name="Calculation 2 6 3 3" xfId="1782"/>
    <cellStyle name="Calculation 2 6 3 3 2" xfId="36647"/>
    <cellStyle name="Calculation 2 6 3 3 3" xfId="43027"/>
    <cellStyle name="Calculation 2 6 3 3 4" xfId="51514"/>
    <cellStyle name="Calculation 2 6 3 4" xfId="7331"/>
    <cellStyle name="Calculation 2 6 3 4 2" xfId="37263"/>
    <cellStyle name="Calculation 2 6 3 4 3" xfId="43028"/>
    <cellStyle name="Calculation 2 6 3 4 4" xfId="51515"/>
    <cellStyle name="Calculation 2 6 3 5" xfId="7332"/>
    <cellStyle name="Calculation 2 6 3 5 2" xfId="37879"/>
    <cellStyle name="Calculation 2 6 3 5 3" xfId="43029"/>
    <cellStyle name="Calculation 2 6 3 5 4" xfId="51516"/>
    <cellStyle name="Calculation 2 6 3 6" xfId="38494"/>
    <cellStyle name="Calculation 2 6 3 6 2" xfId="43030"/>
    <cellStyle name="Calculation 2 6 3 6 3" xfId="51517"/>
    <cellStyle name="Calculation 2 6 3 7" xfId="39114"/>
    <cellStyle name="Calculation 2 6 3 7 2" xfId="43031"/>
    <cellStyle name="Calculation 2 6 3 7 3" xfId="51518"/>
    <cellStyle name="Calculation 2 6 3 8" xfId="39730"/>
    <cellStyle name="Calculation 2 6 3 8 2" xfId="43032"/>
    <cellStyle name="Calculation 2 6 3 8 3" xfId="51519"/>
    <cellStyle name="Calculation 2 6 3 9" xfId="40345"/>
    <cellStyle name="Calculation 2 6 3 9 2" xfId="43033"/>
    <cellStyle name="Calculation 2 6 3 9 3" xfId="51520"/>
    <cellStyle name="Calculation 2 6 4" xfId="1783"/>
    <cellStyle name="Calculation 2 6 4 10" xfId="43034"/>
    <cellStyle name="Calculation 2 6 4 11" xfId="51521"/>
    <cellStyle name="Calculation 2 6 4 2" xfId="7333"/>
    <cellStyle name="Calculation 2 6 4 2 2" xfId="43035"/>
    <cellStyle name="Calculation 2 6 4 2 3" xfId="51522"/>
    <cellStyle name="Calculation 2 6 4 3" xfId="7334"/>
    <cellStyle name="Calculation 2 6 4 3 2" xfId="43036"/>
    <cellStyle name="Calculation 2 6 4 3 3" xfId="51523"/>
    <cellStyle name="Calculation 2 6 4 4" xfId="7335"/>
    <cellStyle name="Calculation 2 6 4 4 2" xfId="43037"/>
    <cellStyle name="Calculation 2 6 4 4 3" xfId="51524"/>
    <cellStyle name="Calculation 2 6 4 5" xfId="7336"/>
    <cellStyle name="Calculation 2 6 4 5 2" xfId="43038"/>
    <cellStyle name="Calculation 2 6 4 5 3" xfId="51525"/>
    <cellStyle name="Calculation 2 6 4 6" xfId="35514"/>
    <cellStyle name="Calculation 2 6 4 6 2" xfId="43039"/>
    <cellStyle name="Calculation 2 6 4 6 3" xfId="51526"/>
    <cellStyle name="Calculation 2 6 4 7" xfId="43040"/>
    <cellStyle name="Calculation 2 6 4 7 2" xfId="51527"/>
    <cellStyle name="Calculation 2 6 4 8" xfId="43041"/>
    <cellStyle name="Calculation 2 6 4 8 2" xfId="51528"/>
    <cellStyle name="Calculation 2 6 4 9" xfId="43042"/>
    <cellStyle name="Calculation 2 6 4 9 2" xfId="51529"/>
    <cellStyle name="Calculation 2 6 5" xfId="1155"/>
    <cellStyle name="Calculation 2 6 5 2" xfId="7337"/>
    <cellStyle name="Calculation 2 6 5 3" xfId="7338"/>
    <cellStyle name="Calculation 2 6 5 4" xfId="7339"/>
    <cellStyle name="Calculation 2 6 5 5" xfId="7340"/>
    <cellStyle name="Calculation 2 6 5 6" xfId="35789"/>
    <cellStyle name="Calculation 2 6 5 7" xfId="43043"/>
    <cellStyle name="Calculation 2 6 5 8" xfId="51530"/>
    <cellStyle name="Calculation 2 6 6" xfId="3139"/>
    <cellStyle name="Calculation 2 6 6 2" xfId="7341"/>
    <cellStyle name="Calculation 2 6 6 3" xfId="7342"/>
    <cellStyle name="Calculation 2 6 6 4" xfId="7343"/>
    <cellStyle name="Calculation 2 6 6 5" xfId="7344"/>
    <cellStyle name="Calculation 2 6 6 6" xfId="37048"/>
    <cellStyle name="Calculation 2 6 6 7" xfId="43044"/>
    <cellStyle name="Calculation 2 6 6 8" xfId="51531"/>
    <cellStyle name="Calculation 2 6 7" xfId="3234"/>
    <cellStyle name="Calculation 2 6 7 2" xfId="7345"/>
    <cellStyle name="Calculation 2 6 7 3" xfId="7346"/>
    <cellStyle name="Calculation 2 6 7 4" xfId="7347"/>
    <cellStyle name="Calculation 2 6 7 5" xfId="7348"/>
    <cellStyle name="Calculation 2 6 7 6" xfId="37660"/>
    <cellStyle name="Calculation 2 6 7 7" xfId="43045"/>
    <cellStyle name="Calculation 2 6 7 8" xfId="51532"/>
    <cellStyle name="Calculation 2 6 8" xfId="7349"/>
    <cellStyle name="Calculation 2 6 8 2" xfId="7350"/>
    <cellStyle name="Calculation 2 6 8 3" xfId="7351"/>
    <cellStyle name="Calculation 2 6 8 4" xfId="7352"/>
    <cellStyle name="Calculation 2 6 8 5" xfId="7353"/>
    <cellStyle name="Calculation 2 6 8 6" xfId="38275"/>
    <cellStyle name="Calculation 2 6 8 7" xfId="43046"/>
    <cellStyle name="Calculation 2 6 8 8" xfId="51533"/>
    <cellStyle name="Calculation 2 6 9" xfId="7354"/>
    <cellStyle name="Calculation 2 6 9 2" xfId="7355"/>
    <cellStyle name="Calculation 2 6 9 3" xfId="7356"/>
    <cellStyle name="Calculation 2 6 9 4" xfId="7357"/>
    <cellStyle name="Calculation 2 6 9 5" xfId="7358"/>
    <cellStyle name="Calculation 2 6 9 6" xfId="38895"/>
    <cellStyle name="Calculation 2 6 9 7" xfId="43047"/>
    <cellStyle name="Calculation 2 6 9 8" xfId="51534"/>
    <cellStyle name="Calculation 2 7" xfId="465"/>
    <cellStyle name="Calculation 2 7 10" xfId="7359"/>
    <cellStyle name="Calculation 2 7 10 2" xfId="7360"/>
    <cellStyle name="Calculation 2 7 10 3" xfId="7361"/>
    <cellStyle name="Calculation 2 7 10 4" xfId="7362"/>
    <cellStyle name="Calculation 2 7 10 5" xfId="7363"/>
    <cellStyle name="Calculation 2 7 10 6" xfId="43048"/>
    <cellStyle name="Calculation 2 7 10 7" xfId="51535"/>
    <cellStyle name="Calculation 2 7 11" xfId="7364"/>
    <cellStyle name="Calculation 2 7 11 2" xfId="7365"/>
    <cellStyle name="Calculation 2 7 11 3" xfId="7366"/>
    <cellStyle name="Calculation 2 7 11 4" xfId="7367"/>
    <cellStyle name="Calculation 2 7 11 5" xfId="7368"/>
    <cellStyle name="Calculation 2 7 12" xfId="7369"/>
    <cellStyle name="Calculation 2 7 12 2" xfId="7370"/>
    <cellStyle name="Calculation 2 7 12 3" xfId="7371"/>
    <cellStyle name="Calculation 2 7 12 4" xfId="7372"/>
    <cellStyle name="Calculation 2 7 12 5" xfId="7373"/>
    <cellStyle name="Calculation 2 7 13" xfId="7374"/>
    <cellStyle name="Calculation 2 7 13 2" xfId="7375"/>
    <cellStyle name="Calculation 2 7 13 3" xfId="7376"/>
    <cellStyle name="Calculation 2 7 13 4" xfId="7377"/>
    <cellStyle name="Calculation 2 7 13 5" xfId="7378"/>
    <cellStyle name="Calculation 2 7 14" xfId="7379"/>
    <cellStyle name="Calculation 2 7 14 2" xfId="7380"/>
    <cellStyle name="Calculation 2 7 14 3" xfId="7381"/>
    <cellStyle name="Calculation 2 7 14 4" xfId="7382"/>
    <cellStyle name="Calculation 2 7 14 5" xfId="7383"/>
    <cellStyle name="Calculation 2 7 15" xfId="7384"/>
    <cellStyle name="Calculation 2 7 15 2" xfId="7385"/>
    <cellStyle name="Calculation 2 7 15 3" xfId="7386"/>
    <cellStyle name="Calculation 2 7 15 4" xfId="7387"/>
    <cellStyle name="Calculation 2 7 15 5" xfId="7388"/>
    <cellStyle name="Calculation 2 7 16" xfId="7389"/>
    <cellStyle name="Calculation 2 7 16 2" xfId="7390"/>
    <cellStyle name="Calculation 2 7 16 3" xfId="7391"/>
    <cellStyle name="Calculation 2 7 16 4" xfId="7392"/>
    <cellStyle name="Calculation 2 7 16 5" xfId="7393"/>
    <cellStyle name="Calculation 2 7 17" xfId="7394"/>
    <cellStyle name="Calculation 2 7 17 2" xfId="7395"/>
    <cellStyle name="Calculation 2 7 17 3" xfId="7396"/>
    <cellStyle name="Calculation 2 7 17 4" xfId="7397"/>
    <cellStyle name="Calculation 2 7 17 5" xfId="7398"/>
    <cellStyle name="Calculation 2 7 18" xfId="7399"/>
    <cellStyle name="Calculation 2 7 19" xfId="894"/>
    <cellStyle name="Calculation 2 7 2" xfId="1784"/>
    <cellStyle name="Calculation 2 7 2 2" xfId="1785"/>
    <cellStyle name="Calculation 2 7 2 3" xfId="1786"/>
    <cellStyle name="Calculation 2 7 2 4" xfId="7400"/>
    <cellStyle name="Calculation 2 7 2 5" xfId="7401"/>
    <cellStyle name="Calculation 2 7 2 6" xfId="36270"/>
    <cellStyle name="Calculation 2 7 2 7" xfId="43049"/>
    <cellStyle name="Calculation 2 7 2 8" xfId="51536"/>
    <cellStyle name="Calculation 2 7 20" xfId="34975"/>
    <cellStyle name="Calculation 2 7 21" xfId="40684"/>
    <cellStyle name="Calculation 2 7 22" xfId="41193"/>
    <cellStyle name="Calculation 2 7 3" xfId="1787"/>
    <cellStyle name="Calculation 2 7 3 2" xfId="1788"/>
    <cellStyle name="Calculation 2 7 3 3" xfId="1789"/>
    <cellStyle name="Calculation 2 7 3 4" xfId="7402"/>
    <cellStyle name="Calculation 2 7 3 5" xfId="7403"/>
    <cellStyle name="Calculation 2 7 3 6" xfId="36767"/>
    <cellStyle name="Calculation 2 7 3 7" xfId="43050"/>
    <cellStyle name="Calculation 2 7 3 8" xfId="51537"/>
    <cellStyle name="Calculation 2 7 4" xfId="1790"/>
    <cellStyle name="Calculation 2 7 4 2" xfId="7404"/>
    <cellStyle name="Calculation 2 7 4 3" xfId="7405"/>
    <cellStyle name="Calculation 2 7 4 4" xfId="7406"/>
    <cellStyle name="Calculation 2 7 4 5" xfId="7407"/>
    <cellStyle name="Calculation 2 7 4 6" xfId="37383"/>
    <cellStyle name="Calculation 2 7 4 7" xfId="43051"/>
    <cellStyle name="Calculation 2 7 4 8" xfId="51538"/>
    <cellStyle name="Calculation 2 7 5" xfId="1157"/>
    <cellStyle name="Calculation 2 7 5 2" xfId="7408"/>
    <cellStyle name="Calculation 2 7 5 3" xfId="7409"/>
    <cellStyle name="Calculation 2 7 5 4" xfId="7410"/>
    <cellStyle name="Calculation 2 7 5 5" xfId="7411"/>
    <cellStyle name="Calculation 2 7 5 6" xfId="37999"/>
    <cellStyle name="Calculation 2 7 5 7" xfId="43052"/>
    <cellStyle name="Calculation 2 7 5 8" xfId="51539"/>
    <cellStyle name="Calculation 2 7 6" xfId="3141"/>
    <cellStyle name="Calculation 2 7 6 2" xfId="7412"/>
    <cellStyle name="Calculation 2 7 6 3" xfId="7413"/>
    <cellStyle name="Calculation 2 7 6 4" xfId="7414"/>
    <cellStyle name="Calculation 2 7 6 5" xfId="7415"/>
    <cellStyle name="Calculation 2 7 6 6" xfId="38616"/>
    <cellStyle name="Calculation 2 7 6 7" xfId="43053"/>
    <cellStyle name="Calculation 2 7 6 8" xfId="51540"/>
    <cellStyle name="Calculation 2 7 7" xfId="3232"/>
    <cellStyle name="Calculation 2 7 7 2" xfId="7416"/>
    <cellStyle name="Calculation 2 7 7 3" xfId="7417"/>
    <cellStyle name="Calculation 2 7 7 4" xfId="7418"/>
    <cellStyle name="Calculation 2 7 7 5" xfId="7419"/>
    <cellStyle name="Calculation 2 7 7 6" xfId="39236"/>
    <cellStyle name="Calculation 2 7 7 7" xfId="43054"/>
    <cellStyle name="Calculation 2 7 7 8" xfId="51541"/>
    <cellStyle name="Calculation 2 7 8" xfId="7420"/>
    <cellStyle name="Calculation 2 7 8 2" xfId="7421"/>
    <cellStyle name="Calculation 2 7 8 3" xfId="7422"/>
    <cellStyle name="Calculation 2 7 8 4" xfId="7423"/>
    <cellStyle name="Calculation 2 7 8 5" xfId="7424"/>
    <cellStyle name="Calculation 2 7 8 6" xfId="39852"/>
    <cellStyle name="Calculation 2 7 8 7" xfId="43055"/>
    <cellStyle name="Calculation 2 7 8 8" xfId="51542"/>
    <cellStyle name="Calculation 2 7 9" xfId="7425"/>
    <cellStyle name="Calculation 2 7 9 2" xfId="7426"/>
    <cellStyle name="Calculation 2 7 9 3" xfId="7427"/>
    <cellStyle name="Calculation 2 7 9 4" xfId="7428"/>
    <cellStyle name="Calculation 2 7 9 5" xfId="7429"/>
    <cellStyle name="Calculation 2 7 9 6" xfId="40467"/>
    <cellStyle name="Calculation 2 7 9 7" xfId="43056"/>
    <cellStyle name="Calculation 2 7 9 8" xfId="51543"/>
    <cellStyle name="Calculation 2 8" xfId="1791"/>
    <cellStyle name="Calculation 2 8 10" xfId="34779"/>
    <cellStyle name="Calculation 2 8 11" xfId="40978"/>
    <cellStyle name="Calculation 2 8 12" xfId="43057"/>
    <cellStyle name="Calculation 2 8 13" xfId="51544"/>
    <cellStyle name="Calculation 2 8 2" xfId="1792"/>
    <cellStyle name="Calculation 2 8 2 2" xfId="1793"/>
    <cellStyle name="Calculation 2 8 2 3" xfId="36057"/>
    <cellStyle name="Calculation 2 8 2 4" xfId="43058"/>
    <cellStyle name="Calculation 2 8 2 5" xfId="51545"/>
    <cellStyle name="Calculation 2 8 3" xfId="1794"/>
    <cellStyle name="Calculation 2 8 3 2" xfId="36555"/>
    <cellStyle name="Calculation 2 8 3 3" xfId="43059"/>
    <cellStyle name="Calculation 2 8 3 4" xfId="51546"/>
    <cellStyle name="Calculation 2 8 4" xfId="1795"/>
    <cellStyle name="Calculation 2 8 4 2" xfId="37171"/>
    <cellStyle name="Calculation 2 8 4 3" xfId="43060"/>
    <cellStyle name="Calculation 2 8 4 4" xfId="51547"/>
    <cellStyle name="Calculation 2 8 5" xfId="7430"/>
    <cellStyle name="Calculation 2 8 5 2" xfId="37786"/>
    <cellStyle name="Calculation 2 8 5 3" xfId="43061"/>
    <cellStyle name="Calculation 2 8 5 4" xfId="51548"/>
    <cellStyle name="Calculation 2 8 6" xfId="38401"/>
    <cellStyle name="Calculation 2 8 6 2" xfId="43062"/>
    <cellStyle name="Calculation 2 8 6 3" xfId="51549"/>
    <cellStyle name="Calculation 2 8 7" xfId="39021"/>
    <cellStyle name="Calculation 2 8 7 2" xfId="43063"/>
    <cellStyle name="Calculation 2 8 7 3" xfId="51550"/>
    <cellStyle name="Calculation 2 8 8" xfId="39637"/>
    <cellStyle name="Calculation 2 8 8 2" xfId="43064"/>
    <cellStyle name="Calculation 2 8 8 3" xfId="51551"/>
    <cellStyle name="Calculation 2 8 9" xfId="40252"/>
    <cellStyle name="Calculation 2 8 9 2" xfId="43065"/>
    <cellStyle name="Calculation 2 8 9 3" xfId="51552"/>
    <cellStyle name="Calculation 2 9" xfId="1796"/>
    <cellStyle name="Calculation 2 9 10" xfId="43066"/>
    <cellStyle name="Calculation 2 9 11" xfId="51553"/>
    <cellStyle name="Calculation 2 9 2" xfId="1797"/>
    <cellStyle name="Calculation 2 9 2 2" xfId="43067"/>
    <cellStyle name="Calculation 2 9 2 3" xfId="51554"/>
    <cellStyle name="Calculation 2 9 3" xfId="1798"/>
    <cellStyle name="Calculation 2 9 3 2" xfId="43068"/>
    <cellStyle name="Calculation 2 9 3 3" xfId="51555"/>
    <cellStyle name="Calculation 2 9 4" xfId="7431"/>
    <cellStyle name="Calculation 2 9 4 2" xfId="43069"/>
    <cellStyle name="Calculation 2 9 4 3" xfId="51556"/>
    <cellStyle name="Calculation 2 9 5" xfId="7432"/>
    <cellStyle name="Calculation 2 9 5 2" xfId="43070"/>
    <cellStyle name="Calculation 2 9 5 3" xfId="51557"/>
    <cellStyle name="Calculation 2 9 6" xfId="35246"/>
    <cellStyle name="Calculation 2 9 6 2" xfId="43071"/>
    <cellStyle name="Calculation 2 9 6 3" xfId="51558"/>
    <cellStyle name="Calculation 2 9 7" xfId="43072"/>
    <cellStyle name="Calculation 2 9 7 2" xfId="51559"/>
    <cellStyle name="Calculation 2 9 8" xfId="43073"/>
    <cellStyle name="Calculation 2 9 8 2" xfId="51560"/>
    <cellStyle name="Calculation 2 9 9" xfId="43074"/>
    <cellStyle name="Calculation 2 9 9 2" xfId="51561"/>
    <cellStyle name="Calculation 2_SS10_Codes Cat Analysis RIN" xfId="43075"/>
    <cellStyle name="Calculation 3" xfId="43076"/>
    <cellStyle name="Check Cell 2" xfId="69"/>
    <cellStyle name="Check Cell 2 2" xfId="321"/>
    <cellStyle name="Check Cell 2 2 2" xfId="322"/>
    <cellStyle name="Check Cell 2 2 2 2" xfId="323"/>
    <cellStyle name="Check Cell 2 2 3" xfId="35515"/>
    <cellStyle name="Check Cell 2 3" xfId="35247"/>
    <cellStyle name="Check Cell 2 3 2" xfId="43077"/>
    <cellStyle name="Check Cell 3" xfId="43078"/>
    <cellStyle name="Comma" xfId="1" builtinId="3"/>
    <cellStyle name="Comma [0]7Z_87C" xfId="70"/>
    <cellStyle name="Comma 0" xfId="71"/>
    <cellStyle name="Comma 0 2" xfId="35516"/>
    <cellStyle name="Comma 0 3" xfId="35248"/>
    <cellStyle name="Comma 1" xfId="72"/>
    <cellStyle name="Comma 1 2" xfId="35517"/>
    <cellStyle name="Comma 1 3" xfId="35249"/>
    <cellStyle name="Comma 10" xfId="43079"/>
    <cellStyle name="Comma 10 2" xfId="43080"/>
    <cellStyle name="Comma 100" xfId="43081"/>
    <cellStyle name="Comma 101" xfId="43082"/>
    <cellStyle name="Comma 102" xfId="43083"/>
    <cellStyle name="Comma 103" xfId="43084"/>
    <cellStyle name="Comma 104" xfId="43085"/>
    <cellStyle name="Comma 105" xfId="43086"/>
    <cellStyle name="Comma 11" xfId="40764"/>
    <cellStyle name="Comma 11 2" xfId="43088"/>
    <cellStyle name="Comma 11 2 2" xfId="43089"/>
    <cellStyle name="Comma 11 3" xfId="43090"/>
    <cellStyle name="Comma 11 4" xfId="43091"/>
    <cellStyle name="Comma 11 5" xfId="43087"/>
    <cellStyle name="Comma 12" xfId="43092"/>
    <cellStyle name="Comma 13" xfId="43093"/>
    <cellStyle name="Comma 13 2" xfId="43094"/>
    <cellStyle name="Comma 14" xfId="43095"/>
    <cellStyle name="Comma 14 2" xfId="43096"/>
    <cellStyle name="Comma 15" xfId="43097"/>
    <cellStyle name="Comma 16" xfId="43098"/>
    <cellStyle name="Comma 17" xfId="43099"/>
    <cellStyle name="Comma 18" xfId="43100"/>
    <cellStyle name="Comma 19" xfId="43101"/>
    <cellStyle name="Comma 2" xfId="73"/>
    <cellStyle name="Comma 2 2" xfId="74"/>
    <cellStyle name="Comma 2 2 2" xfId="1799"/>
    <cellStyle name="Comma 2 2 2 2" xfId="43102"/>
    <cellStyle name="Comma 2 2 3" xfId="1800"/>
    <cellStyle name="Comma 2 2 3 2" xfId="1801"/>
    <cellStyle name="Comma 2 2 3 3" xfId="1802"/>
    <cellStyle name="Comma 2 2 4" xfId="1803"/>
    <cellStyle name="Comma 2 3" xfId="75"/>
    <cellStyle name="Comma 2 3 2" xfId="1804"/>
    <cellStyle name="Comma 2 3 2 2" xfId="43103"/>
    <cellStyle name="Comma 2 3 3" xfId="1805"/>
    <cellStyle name="Comma 2 3 3 2" xfId="1806"/>
    <cellStyle name="Comma 2 3 3 3" xfId="1807"/>
    <cellStyle name="Comma 2 4" xfId="1808"/>
    <cellStyle name="Comma 2 4 2" xfId="43104"/>
    <cellStyle name="Comma 2 5" xfId="1809"/>
    <cellStyle name="Comma 2 5 2" xfId="43105"/>
    <cellStyle name="Comma 2_SS10_Codes Cat Analysis RIN" xfId="43106"/>
    <cellStyle name="Comma 20" xfId="43107"/>
    <cellStyle name="Comma 21" xfId="43108"/>
    <cellStyle name="Comma 22" xfId="43109"/>
    <cellStyle name="Comma 23" xfId="43110"/>
    <cellStyle name="Comma 24" xfId="43111"/>
    <cellStyle name="Comma 25" xfId="43112"/>
    <cellStyle name="Comma 26" xfId="43113"/>
    <cellStyle name="Comma 27" xfId="43114"/>
    <cellStyle name="Comma 28" xfId="43115"/>
    <cellStyle name="Comma 29" xfId="43116"/>
    <cellStyle name="Comma 3" xfId="76"/>
    <cellStyle name="Comma 3 2" xfId="1810"/>
    <cellStyle name="Comma 3 2 2" xfId="35518"/>
    <cellStyle name="Comma 3 2 2 2" xfId="43118"/>
    <cellStyle name="Comma 3 2 3" xfId="43117"/>
    <cellStyle name="Comma 3 3" xfId="1811"/>
    <cellStyle name="Comma 3 3 2" xfId="1812"/>
    <cellStyle name="Comma 3 3 3" xfId="1813"/>
    <cellStyle name="Comma 3 3 4" xfId="35250"/>
    <cellStyle name="Comma 3 4" xfId="1814"/>
    <cellStyle name="Comma 3 4 2" xfId="43119"/>
    <cellStyle name="Comma 3 5" xfId="43120"/>
    <cellStyle name="Comma 3 6" xfId="43121"/>
    <cellStyle name="Comma 30" xfId="43122"/>
    <cellStyle name="Comma 31" xfId="43123"/>
    <cellStyle name="Comma 32" xfId="43124"/>
    <cellStyle name="Comma 33" xfId="43125"/>
    <cellStyle name="Comma 34" xfId="43126"/>
    <cellStyle name="Comma 35" xfId="43127"/>
    <cellStyle name="Comma 36" xfId="43128"/>
    <cellStyle name="Comma 37" xfId="41406"/>
    <cellStyle name="Comma 37 2" xfId="43129"/>
    <cellStyle name="Comma 38" xfId="43130"/>
    <cellStyle name="Comma 39" xfId="43131"/>
    <cellStyle name="Comma 4" xfId="77"/>
    <cellStyle name="Comma 4 10" xfId="43132"/>
    <cellStyle name="Comma 4 10 2" xfId="43133"/>
    <cellStyle name="Comma 4 2" xfId="1815"/>
    <cellStyle name="Comma 4 2 2" xfId="1816"/>
    <cellStyle name="Comma 4 2 2 2" xfId="43135"/>
    <cellStyle name="Comma 4 2 3" xfId="1817"/>
    <cellStyle name="Comma 4 2 4" xfId="43134"/>
    <cellStyle name="Comma 4 3" xfId="1818"/>
    <cellStyle name="Comma 4 3 2" xfId="43136"/>
    <cellStyle name="Comma 4 3 2 2" xfId="43137"/>
    <cellStyle name="Comma 4 3 3" xfId="43138"/>
    <cellStyle name="Comma 4 3 3 2" xfId="43139"/>
    <cellStyle name="Comma 4 3 4" xfId="43140"/>
    <cellStyle name="Comma 4 4" xfId="43141"/>
    <cellStyle name="Comma 4 4 2" xfId="43142"/>
    <cellStyle name="Comma 4 4 2 2" xfId="43143"/>
    <cellStyle name="Comma 4 4 3" xfId="43144"/>
    <cellStyle name="Comma 4 5" xfId="43145"/>
    <cellStyle name="Comma 4 5 2" xfId="43146"/>
    <cellStyle name="Comma 4 5 2 2" xfId="43147"/>
    <cellStyle name="Comma 4 5 3" xfId="43148"/>
    <cellStyle name="Comma 4 6" xfId="43149"/>
    <cellStyle name="Comma 4 7" xfId="43150"/>
    <cellStyle name="Comma 4 7 2" xfId="43151"/>
    <cellStyle name="Comma 4 8" xfId="43152"/>
    <cellStyle name="Comma 4 9" xfId="43153"/>
    <cellStyle name="Comma 4 9 2" xfId="43154"/>
    <cellStyle name="Comma 40" xfId="43155"/>
    <cellStyle name="Comma 41" xfId="43156"/>
    <cellStyle name="Comma 42" xfId="43157"/>
    <cellStyle name="Comma 43" xfId="43158"/>
    <cellStyle name="Comma 44" xfId="43159"/>
    <cellStyle name="Comma 45" xfId="43160"/>
    <cellStyle name="Comma 46" xfId="43161"/>
    <cellStyle name="Comma 47" xfId="43162"/>
    <cellStyle name="Comma 48" xfId="43163"/>
    <cellStyle name="Comma 49" xfId="43164"/>
    <cellStyle name="Comma 5" xfId="1819"/>
    <cellStyle name="Comma 5 2" xfId="35725"/>
    <cellStyle name="Comma 5 2 2" xfId="43165"/>
    <cellStyle name="Comma 5 3" xfId="43166"/>
    <cellStyle name="Comma 50" xfId="43167"/>
    <cellStyle name="Comma 51" xfId="43168"/>
    <cellStyle name="Comma 52" xfId="43169"/>
    <cellStyle name="Comma 53" xfId="43170"/>
    <cellStyle name="Comma 54" xfId="43171"/>
    <cellStyle name="Comma 55" xfId="43172"/>
    <cellStyle name="Comma 56" xfId="43173"/>
    <cellStyle name="Comma 57" xfId="43174"/>
    <cellStyle name="Comma 58" xfId="43175"/>
    <cellStyle name="Comma 59" xfId="43176"/>
    <cellStyle name="Comma 6" xfId="1820"/>
    <cellStyle name="Comma 6 2" xfId="43178"/>
    <cellStyle name="Comma 6 2 2" xfId="43179"/>
    <cellStyle name="Comma 6 3" xfId="43180"/>
    <cellStyle name="Comma 6 4" xfId="43177"/>
    <cellStyle name="Comma 60" xfId="43181"/>
    <cellStyle name="Comma 61" xfId="43182"/>
    <cellStyle name="Comma 62" xfId="43183"/>
    <cellStyle name="Comma 63" xfId="43184"/>
    <cellStyle name="Comma 64" xfId="43185"/>
    <cellStyle name="Comma 65" xfId="43186"/>
    <cellStyle name="Comma 66" xfId="43187"/>
    <cellStyle name="Comma 67" xfId="43188"/>
    <cellStyle name="Comma 68" xfId="43189"/>
    <cellStyle name="Comma 69" xfId="43190"/>
    <cellStyle name="Comma 7" xfId="1821"/>
    <cellStyle name="Comma 7 2" xfId="1822"/>
    <cellStyle name="Comma 7 2 2" xfId="43191"/>
    <cellStyle name="Comma 7 3" xfId="43192"/>
    <cellStyle name="Comma 7 3 2" xfId="43193"/>
    <cellStyle name="Comma 7 4" xfId="43194"/>
    <cellStyle name="Comma 70" xfId="43195"/>
    <cellStyle name="Comma 71" xfId="43196"/>
    <cellStyle name="Comma 72" xfId="43197"/>
    <cellStyle name="Comma 73" xfId="43198"/>
    <cellStyle name="Comma 74" xfId="43199"/>
    <cellStyle name="Comma 75" xfId="43200"/>
    <cellStyle name="Comma 76" xfId="43201"/>
    <cellStyle name="Comma 77" xfId="43202"/>
    <cellStyle name="Comma 78" xfId="43203"/>
    <cellStyle name="Comma 79" xfId="43204"/>
    <cellStyle name="Comma 8" xfId="43205"/>
    <cellStyle name="Comma 8 2" xfId="43206"/>
    <cellStyle name="Comma 8 2 2" xfId="43207"/>
    <cellStyle name="Comma 8 3" xfId="43208"/>
    <cellStyle name="Comma 80" xfId="43209"/>
    <cellStyle name="Comma 81" xfId="43210"/>
    <cellStyle name="Comma 82" xfId="43211"/>
    <cellStyle name="Comma 83" xfId="43212"/>
    <cellStyle name="Comma 84" xfId="43213"/>
    <cellStyle name="Comma 85" xfId="43214"/>
    <cellStyle name="Comma 86" xfId="43215"/>
    <cellStyle name="Comma 87" xfId="43216"/>
    <cellStyle name="Comma 88" xfId="43217"/>
    <cellStyle name="Comma 89" xfId="43218"/>
    <cellStyle name="Comma 9" xfId="43219"/>
    <cellStyle name="Comma 9 2" xfId="43220"/>
    <cellStyle name="Comma 9 2 2" xfId="43221"/>
    <cellStyle name="Comma 9 3" xfId="43222"/>
    <cellStyle name="Comma 90" xfId="43223"/>
    <cellStyle name="Comma 91" xfId="43224"/>
    <cellStyle name="Comma 92" xfId="43225"/>
    <cellStyle name="Comma 93" xfId="43226"/>
    <cellStyle name="Comma 94" xfId="43227"/>
    <cellStyle name="Comma 95" xfId="43228"/>
    <cellStyle name="Comma 96" xfId="43229"/>
    <cellStyle name="Comma 97" xfId="43230"/>
    <cellStyle name="Comma 98" xfId="43231"/>
    <cellStyle name="Comma 99" xfId="43232"/>
    <cellStyle name="Comma0" xfId="78"/>
    <cellStyle name="Currency" xfId="2" builtinId="4"/>
    <cellStyle name="Currency 11" xfId="79"/>
    <cellStyle name="Currency 2" xfId="14"/>
    <cellStyle name="Currency 2 2" xfId="1823"/>
    <cellStyle name="Currency 2 2 2" xfId="1824"/>
    <cellStyle name="Currency 2 2 2 2" xfId="43233"/>
    <cellStyle name="Currency 2 2 3" xfId="1825"/>
    <cellStyle name="Currency 2 3" xfId="1826"/>
    <cellStyle name="Currency 2 3 2" xfId="1827"/>
    <cellStyle name="Currency 2 3 2 2" xfId="43234"/>
    <cellStyle name="Currency 2 3 3" xfId="1828"/>
    <cellStyle name="Currency 2 4" xfId="1829"/>
    <cellStyle name="Currency 2 4 2" xfId="43235"/>
    <cellStyle name="Currency 2 5" xfId="1830"/>
    <cellStyle name="Currency 2 5 2" xfId="1831"/>
    <cellStyle name="Currency 2 5 3" xfId="1832"/>
    <cellStyle name="Currency 3" xfId="80"/>
    <cellStyle name="Currency 3 2" xfId="1833"/>
    <cellStyle name="Currency 3 2 2" xfId="43237"/>
    <cellStyle name="Currency 3 2 3" xfId="43236"/>
    <cellStyle name="Currency 3 3" xfId="1834"/>
    <cellStyle name="Currency 3 3 2" xfId="1835"/>
    <cellStyle name="Currency 3 3 3" xfId="1836"/>
    <cellStyle name="Currency 3 4" xfId="43238"/>
    <cellStyle name="Currency 4" xfId="81"/>
    <cellStyle name="Currency 4 2" xfId="1837"/>
    <cellStyle name="Currency 4 2 2" xfId="1838"/>
    <cellStyle name="Currency 4 2 3" xfId="1839"/>
    <cellStyle name="Currency 5" xfId="1840"/>
    <cellStyle name="Currency 5 2" xfId="43239"/>
    <cellStyle name="Currency 6" xfId="1841"/>
    <cellStyle name="Currency 6 2" xfId="1842"/>
    <cellStyle name="D4_B8B1_005004B79812_.wvu.PrintTitlest" xfId="82"/>
    <cellStyle name="Date" xfId="83"/>
    <cellStyle name="Emphasis 1" xfId="84"/>
    <cellStyle name="Emphasis 1 2" xfId="35519"/>
    <cellStyle name="Emphasis 1 2 2" xfId="43240"/>
    <cellStyle name="Emphasis 1 3" xfId="35251"/>
    <cellStyle name="Emphasis 2" xfId="85"/>
    <cellStyle name="Emphasis 2 2" xfId="35520"/>
    <cellStyle name="Emphasis 2 2 2" xfId="43241"/>
    <cellStyle name="Emphasis 2 3" xfId="35252"/>
    <cellStyle name="Emphasis 3" xfId="86"/>
    <cellStyle name="Emphasis 3 2" xfId="35521"/>
    <cellStyle name="Emphasis 3 2 2" xfId="43242"/>
    <cellStyle name="Emphasis 3 3" xfId="35253"/>
    <cellStyle name="Euro" xfId="87"/>
    <cellStyle name="Explanatory Text 2" xfId="88"/>
    <cellStyle name="Explanatory Text 2 2" xfId="35522"/>
    <cellStyle name="Explanatory Text 2 3" xfId="35254"/>
    <cellStyle name="Explanatory Text 3" xfId="43243"/>
    <cellStyle name="Fixed" xfId="89"/>
    <cellStyle name="Flashing" xfId="43244"/>
    <cellStyle name="Gilsans" xfId="90"/>
    <cellStyle name="Gilsans 2" xfId="35523"/>
    <cellStyle name="Gilsans 3" xfId="35255"/>
    <cellStyle name="Gilsansl" xfId="91"/>
    <cellStyle name="Gilsansl 2" xfId="35524"/>
    <cellStyle name="Gilsansl 3" xfId="35256"/>
    <cellStyle name="Good 2" xfId="92"/>
    <cellStyle name="Good 2 2" xfId="35525"/>
    <cellStyle name="Good 2 3" xfId="35257"/>
    <cellStyle name="Good 3" xfId="43245"/>
    <cellStyle name="Heading 1 2" xfId="93"/>
    <cellStyle name="Heading 1 2 2" xfId="1843"/>
    <cellStyle name="Heading 1 2 2 2" xfId="1844"/>
    <cellStyle name="Heading 1 2 2 3" xfId="1845"/>
    <cellStyle name="Heading 1 2 2 4" xfId="35526"/>
    <cellStyle name="Heading 1 2 3" xfId="35258"/>
    <cellStyle name="Heading 1 3" xfId="94"/>
    <cellStyle name="Heading 1 3 2" xfId="35527"/>
    <cellStyle name="Heading 1 3 3" xfId="35259"/>
    <cellStyle name="Heading 1 4" xfId="43246"/>
    <cellStyle name="Heading 2 2" xfId="95"/>
    <cellStyle name="Heading 2 2 2" xfId="1846"/>
    <cellStyle name="Heading 2 2 2 2" xfId="1847"/>
    <cellStyle name="Heading 2 2 2 3" xfId="1848"/>
    <cellStyle name="Heading 2 2 2 4" xfId="35528"/>
    <cellStyle name="Heading 2 2 3" xfId="35260"/>
    <cellStyle name="Heading 2 3" xfId="96"/>
    <cellStyle name="Heading 2 3 2" xfId="35529"/>
    <cellStyle name="Heading 2 3 3" xfId="35261"/>
    <cellStyle name="Heading 2 4" xfId="43247"/>
    <cellStyle name="Heading 3 2" xfId="97"/>
    <cellStyle name="Heading 3 2 2" xfId="243"/>
    <cellStyle name="Heading 3 2 2 2" xfId="337"/>
    <cellStyle name="Heading 3 2 2 2 10" xfId="40682"/>
    <cellStyle name="Heading 3 2 2 2 11" xfId="40857"/>
    <cellStyle name="Heading 3 2 2 2 2" xfId="1849"/>
    <cellStyle name="Heading 3 2 2 2 2 2" xfId="1850"/>
    <cellStyle name="Heading 3 2 2 2 2 2 2" xfId="1851"/>
    <cellStyle name="Heading 3 2 2 2 2 2 3" xfId="1852"/>
    <cellStyle name="Heading 3 2 2 2 2 2 4" xfId="43248"/>
    <cellStyle name="Heading 3 2 2 2 2 3" xfId="1853"/>
    <cellStyle name="Heading 3 2 2 2 2 4" xfId="1854"/>
    <cellStyle name="Heading 3 2 2 2 2 5" xfId="38495"/>
    <cellStyle name="Heading 3 2 2 2 2 6" xfId="39115"/>
    <cellStyle name="Heading 3 2 2 2 2 7" xfId="39731"/>
    <cellStyle name="Heading 3 2 2 2 2 8" xfId="40346"/>
    <cellStyle name="Heading 3 2 2 2 2 9" xfId="41072"/>
    <cellStyle name="Heading 3 2 2 2 3" xfId="1160"/>
    <cellStyle name="Heading 3 2 2 2 3 2" xfId="35653"/>
    <cellStyle name="Heading 3 2 2 2 3 3" xfId="43249"/>
    <cellStyle name="Heading 3 2 2 2 4" xfId="3174"/>
    <cellStyle name="Heading 3 2 2 2 5" xfId="773"/>
    <cellStyle name="Heading 3 2 2 2 6" xfId="37661"/>
    <cellStyle name="Heading 3 2 2 2 7" xfId="38276"/>
    <cellStyle name="Heading 3 2 2 2 8" xfId="38896"/>
    <cellStyle name="Heading 3 2 2 2 9" xfId="39515"/>
    <cellStyle name="Heading 3 2 2 3" xfId="1855"/>
    <cellStyle name="Heading 3 2 2 3 10" xfId="40990"/>
    <cellStyle name="Heading 3 2 2 3 2" xfId="1856"/>
    <cellStyle name="Heading 3 2 2 3 2 2" xfId="1857"/>
    <cellStyle name="Heading 3 2 2 3 2 3" xfId="1858"/>
    <cellStyle name="Heading 3 2 2 3 2 4" xfId="43250"/>
    <cellStyle name="Heading 3 2 2 3 3" xfId="1859"/>
    <cellStyle name="Heading 3 2 2 3 4" xfId="1860"/>
    <cellStyle name="Heading 3 2 2 3 5" xfId="37798"/>
    <cellStyle name="Heading 3 2 2 3 6" xfId="38413"/>
    <cellStyle name="Heading 3 2 2 3 7" xfId="39033"/>
    <cellStyle name="Heading 3 2 2 3 8" xfId="39649"/>
    <cellStyle name="Heading 3 2 2 3 9" xfId="40264"/>
    <cellStyle name="Heading 3 2 2 4" xfId="1159"/>
    <cellStyle name="Heading 3 2 2 4 2" xfId="7433"/>
    <cellStyle name="Heading 3 2 2 4 3" xfId="7434"/>
    <cellStyle name="Heading 3 2 2 4 4" xfId="35384"/>
    <cellStyle name="Heading 3 2 2 4 5" xfId="43251"/>
    <cellStyle name="Heading 3 2 2 5" xfId="3173"/>
    <cellStyle name="Heading 3 2 2 5 2" xfId="7435"/>
    <cellStyle name="Heading 3 2 2 5 3" xfId="7436"/>
    <cellStyle name="Heading 3 2 2 6" xfId="691"/>
    <cellStyle name="Heading 3 2 2 7" xfId="40681"/>
    <cellStyle name="Heading 3 2 3" xfId="338"/>
    <cellStyle name="Heading 3 2 3 10" xfId="40683"/>
    <cellStyle name="Heading 3 2 3 11" xfId="40858"/>
    <cellStyle name="Heading 3 2 3 2" xfId="1861"/>
    <cellStyle name="Heading 3 2 3 2 2" xfId="1862"/>
    <cellStyle name="Heading 3 2 3 2 2 2" xfId="1863"/>
    <cellStyle name="Heading 3 2 3 2 2 3" xfId="1864"/>
    <cellStyle name="Heading 3 2 3 2 2 4" xfId="43252"/>
    <cellStyle name="Heading 3 2 3 2 3" xfId="1865"/>
    <cellStyle name="Heading 3 2 3 2 4" xfId="1866"/>
    <cellStyle name="Heading 3 2 3 2 5" xfId="38496"/>
    <cellStyle name="Heading 3 2 3 2 6" xfId="39116"/>
    <cellStyle name="Heading 3 2 3 2 7" xfId="39732"/>
    <cellStyle name="Heading 3 2 3 2 8" xfId="40347"/>
    <cellStyle name="Heading 3 2 3 2 9" xfId="41073"/>
    <cellStyle name="Heading 3 2 3 3" xfId="1161"/>
    <cellStyle name="Heading 3 2 3 3 2" xfId="35530"/>
    <cellStyle name="Heading 3 2 3 3 3" xfId="43253"/>
    <cellStyle name="Heading 3 2 3 4" xfId="3175"/>
    <cellStyle name="Heading 3 2 3 5" xfId="774"/>
    <cellStyle name="Heading 3 2 3 6" xfId="37662"/>
    <cellStyle name="Heading 3 2 3 7" xfId="38277"/>
    <cellStyle name="Heading 3 2 3 8" xfId="38897"/>
    <cellStyle name="Heading 3 2 3 9" xfId="39516"/>
    <cellStyle name="Heading 3 2 4" xfId="1867"/>
    <cellStyle name="Heading 3 2 4 10" xfId="40979"/>
    <cellStyle name="Heading 3 2 4 2" xfId="1868"/>
    <cellStyle name="Heading 3 2 4 2 2" xfId="1869"/>
    <cellStyle name="Heading 3 2 4 2 2 2" xfId="1870"/>
    <cellStyle name="Heading 3 2 4 2 2 3" xfId="1871"/>
    <cellStyle name="Heading 3 2 4 2 3" xfId="1872"/>
    <cellStyle name="Heading 3 2 4 2 4" xfId="1873"/>
    <cellStyle name="Heading 3 2 4 2 5" xfId="43254"/>
    <cellStyle name="Heading 3 2 4 3" xfId="1874"/>
    <cellStyle name="Heading 3 2 4 3 2" xfId="1875"/>
    <cellStyle name="Heading 3 2 4 3 3" xfId="1876"/>
    <cellStyle name="Heading 3 2 4 3 4" xfId="36556"/>
    <cellStyle name="Heading 3 2 4 4" xfId="1877"/>
    <cellStyle name="Heading 3 2 4 4 2" xfId="1878"/>
    <cellStyle name="Heading 3 2 4 4 3" xfId="1879"/>
    <cellStyle name="Heading 3 2 4 4 4" xfId="37172"/>
    <cellStyle name="Heading 3 2 4 5" xfId="1880"/>
    <cellStyle name="Heading 3 2 4 5 2" xfId="37787"/>
    <cellStyle name="Heading 3 2 4 6" xfId="1881"/>
    <cellStyle name="Heading 3 2 4 6 2" xfId="38402"/>
    <cellStyle name="Heading 3 2 4 7" xfId="39022"/>
    <cellStyle name="Heading 3 2 4 8" xfId="39638"/>
    <cellStyle name="Heading 3 2 4 9" xfId="40253"/>
    <cellStyle name="Heading 3 2 5" xfId="1158"/>
    <cellStyle name="Heading 3 2 5 2" xfId="7437"/>
    <cellStyle name="Heading 3 2 5 3" xfId="7438"/>
    <cellStyle name="Heading 3 2 5 4" xfId="35262"/>
    <cellStyle name="Heading 3 2 5 5" xfId="43255"/>
    <cellStyle name="Heading 3 2 6" xfId="3172"/>
    <cellStyle name="Heading 3 2 6 2" xfId="7439"/>
    <cellStyle name="Heading 3 2 6 3" xfId="7440"/>
    <cellStyle name="Heading 3 2 7" xfId="680"/>
    <cellStyle name="Heading 3 2 8" xfId="40680"/>
    <cellStyle name="Heading 3 3" xfId="98"/>
    <cellStyle name="Heading 3 3 2" xfId="35531"/>
    <cellStyle name="Heading 3 3 3" xfId="35263"/>
    <cellStyle name="Heading 3 4" xfId="43256"/>
    <cellStyle name="Heading 4 2" xfId="99"/>
    <cellStyle name="Heading 4 2 2" xfId="1882"/>
    <cellStyle name="Heading 4 2 2 2" xfId="1883"/>
    <cellStyle name="Heading 4 2 2 3" xfId="1884"/>
    <cellStyle name="Heading 4 2 2 4" xfId="35532"/>
    <cellStyle name="Heading 4 2 3" xfId="35264"/>
    <cellStyle name="Heading 4 3" xfId="100"/>
    <cellStyle name="Heading 4 3 2" xfId="35533"/>
    <cellStyle name="Heading 4 3 3" xfId="35265"/>
    <cellStyle name="Heading 4 4" xfId="43257"/>
    <cellStyle name="Heading(4)" xfId="101"/>
    <cellStyle name="Hyperlink 2" xfId="10"/>
    <cellStyle name="Hyperlink 2 2" xfId="35462"/>
    <cellStyle name="Hyperlink 2 2 2" xfId="43259"/>
    <cellStyle name="Hyperlink 2 2 3" xfId="43258"/>
    <cellStyle name="Hyperlink 2 3" xfId="35194"/>
    <cellStyle name="Hyperlink 2 3 2" xfId="43260"/>
    <cellStyle name="Hyperlink 3" xfId="315"/>
    <cellStyle name="Hyperlink 3 2" xfId="35723"/>
    <cellStyle name="Hyperlink 3 3" xfId="35454"/>
    <cellStyle name="Hyperlink 4" xfId="35644"/>
    <cellStyle name="Hyperlink 4 2" xfId="43261"/>
    <cellStyle name="Hyperlink Arrow" xfId="102"/>
    <cellStyle name="Hyperlink Arrow 2" xfId="35534"/>
    <cellStyle name="Hyperlink Arrow 3" xfId="35266"/>
    <cellStyle name="Hyperlink Text" xfId="103"/>
    <cellStyle name="Hyperlink Text 2" xfId="35535"/>
    <cellStyle name="Hyperlink Text 3" xfId="35267"/>
    <cellStyle name="Input 2" xfId="104"/>
    <cellStyle name="Input 2 10" xfId="1162"/>
    <cellStyle name="Input 2 10 2" xfId="7441"/>
    <cellStyle name="Input 2 10 3" xfId="7442"/>
    <cellStyle name="Input 2 10 4" xfId="7443"/>
    <cellStyle name="Input 2 10 5" xfId="7444"/>
    <cellStyle name="Input 2 10 6" xfId="35821"/>
    <cellStyle name="Input 2 10 7" xfId="43262"/>
    <cellStyle name="Input 2 10 8" xfId="51562"/>
    <cellStyle name="Input 2 11" xfId="3180"/>
    <cellStyle name="Input 2 11 2" xfId="7445"/>
    <cellStyle name="Input 2 11 3" xfId="7446"/>
    <cellStyle name="Input 2 11 4" xfId="7447"/>
    <cellStyle name="Input 2 11 5" xfId="7448"/>
    <cellStyle name="Input 2 11 6" xfId="36024"/>
    <cellStyle name="Input 2 11 7" xfId="43263"/>
    <cellStyle name="Input 2 11 8" xfId="51563"/>
    <cellStyle name="Input 2 12" xfId="3179"/>
    <cellStyle name="Input 2 12 2" xfId="7449"/>
    <cellStyle name="Input 2 12 3" xfId="7450"/>
    <cellStyle name="Input 2 12 4" xfId="7451"/>
    <cellStyle name="Input 2 12 5" xfId="7452"/>
    <cellStyle name="Input 2 12 6" xfId="37785"/>
    <cellStyle name="Input 2 12 7" xfId="43264"/>
    <cellStyle name="Input 2 12 8" xfId="51564"/>
    <cellStyle name="Input 2 13" xfId="7453"/>
    <cellStyle name="Input 2 13 2" xfId="7454"/>
    <cellStyle name="Input 2 13 3" xfId="7455"/>
    <cellStyle name="Input 2 13 4" xfId="7456"/>
    <cellStyle name="Input 2 13 5" xfId="7457"/>
    <cellStyle name="Input 2 13 6" xfId="43265"/>
    <cellStyle name="Input 2 13 7" xfId="51565"/>
    <cellStyle name="Input 2 14" xfId="7458"/>
    <cellStyle name="Input 2 14 2" xfId="7459"/>
    <cellStyle name="Input 2 14 3" xfId="7460"/>
    <cellStyle name="Input 2 14 4" xfId="7461"/>
    <cellStyle name="Input 2 14 5" xfId="7462"/>
    <cellStyle name="Input 2 14 6" xfId="43266"/>
    <cellStyle name="Input 2 14 7" xfId="51566"/>
    <cellStyle name="Input 2 15" xfId="7463"/>
    <cellStyle name="Input 2 15 2" xfId="7464"/>
    <cellStyle name="Input 2 15 3" xfId="7465"/>
    <cellStyle name="Input 2 15 4" xfId="7466"/>
    <cellStyle name="Input 2 15 5" xfId="7467"/>
    <cellStyle name="Input 2 15 6" xfId="43267"/>
    <cellStyle name="Input 2 15 7" xfId="51567"/>
    <cellStyle name="Input 2 16" xfId="7468"/>
    <cellStyle name="Input 2 16 2" xfId="7469"/>
    <cellStyle name="Input 2 16 3" xfId="7470"/>
    <cellStyle name="Input 2 16 4" xfId="7471"/>
    <cellStyle name="Input 2 16 5" xfId="7472"/>
    <cellStyle name="Input 2 16 6" xfId="43268"/>
    <cellStyle name="Input 2 16 7" xfId="51568"/>
    <cellStyle name="Input 2 17" xfId="7473"/>
    <cellStyle name="Input 2 17 2" xfId="7474"/>
    <cellStyle name="Input 2 17 3" xfId="7475"/>
    <cellStyle name="Input 2 17 4" xfId="7476"/>
    <cellStyle name="Input 2 17 5" xfId="7477"/>
    <cellStyle name="Input 2 17 6" xfId="43269"/>
    <cellStyle name="Input 2 17 7" xfId="51569"/>
    <cellStyle name="Input 2 18" xfId="7478"/>
    <cellStyle name="Input 2 18 2" xfId="7479"/>
    <cellStyle name="Input 2 18 3" xfId="7480"/>
    <cellStyle name="Input 2 18 4" xfId="7481"/>
    <cellStyle name="Input 2 18 5" xfId="7482"/>
    <cellStyle name="Input 2 18 6" xfId="43270"/>
    <cellStyle name="Input 2 18 7" xfId="51570"/>
    <cellStyle name="Input 2 19" xfId="7483"/>
    <cellStyle name="Input 2 2" xfId="244"/>
    <cellStyle name="Input 2 2 10" xfId="3178"/>
    <cellStyle name="Input 2 2 10 2" xfId="7484"/>
    <cellStyle name="Input 2 2 10 3" xfId="7485"/>
    <cellStyle name="Input 2 2 10 4" xfId="7486"/>
    <cellStyle name="Input 2 2 10 5" xfId="7487"/>
    <cellStyle name="Input 2 2 10 6" xfId="36037"/>
    <cellStyle name="Input 2 2 10 7" xfId="43271"/>
    <cellStyle name="Input 2 2 10 8" xfId="51571"/>
    <cellStyle name="Input 2 2 11" xfId="7488"/>
    <cellStyle name="Input 2 2 11 2" xfId="7489"/>
    <cellStyle name="Input 2 2 11 3" xfId="7490"/>
    <cellStyle name="Input 2 2 11 4" xfId="7491"/>
    <cellStyle name="Input 2 2 11 5" xfId="7492"/>
    <cellStyle name="Input 2 2 11 6" xfId="35856"/>
    <cellStyle name="Input 2 2 11 7" xfId="43272"/>
    <cellStyle name="Input 2 2 11 8" xfId="51572"/>
    <cellStyle name="Input 2 2 12" xfId="7493"/>
    <cellStyle name="Input 2 2 12 2" xfId="7494"/>
    <cellStyle name="Input 2 2 12 3" xfId="7495"/>
    <cellStyle name="Input 2 2 12 4" xfId="7496"/>
    <cellStyle name="Input 2 2 12 5" xfId="7497"/>
    <cellStyle name="Input 2 2 12 6" xfId="36006"/>
    <cellStyle name="Input 2 2 12 7" xfId="43273"/>
    <cellStyle name="Input 2 2 12 8" xfId="51573"/>
    <cellStyle name="Input 2 2 13" xfId="7498"/>
    <cellStyle name="Input 2 2 13 2" xfId="7499"/>
    <cellStyle name="Input 2 2 13 3" xfId="7500"/>
    <cellStyle name="Input 2 2 13 4" xfId="7501"/>
    <cellStyle name="Input 2 2 13 5" xfId="7502"/>
    <cellStyle name="Input 2 2 13 6" xfId="37035"/>
    <cellStyle name="Input 2 2 13 7" xfId="43274"/>
    <cellStyle name="Input 2 2 13 8" xfId="51574"/>
    <cellStyle name="Input 2 2 14" xfId="7503"/>
    <cellStyle name="Input 2 2 14 2" xfId="7504"/>
    <cellStyle name="Input 2 2 14 3" xfId="7505"/>
    <cellStyle name="Input 2 2 14 4" xfId="7506"/>
    <cellStyle name="Input 2 2 14 5" xfId="7507"/>
    <cellStyle name="Input 2 2 14 6" xfId="37647"/>
    <cellStyle name="Input 2 2 14 7" xfId="43275"/>
    <cellStyle name="Input 2 2 14 8" xfId="51575"/>
    <cellStyle name="Input 2 2 15" xfId="7508"/>
    <cellStyle name="Input 2 2 15 2" xfId="7509"/>
    <cellStyle name="Input 2 2 15 3" xfId="7510"/>
    <cellStyle name="Input 2 2 15 4" xfId="7511"/>
    <cellStyle name="Input 2 2 15 5" xfId="7512"/>
    <cellStyle name="Input 2 2 15 6" xfId="35897"/>
    <cellStyle name="Input 2 2 15 7" xfId="43276"/>
    <cellStyle name="Input 2 2 15 8" xfId="51576"/>
    <cellStyle name="Input 2 2 16" xfId="7513"/>
    <cellStyle name="Input 2 2 16 2" xfId="7514"/>
    <cellStyle name="Input 2 2 16 3" xfId="7515"/>
    <cellStyle name="Input 2 2 16 4" xfId="7516"/>
    <cellStyle name="Input 2 2 16 5" xfId="7517"/>
    <cellStyle name="Input 2 2 16 6" xfId="43277"/>
    <cellStyle name="Input 2 2 16 7" xfId="51577"/>
    <cellStyle name="Input 2 2 17" xfId="7518"/>
    <cellStyle name="Input 2 2 17 2" xfId="7519"/>
    <cellStyle name="Input 2 2 17 3" xfId="7520"/>
    <cellStyle name="Input 2 2 17 4" xfId="7521"/>
    <cellStyle name="Input 2 2 17 5" xfId="7522"/>
    <cellStyle name="Input 2 2 18" xfId="7523"/>
    <cellStyle name="Input 2 2 19" xfId="692"/>
    <cellStyle name="Input 2 2 2" xfId="274"/>
    <cellStyle name="Input 2 2 2 10" xfId="7524"/>
    <cellStyle name="Input 2 2 2 10 2" xfId="7525"/>
    <cellStyle name="Input 2 2 2 10 3" xfId="7526"/>
    <cellStyle name="Input 2 2 2 10 4" xfId="7527"/>
    <cellStyle name="Input 2 2 2 10 5" xfId="7528"/>
    <cellStyle name="Input 2 2 2 10 6" xfId="38219"/>
    <cellStyle name="Input 2 2 2 10 7" xfId="43278"/>
    <cellStyle name="Input 2 2 2 10 8" xfId="51578"/>
    <cellStyle name="Input 2 2 2 11" xfId="7529"/>
    <cellStyle name="Input 2 2 2 11 2" xfId="7530"/>
    <cellStyle name="Input 2 2 2 11 3" xfId="7531"/>
    <cellStyle name="Input 2 2 2 11 4" xfId="7532"/>
    <cellStyle name="Input 2 2 2 11 5" xfId="7533"/>
    <cellStyle name="Input 2 2 2 11 6" xfId="38841"/>
    <cellStyle name="Input 2 2 2 11 7" xfId="43279"/>
    <cellStyle name="Input 2 2 2 11 8" xfId="51579"/>
    <cellStyle name="Input 2 2 2 12" xfId="7534"/>
    <cellStyle name="Input 2 2 2 12 2" xfId="7535"/>
    <cellStyle name="Input 2 2 2 12 3" xfId="7536"/>
    <cellStyle name="Input 2 2 2 12 4" xfId="7537"/>
    <cellStyle name="Input 2 2 2 12 5" xfId="7538"/>
    <cellStyle name="Input 2 2 2 12 6" xfId="39461"/>
    <cellStyle name="Input 2 2 2 12 7" xfId="43280"/>
    <cellStyle name="Input 2 2 2 12 8" xfId="51580"/>
    <cellStyle name="Input 2 2 2 13" xfId="7539"/>
    <cellStyle name="Input 2 2 2 13 2" xfId="7540"/>
    <cellStyle name="Input 2 2 2 13 3" xfId="7541"/>
    <cellStyle name="Input 2 2 2 13 4" xfId="7542"/>
    <cellStyle name="Input 2 2 2 13 5" xfId="7543"/>
    <cellStyle name="Input 2 2 2 13 6" xfId="40079"/>
    <cellStyle name="Input 2 2 2 13 7" xfId="43281"/>
    <cellStyle name="Input 2 2 2 13 8" xfId="51581"/>
    <cellStyle name="Input 2 2 2 14" xfId="7544"/>
    <cellStyle name="Input 2 2 2 14 2" xfId="7545"/>
    <cellStyle name="Input 2 2 2 14 3" xfId="7546"/>
    <cellStyle name="Input 2 2 2 14 4" xfId="7547"/>
    <cellStyle name="Input 2 2 2 14 5" xfId="7548"/>
    <cellStyle name="Input 2 2 2 14 6" xfId="43282"/>
    <cellStyle name="Input 2 2 2 14 7" xfId="51582"/>
    <cellStyle name="Input 2 2 2 15" xfId="7549"/>
    <cellStyle name="Input 2 2 2 15 2" xfId="7550"/>
    <cellStyle name="Input 2 2 2 15 3" xfId="7551"/>
    <cellStyle name="Input 2 2 2 15 4" xfId="7552"/>
    <cellStyle name="Input 2 2 2 15 5" xfId="7553"/>
    <cellStyle name="Input 2 2 2 16" xfId="7554"/>
    <cellStyle name="Input 2 2 2 17" xfId="719"/>
    <cellStyle name="Input 2 2 2 18" xfId="34842"/>
    <cellStyle name="Input 2 2 2 19" xfId="40803"/>
    <cellStyle name="Input 2 2 2 2" xfId="339"/>
    <cellStyle name="Input 2 2 2 2 10" xfId="7555"/>
    <cellStyle name="Input 2 2 2 2 10 2" xfId="7556"/>
    <cellStyle name="Input 2 2 2 2 10 3" xfId="7557"/>
    <cellStyle name="Input 2 2 2 2 10 4" xfId="7558"/>
    <cellStyle name="Input 2 2 2 2 10 5" xfId="7559"/>
    <cellStyle name="Input 2 2 2 2 10 6" xfId="39517"/>
    <cellStyle name="Input 2 2 2 2 10 7" xfId="43283"/>
    <cellStyle name="Input 2 2 2 2 10 8" xfId="51583"/>
    <cellStyle name="Input 2 2 2 2 11" xfId="7560"/>
    <cellStyle name="Input 2 2 2 2 11 2" xfId="7561"/>
    <cellStyle name="Input 2 2 2 2 11 3" xfId="7562"/>
    <cellStyle name="Input 2 2 2 2 11 4" xfId="7563"/>
    <cellStyle name="Input 2 2 2 2 11 5" xfId="7564"/>
    <cellStyle name="Input 2 2 2 2 11 6" xfId="40133"/>
    <cellStyle name="Input 2 2 2 2 11 7" xfId="43284"/>
    <cellStyle name="Input 2 2 2 2 11 8" xfId="51584"/>
    <cellStyle name="Input 2 2 2 2 12" xfId="7565"/>
    <cellStyle name="Input 2 2 2 2 12 2" xfId="7566"/>
    <cellStyle name="Input 2 2 2 2 12 3" xfId="7567"/>
    <cellStyle name="Input 2 2 2 2 12 4" xfId="7568"/>
    <cellStyle name="Input 2 2 2 2 12 5" xfId="7569"/>
    <cellStyle name="Input 2 2 2 2 12 6" xfId="43285"/>
    <cellStyle name="Input 2 2 2 2 12 7" xfId="51585"/>
    <cellStyle name="Input 2 2 2 2 13" xfId="7570"/>
    <cellStyle name="Input 2 2 2 2 13 2" xfId="7571"/>
    <cellStyle name="Input 2 2 2 2 13 3" xfId="7572"/>
    <cellStyle name="Input 2 2 2 2 13 4" xfId="7573"/>
    <cellStyle name="Input 2 2 2 2 13 5" xfId="7574"/>
    <cellStyle name="Input 2 2 2 2 13 6" xfId="43286"/>
    <cellStyle name="Input 2 2 2 2 13 7" xfId="51586"/>
    <cellStyle name="Input 2 2 2 2 14" xfId="7575"/>
    <cellStyle name="Input 2 2 2 2 14 2" xfId="7576"/>
    <cellStyle name="Input 2 2 2 2 14 3" xfId="7577"/>
    <cellStyle name="Input 2 2 2 2 14 4" xfId="7578"/>
    <cellStyle name="Input 2 2 2 2 14 5" xfId="7579"/>
    <cellStyle name="Input 2 2 2 2 15" xfId="7580"/>
    <cellStyle name="Input 2 2 2 2 15 2" xfId="7581"/>
    <cellStyle name="Input 2 2 2 2 15 3" xfId="7582"/>
    <cellStyle name="Input 2 2 2 2 15 4" xfId="7583"/>
    <cellStyle name="Input 2 2 2 2 15 5" xfId="7584"/>
    <cellStyle name="Input 2 2 2 2 16" xfId="7585"/>
    <cellStyle name="Input 2 2 2 2 16 2" xfId="7586"/>
    <cellStyle name="Input 2 2 2 2 16 3" xfId="7587"/>
    <cellStyle name="Input 2 2 2 2 16 4" xfId="7588"/>
    <cellStyle name="Input 2 2 2 2 16 5" xfId="7589"/>
    <cellStyle name="Input 2 2 2 2 17" xfId="7590"/>
    <cellStyle name="Input 2 2 2 2 17 2" xfId="7591"/>
    <cellStyle name="Input 2 2 2 2 17 3" xfId="7592"/>
    <cellStyle name="Input 2 2 2 2 17 4" xfId="7593"/>
    <cellStyle name="Input 2 2 2 2 17 5" xfId="7594"/>
    <cellStyle name="Input 2 2 2 2 18" xfId="7595"/>
    <cellStyle name="Input 2 2 2 2 19" xfId="775"/>
    <cellStyle name="Input 2 2 2 2 2" xfId="558"/>
    <cellStyle name="Input 2 2 2 2 2 10" xfId="7596"/>
    <cellStyle name="Input 2 2 2 2 2 10 2" xfId="7597"/>
    <cellStyle name="Input 2 2 2 2 2 10 3" xfId="7598"/>
    <cellStyle name="Input 2 2 2 2 2 10 4" xfId="7599"/>
    <cellStyle name="Input 2 2 2 2 2 10 5" xfId="7600"/>
    <cellStyle name="Input 2 2 2 2 2 10 6" xfId="43287"/>
    <cellStyle name="Input 2 2 2 2 2 10 7" xfId="51587"/>
    <cellStyle name="Input 2 2 2 2 2 11" xfId="7601"/>
    <cellStyle name="Input 2 2 2 2 2 11 2" xfId="7602"/>
    <cellStyle name="Input 2 2 2 2 2 11 3" xfId="7603"/>
    <cellStyle name="Input 2 2 2 2 2 11 4" xfId="7604"/>
    <cellStyle name="Input 2 2 2 2 2 11 5" xfId="7605"/>
    <cellStyle name="Input 2 2 2 2 2 12" xfId="7606"/>
    <cellStyle name="Input 2 2 2 2 2 12 2" xfId="7607"/>
    <cellStyle name="Input 2 2 2 2 2 12 3" xfId="7608"/>
    <cellStyle name="Input 2 2 2 2 2 12 4" xfId="7609"/>
    <cellStyle name="Input 2 2 2 2 2 12 5" xfId="7610"/>
    <cellStyle name="Input 2 2 2 2 2 13" xfId="7611"/>
    <cellStyle name="Input 2 2 2 2 2 13 2" xfId="7612"/>
    <cellStyle name="Input 2 2 2 2 2 13 3" xfId="7613"/>
    <cellStyle name="Input 2 2 2 2 2 13 4" xfId="7614"/>
    <cellStyle name="Input 2 2 2 2 2 13 5" xfId="7615"/>
    <cellStyle name="Input 2 2 2 2 2 14" xfId="7616"/>
    <cellStyle name="Input 2 2 2 2 2 14 2" xfId="7617"/>
    <cellStyle name="Input 2 2 2 2 2 14 3" xfId="7618"/>
    <cellStyle name="Input 2 2 2 2 2 14 4" xfId="7619"/>
    <cellStyle name="Input 2 2 2 2 2 14 5" xfId="7620"/>
    <cellStyle name="Input 2 2 2 2 2 15" xfId="7621"/>
    <cellStyle name="Input 2 2 2 2 2 15 2" xfId="7622"/>
    <cellStyle name="Input 2 2 2 2 2 15 3" xfId="7623"/>
    <cellStyle name="Input 2 2 2 2 2 15 4" xfId="7624"/>
    <cellStyle name="Input 2 2 2 2 2 15 5" xfId="7625"/>
    <cellStyle name="Input 2 2 2 2 2 16" xfId="7626"/>
    <cellStyle name="Input 2 2 2 2 2 16 2" xfId="7627"/>
    <cellStyle name="Input 2 2 2 2 2 16 3" xfId="7628"/>
    <cellStyle name="Input 2 2 2 2 2 16 4" xfId="7629"/>
    <cellStyle name="Input 2 2 2 2 2 16 5" xfId="7630"/>
    <cellStyle name="Input 2 2 2 2 2 17" xfId="7631"/>
    <cellStyle name="Input 2 2 2 2 2 17 2" xfId="7632"/>
    <cellStyle name="Input 2 2 2 2 2 17 3" xfId="7633"/>
    <cellStyle name="Input 2 2 2 2 2 17 4" xfId="7634"/>
    <cellStyle name="Input 2 2 2 2 2 17 5" xfId="7635"/>
    <cellStyle name="Input 2 2 2 2 2 18" xfId="7636"/>
    <cellStyle name="Input 2 2 2 2 2 19" xfId="987"/>
    <cellStyle name="Input 2 2 2 2 2 2" xfId="1885"/>
    <cellStyle name="Input 2 2 2 2 2 2 2" xfId="7637"/>
    <cellStyle name="Input 2 2 2 2 2 2 3" xfId="7638"/>
    <cellStyle name="Input 2 2 2 2 2 2 4" xfId="7639"/>
    <cellStyle name="Input 2 2 2 2 2 2 5" xfId="7640"/>
    <cellStyle name="Input 2 2 2 2 2 2 6" xfId="36362"/>
    <cellStyle name="Input 2 2 2 2 2 2 7" xfId="43288"/>
    <cellStyle name="Input 2 2 2 2 2 2 8" xfId="51588"/>
    <cellStyle name="Input 2 2 2 2 2 20" xfId="35067"/>
    <cellStyle name="Input 2 2 2 2 2 21" xfId="41286"/>
    <cellStyle name="Input 2 2 2 2 2 3" xfId="1886"/>
    <cellStyle name="Input 2 2 2 2 2 3 2" xfId="7641"/>
    <cellStyle name="Input 2 2 2 2 2 3 3" xfId="7642"/>
    <cellStyle name="Input 2 2 2 2 2 3 4" xfId="7643"/>
    <cellStyle name="Input 2 2 2 2 2 3 5" xfId="7644"/>
    <cellStyle name="Input 2 2 2 2 2 3 6" xfId="36859"/>
    <cellStyle name="Input 2 2 2 2 2 3 7" xfId="43289"/>
    <cellStyle name="Input 2 2 2 2 2 3 8" xfId="51589"/>
    <cellStyle name="Input 2 2 2 2 2 4" xfId="1166"/>
    <cellStyle name="Input 2 2 2 2 2 4 2" xfId="7645"/>
    <cellStyle name="Input 2 2 2 2 2 4 3" xfId="7646"/>
    <cellStyle name="Input 2 2 2 2 2 4 4" xfId="7647"/>
    <cellStyle name="Input 2 2 2 2 2 4 5" xfId="7648"/>
    <cellStyle name="Input 2 2 2 2 2 4 6" xfId="37475"/>
    <cellStyle name="Input 2 2 2 2 2 4 7" xfId="43290"/>
    <cellStyle name="Input 2 2 2 2 2 4 8" xfId="51590"/>
    <cellStyle name="Input 2 2 2 2 2 5" xfId="3184"/>
    <cellStyle name="Input 2 2 2 2 2 5 2" xfId="7649"/>
    <cellStyle name="Input 2 2 2 2 2 5 3" xfId="7650"/>
    <cellStyle name="Input 2 2 2 2 2 5 4" xfId="7651"/>
    <cellStyle name="Input 2 2 2 2 2 5 5" xfId="7652"/>
    <cellStyle name="Input 2 2 2 2 2 5 6" xfId="38091"/>
    <cellStyle name="Input 2 2 2 2 2 5 7" xfId="43291"/>
    <cellStyle name="Input 2 2 2 2 2 5 8" xfId="51591"/>
    <cellStyle name="Input 2 2 2 2 2 6" xfId="3171"/>
    <cellStyle name="Input 2 2 2 2 2 6 2" xfId="7653"/>
    <cellStyle name="Input 2 2 2 2 2 6 3" xfId="7654"/>
    <cellStyle name="Input 2 2 2 2 2 6 4" xfId="7655"/>
    <cellStyle name="Input 2 2 2 2 2 6 5" xfId="7656"/>
    <cellStyle name="Input 2 2 2 2 2 6 6" xfId="38709"/>
    <cellStyle name="Input 2 2 2 2 2 6 7" xfId="43292"/>
    <cellStyle name="Input 2 2 2 2 2 6 8" xfId="51592"/>
    <cellStyle name="Input 2 2 2 2 2 7" xfId="7657"/>
    <cellStyle name="Input 2 2 2 2 2 7 2" xfId="7658"/>
    <cellStyle name="Input 2 2 2 2 2 7 3" xfId="7659"/>
    <cellStyle name="Input 2 2 2 2 2 7 4" xfId="7660"/>
    <cellStyle name="Input 2 2 2 2 2 7 5" xfId="7661"/>
    <cellStyle name="Input 2 2 2 2 2 7 6" xfId="39329"/>
    <cellStyle name="Input 2 2 2 2 2 7 7" xfId="43293"/>
    <cellStyle name="Input 2 2 2 2 2 7 8" xfId="51593"/>
    <cellStyle name="Input 2 2 2 2 2 8" xfId="7662"/>
    <cellStyle name="Input 2 2 2 2 2 8 2" xfId="7663"/>
    <cellStyle name="Input 2 2 2 2 2 8 3" xfId="7664"/>
    <cellStyle name="Input 2 2 2 2 2 8 4" xfId="7665"/>
    <cellStyle name="Input 2 2 2 2 2 8 5" xfId="7666"/>
    <cellStyle name="Input 2 2 2 2 2 8 6" xfId="39945"/>
    <cellStyle name="Input 2 2 2 2 2 8 7" xfId="43294"/>
    <cellStyle name="Input 2 2 2 2 2 8 8" xfId="51594"/>
    <cellStyle name="Input 2 2 2 2 2 9" xfId="7667"/>
    <cellStyle name="Input 2 2 2 2 2 9 2" xfId="7668"/>
    <cellStyle name="Input 2 2 2 2 2 9 3" xfId="7669"/>
    <cellStyle name="Input 2 2 2 2 2 9 4" xfId="7670"/>
    <cellStyle name="Input 2 2 2 2 2 9 5" xfId="7671"/>
    <cellStyle name="Input 2 2 2 2 2 9 6" xfId="40560"/>
    <cellStyle name="Input 2 2 2 2 2 9 7" xfId="43295"/>
    <cellStyle name="Input 2 2 2 2 2 9 8" xfId="51595"/>
    <cellStyle name="Input 2 2 2 2 20" xfId="34870"/>
    <cellStyle name="Input 2 2 2 2 21" xfId="40859"/>
    <cellStyle name="Input 2 2 2 2 22" xfId="41420"/>
    <cellStyle name="Input 2 2 2 2 23" xfId="50507"/>
    <cellStyle name="Input 2 2 2 2 3" xfId="1887"/>
    <cellStyle name="Input 2 2 2 2 3 10" xfId="34619"/>
    <cellStyle name="Input 2 2 2 2 3 11" xfId="41074"/>
    <cellStyle name="Input 2 2 2 2 3 12" xfId="43296"/>
    <cellStyle name="Input 2 2 2 2 3 13" xfId="51596"/>
    <cellStyle name="Input 2 2 2 2 3 2" xfId="1888"/>
    <cellStyle name="Input 2 2 2 2 3 2 2" xfId="36151"/>
    <cellStyle name="Input 2 2 2 2 3 2 3" xfId="43297"/>
    <cellStyle name="Input 2 2 2 2 3 2 4" xfId="51597"/>
    <cellStyle name="Input 2 2 2 2 3 3" xfId="1889"/>
    <cellStyle name="Input 2 2 2 2 3 3 2" xfId="36648"/>
    <cellStyle name="Input 2 2 2 2 3 3 3" xfId="43298"/>
    <cellStyle name="Input 2 2 2 2 3 3 4" xfId="51598"/>
    <cellStyle name="Input 2 2 2 2 3 4" xfId="7672"/>
    <cellStyle name="Input 2 2 2 2 3 4 2" xfId="37264"/>
    <cellStyle name="Input 2 2 2 2 3 4 3" xfId="43299"/>
    <cellStyle name="Input 2 2 2 2 3 4 4" xfId="51599"/>
    <cellStyle name="Input 2 2 2 2 3 5" xfId="7673"/>
    <cellStyle name="Input 2 2 2 2 3 5 2" xfId="37880"/>
    <cellStyle name="Input 2 2 2 2 3 5 3" xfId="43300"/>
    <cellStyle name="Input 2 2 2 2 3 5 4" xfId="51600"/>
    <cellStyle name="Input 2 2 2 2 3 6" xfId="38497"/>
    <cellStyle name="Input 2 2 2 2 3 6 2" xfId="43301"/>
    <cellStyle name="Input 2 2 2 2 3 6 3" xfId="51601"/>
    <cellStyle name="Input 2 2 2 2 3 7" xfId="39117"/>
    <cellStyle name="Input 2 2 2 2 3 7 2" xfId="43302"/>
    <cellStyle name="Input 2 2 2 2 3 7 3" xfId="51602"/>
    <cellStyle name="Input 2 2 2 2 3 8" xfId="39733"/>
    <cellStyle name="Input 2 2 2 2 3 8 2" xfId="43303"/>
    <cellStyle name="Input 2 2 2 2 3 8 3" xfId="51603"/>
    <cellStyle name="Input 2 2 2 2 3 9" xfId="40348"/>
    <cellStyle name="Input 2 2 2 2 3 9 2" xfId="43304"/>
    <cellStyle name="Input 2 2 2 2 3 9 3" xfId="51604"/>
    <cellStyle name="Input 2 2 2 2 4" xfId="1890"/>
    <cellStyle name="Input 2 2 2 2 4 10" xfId="43305"/>
    <cellStyle name="Input 2 2 2 2 4 11" xfId="51605"/>
    <cellStyle name="Input 2 2 2 2 4 2" xfId="7674"/>
    <cellStyle name="Input 2 2 2 2 4 2 2" xfId="43306"/>
    <cellStyle name="Input 2 2 2 2 4 2 3" xfId="51606"/>
    <cellStyle name="Input 2 2 2 2 4 3" xfId="7675"/>
    <cellStyle name="Input 2 2 2 2 4 3 2" xfId="43307"/>
    <cellStyle name="Input 2 2 2 2 4 3 3" xfId="51607"/>
    <cellStyle name="Input 2 2 2 2 4 4" xfId="7676"/>
    <cellStyle name="Input 2 2 2 2 4 4 2" xfId="43308"/>
    <cellStyle name="Input 2 2 2 2 4 4 3" xfId="51608"/>
    <cellStyle name="Input 2 2 2 2 4 5" xfId="7677"/>
    <cellStyle name="Input 2 2 2 2 4 5 2" xfId="43309"/>
    <cellStyle name="Input 2 2 2 2 4 5 3" xfId="51609"/>
    <cellStyle name="Input 2 2 2 2 4 6" xfId="35682"/>
    <cellStyle name="Input 2 2 2 2 4 6 2" xfId="43310"/>
    <cellStyle name="Input 2 2 2 2 4 6 3" xfId="51610"/>
    <cellStyle name="Input 2 2 2 2 4 7" xfId="43311"/>
    <cellStyle name="Input 2 2 2 2 4 7 2" xfId="51611"/>
    <cellStyle name="Input 2 2 2 2 4 8" xfId="43312"/>
    <cellStyle name="Input 2 2 2 2 4 8 2" xfId="51612"/>
    <cellStyle name="Input 2 2 2 2 4 9" xfId="43313"/>
    <cellStyle name="Input 2 2 2 2 4 9 2" xfId="51613"/>
    <cellStyle name="Input 2 2 2 2 5" xfId="1165"/>
    <cellStyle name="Input 2 2 2 2 5 2" xfId="7678"/>
    <cellStyle name="Input 2 2 2 2 5 3" xfId="7679"/>
    <cellStyle name="Input 2 2 2 2 5 4" xfId="7680"/>
    <cellStyle name="Input 2 2 2 2 5 5" xfId="7681"/>
    <cellStyle name="Input 2 2 2 2 5 6" xfId="35788"/>
    <cellStyle name="Input 2 2 2 2 5 7" xfId="43314"/>
    <cellStyle name="Input 2 2 2 2 5 8" xfId="51614"/>
    <cellStyle name="Input 2 2 2 2 6" xfId="3183"/>
    <cellStyle name="Input 2 2 2 2 6 2" xfId="7682"/>
    <cellStyle name="Input 2 2 2 2 6 3" xfId="7683"/>
    <cellStyle name="Input 2 2 2 2 6 4" xfId="7684"/>
    <cellStyle name="Input 2 2 2 2 6 5" xfId="7685"/>
    <cellStyle name="Input 2 2 2 2 6 6" xfId="37049"/>
    <cellStyle name="Input 2 2 2 2 6 7" xfId="43315"/>
    <cellStyle name="Input 2 2 2 2 6 8" xfId="51615"/>
    <cellStyle name="Input 2 2 2 2 7" xfId="3176"/>
    <cellStyle name="Input 2 2 2 2 7 2" xfId="7686"/>
    <cellStyle name="Input 2 2 2 2 7 3" xfId="7687"/>
    <cellStyle name="Input 2 2 2 2 7 4" xfId="7688"/>
    <cellStyle name="Input 2 2 2 2 7 5" xfId="7689"/>
    <cellStyle name="Input 2 2 2 2 7 6" xfId="37663"/>
    <cellStyle name="Input 2 2 2 2 7 7" xfId="43316"/>
    <cellStyle name="Input 2 2 2 2 7 8" xfId="51616"/>
    <cellStyle name="Input 2 2 2 2 8" xfId="7690"/>
    <cellStyle name="Input 2 2 2 2 8 2" xfId="7691"/>
    <cellStyle name="Input 2 2 2 2 8 3" xfId="7692"/>
    <cellStyle name="Input 2 2 2 2 8 4" xfId="7693"/>
    <cellStyle name="Input 2 2 2 2 8 5" xfId="7694"/>
    <cellStyle name="Input 2 2 2 2 8 6" xfId="38278"/>
    <cellStyle name="Input 2 2 2 2 8 7" xfId="43317"/>
    <cellStyle name="Input 2 2 2 2 8 8" xfId="51617"/>
    <cellStyle name="Input 2 2 2 2 9" xfId="7695"/>
    <cellStyle name="Input 2 2 2 2 9 2" xfId="7696"/>
    <cellStyle name="Input 2 2 2 2 9 3" xfId="7697"/>
    <cellStyle name="Input 2 2 2 2 9 4" xfId="7698"/>
    <cellStyle name="Input 2 2 2 2 9 5" xfId="7699"/>
    <cellStyle name="Input 2 2 2 2 9 6" xfId="38898"/>
    <cellStyle name="Input 2 2 2 2 9 7" xfId="43318"/>
    <cellStyle name="Input 2 2 2 2 9 8" xfId="51618"/>
    <cellStyle name="Input 2 2 2 3" xfId="504"/>
    <cellStyle name="Input 2 2 2 3 10" xfId="7700"/>
    <cellStyle name="Input 2 2 2 3 10 2" xfId="7701"/>
    <cellStyle name="Input 2 2 2 3 10 3" xfId="7702"/>
    <cellStyle name="Input 2 2 2 3 10 4" xfId="7703"/>
    <cellStyle name="Input 2 2 2 3 10 5" xfId="7704"/>
    <cellStyle name="Input 2 2 2 3 10 6" xfId="43319"/>
    <cellStyle name="Input 2 2 2 3 10 7" xfId="51619"/>
    <cellStyle name="Input 2 2 2 3 11" xfId="7705"/>
    <cellStyle name="Input 2 2 2 3 11 2" xfId="7706"/>
    <cellStyle name="Input 2 2 2 3 11 3" xfId="7707"/>
    <cellStyle name="Input 2 2 2 3 11 4" xfId="7708"/>
    <cellStyle name="Input 2 2 2 3 11 5" xfId="7709"/>
    <cellStyle name="Input 2 2 2 3 12" xfId="7710"/>
    <cellStyle name="Input 2 2 2 3 12 2" xfId="7711"/>
    <cellStyle name="Input 2 2 2 3 12 3" xfId="7712"/>
    <cellStyle name="Input 2 2 2 3 12 4" xfId="7713"/>
    <cellStyle name="Input 2 2 2 3 12 5" xfId="7714"/>
    <cellStyle name="Input 2 2 2 3 13" xfId="7715"/>
    <cellStyle name="Input 2 2 2 3 13 2" xfId="7716"/>
    <cellStyle name="Input 2 2 2 3 13 3" xfId="7717"/>
    <cellStyle name="Input 2 2 2 3 13 4" xfId="7718"/>
    <cellStyle name="Input 2 2 2 3 13 5" xfId="7719"/>
    <cellStyle name="Input 2 2 2 3 14" xfId="7720"/>
    <cellStyle name="Input 2 2 2 3 14 2" xfId="7721"/>
    <cellStyle name="Input 2 2 2 3 14 3" xfId="7722"/>
    <cellStyle name="Input 2 2 2 3 14 4" xfId="7723"/>
    <cellStyle name="Input 2 2 2 3 14 5" xfId="7724"/>
    <cellStyle name="Input 2 2 2 3 15" xfId="7725"/>
    <cellStyle name="Input 2 2 2 3 15 2" xfId="7726"/>
    <cellStyle name="Input 2 2 2 3 15 3" xfId="7727"/>
    <cellStyle name="Input 2 2 2 3 15 4" xfId="7728"/>
    <cellStyle name="Input 2 2 2 3 15 5" xfId="7729"/>
    <cellStyle name="Input 2 2 2 3 16" xfId="7730"/>
    <cellStyle name="Input 2 2 2 3 16 2" xfId="7731"/>
    <cellStyle name="Input 2 2 2 3 16 3" xfId="7732"/>
    <cellStyle name="Input 2 2 2 3 16 4" xfId="7733"/>
    <cellStyle name="Input 2 2 2 3 16 5" xfId="7734"/>
    <cellStyle name="Input 2 2 2 3 17" xfId="7735"/>
    <cellStyle name="Input 2 2 2 3 17 2" xfId="7736"/>
    <cellStyle name="Input 2 2 2 3 17 3" xfId="7737"/>
    <cellStyle name="Input 2 2 2 3 17 4" xfId="7738"/>
    <cellStyle name="Input 2 2 2 3 17 5" xfId="7739"/>
    <cellStyle name="Input 2 2 2 3 18" xfId="7740"/>
    <cellStyle name="Input 2 2 2 3 19" xfId="933"/>
    <cellStyle name="Input 2 2 2 3 2" xfId="1891"/>
    <cellStyle name="Input 2 2 2 3 2 2" xfId="1892"/>
    <cellStyle name="Input 2 2 2 3 2 3" xfId="1893"/>
    <cellStyle name="Input 2 2 2 3 2 4" xfId="7741"/>
    <cellStyle name="Input 2 2 2 3 2 5" xfId="7742"/>
    <cellStyle name="Input 2 2 2 3 2 6" xfId="36308"/>
    <cellStyle name="Input 2 2 2 3 2 7" xfId="43320"/>
    <cellStyle name="Input 2 2 2 3 2 8" xfId="51620"/>
    <cellStyle name="Input 2 2 2 3 20" xfId="35013"/>
    <cellStyle name="Input 2 2 2 3 21" xfId="40722"/>
    <cellStyle name="Input 2 2 2 3 22" xfId="41232"/>
    <cellStyle name="Input 2 2 2 3 3" xfId="1894"/>
    <cellStyle name="Input 2 2 2 3 3 2" xfId="7743"/>
    <cellStyle name="Input 2 2 2 3 3 3" xfId="7744"/>
    <cellStyle name="Input 2 2 2 3 3 4" xfId="7745"/>
    <cellStyle name="Input 2 2 2 3 3 5" xfId="7746"/>
    <cellStyle name="Input 2 2 2 3 3 6" xfId="36805"/>
    <cellStyle name="Input 2 2 2 3 3 7" xfId="43321"/>
    <cellStyle name="Input 2 2 2 3 3 8" xfId="51621"/>
    <cellStyle name="Input 2 2 2 3 4" xfId="1167"/>
    <cellStyle name="Input 2 2 2 3 4 2" xfId="7747"/>
    <cellStyle name="Input 2 2 2 3 4 3" xfId="7748"/>
    <cellStyle name="Input 2 2 2 3 4 4" xfId="7749"/>
    <cellStyle name="Input 2 2 2 3 4 5" xfId="7750"/>
    <cellStyle name="Input 2 2 2 3 4 6" xfId="37421"/>
    <cellStyle name="Input 2 2 2 3 4 7" xfId="43322"/>
    <cellStyle name="Input 2 2 2 3 4 8" xfId="51622"/>
    <cellStyle name="Input 2 2 2 3 5" xfId="3185"/>
    <cellStyle name="Input 2 2 2 3 5 2" xfId="7751"/>
    <cellStyle name="Input 2 2 2 3 5 3" xfId="7752"/>
    <cellStyle name="Input 2 2 2 3 5 4" xfId="7753"/>
    <cellStyle name="Input 2 2 2 3 5 5" xfId="7754"/>
    <cellStyle name="Input 2 2 2 3 5 6" xfId="38037"/>
    <cellStyle name="Input 2 2 2 3 5 7" xfId="43323"/>
    <cellStyle name="Input 2 2 2 3 5 8" xfId="51623"/>
    <cellStyle name="Input 2 2 2 3 6" xfId="3170"/>
    <cellStyle name="Input 2 2 2 3 6 2" xfId="7755"/>
    <cellStyle name="Input 2 2 2 3 6 3" xfId="7756"/>
    <cellStyle name="Input 2 2 2 3 6 4" xfId="7757"/>
    <cellStyle name="Input 2 2 2 3 6 5" xfId="7758"/>
    <cellStyle name="Input 2 2 2 3 6 6" xfId="38655"/>
    <cellStyle name="Input 2 2 2 3 6 7" xfId="43324"/>
    <cellStyle name="Input 2 2 2 3 6 8" xfId="51624"/>
    <cellStyle name="Input 2 2 2 3 7" xfId="7759"/>
    <cellStyle name="Input 2 2 2 3 7 2" xfId="7760"/>
    <cellStyle name="Input 2 2 2 3 7 3" xfId="7761"/>
    <cellStyle name="Input 2 2 2 3 7 4" xfId="7762"/>
    <cellStyle name="Input 2 2 2 3 7 5" xfId="7763"/>
    <cellStyle name="Input 2 2 2 3 7 6" xfId="39275"/>
    <cellStyle name="Input 2 2 2 3 7 7" xfId="43325"/>
    <cellStyle name="Input 2 2 2 3 7 8" xfId="51625"/>
    <cellStyle name="Input 2 2 2 3 8" xfId="7764"/>
    <cellStyle name="Input 2 2 2 3 8 2" xfId="7765"/>
    <cellStyle name="Input 2 2 2 3 8 3" xfId="7766"/>
    <cellStyle name="Input 2 2 2 3 8 4" xfId="7767"/>
    <cellStyle name="Input 2 2 2 3 8 5" xfId="7768"/>
    <cellStyle name="Input 2 2 2 3 8 6" xfId="39891"/>
    <cellStyle name="Input 2 2 2 3 8 7" xfId="43326"/>
    <cellStyle name="Input 2 2 2 3 8 8" xfId="51626"/>
    <cellStyle name="Input 2 2 2 3 9" xfId="7769"/>
    <cellStyle name="Input 2 2 2 3 9 2" xfId="7770"/>
    <cellStyle name="Input 2 2 2 3 9 3" xfId="7771"/>
    <cellStyle name="Input 2 2 2 3 9 4" xfId="7772"/>
    <cellStyle name="Input 2 2 2 3 9 5" xfId="7773"/>
    <cellStyle name="Input 2 2 2 3 9 6" xfId="40506"/>
    <cellStyle name="Input 2 2 2 3 9 7" xfId="43327"/>
    <cellStyle name="Input 2 2 2 3 9 8" xfId="51627"/>
    <cellStyle name="Input 2 2 2 4" xfId="1895"/>
    <cellStyle name="Input 2 2 2 4 10" xfId="34761"/>
    <cellStyle name="Input 2 2 2 4 11" xfId="41018"/>
    <cellStyle name="Input 2 2 2 4 12" xfId="43328"/>
    <cellStyle name="Input 2 2 2 4 13" xfId="51628"/>
    <cellStyle name="Input 2 2 2 4 2" xfId="1896"/>
    <cellStyle name="Input 2 2 2 4 2 2" xfId="36095"/>
    <cellStyle name="Input 2 2 2 4 2 3" xfId="43329"/>
    <cellStyle name="Input 2 2 2 4 2 4" xfId="51629"/>
    <cellStyle name="Input 2 2 2 4 3" xfId="1897"/>
    <cellStyle name="Input 2 2 2 4 3 2" xfId="36594"/>
    <cellStyle name="Input 2 2 2 4 3 3" xfId="43330"/>
    <cellStyle name="Input 2 2 2 4 3 4" xfId="51630"/>
    <cellStyle name="Input 2 2 2 4 4" xfId="7774"/>
    <cellStyle name="Input 2 2 2 4 4 2" xfId="37210"/>
    <cellStyle name="Input 2 2 2 4 4 3" xfId="43331"/>
    <cellStyle name="Input 2 2 2 4 4 4" xfId="51631"/>
    <cellStyle name="Input 2 2 2 4 5" xfId="7775"/>
    <cellStyle name="Input 2 2 2 4 5 2" xfId="37826"/>
    <cellStyle name="Input 2 2 2 4 5 3" xfId="43332"/>
    <cellStyle name="Input 2 2 2 4 5 4" xfId="51632"/>
    <cellStyle name="Input 2 2 2 4 6" xfId="38441"/>
    <cellStyle name="Input 2 2 2 4 6 2" xfId="43333"/>
    <cellStyle name="Input 2 2 2 4 6 3" xfId="51633"/>
    <cellStyle name="Input 2 2 2 4 7" xfId="39061"/>
    <cellStyle name="Input 2 2 2 4 7 2" xfId="43334"/>
    <cellStyle name="Input 2 2 2 4 7 3" xfId="51634"/>
    <cellStyle name="Input 2 2 2 4 8" xfId="39677"/>
    <cellStyle name="Input 2 2 2 4 8 2" xfId="43335"/>
    <cellStyle name="Input 2 2 2 4 8 3" xfId="51635"/>
    <cellStyle name="Input 2 2 2 4 9" xfId="40292"/>
    <cellStyle name="Input 2 2 2 4 9 2" xfId="43336"/>
    <cellStyle name="Input 2 2 2 4 9 3" xfId="51636"/>
    <cellStyle name="Input 2 2 2 5" xfId="1898"/>
    <cellStyle name="Input 2 2 2 5 10" xfId="43337"/>
    <cellStyle name="Input 2 2 2 5 11" xfId="51637"/>
    <cellStyle name="Input 2 2 2 5 2" xfId="1899"/>
    <cellStyle name="Input 2 2 2 5 2 2" xfId="43338"/>
    <cellStyle name="Input 2 2 2 5 2 3" xfId="51638"/>
    <cellStyle name="Input 2 2 2 5 3" xfId="1900"/>
    <cellStyle name="Input 2 2 2 5 3 2" xfId="43339"/>
    <cellStyle name="Input 2 2 2 5 3 3" xfId="51639"/>
    <cellStyle name="Input 2 2 2 5 4" xfId="7776"/>
    <cellStyle name="Input 2 2 2 5 4 2" xfId="43340"/>
    <cellStyle name="Input 2 2 2 5 4 3" xfId="51640"/>
    <cellStyle name="Input 2 2 2 5 5" xfId="7777"/>
    <cellStyle name="Input 2 2 2 5 5 2" xfId="43341"/>
    <cellStyle name="Input 2 2 2 5 5 3" xfId="51641"/>
    <cellStyle name="Input 2 2 2 5 6" xfId="35413"/>
    <cellStyle name="Input 2 2 2 5 6 2" xfId="43342"/>
    <cellStyle name="Input 2 2 2 5 6 3" xfId="51642"/>
    <cellStyle name="Input 2 2 2 5 7" xfId="43343"/>
    <cellStyle name="Input 2 2 2 5 7 2" xfId="51643"/>
    <cellStyle name="Input 2 2 2 5 8" xfId="43344"/>
    <cellStyle name="Input 2 2 2 5 8 2" xfId="51644"/>
    <cellStyle name="Input 2 2 2 5 9" xfId="43345"/>
    <cellStyle name="Input 2 2 2 5 9 2" xfId="51645"/>
    <cellStyle name="Input 2 2 2 6" xfId="1164"/>
    <cellStyle name="Input 2 2 2 6 2" xfId="7778"/>
    <cellStyle name="Input 2 2 2 6 3" xfId="7779"/>
    <cellStyle name="Input 2 2 2 6 4" xfId="7780"/>
    <cellStyle name="Input 2 2 2 6 5" xfId="7781"/>
    <cellStyle name="Input 2 2 2 6 6" xfId="35945"/>
    <cellStyle name="Input 2 2 2 6 7" xfId="43346"/>
    <cellStyle name="Input 2 2 2 6 8" xfId="51646"/>
    <cellStyle name="Input 2 2 2 7" xfId="3182"/>
    <cellStyle name="Input 2 2 2 7 2" xfId="7782"/>
    <cellStyle name="Input 2 2 2 7 3" xfId="7783"/>
    <cellStyle name="Input 2 2 2 7 4" xfId="7784"/>
    <cellStyle name="Input 2 2 2 7 5" xfId="7785"/>
    <cellStyle name="Input 2 2 2 7 6" xfId="36012"/>
    <cellStyle name="Input 2 2 2 7 7" xfId="43347"/>
    <cellStyle name="Input 2 2 2 7 8" xfId="51647"/>
    <cellStyle name="Input 2 2 2 8" xfId="3177"/>
    <cellStyle name="Input 2 2 2 8 2" xfId="7786"/>
    <cellStyle name="Input 2 2 2 8 3" xfId="7787"/>
    <cellStyle name="Input 2 2 2 8 4" xfId="7788"/>
    <cellStyle name="Input 2 2 2 8 5" xfId="7789"/>
    <cellStyle name="Input 2 2 2 8 6" xfId="36990"/>
    <cellStyle name="Input 2 2 2 8 7" xfId="43348"/>
    <cellStyle name="Input 2 2 2 8 8" xfId="51648"/>
    <cellStyle name="Input 2 2 2 9" xfId="7790"/>
    <cellStyle name="Input 2 2 2 9 2" xfId="7791"/>
    <cellStyle name="Input 2 2 2 9 3" xfId="7792"/>
    <cellStyle name="Input 2 2 2 9 4" xfId="7793"/>
    <cellStyle name="Input 2 2 2 9 5" xfId="7794"/>
    <cellStyle name="Input 2 2 2 9 6" xfId="37602"/>
    <cellStyle name="Input 2 2 2 9 7" xfId="43349"/>
    <cellStyle name="Input 2 2 2 9 8" xfId="51649"/>
    <cellStyle name="Input 2 2 20" xfId="34962"/>
    <cellStyle name="Input 2 2 21" xfId="40776"/>
    <cellStyle name="Input 2 2 3" xfId="275"/>
    <cellStyle name="Input 2 2 3 10" xfId="7795"/>
    <cellStyle name="Input 2 2 3 10 2" xfId="7796"/>
    <cellStyle name="Input 2 2 3 10 3" xfId="7797"/>
    <cellStyle name="Input 2 2 3 10 4" xfId="7798"/>
    <cellStyle name="Input 2 2 3 10 5" xfId="7799"/>
    <cellStyle name="Input 2 2 3 10 6" xfId="38220"/>
    <cellStyle name="Input 2 2 3 10 7" xfId="43350"/>
    <cellStyle name="Input 2 2 3 10 8" xfId="51650"/>
    <cellStyle name="Input 2 2 3 11" xfId="7800"/>
    <cellStyle name="Input 2 2 3 11 2" xfId="7801"/>
    <cellStyle name="Input 2 2 3 11 3" xfId="7802"/>
    <cellStyle name="Input 2 2 3 11 4" xfId="7803"/>
    <cellStyle name="Input 2 2 3 11 5" xfId="7804"/>
    <cellStyle name="Input 2 2 3 11 6" xfId="38842"/>
    <cellStyle name="Input 2 2 3 11 7" xfId="43351"/>
    <cellStyle name="Input 2 2 3 11 8" xfId="51651"/>
    <cellStyle name="Input 2 2 3 12" xfId="7805"/>
    <cellStyle name="Input 2 2 3 12 2" xfId="7806"/>
    <cellStyle name="Input 2 2 3 12 3" xfId="7807"/>
    <cellStyle name="Input 2 2 3 12 4" xfId="7808"/>
    <cellStyle name="Input 2 2 3 12 5" xfId="7809"/>
    <cellStyle name="Input 2 2 3 12 6" xfId="39462"/>
    <cellStyle name="Input 2 2 3 12 7" xfId="43352"/>
    <cellStyle name="Input 2 2 3 12 8" xfId="51652"/>
    <cellStyle name="Input 2 2 3 13" xfId="7810"/>
    <cellStyle name="Input 2 2 3 13 2" xfId="7811"/>
    <cellStyle name="Input 2 2 3 13 3" xfId="7812"/>
    <cellStyle name="Input 2 2 3 13 4" xfId="7813"/>
    <cellStyle name="Input 2 2 3 13 5" xfId="7814"/>
    <cellStyle name="Input 2 2 3 13 6" xfId="40080"/>
    <cellStyle name="Input 2 2 3 13 7" xfId="43353"/>
    <cellStyle name="Input 2 2 3 13 8" xfId="51653"/>
    <cellStyle name="Input 2 2 3 14" xfId="7815"/>
    <cellStyle name="Input 2 2 3 14 2" xfId="7816"/>
    <cellStyle name="Input 2 2 3 14 3" xfId="7817"/>
    <cellStyle name="Input 2 2 3 14 4" xfId="7818"/>
    <cellStyle name="Input 2 2 3 14 5" xfId="7819"/>
    <cellStyle name="Input 2 2 3 14 6" xfId="43354"/>
    <cellStyle name="Input 2 2 3 14 7" xfId="51654"/>
    <cellStyle name="Input 2 2 3 15" xfId="7820"/>
    <cellStyle name="Input 2 2 3 15 2" xfId="7821"/>
    <cellStyle name="Input 2 2 3 15 3" xfId="7822"/>
    <cellStyle name="Input 2 2 3 15 4" xfId="7823"/>
    <cellStyle name="Input 2 2 3 15 5" xfId="7824"/>
    <cellStyle name="Input 2 2 3 16" xfId="7825"/>
    <cellStyle name="Input 2 2 3 17" xfId="720"/>
    <cellStyle name="Input 2 2 3 18" xfId="34952"/>
    <cellStyle name="Input 2 2 3 19" xfId="40804"/>
    <cellStyle name="Input 2 2 3 2" xfId="340"/>
    <cellStyle name="Input 2 2 3 2 10" xfId="7826"/>
    <cellStyle name="Input 2 2 3 2 10 2" xfId="7827"/>
    <cellStyle name="Input 2 2 3 2 10 3" xfId="7828"/>
    <cellStyle name="Input 2 2 3 2 10 4" xfId="7829"/>
    <cellStyle name="Input 2 2 3 2 10 5" xfId="7830"/>
    <cellStyle name="Input 2 2 3 2 10 6" xfId="39518"/>
    <cellStyle name="Input 2 2 3 2 10 7" xfId="43355"/>
    <cellStyle name="Input 2 2 3 2 10 8" xfId="51655"/>
    <cellStyle name="Input 2 2 3 2 11" xfId="7831"/>
    <cellStyle name="Input 2 2 3 2 11 2" xfId="7832"/>
    <cellStyle name="Input 2 2 3 2 11 3" xfId="7833"/>
    <cellStyle name="Input 2 2 3 2 11 4" xfId="7834"/>
    <cellStyle name="Input 2 2 3 2 11 5" xfId="7835"/>
    <cellStyle name="Input 2 2 3 2 11 6" xfId="40134"/>
    <cellStyle name="Input 2 2 3 2 11 7" xfId="43356"/>
    <cellStyle name="Input 2 2 3 2 11 8" xfId="51656"/>
    <cellStyle name="Input 2 2 3 2 12" xfId="7836"/>
    <cellStyle name="Input 2 2 3 2 12 2" xfId="7837"/>
    <cellStyle name="Input 2 2 3 2 12 3" xfId="7838"/>
    <cellStyle name="Input 2 2 3 2 12 4" xfId="7839"/>
    <cellStyle name="Input 2 2 3 2 12 5" xfId="7840"/>
    <cellStyle name="Input 2 2 3 2 12 6" xfId="43357"/>
    <cellStyle name="Input 2 2 3 2 12 7" xfId="51657"/>
    <cellStyle name="Input 2 2 3 2 13" xfId="7841"/>
    <cellStyle name="Input 2 2 3 2 13 2" xfId="7842"/>
    <cellStyle name="Input 2 2 3 2 13 3" xfId="7843"/>
    <cellStyle name="Input 2 2 3 2 13 4" xfId="7844"/>
    <cellStyle name="Input 2 2 3 2 13 5" xfId="7845"/>
    <cellStyle name="Input 2 2 3 2 13 6" xfId="43358"/>
    <cellStyle name="Input 2 2 3 2 13 7" xfId="51658"/>
    <cellStyle name="Input 2 2 3 2 14" xfId="7846"/>
    <cellStyle name="Input 2 2 3 2 14 2" xfId="7847"/>
    <cellStyle name="Input 2 2 3 2 14 3" xfId="7848"/>
    <cellStyle name="Input 2 2 3 2 14 4" xfId="7849"/>
    <cellStyle name="Input 2 2 3 2 14 5" xfId="7850"/>
    <cellStyle name="Input 2 2 3 2 15" xfId="7851"/>
    <cellStyle name="Input 2 2 3 2 15 2" xfId="7852"/>
    <cellStyle name="Input 2 2 3 2 15 3" xfId="7853"/>
    <cellStyle name="Input 2 2 3 2 15 4" xfId="7854"/>
    <cellStyle name="Input 2 2 3 2 15 5" xfId="7855"/>
    <cellStyle name="Input 2 2 3 2 16" xfId="7856"/>
    <cellStyle name="Input 2 2 3 2 16 2" xfId="7857"/>
    <cellStyle name="Input 2 2 3 2 16 3" xfId="7858"/>
    <cellStyle name="Input 2 2 3 2 16 4" xfId="7859"/>
    <cellStyle name="Input 2 2 3 2 16 5" xfId="7860"/>
    <cellStyle name="Input 2 2 3 2 17" xfId="7861"/>
    <cellStyle name="Input 2 2 3 2 17 2" xfId="7862"/>
    <cellStyle name="Input 2 2 3 2 17 3" xfId="7863"/>
    <cellStyle name="Input 2 2 3 2 17 4" xfId="7864"/>
    <cellStyle name="Input 2 2 3 2 17 5" xfId="7865"/>
    <cellStyle name="Input 2 2 3 2 18" xfId="7866"/>
    <cellStyle name="Input 2 2 3 2 19" xfId="776"/>
    <cellStyle name="Input 2 2 3 2 2" xfId="559"/>
    <cellStyle name="Input 2 2 3 2 2 10" xfId="7867"/>
    <cellStyle name="Input 2 2 3 2 2 10 2" xfId="7868"/>
    <cellStyle name="Input 2 2 3 2 2 10 3" xfId="7869"/>
    <cellStyle name="Input 2 2 3 2 2 10 4" xfId="7870"/>
    <cellStyle name="Input 2 2 3 2 2 10 5" xfId="7871"/>
    <cellStyle name="Input 2 2 3 2 2 10 6" xfId="43359"/>
    <cellStyle name="Input 2 2 3 2 2 10 7" xfId="51659"/>
    <cellStyle name="Input 2 2 3 2 2 11" xfId="7872"/>
    <cellStyle name="Input 2 2 3 2 2 11 2" xfId="7873"/>
    <cellStyle name="Input 2 2 3 2 2 11 3" xfId="7874"/>
    <cellStyle name="Input 2 2 3 2 2 11 4" xfId="7875"/>
    <cellStyle name="Input 2 2 3 2 2 11 5" xfId="7876"/>
    <cellStyle name="Input 2 2 3 2 2 12" xfId="7877"/>
    <cellStyle name="Input 2 2 3 2 2 12 2" xfId="7878"/>
    <cellStyle name="Input 2 2 3 2 2 12 3" xfId="7879"/>
    <cellStyle name="Input 2 2 3 2 2 12 4" xfId="7880"/>
    <cellStyle name="Input 2 2 3 2 2 12 5" xfId="7881"/>
    <cellStyle name="Input 2 2 3 2 2 13" xfId="7882"/>
    <cellStyle name="Input 2 2 3 2 2 13 2" xfId="7883"/>
    <cellStyle name="Input 2 2 3 2 2 13 3" xfId="7884"/>
    <cellStyle name="Input 2 2 3 2 2 13 4" xfId="7885"/>
    <cellStyle name="Input 2 2 3 2 2 13 5" xfId="7886"/>
    <cellStyle name="Input 2 2 3 2 2 14" xfId="7887"/>
    <cellStyle name="Input 2 2 3 2 2 14 2" xfId="7888"/>
    <cellStyle name="Input 2 2 3 2 2 14 3" xfId="7889"/>
    <cellStyle name="Input 2 2 3 2 2 14 4" xfId="7890"/>
    <cellStyle name="Input 2 2 3 2 2 14 5" xfId="7891"/>
    <cellStyle name="Input 2 2 3 2 2 15" xfId="7892"/>
    <cellStyle name="Input 2 2 3 2 2 15 2" xfId="7893"/>
    <cellStyle name="Input 2 2 3 2 2 15 3" xfId="7894"/>
    <cellStyle name="Input 2 2 3 2 2 15 4" xfId="7895"/>
    <cellStyle name="Input 2 2 3 2 2 15 5" xfId="7896"/>
    <cellStyle name="Input 2 2 3 2 2 16" xfId="7897"/>
    <cellStyle name="Input 2 2 3 2 2 16 2" xfId="7898"/>
    <cellStyle name="Input 2 2 3 2 2 16 3" xfId="7899"/>
    <cellStyle name="Input 2 2 3 2 2 16 4" xfId="7900"/>
    <cellStyle name="Input 2 2 3 2 2 16 5" xfId="7901"/>
    <cellStyle name="Input 2 2 3 2 2 17" xfId="7902"/>
    <cellStyle name="Input 2 2 3 2 2 17 2" xfId="7903"/>
    <cellStyle name="Input 2 2 3 2 2 17 3" xfId="7904"/>
    <cellStyle name="Input 2 2 3 2 2 17 4" xfId="7905"/>
    <cellStyle name="Input 2 2 3 2 2 17 5" xfId="7906"/>
    <cellStyle name="Input 2 2 3 2 2 18" xfId="7907"/>
    <cellStyle name="Input 2 2 3 2 2 19" xfId="988"/>
    <cellStyle name="Input 2 2 3 2 2 2" xfId="1901"/>
    <cellStyle name="Input 2 2 3 2 2 2 2" xfId="7908"/>
    <cellStyle name="Input 2 2 3 2 2 2 3" xfId="7909"/>
    <cellStyle name="Input 2 2 3 2 2 2 4" xfId="7910"/>
    <cellStyle name="Input 2 2 3 2 2 2 5" xfId="7911"/>
    <cellStyle name="Input 2 2 3 2 2 2 6" xfId="36363"/>
    <cellStyle name="Input 2 2 3 2 2 2 7" xfId="43360"/>
    <cellStyle name="Input 2 2 3 2 2 2 8" xfId="51660"/>
    <cellStyle name="Input 2 2 3 2 2 20" xfId="35068"/>
    <cellStyle name="Input 2 2 3 2 2 21" xfId="41287"/>
    <cellStyle name="Input 2 2 3 2 2 3" xfId="1902"/>
    <cellStyle name="Input 2 2 3 2 2 3 2" xfId="7912"/>
    <cellStyle name="Input 2 2 3 2 2 3 3" xfId="7913"/>
    <cellStyle name="Input 2 2 3 2 2 3 4" xfId="7914"/>
    <cellStyle name="Input 2 2 3 2 2 3 5" xfId="7915"/>
    <cellStyle name="Input 2 2 3 2 2 3 6" xfId="36860"/>
    <cellStyle name="Input 2 2 3 2 2 3 7" xfId="43361"/>
    <cellStyle name="Input 2 2 3 2 2 3 8" xfId="51661"/>
    <cellStyle name="Input 2 2 3 2 2 4" xfId="1170"/>
    <cellStyle name="Input 2 2 3 2 2 4 2" xfId="7916"/>
    <cellStyle name="Input 2 2 3 2 2 4 3" xfId="7917"/>
    <cellStyle name="Input 2 2 3 2 2 4 4" xfId="7918"/>
    <cellStyle name="Input 2 2 3 2 2 4 5" xfId="7919"/>
    <cellStyle name="Input 2 2 3 2 2 4 6" xfId="37476"/>
    <cellStyle name="Input 2 2 3 2 2 4 7" xfId="43362"/>
    <cellStyle name="Input 2 2 3 2 2 4 8" xfId="51662"/>
    <cellStyle name="Input 2 2 3 2 2 5" xfId="3188"/>
    <cellStyle name="Input 2 2 3 2 2 5 2" xfId="7920"/>
    <cellStyle name="Input 2 2 3 2 2 5 3" xfId="7921"/>
    <cellStyle name="Input 2 2 3 2 2 5 4" xfId="7922"/>
    <cellStyle name="Input 2 2 3 2 2 5 5" xfId="7923"/>
    <cellStyle name="Input 2 2 3 2 2 5 6" xfId="38092"/>
    <cellStyle name="Input 2 2 3 2 2 5 7" xfId="43363"/>
    <cellStyle name="Input 2 2 3 2 2 5 8" xfId="51663"/>
    <cellStyle name="Input 2 2 3 2 2 6" xfId="3167"/>
    <cellStyle name="Input 2 2 3 2 2 6 2" xfId="7924"/>
    <cellStyle name="Input 2 2 3 2 2 6 3" xfId="7925"/>
    <cellStyle name="Input 2 2 3 2 2 6 4" xfId="7926"/>
    <cellStyle name="Input 2 2 3 2 2 6 5" xfId="7927"/>
    <cellStyle name="Input 2 2 3 2 2 6 6" xfId="38710"/>
    <cellStyle name="Input 2 2 3 2 2 6 7" xfId="43364"/>
    <cellStyle name="Input 2 2 3 2 2 6 8" xfId="51664"/>
    <cellStyle name="Input 2 2 3 2 2 7" xfId="7928"/>
    <cellStyle name="Input 2 2 3 2 2 7 2" xfId="7929"/>
    <cellStyle name="Input 2 2 3 2 2 7 3" xfId="7930"/>
    <cellStyle name="Input 2 2 3 2 2 7 4" xfId="7931"/>
    <cellStyle name="Input 2 2 3 2 2 7 5" xfId="7932"/>
    <cellStyle name="Input 2 2 3 2 2 7 6" xfId="39330"/>
    <cellStyle name="Input 2 2 3 2 2 7 7" xfId="43365"/>
    <cellStyle name="Input 2 2 3 2 2 7 8" xfId="51665"/>
    <cellStyle name="Input 2 2 3 2 2 8" xfId="7933"/>
    <cellStyle name="Input 2 2 3 2 2 8 2" xfId="7934"/>
    <cellStyle name="Input 2 2 3 2 2 8 3" xfId="7935"/>
    <cellStyle name="Input 2 2 3 2 2 8 4" xfId="7936"/>
    <cellStyle name="Input 2 2 3 2 2 8 5" xfId="7937"/>
    <cellStyle name="Input 2 2 3 2 2 8 6" xfId="39946"/>
    <cellStyle name="Input 2 2 3 2 2 8 7" xfId="43366"/>
    <cellStyle name="Input 2 2 3 2 2 8 8" xfId="51666"/>
    <cellStyle name="Input 2 2 3 2 2 9" xfId="7938"/>
    <cellStyle name="Input 2 2 3 2 2 9 2" xfId="7939"/>
    <cellStyle name="Input 2 2 3 2 2 9 3" xfId="7940"/>
    <cellStyle name="Input 2 2 3 2 2 9 4" xfId="7941"/>
    <cellStyle name="Input 2 2 3 2 2 9 5" xfId="7942"/>
    <cellStyle name="Input 2 2 3 2 2 9 6" xfId="40561"/>
    <cellStyle name="Input 2 2 3 2 2 9 7" xfId="43367"/>
    <cellStyle name="Input 2 2 3 2 2 9 8" xfId="51667"/>
    <cellStyle name="Input 2 2 3 2 20" xfId="34934"/>
    <cellStyle name="Input 2 2 3 2 21" xfId="40860"/>
    <cellStyle name="Input 2 2 3 2 22" xfId="41421"/>
    <cellStyle name="Input 2 2 3 2 23" xfId="50508"/>
    <cellStyle name="Input 2 2 3 2 3" xfId="1903"/>
    <cellStyle name="Input 2 2 3 2 3 10" xfId="34966"/>
    <cellStyle name="Input 2 2 3 2 3 11" xfId="41075"/>
    <cellStyle name="Input 2 2 3 2 3 12" xfId="43368"/>
    <cellStyle name="Input 2 2 3 2 3 13" xfId="51668"/>
    <cellStyle name="Input 2 2 3 2 3 2" xfId="1904"/>
    <cellStyle name="Input 2 2 3 2 3 2 2" xfId="36152"/>
    <cellStyle name="Input 2 2 3 2 3 2 3" xfId="43369"/>
    <cellStyle name="Input 2 2 3 2 3 2 4" xfId="51669"/>
    <cellStyle name="Input 2 2 3 2 3 3" xfId="1905"/>
    <cellStyle name="Input 2 2 3 2 3 3 2" xfId="36649"/>
    <cellStyle name="Input 2 2 3 2 3 3 3" xfId="43370"/>
    <cellStyle name="Input 2 2 3 2 3 3 4" xfId="51670"/>
    <cellStyle name="Input 2 2 3 2 3 4" xfId="7943"/>
    <cellStyle name="Input 2 2 3 2 3 4 2" xfId="37265"/>
    <cellStyle name="Input 2 2 3 2 3 4 3" xfId="43371"/>
    <cellStyle name="Input 2 2 3 2 3 4 4" xfId="51671"/>
    <cellStyle name="Input 2 2 3 2 3 5" xfId="7944"/>
    <cellStyle name="Input 2 2 3 2 3 5 2" xfId="37881"/>
    <cellStyle name="Input 2 2 3 2 3 5 3" xfId="43372"/>
    <cellStyle name="Input 2 2 3 2 3 5 4" xfId="51672"/>
    <cellStyle name="Input 2 2 3 2 3 6" xfId="38498"/>
    <cellStyle name="Input 2 2 3 2 3 6 2" xfId="43373"/>
    <cellStyle name="Input 2 2 3 2 3 6 3" xfId="51673"/>
    <cellStyle name="Input 2 2 3 2 3 7" xfId="39118"/>
    <cellStyle name="Input 2 2 3 2 3 7 2" xfId="43374"/>
    <cellStyle name="Input 2 2 3 2 3 7 3" xfId="51674"/>
    <cellStyle name="Input 2 2 3 2 3 8" xfId="39734"/>
    <cellStyle name="Input 2 2 3 2 3 8 2" xfId="43375"/>
    <cellStyle name="Input 2 2 3 2 3 8 3" xfId="51675"/>
    <cellStyle name="Input 2 2 3 2 3 9" xfId="40349"/>
    <cellStyle name="Input 2 2 3 2 3 9 2" xfId="43376"/>
    <cellStyle name="Input 2 2 3 2 3 9 3" xfId="51676"/>
    <cellStyle name="Input 2 2 3 2 4" xfId="1906"/>
    <cellStyle name="Input 2 2 3 2 4 10" xfId="43377"/>
    <cellStyle name="Input 2 2 3 2 4 11" xfId="51677"/>
    <cellStyle name="Input 2 2 3 2 4 2" xfId="7945"/>
    <cellStyle name="Input 2 2 3 2 4 2 2" xfId="43378"/>
    <cellStyle name="Input 2 2 3 2 4 2 3" xfId="51678"/>
    <cellStyle name="Input 2 2 3 2 4 3" xfId="7946"/>
    <cellStyle name="Input 2 2 3 2 4 3 2" xfId="43379"/>
    <cellStyle name="Input 2 2 3 2 4 3 3" xfId="51679"/>
    <cellStyle name="Input 2 2 3 2 4 4" xfId="7947"/>
    <cellStyle name="Input 2 2 3 2 4 4 2" xfId="43380"/>
    <cellStyle name="Input 2 2 3 2 4 4 3" xfId="51680"/>
    <cellStyle name="Input 2 2 3 2 4 5" xfId="7948"/>
    <cellStyle name="Input 2 2 3 2 4 5 2" xfId="43381"/>
    <cellStyle name="Input 2 2 3 2 4 5 3" xfId="51681"/>
    <cellStyle name="Input 2 2 3 2 4 6" xfId="35683"/>
    <cellStyle name="Input 2 2 3 2 4 6 2" xfId="43382"/>
    <cellStyle name="Input 2 2 3 2 4 6 3" xfId="51682"/>
    <cellStyle name="Input 2 2 3 2 4 7" xfId="43383"/>
    <cellStyle name="Input 2 2 3 2 4 7 2" xfId="51683"/>
    <cellStyle name="Input 2 2 3 2 4 8" xfId="43384"/>
    <cellStyle name="Input 2 2 3 2 4 8 2" xfId="51684"/>
    <cellStyle name="Input 2 2 3 2 4 9" xfId="43385"/>
    <cellStyle name="Input 2 2 3 2 4 9 2" xfId="51685"/>
    <cellStyle name="Input 2 2 3 2 5" xfId="1169"/>
    <cellStyle name="Input 2 2 3 2 5 2" xfId="7949"/>
    <cellStyle name="Input 2 2 3 2 5 3" xfId="7950"/>
    <cellStyle name="Input 2 2 3 2 5 4" xfId="7951"/>
    <cellStyle name="Input 2 2 3 2 5 5" xfId="7952"/>
    <cellStyle name="Input 2 2 3 2 5 6" xfId="35787"/>
    <cellStyle name="Input 2 2 3 2 5 7" xfId="43386"/>
    <cellStyle name="Input 2 2 3 2 5 8" xfId="51686"/>
    <cellStyle name="Input 2 2 3 2 6" xfId="3187"/>
    <cellStyle name="Input 2 2 3 2 6 2" xfId="7953"/>
    <cellStyle name="Input 2 2 3 2 6 3" xfId="7954"/>
    <cellStyle name="Input 2 2 3 2 6 4" xfId="7955"/>
    <cellStyle name="Input 2 2 3 2 6 5" xfId="7956"/>
    <cellStyle name="Input 2 2 3 2 6 6" xfId="37050"/>
    <cellStyle name="Input 2 2 3 2 6 7" xfId="43387"/>
    <cellStyle name="Input 2 2 3 2 6 8" xfId="51687"/>
    <cellStyle name="Input 2 2 3 2 7" xfId="3168"/>
    <cellStyle name="Input 2 2 3 2 7 2" xfId="7957"/>
    <cellStyle name="Input 2 2 3 2 7 3" xfId="7958"/>
    <cellStyle name="Input 2 2 3 2 7 4" xfId="7959"/>
    <cellStyle name="Input 2 2 3 2 7 5" xfId="7960"/>
    <cellStyle name="Input 2 2 3 2 7 6" xfId="37664"/>
    <cellStyle name="Input 2 2 3 2 7 7" xfId="43388"/>
    <cellStyle name="Input 2 2 3 2 7 8" xfId="51688"/>
    <cellStyle name="Input 2 2 3 2 8" xfId="7961"/>
    <cellStyle name="Input 2 2 3 2 8 2" xfId="7962"/>
    <cellStyle name="Input 2 2 3 2 8 3" xfId="7963"/>
    <cellStyle name="Input 2 2 3 2 8 4" xfId="7964"/>
    <cellStyle name="Input 2 2 3 2 8 5" xfId="7965"/>
    <cellStyle name="Input 2 2 3 2 8 6" xfId="38279"/>
    <cellStyle name="Input 2 2 3 2 8 7" xfId="43389"/>
    <cellStyle name="Input 2 2 3 2 8 8" xfId="51689"/>
    <cellStyle name="Input 2 2 3 2 9" xfId="7966"/>
    <cellStyle name="Input 2 2 3 2 9 2" xfId="7967"/>
    <cellStyle name="Input 2 2 3 2 9 3" xfId="7968"/>
    <cellStyle name="Input 2 2 3 2 9 4" xfId="7969"/>
    <cellStyle name="Input 2 2 3 2 9 5" xfId="7970"/>
    <cellStyle name="Input 2 2 3 2 9 6" xfId="38899"/>
    <cellStyle name="Input 2 2 3 2 9 7" xfId="43390"/>
    <cellStyle name="Input 2 2 3 2 9 8" xfId="51690"/>
    <cellStyle name="Input 2 2 3 3" xfId="505"/>
    <cellStyle name="Input 2 2 3 3 10" xfId="7971"/>
    <cellStyle name="Input 2 2 3 3 10 2" xfId="7972"/>
    <cellStyle name="Input 2 2 3 3 10 3" xfId="7973"/>
    <cellStyle name="Input 2 2 3 3 10 4" xfId="7974"/>
    <cellStyle name="Input 2 2 3 3 10 5" xfId="7975"/>
    <cellStyle name="Input 2 2 3 3 10 6" xfId="43391"/>
    <cellStyle name="Input 2 2 3 3 10 7" xfId="51691"/>
    <cellStyle name="Input 2 2 3 3 11" xfId="7976"/>
    <cellStyle name="Input 2 2 3 3 11 2" xfId="7977"/>
    <cellStyle name="Input 2 2 3 3 11 3" xfId="7978"/>
    <cellStyle name="Input 2 2 3 3 11 4" xfId="7979"/>
    <cellStyle name="Input 2 2 3 3 11 5" xfId="7980"/>
    <cellStyle name="Input 2 2 3 3 12" xfId="7981"/>
    <cellStyle name="Input 2 2 3 3 12 2" xfId="7982"/>
    <cellStyle name="Input 2 2 3 3 12 3" xfId="7983"/>
    <cellStyle name="Input 2 2 3 3 12 4" xfId="7984"/>
    <cellStyle name="Input 2 2 3 3 12 5" xfId="7985"/>
    <cellStyle name="Input 2 2 3 3 13" xfId="7986"/>
    <cellStyle name="Input 2 2 3 3 13 2" xfId="7987"/>
    <cellStyle name="Input 2 2 3 3 13 3" xfId="7988"/>
    <cellStyle name="Input 2 2 3 3 13 4" xfId="7989"/>
    <cellStyle name="Input 2 2 3 3 13 5" xfId="7990"/>
    <cellStyle name="Input 2 2 3 3 14" xfId="7991"/>
    <cellStyle name="Input 2 2 3 3 14 2" xfId="7992"/>
    <cellStyle name="Input 2 2 3 3 14 3" xfId="7993"/>
    <cellStyle name="Input 2 2 3 3 14 4" xfId="7994"/>
    <cellStyle name="Input 2 2 3 3 14 5" xfId="7995"/>
    <cellStyle name="Input 2 2 3 3 15" xfId="7996"/>
    <cellStyle name="Input 2 2 3 3 15 2" xfId="7997"/>
    <cellStyle name="Input 2 2 3 3 15 3" xfId="7998"/>
    <cellStyle name="Input 2 2 3 3 15 4" xfId="7999"/>
    <cellStyle name="Input 2 2 3 3 15 5" xfId="8000"/>
    <cellStyle name="Input 2 2 3 3 16" xfId="8001"/>
    <cellStyle name="Input 2 2 3 3 16 2" xfId="8002"/>
    <cellStyle name="Input 2 2 3 3 16 3" xfId="8003"/>
    <cellStyle name="Input 2 2 3 3 16 4" xfId="8004"/>
    <cellStyle name="Input 2 2 3 3 16 5" xfId="8005"/>
    <cellStyle name="Input 2 2 3 3 17" xfId="8006"/>
    <cellStyle name="Input 2 2 3 3 17 2" xfId="8007"/>
    <cellStyle name="Input 2 2 3 3 17 3" xfId="8008"/>
    <cellStyle name="Input 2 2 3 3 17 4" xfId="8009"/>
    <cellStyle name="Input 2 2 3 3 17 5" xfId="8010"/>
    <cellStyle name="Input 2 2 3 3 18" xfId="8011"/>
    <cellStyle name="Input 2 2 3 3 19" xfId="934"/>
    <cellStyle name="Input 2 2 3 3 2" xfId="1907"/>
    <cellStyle name="Input 2 2 3 3 2 2" xfId="1908"/>
    <cellStyle name="Input 2 2 3 3 2 3" xfId="1909"/>
    <cellStyle name="Input 2 2 3 3 2 4" xfId="8012"/>
    <cellStyle name="Input 2 2 3 3 2 5" xfId="8013"/>
    <cellStyle name="Input 2 2 3 3 2 6" xfId="36309"/>
    <cellStyle name="Input 2 2 3 3 2 7" xfId="43392"/>
    <cellStyle name="Input 2 2 3 3 2 8" xfId="51692"/>
    <cellStyle name="Input 2 2 3 3 20" xfId="35014"/>
    <cellStyle name="Input 2 2 3 3 21" xfId="40723"/>
    <cellStyle name="Input 2 2 3 3 22" xfId="41233"/>
    <cellStyle name="Input 2 2 3 3 3" xfId="1910"/>
    <cellStyle name="Input 2 2 3 3 3 2" xfId="8014"/>
    <cellStyle name="Input 2 2 3 3 3 3" xfId="8015"/>
    <cellStyle name="Input 2 2 3 3 3 4" xfId="8016"/>
    <cellStyle name="Input 2 2 3 3 3 5" xfId="8017"/>
    <cellStyle name="Input 2 2 3 3 3 6" xfId="36806"/>
    <cellStyle name="Input 2 2 3 3 3 7" xfId="43393"/>
    <cellStyle name="Input 2 2 3 3 3 8" xfId="51693"/>
    <cellStyle name="Input 2 2 3 3 4" xfId="1171"/>
    <cellStyle name="Input 2 2 3 3 4 2" xfId="8018"/>
    <cellStyle name="Input 2 2 3 3 4 3" xfId="8019"/>
    <cellStyle name="Input 2 2 3 3 4 4" xfId="8020"/>
    <cellStyle name="Input 2 2 3 3 4 5" xfId="8021"/>
    <cellStyle name="Input 2 2 3 3 4 6" xfId="37422"/>
    <cellStyle name="Input 2 2 3 3 4 7" xfId="43394"/>
    <cellStyle name="Input 2 2 3 3 4 8" xfId="51694"/>
    <cellStyle name="Input 2 2 3 3 5" xfId="3189"/>
    <cellStyle name="Input 2 2 3 3 5 2" xfId="8022"/>
    <cellStyle name="Input 2 2 3 3 5 3" xfId="8023"/>
    <cellStyle name="Input 2 2 3 3 5 4" xfId="8024"/>
    <cellStyle name="Input 2 2 3 3 5 5" xfId="8025"/>
    <cellStyle name="Input 2 2 3 3 5 6" xfId="38038"/>
    <cellStyle name="Input 2 2 3 3 5 7" xfId="43395"/>
    <cellStyle name="Input 2 2 3 3 5 8" xfId="51695"/>
    <cellStyle name="Input 2 2 3 3 6" xfId="3166"/>
    <cellStyle name="Input 2 2 3 3 6 2" xfId="8026"/>
    <cellStyle name="Input 2 2 3 3 6 3" xfId="8027"/>
    <cellStyle name="Input 2 2 3 3 6 4" xfId="8028"/>
    <cellStyle name="Input 2 2 3 3 6 5" xfId="8029"/>
    <cellStyle name="Input 2 2 3 3 6 6" xfId="38656"/>
    <cellStyle name="Input 2 2 3 3 6 7" xfId="43396"/>
    <cellStyle name="Input 2 2 3 3 6 8" xfId="51696"/>
    <cellStyle name="Input 2 2 3 3 7" xfId="8030"/>
    <cellStyle name="Input 2 2 3 3 7 2" xfId="8031"/>
    <cellStyle name="Input 2 2 3 3 7 3" xfId="8032"/>
    <cellStyle name="Input 2 2 3 3 7 4" xfId="8033"/>
    <cellStyle name="Input 2 2 3 3 7 5" xfId="8034"/>
    <cellStyle name="Input 2 2 3 3 7 6" xfId="39276"/>
    <cellStyle name="Input 2 2 3 3 7 7" xfId="43397"/>
    <cellStyle name="Input 2 2 3 3 7 8" xfId="51697"/>
    <cellStyle name="Input 2 2 3 3 8" xfId="8035"/>
    <cellStyle name="Input 2 2 3 3 8 2" xfId="8036"/>
    <cellStyle name="Input 2 2 3 3 8 3" xfId="8037"/>
    <cellStyle name="Input 2 2 3 3 8 4" xfId="8038"/>
    <cellStyle name="Input 2 2 3 3 8 5" xfId="8039"/>
    <cellStyle name="Input 2 2 3 3 8 6" xfId="39892"/>
    <cellStyle name="Input 2 2 3 3 8 7" xfId="43398"/>
    <cellStyle name="Input 2 2 3 3 8 8" xfId="51698"/>
    <cellStyle name="Input 2 2 3 3 9" xfId="8040"/>
    <cellStyle name="Input 2 2 3 3 9 2" xfId="8041"/>
    <cellStyle name="Input 2 2 3 3 9 3" xfId="8042"/>
    <cellStyle name="Input 2 2 3 3 9 4" xfId="8043"/>
    <cellStyle name="Input 2 2 3 3 9 5" xfId="8044"/>
    <cellStyle name="Input 2 2 3 3 9 6" xfId="40507"/>
    <cellStyle name="Input 2 2 3 3 9 7" xfId="43399"/>
    <cellStyle name="Input 2 2 3 3 9 8" xfId="51699"/>
    <cellStyle name="Input 2 2 3 4" xfId="1911"/>
    <cellStyle name="Input 2 2 3 4 10" xfId="34741"/>
    <cellStyle name="Input 2 2 3 4 11" xfId="41019"/>
    <cellStyle name="Input 2 2 3 4 12" xfId="43400"/>
    <cellStyle name="Input 2 2 3 4 13" xfId="51700"/>
    <cellStyle name="Input 2 2 3 4 2" xfId="1912"/>
    <cellStyle name="Input 2 2 3 4 2 2" xfId="36096"/>
    <cellStyle name="Input 2 2 3 4 2 3" xfId="43401"/>
    <cellStyle name="Input 2 2 3 4 2 4" xfId="51701"/>
    <cellStyle name="Input 2 2 3 4 3" xfId="1913"/>
    <cellStyle name="Input 2 2 3 4 3 2" xfId="36595"/>
    <cellStyle name="Input 2 2 3 4 3 3" xfId="43402"/>
    <cellStyle name="Input 2 2 3 4 3 4" xfId="51702"/>
    <cellStyle name="Input 2 2 3 4 4" xfId="8045"/>
    <cellStyle name="Input 2 2 3 4 4 2" xfId="37211"/>
    <cellStyle name="Input 2 2 3 4 4 3" xfId="43403"/>
    <cellStyle name="Input 2 2 3 4 4 4" xfId="51703"/>
    <cellStyle name="Input 2 2 3 4 5" xfId="8046"/>
    <cellStyle name="Input 2 2 3 4 5 2" xfId="37827"/>
    <cellStyle name="Input 2 2 3 4 5 3" xfId="43404"/>
    <cellStyle name="Input 2 2 3 4 5 4" xfId="51704"/>
    <cellStyle name="Input 2 2 3 4 6" xfId="38442"/>
    <cellStyle name="Input 2 2 3 4 6 2" xfId="43405"/>
    <cellStyle name="Input 2 2 3 4 6 3" xfId="51705"/>
    <cellStyle name="Input 2 2 3 4 7" xfId="39062"/>
    <cellStyle name="Input 2 2 3 4 7 2" xfId="43406"/>
    <cellStyle name="Input 2 2 3 4 7 3" xfId="51706"/>
    <cellStyle name="Input 2 2 3 4 8" xfId="39678"/>
    <cellStyle name="Input 2 2 3 4 8 2" xfId="43407"/>
    <cellStyle name="Input 2 2 3 4 8 3" xfId="51707"/>
    <cellStyle name="Input 2 2 3 4 9" xfId="40293"/>
    <cellStyle name="Input 2 2 3 4 9 2" xfId="43408"/>
    <cellStyle name="Input 2 2 3 4 9 3" xfId="51708"/>
    <cellStyle name="Input 2 2 3 5" xfId="1914"/>
    <cellStyle name="Input 2 2 3 5 10" xfId="43409"/>
    <cellStyle name="Input 2 2 3 5 11" xfId="51709"/>
    <cellStyle name="Input 2 2 3 5 2" xfId="1915"/>
    <cellStyle name="Input 2 2 3 5 2 2" xfId="43410"/>
    <cellStyle name="Input 2 2 3 5 2 3" xfId="51710"/>
    <cellStyle name="Input 2 2 3 5 3" xfId="1916"/>
    <cellStyle name="Input 2 2 3 5 3 2" xfId="43411"/>
    <cellStyle name="Input 2 2 3 5 3 3" xfId="51711"/>
    <cellStyle name="Input 2 2 3 5 4" xfId="8047"/>
    <cellStyle name="Input 2 2 3 5 4 2" xfId="43412"/>
    <cellStyle name="Input 2 2 3 5 4 3" xfId="51712"/>
    <cellStyle name="Input 2 2 3 5 5" xfId="8048"/>
    <cellStyle name="Input 2 2 3 5 5 2" xfId="43413"/>
    <cellStyle name="Input 2 2 3 5 5 3" xfId="51713"/>
    <cellStyle name="Input 2 2 3 5 6" xfId="35414"/>
    <cellStyle name="Input 2 2 3 5 6 2" xfId="43414"/>
    <cellStyle name="Input 2 2 3 5 6 3" xfId="51714"/>
    <cellStyle name="Input 2 2 3 5 7" xfId="43415"/>
    <cellStyle name="Input 2 2 3 5 7 2" xfId="51715"/>
    <cellStyle name="Input 2 2 3 5 8" xfId="43416"/>
    <cellStyle name="Input 2 2 3 5 8 2" xfId="51716"/>
    <cellStyle name="Input 2 2 3 5 9" xfId="43417"/>
    <cellStyle name="Input 2 2 3 5 9 2" xfId="51717"/>
    <cellStyle name="Input 2 2 3 6" xfId="1168"/>
    <cellStyle name="Input 2 2 3 6 2" xfId="8049"/>
    <cellStyle name="Input 2 2 3 6 3" xfId="8050"/>
    <cellStyle name="Input 2 2 3 6 4" xfId="8051"/>
    <cellStyle name="Input 2 2 3 6 5" xfId="8052"/>
    <cellStyle name="Input 2 2 3 6 6" xfId="35946"/>
    <cellStyle name="Input 2 2 3 6 7" xfId="43418"/>
    <cellStyle name="Input 2 2 3 6 8" xfId="51718"/>
    <cellStyle name="Input 2 2 3 7" xfId="3186"/>
    <cellStyle name="Input 2 2 3 7 2" xfId="8053"/>
    <cellStyle name="Input 2 2 3 7 3" xfId="8054"/>
    <cellStyle name="Input 2 2 3 7 4" xfId="8055"/>
    <cellStyle name="Input 2 2 3 7 5" xfId="8056"/>
    <cellStyle name="Input 2 2 3 7 6" xfId="36011"/>
    <cellStyle name="Input 2 2 3 7 7" xfId="43419"/>
    <cellStyle name="Input 2 2 3 7 8" xfId="51719"/>
    <cellStyle name="Input 2 2 3 8" xfId="3169"/>
    <cellStyle name="Input 2 2 3 8 2" xfId="8057"/>
    <cellStyle name="Input 2 2 3 8 3" xfId="8058"/>
    <cellStyle name="Input 2 2 3 8 4" xfId="8059"/>
    <cellStyle name="Input 2 2 3 8 5" xfId="8060"/>
    <cellStyle name="Input 2 2 3 8 6" xfId="36991"/>
    <cellStyle name="Input 2 2 3 8 7" xfId="43420"/>
    <cellStyle name="Input 2 2 3 8 8" xfId="51720"/>
    <cellStyle name="Input 2 2 3 9" xfId="8061"/>
    <cellStyle name="Input 2 2 3 9 2" xfId="8062"/>
    <cellStyle name="Input 2 2 3 9 3" xfId="8063"/>
    <cellStyle name="Input 2 2 3 9 4" xfId="8064"/>
    <cellStyle name="Input 2 2 3 9 5" xfId="8065"/>
    <cellStyle name="Input 2 2 3 9 6" xfId="37603"/>
    <cellStyle name="Input 2 2 3 9 7" xfId="43421"/>
    <cellStyle name="Input 2 2 3 9 8" xfId="51721"/>
    <cellStyle name="Input 2 2 4" xfId="341"/>
    <cellStyle name="Input 2 2 4 10" xfId="8066"/>
    <cellStyle name="Input 2 2 4 10 2" xfId="8067"/>
    <cellStyle name="Input 2 2 4 10 3" xfId="8068"/>
    <cellStyle name="Input 2 2 4 10 4" xfId="8069"/>
    <cellStyle name="Input 2 2 4 10 5" xfId="8070"/>
    <cellStyle name="Input 2 2 4 10 6" xfId="39519"/>
    <cellStyle name="Input 2 2 4 10 7" xfId="43422"/>
    <cellStyle name="Input 2 2 4 10 8" xfId="51722"/>
    <cellStyle name="Input 2 2 4 11" xfId="8071"/>
    <cellStyle name="Input 2 2 4 11 2" xfId="8072"/>
    <cellStyle name="Input 2 2 4 11 3" xfId="8073"/>
    <cellStyle name="Input 2 2 4 11 4" xfId="8074"/>
    <cellStyle name="Input 2 2 4 11 5" xfId="8075"/>
    <cellStyle name="Input 2 2 4 11 6" xfId="40135"/>
    <cellStyle name="Input 2 2 4 11 7" xfId="43423"/>
    <cellStyle name="Input 2 2 4 11 8" xfId="51723"/>
    <cellStyle name="Input 2 2 4 12" xfId="8076"/>
    <cellStyle name="Input 2 2 4 12 2" xfId="8077"/>
    <cellStyle name="Input 2 2 4 12 3" xfId="8078"/>
    <cellStyle name="Input 2 2 4 12 4" xfId="8079"/>
    <cellStyle name="Input 2 2 4 12 5" xfId="8080"/>
    <cellStyle name="Input 2 2 4 12 6" xfId="43424"/>
    <cellStyle name="Input 2 2 4 12 7" xfId="51724"/>
    <cellStyle name="Input 2 2 4 13" xfId="8081"/>
    <cellStyle name="Input 2 2 4 13 2" xfId="8082"/>
    <cellStyle name="Input 2 2 4 13 3" xfId="8083"/>
    <cellStyle name="Input 2 2 4 13 4" xfId="8084"/>
    <cellStyle name="Input 2 2 4 13 5" xfId="8085"/>
    <cellStyle name="Input 2 2 4 13 6" xfId="43425"/>
    <cellStyle name="Input 2 2 4 13 7" xfId="51725"/>
    <cellStyle name="Input 2 2 4 14" xfId="8086"/>
    <cellStyle name="Input 2 2 4 14 2" xfId="8087"/>
    <cellStyle name="Input 2 2 4 14 3" xfId="8088"/>
    <cellStyle name="Input 2 2 4 14 4" xfId="8089"/>
    <cellStyle name="Input 2 2 4 14 5" xfId="8090"/>
    <cellStyle name="Input 2 2 4 15" xfId="8091"/>
    <cellStyle name="Input 2 2 4 15 2" xfId="8092"/>
    <cellStyle name="Input 2 2 4 15 3" xfId="8093"/>
    <cellStyle name="Input 2 2 4 15 4" xfId="8094"/>
    <cellStyle name="Input 2 2 4 15 5" xfId="8095"/>
    <cellStyle name="Input 2 2 4 16" xfId="8096"/>
    <cellStyle name="Input 2 2 4 16 2" xfId="8097"/>
    <cellStyle name="Input 2 2 4 16 3" xfId="8098"/>
    <cellStyle name="Input 2 2 4 16 4" xfId="8099"/>
    <cellStyle name="Input 2 2 4 16 5" xfId="8100"/>
    <cellStyle name="Input 2 2 4 17" xfId="8101"/>
    <cellStyle name="Input 2 2 4 17 2" xfId="8102"/>
    <cellStyle name="Input 2 2 4 17 3" xfId="8103"/>
    <cellStyle name="Input 2 2 4 17 4" xfId="8104"/>
    <cellStyle name="Input 2 2 4 17 5" xfId="8105"/>
    <cellStyle name="Input 2 2 4 18" xfId="8106"/>
    <cellStyle name="Input 2 2 4 19" xfId="777"/>
    <cellStyle name="Input 2 2 4 2" xfId="560"/>
    <cellStyle name="Input 2 2 4 2 10" xfId="8107"/>
    <cellStyle name="Input 2 2 4 2 10 2" xfId="8108"/>
    <cellStyle name="Input 2 2 4 2 10 3" xfId="8109"/>
    <cellStyle name="Input 2 2 4 2 10 4" xfId="8110"/>
    <cellStyle name="Input 2 2 4 2 10 5" xfId="8111"/>
    <cellStyle name="Input 2 2 4 2 10 6" xfId="43426"/>
    <cellStyle name="Input 2 2 4 2 10 7" xfId="51726"/>
    <cellStyle name="Input 2 2 4 2 11" xfId="8112"/>
    <cellStyle name="Input 2 2 4 2 11 2" xfId="8113"/>
    <cellStyle name="Input 2 2 4 2 11 3" xfId="8114"/>
    <cellStyle name="Input 2 2 4 2 11 4" xfId="8115"/>
    <cellStyle name="Input 2 2 4 2 11 5" xfId="8116"/>
    <cellStyle name="Input 2 2 4 2 12" xfId="8117"/>
    <cellStyle name="Input 2 2 4 2 12 2" xfId="8118"/>
    <cellStyle name="Input 2 2 4 2 12 3" xfId="8119"/>
    <cellStyle name="Input 2 2 4 2 12 4" xfId="8120"/>
    <cellStyle name="Input 2 2 4 2 12 5" xfId="8121"/>
    <cellStyle name="Input 2 2 4 2 13" xfId="8122"/>
    <cellStyle name="Input 2 2 4 2 13 2" xfId="8123"/>
    <cellStyle name="Input 2 2 4 2 13 3" xfId="8124"/>
    <cellStyle name="Input 2 2 4 2 13 4" xfId="8125"/>
    <cellStyle name="Input 2 2 4 2 13 5" xfId="8126"/>
    <cellStyle name="Input 2 2 4 2 14" xfId="8127"/>
    <cellStyle name="Input 2 2 4 2 14 2" xfId="8128"/>
    <cellStyle name="Input 2 2 4 2 14 3" xfId="8129"/>
    <cellStyle name="Input 2 2 4 2 14 4" xfId="8130"/>
    <cellStyle name="Input 2 2 4 2 14 5" xfId="8131"/>
    <cellStyle name="Input 2 2 4 2 15" xfId="8132"/>
    <cellStyle name="Input 2 2 4 2 15 2" xfId="8133"/>
    <cellStyle name="Input 2 2 4 2 15 3" xfId="8134"/>
    <cellStyle name="Input 2 2 4 2 15 4" xfId="8135"/>
    <cellStyle name="Input 2 2 4 2 15 5" xfId="8136"/>
    <cellStyle name="Input 2 2 4 2 16" xfId="8137"/>
    <cellStyle name="Input 2 2 4 2 16 2" xfId="8138"/>
    <cellStyle name="Input 2 2 4 2 16 3" xfId="8139"/>
    <cellStyle name="Input 2 2 4 2 16 4" xfId="8140"/>
    <cellStyle name="Input 2 2 4 2 16 5" xfId="8141"/>
    <cellStyle name="Input 2 2 4 2 17" xfId="8142"/>
    <cellStyle name="Input 2 2 4 2 17 2" xfId="8143"/>
    <cellStyle name="Input 2 2 4 2 17 3" xfId="8144"/>
    <cellStyle name="Input 2 2 4 2 17 4" xfId="8145"/>
    <cellStyle name="Input 2 2 4 2 17 5" xfId="8146"/>
    <cellStyle name="Input 2 2 4 2 18" xfId="8147"/>
    <cellStyle name="Input 2 2 4 2 19" xfId="989"/>
    <cellStyle name="Input 2 2 4 2 2" xfId="1917"/>
    <cellStyle name="Input 2 2 4 2 2 2" xfId="8148"/>
    <cellStyle name="Input 2 2 4 2 2 3" xfId="8149"/>
    <cellStyle name="Input 2 2 4 2 2 4" xfId="8150"/>
    <cellStyle name="Input 2 2 4 2 2 5" xfId="8151"/>
    <cellStyle name="Input 2 2 4 2 2 6" xfId="36364"/>
    <cellStyle name="Input 2 2 4 2 2 7" xfId="43427"/>
    <cellStyle name="Input 2 2 4 2 2 8" xfId="51727"/>
    <cellStyle name="Input 2 2 4 2 20" xfId="35069"/>
    <cellStyle name="Input 2 2 4 2 21" xfId="41288"/>
    <cellStyle name="Input 2 2 4 2 3" xfId="1918"/>
    <cellStyle name="Input 2 2 4 2 3 2" xfId="8152"/>
    <cellStyle name="Input 2 2 4 2 3 3" xfId="8153"/>
    <cellStyle name="Input 2 2 4 2 3 4" xfId="8154"/>
    <cellStyle name="Input 2 2 4 2 3 5" xfId="8155"/>
    <cellStyle name="Input 2 2 4 2 3 6" xfId="36861"/>
    <cellStyle name="Input 2 2 4 2 3 7" xfId="43428"/>
    <cellStyle name="Input 2 2 4 2 3 8" xfId="51728"/>
    <cellStyle name="Input 2 2 4 2 4" xfId="1173"/>
    <cellStyle name="Input 2 2 4 2 4 2" xfId="8156"/>
    <cellStyle name="Input 2 2 4 2 4 3" xfId="8157"/>
    <cellStyle name="Input 2 2 4 2 4 4" xfId="8158"/>
    <cellStyle name="Input 2 2 4 2 4 5" xfId="8159"/>
    <cellStyle name="Input 2 2 4 2 4 6" xfId="37477"/>
    <cellStyle name="Input 2 2 4 2 4 7" xfId="43429"/>
    <cellStyle name="Input 2 2 4 2 4 8" xfId="51729"/>
    <cellStyle name="Input 2 2 4 2 5" xfId="3191"/>
    <cellStyle name="Input 2 2 4 2 5 2" xfId="8160"/>
    <cellStyle name="Input 2 2 4 2 5 3" xfId="8161"/>
    <cellStyle name="Input 2 2 4 2 5 4" xfId="8162"/>
    <cellStyle name="Input 2 2 4 2 5 5" xfId="8163"/>
    <cellStyle name="Input 2 2 4 2 5 6" xfId="38093"/>
    <cellStyle name="Input 2 2 4 2 5 7" xfId="43430"/>
    <cellStyle name="Input 2 2 4 2 5 8" xfId="51730"/>
    <cellStyle name="Input 2 2 4 2 6" xfId="3164"/>
    <cellStyle name="Input 2 2 4 2 6 2" xfId="8164"/>
    <cellStyle name="Input 2 2 4 2 6 3" xfId="8165"/>
    <cellStyle name="Input 2 2 4 2 6 4" xfId="8166"/>
    <cellStyle name="Input 2 2 4 2 6 5" xfId="8167"/>
    <cellStyle name="Input 2 2 4 2 6 6" xfId="38711"/>
    <cellStyle name="Input 2 2 4 2 6 7" xfId="43431"/>
    <cellStyle name="Input 2 2 4 2 6 8" xfId="51731"/>
    <cellStyle name="Input 2 2 4 2 7" xfId="8168"/>
    <cellStyle name="Input 2 2 4 2 7 2" xfId="8169"/>
    <cellStyle name="Input 2 2 4 2 7 3" xfId="8170"/>
    <cellStyle name="Input 2 2 4 2 7 4" xfId="8171"/>
    <cellStyle name="Input 2 2 4 2 7 5" xfId="8172"/>
    <cellStyle name="Input 2 2 4 2 7 6" xfId="39331"/>
    <cellStyle name="Input 2 2 4 2 7 7" xfId="43432"/>
    <cellStyle name="Input 2 2 4 2 7 8" xfId="51732"/>
    <cellStyle name="Input 2 2 4 2 8" xfId="8173"/>
    <cellStyle name="Input 2 2 4 2 8 2" xfId="8174"/>
    <cellStyle name="Input 2 2 4 2 8 3" xfId="8175"/>
    <cellStyle name="Input 2 2 4 2 8 4" xfId="8176"/>
    <cellStyle name="Input 2 2 4 2 8 5" xfId="8177"/>
    <cellStyle name="Input 2 2 4 2 8 6" xfId="39947"/>
    <cellStyle name="Input 2 2 4 2 8 7" xfId="43433"/>
    <cellStyle name="Input 2 2 4 2 8 8" xfId="51733"/>
    <cellStyle name="Input 2 2 4 2 9" xfId="8178"/>
    <cellStyle name="Input 2 2 4 2 9 2" xfId="8179"/>
    <cellStyle name="Input 2 2 4 2 9 3" xfId="8180"/>
    <cellStyle name="Input 2 2 4 2 9 4" xfId="8181"/>
    <cellStyle name="Input 2 2 4 2 9 5" xfId="8182"/>
    <cellStyle name="Input 2 2 4 2 9 6" xfId="40562"/>
    <cellStyle name="Input 2 2 4 2 9 7" xfId="43434"/>
    <cellStyle name="Input 2 2 4 2 9 8" xfId="51734"/>
    <cellStyle name="Input 2 2 4 20" xfId="34823"/>
    <cellStyle name="Input 2 2 4 21" xfId="40861"/>
    <cellStyle name="Input 2 2 4 22" xfId="41422"/>
    <cellStyle name="Input 2 2 4 23" xfId="50509"/>
    <cellStyle name="Input 2 2 4 3" xfId="1919"/>
    <cellStyle name="Input 2 2 4 3 10" xfId="34787"/>
    <cellStyle name="Input 2 2 4 3 11" xfId="41076"/>
    <cellStyle name="Input 2 2 4 3 12" xfId="43435"/>
    <cellStyle name="Input 2 2 4 3 13" xfId="51735"/>
    <cellStyle name="Input 2 2 4 3 2" xfId="1920"/>
    <cellStyle name="Input 2 2 4 3 2 2" xfId="36153"/>
    <cellStyle name="Input 2 2 4 3 2 3" xfId="43436"/>
    <cellStyle name="Input 2 2 4 3 2 4" xfId="51736"/>
    <cellStyle name="Input 2 2 4 3 3" xfId="1921"/>
    <cellStyle name="Input 2 2 4 3 3 2" xfId="36650"/>
    <cellStyle name="Input 2 2 4 3 3 3" xfId="43437"/>
    <cellStyle name="Input 2 2 4 3 3 4" xfId="51737"/>
    <cellStyle name="Input 2 2 4 3 4" xfId="8183"/>
    <cellStyle name="Input 2 2 4 3 4 2" xfId="37266"/>
    <cellStyle name="Input 2 2 4 3 4 3" xfId="43438"/>
    <cellStyle name="Input 2 2 4 3 4 4" xfId="51738"/>
    <cellStyle name="Input 2 2 4 3 5" xfId="8184"/>
    <cellStyle name="Input 2 2 4 3 5 2" xfId="37882"/>
    <cellStyle name="Input 2 2 4 3 5 3" xfId="43439"/>
    <cellStyle name="Input 2 2 4 3 5 4" xfId="51739"/>
    <cellStyle name="Input 2 2 4 3 6" xfId="38499"/>
    <cellStyle name="Input 2 2 4 3 6 2" xfId="43440"/>
    <cellStyle name="Input 2 2 4 3 6 3" xfId="51740"/>
    <cellStyle name="Input 2 2 4 3 7" xfId="39119"/>
    <cellStyle name="Input 2 2 4 3 7 2" xfId="43441"/>
    <cellStyle name="Input 2 2 4 3 7 3" xfId="51741"/>
    <cellStyle name="Input 2 2 4 3 8" xfId="39735"/>
    <cellStyle name="Input 2 2 4 3 8 2" xfId="43442"/>
    <cellStyle name="Input 2 2 4 3 8 3" xfId="51742"/>
    <cellStyle name="Input 2 2 4 3 9" xfId="40350"/>
    <cellStyle name="Input 2 2 4 3 9 2" xfId="43443"/>
    <cellStyle name="Input 2 2 4 3 9 3" xfId="51743"/>
    <cellStyle name="Input 2 2 4 4" xfId="1922"/>
    <cellStyle name="Input 2 2 4 4 10" xfId="43444"/>
    <cellStyle name="Input 2 2 4 4 11" xfId="51744"/>
    <cellStyle name="Input 2 2 4 4 2" xfId="8185"/>
    <cellStyle name="Input 2 2 4 4 2 2" xfId="43445"/>
    <cellStyle name="Input 2 2 4 4 2 3" xfId="51745"/>
    <cellStyle name="Input 2 2 4 4 3" xfId="8186"/>
    <cellStyle name="Input 2 2 4 4 3 2" xfId="43446"/>
    <cellStyle name="Input 2 2 4 4 3 3" xfId="51746"/>
    <cellStyle name="Input 2 2 4 4 4" xfId="8187"/>
    <cellStyle name="Input 2 2 4 4 4 2" xfId="43447"/>
    <cellStyle name="Input 2 2 4 4 4 3" xfId="51747"/>
    <cellStyle name="Input 2 2 4 4 5" xfId="8188"/>
    <cellStyle name="Input 2 2 4 4 5 2" xfId="43448"/>
    <cellStyle name="Input 2 2 4 4 5 3" xfId="51748"/>
    <cellStyle name="Input 2 2 4 4 6" xfId="35654"/>
    <cellStyle name="Input 2 2 4 4 6 2" xfId="43449"/>
    <cellStyle name="Input 2 2 4 4 6 3" xfId="51749"/>
    <cellStyle name="Input 2 2 4 4 7" xfId="43450"/>
    <cellStyle name="Input 2 2 4 4 7 2" xfId="51750"/>
    <cellStyle name="Input 2 2 4 4 8" xfId="43451"/>
    <cellStyle name="Input 2 2 4 4 8 2" xfId="51751"/>
    <cellStyle name="Input 2 2 4 4 9" xfId="43452"/>
    <cellStyle name="Input 2 2 4 4 9 2" xfId="51752"/>
    <cellStyle name="Input 2 2 4 5" xfId="1172"/>
    <cellStyle name="Input 2 2 4 5 2" xfId="8189"/>
    <cellStyle name="Input 2 2 4 5 3" xfId="8190"/>
    <cellStyle name="Input 2 2 4 5 4" xfId="8191"/>
    <cellStyle name="Input 2 2 4 5 5" xfId="8192"/>
    <cellStyle name="Input 2 2 4 5 6" xfId="35786"/>
    <cellStyle name="Input 2 2 4 5 7" xfId="43453"/>
    <cellStyle name="Input 2 2 4 5 8" xfId="51753"/>
    <cellStyle name="Input 2 2 4 6" xfId="3190"/>
    <cellStyle name="Input 2 2 4 6 2" xfId="8193"/>
    <cellStyle name="Input 2 2 4 6 3" xfId="8194"/>
    <cellStyle name="Input 2 2 4 6 4" xfId="8195"/>
    <cellStyle name="Input 2 2 4 6 5" xfId="8196"/>
    <cellStyle name="Input 2 2 4 6 6" xfId="37051"/>
    <cellStyle name="Input 2 2 4 6 7" xfId="43454"/>
    <cellStyle name="Input 2 2 4 6 8" xfId="51754"/>
    <cellStyle name="Input 2 2 4 7" xfId="3165"/>
    <cellStyle name="Input 2 2 4 7 2" xfId="8197"/>
    <cellStyle name="Input 2 2 4 7 3" xfId="8198"/>
    <cellStyle name="Input 2 2 4 7 4" xfId="8199"/>
    <cellStyle name="Input 2 2 4 7 5" xfId="8200"/>
    <cellStyle name="Input 2 2 4 7 6" xfId="37665"/>
    <cellStyle name="Input 2 2 4 7 7" xfId="43455"/>
    <cellStyle name="Input 2 2 4 7 8" xfId="51755"/>
    <cellStyle name="Input 2 2 4 8" xfId="8201"/>
    <cellStyle name="Input 2 2 4 8 2" xfId="8202"/>
    <cellStyle name="Input 2 2 4 8 3" xfId="8203"/>
    <cellStyle name="Input 2 2 4 8 4" xfId="8204"/>
    <cellStyle name="Input 2 2 4 8 5" xfId="8205"/>
    <cellStyle name="Input 2 2 4 8 6" xfId="38280"/>
    <cellStyle name="Input 2 2 4 8 7" xfId="43456"/>
    <cellStyle name="Input 2 2 4 8 8" xfId="51756"/>
    <cellStyle name="Input 2 2 4 9" xfId="8206"/>
    <cellStyle name="Input 2 2 4 9 2" xfId="8207"/>
    <cellStyle name="Input 2 2 4 9 3" xfId="8208"/>
    <cellStyle name="Input 2 2 4 9 4" xfId="8209"/>
    <cellStyle name="Input 2 2 4 9 5" xfId="8210"/>
    <cellStyle name="Input 2 2 4 9 6" xfId="38900"/>
    <cellStyle name="Input 2 2 4 9 7" xfId="43457"/>
    <cellStyle name="Input 2 2 4 9 8" xfId="51757"/>
    <cellStyle name="Input 2 2 5" xfId="477"/>
    <cellStyle name="Input 2 2 5 10" xfId="8211"/>
    <cellStyle name="Input 2 2 5 10 2" xfId="8212"/>
    <cellStyle name="Input 2 2 5 10 3" xfId="8213"/>
    <cellStyle name="Input 2 2 5 10 4" xfId="8214"/>
    <cellStyle name="Input 2 2 5 10 5" xfId="8215"/>
    <cellStyle name="Input 2 2 5 10 6" xfId="43458"/>
    <cellStyle name="Input 2 2 5 10 7" xfId="51758"/>
    <cellStyle name="Input 2 2 5 11" xfId="8216"/>
    <cellStyle name="Input 2 2 5 11 2" xfId="8217"/>
    <cellStyle name="Input 2 2 5 11 3" xfId="8218"/>
    <cellStyle name="Input 2 2 5 11 4" xfId="8219"/>
    <cellStyle name="Input 2 2 5 11 5" xfId="8220"/>
    <cellStyle name="Input 2 2 5 12" xfId="8221"/>
    <cellStyle name="Input 2 2 5 12 2" xfId="8222"/>
    <cellStyle name="Input 2 2 5 12 3" xfId="8223"/>
    <cellStyle name="Input 2 2 5 12 4" xfId="8224"/>
    <cellStyle name="Input 2 2 5 12 5" xfId="8225"/>
    <cellStyle name="Input 2 2 5 13" xfId="8226"/>
    <cellStyle name="Input 2 2 5 13 2" xfId="8227"/>
    <cellStyle name="Input 2 2 5 13 3" xfId="8228"/>
    <cellStyle name="Input 2 2 5 13 4" xfId="8229"/>
    <cellStyle name="Input 2 2 5 13 5" xfId="8230"/>
    <cellStyle name="Input 2 2 5 14" xfId="8231"/>
    <cellStyle name="Input 2 2 5 14 2" xfId="8232"/>
    <cellStyle name="Input 2 2 5 14 3" xfId="8233"/>
    <cellStyle name="Input 2 2 5 14 4" xfId="8234"/>
    <cellStyle name="Input 2 2 5 14 5" xfId="8235"/>
    <cellStyle name="Input 2 2 5 15" xfId="8236"/>
    <cellStyle name="Input 2 2 5 15 2" xfId="8237"/>
    <cellStyle name="Input 2 2 5 15 3" xfId="8238"/>
    <cellStyle name="Input 2 2 5 15 4" xfId="8239"/>
    <cellStyle name="Input 2 2 5 15 5" xfId="8240"/>
    <cellStyle name="Input 2 2 5 16" xfId="8241"/>
    <cellStyle name="Input 2 2 5 16 2" xfId="8242"/>
    <cellStyle name="Input 2 2 5 16 3" xfId="8243"/>
    <cellStyle name="Input 2 2 5 16 4" xfId="8244"/>
    <cellStyle name="Input 2 2 5 16 5" xfId="8245"/>
    <cellStyle name="Input 2 2 5 17" xfId="8246"/>
    <cellStyle name="Input 2 2 5 17 2" xfId="8247"/>
    <cellStyle name="Input 2 2 5 17 3" xfId="8248"/>
    <cellStyle name="Input 2 2 5 17 4" xfId="8249"/>
    <cellStyle name="Input 2 2 5 17 5" xfId="8250"/>
    <cellStyle name="Input 2 2 5 18" xfId="8251"/>
    <cellStyle name="Input 2 2 5 19" xfId="906"/>
    <cellStyle name="Input 2 2 5 2" xfId="1923"/>
    <cellStyle name="Input 2 2 5 2 2" xfId="1924"/>
    <cellStyle name="Input 2 2 5 2 3" xfId="1925"/>
    <cellStyle name="Input 2 2 5 2 4" xfId="8252"/>
    <cellStyle name="Input 2 2 5 2 5" xfId="8253"/>
    <cellStyle name="Input 2 2 5 2 6" xfId="36281"/>
    <cellStyle name="Input 2 2 5 2 7" xfId="43459"/>
    <cellStyle name="Input 2 2 5 2 8" xfId="51759"/>
    <cellStyle name="Input 2 2 5 20" xfId="34986"/>
    <cellStyle name="Input 2 2 5 21" xfId="40695"/>
    <cellStyle name="Input 2 2 5 22" xfId="41205"/>
    <cellStyle name="Input 2 2 5 3" xfId="1926"/>
    <cellStyle name="Input 2 2 5 3 2" xfId="8254"/>
    <cellStyle name="Input 2 2 5 3 3" xfId="8255"/>
    <cellStyle name="Input 2 2 5 3 4" xfId="8256"/>
    <cellStyle name="Input 2 2 5 3 5" xfId="8257"/>
    <cellStyle name="Input 2 2 5 3 6" xfId="36778"/>
    <cellStyle name="Input 2 2 5 3 7" xfId="43460"/>
    <cellStyle name="Input 2 2 5 3 8" xfId="51760"/>
    <cellStyle name="Input 2 2 5 4" xfId="1174"/>
    <cellStyle name="Input 2 2 5 4 2" xfId="8258"/>
    <cellStyle name="Input 2 2 5 4 3" xfId="8259"/>
    <cellStyle name="Input 2 2 5 4 4" xfId="8260"/>
    <cellStyle name="Input 2 2 5 4 5" xfId="8261"/>
    <cellStyle name="Input 2 2 5 4 6" xfId="37394"/>
    <cellStyle name="Input 2 2 5 4 7" xfId="43461"/>
    <cellStyle name="Input 2 2 5 4 8" xfId="51761"/>
    <cellStyle name="Input 2 2 5 5" xfId="3192"/>
    <cellStyle name="Input 2 2 5 5 2" xfId="8262"/>
    <cellStyle name="Input 2 2 5 5 3" xfId="8263"/>
    <cellStyle name="Input 2 2 5 5 4" xfId="8264"/>
    <cellStyle name="Input 2 2 5 5 5" xfId="8265"/>
    <cellStyle name="Input 2 2 5 5 6" xfId="38010"/>
    <cellStyle name="Input 2 2 5 5 7" xfId="43462"/>
    <cellStyle name="Input 2 2 5 5 8" xfId="51762"/>
    <cellStyle name="Input 2 2 5 6" xfId="3163"/>
    <cellStyle name="Input 2 2 5 6 2" xfId="8266"/>
    <cellStyle name="Input 2 2 5 6 3" xfId="8267"/>
    <cellStyle name="Input 2 2 5 6 4" xfId="8268"/>
    <cellStyle name="Input 2 2 5 6 5" xfId="8269"/>
    <cellStyle name="Input 2 2 5 6 6" xfId="38628"/>
    <cellStyle name="Input 2 2 5 6 7" xfId="43463"/>
    <cellStyle name="Input 2 2 5 6 8" xfId="51763"/>
    <cellStyle name="Input 2 2 5 7" xfId="8270"/>
    <cellStyle name="Input 2 2 5 7 2" xfId="8271"/>
    <cellStyle name="Input 2 2 5 7 3" xfId="8272"/>
    <cellStyle name="Input 2 2 5 7 4" xfId="8273"/>
    <cellStyle name="Input 2 2 5 7 5" xfId="8274"/>
    <cellStyle name="Input 2 2 5 7 6" xfId="39248"/>
    <cellStyle name="Input 2 2 5 7 7" xfId="43464"/>
    <cellStyle name="Input 2 2 5 7 8" xfId="51764"/>
    <cellStyle name="Input 2 2 5 8" xfId="8275"/>
    <cellStyle name="Input 2 2 5 8 2" xfId="8276"/>
    <cellStyle name="Input 2 2 5 8 3" xfId="8277"/>
    <cellStyle name="Input 2 2 5 8 4" xfId="8278"/>
    <cellStyle name="Input 2 2 5 8 5" xfId="8279"/>
    <cellStyle name="Input 2 2 5 8 6" xfId="39864"/>
    <cellStyle name="Input 2 2 5 8 7" xfId="43465"/>
    <cellStyle name="Input 2 2 5 8 8" xfId="51765"/>
    <cellStyle name="Input 2 2 5 9" xfId="8280"/>
    <cellStyle name="Input 2 2 5 9 2" xfId="8281"/>
    <cellStyle name="Input 2 2 5 9 3" xfId="8282"/>
    <cellStyle name="Input 2 2 5 9 4" xfId="8283"/>
    <cellStyle name="Input 2 2 5 9 5" xfId="8284"/>
    <cellStyle name="Input 2 2 5 9 6" xfId="40479"/>
    <cellStyle name="Input 2 2 5 9 7" xfId="43466"/>
    <cellStyle name="Input 2 2 5 9 8" xfId="51766"/>
    <cellStyle name="Input 2 2 6" xfId="1927"/>
    <cellStyle name="Input 2 2 6 10" xfId="34888"/>
    <cellStyle name="Input 2 2 6 11" xfId="40991"/>
    <cellStyle name="Input 2 2 6 12" xfId="43467"/>
    <cellStyle name="Input 2 2 6 13" xfId="51767"/>
    <cellStyle name="Input 2 2 6 2" xfId="1928"/>
    <cellStyle name="Input 2 2 6 2 2" xfId="36068"/>
    <cellStyle name="Input 2 2 6 2 3" xfId="43468"/>
    <cellStyle name="Input 2 2 6 2 4" xfId="51768"/>
    <cellStyle name="Input 2 2 6 3" xfId="1929"/>
    <cellStyle name="Input 2 2 6 3 2" xfId="36567"/>
    <cellStyle name="Input 2 2 6 3 3" xfId="43469"/>
    <cellStyle name="Input 2 2 6 3 4" xfId="51769"/>
    <cellStyle name="Input 2 2 6 4" xfId="8285"/>
    <cellStyle name="Input 2 2 6 4 2" xfId="37183"/>
    <cellStyle name="Input 2 2 6 4 3" xfId="43470"/>
    <cellStyle name="Input 2 2 6 4 4" xfId="51770"/>
    <cellStyle name="Input 2 2 6 5" xfId="8286"/>
    <cellStyle name="Input 2 2 6 5 2" xfId="37799"/>
    <cellStyle name="Input 2 2 6 5 3" xfId="43471"/>
    <cellStyle name="Input 2 2 6 5 4" xfId="51771"/>
    <cellStyle name="Input 2 2 6 6" xfId="38414"/>
    <cellStyle name="Input 2 2 6 6 2" xfId="43472"/>
    <cellStyle name="Input 2 2 6 6 3" xfId="51772"/>
    <cellStyle name="Input 2 2 6 7" xfId="39034"/>
    <cellStyle name="Input 2 2 6 7 2" xfId="43473"/>
    <cellStyle name="Input 2 2 6 7 3" xfId="51773"/>
    <cellStyle name="Input 2 2 6 8" xfId="39650"/>
    <cellStyle name="Input 2 2 6 8 2" xfId="43474"/>
    <cellStyle name="Input 2 2 6 8 3" xfId="51774"/>
    <cellStyle name="Input 2 2 6 9" xfId="40265"/>
    <cellStyle name="Input 2 2 6 9 2" xfId="43475"/>
    <cellStyle name="Input 2 2 6 9 3" xfId="51775"/>
    <cellStyle name="Input 2 2 7" xfId="1930"/>
    <cellStyle name="Input 2 2 7 10" xfId="43476"/>
    <cellStyle name="Input 2 2 7 11" xfId="51776"/>
    <cellStyle name="Input 2 2 7 2" xfId="1931"/>
    <cellStyle name="Input 2 2 7 2 2" xfId="43477"/>
    <cellStyle name="Input 2 2 7 2 3" xfId="51777"/>
    <cellStyle name="Input 2 2 7 3" xfId="1932"/>
    <cellStyle name="Input 2 2 7 3 2" xfId="43478"/>
    <cellStyle name="Input 2 2 7 3 3" xfId="51778"/>
    <cellStyle name="Input 2 2 7 4" xfId="8287"/>
    <cellStyle name="Input 2 2 7 4 2" xfId="43479"/>
    <cellStyle name="Input 2 2 7 4 3" xfId="51779"/>
    <cellStyle name="Input 2 2 7 5" xfId="8288"/>
    <cellStyle name="Input 2 2 7 5 2" xfId="43480"/>
    <cellStyle name="Input 2 2 7 5 3" xfId="51780"/>
    <cellStyle name="Input 2 2 7 6" xfId="35385"/>
    <cellStyle name="Input 2 2 7 6 2" xfId="43481"/>
    <cellStyle name="Input 2 2 7 6 3" xfId="51781"/>
    <cellStyle name="Input 2 2 7 7" xfId="43482"/>
    <cellStyle name="Input 2 2 7 7 2" xfId="51782"/>
    <cellStyle name="Input 2 2 7 8" xfId="43483"/>
    <cellStyle name="Input 2 2 7 8 2" xfId="51783"/>
    <cellStyle name="Input 2 2 7 9" xfId="43484"/>
    <cellStyle name="Input 2 2 7 9 2" xfId="51784"/>
    <cellStyle name="Input 2 2 8" xfId="1163"/>
    <cellStyle name="Input 2 2 8 2" xfId="8289"/>
    <cellStyle name="Input 2 2 8 3" xfId="8290"/>
    <cellStyle name="Input 2 2 8 4" xfId="8291"/>
    <cellStyle name="Input 2 2 8 5" xfId="8292"/>
    <cellStyle name="Input 2 2 8 6" xfId="35916"/>
    <cellStyle name="Input 2 2 8 7" xfId="43485"/>
    <cellStyle name="Input 2 2 8 8" xfId="51785"/>
    <cellStyle name="Input 2 2 9" xfId="3181"/>
    <cellStyle name="Input 2 2 9 2" xfId="8293"/>
    <cellStyle name="Input 2 2 9 3" xfId="8294"/>
    <cellStyle name="Input 2 2 9 4" xfId="8295"/>
    <cellStyle name="Input 2 2 9 5" xfId="8296"/>
    <cellStyle name="Input 2 2 9 6" xfId="35902"/>
    <cellStyle name="Input 2 2 9 7" xfId="43486"/>
    <cellStyle name="Input 2 2 9 8" xfId="51786"/>
    <cellStyle name="Input 2 20" xfId="681"/>
    <cellStyle name="Input 2 21" xfId="34853"/>
    <cellStyle name="Input 2 22" xfId="40766"/>
    <cellStyle name="Input 2 3" xfId="245"/>
    <cellStyle name="Input 2 3 10" xfId="3162"/>
    <cellStyle name="Input 2 3 10 2" xfId="8297"/>
    <cellStyle name="Input 2 3 10 3" xfId="8298"/>
    <cellStyle name="Input 2 3 10 4" xfId="8299"/>
    <cellStyle name="Input 2 3 10 5" xfId="8300"/>
    <cellStyle name="Input 2 3 10 6" xfId="36038"/>
    <cellStyle name="Input 2 3 10 7" xfId="43487"/>
    <cellStyle name="Input 2 3 10 8" xfId="51787"/>
    <cellStyle name="Input 2 3 11" xfId="8301"/>
    <cellStyle name="Input 2 3 11 2" xfId="8302"/>
    <cellStyle name="Input 2 3 11 3" xfId="8303"/>
    <cellStyle name="Input 2 3 11 4" xfId="8304"/>
    <cellStyle name="Input 2 3 11 5" xfId="8305"/>
    <cellStyle name="Input 2 3 11 6" xfId="35855"/>
    <cellStyle name="Input 2 3 11 7" xfId="43488"/>
    <cellStyle name="Input 2 3 11 8" xfId="51788"/>
    <cellStyle name="Input 2 3 12" xfId="8306"/>
    <cellStyle name="Input 2 3 12 2" xfId="8307"/>
    <cellStyle name="Input 2 3 12 3" xfId="8308"/>
    <cellStyle name="Input 2 3 12 4" xfId="8309"/>
    <cellStyle name="Input 2 3 12 5" xfId="8310"/>
    <cellStyle name="Input 2 3 12 6" xfId="36007"/>
    <cellStyle name="Input 2 3 12 7" xfId="43489"/>
    <cellStyle name="Input 2 3 12 8" xfId="51789"/>
    <cellStyle name="Input 2 3 13" xfId="8311"/>
    <cellStyle name="Input 2 3 13 2" xfId="8312"/>
    <cellStyle name="Input 2 3 13 3" xfId="8313"/>
    <cellStyle name="Input 2 3 13 4" xfId="8314"/>
    <cellStyle name="Input 2 3 13 5" xfId="8315"/>
    <cellStyle name="Input 2 3 13 6" xfId="35900"/>
    <cellStyle name="Input 2 3 13 7" xfId="43490"/>
    <cellStyle name="Input 2 3 13 8" xfId="51790"/>
    <cellStyle name="Input 2 3 14" xfId="8316"/>
    <cellStyle name="Input 2 3 14 2" xfId="8317"/>
    <cellStyle name="Input 2 3 14 3" xfId="8318"/>
    <cellStyle name="Input 2 3 14 4" xfId="8319"/>
    <cellStyle name="Input 2 3 14 5" xfId="8320"/>
    <cellStyle name="Input 2 3 14 6" xfId="35864"/>
    <cellStyle name="Input 2 3 14 7" xfId="43491"/>
    <cellStyle name="Input 2 3 14 8" xfId="51791"/>
    <cellStyle name="Input 2 3 15" xfId="8321"/>
    <cellStyle name="Input 2 3 15 2" xfId="8322"/>
    <cellStyle name="Input 2 3 15 3" xfId="8323"/>
    <cellStyle name="Input 2 3 15 4" xfId="8324"/>
    <cellStyle name="Input 2 3 15 5" xfId="8325"/>
    <cellStyle name="Input 2 3 15 6" xfId="37644"/>
    <cellStyle name="Input 2 3 15 7" xfId="43492"/>
    <cellStyle name="Input 2 3 15 8" xfId="51792"/>
    <cellStyle name="Input 2 3 16" xfId="8326"/>
    <cellStyle name="Input 2 3 16 2" xfId="8327"/>
    <cellStyle name="Input 2 3 16 3" xfId="8328"/>
    <cellStyle name="Input 2 3 16 4" xfId="8329"/>
    <cellStyle name="Input 2 3 16 5" xfId="8330"/>
    <cellStyle name="Input 2 3 16 6" xfId="43493"/>
    <cellStyle name="Input 2 3 16 7" xfId="51793"/>
    <cellStyle name="Input 2 3 17" xfId="8331"/>
    <cellStyle name="Input 2 3 17 2" xfId="8332"/>
    <cellStyle name="Input 2 3 17 3" xfId="8333"/>
    <cellStyle name="Input 2 3 17 4" xfId="8334"/>
    <cellStyle name="Input 2 3 17 5" xfId="8335"/>
    <cellStyle name="Input 2 3 18" xfId="8336"/>
    <cellStyle name="Input 2 3 19" xfId="693"/>
    <cellStyle name="Input 2 3 2" xfId="276"/>
    <cellStyle name="Input 2 3 2 10" xfId="8337"/>
    <cellStyle name="Input 2 3 2 10 2" xfId="8338"/>
    <cellStyle name="Input 2 3 2 10 3" xfId="8339"/>
    <cellStyle name="Input 2 3 2 10 4" xfId="8340"/>
    <cellStyle name="Input 2 3 2 10 5" xfId="8341"/>
    <cellStyle name="Input 2 3 2 10 6" xfId="38221"/>
    <cellStyle name="Input 2 3 2 10 7" xfId="43494"/>
    <cellStyle name="Input 2 3 2 10 8" xfId="51794"/>
    <cellStyle name="Input 2 3 2 11" xfId="8342"/>
    <cellStyle name="Input 2 3 2 11 2" xfId="8343"/>
    <cellStyle name="Input 2 3 2 11 3" xfId="8344"/>
    <cellStyle name="Input 2 3 2 11 4" xfId="8345"/>
    <cellStyle name="Input 2 3 2 11 5" xfId="8346"/>
    <cellStyle name="Input 2 3 2 11 6" xfId="38843"/>
    <cellStyle name="Input 2 3 2 11 7" xfId="43495"/>
    <cellStyle name="Input 2 3 2 11 8" xfId="51795"/>
    <cellStyle name="Input 2 3 2 12" xfId="8347"/>
    <cellStyle name="Input 2 3 2 12 2" xfId="8348"/>
    <cellStyle name="Input 2 3 2 12 3" xfId="8349"/>
    <cellStyle name="Input 2 3 2 12 4" xfId="8350"/>
    <cellStyle name="Input 2 3 2 12 5" xfId="8351"/>
    <cellStyle name="Input 2 3 2 12 6" xfId="39463"/>
    <cellStyle name="Input 2 3 2 12 7" xfId="43496"/>
    <cellStyle name="Input 2 3 2 12 8" xfId="51796"/>
    <cellStyle name="Input 2 3 2 13" xfId="8352"/>
    <cellStyle name="Input 2 3 2 13 2" xfId="8353"/>
    <cellStyle name="Input 2 3 2 13 3" xfId="8354"/>
    <cellStyle name="Input 2 3 2 13 4" xfId="8355"/>
    <cellStyle name="Input 2 3 2 13 5" xfId="8356"/>
    <cellStyle name="Input 2 3 2 13 6" xfId="40081"/>
    <cellStyle name="Input 2 3 2 13 7" xfId="43497"/>
    <cellStyle name="Input 2 3 2 13 8" xfId="51797"/>
    <cellStyle name="Input 2 3 2 14" xfId="8357"/>
    <cellStyle name="Input 2 3 2 14 2" xfId="8358"/>
    <cellStyle name="Input 2 3 2 14 3" xfId="8359"/>
    <cellStyle name="Input 2 3 2 14 4" xfId="8360"/>
    <cellStyle name="Input 2 3 2 14 5" xfId="8361"/>
    <cellStyle name="Input 2 3 2 14 6" xfId="43498"/>
    <cellStyle name="Input 2 3 2 14 7" xfId="51798"/>
    <cellStyle name="Input 2 3 2 15" xfId="8362"/>
    <cellStyle name="Input 2 3 2 15 2" xfId="8363"/>
    <cellStyle name="Input 2 3 2 15 3" xfId="8364"/>
    <cellStyle name="Input 2 3 2 15 4" xfId="8365"/>
    <cellStyle name="Input 2 3 2 15 5" xfId="8366"/>
    <cellStyle name="Input 2 3 2 16" xfId="8367"/>
    <cellStyle name="Input 2 3 2 17" xfId="721"/>
    <cellStyle name="Input 2 3 2 18" xfId="34841"/>
    <cellStyle name="Input 2 3 2 19" xfId="40805"/>
    <cellStyle name="Input 2 3 2 2" xfId="342"/>
    <cellStyle name="Input 2 3 2 2 10" xfId="8368"/>
    <cellStyle name="Input 2 3 2 2 10 2" xfId="8369"/>
    <cellStyle name="Input 2 3 2 2 10 3" xfId="8370"/>
    <cellStyle name="Input 2 3 2 2 10 4" xfId="8371"/>
    <cellStyle name="Input 2 3 2 2 10 5" xfId="8372"/>
    <cellStyle name="Input 2 3 2 2 10 6" xfId="39520"/>
    <cellStyle name="Input 2 3 2 2 10 7" xfId="43499"/>
    <cellStyle name="Input 2 3 2 2 10 8" xfId="51799"/>
    <cellStyle name="Input 2 3 2 2 11" xfId="8373"/>
    <cellStyle name="Input 2 3 2 2 11 2" xfId="8374"/>
    <cellStyle name="Input 2 3 2 2 11 3" xfId="8375"/>
    <cellStyle name="Input 2 3 2 2 11 4" xfId="8376"/>
    <cellStyle name="Input 2 3 2 2 11 5" xfId="8377"/>
    <cellStyle name="Input 2 3 2 2 11 6" xfId="40136"/>
    <cellStyle name="Input 2 3 2 2 11 7" xfId="43500"/>
    <cellStyle name="Input 2 3 2 2 11 8" xfId="51800"/>
    <cellStyle name="Input 2 3 2 2 12" xfId="8378"/>
    <cellStyle name="Input 2 3 2 2 12 2" xfId="8379"/>
    <cellStyle name="Input 2 3 2 2 12 3" xfId="8380"/>
    <cellStyle name="Input 2 3 2 2 12 4" xfId="8381"/>
    <cellStyle name="Input 2 3 2 2 12 5" xfId="8382"/>
    <cellStyle name="Input 2 3 2 2 12 6" xfId="43501"/>
    <cellStyle name="Input 2 3 2 2 12 7" xfId="51801"/>
    <cellStyle name="Input 2 3 2 2 13" xfId="8383"/>
    <cellStyle name="Input 2 3 2 2 13 2" xfId="8384"/>
    <cellStyle name="Input 2 3 2 2 13 3" xfId="8385"/>
    <cellStyle name="Input 2 3 2 2 13 4" xfId="8386"/>
    <cellStyle name="Input 2 3 2 2 13 5" xfId="8387"/>
    <cellStyle name="Input 2 3 2 2 13 6" xfId="43502"/>
    <cellStyle name="Input 2 3 2 2 13 7" xfId="51802"/>
    <cellStyle name="Input 2 3 2 2 14" xfId="8388"/>
    <cellStyle name="Input 2 3 2 2 14 2" xfId="8389"/>
    <cellStyle name="Input 2 3 2 2 14 3" xfId="8390"/>
    <cellStyle name="Input 2 3 2 2 14 4" xfId="8391"/>
    <cellStyle name="Input 2 3 2 2 14 5" xfId="8392"/>
    <cellStyle name="Input 2 3 2 2 15" xfId="8393"/>
    <cellStyle name="Input 2 3 2 2 15 2" xfId="8394"/>
    <cellStyle name="Input 2 3 2 2 15 3" xfId="8395"/>
    <cellStyle name="Input 2 3 2 2 15 4" xfId="8396"/>
    <cellStyle name="Input 2 3 2 2 15 5" xfId="8397"/>
    <cellStyle name="Input 2 3 2 2 16" xfId="8398"/>
    <cellStyle name="Input 2 3 2 2 16 2" xfId="8399"/>
    <cellStyle name="Input 2 3 2 2 16 3" xfId="8400"/>
    <cellStyle name="Input 2 3 2 2 16 4" xfId="8401"/>
    <cellStyle name="Input 2 3 2 2 16 5" xfId="8402"/>
    <cellStyle name="Input 2 3 2 2 17" xfId="8403"/>
    <cellStyle name="Input 2 3 2 2 17 2" xfId="8404"/>
    <cellStyle name="Input 2 3 2 2 17 3" xfId="8405"/>
    <cellStyle name="Input 2 3 2 2 17 4" xfId="8406"/>
    <cellStyle name="Input 2 3 2 2 17 5" xfId="8407"/>
    <cellStyle name="Input 2 3 2 2 18" xfId="8408"/>
    <cellStyle name="Input 2 3 2 2 19" xfId="778"/>
    <cellStyle name="Input 2 3 2 2 2" xfId="561"/>
    <cellStyle name="Input 2 3 2 2 2 10" xfId="8409"/>
    <cellStyle name="Input 2 3 2 2 2 10 2" xfId="8410"/>
    <cellStyle name="Input 2 3 2 2 2 10 3" xfId="8411"/>
    <cellStyle name="Input 2 3 2 2 2 10 4" xfId="8412"/>
    <cellStyle name="Input 2 3 2 2 2 10 5" xfId="8413"/>
    <cellStyle name="Input 2 3 2 2 2 10 6" xfId="43503"/>
    <cellStyle name="Input 2 3 2 2 2 10 7" xfId="51803"/>
    <cellStyle name="Input 2 3 2 2 2 11" xfId="8414"/>
    <cellStyle name="Input 2 3 2 2 2 11 2" xfId="8415"/>
    <cellStyle name="Input 2 3 2 2 2 11 3" xfId="8416"/>
    <cellStyle name="Input 2 3 2 2 2 11 4" xfId="8417"/>
    <cellStyle name="Input 2 3 2 2 2 11 5" xfId="8418"/>
    <cellStyle name="Input 2 3 2 2 2 12" xfId="8419"/>
    <cellStyle name="Input 2 3 2 2 2 12 2" xfId="8420"/>
    <cellStyle name="Input 2 3 2 2 2 12 3" xfId="8421"/>
    <cellStyle name="Input 2 3 2 2 2 12 4" xfId="8422"/>
    <cellStyle name="Input 2 3 2 2 2 12 5" xfId="8423"/>
    <cellStyle name="Input 2 3 2 2 2 13" xfId="8424"/>
    <cellStyle name="Input 2 3 2 2 2 13 2" xfId="8425"/>
    <cellStyle name="Input 2 3 2 2 2 13 3" xfId="8426"/>
    <cellStyle name="Input 2 3 2 2 2 13 4" xfId="8427"/>
    <cellStyle name="Input 2 3 2 2 2 13 5" xfId="8428"/>
    <cellStyle name="Input 2 3 2 2 2 14" xfId="8429"/>
    <cellStyle name="Input 2 3 2 2 2 14 2" xfId="8430"/>
    <cellStyle name="Input 2 3 2 2 2 14 3" xfId="8431"/>
    <cellStyle name="Input 2 3 2 2 2 14 4" xfId="8432"/>
    <cellStyle name="Input 2 3 2 2 2 14 5" xfId="8433"/>
    <cellStyle name="Input 2 3 2 2 2 15" xfId="8434"/>
    <cellStyle name="Input 2 3 2 2 2 15 2" xfId="8435"/>
    <cellStyle name="Input 2 3 2 2 2 15 3" xfId="8436"/>
    <cellStyle name="Input 2 3 2 2 2 15 4" xfId="8437"/>
    <cellStyle name="Input 2 3 2 2 2 15 5" xfId="8438"/>
    <cellStyle name="Input 2 3 2 2 2 16" xfId="8439"/>
    <cellStyle name="Input 2 3 2 2 2 16 2" xfId="8440"/>
    <cellStyle name="Input 2 3 2 2 2 16 3" xfId="8441"/>
    <cellStyle name="Input 2 3 2 2 2 16 4" xfId="8442"/>
    <cellStyle name="Input 2 3 2 2 2 16 5" xfId="8443"/>
    <cellStyle name="Input 2 3 2 2 2 17" xfId="8444"/>
    <cellStyle name="Input 2 3 2 2 2 17 2" xfId="8445"/>
    <cellStyle name="Input 2 3 2 2 2 17 3" xfId="8446"/>
    <cellStyle name="Input 2 3 2 2 2 17 4" xfId="8447"/>
    <cellStyle name="Input 2 3 2 2 2 17 5" xfId="8448"/>
    <cellStyle name="Input 2 3 2 2 2 18" xfId="8449"/>
    <cellStyle name="Input 2 3 2 2 2 19" xfId="990"/>
    <cellStyle name="Input 2 3 2 2 2 2" xfId="1933"/>
    <cellStyle name="Input 2 3 2 2 2 2 2" xfId="8450"/>
    <cellStyle name="Input 2 3 2 2 2 2 3" xfId="8451"/>
    <cellStyle name="Input 2 3 2 2 2 2 4" xfId="8452"/>
    <cellStyle name="Input 2 3 2 2 2 2 5" xfId="8453"/>
    <cellStyle name="Input 2 3 2 2 2 2 6" xfId="36365"/>
    <cellStyle name="Input 2 3 2 2 2 2 7" xfId="43504"/>
    <cellStyle name="Input 2 3 2 2 2 2 8" xfId="51804"/>
    <cellStyle name="Input 2 3 2 2 2 20" xfId="35070"/>
    <cellStyle name="Input 2 3 2 2 2 21" xfId="41289"/>
    <cellStyle name="Input 2 3 2 2 2 3" xfId="1934"/>
    <cellStyle name="Input 2 3 2 2 2 3 2" xfId="8454"/>
    <cellStyle name="Input 2 3 2 2 2 3 3" xfId="8455"/>
    <cellStyle name="Input 2 3 2 2 2 3 4" xfId="8456"/>
    <cellStyle name="Input 2 3 2 2 2 3 5" xfId="8457"/>
    <cellStyle name="Input 2 3 2 2 2 3 6" xfId="36862"/>
    <cellStyle name="Input 2 3 2 2 2 3 7" xfId="43505"/>
    <cellStyle name="Input 2 3 2 2 2 3 8" xfId="51805"/>
    <cellStyle name="Input 2 3 2 2 2 4" xfId="1178"/>
    <cellStyle name="Input 2 3 2 2 2 4 2" xfId="8458"/>
    <cellStyle name="Input 2 3 2 2 2 4 3" xfId="8459"/>
    <cellStyle name="Input 2 3 2 2 2 4 4" xfId="8460"/>
    <cellStyle name="Input 2 3 2 2 2 4 5" xfId="8461"/>
    <cellStyle name="Input 2 3 2 2 2 4 6" xfId="37478"/>
    <cellStyle name="Input 2 3 2 2 2 4 7" xfId="43506"/>
    <cellStyle name="Input 2 3 2 2 2 4 8" xfId="51806"/>
    <cellStyle name="Input 2 3 2 2 2 5" xfId="3196"/>
    <cellStyle name="Input 2 3 2 2 2 5 2" xfId="8462"/>
    <cellStyle name="Input 2 3 2 2 2 5 3" xfId="8463"/>
    <cellStyle name="Input 2 3 2 2 2 5 4" xfId="8464"/>
    <cellStyle name="Input 2 3 2 2 2 5 5" xfId="8465"/>
    <cellStyle name="Input 2 3 2 2 2 5 6" xfId="38094"/>
    <cellStyle name="Input 2 3 2 2 2 5 7" xfId="43507"/>
    <cellStyle name="Input 2 3 2 2 2 5 8" xfId="51807"/>
    <cellStyle name="Input 2 3 2 2 2 6" xfId="3159"/>
    <cellStyle name="Input 2 3 2 2 2 6 2" xfId="8466"/>
    <cellStyle name="Input 2 3 2 2 2 6 3" xfId="8467"/>
    <cellStyle name="Input 2 3 2 2 2 6 4" xfId="8468"/>
    <cellStyle name="Input 2 3 2 2 2 6 5" xfId="8469"/>
    <cellStyle name="Input 2 3 2 2 2 6 6" xfId="38712"/>
    <cellStyle name="Input 2 3 2 2 2 6 7" xfId="43508"/>
    <cellStyle name="Input 2 3 2 2 2 6 8" xfId="51808"/>
    <cellStyle name="Input 2 3 2 2 2 7" xfId="8470"/>
    <cellStyle name="Input 2 3 2 2 2 7 2" xfId="8471"/>
    <cellStyle name="Input 2 3 2 2 2 7 3" xfId="8472"/>
    <cellStyle name="Input 2 3 2 2 2 7 4" xfId="8473"/>
    <cellStyle name="Input 2 3 2 2 2 7 5" xfId="8474"/>
    <cellStyle name="Input 2 3 2 2 2 7 6" xfId="39332"/>
    <cellStyle name="Input 2 3 2 2 2 7 7" xfId="43509"/>
    <cellStyle name="Input 2 3 2 2 2 7 8" xfId="51809"/>
    <cellStyle name="Input 2 3 2 2 2 8" xfId="8475"/>
    <cellStyle name="Input 2 3 2 2 2 8 2" xfId="8476"/>
    <cellStyle name="Input 2 3 2 2 2 8 3" xfId="8477"/>
    <cellStyle name="Input 2 3 2 2 2 8 4" xfId="8478"/>
    <cellStyle name="Input 2 3 2 2 2 8 5" xfId="8479"/>
    <cellStyle name="Input 2 3 2 2 2 8 6" xfId="39948"/>
    <cellStyle name="Input 2 3 2 2 2 8 7" xfId="43510"/>
    <cellStyle name="Input 2 3 2 2 2 8 8" xfId="51810"/>
    <cellStyle name="Input 2 3 2 2 2 9" xfId="8480"/>
    <cellStyle name="Input 2 3 2 2 2 9 2" xfId="8481"/>
    <cellStyle name="Input 2 3 2 2 2 9 3" xfId="8482"/>
    <cellStyle name="Input 2 3 2 2 2 9 4" xfId="8483"/>
    <cellStyle name="Input 2 3 2 2 2 9 5" xfId="8484"/>
    <cellStyle name="Input 2 3 2 2 2 9 6" xfId="40563"/>
    <cellStyle name="Input 2 3 2 2 2 9 7" xfId="43511"/>
    <cellStyle name="Input 2 3 2 2 2 9 8" xfId="51811"/>
    <cellStyle name="Input 2 3 2 2 20" xfId="34933"/>
    <cellStyle name="Input 2 3 2 2 21" xfId="40862"/>
    <cellStyle name="Input 2 3 2 2 22" xfId="41423"/>
    <cellStyle name="Input 2 3 2 2 23" xfId="50510"/>
    <cellStyle name="Input 2 3 2 2 3" xfId="1935"/>
    <cellStyle name="Input 2 3 2 2 3 10" xfId="34786"/>
    <cellStyle name="Input 2 3 2 2 3 11" xfId="41077"/>
    <cellStyle name="Input 2 3 2 2 3 12" xfId="43512"/>
    <cellStyle name="Input 2 3 2 2 3 13" xfId="51812"/>
    <cellStyle name="Input 2 3 2 2 3 2" xfId="1936"/>
    <cellStyle name="Input 2 3 2 2 3 2 2" xfId="36154"/>
    <cellStyle name="Input 2 3 2 2 3 2 3" xfId="43513"/>
    <cellStyle name="Input 2 3 2 2 3 2 4" xfId="51813"/>
    <cellStyle name="Input 2 3 2 2 3 3" xfId="1937"/>
    <cellStyle name="Input 2 3 2 2 3 3 2" xfId="36651"/>
    <cellStyle name="Input 2 3 2 2 3 3 3" xfId="43514"/>
    <cellStyle name="Input 2 3 2 2 3 3 4" xfId="51814"/>
    <cellStyle name="Input 2 3 2 2 3 4" xfId="8485"/>
    <cellStyle name="Input 2 3 2 2 3 4 2" xfId="37267"/>
    <cellStyle name="Input 2 3 2 2 3 4 3" xfId="43515"/>
    <cellStyle name="Input 2 3 2 2 3 4 4" xfId="51815"/>
    <cellStyle name="Input 2 3 2 2 3 5" xfId="8486"/>
    <cellStyle name="Input 2 3 2 2 3 5 2" xfId="37883"/>
    <cellStyle name="Input 2 3 2 2 3 5 3" xfId="43516"/>
    <cellStyle name="Input 2 3 2 2 3 5 4" xfId="51816"/>
    <cellStyle name="Input 2 3 2 2 3 6" xfId="38500"/>
    <cellStyle name="Input 2 3 2 2 3 6 2" xfId="43517"/>
    <cellStyle name="Input 2 3 2 2 3 6 3" xfId="51817"/>
    <cellStyle name="Input 2 3 2 2 3 7" xfId="39120"/>
    <cellStyle name="Input 2 3 2 2 3 7 2" xfId="43518"/>
    <cellStyle name="Input 2 3 2 2 3 7 3" xfId="51818"/>
    <cellStyle name="Input 2 3 2 2 3 8" xfId="39736"/>
    <cellStyle name="Input 2 3 2 2 3 8 2" xfId="43519"/>
    <cellStyle name="Input 2 3 2 2 3 8 3" xfId="51819"/>
    <cellStyle name="Input 2 3 2 2 3 9" xfId="40351"/>
    <cellStyle name="Input 2 3 2 2 3 9 2" xfId="43520"/>
    <cellStyle name="Input 2 3 2 2 3 9 3" xfId="51820"/>
    <cellStyle name="Input 2 3 2 2 4" xfId="1938"/>
    <cellStyle name="Input 2 3 2 2 4 10" xfId="43521"/>
    <cellStyle name="Input 2 3 2 2 4 11" xfId="51821"/>
    <cellStyle name="Input 2 3 2 2 4 2" xfId="8487"/>
    <cellStyle name="Input 2 3 2 2 4 2 2" xfId="43522"/>
    <cellStyle name="Input 2 3 2 2 4 2 3" xfId="51822"/>
    <cellStyle name="Input 2 3 2 2 4 3" xfId="8488"/>
    <cellStyle name="Input 2 3 2 2 4 3 2" xfId="43523"/>
    <cellStyle name="Input 2 3 2 2 4 3 3" xfId="51823"/>
    <cellStyle name="Input 2 3 2 2 4 4" xfId="8489"/>
    <cellStyle name="Input 2 3 2 2 4 4 2" xfId="43524"/>
    <cellStyle name="Input 2 3 2 2 4 4 3" xfId="51824"/>
    <cellStyle name="Input 2 3 2 2 4 5" xfId="8490"/>
    <cellStyle name="Input 2 3 2 2 4 5 2" xfId="43525"/>
    <cellStyle name="Input 2 3 2 2 4 5 3" xfId="51825"/>
    <cellStyle name="Input 2 3 2 2 4 6" xfId="35684"/>
    <cellStyle name="Input 2 3 2 2 4 6 2" xfId="43526"/>
    <cellStyle name="Input 2 3 2 2 4 6 3" xfId="51826"/>
    <cellStyle name="Input 2 3 2 2 4 7" xfId="43527"/>
    <cellStyle name="Input 2 3 2 2 4 7 2" xfId="51827"/>
    <cellStyle name="Input 2 3 2 2 4 8" xfId="43528"/>
    <cellStyle name="Input 2 3 2 2 4 8 2" xfId="51828"/>
    <cellStyle name="Input 2 3 2 2 4 9" xfId="43529"/>
    <cellStyle name="Input 2 3 2 2 4 9 2" xfId="51829"/>
    <cellStyle name="Input 2 3 2 2 5" xfId="1177"/>
    <cellStyle name="Input 2 3 2 2 5 2" xfId="8491"/>
    <cellStyle name="Input 2 3 2 2 5 3" xfId="8492"/>
    <cellStyle name="Input 2 3 2 2 5 4" xfId="8493"/>
    <cellStyle name="Input 2 3 2 2 5 5" xfId="8494"/>
    <cellStyle name="Input 2 3 2 2 5 6" xfId="35785"/>
    <cellStyle name="Input 2 3 2 2 5 7" xfId="43530"/>
    <cellStyle name="Input 2 3 2 2 5 8" xfId="51830"/>
    <cellStyle name="Input 2 3 2 2 6" xfId="3195"/>
    <cellStyle name="Input 2 3 2 2 6 2" xfId="8495"/>
    <cellStyle name="Input 2 3 2 2 6 3" xfId="8496"/>
    <cellStyle name="Input 2 3 2 2 6 4" xfId="8497"/>
    <cellStyle name="Input 2 3 2 2 6 5" xfId="8498"/>
    <cellStyle name="Input 2 3 2 2 6 6" xfId="37052"/>
    <cellStyle name="Input 2 3 2 2 6 7" xfId="43531"/>
    <cellStyle name="Input 2 3 2 2 6 8" xfId="51831"/>
    <cellStyle name="Input 2 3 2 2 7" xfId="3160"/>
    <cellStyle name="Input 2 3 2 2 7 2" xfId="8499"/>
    <cellStyle name="Input 2 3 2 2 7 3" xfId="8500"/>
    <cellStyle name="Input 2 3 2 2 7 4" xfId="8501"/>
    <cellStyle name="Input 2 3 2 2 7 5" xfId="8502"/>
    <cellStyle name="Input 2 3 2 2 7 6" xfId="37666"/>
    <cellStyle name="Input 2 3 2 2 7 7" xfId="43532"/>
    <cellStyle name="Input 2 3 2 2 7 8" xfId="51832"/>
    <cellStyle name="Input 2 3 2 2 8" xfId="8503"/>
    <cellStyle name="Input 2 3 2 2 8 2" xfId="8504"/>
    <cellStyle name="Input 2 3 2 2 8 3" xfId="8505"/>
    <cellStyle name="Input 2 3 2 2 8 4" xfId="8506"/>
    <cellStyle name="Input 2 3 2 2 8 5" xfId="8507"/>
    <cellStyle name="Input 2 3 2 2 8 6" xfId="38281"/>
    <cellStyle name="Input 2 3 2 2 8 7" xfId="43533"/>
    <cellStyle name="Input 2 3 2 2 8 8" xfId="51833"/>
    <cellStyle name="Input 2 3 2 2 9" xfId="8508"/>
    <cellStyle name="Input 2 3 2 2 9 2" xfId="8509"/>
    <cellStyle name="Input 2 3 2 2 9 3" xfId="8510"/>
    <cellStyle name="Input 2 3 2 2 9 4" xfId="8511"/>
    <cellStyle name="Input 2 3 2 2 9 5" xfId="8512"/>
    <cellStyle name="Input 2 3 2 2 9 6" xfId="38901"/>
    <cellStyle name="Input 2 3 2 2 9 7" xfId="43534"/>
    <cellStyle name="Input 2 3 2 2 9 8" xfId="51834"/>
    <cellStyle name="Input 2 3 2 3" xfId="506"/>
    <cellStyle name="Input 2 3 2 3 10" xfId="8513"/>
    <cellStyle name="Input 2 3 2 3 10 2" xfId="8514"/>
    <cellStyle name="Input 2 3 2 3 10 3" xfId="8515"/>
    <cellStyle name="Input 2 3 2 3 10 4" xfId="8516"/>
    <cellStyle name="Input 2 3 2 3 10 5" xfId="8517"/>
    <cellStyle name="Input 2 3 2 3 10 6" xfId="43535"/>
    <cellStyle name="Input 2 3 2 3 10 7" xfId="51835"/>
    <cellStyle name="Input 2 3 2 3 11" xfId="8518"/>
    <cellStyle name="Input 2 3 2 3 11 2" xfId="8519"/>
    <cellStyle name="Input 2 3 2 3 11 3" xfId="8520"/>
    <cellStyle name="Input 2 3 2 3 11 4" xfId="8521"/>
    <cellStyle name="Input 2 3 2 3 11 5" xfId="8522"/>
    <cellStyle name="Input 2 3 2 3 12" xfId="8523"/>
    <cellStyle name="Input 2 3 2 3 12 2" xfId="8524"/>
    <cellStyle name="Input 2 3 2 3 12 3" xfId="8525"/>
    <cellStyle name="Input 2 3 2 3 12 4" xfId="8526"/>
    <cellStyle name="Input 2 3 2 3 12 5" xfId="8527"/>
    <cellStyle name="Input 2 3 2 3 13" xfId="8528"/>
    <cellStyle name="Input 2 3 2 3 13 2" xfId="8529"/>
    <cellStyle name="Input 2 3 2 3 13 3" xfId="8530"/>
    <cellStyle name="Input 2 3 2 3 13 4" xfId="8531"/>
    <cellStyle name="Input 2 3 2 3 13 5" xfId="8532"/>
    <cellStyle name="Input 2 3 2 3 14" xfId="8533"/>
    <cellStyle name="Input 2 3 2 3 14 2" xfId="8534"/>
    <cellStyle name="Input 2 3 2 3 14 3" xfId="8535"/>
    <cellStyle name="Input 2 3 2 3 14 4" xfId="8536"/>
    <cellStyle name="Input 2 3 2 3 14 5" xfId="8537"/>
    <cellStyle name="Input 2 3 2 3 15" xfId="8538"/>
    <cellStyle name="Input 2 3 2 3 15 2" xfId="8539"/>
    <cellStyle name="Input 2 3 2 3 15 3" xfId="8540"/>
    <cellStyle name="Input 2 3 2 3 15 4" xfId="8541"/>
    <cellStyle name="Input 2 3 2 3 15 5" xfId="8542"/>
    <cellStyle name="Input 2 3 2 3 16" xfId="8543"/>
    <cellStyle name="Input 2 3 2 3 16 2" xfId="8544"/>
    <cellStyle name="Input 2 3 2 3 16 3" xfId="8545"/>
    <cellStyle name="Input 2 3 2 3 16 4" xfId="8546"/>
    <cellStyle name="Input 2 3 2 3 16 5" xfId="8547"/>
    <cellStyle name="Input 2 3 2 3 17" xfId="8548"/>
    <cellStyle name="Input 2 3 2 3 17 2" xfId="8549"/>
    <cellStyle name="Input 2 3 2 3 17 3" xfId="8550"/>
    <cellStyle name="Input 2 3 2 3 17 4" xfId="8551"/>
    <cellStyle name="Input 2 3 2 3 17 5" xfId="8552"/>
    <cellStyle name="Input 2 3 2 3 18" xfId="8553"/>
    <cellStyle name="Input 2 3 2 3 19" xfId="935"/>
    <cellStyle name="Input 2 3 2 3 2" xfId="1939"/>
    <cellStyle name="Input 2 3 2 3 2 2" xfId="1940"/>
    <cellStyle name="Input 2 3 2 3 2 3" xfId="1941"/>
    <cellStyle name="Input 2 3 2 3 2 4" xfId="8554"/>
    <cellStyle name="Input 2 3 2 3 2 5" xfId="8555"/>
    <cellStyle name="Input 2 3 2 3 2 6" xfId="36310"/>
    <cellStyle name="Input 2 3 2 3 2 7" xfId="43536"/>
    <cellStyle name="Input 2 3 2 3 2 8" xfId="51836"/>
    <cellStyle name="Input 2 3 2 3 20" xfId="35015"/>
    <cellStyle name="Input 2 3 2 3 21" xfId="40724"/>
    <cellStyle name="Input 2 3 2 3 22" xfId="41234"/>
    <cellStyle name="Input 2 3 2 3 3" xfId="1942"/>
    <cellStyle name="Input 2 3 2 3 3 2" xfId="8556"/>
    <cellStyle name="Input 2 3 2 3 3 3" xfId="8557"/>
    <cellStyle name="Input 2 3 2 3 3 4" xfId="8558"/>
    <cellStyle name="Input 2 3 2 3 3 5" xfId="8559"/>
    <cellStyle name="Input 2 3 2 3 3 6" xfId="36807"/>
    <cellStyle name="Input 2 3 2 3 3 7" xfId="43537"/>
    <cellStyle name="Input 2 3 2 3 3 8" xfId="51837"/>
    <cellStyle name="Input 2 3 2 3 4" xfId="1179"/>
    <cellStyle name="Input 2 3 2 3 4 2" xfId="8560"/>
    <cellStyle name="Input 2 3 2 3 4 3" xfId="8561"/>
    <cellStyle name="Input 2 3 2 3 4 4" xfId="8562"/>
    <cellStyle name="Input 2 3 2 3 4 5" xfId="8563"/>
    <cellStyle name="Input 2 3 2 3 4 6" xfId="37423"/>
    <cellStyle name="Input 2 3 2 3 4 7" xfId="43538"/>
    <cellStyle name="Input 2 3 2 3 4 8" xfId="51838"/>
    <cellStyle name="Input 2 3 2 3 5" xfId="3197"/>
    <cellStyle name="Input 2 3 2 3 5 2" xfId="8564"/>
    <cellStyle name="Input 2 3 2 3 5 3" xfId="8565"/>
    <cellStyle name="Input 2 3 2 3 5 4" xfId="8566"/>
    <cellStyle name="Input 2 3 2 3 5 5" xfId="8567"/>
    <cellStyle name="Input 2 3 2 3 5 6" xfId="38039"/>
    <cellStyle name="Input 2 3 2 3 5 7" xfId="43539"/>
    <cellStyle name="Input 2 3 2 3 5 8" xfId="51839"/>
    <cellStyle name="Input 2 3 2 3 6" xfId="3158"/>
    <cellStyle name="Input 2 3 2 3 6 2" xfId="8568"/>
    <cellStyle name="Input 2 3 2 3 6 3" xfId="8569"/>
    <cellStyle name="Input 2 3 2 3 6 4" xfId="8570"/>
    <cellStyle name="Input 2 3 2 3 6 5" xfId="8571"/>
    <cellStyle name="Input 2 3 2 3 6 6" xfId="38657"/>
    <cellStyle name="Input 2 3 2 3 6 7" xfId="43540"/>
    <cellStyle name="Input 2 3 2 3 6 8" xfId="51840"/>
    <cellStyle name="Input 2 3 2 3 7" xfId="8572"/>
    <cellStyle name="Input 2 3 2 3 7 2" xfId="8573"/>
    <cellStyle name="Input 2 3 2 3 7 3" xfId="8574"/>
    <cellStyle name="Input 2 3 2 3 7 4" xfId="8575"/>
    <cellStyle name="Input 2 3 2 3 7 5" xfId="8576"/>
    <cellStyle name="Input 2 3 2 3 7 6" xfId="39277"/>
    <cellStyle name="Input 2 3 2 3 7 7" xfId="43541"/>
    <cellStyle name="Input 2 3 2 3 7 8" xfId="51841"/>
    <cellStyle name="Input 2 3 2 3 8" xfId="8577"/>
    <cellStyle name="Input 2 3 2 3 8 2" xfId="8578"/>
    <cellStyle name="Input 2 3 2 3 8 3" xfId="8579"/>
    <cellStyle name="Input 2 3 2 3 8 4" xfId="8580"/>
    <cellStyle name="Input 2 3 2 3 8 5" xfId="8581"/>
    <cellStyle name="Input 2 3 2 3 8 6" xfId="39893"/>
    <cellStyle name="Input 2 3 2 3 8 7" xfId="43542"/>
    <cellStyle name="Input 2 3 2 3 8 8" xfId="51842"/>
    <cellStyle name="Input 2 3 2 3 9" xfId="8582"/>
    <cellStyle name="Input 2 3 2 3 9 2" xfId="8583"/>
    <cellStyle name="Input 2 3 2 3 9 3" xfId="8584"/>
    <cellStyle name="Input 2 3 2 3 9 4" xfId="8585"/>
    <cellStyle name="Input 2 3 2 3 9 5" xfId="8586"/>
    <cellStyle name="Input 2 3 2 3 9 6" xfId="40508"/>
    <cellStyle name="Input 2 3 2 3 9 7" xfId="43543"/>
    <cellStyle name="Input 2 3 2 3 9 8" xfId="51843"/>
    <cellStyle name="Input 2 3 2 4" xfId="1943"/>
    <cellStyle name="Input 2 3 2 4 10" xfId="34865"/>
    <cellStyle name="Input 2 3 2 4 11" xfId="41020"/>
    <cellStyle name="Input 2 3 2 4 12" xfId="43544"/>
    <cellStyle name="Input 2 3 2 4 13" xfId="51844"/>
    <cellStyle name="Input 2 3 2 4 2" xfId="1944"/>
    <cellStyle name="Input 2 3 2 4 2 2" xfId="36097"/>
    <cellStyle name="Input 2 3 2 4 2 3" xfId="43545"/>
    <cellStyle name="Input 2 3 2 4 2 4" xfId="51845"/>
    <cellStyle name="Input 2 3 2 4 3" xfId="1945"/>
    <cellStyle name="Input 2 3 2 4 3 2" xfId="36596"/>
    <cellStyle name="Input 2 3 2 4 3 3" xfId="43546"/>
    <cellStyle name="Input 2 3 2 4 3 4" xfId="51846"/>
    <cellStyle name="Input 2 3 2 4 4" xfId="8587"/>
    <cellStyle name="Input 2 3 2 4 4 2" xfId="37212"/>
    <cellStyle name="Input 2 3 2 4 4 3" xfId="43547"/>
    <cellStyle name="Input 2 3 2 4 4 4" xfId="51847"/>
    <cellStyle name="Input 2 3 2 4 5" xfId="8588"/>
    <cellStyle name="Input 2 3 2 4 5 2" xfId="37828"/>
    <cellStyle name="Input 2 3 2 4 5 3" xfId="43548"/>
    <cellStyle name="Input 2 3 2 4 5 4" xfId="51848"/>
    <cellStyle name="Input 2 3 2 4 6" xfId="38443"/>
    <cellStyle name="Input 2 3 2 4 6 2" xfId="43549"/>
    <cellStyle name="Input 2 3 2 4 6 3" xfId="51849"/>
    <cellStyle name="Input 2 3 2 4 7" xfId="39063"/>
    <cellStyle name="Input 2 3 2 4 7 2" xfId="43550"/>
    <cellStyle name="Input 2 3 2 4 7 3" xfId="51850"/>
    <cellStyle name="Input 2 3 2 4 8" xfId="39679"/>
    <cellStyle name="Input 2 3 2 4 8 2" xfId="43551"/>
    <cellStyle name="Input 2 3 2 4 8 3" xfId="51851"/>
    <cellStyle name="Input 2 3 2 4 9" xfId="40294"/>
    <cellStyle name="Input 2 3 2 4 9 2" xfId="43552"/>
    <cellStyle name="Input 2 3 2 4 9 3" xfId="51852"/>
    <cellStyle name="Input 2 3 2 5" xfId="1946"/>
    <cellStyle name="Input 2 3 2 5 10" xfId="43553"/>
    <cellStyle name="Input 2 3 2 5 11" xfId="51853"/>
    <cellStyle name="Input 2 3 2 5 2" xfId="1947"/>
    <cellStyle name="Input 2 3 2 5 2 2" xfId="43554"/>
    <cellStyle name="Input 2 3 2 5 2 3" xfId="51854"/>
    <cellStyle name="Input 2 3 2 5 3" xfId="1948"/>
    <cellStyle name="Input 2 3 2 5 3 2" xfId="43555"/>
    <cellStyle name="Input 2 3 2 5 3 3" xfId="51855"/>
    <cellStyle name="Input 2 3 2 5 4" xfId="8589"/>
    <cellStyle name="Input 2 3 2 5 4 2" xfId="43556"/>
    <cellStyle name="Input 2 3 2 5 4 3" xfId="51856"/>
    <cellStyle name="Input 2 3 2 5 5" xfId="8590"/>
    <cellStyle name="Input 2 3 2 5 5 2" xfId="43557"/>
    <cellStyle name="Input 2 3 2 5 5 3" xfId="51857"/>
    <cellStyle name="Input 2 3 2 5 6" xfId="35415"/>
    <cellStyle name="Input 2 3 2 5 6 2" xfId="43558"/>
    <cellStyle name="Input 2 3 2 5 6 3" xfId="51858"/>
    <cellStyle name="Input 2 3 2 5 7" xfId="43559"/>
    <cellStyle name="Input 2 3 2 5 7 2" xfId="51859"/>
    <cellStyle name="Input 2 3 2 5 8" xfId="43560"/>
    <cellStyle name="Input 2 3 2 5 8 2" xfId="51860"/>
    <cellStyle name="Input 2 3 2 5 9" xfId="43561"/>
    <cellStyle name="Input 2 3 2 5 9 2" xfId="51861"/>
    <cellStyle name="Input 2 3 2 6" xfId="1176"/>
    <cellStyle name="Input 2 3 2 6 2" xfId="8591"/>
    <cellStyle name="Input 2 3 2 6 3" xfId="8592"/>
    <cellStyle name="Input 2 3 2 6 4" xfId="8593"/>
    <cellStyle name="Input 2 3 2 6 5" xfId="8594"/>
    <cellStyle name="Input 2 3 2 6 6" xfId="35947"/>
    <cellStyle name="Input 2 3 2 6 7" xfId="43562"/>
    <cellStyle name="Input 2 3 2 6 8" xfId="51862"/>
    <cellStyle name="Input 2 3 2 7" xfId="3194"/>
    <cellStyle name="Input 2 3 2 7 2" xfId="8595"/>
    <cellStyle name="Input 2 3 2 7 3" xfId="8596"/>
    <cellStyle name="Input 2 3 2 7 4" xfId="8597"/>
    <cellStyle name="Input 2 3 2 7 5" xfId="8598"/>
    <cellStyle name="Input 2 3 2 7 6" xfId="36010"/>
    <cellStyle name="Input 2 3 2 7 7" xfId="43563"/>
    <cellStyle name="Input 2 3 2 7 8" xfId="51863"/>
    <cellStyle name="Input 2 3 2 8" xfId="3161"/>
    <cellStyle name="Input 2 3 2 8 2" xfId="8599"/>
    <cellStyle name="Input 2 3 2 8 3" xfId="8600"/>
    <cellStyle name="Input 2 3 2 8 4" xfId="8601"/>
    <cellStyle name="Input 2 3 2 8 5" xfId="8602"/>
    <cellStyle name="Input 2 3 2 8 6" xfId="36992"/>
    <cellStyle name="Input 2 3 2 8 7" xfId="43564"/>
    <cellStyle name="Input 2 3 2 8 8" xfId="51864"/>
    <cellStyle name="Input 2 3 2 9" xfId="8603"/>
    <cellStyle name="Input 2 3 2 9 2" xfId="8604"/>
    <cellStyle name="Input 2 3 2 9 3" xfId="8605"/>
    <cellStyle name="Input 2 3 2 9 4" xfId="8606"/>
    <cellStyle name="Input 2 3 2 9 5" xfId="8607"/>
    <cellStyle name="Input 2 3 2 9 6" xfId="37604"/>
    <cellStyle name="Input 2 3 2 9 7" xfId="43565"/>
    <cellStyle name="Input 2 3 2 9 8" xfId="51865"/>
    <cellStyle name="Input 2 3 20" xfId="34850"/>
    <cellStyle name="Input 2 3 21" xfId="40777"/>
    <cellStyle name="Input 2 3 3" xfId="277"/>
    <cellStyle name="Input 2 3 3 10" xfId="8608"/>
    <cellStyle name="Input 2 3 3 10 2" xfId="8609"/>
    <cellStyle name="Input 2 3 3 10 3" xfId="8610"/>
    <cellStyle name="Input 2 3 3 10 4" xfId="8611"/>
    <cellStyle name="Input 2 3 3 10 5" xfId="8612"/>
    <cellStyle name="Input 2 3 3 10 6" xfId="38222"/>
    <cellStyle name="Input 2 3 3 10 7" xfId="43566"/>
    <cellStyle name="Input 2 3 3 10 8" xfId="51866"/>
    <cellStyle name="Input 2 3 3 11" xfId="8613"/>
    <cellStyle name="Input 2 3 3 11 2" xfId="8614"/>
    <cellStyle name="Input 2 3 3 11 3" xfId="8615"/>
    <cellStyle name="Input 2 3 3 11 4" xfId="8616"/>
    <cellStyle name="Input 2 3 3 11 5" xfId="8617"/>
    <cellStyle name="Input 2 3 3 11 6" xfId="38844"/>
    <cellStyle name="Input 2 3 3 11 7" xfId="43567"/>
    <cellStyle name="Input 2 3 3 11 8" xfId="51867"/>
    <cellStyle name="Input 2 3 3 12" xfId="8618"/>
    <cellStyle name="Input 2 3 3 12 2" xfId="8619"/>
    <cellStyle name="Input 2 3 3 12 3" xfId="8620"/>
    <cellStyle name="Input 2 3 3 12 4" xfId="8621"/>
    <cellStyle name="Input 2 3 3 12 5" xfId="8622"/>
    <cellStyle name="Input 2 3 3 12 6" xfId="39464"/>
    <cellStyle name="Input 2 3 3 12 7" xfId="43568"/>
    <cellStyle name="Input 2 3 3 12 8" xfId="51868"/>
    <cellStyle name="Input 2 3 3 13" xfId="8623"/>
    <cellStyle name="Input 2 3 3 13 2" xfId="8624"/>
    <cellStyle name="Input 2 3 3 13 3" xfId="8625"/>
    <cellStyle name="Input 2 3 3 13 4" xfId="8626"/>
    <cellStyle name="Input 2 3 3 13 5" xfId="8627"/>
    <cellStyle name="Input 2 3 3 13 6" xfId="40082"/>
    <cellStyle name="Input 2 3 3 13 7" xfId="43569"/>
    <cellStyle name="Input 2 3 3 13 8" xfId="51869"/>
    <cellStyle name="Input 2 3 3 14" xfId="8628"/>
    <cellStyle name="Input 2 3 3 14 2" xfId="8629"/>
    <cellStyle name="Input 2 3 3 14 3" xfId="8630"/>
    <cellStyle name="Input 2 3 3 14 4" xfId="8631"/>
    <cellStyle name="Input 2 3 3 14 5" xfId="8632"/>
    <cellStyle name="Input 2 3 3 14 6" xfId="43570"/>
    <cellStyle name="Input 2 3 3 14 7" xfId="51870"/>
    <cellStyle name="Input 2 3 3 15" xfId="8633"/>
    <cellStyle name="Input 2 3 3 15 2" xfId="8634"/>
    <cellStyle name="Input 2 3 3 15 3" xfId="8635"/>
    <cellStyle name="Input 2 3 3 15 4" xfId="8636"/>
    <cellStyle name="Input 2 3 3 15 5" xfId="8637"/>
    <cellStyle name="Input 2 3 3 16" xfId="8638"/>
    <cellStyle name="Input 2 3 3 17" xfId="722"/>
    <cellStyle name="Input 2 3 3 18" xfId="34771"/>
    <cellStyle name="Input 2 3 3 19" xfId="40806"/>
    <cellStyle name="Input 2 3 3 2" xfId="343"/>
    <cellStyle name="Input 2 3 3 2 10" xfId="8639"/>
    <cellStyle name="Input 2 3 3 2 10 2" xfId="8640"/>
    <cellStyle name="Input 2 3 3 2 10 3" xfId="8641"/>
    <cellStyle name="Input 2 3 3 2 10 4" xfId="8642"/>
    <cellStyle name="Input 2 3 3 2 10 5" xfId="8643"/>
    <cellStyle name="Input 2 3 3 2 10 6" xfId="39521"/>
    <cellStyle name="Input 2 3 3 2 10 7" xfId="43571"/>
    <cellStyle name="Input 2 3 3 2 10 8" xfId="51871"/>
    <cellStyle name="Input 2 3 3 2 11" xfId="8644"/>
    <cellStyle name="Input 2 3 3 2 11 2" xfId="8645"/>
    <cellStyle name="Input 2 3 3 2 11 3" xfId="8646"/>
    <cellStyle name="Input 2 3 3 2 11 4" xfId="8647"/>
    <cellStyle name="Input 2 3 3 2 11 5" xfId="8648"/>
    <cellStyle name="Input 2 3 3 2 11 6" xfId="40137"/>
    <cellStyle name="Input 2 3 3 2 11 7" xfId="43572"/>
    <cellStyle name="Input 2 3 3 2 11 8" xfId="51872"/>
    <cellStyle name="Input 2 3 3 2 12" xfId="8649"/>
    <cellStyle name="Input 2 3 3 2 12 2" xfId="8650"/>
    <cellStyle name="Input 2 3 3 2 12 3" xfId="8651"/>
    <cellStyle name="Input 2 3 3 2 12 4" xfId="8652"/>
    <cellStyle name="Input 2 3 3 2 12 5" xfId="8653"/>
    <cellStyle name="Input 2 3 3 2 12 6" xfId="43573"/>
    <cellStyle name="Input 2 3 3 2 12 7" xfId="51873"/>
    <cellStyle name="Input 2 3 3 2 13" xfId="8654"/>
    <cellStyle name="Input 2 3 3 2 13 2" xfId="8655"/>
    <cellStyle name="Input 2 3 3 2 13 3" xfId="8656"/>
    <cellStyle name="Input 2 3 3 2 13 4" xfId="8657"/>
    <cellStyle name="Input 2 3 3 2 13 5" xfId="8658"/>
    <cellStyle name="Input 2 3 3 2 13 6" xfId="43574"/>
    <cellStyle name="Input 2 3 3 2 13 7" xfId="51874"/>
    <cellStyle name="Input 2 3 3 2 14" xfId="8659"/>
    <cellStyle name="Input 2 3 3 2 14 2" xfId="8660"/>
    <cellStyle name="Input 2 3 3 2 14 3" xfId="8661"/>
    <cellStyle name="Input 2 3 3 2 14 4" xfId="8662"/>
    <cellStyle name="Input 2 3 3 2 14 5" xfId="8663"/>
    <cellStyle name="Input 2 3 3 2 15" xfId="8664"/>
    <cellStyle name="Input 2 3 3 2 15 2" xfId="8665"/>
    <cellStyle name="Input 2 3 3 2 15 3" xfId="8666"/>
    <cellStyle name="Input 2 3 3 2 15 4" xfId="8667"/>
    <cellStyle name="Input 2 3 3 2 15 5" xfId="8668"/>
    <cellStyle name="Input 2 3 3 2 16" xfId="8669"/>
    <cellStyle name="Input 2 3 3 2 16 2" xfId="8670"/>
    <cellStyle name="Input 2 3 3 2 16 3" xfId="8671"/>
    <cellStyle name="Input 2 3 3 2 16 4" xfId="8672"/>
    <cellStyle name="Input 2 3 3 2 16 5" xfId="8673"/>
    <cellStyle name="Input 2 3 3 2 17" xfId="8674"/>
    <cellStyle name="Input 2 3 3 2 17 2" xfId="8675"/>
    <cellStyle name="Input 2 3 3 2 17 3" xfId="8676"/>
    <cellStyle name="Input 2 3 3 2 17 4" xfId="8677"/>
    <cellStyle name="Input 2 3 3 2 17 5" xfId="8678"/>
    <cellStyle name="Input 2 3 3 2 18" xfId="8679"/>
    <cellStyle name="Input 2 3 3 2 19" xfId="779"/>
    <cellStyle name="Input 2 3 3 2 2" xfId="562"/>
    <cellStyle name="Input 2 3 3 2 2 10" xfId="8680"/>
    <cellStyle name="Input 2 3 3 2 2 10 2" xfId="8681"/>
    <cellStyle name="Input 2 3 3 2 2 10 3" xfId="8682"/>
    <cellStyle name="Input 2 3 3 2 2 10 4" xfId="8683"/>
    <cellStyle name="Input 2 3 3 2 2 10 5" xfId="8684"/>
    <cellStyle name="Input 2 3 3 2 2 10 6" xfId="43575"/>
    <cellStyle name="Input 2 3 3 2 2 10 7" xfId="51875"/>
    <cellStyle name="Input 2 3 3 2 2 11" xfId="8685"/>
    <cellStyle name="Input 2 3 3 2 2 11 2" xfId="8686"/>
    <cellStyle name="Input 2 3 3 2 2 11 3" xfId="8687"/>
    <cellStyle name="Input 2 3 3 2 2 11 4" xfId="8688"/>
    <cellStyle name="Input 2 3 3 2 2 11 5" xfId="8689"/>
    <cellStyle name="Input 2 3 3 2 2 12" xfId="8690"/>
    <cellStyle name="Input 2 3 3 2 2 12 2" xfId="8691"/>
    <cellStyle name="Input 2 3 3 2 2 12 3" xfId="8692"/>
    <cellStyle name="Input 2 3 3 2 2 12 4" xfId="8693"/>
    <cellStyle name="Input 2 3 3 2 2 12 5" xfId="8694"/>
    <cellStyle name="Input 2 3 3 2 2 13" xfId="8695"/>
    <cellStyle name="Input 2 3 3 2 2 13 2" xfId="8696"/>
    <cellStyle name="Input 2 3 3 2 2 13 3" xfId="8697"/>
    <cellStyle name="Input 2 3 3 2 2 13 4" xfId="8698"/>
    <cellStyle name="Input 2 3 3 2 2 13 5" xfId="8699"/>
    <cellStyle name="Input 2 3 3 2 2 14" xfId="8700"/>
    <cellStyle name="Input 2 3 3 2 2 14 2" xfId="8701"/>
    <cellStyle name="Input 2 3 3 2 2 14 3" xfId="8702"/>
    <cellStyle name="Input 2 3 3 2 2 14 4" xfId="8703"/>
    <cellStyle name="Input 2 3 3 2 2 14 5" xfId="8704"/>
    <cellStyle name="Input 2 3 3 2 2 15" xfId="8705"/>
    <cellStyle name="Input 2 3 3 2 2 15 2" xfId="8706"/>
    <cellStyle name="Input 2 3 3 2 2 15 3" xfId="8707"/>
    <cellStyle name="Input 2 3 3 2 2 15 4" xfId="8708"/>
    <cellStyle name="Input 2 3 3 2 2 15 5" xfId="8709"/>
    <cellStyle name="Input 2 3 3 2 2 16" xfId="8710"/>
    <cellStyle name="Input 2 3 3 2 2 16 2" xfId="8711"/>
    <cellStyle name="Input 2 3 3 2 2 16 3" xfId="8712"/>
    <cellStyle name="Input 2 3 3 2 2 16 4" xfId="8713"/>
    <cellStyle name="Input 2 3 3 2 2 16 5" xfId="8714"/>
    <cellStyle name="Input 2 3 3 2 2 17" xfId="8715"/>
    <cellStyle name="Input 2 3 3 2 2 17 2" xfId="8716"/>
    <cellStyle name="Input 2 3 3 2 2 17 3" xfId="8717"/>
    <cellStyle name="Input 2 3 3 2 2 17 4" xfId="8718"/>
    <cellStyle name="Input 2 3 3 2 2 17 5" xfId="8719"/>
    <cellStyle name="Input 2 3 3 2 2 18" xfId="8720"/>
    <cellStyle name="Input 2 3 3 2 2 19" xfId="991"/>
    <cellStyle name="Input 2 3 3 2 2 2" xfId="1949"/>
    <cellStyle name="Input 2 3 3 2 2 2 2" xfId="8721"/>
    <cellStyle name="Input 2 3 3 2 2 2 3" xfId="8722"/>
    <cellStyle name="Input 2 3 3 2 2 2 4" xfId="8723"/>
    <cellStyle name="Input 2 3 3 2 2 2 5" xfId="8724"/>
    <cellStyle name="Input 2 3 3 2 2 2 6" xfId="36366"/>
    <cellStyle name="Input 2 3 3 2 2 2 7" xfId="43576"/>
    <cellStyle name="Input 2 3 3 2 2 2 8" xfId="51876"/>
    <cellStyle name="Input 2 3 3 2 2 20" xfId="35071"/>
    <cellStyle name="Input 2 3 3 2 2 21" xfId="41290"/>
    <cellStyle name="Input 2 3 3 2 2 3" xfId="1950"/>
    <cellStyle name="Input 2 3 3 2 2 3 2" xfId="8725"/>
    <cellStyle name="Input 2 3 3 2 2 3 3" xfId="8726"/>
    <cellStyle name="Input 2 3 3 2 2 3 4" xfId="8727"/>
    <cellStyle name="Input 2 3 3 2 2 3 5" xfId="8728"/>
    <cellStyle name="Input 2 3 3 2 2 3 6" xfId="36863"/>
    <cellStyle name="Input 2 3 3 2 2 3 7" xfId="43577"/>
    <cellStyle name="Input 2 3 3 2 2 3 8" xfId="51877"/>
    <cellStyle name="Input 2 3 3 2 2 4" xfId="1182"/>
    <cellStyle name="Input 2 3 3 2 2 4 2" xfId="8729"/>
    <cellStyle name="Input 2 3 3 2 2 4 3" xfId="8730"/>
    <cellStyle name="Input 2 3 3 2 2 4 4" xfId="8731"/>
    <cellStyle name="Input 2 3 3 2 2 4 5" xfId="8732"/>
    <cellStyle name="Input 2 3 3 2 2 4 6" xfId="37479"/>
    <cellStyle name="Input 2 3 3 2 2 4 7" xfId="43578"/>
    <cellStyle name="Input 2 3 3 2 2 4 8" xfId="51878"/>
    <cellStyle name="Input 2 3 3 2 2 5" xfId="3200"/>
    <cellStyle name="Input 2 3 3 2 2 5 2" xfId="8733"/>
    <cellStyle name="Input 2 3 3 2 2 5 3" xfId="8734"/>
    <cellStyle name="Input 2 3 3 2 2 5 4" xfId="8735"/>
    <cellStyle name="Input 2 3 3 2 2 5 5" xfId="8736"/>
    <cellStyle name="Input 2 3 3 2 2 5 6" xfId="38095"/>
    <cellStyle name="Input 2 3 3 2 2 5 7" xfId="43579"/>
    <cellStyle name="Input 2 3 3 2 2 5 8" xfId="51879"/>
    <cellStyle name="Input 2 3 3 2 2 6" xfId="3155"/>
    <cellStyle name="Input 2 3 3 2 2 6 2" xfId="8737"/>
    <cellStyle name="Input 2 3 3 2 2 6 3" xfId="8738"/>
    <cellStyle name="Input 2 3 3 2 2 6 4" xfId="8739"/>
    <cellStyle name="Input 2 3 3 2 2 6 5" xfId="8740"/>
    <cellStyle name="Input 2 3 3 2 2 6 6" xfId="38713"/>
    <cellStyle name="Input 2 3 3 2 2 6 7" xfId="43580"/>
    <cellStyle name="Input 2 3 3 2 2 6 8" xfId="51880"/>
    <cellStyle name="Input 2 3 3 2 2 7" xfId="8741"/>
    <cellStyle name="Input 2 3 3 2 2 7 2" xfId="8742"/>
    <cellStyle name="Input 2 3 3 2 2 7 3" xfId="8743"/>
    <cellStyle name="Input 2 3 3 2 2 7 4" xfId="8744"/>
    <cellStyle name="Input 2 3 3 2 2 7 5" xfId="8745"/>
    <cellStyle name="Input 2 3 3 2 2 7 6" xfId="39333"/>
    <cellStyle name="Input 2 3 3 2 2 7 7" xfId="43581"/>
    <cellStyle name="Input 2 3 3 2 2 7 8" xfId="51881"/>
    <cellStyle name="Input 2 3 3 2 2 8" xfId="8746"/>
    <cellStyle name="Input 2 3 3 2 2 8 2" xfId="8747"/>
    <cellStyle name="Input 2 3 3 2 2 8 3" xfId="8748"/>
    <cellStyle name="Input 2 3 3 2 2 8 4" xfId="8749"/>
    <cellStyle name="Input 2 3 3 2 2 8 5" xfId="8750"/>
    <cellStyle name="Input 2 3 3 2 2 8 6" xfId="39949"/>
    <cellStyle name="Input 2 3 3 2 2 8 7" xfId="43582"/>
    <cellStyle name="Input 2 3 3 2 2 8 8" xfId="51882"/>
    <cellStyle name="Input 2 3 3 2 2 9" xfId="8751"/>
    <cellStyle name="Input 2 3 3 2 2 9 2" xfId="8752"/>
    <cellStyle name="Input 2 3 3 2 2 9 3" xfId="8753"/>
    <cellStyle name="Input 2 3 3 2 2 9 4" xfId="8754"/>
    <cellStyle name="Input 2 3 3 2 2 9 5" xfId="8755"/>
    <cellStyle name="Input 2 3 3 2 2 9 6" xfId="40564"/>
    <cellStyle name="Input 2 3 3 2 2 9 7" xfId="43583"/>
    <cellStyle name="Input 2 3 3 2 2 9 8" xfId="51883"/>
    <cellStyle name="Input 2 3 3 2 20" xfId="34822"/>
    <cellStyle name="Input 2 3 3 2 21" xfId="40863"/>
    <cellStyle name="Input 2 3 3 2 22" xfId="41424"/>
    <cellStyle name="Input 2 3 3 2 23" xfId="50511"/>
    <cellStyle name="Input 2 3 3 2 3" xfId="1951"/>
    <cellStyle name="Input 2 3 3 2 3 10" xfId="34785"/>
    <cellStyle name="Input 2 3 3 2 3 11" xfId="41078"/>
    <cellStyle name="Input 2 3 3 2 3 12" xfId="43584"/>
    <cellStyle name="Input 2 3 3 2 3 13" xfId="51884"/>
    <cellStyle name="Input 2 3 3 2 3 2" xfId="1952"/>
    <cellStyle name="Input 2 3 3 2 3 2 2" xfId="36155"/>
    <cellStyle name="Input 2 3 3 2 3 2 3" xfId="43585"/>
    <cellStyle name="Input 2 3 3 2 3 2 4" xfId="51885"/>
    <cellStyle name="Input 2 3 3 2 3 3" xfId="1953"/>
    <cellStyle name="Input 2 3 3 2 3 3 2" xfId="36652"/>
    <cellStyle name="Input 2 3 3 2 3 3 3" xfId="43586"/>
    <cellStyle name="Input 2 3 3 2 3 3 4" xfId="51886"/>
    <cellStyle name="Input 2 3 3 2 3 4" xfId="8756"/>
    <cellStyle name="Input 2 3 3 2 3 4 2" xfId="37268"/>
    <cellStyle name="Input 2 3 3 2 3 4 3" xfId="43587"/>
    <cellStyle name="Input 2 3 3 2 3 4 4" xfId="51887"/>
    <cellStyle name="Input 2 3 3 2 3 5" xfId="8757"/>
    <cellStyle name="Input 2 3 3 2 3 5 2" xfId="37884"/>
    <cellStyle name="Input 2 3 3 2 3 5 3" xfId="43588"/>
    <cellStyle name="Input 2 3 3 2 3 5 4" xfId="51888"/>
    <cellStyle name="Input 2 3 3 2 3 6" xfId="38501"/>
    <cellStyle name="Input 2 3 3 2 3 6 2" xfId="43589"/>
    <cellStyle name="Input 2 3 3 2 3 6 3" xfId="51889"/>
    <cellStyle name="Input 2 3 3 2 3 7" xfId="39121"/>
    <cellStyle name="Input 2 3 3 2 3 7 2" xfId="43590"/>
    <cellStyle name="Input 2 3 3 2 3 7 3" xfId="51890"/>
    <cellStyle name="Input 2 3 3 2 3 8" xfId="39737"/>
    <cellStyle name="Input 2 3 3 2 3 8 2" xfId="43591"/>
    <cellStyle name="Input 2 3 3 2 3 8 3" xfId="51891"/>
    <cellStyle name="Input 2 3 3 2 3 9" xfId="40352"/>
    <cellStyle name="Input 2 3 3 2 3 9 2" xfId="43592"/>
    <cellStyle name="Input 2 3 3 2 3 9 3" xfId="51892"/>
    <cellStyle name="Input 2 3 3 2 4" xfId="1954"/>
    <cellStyle name="Input 2 3 3 2 4 10" xfId="43593"/>
    <cellStyle name="Input 2 3 3 2 4 11" xfId="51893"/>
    <cellStyle name="Input 2 3 3 2 4 2" xfId="8758"/>
    <cellStyle name="Input 2 3 3 2 4 2 2" xfId="43594"/>
    <cellStyle name="Input 2 3 3 2 4 2 3" xfId="51894"/>
    <cellStyle name="Input 2 3 3 2 4 3" xfId="8759"/>
    <cellStyle name="Input 2 3 3 2 4 3 2" xfId="43595"/>
    <cellStyle name="Input 2 3 3 2 4 3 3" xfId="51895"/>
    <cellStyle name="Input 2 3 3 2 4 4" xfId="8760"/>
    <cellStyle name="Input 2 3 3 2 4 4 2" xfId="43596"/>
    <cellStyle name="Input 2 3 3 2 4 4 3" xfId="51896"/>
    <cellStyle name="Input 2 3 3 2 4 5" xfId="8761"/>
    <cellStyle name="Input 2 3 3 2 4 5 2" xfId="43597"/>
    <cellStyle name="Input 2 3 3 2 4 5 3" xfId="51897"/>
    <cellStyle name="Input 2 3 3 2 4 6" xfId="35685"/>
    <cellStyle name="Input 2 3 3 2 4 6 2" xfId="43598"/>
    <cellStyle name="Input 2 3 3 2 4 6 3" xfId="51898"/>
    <cellStyle name="Input 2 3 3 2 4 7" xfId="43599"/>
    <cellStyle name="Input 2 3 3 2 4 7 2" xfId="51899"/>
    <cellStyle name="Input 2 3 3 2 4 8" xfId="43600"/>
    <cellStyle name="Input 2 3 3 2 4 8 2" xfId="51900"/>
    <cellStyle name="Input 2 3 3 2 4 9" xfId="43601"/>
    <cellStyle name="Input 2 3 3 2 4 9 2" xfId="51901"/>
    <cellStyle name="Input 2 3 3 2 5" xfId="1181"/>
    <cellStyle name="Input 2 3 3 2 5 2" xfId="8762"/>
    <cellStyle name="Input 2 3 3 2 5 3" xfId="8763"/>
    <cellStyle name="Input 2 3 3 2 5 4" xfId="8764"/>
    <cellStyle name="Input 2 3 3 2 5 5" xfId="8765"/>
    <cellStyle name="Input 2 3 3 2 5 6" xfId="35784"/>
    <cellStyle name="Input 2 3 3 2 5 7" xfId="43602"/>
    <cellStyle name="Input 2 3 3 2 5 8" xfId="51902"/>
    <cellStyle name="Input 2 3 3 2 6" xfId="3199"/>
    <cellStyle name="Input 2 3 3 2 6 2" xfId="8766"/>
    <cellStyle name="Input 2 3 3 2 6 3" xfId="8767"/>
    <cellStyle name="Input 2 3 3 2 6 4" xfId="8768"/>
    <cellStyle name="Input 2 3 3 2 6 5" xfId="8769"/>
    <cellStyle name="Input 2 3 3 2 6 6" xfId="37053"/>
    <cellStyle name="Input 2 3 3 2 6 7" xfId="43603"/>
    <cellStyle name="Input 2 3 3 2 6 8" xfId="51903"/>
    <cellStyle name="Input 2 3 3 2 7" xfId="3156"/>
    <cellStyle name="Input 2 3 3 2 7 2" xfId="8770"/>
    <cellStyle name="Input 2 3 3 2 7 3" xfId="8771"/>
    <cellStyle name="Input 2 3 3 2 7 4" xfId="8772"/>
    <cellStyle name="Input 2 3 3 2 7 5" xfId="8773"/>
    <cellStyle name="Input 2 3 3 2 7 6" xfId="37667"/>
    <cellStyle name="Input 2 3 3 2 7 7" xfId="43604"/>
    <cellStyle name="Input 2 3 3 2 7 8" xfId="51904"/>
    <cellStyle name="Input 2 3 3 2 8" xfId="8774"/>
    <cellStyle name="Input 2 3 3 2 8 2" xfId="8775"/>
    <cellStyle name="Input 2 3 3 2 8 3" xfId="8776"/>
    <cellStyle name="Input 2 3 3 2 8 4" xfId="8777"/>
    <cellStyle name="Input 2 3 3 2 8 5" xfId="8778"/>
    <cellStyle name="Input 2 3 3 2 8 6" xfId="38282"/>
    <cellStyle name="Input 2 3 3 2 8 7" xfId="43605"/>
    <cellStyle name="Input 2 3 3 2 8 8" xfId="51905"/>
    <cellStyle name="Input 2 3 3 2 9" xfId="8779"/>
    <cellStyle name="Input 2 3 3 2 9 2" xfId="8780"/>
    <cellStyle name="Input 2 3 3 2 9 3" xfId="8781"/>
    <cellStyle name="Input 2 3 3 2 9 4" xfId="8782"/>
    <cellStyle name="Input 2 3 3 2 9 5" xfId="8783"/>
    <cellStyle name="Input 2 3 3 2 9 6" xfId="38902"/>
    <cellStyle name="Input 2 3 3 2 9 7" xfId="43606"/>
    <cellStyle name="Input 2 3 3 2 9 8" xfId="51906"/>
    <cellStyle name="Input 2 3 3 3" xfId="507"/>
    <cellStyle name="Input 2 3 3 3 10" xfId="8784"/>
    <cellStyle name="Input 2 3 3 3 10 2" xfId="8785"/>
    <cellStyle name="Input 2 3 3 3 10 3" xfId="8786"/>
    <cellStyle name="Input 2 3 3 3 10 4" xfId="8787"/>
    <cellStyle name="Input 2 3 3 3 10 5" xfId="8788"/>
    <cellStyle name="Input 2 3 3 3 10 6" xfId="43607"/>
    <cellStyle name="Input 2 3 3 3 10 7" xfId="51907"/>
    <cellStyle name="Input 2 3 3 3 11" xfId="8789"/>
    <cellStyle name="Input 2 3 3 3 11 2" xfId="8790"/>
    <cellStyle name="Input 2 3 3 3 11 3" xfId="8791"/>
    <cellStyle name="Input 2 3 3 3 11 4" xfId="8792"/>
    <cellStyle name="Input 2 3 3 3 11 5" xfId="8793"/>
    <cellStyle name="Input 2 3 3 3 12" xfId="8794"/>
    <cellStyle name="Input 2 3 3 3 12 2" xfId="8795"/>
    <cellStyle name="Input 2 3 3 3 12 3" xfId="8796"/>
    <cellStyle name="Input 2 3 3 3 12 4" xfId="8797"/>
    <cellStyle name="Input 2 3 3 3 12 5" xfId="8798"/>
    <cellStyle name="Input 2 3 3 3 13" xfId="8799"/>
    <cellStyle name="Input 2 3 3 3 13 2" xfId="8800"/>
    <cellStyle name="Input 2 3 3 3 13 3" xfId="8801"/>
    <cellStyle name="Input 2 3 3 3 13 4" xfId="8802"/>
    <cellStyle name="Input 2 3 3 3 13 5" xfId="8803"/>
    <cellStyle name="Input 2 3 3 3 14" xfId="8804"/>
    <cellStyle name="Input 2 3 3 3 14 2" xfId="8805"/>
    <cellStyle name="Input 2 3 3 3 14 3" xfId="8806"/>
    <cellStyle name="Input 2 3 3 3 14 4" xfId="8807"/>
    <cellStyle name="Input 2 3 3 3 14 5" xfId="8808"/>
    <cellStyle name="Input 2 3 3 3 15" xfId="8809"/>
    <cellStyle name="Input 2 3 3 3 15 2" xfId="8810"/>
    <cellStyle name="Input 2 3 3 3 15 3" xfId="8811"/>
    <cellStyle name="Input 2 3 3 3 15 4" xfId="8812"/>
    <cellStyle name="Input 2 3 3 3 15 5" xfId="8813"/>
    <cellStyle name="Input 2 3 3 3 16" xfId="8814"/>
    <cellStyle name="Input 2 3 3 3 16 2" xfId="8815"/>
    <cellStyle name="Input 2 3 3 3 16 3" xfId="8816"/>
    <cellStyle name="Input 2 3 3 3 16 4" xfId="8817"/>
    <cellStyle name="Input 2 3 3 3 16 5" xfId="8818"/>
    <cellStyle name="Input 2 3 3 3 17" xfId="8819"/>
    <cellStyle name="Input 2 3 3 3 17 2" xfId="8820"/>
    <cellStyle name="Input 2 3 3 3 17 3" xfId="8821"/>
    <cellStyle name="Input 2 3 3 3 17 4" xfId="8822"/>
    <cellStyle name="Input 2 3 3 3 17 5" xfId="8823"/>
    <cellStyle name="Input 2 3 3 3 18" xfId="8824"/>
    <cellStyle name="Input 2 3 3 3 19" xfId="936"/>
    <cellStyle name="Input 2 3 3 3 2" xfId="1955"/>
    <cellStyle name="Input 2 3 3 3 2 2" xfId="1956"/>
    <cellStyle name="Input 2 3 3 3 2 3" xfId="1957"/>
    <cellStyle name="Input 2 3 3 3 2 4" xfId="8825"/>
    <cellStyle name="Input 2 3 3 3 2 5" xfId="8826"/>
    <cellStyle name="Input 2 3 3 3 2 6" xfId="36311"/>
    <cellStyle name="Input 2 3 3 3 2 7" xfId="43608"/>
    <cellStyle name="Input 2 3 3 3 2 8" xfId="51908"/>
    <cellStyle name="Input 2 3 3 3 20" xfId="35016"/>
    <cellStyle name="Input 2 3 3 3 21" xfId="40725"/>
    <cellStyle name="Input 2 3 3 3 22" xfId="41235"/>
    <cellStyle name="Input 2 3 3 3 3" xfId="1958"/>
    <cellStyle name="Input 2 3 3 3 3 2" xfId="8827"/>
    <cellStyle name="Input 2 3 3 3 3 3" xfId="8828"/>
    <cellStyle name="Input 2 3 3 3 3 4" xfId="8829"/>
    <cellStyle name="Input 2 3 3 3 3 5" xfId="8830"/>
    <cellStyle name="Input 2 3 3 3 3 6" xfId="36808"/>
    <cellStyle name="Input 2 3 3 3 3 7" xfId="43609"/>
    <cellStyle name="Input 2 3 3 3 3 8" xfId="51909"/>
    <cellStyle name="Input 2 3 3 3 4" xfId="1183"/>
    <cellStyle name="Input 2 3 3 3 4 2" xfId="8831"/>
    <cellStyle name="Input 2 3 3 3 4 3" xfId="8832"/>
    <cellStyle name="Input 2 3 3 3 4 4" xfId="8833"/>
    <cellStyle name="Input 2 3 3 3 4 5" xfId="8834"/>
    <cellStyle name="Input 2 3 3 3 4 6" xfId="37424"/>
    <cellStyle name="Input 2 3 3 3 4 7" xfId="43610"/>
    <cellStyle name="Input 2 3 3 3 4 8" xfId="51910"/>
    <cellStyle name="Input 2 3 3 3 5" xfId="3201"/>
    <cellStyle name="Input 2 3 3 3 5 2" xfId="8835"/>
    <cellStyle name="Input 2 3 3 3 5 3" xfId="8836"/>
    <cellStyle name="Input 2 3 3 3 5 4" xfId="8837"/>
    <cellStyle name="Input 2 3 3 3 5 5" xfId="8838"/>
    <cellStyle name="Input 2 3 3 3 5 6" xfId="38040"/>
    <cellStyle name="Input 2 3 3 3 5 7" xfId="43611"/>
    <cellStyle name="Input 2 3 3 3 5 8" xfId="51911"/>
    <cellStyle name="Input 2 3 3 3 6" xfId="3154"/>
    <cellStyle name="Input 2 3 3 3 6 2" xfId="8839"/>
    <cellStyle name="Input 2 3 3 3 6 3" xfId="8840"/>
    <cellStyle name="Input 2 3 3 3 6 4" xfId="8841"/>
    <cellStyle name="Input 2 3 3 3 6 5" xfId="8842"/>
    <cellStyle name="Input 2 3 3 3 6 6" xfId="38658"/>
    <cellStyle name="Input 2 3 3 3 6 7" xfId="43612"/>
    <cellStyle name="Input 2 3 3 3 6 8" xfId="51912"/>
    <cellStyle name="Input 2 3 3 3 7" xfId="8843"/>
    <cellStyle name="Input 2 3 3 3 7 2" xfId="8844"/>
    <cellStyle name="Input 2 3 3 3 7 3" xfId="8845"/>
    <cellStyle name="Input 2 3 3 3 7 4" xfId="8846"/>
    <cellStyle name="Input 2 3 3 3 7 5" xfId="8847"/>
    <cellStyle name="Input 2 3 3 3 7 6" xfId="39278"/>
    <cellStyle name="Input 2 3 3 3 7 7" xfId="43613"/>
    <cellStyle name="Input 2 3 3 3 7 8" xfId="51913"/>
    <cellStyle name="Input 2 3 3 3 8" xfId="8848"/>
    <cellStyle name="Input 2 3 3 3 8 2" xfId="8849"/>
    <cellStyle name="Input 2 3 3 3 8 3" xfId="8850"/>
    <cellStyle name="Input 2 3 3 3 8 4" xfId="8851"/>
    <cellStyle name="Input 2 3 3 3 8 5" xfId="8852"/>
    <cellStyle name="Input 2 3 3 3 8 6" xfId="39894"/>
    <cellStyle name="Input 2 3 3 3 8 7" xfId="43614"/>
    <cellStyle name="Input 2 3 3 3 8 8" xfId="51914"/>
    <cellStyle name="Input 2 3 3 3 9" xfId="8853"/>
    <cellStyle name="Input 2 3 3 3 9 2" xfId="8854"/>
    <cellStyle name="Input 2 3 3 3 9 3" xfId="8855"/>
    <cellStyle name="Input 2 3 3 3 9 4" xfId="8856"/>
    <cellStyle name="Input 2 3 3 3 9 5" xfId="8857"/>
    <cellStyle name="Input 2 3 3 3 9 6" xfId="40509"/>
    <cellStyle name="Input 2 3 3 3 9 7" xfId="43615"/>
    <cellStyle name="Input 2 3 3 3 9 8" xfId="51915"/>
    <cellStyle name="Input 2 3 3 4" xfId="1959"/>
    <cellStyle name="Input 2 3 3 4 10" xfId="34916"/>
    <cellStyle name="Input 2 3 3 4 11" xfId="41021"/>
    <cellStyle name="Input 2 3 3 4 12" xfId="43616"/>
    <cellStyle name="Input 2 3 3 4 13" xfId="51916"/>
    <cellStyle name="Input 2 3 3 4 2" xfId="1960"/>
    <cellStyle name="Input 2 3 3 4 2 2" xfId="36098"/>
    <cellStyle name="Input 2 3 3 4 2 3" xfId="43617"/>
    <cellStyle name="Input 2 3 3 4 2 4" xfId="51917"/>
    <cellStyle name="Input 2 3 3 4 3" xfId="1961"/>
    <cellStyle name="Input 2 3 3 4 3 2" xfId="36597"/>
    <cellStyle name="Input 2 3 3 4 3 3" xfId="43618"/>
    <cellStyle name="Input 2 3 3 4 3 4" xfId="51918"/>
    <cellStyle name="Input 2 3 3 4 4" xfId="8858"/>
    <cellStyle name="Input 2 3 3 4 4 2" xfId="37213"/>
    <cellStyle name="Input 2 3 3 4 4 3" xfId="43619"/>
    <cellStyle name="Input 2 3 3 4 4 4" xfId="51919"/>
    <cellStyle name="Input 2 3 3 4 5" xfId="8859"/>
    <cellStyle name="Input 2 3 3 4 5 2" xfId="37829"/>
    <cellStyle name="Input 2 3 3 4 5 3" xfId="43620"/>
    <cellStyle name="Input 2 3 3 4 5 4" xfId="51920"/>
    <cellStyle name="Input 2 3 3 4 6" xfId="38444"/>
    <cellStyle name="Input 2 3 3 4 6 2" xfId="43621"/>
    <cellStyle name="Input 2 3 3 4 6 3" xfId="51921"/>
    <cellStyle name="Input 2 3 3 4 7" xfId="39064"/>
    <cellStyle name="Input 2 3 3 4 7 2" xfId="43622"/>
    <cellStyle name="Input 2 3 3 4 7 3" xfId="51922"/>
    <cellStyle name="Input 2 3 3 4 8" xfId="39680"/>
    <cellStyle name="Input 2 3 3 4 8 2" xfId="43623"/>
    <cellStyle name="Input 2 3 3 4 8 3" xfId="51923"/>
    <cellStyle name="Input 2 3 3 4 9" xfId="40295"/>
    <cellStyle name="Input 2 3 3 4 9 2" xfId="43624"/>
    <cellStyle name="Input 2 3 3 4 9 3" xfId="51924"/>
    <cellStyle name="Input 2 3 3 5" xfId="1962"/>
    <cellStyle name="Input 2 3 3 5 10" xfId="43625"/>
    <cellStyle name="Input 2 3 3 5 11" xfId="51925"/>
    <cellStyle name="Input 2 3 3 5 2" xfId="1963"/>
    <cellStyle name="Input 2 3 3 5 2 2" xfId="43626"/>
    <cellStyle name="Input 2 3 3 5 2 3" xfId="51926"/>
    <cellStyle name="Input 2 3 3 5 3" xfId="1964"/>
    <cellStyle name="Input 2 3 3 5 3 2" xfId="43627"/>
    <cellStyle name="Input 2 3 3 5 3 3" xfId="51927"/>
    <cellStyle name="Input 2 3 3 5 4" xfId="8860"/>
    <cellStyle name="Input 2 3 3 5 4 2" xfId="43628"/>
    <cellStyle name="Input 2 3 3 5 4 3" xfId="51928"/>
    <cellStyle name="Input 2 3 3 5 5" xfId="8861"/>
    <cellStyle name="Input 2 3 3 5 5 2" xfId="43629"/>
    <cellStyle name="Input 2 3 3 5 5 3" xfId="51929"/>
    <cellStyle name="Input 2 3 3 5 6" xfId="35416"/>
    <cellStyle name="Input 2 3 3 5 6 2" xfId="43630"/>
    <cellStyle name="Input 2 3 3 5 6 3" xfId="51930"/>
    <cellStyle name="Input 2 3 3 5 7" xfId="43631"/>
    <cellStyle name="Input 2 3 3 5 7 2" xfId="51931"/>
    <cellStyle name="Input 2 3 3 5 8" xfId="43632"/>
    <cellStyle name="Input 2 3 3 5 8 2" xfId="51932"/>
    <cellStyle name="Input 2 3 3 5 9" xfId="43633"/>
    <cellStyle name="Input 2 3 3 5 9 2" xfId="51933"/>
    <cellStyle name="Input 2 3 3 6" xfId="1180"/>
    <cellStyle name="Input 2 3 3 6 2" xfId="8862"/>
    <cellStyle name="Input 2 3 3 6 3" xfId="8863"/>
    <cellStyle name="Input 2 3 3 6 4" xfId="8864"/>
    <cellStyle name="Input 2 3 3 6 5" xfId="8865"/>
    <cellStyle name="Input 2 3 3 6 6" xfId="35948"/>
    <cellStyle name="Input 2 3 3 6 7" xfId="43634"/>
    <cellStyle name="Input 2 3 3 6 8" xfId="51934"/>
    <cellStyle name="Input 2 3 3 7" xfId="3198"/>
    <cellStyle name="Input 2 3 3 7 2" xfId="8866"/>
    <cellStyle name="Input 2 3 3 7 3" xfId="8867"/>
    <cellStyle name="Input 2 3 3 7 4" xfId="8868"/>
    <cellStyle name="Input 2 3 3 7 5" xfId="8869"/>
    <cellStyle name="Input 2 3 3 7 6" xfId="35820"/>
    <cellStyle name="Input 2 3 3 7 7" xfId="43635"/>
    <cellStyle name="Input 2 3 3 7 8" xfId="51935"/>
    <cellStyle name="Input 2 3 3 8" xfId="3157"/>
    <cellStyle name="Input 2 3 3 8 2" xfId="8870"/>
    <cellStyle name="Input 2 3 3 8 3" xfId="8871"/>
    <cellStyle name="Input 2 3 3 8 4" xfId="8872"/>
    <cellStyle name="Input 2 3 3 8 5" xfId="8873"/>
    <cellStyle name="Input 2 3 3 8 6" xfId="36993"/>
    <cellStyle name="Input 2 3 3 8 7" xfId="43636"/>
    <cellStyle name="Input 2 3 3 8 8" xfId="51936"/>
    <cellStyle name="Input 2 3 3 9" xfId="8874"/>
    <cellStyle name="Input 2 3 3 9 2" xfId="8875"/>
    <cellStyle name="Input 2 3 3 9 3" xfId="8876"/>
    <cellStyle name="Input 2 3 3 9 4" xfId="8877"/>
    <cellStyle name="Input 2 3 3 9 5" xfId="8878"/>
    <cellStyle name="Input 2 3 3 9 6" xfId="37605"/>
    <cellStyle name="Input 2 3 3 9 7" xfId="43637"/>
    <cellStyle name="Input 2 3 3 9 8" xfId="51937"/>
    <cellStyle name="Input 2 3 4" xfId="344"/>
    <cellStyle name="Input 2 3 4 10" xfId="8879"/>
    <cellStyle name="Input 2 3 4 10 2" xfId="8880"/>
    <cellStyle name="Input 2 3 4 10 3" xfId="8881"/>
    <cellStyle name="Input 2 3 4 10 4" xfId="8882"/>
    <cellStyle name="Input 2 3 4 10 5" xfId="8883"/>
    <cellStyle name="Input 2 3 4 10 6" xfId="39522"/>
    <cellStyle name="Input 2 3 4 10 7" xfId="43638"/>
    <cellStyle name="Input 2 3 4 10 8" xfId="51938"/>
    <cellStyle name="Input 2 3 4 11" xfId="8884"/>
    <cellStyle name="Input 2 3 4 11 2" xfId="8885"/>
    <cellStyle name="Input 2 3 4 11 3" xfId="8886"/>
    <cellStyle name="Input 2 3 4 11 4" xfId="8887"/>
    <cellStyle name="Input 2 3 4 11 5" xfId="8888"/>
    <cellStyle name="Input 2 3 4 11 6" xfId="40138"/>
    <cellStyle name="Input 2 3 4 11 7" xfId="43639"/>
    <cellStyle name="Input 2 3 4 11 8" xfId="51939"/>
    <cellStyle name="Input 2 3 4 12" xfId="8889"/>
    <cellStyle name="Input 2 3 4 12 2" xfId="8890"/>
    <cellStyle name="Input 2 3 4 12 3" xfId="8891"/>
    <cellStyle name="Input 2 3 4 12 4" xfId="8892"/>
    <cellStyle name="Input 2 3 4 12 5" xfId="8893"/>
    <cellStyle name="Input 2 3 4 12 6" xfId="43640"/>
    <cellStyle name="Input 2 3 4 12 7" xfId="51940"/>
    <cellStyle name="Input 2 3 4 13" xfId="8894"/>
    <cellStyle name="Input 2 3 4 13 2" xfId="8895"/>
    <cellStyle name="Input 2 3 4 13 3" xfId="8896"/>
    <cellStyle name="Input 2 3 4 13 4" xfId="8897"/>
    <cellStyle name="Input 2 3 4 13 5" xfId="8898"/>
    <cellStyle name="Input 2 3 4 13 6" xfId="43641"/>
    <cellStyle name="Input 2 3 4 13 7" xfId="51941"/>
    <cellStyle name="Input 2 3 4 14" xfId="8899"/>
    <cellStyle name="Input 2 3 4 14 2" xfId="8900"/>
    <cellStyle name="Input 2 3 4 14 3" xfId="8901"/>
    <cellStyle name="Input 2 3 4 14 4" xfId="8902"/>
    <cellStyle name="Input 2 3 4 14 5" xfId="8903"/>
    <cellStyle name="Input 2 3 4 15" xfId="8904"/>
    <cellStyle name="Input 2 3 4 15 2" xfId="8905"/>
    <cellStyle name="Input 2 3 4 15 3" xfId="8906"/>
    <cellStyle name="Input 2 3 4 15 4" xfId="8907"/>
    <cellStyle name="Input 2 3 4 15 5" xfId="8908"/>
    <cellStyle name="Input 2 3 4 16" xfId="8909"/>
    <cellStyle name="Input 2 3 4 16 2" xfId="8910"/>
    <cellStyle name="Input 2 3 4 16 3" xfId="8911"/>
    <cellStyle name="Input 2 3 4 16 4" xfId="8912"/>
    <cellStyle name="Input 2 3 4 16 5" xfId="8913"/>
    <cellStyle name="Input 2 3 4 17" xfId="8914"/>
    <cellStyle name="Input 2 3 4 17 2" xfId="8915"/>
    <cellStyle name="Input 2 3 4 17 3" xfId="8916"/>
    <cellStyle name="Input 2 3 4 17 4" xfId="8917"/>
    <cellStyle name="Input 2 3 4 17 5" xfId="8918"/>
    <cellStyle name="Input 2 3 4 18" xfId="8919"/>
    <cellStyle name="Input 2 3 4 19" xfId="780"/>
    <cellStyle name="Input 2 3 4 2" xfId="563"/>
    <cellStyle name="Input 2 3 4 2 10" xfId="8920"/>
    <cellStyle name="Input 2 3 4 2 10 2" xfId="8921"/>
    <cellStyle name="Input 2 3 4 2 10 3" xfId="8922"/>
    <cellStyle name="Input 2 3 4 2 10 4" xfId="8923"/>
    <cellStyle name="Input 2 3 4 2 10 5" xfId="8924"/>
    <cellStyle name="Input 2 3 4 2 10 6" xfId="43642"/>
    <cellStyle name="Input 2 3 4 2 10 7" xfId="51942"/>
    <cellStyle name="Input 2 3 4 2 11" xfId="8925"/>
    <cellStyle name="Input 2 3 4 2 11 2" xfId="8926"/>
    <cellStyle name="Input 2 3 4 2 11 3" xfId="8927"/>
    <cellStyle name="Input 2 3 4 2 11 4" xfId="8928"/>
    <cellStyle name="Input 2 3 4 2 11 5" xfId="8929"/>
    <cellStyle name="Input 2 3 4 2 12" xfId="8930"/>
    <cellStyle name="Input 2 3 4 2 12 2" xfId="8931"/>
    <cellStyle name="Input 2 3 4 2 12 3" xfId="8932"/>
    <cellStyle name="Input 2 3 4 2 12 4" xfId="8933"/>
    <cellStyle name="Input 2 3 4 2 12 5" xfId="8934"/>
    <cellStyle name="Input 2 3 4 2 13" xfId="8935"/>
    <cellStyle name="Input 2 3 4 2 13 2" xfId="8936"/>
    <cellStyle name="Input 2 3 4 2 13 3" xfId="8937"/>
    <cellStyle name="Input 2 3 4 2 13 4" xfId="8938"/>
    <cellStyle name="Input 2 3 4 2 13 5" xfId="8939"/>
    <cellStyle name="Input 2 3 4 2 14" xfId="8940"/>
    <cellStyle name="Input 2 3 4 2 14 2" xfId="8941"/>
    <cellStyle name="Input 2 3 4 2 14 3" xfId="8942"/>
    <cellStyle name="Input 2 3 4 2 14 4" xfId="8943"/>
    <cellStyle name="Input 2 3 4 2 14 5" xfId="8944"/>
    <cellStyle name="Input 2 3 4 2 15" xfId="8945"/>
    <cellStyle name="Input 2 3 4 2 15 2" xfId="8946"/>
    <cellStyle name="Input 2 3 4 2 15 3" xfId="8947"/>
    <cellStyle name="Input 2 3 4 2 15 4" xfId="8948"/>
    <cellStyle name="Input 2 3 4 2 15 5" xfId="8949"/>
    <cellStyle name="Input 2 3 4 2 16" xfId="8950"/>
    <cellStyle name="Input 2 3 4 2 16 2" xfId="8951"/>
    <cellStyle name="Input 2 3 4 2 16 3" xfId="8952"/>
    <cellStyle name="Input 2 3 4 2 16 4" xfId="8953"/>
    <cellStyle name="Input 2 3 4 2 16 5" xfId="8954"/>
    <cellStyle name="Input 2 3 4 2 17" xfId="8955"/>
    <cellStyle name="Input 2 3 4 2 17 2" xfId="8956"/>
    <cellStyle name="Input 2 3 4 2 17 3" xfId="8957"/>
    <cellStyle name="Input 2 3 4 2 17 4" xfId="8958"/>
    <cellStyle name="Input 2 3 4 2 17 5" xfId="8959"/>
    <cellStyle name="Input 2 3 4 2 18" xfId="8960"/>
    <cellStyle name="Input 2 3 4 2 19" xfId="992"/>
    <cellStyle name="Input 2 3 4 2 2" xfId="1965"/>
    <cellStyle name="Input 2 3 4 2 2 2" xfId="8961"/>
    <cellStyle name="Input 2 3 4 2 2 3" xfId="8962"/>
    <cellStyle name="Input 2 3 4 2 2 4" xfId="8963"/>
    <cellStyle name="Input 2 3 4 2 2 5" xfId="8964"/>
    <cellStyle name="Input 2 3 4 2 2 6" xfId="36367"/>
    <cellStyle name="Input 2 3 4 2 2 7" xfId="43643"/>
    <cellStyle name="Input 2 3 4 2 2 8" xfId="51943"/>
    <cellStyle name="Input 2 3 4 2 20" xfId="35072"/>
    <cellStyle name="Input 2 3 4 2 21" xfId="41291"/>
    <cellStyle name="Input 2 3 4 2 3" xfId="1966"/>
    <cellStyle name="Input 2 3 4 2 3 2" xfId="8965"/>
    <cellStyle name="Input 2 3 4 2 3 3" xfId="8966"/>
    <cellStyle name="Input 2 3 4 2 3 4" xfId="8967"/>
    <cellStyle name="Input 2 3 4 2 3 5" xfId="8968"/>
    <cellStyle name="Input 2 3 4 2 3 6" xfId="36864"/>
    <cellStyle name="Input 2 3 4 2 3 7" xfId="43644"/>
    <cellStyle name="Input 2 3 4 2 3 8" xfId="51944"/>
    <cellStyle name="Input 2 3 4 2 4" xfId="1185"/>
    <cellStyle name="Input 2 3 4 2 4 2" xfId="8969"/>
    <cellStyle name="Input 2 3 4 2 4 3" xfId="8970"/>
    <cellStyle name="Input 2 3 4 2 4 4" xfId="8971"/>
    <cellStyle name="Input 2 3 4 2 4 5" xfId="8972"/>
    <cellStyle name="Input 2 3 4 2 4 6" xfId="37480"/>
    <cellStyle name="Input 2 3 4 2 4 7" xfId="43645"/>
    <cellStyle name="Input 2 3 4 2 4 8" xfId="51945"/>
    <cellStyle name="Input 2 3 4 2 5" xfId="3203"/>
    <cellStyle name="Input 2 3 4 2 5 2" xfId="8973"/>
    <cellStyle name="Input 2 3 4 2 5 3" xfId="8974"/>
    <cellStyle name="Input 2 3 4 2 5 4" xfId="8975"/>
    <cellStyle name="Input 2 3 4 2 5 5" xfId="8976"/>
    <cellStyle name="Input 2 3 4 2 5 6" xfId="38096"/>
    <cellStyle name="Input 2 3 4 2 5 7" xfId="43646"/>
    <cellStyle name="Input 2 3 4 2 5 8" xfId="51946"/>
    <cellStyle name="Input 2 3 4 2 6" xfId="3153"/>
    <cellStyle name="Input 2 3 4 2 6 2" xfId="8977"/>
    <cellStyle name="Input 2 3 4 2 6 3" xfId="8978"/>
    <cellStyle name="Input 2 3 4 2 6 4" xfId="8979"/>
    <cellStyle name="Input 2 3 4 2 6 5" xfId="8980"/>
    <cellStyle name="Input 2 3 4 2 6 6" xfId="38714"/>
    <cellStyle name="Input 2 3 4 2 6 7" xfId="43647"/>
    <cellStyle name="Input 2 3 4 2 6 8" xfId="51947"/>
    <cellStyle name="Input 2 3 4 2 7" xfId="8981"/>
    <cellStyle name="Input 2 3 4 2 7 2" xfId="8982"/>
    <cellStyle name="Input 2 3 4 2 7 3" xfId="8983"/>
    <cellStyle name="Input 2 3 4 2 7 4" xfId="8984"/>
    <cellStyle name="Input 2 3 4 2 7 5" xfId="8985"/>
    <cellStyle name="Input 2 3 4 2 7 6" xfId="39334"/>
    <cellStyle name="Input 2 3 4 2 7 7" xfId="43648"/>
    <cellStyle name="Input 2 3 4 2 7 8" xfId="51948"/>
    <cellStyle name="Input 2 3 4 2 8" xfId="8986"/>
    <cellStyle name="Input 2 3 4 2 8 2" xfId="8987"/>
    <cellStyle name="Input 2 3 4 2 8 3" xfId="8988"/>
    <cellStyle name="Input 2 3 4 2 8 4" xfId="8989"/>
    <cellStyle name="Input 2 3 4 2 8 5" xfId="8990"/>
    <cellStyle name="Input 2 3 4 2 8 6" xfId="39950"/>
    <cellStyle name="Input 2 3 4 2 8 7" xfId="43649"/>
    <cellStyle name="Input 2 3 4 2 8 8" xfId="51949"/>
    <cellStyle name="Input 2 3 4 2 9" xfId="8991"/>
    <cellStyle name="Input 2 3 4 2 9 2" xfId="8992"/>
    <cellStyle name="Input 2 3 4 2 9 3" xfId="8993"/>
    <cellStyle name="Input 2 3 4 2 9 4" xfId="8994"/>
    <cellStyle name="Input 2 3 4 2 9 5" xfId="8995"/>
    <cellStyle name="Input 2 3 4 2 9 6" xfId="40565"/>
    <cellStyle name="Input 2 3 4 2 9 7" xfId="43650"/>
    <cellStyle name="Input 2 3 4 2 9 8" xfId="51950"/>
    <cellStyle name="Input 2 3 4 20" xfId="34891"/>
    <cellStyle name="Input 2 3 4 21" xfId="40864"/>
    <cellStyle name="Input 2 3 4 22" xfId="41425"/>
    <cellStyle name="Input 2 3 4 23" xfId="50512"/>
    <cellStyle name="Input 2 3 4 3" xfId="1967"/>
    <cellStyle name="Input 2 3 4 3 10" xfId="34618"/>
    <cellStyle name="Input 2 3 4 3 11" xfId="41079"/>
    <cellStyle name="Input 2 3 4 3 12" xfId="43651"/>
    <cellStyle name="Input 2 3 4 3 13" xfId="51951"/>
    <cellStyle name="Input 2 3 4 3 2" xfId="1968"/>
    <cellStyle name="Input 2 3 4 3 2 2" xfId="36156"/>
    <cellStyle name="Input 2 3 4 3 2 3" xfId="43652"/>
    <cellStyle name="Input 2 3 4 3 2 4" xfId="51952"/>
    <cellStyle name="Input 2 3 4 3 3" xfId="1969"/>
    <cellStyle name="Input 2 3 4 3 3 2" xfId="36653"/>
    <cellStyle name="Input 2 3 4 3 3 3" xfId="43653"/>
    <cellStyle name="Input 2 3 4 3 3 4" xfId="51953"/>
    <cellStyle name="Input 2 3 4 3 4" xfId="8996"/>
    <cellStyle name="Input 2 3 4 3 4 2" xfId="37269"/>
    <cellStyle name="Input 2 3 4 3 4 3" xfId="43654"/>
    <cellStyle name="Input 2 3 4 3 4 4" xfId="51954"/>
    <cellStyle name="Input 2 3 4 3 5" xfId="8997"/>
    <cellStyle name="Input 2 3 4 3 5 2" xfId="37885"/>
    <cellStyle name="Input 2 3 4 3 5 3" xfId="43655"/>
    <cellStyle name="Input 2 3 4 3 5 4" xfId="51955"/>
    <cellStyle name="Input 2 3 4 3 6" xfId="38502"/>
    <cellStyle name="Input 2 3 4 3 6 2" xfId="43656"/>
    <cellStyle name="Input 2 3 4 3 6 3" xfId="51956"/>
    <cellStyle name="Input 2 3 4 3 7" xfId="39122"/>
    <cellStyle name="Input 2 3 4 3 7 2" xfId="43657"/>
    <cellStyle name="Input 2 3 4 3 7 3" xfId="51957"/>
    <cellStyle name="Input 2 3 4 3 8" xfId="39738"/>
    <cellStyle name="Input 2 3 4 3 8 2" xfId="43658"/>
    <cellStyle name="Input 2 3 4 3 8 3" xfId="51958"/>
    <cellStyle name="Input 2 3 4 3 9" xfId="40353"/>
    <cellStyle name="Input 2 3 4 3 9 2" xfId="43659"/>
    <cellStyle name="Input 2 3 4 3 9 3" xfId="51959"/>
    <cellStyle name="Input 2 3 4 4" xfId="1970"/>
    <cellStyle name="Input 2 3 4 4 10" xfId="43660"/>
    <cellStyle name="Input 2 3 4 4 11" xfId="51960"/>
    <cellStyle name="Input 2 3 4 4 2" xfId="8998"/>
    <cellStyle name="Input 2 3 4 4 2 2" xfId="43661"/>
    <cellStyle name="Input 2 3 4 4 2 3" xfId="51961"/>
    <cellStyle name="Input 2 3 4 4 3" xfId="8999"/>
    <cellStyle name="Input 2 3 4 4 3 2" xfId="43662"/>
    <cellStyle name="Input 2 3 4 4 3 3" xfId="51962"/>
    <cellStyle name="Input 2 3 4 4 4" xfId="9000"/>
    <cellStyle name="Input 2 3 4 4 4 2" xfId="43663"/>
    <cellStyle name="Input 2 3 4 4 4 3" xfId="51963"/>
    <cellStyle name="Input 2 3 4 4 5" xfId="9001"/>
    <cellStyle name="Input 2 3 4 4 5 2" xfId="43664"/>
    <cellStyle name="Input 2 3 4 4 5 3" xfId="51964"/>
    <cellStyle name="Input 2 3 4 4 6" xfId="35655"/>
    <cellStyle name="Input 2 3 4 4 6 2" xfId="43665"/>
    <cellStyle name="Input 2 3 4 4 6 3" xfId="51965"/>
    <cellStyle name="Input 2 3 4 4 7" xfId="43666"/>
    <cellStyle name="Input 2 3 4 4 7 2" xfId="51966"/>
    <cellStyle name="Input 2 3 4 4 8" xfId="43667"/>
    <cellStyle name="Input 2 3 4 4 8 2" xfId="51967"/>
    <cellStyle name="Input 2 3 4 4 9" xfId="43668"/>
    <cellStyle name="Input 2 3 4 4 9 2" xfId="51968"/>
    <cellStyle name="Input 2 3 4 5" xfId="1184"/>
    <cellStyle name="Input 2 3 4 5 2" xfId="9002"/>
    <cellStyle name="Input 2 3 4 5 3" xfId="9003"/>
    <cellStyle name="Input 2 3 4 5 4" xfId="9004"/>
    <cellStyle name="Input 2 3 4 5 5" xfId="9005"/>
    <cellStyle name="Input 2 3 4 5 6" xfId="35783"/>
    <cellStyle name="Input 2 3 4 5 7" xfId="43669"/>
    <cellStyle name="Input 2 3 4 5 8" xfId="51969"/>
    <cellStyle name="Input 2 3 4 6" xfId="3202"/>
    <cellStyle name="Input 2 3 4 6 2" xfId="9006"/>
    <cellStyle name="Input 2 3 4 6 3" xfId="9007"/>
    <cellStyle name="Input 2 3 4 6 4" xfId="9008"/>
    <cellStyle name="Input 2 3 4 6 5" xfId="9009"/>
    <cellStyle name="Input 2 3 4 6 6" xfId="37054"/>
    <cellStyle name="Input 2 3 4 6 7" xfId="43670"/>
    <cellStyle name="Input 2 3 4 6 8" xfId="51970"/>
    <cellStyle name="Input 2 3 4 7" xfId="3072"/>
    <cellStyle name="Input 2 3 4 7 2" xfId="9010"/>
    <cellStyle name="Input 2 3 4 7 3" xfId="9011"/>
    <cellStyle name="Input 2 3 4 7 4" xfId="9012"/>
    <cellStyle name="Input 2 3 4 7 5" xfId="9013"/>
    <cellStyle name="Input 2 3 4 7 6" xfId="37668"/>
    <cellStyle name="Input 2 3 4 7 7" xfId="43671"/>
    <cellStyle name="Input 2 3 4 7 8" xfId="51971"/>
    <cellStyle name="Input 2 3 4 8" xfId="9014"/>
    <cellStyle name="Input 2 3 4 8 2" xfId="9015"/>
    <cellStyle name="Input 2 3 4 8 3" xfId="9016"/>
    <cellStyle name="Input 2 3 4 8 4" xfId="9017"/>
    <cellStyle name="Input 2 3 4 8 5" xfId="9018"/>
    <cellStyle name="Input 2 3 4 8 6" xfId="38283"/>
    <cellStyle name="Input 2 3 4 8 7" xfId="43672"/>
    <cellStyle name="Input 2 3 4 8 8" xfId="51972"/>
    <cellStyle name="Input 2 3 4 9" xfId="9019"/>
    <cellStyle name="Input 2 3 4 9 2" xfId="9020"/>
    <cellStyle name="Input 2 3 4 9 3" xfId="9021"/>
    <cellStyle name="Input 2 3 4 9 4" xfId="9022"/>
    <cellStyle name="Input 2 3 4 9 5" xfId="9023"/>
    <cellStyle name="Input 2 3 4 9 6" xfId="38903"/>
    <cellStyle name="Input 2 3 4 9 7" xfId="43673"/>
    <cellStyle name="Input 2 3 4 9 8" xfId="51973"/>
    <cellStyle name="Input 2 3 5" xfId="478"/>
    <cellStyle name="Input 2 3 5 10" xfId="9024"/>
    <cellStyle name="Input 2 3 5 10 2" xfId="9025"/>
    <cellStyle name="Input 2 3 5 10 3" xfId="9026"/>
    <cellStyle name="Input 2 3 5 10 4" xfId="9027"/>
    <cellStyle name="Input 2 3 5 10 5" xfId="9028"/>
    <cellStyle name="Input 2 3 5 10 6" xfId="43674"/>
    <cellStyle name="Input 2 3 5 10 7" xfId="51974"/>
    <cellStyle name="Input 2 3 5 11" xfId="9029"/>
    <cellStyle name="Input 2 3 5 11 2" xfId="9030"/>
    <cellStyle name="Input 2 3 5 11 3" xfId="9031"/>
    <cellStyle name="Input 2 3 5 11 4" xfId="9032"/>
    <cellStyle name="Input 2 3 5 11 5" xfId="9033"/>
    <cellStyle name="Input 2 3 5 12" xfId="9034"/>
    <cellStyle name="Input 2 3 5 12 2" xfId="9035"/>
    <cellStyle name="Input 2 3 5 12 3" xfId="9036"/>
    <cellStyle name="Input 2 3 5 12 4" xfId="9037"/>
    <cellStyle name="Input 2 3 5 12 5" xfId="9038"/>
    <cellStyle name="Input 2 3 5 13" xfId="9039"/>
    <cellStyle name="Input 2 3 5 13 2" xfId="9040"/>
    <cellStyle name="Input 2 3 5 13 3" xfId="9041"/>
    <cellStyle name="Input 2 3 5 13 4" xfId="9042"/>
    <cellStyle name="Input 2 3 5 13 5" xfId="9043"/>
    <cellStyle name="Input 2 3 5 14" xfId="9044"/>
    <cellStyle name="Input 2 3 5 14 2" xfId="9045"/>
    <cellStyle name="Input 2 3 5 14 3" xfId="9046"/>
    <cellStyle name="Input 2 3 5 14 4" xfId="9047"/>
    <cellStyle name="Input 2 3 5 14 5" xfId="9048"/>
    <cellStyle name="Input 2 3 5 15" xfId="9049"/>
    <cellStyle name="Input 2 3 5 15 2" xfId="9050"/>
    <cellStyle name="Input 2 3 5 15 3" xfId="9051"/>
    <cellStyle name="Input 2 3 5 15 4" xfId="9052"/>
    <cellStyle name="Input 2 3 5 15 5" xfId="9053"/>
    <cellStyle name="Input 2 3 5 16" xfId="9054"/>
    <cellStyle name="Input 2 3 5 16 2" xfId="9055"/>
    <cellStyle name="Input 2 3 5 16 3" xfId="9056"/>
    <cellStyle name="Input 2 3 5 16 4" xfId="9057"/>
    <cellStyle name="Input 2 3 5 16 5" xfId="9058"/>
    <cellStyle name="Input 2 3 5 17" xfId="9059"/>
    <cellStyle name="Input 2 3 5 17 2" xfId="9060"/>
    <cellStyle name="Input 2 3 5 17 3" xfId="9061"/>
    <cellStyle name="Input 2 3 5 17 4" xfId="9062"/>
    <cellStyle name="Input 2 3 5 17 5" xfId="9063"/>
    <cellStyle name="Input 2 3 5 18" xfId="9064"/>
    <cellStyle name="Input 2 3 5 19" xfId="907"/>
    <cellStyle name="Input 2 3 5 2" xfId="1971"/>
    <cellStyle name="Input 2 3 5 2 2" xfId="1972"/>
    <cellStyle name="Input 2 3 5 2 3" xfId="1973"/>
    <cellStyle name="Input 2 3 5 2 4" xfId="9065"/>
    <cellStyle name="Input 2 3 5 2 5" xfId="9066"/>
    <cellStyle name="Input 2 3 5 2 6" xfId="36282"/>
    <cellStyle name="Input 2 3 5 2 7" xfId="43675"/>
    <cellStyle name="Input 2 3 5 2 8" xfId="51975"/>
    <cellStyle name="Input 2 3 5 20" xfId="34987"/>
    <cellStyle name="Input 2 3 5 21" xfId="40696"/>
    <cellStyle name="Input 2 3 5 22" xfId="41206"/>
    <cellStyle name="Input 2 3 5 3" xfId="1974"/>
    <cellStyle name="Input 2 3 5 3 2" xfId="9067"/>
    <cellStyle name="Input 2 3 5 3 3" xfId="9068"/>
    <cellStyle name="Input 2 3 5 3 4" xfId="9069"/>
    <cellStyle name="Input 2 3 5 3 5" xfId="9070"/>
    <cellStyle name="Input 2 3 5 3 6" xfId="36779"/>
    <cellStyle name="Input 2 3 5 3 7" xfId="43676"/>
    <cellStyle name="Input 2 3 5 3 8" xfId="51976"/>
    <cellStyle name="Input 2 3 5 4" xfId="1186"/>
    <cellStyle name="Input 2 3 5 4 2" xfId="9071"/>
    <cellStyle name="Input 2 3 5 4 3" xfId="9072"/>
    <cellStyle name="Input 2 3 5 4 4" xfId="9073"/>
    <cellStyle name="Input 2 3 5 4 5" xfId="9074"/>
    <cellStyle name="Input 2 3 5 4 6" xfId="37395"/>
    <cellStyle name="Input 2 3 5 4 7" xfId="43677"/>
    <cellStyle name="Input 2 3 5 4 8" xfId="51977"/>
    <cellStyle name="Input 2 3 5 5" xfId="3204"/>
    <cellStyle name="Input 2 3 5 5 2" xfId="9075"/>
    <cellStyle name="Input 2 3 5 5 3" xfId="9076"/>
    <cellStyle name="Input 2 3 5 5 4" xfId="9077"/>
    <cellStyle name="Input 2 3 5 5 5" xfId="9078"/>
    <cellStyle name="Input 2 3 5 5 6" xfId="38011"/>
    <cellStyle name="Input 2 3 5 5 7" xfId="43678"/>
    <cellStyle name="Input 2 3 5 5 8" xfId="51978"/>
    <cellStyle name="Input 2 3 5 6" xfId="3152"/>
    <cellStyle name="Input 2 3 5 6 2" xfId="9079"/>
    <cellStyle name="Input 2 3 5 6 3" xfId="9080"/>
    <cellStyle name="Input 2 3 5 6 4" xfId="9081"/>
    <cellStyle name="Input 2 3 5 6 5" xfId="9082"/>
    <cellStyle name="Input 2 3 5 6 6" xfId="38629"/>
    <cellStyle name="Input 2 3 5 6 7" xfId="43679"/>
    <cellStyle name="Input 2 3 5 6 8" xfId="51979"/>
    <cellStyle name="Input 2 3 5 7" xfId="9083"/>
    <cellStyle name="Input 2 3 5 7 2" xfId="9084"/>
    <cellStyle name="Input 2 3 5 7 3" xfId="9085"/>
    <cellStyle name="Input 2 3 5 7 4" xfId="9086"/>
    <cellStyle name="Input 2 3 5 7 5" xfId="9087"/>
    <cellStyle name="Input 2 3 5 7 6" xfId="39249"/>
    <cellStyle name="Input 2 3 5 7 7" xfId="43680"/>
    <cellStyle name="Input 2 3 5 7 8" xfId="51980"/>
    <cellStyle name="Input 2 3 5 8" xfId="9088"/>
    <cellStyle name="Input 2 3 5 8 2" xfId="9089"/>
    <cellStyle name="Input 2 3 5 8 3" xfId="9090"/>
    <cellStyle name="Input 2 3 5 8 4" xfId="9091"/>
    <cellStyle name="Input 2 3 5 8 5" xfId="9092"/>
    <cellStyle name="Input 2 3 5 8 6" xfId="39865"/>
    <cellStyle name="Input 2 3 5 8 7" xfId="43681"/>
    <cellStyle name="Input 2 3 5 8 8" xfId="51981"/>
    <cellStyle name="Input 2 3 5 9" xfId="9093"/>
    <cellStyle name="Input 2 3 5 9 2" xfId="9094"/>
    <cellStyle name="Input 2 3 5 9 3" xfId="9095"/>
    <cellStyle name="Input 2 3 5 9 4" xfId="9096"/>
    <cellStyle name="Input 2 3 5 9 5" xfId="9097"/>
    <cellStyle name="Input 2 3 5 9 6" xfId="40480"/>
    <cellStyle name="Input 2 3 5 9 7" xfId="43682"/>
    <cellStyle name="Input 2 3 5 9 8" xfId="51982"/>
    <cellStyle name="Input 2 3 6" xfId="1975"/>
    <cellStyle name="Input 2 3 6 10" xfId="34923"/>
    <cellStyle name="Input 2 3 6 11" xfId="40992"/>
    <cellStyle name="Input 2 3 6 12" xfId="43683"/>
    <cellStyle name="Input 2 3 6 13" xfId="51983"/>
    <cellStyle name="Input 2 3 6 2" xfId="1976"/>
    <cellStyle name="Input 2 3 6 2 2" xfId="36069"/>
    <cellStyle name="Input 2 3 6 2 3" xfId="43684"/>
    <cellStyle name="Input 2 3 6 2 4" xfId="51984"/>
    <cellStyle name="Input 2 3 6 3" xfId="1977"/>
    <cellStyle name="Input 2 3 6 3 2" xfId="36568"/>
    <cellStyle name="Input 2 3 6 3 3" xfId="43685"/>
    <cellStyle name="Input 2 3 6 3 4" xfId="51985"/>
    <cellStyle name="Input 2 3 6 4" xfId="9098"/>
    <cellStyle name="Input 2 3 6 4 2" xfId="37184"/>
    <cellStyle name="Input 2 3 6 4 3" xfId="43686"/>
    <cellStyle name="Input 2 3 6 4 4" xfId="51986"/>
    <cellStyle name="Input 2 3 6 5" xfId="9099"/>
    <cellStyle name="Input 2 3 6 5 2" xfId="37800"/>
    <cellStyle name="Input 2 3 6 5 3" xfId="43687"/>
    <cellStyle name="Input 2 3 6 5 4" xfId="51987"/>
    <cellStyle name="Input 2 3 6 6" xfId="38415"/>
    <cellStyle name="Input 2 3 6 6 2" xfId="43688"/>
    <cellStyle name="Input 2 3 6 6 3" xfId="51988"/>
    <cellStyle name="Input 2 3 6 7" xfId="39035"/>
    <cellStyle name="Input 2 3 6 7 2" xfId="43689"/>
    <cellStyle name="Input 2 3 6 7 3" xfId="51989"/>
    <cellStyle name="Input 2 3 6 8" xfId="39651"/>
    <cellStyle name="Input 2 3 6 8 2" xfId="43690"/>
    <cellStyle name="Input 2 3 6 8 3" xfId="51990"/>
    <cellStyle name="Input 2 3 6 9" xfId="40266"/>
    <cellStyle name="Input 2 3 6 9 2" xfId="43691"/>
    <cellStyle name="Input 2 3 6 9 3" xfId="51991"/>
    <cellStyle name="Input 2 3 7" xfId="1978"/>
    <cellStyle name="Input 2 3 7 10" xfId="43692"/>
    <cellStyle name="Input 2 3 7 11" xfId="51992"/>
    <cellStyle name="Input 2 3 7 2" xfId="1979"/>
    <cellStyle name="Input 2 3 7 2 2" xfId="43693"/>
    <cellStyle name="Input 2 3 7 2 3" xfId="51993"/>
    <cellStyle name="Input 2 3 7 3" xfId="1980"/>
    <cellStyle name="Input 2 3 7 3 2" xfId="43694"/>
    <cellStyle name="Input 2 3 7 3 3" xfId="51994"/>
    <cellStyle name="Input 2 3 7 4" xfId="9100"/>
    <cellStyle name="Input 2 3 7 4 2" xfId="43695"/>
    <cellStyle name="Input 2 3 7 4 3" xfId="51995"/>
    <cellStyle name="Input 2 3 7 5" xfId="9101"/>
    <cellStyle name="Input 2 3 7 5 2" xfId="43696"/>
    <cellStyle name="Input 2 3 7 5 3" xfId="51996"/>
    <cellStyle name="Input 2 3 7 6" xfId="35386"/>
    <cellStyle name="Input 2 3 7 6 2" xfId="43697"/>
    <cellStyle name="Input 2 3 7 6 3" xfId="51997"/>
    <cellStyle name="Input 2 3 7 7" xfId="43698"/>
    <cellStyle name="Input 2 3 7 7 2" xfId="51998"/>
    <cellStyle name="Input 2 3 7 8" xfId="43699"/>
    <cellStyle name="Input 2 3 7 8 2" xfId="51999"/>
    <cellStyle name="Input 2 3 7 9" xfId="43700"/>
    <cellStyle name="Input 2 3 7 9 2" xfId="52000"/>
    <cellStyle name="Input 2 3 8" xfId="1175"/>
    <cellStyle name="Input 2 3 8 2" xfId="9102"/>
    <cellStyle name="Input 2 3 8 3" xfId="9103"/>
    <cellStyle name="Input 2 3 8 4" xfId="9104"/>
    <cellStyle name="Input 2 3 8 5" xfId="9105"/>
    <cellStyle name="Input 2 3 8 6" xfId="35917"/>
    <cellStyle name="Input 2 3 8 7" xfId="43701"/>
    <cellStyle name="Input 2 3 8 8" xfId="52001"/>
    <cellStyle name="Input 2 3 9" xfId="3193"/>
    <cellStyle name="Input 2 3 9 2" xfId="9106"/>
    <cellStyle name="Input 2 3 9 3" xfId="9107"/>
    <cellStyle name="Input 2 3 9 4" xfId="9108"/>
    <cellStyle name="Input 2 3 9 5" xfId="9109"/>
    <cellStyle name="Input 2 3 9 6" xfId="36481"/>
    <cellStyle name="Input 2 3 9 7" xfId="43702"/>
    <cellStyle name="Input 2 3 9 8" xfId="52002"/>
    <cellStyle name="Input 2 4" xfId="246"/>
    <cellStyle name="Input 2 4 10" xfId="3151"/>
    <cellStyle name="Input 2 4 10 2" xfId="9110"/>
    <cellStyle name="Input 2 4 10 3" xfId="9111"/>
    <cellStyle name="Input 2 4 10 4" xfId="9112"/>
    <cellStyle name="Input 2 4 10 5" xfId="9113"/>
    <cellStyle name="Input 2 4 10 6" xfId="36039"/>
    <cellStyle name="Input 2 4 10 7" xfId="43703"/>
    <cellStyle name="Input 2 4 10 8" xfId="52003"/>
    <cellStyle name="Input 2 4 11" xfId="9114"/>
    <cellStyle name="Input 2 4 11 2" xfId="9115"/>
    <cellStyle name="Input 2 4 11 3" xfId="9116"/>
    <cellStyle name="Input 2 4 11 4" xfId="9117"/>
    <cellStyle name="Input 2 4 11 5" xfId="9118"/>
    <cellStyle name="Input 2 4 11 6" xfId="35854"/>
    <cellStyle name="Input 2 4 11 7" xfId="43704"/>
    <cellStyle name="Input 2 4 11 8" xfId="52004"/>
    <cellStyle name="Input 2 4 12" xfId="9119"/>
    <cellStyle name="Input 2 4 12 2" xfId="9120"/>
    <cellStyle name="Input 2 4 12 3" xfId="9121"/>
    <cellStyle name="Input 2 4 12 4" xfId="9122"/>
    <cellStyle name="Input 2 4 12 5" xfId="9123"/>
    <cellStyle name="Input 2 4 12 6" xfId="35792"/>
    <cellStyle name="Input 2 4 12 7" xfId="43705"/>
    <cellStyle name="Input 2 4 12 8" xfId="52005"/>
    <cellStyle name="Input 2 4 13" xfId="9124"/>
    <cellStyle name="Input 2 4 13 2" xfId="9125"/>
    <cellStyle name="Input 2 4 13 3" xfId="9126"/>
    <cellStyle name="Input 2 4 13 4" xfId="9127"/>
    <cellStyle name="Input 2 4 13 5" xfId="9128"/>
    <cellStyle name="Input 2 4 13 6" xfId="37034"/>
    <cellStyle name="Input 2 4 13 7" xfId="43706"/>
    <cellStyle name="Input 2 4 13 8" xfId="52006"/>
    <cellStyle name="Input 2 4 14" xfId="9129"/>
    <cellStyle name="Input 2 4 14 2" xfId="9130"/>
    <cellStyle name="Input 2 4 14 3" xfId="9131"/>
    <cellStyle name="Input 2 4 14 4" xfId="9132"/>
    <cellStyle name="Input 2 4 14 5" xfId="9133"/>
    <cellStyle name="Input 2 4 14 6" xfId="37646"/>
    <cellStyle name="Input 2 4 14 7" xfId="43707"/>
    <cellStyle name="Input 2 4 14 8" xfId="52007"/>
    <cellStyle name="Input 2 4 15" xfId="9134"/>
    <cellStyle name="Input 2 4 15 2" xfId="9135"/>
    <cellStyle name="Input 2 4 15 3" xfId="9136"/>
    <cellStyle name="Input 2 4 15 4" xfId="9137"/>
    <cellStyle name="Input 2 4 15 5" xfId="9138"/>
    <cellStyle name="Input 2 4 15 6" xfId="35861"/>
    <cellStyle name="Input 2 4 15 7" xfId="43708"/>
    <cellStyle name="Input 2 4 15 8" xfId="52008"/>
    <cellStyle name="Input 2 4 16" xfId="9139"/>
    <cellStyle name="Input 2 4 16 2" xfId="9140"/>
    <cellStyle name="Input 2 4 16 3" xfId="9141"/>
    <cellStyle name="Input 2 4 16 4" xfId="9142"/>
    <cellStyle name="Input 2 4 16 5" xfId="9143"/>
    <cellStyle name="Input 2 4 16 6" xfId="43709"/>
    <cellStyle name="Input 2 4 16 7" xfId="52009"/>
    <cellStyle name="Input 2 4 17" xfId="9144"/>
    <cellStyle name="Input 2 4 17 2" xfId="9145"/>
    <cellStyle name="Input 2 4 17 3" xfId="9146"/>
    <cellStyle name="Input 2 4 17 4" xfId="9147"/>
    <cellStyle name="Input 2 4 17 5" xfId="9148"/>
    <cellStyle name="Input 2 4 18" xfId="9149"/>
    <cellStyle name="Input 2 4 19" xfId="694"/>
    <cellStyle name="Input 2 4 2" xfId="278"/>
    <cellStyle name="Input 2 4 2 10" xfId="9150"/>
    <cellStyle name="Input 2 4 2 10 2" xfId="9151"/>
    <cellStyle name="Input 2 4 2 10 3" xfId="9152"/>
    <cellStyle name="Input 2 4 2 10 4" xfId="9153"/>
    <cellStyle name="Input 2 4 2 10 5" xfId="9154"/>
    <cellStyle name="Input 2 4 2 10 6" xfId="38223"/>
    <cellStyle name="Input 2 4 2 10 7" xfId="43710"/>
    <cellStyle name="Input 2 4 2 10 8" xfId="52010"/>
    <cellStyle name="Input 2 4 2 11" xfId="9155"/>
    <cellStyle name="Input 2 4 2 11 2" xfId="9156"/>
    <cellStyle name="Input 2 4 2 11 3" xfId="9157"/>
    <cellStyle name="Input 2 4 2 11 4" xfId="9158"/>
    <cellStyle name="Input 2 4 2 11 5" xfId="9159"/>
    <cellStyle name="Input 2 4 2 11 6" xfId="38845"/>
    <cellStyle name="Input 2 4 2 11 7" xfId="43711"/>
    <cellStyle name="Input 2 4 2 11 8" xfId="52011"/>
    <cellStyle name="Input 2 4 2 12" xfId="9160"/>
    <cellStyle name="Input 2 4 2 12 2" xfId="9161"/>
    <cellStyle name="Input 2 4 2 12 3" xfId="9162"/>
    <cellStyle name="Input 2 4 2 12 4" xfId="9163"/>
    <cellStyle name="Input 2 4 2 12 5" xfId="9164"/>
    <cellStyle name="Input 2 4 2 12 6" xfId="39465"/>
    <cellStyle name="Input 2 4 2 12 7" xfId="43712"/>
    <cellStyle name="Input 2 4 2 12 8" xfId="52012"/>
    <cellStyle name="Input 2 4 2 13" xfId="9165"/>
    <cellStyle name="Input 2 4 2 13 2" xfId="9166"/>
    <cellStyle name="Input 2 4 2 13 3" xfId="9167"/>
    <cellStyle name="Input 2 4 2 13 4" xfId="9168"/>
    <cellStyle name="Input 2 4 2 13 5" xfId="9169"/>
    <cellStyle name="Input 2 4 2 13 6" xfId="40083"/>
    <cellStyle name="Input 2 4 2 13 7" xfId="43713"/>
    <cellStyle name="Input 2 4 2 13 8" xfId="52013"/>
    <cellStyle name="Input 2 4 2 14" xfId="9170"/>
    <cellStyle name="Input 2 4 2 14 2" xfId="9171"/>
    <cellStyle name="Input 2 4 2 14 3" xfId="9172"/>
    <cellStyle name="Input 2 4 2 14 4" xfId="9173"/>
    <cellStyle name="Input 2 4 2 14 5" xfId="9174"/>
    <cellStyle name="Input 2 4 2 14 6" xfId="43714"/>
    <cellStyle name="Input 2 4 2 14 7" xfId="52014"/>
    <cellStyle name="Input 2 4 2 15" xfId="9175"/>
    <cellStyle name="Input 2 4 2 15 2" xfId="9176"/>
    <cellStyle name="Input 2 4 2 15 3" xfId="9177"/>
    <cellStyle name="Input 2 4 2 15 4" xfId="9178"/>
    <cellStyle name="Input 2 4 2 15 5" xfId="9179"/>
    <cellStyle name="Input 2 4 2 16" xfId="9180"/>
    <cellStyle name="Input 2 4 2 17" xfId="723"/>
    <cellStyle name="Input 2 4 2 18" xfId="34747"/>
    <cellStyle name="Input 2 4 2 19" xfId="40807"/>
    <cellStyle name="Input 2 4 2 2" xfId="345"/>
    <cellStyle name="Input 2 4 2 2 10" xfId="9181"/>
    <cellStyle name="Input 2 4 2 2 10 2" xfId="9182"/>
    <cellStyle name="Input 2 4 2 2 10 3" xfId="9183"/>
    <cellStyle name="Input 2 4 2 2 10 4" xfId="9184"/>
    <cellStyle name="Input 2 4 2 2 10 5" xfId="9185"/>
    <cellStyle name="Input 2 4 2 2 10 6" xfId="39523"/>
    <cellStyle name="Input 2 4 2 2 10 7" xfId="43715"/>
    <cellStyle name="Input 2 4 2 2 10 8" xfId="52015"/>
    <cellStyle name="Input 2 4 2 2 11" xfId="9186"/>
    <cellStyle name="Input 2 4 2 2 11 2" xfId="9187"/>
    <cellStyle name="Input 2 4 2 2 11 3" xfId="9188"/>
    <cellStyle name="Input 2 4 2 2 11 4" xfId="9189"/>
    <cellStyle name="Input 2 4 2 2 11 5" xfId="9190"/>
    <cellStyle name="Input 2 4 2 2 11 6" xfId="40139"/>
    <cellStyle name="Input 2 4 2 2 11 7" xfId="43716"/>
    <cellStyle name="Input 2 4 2 2 11 8" xfId="52016"/>
    <cellStyle name="Input 2 4 2 2 12" xfId="9191"/>
    <cellStyle name="Input 2 4 2 2 12 2" xfId="9192"/>
    <cellStyle name="Input 2 4 2 2 12 3" xfId="9193"/>
    <cellStyle name="Input 2 4 2 2 12 4" xfId="9194"/>
    <cellStyle name="Input 2 4 2 2 12 5" xfId="9195"/>
    <cellStyle name="Input 2 4 2 2 12 6" xfId="43717"/>
    <cellStyle name="Input 2 4 2 2 12 7" xfId="52017"/>
    <cellStyle name="Input 2 4 2 2 13" xfId="9196"/>
    <cellStyle name="Input 2 4 2 2 13 2" xfId="9197"/>
    <cellStyle name="Input 2 4 2 2 13 3" xfId="9198"/>
    <cellStyle name="Input 2 4 2 2 13 4" xfId="9199"/>
    <cellStyle name="Input 2 4 2 2 13 5" xfId="9200"/>
    <cellStyle name="Input 2 4 2 2 13 6" xfId="43718"/>
    <cellStyle name="Input 2 4 2 2 13 7" xfId="52018"/>
    <cellStyle name="Input 2 4 2 2 14" xfId="9201"/>
    <cellStyle name="Input 2 4 2 2 14 2" xfId="9202"/>
    <cellStyle name="Input 2 4 2 2 14 3" xfId="9203"/>
    <cellStyle name="Input 2 4 2 2 14 4" xfId="9204"/>
    <cellStyle name="Input 2 4 2 2 14 5" xfId="9205"/>
    <cellStyle name="Input 2 4 2 2 15" xfId="9206"/>
    <cellStyle name="Input 2 4 2 2 15 2" xfId="9207"/>
    <cellStyle name="Input 2 4 2 2 15 3" xfId="9208"/>
    <cellStyle name="Input 2 4 2 2 15 4" xfId="9209"/>
    <cellStyle name="Input 2 4 2 2 15 5" xfId="9210"/>
    <cellStyle name="Input 2 4 2 2 16" xfId="9211"/>
    <cellStyle name="Input 2 4 2 2 16 2" xfId="9212"/>
    <cellStyle name="Input 2 4 2 2 16 3" xfId="9213"/>
    <cellStyle name="Input 2 4 2 2 16 4" xfId="9214"/>
    <cellStyle name="Input 2 4 2 2 16 5" xfId="9215"/>
    <cellStyle name="Input 2 4 2 2 17" xfId="9216"/>
    <cellStyle name="Input 2 4 2 2 17 2" xfId="9217"/>
    <cellStyle name="Input 2 4 2 2 17 3" xfId="9218"/>
    <cellStyle name="Input 2 4 2 2 17 4" xfId="9219"/>
    <cellStyle name="Input 2 4 2 2 17 5" xfId="9220"/>
    <cellStyle name="Input 2 4 2 2 18" xfId="9221"/>
    <cellStyle name="Input 2 4 2 2 19" xfId="781"/>
    <cellStyle name="Input 2 4 2 2 2" xfId="564"/>
    <cellStyle name="Input 2 4 2 2 2 10" xfId="9222"/>
    <cellStyle name="Input 2 4 2 2 2 10 2" xfId="9223"/>
    <cellStyle name="Input 2 4 2 2 2 10 3" xfId="9224"/>
    <cellStyle name="Input 2 4 2 2 2 10 4" xfId="9225"/>
    <cellStyle name="Input 2 4 2 2 2 10 5" xfId="9226"/>
    <cellStyle name="Input 2 4 2 2 2 10 6" xfId="43719"/>
    <cellStyle name="Input 2 4 2 2 2 10 7" xfId="52019"/>
    <cellStyle name="Input 2 4 2 2 2 11" xfId="9227"/>
    <cellStyle name="Input 2 4 2 2 2 11 2" xfId="9228"/>
    <cellStyle name="Input 2 4 2 2 2 11 3" xfId="9229"/>
    <cellStyle name="Input 2 4 2 2 2 11 4" xfId="9230"/>
    <cellStyle name="Input 2 4 2 2 2 11 5" xfId="9231"/>
    <cellStyle name="Input 2 4 2 2 2 12" xfId="9232"/>
    <cellStyle name="Input 2 4 2 2 2 12 2" xfId="9233"/>
    <cellStyle name="Input 2 4 2 2 2 12 3" xfId="9234"/>
    <cellStyle name="Input 2 4 2 2 2 12 4" xfId="9235"/>
    <cellStyle name="Input 2 4 2 2 2 12 5" xfId="9236"/>
    <cellStyle name="Input 2 4 2 2 2 13" xfId="9237"/>
    <cellStyle name="Input 2 4 2 2 2 13 2" xfId="9238"/>
    <cellStyle name="Input 2 4 2 2 2 13 3" xfId="9239"/>
    <cellStyle name="Input 2 4 2 2 2 13 4" xfId="9240"/>
    <cellStyle name="Input 2 4 2 2 2 13 5" xfId="9241"/>
    <cellStyle name="Input 2 4 2 2 2 14" xfId="9242"/>
    <cellStyle name="Input 2 4 2 2 2 14 2" xfId="9243"/>
    <cellStyle name="Input 2 4 2 2 2 14 3" xfId="9244"/>
    <cellStyle name="Input 2 4 2 2 2 14 4" xfId="9245"/>
    <cellStyle name="Input 2 4 2 2 2 14 5" xfId="9246"/>
    <cellStyle name="Input 2 4 2 2 2 15" xfId="9247"/>
    <cellStyle name="Input 2 4 2 2 2 15 2" xfId="9248"/>
    <cellStyle name="Input 2 4 2 2 2 15 3" xfId="9249"/>
    <cellStyle name="Input 2 4 2 2 2 15 4" xfId="9250"/>
    <cellStyle name="Input 2 4 2 2 2 15 5" xfId="9251"/>
    <cellStyle name="Input 2 4 2 2 2 16" xfId="9252"/>
    <cellStyle name="Input 2 4 2 2 2 16 2" xfId="9253"/>
    <cellStyle name="Input 2 4 2 2 2 16 3" xfId="9254"/>
    <cellStyle name="Input 2 4 2 2 2 16 4" xfId="9255"/>
    <cellStyle name="Input 2 4 2 2 2 16 5" xfId="9256"/>
    <cellStyle name="Input 2 4 2 2 2 17" xfId="9257"/>
    <cellStyle name="Input 2 4 2 2 2 17 2" xfId="9258"/>
    <cellStyle name="Input 2 4 2 2 2 17 3" xfId="9259"/>
    <cellStyle name="Input 2 4 2 2 2 17 4" xfId="9260"/>
    <cellStyle name="Input 2 4 2 2 2 17 5" xfId="9261"/>
    <cellStyle name="Input 2 4 2 2 2 18" xfId="9262"/>
    <cellStyle name="Input 2 4 2 2 2 19" xfId="993"/>
    <cellStyle name="Input 2 4 2 2 2 2" xfId="1981"/>
    <cellStyle name="Input 2 4 2 2 2 2 2" xfId="9263"/>
    <cellStyle name="Input 2 4 2 2 2 2 3" xfId="9264"/>
    <cellStyle name="Input 2 4 2 2 2 2 4" xfId="9265"/>
    <cellStyle name="Input 2 4 2 2 2 2 5" xfId="9266"/>
    <cellStyle name="Input 2 4 2 2 2 2 6" xfId="36368"/>
    <cellStyle name="Input 2 4 2 2 2 2 7" xfId="43720"/>
    <cellStyle name="Input 2 4 2 2 2 2 8" xfId="52020"/>
    <cellStyle name="Input 2 4 2 2 2 20" xfId="35073"/>
    <cellStyle name="Input 2 4 2 2 2 21" xfId="41292"/>
    <cellStyle name="Input 2 4 2 2 2 3" xfId="1982"/>
    <cellStyle name="Input 2 4 2 2 2 3 2" xfId="9267"/>
    <cellStyle name="Input 2 4 2 2 2 3 3" xfId="9268"/>
    <cellStyle name="Input 2 4 2 2 2 3 4" xfId="9269"/>
    <cellStyle name="Input 2 4 2 2 2 3 5" xfId="9270"/>
    <cellStyle name="Input 2 4 2 2 2 3 6" xfId="36865"/>
    <cellStyle name="Input 2 4 2 2 2 3 7" xfId="43721"/>
    <cellStyle name="Input 2 4 2 2 2 3 8" xfId="52021"/>
    <cellStyle name="Input 2 4 2 2 2 4" xfId="1190"/>
    <cellStyle name="Input 2 4 2 2 2 4 2" xfId="9271"/>
    <cellStyle name="Input 2 4 2 2 2 4 3" xfId="9272"/>
    <cellStyle name="Input 2 4 2 2 2 4 4" xfId="9273"/>
    <cellStyle name="Input 2 4 2 2 2 4 5" xfId="9274"/>
    <cellStyle name="Input 2 4 2 2 2 4 6" xfId="37481"/>
    <cellStyle name="Input 2 4 2 2 2 4 7" xfId="43722"/>
    <cellStyle name="Input 2 4 2 2 2 4 8" xfId="52022"/>
    <cellStyle name="Input 2 4 2 2 2 5" xfId="3208"/>
    <cellStyle name="Input 2 4 2 2 2 5 2" xfId="9275"/>
    <cellStyle name="Input 2 4 2 2 2 5 3" xfId="9276"/>
    <cellStyle name="Input 2 4 2 2 2 5 4" xfId="9277"/>
    <cellStyle name="Input 2 4 2 2 2 5 5" xfId="9278"/>
    <cellStyle name="Input 2 4 2 2 2 5 6" xfId="38097"/>
    <cellStyle name="Input 2 4 2 2 2 5 7" xfId="43723"/>
    <cellStyle name="Input 2 4 2 2 2 5 8" xfId="52023"/>
    <cellStyle name="Input 2 4 2 2 2 6" xfId="3148"/>
    <cellStyle name="Input 2 4 2 2 2 6 2" xfId="9279"/>
    <cellStyle name="Input 2 4 2 2 2 6 3" xfId="9280"/>
    <cellStyle name="Input 2 4 2 2 2 6 4" xfId="9281"/>
    <cellStyle name="Input 2 4 2 2 2 6 5" xfId="9282"/>
    <cellStyle name="Input 2 4 2 2 2 6 6" xfId="38715"/>
    <cellStyle name="Input 2 4 2 2 2 6 7" xfId="43724"/>
    <cellStyle name="Input 2 4 2 2 2 6 8" xfId="52024"/>
    <cellStyle name="Input 2 4 2 2 2 7" xfId="9283"/>
    <cellStyle name="Input 2 4 2 2 2 7 2" xfId="9284"/>
    <cellStyle name="Input 2 4 2 2 2 7 3" xfId="9285"/>
    <cellStyle name="Input 2 4 2 2 2 7 4" xfId="9286"/>
    <cellStyle name="Input 2 4 2 2 2 7 5" xfId="9287"/>
    <cellStyle name="Input 2 4 2 2 2 7 6" xfId="39335"/>
    <cellStyle name="Input 2 4 2 2 2 7 7" xfId="43725"/>
    <cellStyle name="Input 2 4 2 2 2 7 8" xfId="52025"/>
    <cellStyle name="Input 2 4 2 2 2 8" xfId="9288"/>
    <cellStyle name="Input 2 4 2 2 2 8 2" xfId="9289"/>
    <cellStyle name="Input 2 4 2 2 2 8 3" xfId="9290"/>
    <cellStyle name="Input 2 4 2 2 2 8 4" xfId="9291"/>
    <cellStyle name="Input 2 4 2 2 2 8 5" xfId="9292"/>
    <cellStyle name="Input 2 4 2 2 2 8 6" xfId="39951"/>
    <cellStyle name="Input 2 4 2 2 2 8 7" xfId="43726"/>
    <cellStyle name="Input 2 4 2 2 2 8 8" xfId="52026"/>
    <cellStyle name="Input 2 4 2 2 2 9" xfId="9293"/>
    <cellStyle name="Input 2 4 2 2 2 9 2" xfId="9294"/>
    <cellStyle name="Input 2 4 2 2 2 9 3" xfId="9295"/>
    <cellStyle name="Input 2 4 2 2 2 9 4" xfId="9296"/>
    <cellStyle name="Input 2 4 2 2 2 9 5" xfId="9297"/>
    <cellStyle name="Input 2 4 2 2 2 9 6" xfId="40566"/>
    <cellStyle name="Input 2 4 2 2 2 9 7" xfId="43727"/>
    <cellStyle name="Input 2 4 2 2 2 9 8" xfId="52027"/>
    <cellStyle name="Input 2 4 2 2 20" xfId="34932"/>
    <cellStyle name="Input 2 4 2 2 21" xfId="40865"/>
    <cellStyle name="Input 2 4 2 2 22" xfId="41426"/>
    <cellStyle name="Input 2 4 2 2 23" xfId="50513"/>
    <cellStyle name="Input 2 4 2 2 3" xfId="1983"/>
    <cellStyle name="Input 2 4 2 2 3 10" xfId="34855"/>
    <cellStyle name="Input 2 4 2 2 3 11" xfId="41080"/>
    <cellStyle name="Input 2 4 2 2 3 12" xfId="43728"/>
    <cellStyle name="Input 2 4 2 2 3 13" xfId="52028"/>
    <cellStyle name="Input 2 4 2 2 3 2" xfId="1984"/>
    <cellStyle name="Input 2 4 2 2 3 2 2" xfId="36157"/>
    <cellStyle name="Input 2 4 2 2 3 2 3" xfId="43729"/>
    <cellStyle name="Input 2 4 2 2 3 2 4" xfId="52029"/>
    <cellStyle name="Input 2 4 2 2 3 3" xfId="1985"/>
    <cellStyle name="Input 2 4 2 2 3 3 2" xfId="36654"/>
    <cellStyle name="Input 2 4 2 2 3 3 3" xfId="43730"/>
    <cellStyle name="Input 2 4 2 2 3 3 4" xfId="52030"/>
    <cellStyle name="Input 2 4 2 2 3 4" xfId="9298"/>
    <cellStyle name="Input 2 4 2 2 3 4 2" xfId="37270"/>
    <cellStyle name="Input 2 4 2 2 3 4 3" xfId="43731"/>
    <cellStyle name="Input 2 4 2 2 3 4 4" xfId="52031"/>
    <cellStyle name="Input 2 4 2 2 3 5" xfId="9299"/>
    <cellStyle name="Input 2 4 2 2 3 5 2" xfId="37886"/>
    <cellStyle name="Input 2 4 2 2 3 5 3" xfId="43732"/>
    <cellStyle name="Input 2 4 2 2 3 5 4" xfId="52032"/>
    <cellStyle name="Input 2 4 2 2 3 6" xfId="38503"/>
    <cellStyle name="Input 2 4 2 2 3 6 2" xfId="43733"/>
    <cellStyle name="Input 2 4 2 2 3 6 3" xfId="52033"/>
    <cellStyle name="Input 2 4 2 2 3 7" xfId="39123"/>
    <cellStyle name="Input 2 4 2 2 3 7 2" xfId="43734"/>
    <cellStyle name="Input 2 4 2 2 3 7 3" xfId="52034"/>
    <cellStyle name="Input 2 4 2 2 3 8" xfId="39739"/>
    <cellStyle name="Input 2 4 2 2 3 8 2" xfId="43735"/>
    <cellStyle name="Input 2 4 2 2 3 8 3" xfId="52035"/>
    <cellStyle name="Input 2 4 2 2 3 9" xfId="40354"/>
    <cellStyle name="Input 2 4 2 2 3 9 2" xfId="43736"/>
    <cellStyle name="Input 2 4 2 2 3 9 3" xfId="52036"/>
    <cellStyle name="Input 2 4 2 2 4" xfId="1986"/>
    <cellStyle name="Input 2 4 2 2 4 10" xfId="43737"/>
    <cellStyle name="Input 2 4 2 2 4 11" xfId="52037"/>
    <cellStyle name="Input 2 4 2 2 4 2" xfId="9300"/>
    <cellStyle name="Input 2 4 2 2 4 2 2" xfId="43738"/>
    <cellStyle name="Input 2 4 2 2 4 2 3" xfId="52038"/>
    <cellStyle name="Input 2 4 2 2 4 3" xfId="9301"/>
    <cellStyle name="Input 2 4 2 2 4 3 2" xfId="43739"/>
    <cellStyle name="Input 2 4 2 2 4 3 3" xfId="52039"/>
    <cellStyle name="Input 2 4 2 2 4 4" xfId="9302"/>
    <cellStyle name="Input 2 4 2 2 4 4 2" xfId="43740"/>
    <cellStyle name="Input 2 4 2 2 4 4 3" xfId="52040"/>
    <cellStyle name="Input 2 4 2 2 4 5" xfId="9303"/>
    <cellStyle name="Input 2 4 2 2 4 5 2" xfId="43741"/>
    <cellStyle name="Input 2 4 2 2 4 5 3" xfId="52041"/>
    <cellStyle name="Input 2 4 2 2 4 6" xfId="35686"/>
    <cellStyle name="Input 2 4 2 2 4 6 2" xfId="43742"/>
    <cellStyle name="Input 2 4 2 2 4 6 3" xfId="52042"/>
    <cellStyle name="Input 2 4 2 2 4 7" xfId="43743"/>
    <cellStyle name="Input 2 4 2 2 4 7 2" xfId="52043"/>
    <cellStyle name="Input 2 4 2 2 4 8" xfId="43744"/>
    <cellStyle name="Input 2 4 2 2 4 8 2" xfId="52044"/>
    <cellStyle name="Input 2 4 2 2 4 9" xfId="43745"/>
    <cellStyle name="Input 2 4 2 2 4 9 2" xfId="52045"/>
    <cellStyle name="Input 2 4 2 2 5" xfId="1189"/>
    <cellStyle name="Input 2 4 2 2 5 2" xfId="9304"/>
    <cellStyle name="Input 2 4 2 2 5 3" xfId="9305"/>
    <cellStyle name="Input 2 4 2 2 5 4" xfId="9306"/>
    <cellStyle name="Input 2 4 2 2 5 5" xfId="9307"/>
    <cellStyle name="Input 2 4 2 2 5 6" xfId="35782"/>
    <cellStyle name="Input 2 4 2 2 5 7" xfId="43746"/>
    <cellStyle name="Input 2 4 2 2 5 8" xfId="52046"/>
    <cellStyle name="Input 2 4 2 2 6" xfId="3207"/>
    <cellStyle name="Input 2 4 2 2 6 2" xfId="9308"/>
    <cellStyle name="Input 2 4 2 2 6 3" xfId="9309"/>
    <cellStyle name="Input 2 4 2 2 6 4" xfId="9310"/>
    <cellStyle name="Input 2 4 2 2 6 5" xfId="9311"/>
    <cellStyle name="Input 2 4 2 2 6 6" xfId="37055"/>
    <cellStyle name="Input 2 4 2 2 6 7" xfId="43747"/>
    <cellStyle name="Input 2 4 2 2 6 8" xfId="52047"/>
    <cellStyle name="Input 2 4 2 2 7" xfId="3149"/>
    <cellStyle name="Input 2 4 2 2 7 2" xfId="9312"/>
    <cellStyle name="Input 2 4 2 2 7 3" xfId="9313"/>
    <cellStyle name="Input 2 4 2 2 7 4" xfId="9314"/>
    <cellStyle name="Input 2 4 2 2 7 5" xfId="9315"/>
    <cellStyle name="Input 2 4 2 2 7 6" xfId="37669"/>
    <cellStyle name="Input 2 4 2 2 7 7" xfId="43748"/>
    <cellStyle name="Input 2 4 2 2 7 8" xfId="52048"/>
    <cellStyle name="Input 2 4 2 2 8" xfId="9316"/>
    <cellStyle name="Input 2 4 2 2 8 2" xfId="9317"/>
    <cellStyle name="Input 2 4 2 2 8 3" xfId="9318"/>
    <cellStyle name="Input 2 4 2 2 8 4" xfId="9319"/>
    <cellStyle name="Input 2 4 2 2 8 5" xfId="9320"/>
    <cellStyle name="Input 2 4 2 2 8 6" xfId="38284"/>
    <cellStyle name="Input 2 4 2 2 8 7" xfId="43749"/>
    <cellStyle name="Input 2 4 2 2 8 8" xfId="52049"/>
    <cellStyle name="Input 2 4 2 2 9" xfId="9321"/>
    <cellStyle name="Input 2 4 2 2 9 2" xfId="9322"/>
    <cellStyle name="Input 2 4 2 2 9 3" xfId="9323"/>
    <cellStyle name="Input 2 4 2 2 9 4" xfId="9324"/>
    <cellStyle name="Input 2 4 2 2 9 5" xfId="9325"/>
    <cellStyle name="Input 2 4 2 2 9 6" xfId="38904"/>
    <cellStyle name="Input 2 4 2 2 9 7" xfId="43750"/>
    <cellStyle name="Input 2 4 2 2 9 8" xfId="52050"/>
    <cellStyle name="Input 2 4 2 3" xfId="508"/>
    <cellStyle name="Input 2 4 2 3 10" xfId="9326"/>
    <cellStyle name="Input 2 4 2 3 10 2" xfId="9327"/>
    <cellStyle name="Input 2 4 2 3 10 3" xfId="9328"/>
    <cellStyle name="Input 2 4 2 3 10 4" xfId="9329"/>
    <cellStyle name="Input 2 4 2 3 10 5" xfId="9330"/>
    <cellStyle name="Input 2 4 2 3 10 6" xfId="43751"/>
    <cellStyle name="Input 2 4 2 3 10 7" xfId="52051"/>
    <cellStyle name="Input 2 4 2 3 11" xfId="9331"/>
    <cellStyle name="Input 2 4 2 3 11 2" xfId="9332"/>
    <cellStyle name="Input 2 4 2 3 11 3" xfId="9333"/>
    <cellStyle name="Input 2 4 2 3 11 4" xfId="9334"/>
    <cellStyle name="Input 2 4 2 3 11 5" xfId="9335"/>
    <cellStyle name="Input 2 4 2 3 12" xfId="9336"/>
    <cellStyle name="Input 2 4 2 3 12 2" xfId="9337"/>
    <cellStyle name="Input 2 4 2 3 12 3" xfId="9338"/>
    <cellStyle name="Input 2 4 2 3 12 4" xfId="9339"/>
    <cellStyle name="Input 2 4 2 3 12 5" xfId="9340"/>
    <cellStyle name="Input 2 4 2 3 13" xfId="9341"/>
    <cellStyle name="Input 2 4 2 3 13 2" xfId="9342"/>
    <cellStyle name="Input 2 4 2 3 13 3" xfId="9343"/>
    <cellStyle name="Input 2 4 2 3 13 4" xfId="9344"/>
    <cellStyle name="Input 2 4 2 3 13 5" xfId="9345"/>
    <cellStyle name="Input 2 4 2 3 14" xfId="9346"/>
    <cellStyle name="Input 2 4 2 3 14 2" xfId="9347"/>
    <cellStyle name="Input 2 4 2 3 14 3" xfId="9348"/>
    <cellStyle name="Input 2 4 2 3 14 4" xfId="9349"/>
    <cellStyle name="Input 2 4 2 3 14 5" xfId="9350"/>
    <cellStyle name="Input 2 4 2 3 15" xfId="9351"/>
    <cellStyle name="Input 2 4 2 3 15 2" xfId="9352"/>
    <cellStyle name="Input 2 4 2 3 15 3" xfId="9353"/>
    <cellStyle name="Input 2 4 2 3 15 4" xfId="9354"/>
    <cellStyle name="Input 2 4 2 3 15 5" xfId="9355"/>
    <cellStyle name="Input 2 4 2 3 16" xfId="9356"/>
    <cellStyle name="Input 2 4 2 3 16 2" xfId="9357"/>
    <cellStyle name="Input 2 4 2 3 16 3" xfId="9358"/>
    <cellStyle name="Input 2 4 2 3 16 4" xfId="9359"/>
    <cellStyle name="Input 2 4 2 3 16 5" xfId="9360"/>
    <cellStyle name="Input 2 4 2 3 17" xfId="9361"/>
    <cellStyle name="Input 2 4 2 3 17 2" xfId="9362"/>
    <cellStyle name="Input 2 4 2 3 17 3" xfId="9363"/>
    <cellStyle name="Input 2 4 2 3 17 4" xfId="9364"/>
    <cellStyle name="Input 2 4 2 3 17 5" xfId="9365"/>
    <cellStyle name="Input 2 4 2 3 18" xfId="9366"/>
    <cellStyle name="Input 2 4 2 3 19" xfId="937"/>
    <cellStyle name="Input 2 4 2 3 2" xfId="1987"/>
    <cellStyle name="Input 2 4 2 3 2 2" xfId="1988"/>
    <cellStyle name="Input 2 4 2 3 2 3" xfId="1989"/>
    <cellStyle name="Input 2 4 2 3 2 4" xfId="9367"/>
    <cellStyle name="Input 2 4 2 3 2 5" xfId="9368"/>
    <cellStyle name="Input 2 4 2 3 2 6" xfId="36312"/>
    <cellStyle name="Input 2 4 2 3 2 7" xfId="43752"/>
    <cellStyle name="Input 2 4 2 3 2 8" xfId="52052"/>
    <cellStyle name="Input 2 4 2 3 20" xfId="35017"/>
    <cellStyle name="Input 2 4 2 3 21" xfId="40726"/>
    <cellStyle name="Input 2 4 2 3 22" xfId="41236"/>
    <cellStyle name="Input 2 4 2 3 3" xfId="1990"/>
    <cellStyle name="Input 2 4 2 3 3 2" xfId="9369"/>
    <cellStyle name="Input 2 4 2 3 3 3" xfId="9370"/>
    <cellStyle name="Input 2 4 2 3 3 4" xfId="9371"/>
    <cellStyle name="Input 2 4 2 3 3 5" xfId="9372"/>
    <cellStyle name="Input 2 4 2 3 3 6" xfId="36809"/>
    <cellStyle name="Input 2 4 2 3 3 7" xfId="43753"/>
    <cellStyle name="Input 2 4 2 3 3 8" xfId="52053"/>
    <cellStyle name="Input 2 4 2 3 4" xfId="1191"/>
    <cellStyle name="Input 2 4 2 3 4 2" xfId="9373"/>
    <cellStyle name="Input 2 4 2 3 4 3" xfId="9374"/>
    <cellStyle name="Input 2 4 2 3 4 4" xfId="9375"/>
    <cellStyle name="Input 2 4 2 3 4 5" xfId="9376"/>
    <cellStyle name="Input 2 4 2 3 4 6" xfId="37425"/>
    <cellStyle name="Input 2 4 2 3 4 7" xfId="43754"/>
    <cellStyle name="Input 2 4 2 3 4 8" xfId="52054"/>
    <cellStyle name="Input 2 4 2 3 5" xfId="3209"/>
    <cellStyle name="Input 2 4 2 3 5 2" xfId="9377"/>
    <cellStyle name="Input 2 4 2 3 5 3" xfId="9378"/>
    <cellStyle name="Input 2 4 2 3 5 4" xfId="9379"/>
    <cellStyle name="Input 2 4 2 3 5 5" xfId="9380"/>
    <cellStyle name="Input 2 4 2 3 5 6" xfId="38041"/>
    <cellStyle name="Input 2 4 2 3 5 7" xfId="43755"/>
    <cellStyle name="Input 2 4 2 3 5 8" xfId="52055"/>
    <cellStyle name="Input 2 4 2 3 6" xfId="3147"/>
    <cellStyle name="Input 2 4 2 3 6 2" xfId="9381"/>
    <cellStyle name="Input 2 4 2 3 6 3" xfId="9382"/>
    <cellStyle name="Input 2 4 2 3 6 4" xfId="9383"/>
    <cellStyle name="Input 2 4 2 3 6 5" xfId="9384"/>
    <cellStyle name="Input 2 4 2 3 6 6" xfId="38659"/>
    <cellStyle name="Input 2 4 2 3 6 7" xfId="43756"/>
    <cellStyle name="Input 2 4 2 3 6 8" xfId="52056"/>
    <cellStyle name="Input 2 4 2 3 7" xfId="9385"/>
    <cellStyle name="Input 2 4 2 3 7 2" xfId="9386"/>
    <cellStyle name="Input 2 4 2 3 7 3" xfId="9387"/>
    <cellStyle name="Input 2 4 2 3 7 4" xfId="9388"/>
    <cellStyle name="Input 2 4 2 3 7 5" xfId="9389"/>
    <cellStyle name="Input 2 4 2 3 7 6" xfId="39279"/>
    <cellStyle name="Input 2 4 2 3 7 7" xfId="43757"/>
    <cellStyle name="Input 2 4 2 3 7 8" xfId="52057"/>
    <cellStyle name="Input 2 4 2 3 8" xfId="9390"/>
    <cellStyle name="Input 2 4 2 3 8 2" xfId="9391"/>
    <cellStyle name="Input 2 4 2 3 8 3" xfId="9392"/>
    <cellStyle name="Input 2 4 2 3 8 4" xfId="9393"/>
    <cellStyle name="Input 2 4 2 3 8 5" xfId="9394"/>
    <cellStyle name="Input 2 4 2 3 8 6" xfId="39895"/>
    <cellStyle name="Input 2 4 2 3 8 7" xfId="43758"/>
    <cellStyle name="Input 2 4 2 3 8 8" xfId="52058"/>
    <cellStyle name="Input 2 4 2 3 9" xfId="9395"/>
    <cellStyle name="Input 2 4 2 3 9 2" xfId="9396"/>
    <cellStyle name="Input 2 4 2 3 9 3" xfId="9397"/>
    <cellStyle name="Input 2 4 2 3 9 4" xfId="9398"/>
    <cellStyle name="Input 2 4 2 3 9 5" xfId="9399"/>
    <cellStyle name="Input 2 4 2 3 9 6" xfId="40510"/>
    <cellStyle name="Input 2 4 2 3 9 7" xfId="43759"/>
    <cellStyle name="Input 2 4 2 3 9 8" xfId="52059"/>
    <cellStyle name="Input 2 4 2 4" xfId="1991"/>
    <cellStyle name="Input 2 4 2 4 10" xfId="34805"/>
    <cellStyle name="Input 2 4 2 4 11" xfId="41022"/>
    <cellStyle name="Input 2 4 2 4 12" xfId="43760"/>
    <cellStyle name="Input 2 4 2 4 13" xfId="52060"/>
    <cellStyle name="Input 2 4 2 4 2" xfId="1992"/>
    <cellStyle name="Input 2 4 2 4 2 2" xfId="36099"/>
    <cellStyle name="Input 2 4 2 4 2 3" xfId="43761"/>
    <cellStyle name="Input 2 4 2 4 2 4" xfId="52061"/>
    <cellStyle name="Input 2 4 2 4 3" xfId="1993"/>
    <cellStyle name="Input 2 4 2 4 3 2" xfId="36598"/>
    <cellStyle name="Input 2 4 2 4 3 3" xfId="43762"/>
    <cellStyle name="Input 2 4 2 4 3 4" xfId="52062"/>
    <cellStyle name="Input 2 4 2 4 4" xfId="9400"/>
    <cellStyle name="Input 2 4 2 4 4 2" xfId="37214"/>
    <cellStyle name="Input 2 4 2 4 4 3" xfId="43763"/>
    <cellStyle name="Input 2 4 2 4 4 4" xfId="52063"/>
    <cellStyle name="Input 2 4 2 4 5" xfId="9401"/>
    <cellStyle name="Input 2 4 2 4 5 2" xfId="37830"/>
    <cellStyle name="Input 2 4 2 4 5 3" xfId="43764"/>
    <cellStyle name="Input 2 4 2 4 5 4" xfId="52064"/>
    <cellStyle name="Input 2 4 2 4 6" xfId="38445"/>
    <cellStyle name="Input 2 4 2 4 6 2" xfId="43765"/>
    <cellStyle name="Input 2 4 2 4 6 3" xfId="52065"/>
    <cellStyle name="Input 2 4 2 4 7" xfId="39065"/>
    <cellStyle name="Input 2 4 2 4 7 2" xfId="43766"/>
    <cellStyle name="Input 2 4 2 4 7 3" xfId="52066"/>
    <cellStyle name="Input 2 4 2 4 8" xfId="39681"/>
    <cellStyle name="Input 2 4 2 4 8 2" xfId="43767"/>
    <cellStyle name="Input 2 4 2 4 8 3" xfId="52067"/>
    <cellStyle name="Input 2 4 2 4 9" xfId="40296"/>
    <cellStyle name="Input 2 4 2 4 9 2" xfId="43768"/>
    <cellStyle name="Input 2 4 2 4 9 3" xfId="52068"/>
    <cellStyle name="Input 2 4 2 5" xfId="1994"/>
    <cellStyle name="Input 2 4 2 5 10" xfId="43769"/>
    <cellStyle name="Input 2 4 2 5 11" xfId="52069"/>
    <cellStyle name="Input 2 4 2 5 2" xfId="1995"/>
    <cellStyle name="Input 2 4 2 5 2 2" xfId="43770"/>
    <cellStyle name="Input 2 4 2 5 2 3" xfId="52070"/>
    <cellStyle name="Input 2 4 2 5 3" xfId="1996"/>
    <cellStyle name="Input 2 4 2 5 3 2" xfId="43771"/>
    <cellStyle name="Input 2 4 2 5 3 3" xfId="52071"/>
    <cellStyle name="Input 2 4 2 5 4" xfId="9402"/>
    <cellStyle name="Input 2 4 2 5 4 2" xfId="43772"/>
    <cellStyle name="Input 2 4 2 5 4 3" xfId="52072"/>
    <cellStyle name="Input 2 4 2 5 5" xfId="9403"/>
    <cellStyle name="Input 2 4 2 5 5 2" xfId="43773"/>
    <cellStyle name="Input 2 4 2 5 5 3" xfId="52073"/>
    <cellStyle name="Input 2 4 2 5 6" xfId="35417"/>
    <cellStyle name="Input 2 4 2 5 6 2" xfId="43774"/>
    <cellStyle name="Input 2 4 2 5 6 3" xfId="52074"/>
    <cellStyle name="Input 2 4 2 5 7" xfId="43775"/>
    <cellStyle name="Input 2 4 2 5 7 2" xfId="52075"/>
    <cellStyle name="Input 2 4 2 5 8" xfId="43776"/>
    <cellStyle name="Input 2 4 2 5 8 2" xfId="52076"/>
    <cellStyle name="Input 2 4 2 5 9" xfId="43777"/>
    <cellStyle name="Input 2 4 2 5 9 2" xfId="52077"/>
    <cellStyle name="Input 2 4 2 6" xfId="1188"/>
    <cellStyle name="Input 2 4 2 6 2" xfId="9404"/>
    <cellStyle name="Input 2 4 2 6 3" xfId="9405"/>
    <cellStyle name="Input 2 4 2 6 4" xfId="9406"/>
    <cellStyle name="Input 2 4 2 6 5" xfId="9407"/>
    <cellStyle name="Input 2 4 2 6 6" xfId="35949"/>
    <cellStyle name="Input 2 4 2 6 7" xfId="43778"/>
    <cellStyle name="Input 2 4 2 6 8" xfId="52078"/>
    <cellStyle name="Input 2 4 2 7" xfId="3206"/>
    <cellStyle name="Input 2 4 2 7 2" xfId="9408"/>
    <cellStyle name="Input 2 4 2 7 3" xfId="9409"/>
    <cellStyle name="Input 2 4 2 7 4" xfId="9410"/>
    <cellStyle name="Input 2 4 2 7 5" xfId="9411"/>
    <cellStyle name="Input 2 4 2 7 6" xfId="35819"/>
    <cellStyle name="Input 2 4 2 7 7" xfId="43779"/>
    <cellStyle name="Input 2 4 2 7 8" xfId="52079"/>
    <cellStyle name="Input 2 4 2 8" xfId="3150"/>
    <cellStyle name="Input 2 4 2 8 2" xfId="9412"/>
    <cellStyle name="Input 2 4 2 8 3" xfId="9413"/>
    <cellStyle name="Input 2 4 2 8 4" xfId="9414"/>
    <cellStyle name="Input 2 4 2 8 5" xfId="9415"/>
    <cellStyle name="Input 2 4 2 8 6" xfId="36994"/>
    <cellStyle name="Input 2 4 2 8 7" xfId="43780"/>
    <cellStyle name="Input 2 4 2 8 8" xfId="52080"/>
    <cellStyle name="Input 2 4 2 9" xfId="9416"/>
    <cellStyle name="Input 2 4 2 9 2" xfId="9417"/>
    <cellStyle name="Input 2 4 2 9 3" xfId="9418"/>
    <cellStyle name="Input 2 4 2 9 4" xfId="9419"/>
    <cellStyle name="Input 2 4 2 9 5" xfId="9420"/>
    <cellStyle name="Input 2 4 2 9 6" xfId="37606"/>
    <cellStyle name="Input 2 4 2 9 7" xfId="43781"/>
    <cellStyle name="Input 2 4 2 9 8" xfId="52081"/>
    <cellStyle name="Input 2 4 20" xfId="34961"/>
    <cellStyle name="Input 2 4 21" xfId="40778"/>
    <cellStyle name="Input 2 4 3" xfId="279"/>
    <cellStyle name="Input 2 4 3 10" xfId="9421"/>
    <cellStyle name="Input 2 4 3 10 2" xfId="9422"/>
    <cellStyle name="Input 2 4 3 10 3" xfId="9423"/>
    <cellStyle name="Input 2 4 3 10 4" xfId="9424"/>
    <cellStyle name="Input 2 4 3 10 5" xfId="9425"/>
    <cellStyle name="Input 2 4 3 10 6" xfId="38224"/>
    <cellStyle name="Input 2 4 3 10 7" xfId="43782"/>
    <cellStyle name="Input 2 4 3 10 8" xfId="52082"/>
    <cellStyle name="Input 2 4 3 11" xfId="9426"/>
    <cellStyle name="Input 2 4 3 11 2" xfId="9427"/>
    <cellStyle name="Input 2 4 3 11 3" xfId="9428"/>
    <cellStyle name="Input 2 4 3 11 4" xfId="9429"/>
    <cellStyle name="Input 2 4 3 11 5" xfId="9430"/>
    <cellStyle name="Input 2 4 3 11 6" xfId="38846"/>
    <cellStyle name="Input 2 4 3 11 7" xfId="43783"/>
    <cellStyle name="Input 2 4 3 11 8" xfId="52083"/>
    <cellStyle name="Input 2 4 3 12" xfId="9431"/>
    <cellStyle name="Input 2 4 3 12 2" xfId="9432"/>
    <cellStyle name="Input 2 4 3 12 3" xfId="9433"/>
    <cellStyle name="Input 2 4 3 12 4" xfId="9434"/>
    <cellStyle name="Input 2 4 3 12 5" xfId="9435"/>
    <cellStyle name="Input 2 4 3 12 6" xfId="39466"/>
    <cellStyle name="Input 2 4 3 12 7" xfId="43784"/>
    <cellStyle name="Input 2 4 3 12 8" xfId="52084"/>
    <cellStyle name="Input 2 4 3 13" xfId="9436"/>
    <cellStyle name="Input 2 4 3 13 2" xfId="9437"/>
    <cellStyle name="Input 2 4 3 13 3" xfId="9438"/>
    <cellStyle name="Input 2 4 3 13 4" xfId="9439"/>
    <cellStyle name="Input 2 4 3 13 5" xfId="9440"/>
    <cellStyle name="Input 2 4 3 13 6" xfId="40084"/>
    <cellStyle name="Input 2 4 3 13 7" xfId="43785"/>
    <cellStyle name="Input 2 4 3 13 8" xfId="52085"/>
    <cellStyle name="Input 2 4 3 14" xfId="9441"/>
    <cellStyle name="Input 2 4 3 14 2" xfId="9442"/>
    <cellStyle name="Input 2 4 3 14 3" xfId="9443"/>
    <cellStyle name="Input 2 4 3 14 4" xfId="9444"/>
    <cellStyle name="Input 2 4 3 14 5" xfId="9445"/>
    <cellStyle name="Input 2 4 3 14 6" xfId="43786"/>
    <cellStyle name="Input 2 4 3 14 7" xfId="52086"/>
    <cellStyle name="Input 2 4 3 15" xfId="9446"/>
    <cellStyle name="Input 2 4 3 15 2" xfId="9447"/>
    <cellStyle name="Input 2 4 3 15 3" xfId="9448"/>
    <cellStyle name="Input 2 4 3 15 4" xfId="9449"/>
    <cellStyle name="Input 2 4 3 15 5" xfId="9450"/>
    <cellStyle name="Input 2 4 3 16" xfId="9451"/>
    <cellStyle name="Input 2 4 3 17" xfId="724"/>
    <cellStyle name="Input 2 4 3 18" xfId="34860"/>
    <cellStyle name="Input 2 4 3 19" xfId="40808"/>
    <cellStyle name="Input 2 4 3 2" xfId="346"/>
    <cellStyle name="Input 2 4 3 2 10" xfId="9452"/>
    <cellStyle name="Input 2 4 3 2 10 2" xfId="9453"/>
    <cellStyle name="Input 2 4 3 2 10 3" xfId="9454"/>
    <cellStyle name="Input 2 4 3 2 10 4" xfId="9455"/>
    <cellStyle name="Input 2 4 3 2 10 5" xfId="9456"/>
    <cellStyle name="Input 2 4 3 2 10 6" xfId="39524"/>
    <cellStyle name="Input 2 4 3 2 10 7" xfId="43787"/>
    <cellStyle name="Input 2 4 3 2 10 8" xfId="52087"/>
    <cellStyle name="Input 2 4 3 2 11" xfId="9457"/>
    <cellStyle name="Input 2 4 3 2 11 2" xfId="9458"/>
    <cellStyle name="Input 2 4 3 2 11 3" xfId="9459"/>
    <cellStyle name="Input 2 4 3 2 11 4" xfId="9460"/>
    <cellStyle name="Input 2 4 3 2 11 5" xfId="9461"/>
    <cellStyle name="Input 2 4 3 2 11 6" xfId="40140"/>
    <cellStyle name="Input 2 4 3 2 11 7" xfId="43788"/>
    <cellStyle name="Input 2 4 3 2 11 8" xfId="52088"/>
    <cellStyle name="Input 2 4 3 2 12" xfId="9462"/>
    <cellStyle name="Input 2 4 3 2 12 2" xfId="9463"/>
    <cellStyle name="Input 2 4 3 2 12 3" xfId="9464"/>
    <cellStyle name="Input 2 4 3 2 12 4" xfId="9465"/>
    <cellStyle name="Input 2 4 3 2 12 5" xfId="9466"/>
    <cellStyle name="Input 2 4 3 2 12 6" xfId="43789"/>
    <cellStyle name="Input 2 4 3 2 12 7" xfId="52089"/>
    <cellStyle name="Input 2 4 3 2 13" xfId="9467"/>
    <cellStyle name="Input 2 4 3 2 13 2" xfId="9468"/>
    <cellStyle name="Input 2 4 3 2 13 3" xfId="9469"/>
    <cellStyle name="Input 2 4 3 2 13 4" xfId="9470"/>
    <cellStyle name="Input 2 4 3 2 13 5" xfId="9471"/>
    <cellStyle name="Input 2 4 3 2 13 6" xfId="43790"/>
    <cellStyle name="Input 2 4 3 2 13 7" xfId="52090"/>
    <cellStyle name="Input 2 4 3 2 14" xfId="9472"/>
    <cellStyle name="Input 2 4 3 2 14 2" xfId="9473"/>
    <cellStyle name="Input 2 4 3 2 14 3" xfId="9474"/>
    <cellStyle name="Input 2 4 3 2 14 4" xfId="9475"/>
    <cellStyle name="Input 2 4 3 2 14 5" xfId="9476"/>
    <cellStyle name="Input 2 4 3 2 15" xfId="9477"/>
    <cellStyle name="Input 2 4 3 2 15 2" xfId="9478"/>
    <cellStyle name="Input 2 4 3 2 15 3" xfId="9479"/>
    <cellStyle name="Input 2 4 3 2 15 4" xfId="9480"/>
    <cellStyle name="Input 2 4 3 2 15 5" xfId="9481"/>
    <cellStyle name="Input 2 4 3 2 16" xfId="9482"/>
    <cellStyle name="Input 2 4 3 2 16 2" xfId="9483"/>
    <cellStyle name="Input 2 4 3 2 16 3" xfId="9484"/>
    <cellStyle name="Input 2 4 3 2 16 4" xfId="9485"/>
    <cellStyle name="Input 2 4 3 2 16 5" xfId="9486"/>
    <cellStyle name="Input 2 4 3 2 17" xfId="9487"/>
    <cellStyle name="Input 2 4 3 2 17 2" xfId="9488"/>
    <cellStyle name="Input 2 4 3 2 17 3" xfId="9489"/>
    <cellStyle name="Input 2 4 3 2 17 4" xfId="9490"/>
    <cellStyle name="Input 2 4 3 2 17 5" xfId="9491"/>
    <cellStyle name="Input 2 4 3 2 18" xfId="9492"/>
    <cellStyle name="Input 2 4 3 2 19" xfId="782"/>
    <cellStyle name="Input 2 4 3 2 2" xfId="565"/>
    <cellStyle name="Input 2 4 3 2 2 10" xfId="9493"/>
    <cellStyle name="Input 2 4 3 2 2 10 2" xfId="9494"/>
    <cellStyle name="Input 2 4 3 2 2 10 3" xfId="9495"/>
    <cellStyle name="Input 2 4 3 2 2 10 4" xfId="9496"/>
    <cellStyle name="Input 2 4 3 2 2 10 5" xfId="9497"/>
    <cellStyle name="Input 2 4 3 2 2 10 6" xfId="43791"/>
    <cellStyle name="Input 2 4 3 2 2 10 7" xfId="52091"/>
    <cellStyle name="Input 2 4 3 2 2 11" xfId="9498"/>
    <cellStyle name="Input 2 4 3 2 2 11 2" xfId="9499"/>
    <cellStyle name="Input 2 4 3 2 2 11 3" xfId="9500"/>
    <cellStyle name="Input 2 4 3 2 2 11 4" xfId="9501"/>
    <cellStyle name="Input 2 4 3 2 2 11 5" xfId="9502"/>
    <cellStyle name="Input 2 4 3 2 2 12" xfId="9503"/>
    <cellStyle name="Input 2 4 3 2 2 12 2" xfId="9504"/>
    <cellStyle name="Input 2 4 3 2 2 12 3" xfId="9505"/>
    <cellStyle name="Input 2 4 3 2 2 12 4" xfId="9506"/>
    <cellStyle name="Input 2 4 3 2 2 12 5" xfId="9507"/>
    <cellStyle name="Input 2 4 3 2 2 13" xfId="9508"/>
    <cellStyle name="Input 2 4 3 2 2 13 2" xfId="9509"/>
    <cellStyle name="Input 2 4 3 2 2 13 3" xfId="9510"/>
    <cellStyle name="Input 2 4 3 2 2 13 4" xfId="9511"/>
    <cellStyle name="Input 2 4 3 2 2 13 5" xfId="9512"/>
    <cellStyle name="Input 2 4 3 2 2 14" xfId="9513"/>
    <cellStyle name="Input 2 4 3 2 2 14 2" xfId="9514"/>
    <cellStyle name="Input 2 4 3 2 2 14 3" xfId="9515"/>
    <cellStyle name="Input 2 4 3 2 2 14 4" xfId="9516"/>
    <cellStyle name="Input 2 4 3 2 2 14 5" xfId="9517"/>
    <cellStyle name="Input 2 4 3 2 2 15" xfId="9518"/>
    <cellStyle name="Input 2 4 3 2 2 15 2" xfId="9519"/>
    <cellStyle name="Input 2 4 3 2 2 15 3" xfId="9520"/>
    <cellStyle name="Input 2 4 3 2 2 15 4" xfId="9521"/>
    <cellStyle name="Input 2 4 3 2 2 15 5" xfId="9522"/>
    <cellStyle name="Input 2 4 3 2 2 16" xfId="9523"/>
    <cellStyle name="Input 2 4 3 2 2 16 2" xfId="9524"/>
    <cellStyle name="Input 2 4 3 2 2 16 3" xfId="9525"/>
    <cellStyle name="Input 2 4 3 2 2 16 4" xfId="9526"/>
    <cellStyle name="Input 2 4 3 2 2 16 5" xfId="9527"/>
    <cellStyle name="Input 2 4 3 2 2 17" xfId="9528"/>
    <cellStyle name="Input 2 4 3 2 2 17 2" xfId="9529"/>
    <cellStyle name="Input 2 4 3 2 2 17 3" xfId="9530"/>
    <cellStyle name="Input 2 4 3 2 2 17 4" xfId="9531"/>
    <cellStyle name="Input 2 4 3 2 2 17 5" xfId="9532"/>
    <cellStyle name="Input 2 4 3 2 2 18" xfId="9533"/>
    <cellStyle name="Input 2 4 3 2 2 19" xfId="994"/>
    <cellStyle name="Input 2 4 3 2 2 2" xfId="1997"/>
    <cellStyle name="Input 2 4 3 2 2 2 2" xfId="9534"/>
    <cellStyle name="Input 2 4 3 2 2 2 3" xfId="9535"/>
    <cellStyle name="Input 2 4 3 2 2 2 4" xfId="9536"/>
    <cellStyle name="Input 2 4 3 2 2 2 5" xfId="9537"/>
    <cellStyle name="Input 2 4 3 2 2 2 6" xfId="36369"/>
    <cellStyle name="Input 2 4 3 2 2 2 7" xfId="43792"/>
    <cellStyle name="Input 2 4 3 2 2 2 8" xfId="52092"/>
    <cellStyle name="Input 2 4 3 2 2 20" xfId="35074"/>
    <cellStyle name="Input 2 4 3 2 2 21" xfId="41293"/>
    <cellStyle name="Input 2 4 3 2 2 3" xfId="1998"/>
    <cellStyle name="Input 2 4 3 2 2 3 2" xfId="9538"/>
    <cellStyle name="Input 2 4 3 2 2 3 3" xfId="9539"/>
    <cellStyle name="Input 2 4 3 2 2 3 4" xfId="9540"/>
    <cellStyle name="Input 2 4 3 2 2 3 5" xfId="9541"/>
    <cellStyle name="Input 2 4 3 2 2 3 6" xfId="36866"/>
    <cellStyle name="Input 2 4 3 2 2 3 7" xfId="43793"/>
    <cellStyle name="Input 2 4 3 2 2 3 8" xfId="52093"/>
    <cellStyle name="Input 2 4 3 2 2 4" xfId="1194"/>
    <cellStyle name="Input 2 4 3 2 2 4 2" xfId="9542"/>
    <cellStyle name="Input 2 4 3 2 2 4 3" xfId="9543"/>
    <cellStyle name="Input 2 4 3 2 2 4 4" xfId="9544"/>
    <cellStyle name="Input 2 4 3 2 2 4 5" xfId="9545"/>
    <cellStyle name="Input 2 4 3 2 2 4 6" xfId="37482"/>
    <cellStyle name="Input 2 4 3 2 2 4 7" xfId="43794"/>
    <cellStyle name="Input 2 4 3 2 2 4 8" xfId="52094"/>
    <cellStyle name="Input 2 4 3 2 2 5" xfId="3212"/>
    <cellStyle name="Input 2 4 3 2 2 5 2" xfId="9546"/>
    <cellStyle name="Input 2 4 3 2 2 5 3" xfId="9547"/>
    <cellStyle name="Input 2 4 3 2 2 5 4" xfId="9548"/>
    <cellStyle name="Input 2 4 3 2 2 5 5" xfId="9549"/>
    <cellStyle name="Input 2 4 3 2 2 5 6" xfId="38098"/>
    <cellStyle name="Input 2 4 3 2 2 5 7" xfId="43795"/>
    <cellStyle name="Input 2 4 3 2 2 5 8" xfId="52095"/>
    <cellStyle name="Input 2 4 3 2 2 6" xfId="3073"/>
    <cellStyle name="Input 2 4 3 2 2 6 2" xfId="9550"/>
    <cellStyle name="Input 2 4 3 2 2 6 3" xfId="9551"/>
    <cellStyle name="Input 2 4 3 2 2 6 4" xfId="9552"/>
    <cellStyle name="Input 2 4 3 2 2 6 5" xfId="9553"/>
    <cellStyle name="Input 2 4 3 2 2 6 6" xfId="38716"/>
    <cellStyle name="Input 2 4 3 2 2 6 7" xfId="43796"/>
    <cellStyle name="Input 2 4 3 2 2 6 8" xfId="52096"/>
    <cellStyle name="Input 2 4 3 2 2 7" xfId="9554"/>
    <cellStyle name="Input 2 4 3 2 2 7 2" xfId="9555"/>
    <cellStyle name="Input 2 4 3 2 2 7 3" xfId="9556"/>
    <cellStyle name="Input 2 4 3 2 2 7 4" xfId="9557"/>
    <cellStyle name="Input 2 4 3 2 2 7 5" xfId="9558"/>
    <cellStyle name="Input 2 4 3 2 2 7 6" xfId="39336"/>
    <cellStyle name="Input 2 4 3 2 2 7 7" xfId="43797"/>
    <cellStyle name="Input 2 4 3 2 2 7 8" xfId="52097"/>
    <cellStyle name="Input 2 4 3 2 2 8" xfId="9559"/>
    <cellStyle name="Input 2 4 3 2 2 8 2" xfId="9560"/>
    <cellStyle name="Input 2 4 3 2 2 8 3" xfId="9561"/>
    <cellStyle name="Input 2 4 3 2 2 8 4" xfId="9562"/>
    <cellStyle name="Input 2 4 3 2 2 8 5" xfId="9563"/>
    <cellStyle name="Input 2 4 3 2 2 8 6" xfId="39952"/>
    <cellStyle name="Input 2 4 3 2 2 8 7" xfId="43798"/>
    <cellStyle name="Input 2 4 3 2 2 8 8" xfId="52098"/>
    <cellStyle name="Input 2 4 3 2 2 9" xfId="9564"/>
    <cellStyle name="Input 2 4 3 2 2 9 2" xfId="9565"/>
    <cellStyle name="Input 2 4 3 2 2 9 3" xfId="9566"/>
    <cellStyle name="Input 2 4 3 2 2 9 4" xfId="9567"/>
    <cellStyle name="Input 2 4 3 2 2 9 5" xfId="9568"/>
    <cellStyle name="Input 2 4 3 2 2 9 6" xfId="40567"/>
    <cellStyle name="Input 2 4 3 2 2 9 7" xfId="43799"/>
    <cellStyle name="Input 2 4 3 2 2 9 8" xfId="52099"/>
    <cellStyle name="Input 2 4 3 2 20" xfId="34821"/>
    <cellStyle name="Input 2 4 3 2 21" xfId="40866"/>
    <cellStyle name="Input 2 4 3 2 22" xfId="41427"/>
    <cellStyle name="Input 2 4 3 2 23" xfId="50514"/>
    <cellStyle name="Input 2 4 3 2 3" xfId="1999"/>
    <cellStyle name="Input 2 4 3 2 3 10" xfId="34913"/>
    <cellStyle name="Input 2 4 3 2 3 11" xfId="41081"/>
    <cellStyle name="Input 2 4 3 2 3 12" xfId="43800"/>
    <cellStyle name="Input 2 4 3 2 3 13" xfId="52100"/>
    <cellStyle name="Input 2 4 3 2 3 2" xfId="2000"/>
    <cellStyle name="Input 2 4 3 2 3 2 2" xfId="36158"/>
    <cellStyle name="Input 2 4 3 2 3 2 3" xfId="43801"/>
    <cellStyle name="Input 2 4 3 2 3 2 4" xfId="52101"/>
    <cellStyle name="Input 2 4 3 2 3 3" xfId="2001"/>
    <cellStyle name="Input 2 4 3 2 3 3 2" xfId="36655"/>
    <cellStyle name="Input 2 4 3 2 3 3 3" xfId="43802"/>
    <cellStyle name="Input 2 4 3 2 3 3 4" xfId="52102"/>
    <cellStyle name="Input 2 4 3 2 3 4" xfId="9569"/>
    <cellStyle name="Input 2 4 3 2 3 4 2" xfId="37271"/>
    <cellStyle name="Input 2 4 3 2 3 4 3" xfId="43803"/>
    <cellStyle name="Input 2 4 3 2 3 4 4" xfId="52103"/>
    <cellStyle name="Input 2 4 3 2 3 5" xfId="9570"/>
    <cellStyle name="Input 2 4 3 2 3 5 2" xfId="37887"/>
    <cellStyle name="Input 2 4 3 2 3 5 3" xfId="43804"/>
    <cellStyle name="Input 2 4 3 2 3 5 4" xfId="52104"/>
    <cellStyle name="Input 2 4 3 2 3 6" xfId="38504"/>
    <cellStyle name="Input 2 4 3 2 3 6 2" xfId="43805"/>
    <cellStyle name="Input 2 4 3 2 3 6 3" xfId="52105"/>
    <cellStyle name="Input 2 4 3 2 3 7" xfId="39124"/>
    <cellStyle name="Input 2 4 3 2 3 7 2" xfId="43806"/>
    <cellStyle name="Input 2 4 3 2 3 7 3" xfId="52106"/>
    <cellStyle name="Input 2 4 3 2 3 8" xfId="39740"/>
    <cellStyle name="Input 2 4 3 2 3 8 2" xfId="43807"/>
    <cellStyle name="Input 2 4 3 2 3 8 3" xfId="52107"/>
    <cellStyle name="Input 2 4 3 2 3 9" xfId="40355"/>
    <cellStyle name="Input 2 4 3 2 3 9 2" xfId="43808"/>
    <cellStyle name="Input 2 4 3 2 3 9 3" xfId="52108"/>
    <cellStyle name="Input 2 4 3 2 4" xfId="2002"/>
    <cellStyle name="Input 2 4 3 2 4 10" xfId="43809"/>
    <cellStyle name="Input 2 4 3 2 4 11" xfId="52109"/>
    <cellStyle name="Input 2 4 3 2 4 2" xfId="9571"/>
    <cellStyle name="Input 2 4 3 2 4 2 2" xfId="43810"/>
    <cellStyle name="Input 2 4 3 2 4 2 3" xfId="52110"/>
    <cellStyle name="Input 2 4 3 2 4 3" xfId="9572"/>
    <cellStyle name="Input 2 4 3 2 4 3 2" xfId="43811"/>
    <cellStyle name="Input 2 4 3 2 4 3 3" xfId="52111"/>
    <cellStyle name="Input 2 4 3 2 4 4" xfId="9573"/>
    <cellStyle name="Input 2 4 3 2 4 4 2" xfId="43812"/>
    <cellStyle name="Input 2 4 3 2 4 4 3" xfId="52112"/>
    <cellStyle name="Input 2 4 3 2 4 5" xfId="9574"/>
    <cellStyle name="Input 2 4 3 2 4 5 2" xfId="43813"/>
    <cellStyle name="Input 2 4 3 2 4 5 3" xfId="52113"/>
    <cellStyle name="Input 2 4 3 2 4 6" xfId="35687"/>
    <cellStyle name="Input 2 4 3 2 4 6 2" xfId="43814"/>
    <cellStyle name="Input 2 4 3 2 4 6 3" xfId="52114"/>
    <cellStyle name="Input 2 4 3 2 4 7" xfId="43815"/>
    <cellStyle name="Input 2 4 3 2 4 7 2" xfId="52115"/>
    <cellStyle name="Input 2 4 3 2 4 8" xfId="43816"/>
    <cellStyle name="Input 2 4 3 2 4 8 2" xfId="52116"/>
    <cellStyle name="Input 2 4 3 2 4 9" xfId="43817"/>
    <cellStyle name="Input 2 4 3 2 4 9 2" xfId="52117"/>
    <cellStyle name="Input 2 4 3 2 5" xfId="1193"/>
    <cellStyle name="Input 2 4 3 2 5 2" xfId="9575"/>
    <cellStyle name="Input 2 4 3 2 5 3" xfId="9576"/>
    <cellStyle name="Input 2 4 3 2 5 4" xfId="9577"/>
    <cellStyle name="Input 2 4 3 2 5 5" xfId="9578"/>
    <cellStyle name="Input 2 4 3 2 5 6" xfId="35781"/>
    <cellStyle name="Input 2 4 3 2 5 7" xfId="43818"/>
    <cellStyle name="Input 2 4 3 2 5 8" xfId="52118"/>
    <cellStyle name="Input 2 4 3 2 6" xfId="3211"/>
    <cellStyle name="Input 2 4 3 2 6 2" xfId="9579"/>
    <cellStyle name="Input 2 4 3 2 6 3" xfId="9580"/>
    <cellStyle name="Input 2 4 3 2 6 4" xfId="9581"/>
    <cellStyle name="Input 2 4 3 2 6 5" xfId="9582"/>
    <cellStyle name="Input 2 4 3 2 6 6" xfId="37056"/>
    <cellStyle name="Input 2 4 3 2 6 7" xfId="43819"/>
    <cellStyle name="Input 2 4 3 2 6 8" xfId="52119"/>
    <cellStyle name="Input 2 4 3 2 7" xfId="3145"/>
    <cellStyle name="Input 2 4 3 2 7 2" xfId="9583"/>
    <cellStyle name="Input 2 4 3 2 7 3" xfId="9584"/>
    <cellStyle name="Input 2 4 3 2 7 4" xfId="9585"/>
    <cellStyle name="Input 2 4 3 2 7 5" xfId="9586"/>
    <cellStyle name="Input 2 4 3 2 7 6" xfId="37670"/>
    <cellStyle name="Input 2 4 3 2 7 7" xfId="43820"/>
    <cellStyle name="Input 2 4 3 2 7 8" xfId="52120"/>
    <cellStyle name="Input 2 4 3 2 8" xfId="9587"/>
    <cellStyle name="Input 2 4 3 2 8 2" xfId="9588"/>
    <cellStyle name="Input 2 4 3 2 8 3" xfId="9589"/>
    <cellStyle name="Input 2 4 3 2 8 4" xfId="9590"/>
    <cellStyle name="Input 2 4 3 2 8 5" xfId="9591"/>
    <cellStyle name="Input 2 4 3 2 8 6" xfId="38285"/>
    <cellStyle name="Input 2 4 3 2 8 7" xfId="43821"/>
    <cellStyle name="Input 2 4 3 2 8 8" xfId="52121"/>
    <cellStyle name="Input 2 4 3 2 9" xfId="9592"/>
    <cellStyle name="Input 2 4 3 2 9 2" xfId="9593"/>
    <cellStyle name="Input 2 4 3 2 9 3" xfId="9594"/>
    <cellStyle name="Input 2 4 3 2 9 4" xfId="9595"/>
    <cellStyle name="Input 2 4 3 2 9 5" xfId="9596"/>
    <cellStyle name="Input 2 4 3 2 9 6" xfId="38905"/>
    <cellStyle name="Input 2 4 3 2 9 7" xfId="43822"/>
    <cellStyle name="Input 2 4 3 2 9 8" xfId="52122"/>
    <cellStyle name="Input 2 4 3 3" xfId="509"/>
    <cellStyle name="Input 2 4 3 3 10" xfId="9597"/>
    <cellStyle name="Input 2 4 3 3 10 2" xfId="9598"/>
    <cellStyle name="Input 2 4 3 3 10 3" xfId="9599"/>
    <cellStyle name="Input 2 4 3 3 10 4" xfId="9600"/>
    <cellStyle name="Input 2 4 3 3 10 5" xfId="9601"/>
    <cellStyle name="Input 2 4 3 3 10 6" xfId="43823"/>
    <cellStyle name="Input 2 4 3 3 10 7" xfId="52123"/>
    <cellStyle name="Input 2 4 3 3 11" xfId="9602"/>
    <cellStyle name="Input 2 4 3 3 11 2" xfId="9603"/>
    <cellStyle name="Input 2 4 3 3 11 3" xfId="9604"/>
    <cellStyle name="Input 2 4 3 3 11 4" xfId="9605"/>
    <cellStyle name="Input 2 4 3 3 11 5" xfId="9606"/>
    <cellStyle name="Input 2 4 3 3 12" xfId="9607"/>
    <cellStyle name="Input 2 4 3 3 12 2" xfId="9608"/>
    <cellStyle name="Input 2 4 3 3 12 3" xfId="9609"/>
    <cellStyle name="Input 2 4 3 3 12 4" xfId="9610"/>
    <cellStyle name="Input 2 4 3 3 12 5" xfId="9611"/>
    <cellStyle name="Input 2 4 3 3 13" xfId="9612"/>
    <cellStyle name="Input 2 4 3 3 13 2" xfId="9613"/>
    <cellStyle name="Input 2 4 3 3 13 3" xfId="9614"/>
    <cellStyle name="Input 2 4 3 3 13 4" xfId="9615"/>
    <cellStyle name="Input 2 4 3 3 13 5" xfId="9616"/>
    <cellStyle name="Input 2 4 3 3 14" xfId="9617"/>
    <cellStyle name="Input 2 4 3 3 14 2" xfId="9618"/>
    <cellStyle name="Input 2 4 3 3 14 3" xfId="9619"/>
    <cellStyle name="Input 2 4 3 3 14 4" xfId="9620"/>
    <cellStyle name="Input 2 4 3 3 14 5" xfId="9621"/>
    <cellStyle name="Input 2 4 3 3 15" xfId="9622"/>
    <cellStyle name="Input 2 4 3 3 15 2" xfId="9623"/>
    <cellStyle name="Input 2 4 3 3 15 3" xfId="9624"/>
    <cellStyle name="Input 2 4 3 3 15 4" xfId="9625"/>
    <cellStyle name="Input 2 4 3 3 15 5" xfId="9626"/>
    <cellStyle name="Input 2 4 3 3 16" xfId="9627"/>
    <cellStyle name="Input 2 4 3 3 16 2" xfId="9628"/>
    <cellStyle name="Input 2 4 3 3 16 3" xfId="9629"/>
    <cellStyle name="Input 2 4 3 3 16 4" xfId="9630"/>
    <cellStyle name="Input 2 4 3 3 16 5" xfId="9631"/>
    <cellStyle name="Input 2 4 3 3 17" xfId="9632"/>
    <cellStyle name="Input 2 4 3 3 17 2" xfId="9633"/>
    <cellStyle name="Input 2 4 3 3 17 3" xfId="9634"/>
    <cellStyle name="Input 2 4 3 3 17 4" xfId="9635"/>
    <cellStyle name="Input 2 4 3 3 17 5" xfId="9636"/>
    <cellStyle name="Input 2 4 3 3 18" xfId="9637"/>
    <cellStyle name="Input 2 4 3 3 19" xfId="938"/>
    <cellStyle name="Input 2 4 3 3 2" xfId="2003"/>
    <cellStyle name="Input 2 4 3 3 2 2" xfId="2004"/>
    <cellStyle name="Input 2 4 3 3 2 3" xfId="2005"/>
    <cellStyle name="Input 2 4 3 3 2 4" xfId="9638"/>
    <cellStyle name="Input 2 4 3 3 2 5" xfId="9639"/>
    <cellStyle name="Input 2 4 3 3 2 6" xfId="36313"/>
    <cellStyle name="Input 2 4 3 3 2 7" xfId="43824"/>
    <cellStyle name="Input 2 4 3 3 2 8" xfId="52124"/>
    <cellStyle name="Input 2 4 3 3 20" xfId="35018"/>
    <cellStyle name="Input 2 4 3 3 21" xfId="40727"/>
    <cellStyle name="Input 2 4 3 3 22" xfId="41237"/>
    <cellStyle name="Input 2 4 3 3 3" xfId="2006"/>
    <cellStyle name="Input 2 4 3 3 3 2" xfId="9640"/>
    <cellStyle name="Input 2 4 3 3 3 3" xfId="9641"/>
    <cellStyle name="Input 2 4 3 3 3 4" xfId="9642"/>
    <cellStyle name="Input 2 4 3 3 3 5" xfId="9643"/>
    <cellStyle name="Input 2 4 3 3 3 6" xfId="36810"/>
    <cellStyle name="Input 2 4 3 3 3 7" xfId="43825"/>
    <cellStyle name="Input 2 4 3 3 3 8" xfId="52125"/>
    <cellStyle name="Input 2 4 3 3 4" xfId="1195"/>
    <cellStyle name="Input 2 4 3 3 4 2" xfId="9644"/>
    <cellStyle name="Input 2 4 3 3 4 3" xfId="9645"/>
    <cellStyle name="Input 2 4 3 3 4 4" xfId="9646"/>
    <cellStyle name="Input 2 4 3 3 4 5" xfId="9647"/>
    <cellStyle name="Input 2 4 3 3 4 6" xfId="37426"/>
    <cellStyle name="Input 2 4 3 3 4 7" xfId="43826"/>
    <cellStyle name="Input 2 4 3 3 4 8" xfId="52126"/>
    <cellStyle name="Input 2 4 3 3 5" xfId="3213"/>
    <cellStyle name="Input 2 4 3 3 5 2" xfId="9648"/>
    <cellStyle name="Input 2 4 3 3 5 3" xfId="9649"/>
    <cellStyle name="Input 2 4 3 3 5 4" xfId="9650"/>
    <cellStyle name="Input 2 4 3 3 5 5" xfId="9651"/>
    <cellStyle name="Input 2 4 3 3 5 6" xfId="38042"/>
    <cellStyle name="Input 2 4 3 3 5 7" xfId="43827"/>
    <cellStyle name="Input 2 4 3 3 5 8" xfId="52127"/>
    <cellStyle name="Input 2 4 3 3 6" xfId="3144"/>
    <cellStyle name="Input 2 4 3 3 6 2" xfId="9652"/>
    <cellStyle name="Input 2 4 3 3 6 3" xfId="9653"/>
    <cellStyle name="Input 2 4 3 3 6 4" xfId="9654"/>
    <cellStyle name="Input 2 4 3 3 6 5" xfId="9655"/>
    <cellStyle name="Input 2 4 3 3 6 6" xfId="38660"/>
    <cellStyle name="Input 2 4 3 3 6 7" xfId="43828"/>
    <cellStyle name="Input 2 4 3 3 6 8" xfId="52128"/>
    <cellStyle name="Input 2 4 3 3 7" xfId="9656"/>
    <cellStyle name="Input 2 4 3 3 7 2" xfId="9657"/>
    <cellStyle name="Input 2 4 3 3 7 3" xfId="9658"/>
    <cellStyle name="Input 2 4 3 3 7 4" xfId="9659"/>
    <cellStyle name="Input 2 4 3 3 7 5" xfId="9660"/>
    <cellStyle name="Input 2 4 3 3 7 6" xfId="39280"/>
    <cellStyle name="Input 2 4 3 3 7 7" xfId="43829"/>
    <cellStyle name="Input 2 4 3 3 7 8" xfId="52129"/>
    <cellStyle name="Input 2 4 3 3 8" xfId="9661"/>
    <cellStyle name="Input 2 4 3 3 8 2" xfId="9662"/>
    <cellStyle name="Input 2 4 3 3 8 3" xfId="9663"/>
    <cellStyle name="Input 2 4 3 3 8 4" xfId="9664"/>
    <cellStyle name="Input 2 4 3 3 8 5" xfId="9665"/>
    <cellStyle name="Input 2 4 3 3 8 6" xfId="39896"/>
    <cellStyle name="Input 2 4 3 3 8 7" xfId="43830"/>
    <cellStyle name="Input 2 4 3 3 8 8" xfId="52130"/>
    <cellStyle name="Input 2 4 3 3 9" xfId="9666"/>
    <cellStyle name="Input 2 4 3 3 9 2" xfId="9667"/>
    <cellStyle name="Input 2 4 3 3 9 3" xfId="9668"/>
    <cellStyle name="Input 2 4 3 3 9 4" xfId="9669"/>
    <cellStyle name="Input 2 4 3 3 9 5" xfId="9670"/>
    <cellStyle name="Input 2 4 3 3 9 6" xfId="40511"/>
    <cellStyle name="Input 2 4 3 3 9 7" xfId="43831"/>
    <cellStyle name="Input 2 4 3 3 9 8" xfId="52131"/>
    <cellStyle name="Input 2 4 3 4" xfId="2007"/>
    <cellStyle name="Input 2 4 3 4 10" xfId="34883"/>
    <cellStyle name="Input 2 4 3 4 11" xfId="41023"/>
    <cellStyle name="Input 2 4 3 4 12" xfId="43832"/>
    <cellStyle name="Input 2 4 3 4 13" xfId="52132"/>
    <cellStyle name="Input 2 4 3 4 2" xfId="2008"/>
    <cellStyle name="Input 2 4 3 4 2 2" xfId="36100"/>
    <cellStyle name="Input 2 4 3 4 2 3" xfId="43833"/>
    <cellStyle name="Input 2 4 3 4 2 4" xfId="52133"/>
    <cellStyle name="Input 2 4 3 4 3" xfId="2009"/>
    <cellStyle name="Input 2 4 3 4 3 2" xfId="36599"/>
    <cellStyle name="Input 2 4 3 4 3 3" xfId="43834"/>
    <cellStyle name="Input 2 4 3 4 3 4" xfId="52134"/>
    <cellStyle name="Input 2 4 3 4 4" xfId="9671"/>
    <cellStyle name="Input 2 4 3 4 4 2" xfId="37215"/>
    <cellStyle name="Input 2 4 3 4 4 3" xfId="43835"/>
    <cellStyle name="Input 2 4 3 4 4 4" xfId="52135"/>
    <cellStyle name="Input 2 4 3 4 5" xfId="9672"/>
    <cellStyle name="Input 2 4 3 4 5 2" xfId="37831"/>
    <cellStyle name="Input 2 4 3 4 5 3" xfId="43836"/>
    <cellStyle name="Input 2 4 3 4 5 4" xfId="52136"/>
    <cellStyle name="Input 2 4 3 4 6" xfId="38446"/>
    <cellStyle name="Input 2 4 3 4 6 2" xfId="43837"/>
    <cellStyle name="Input 2 4 3 4 6 3" xfId="52137"/>
    <cellStyle name="Input 2 4 3 4 7" xfId="39066"/>
    <cellStyle name="Input 2 4 3 4 7 2" xfId="43838"/>
    <cellStyle name="Input 2 4 3 4 7 3" xfId="52138"/>
    <cellStyle name="Input 2 4 3 4 8" xfId="39682"/>
    <cellStyle name="Input 2 4 3 4 8 2" xfId="43839"/>
    <cellStyle name="Input 2 4 3 4 8 3" xfId="52139"/>
    <cellStyle name="Input 2 4 3 4 9" xfId="40297"/>
    <cellStyle name="Input 2 4 3 4 9 2" xfId="43840"/>
    <cellStyle name="Input 2 4 3 4 9 3" xfId="52140"/>
    <cellStyle name="Input 2 4 3 5" xfId="2010"/>
    <cellStyle name="Input 2 4 3 5 10" xfId="43841"/>
    <cellStyle name="Input 2 4 3 5 11" xfId="52141"/>
    <cellStyle name="Input 2 4 3 5 2" xfId="2011"/>
    <cellStyle name="Input 2 4 3 5 2 2" xfId="43842"/>
    <cellStyle name="Input 2 4 3 5 2 3" xfId="52142"/>
    <cellStyle name="Input 2 4 3 5 3" xfId="2012"/>
    <cellStyle name="Input 2 4 3 5 3 2" xfId="43843"/>
    <cellStyle name="Input 2 4 3 5 3 3" xfId="52143"/>
    <cellStyle name="Input 2 4 3 5 4" xfId="9673"/>
    <cellStyle name="Input 2 4 3 5 4 2" xfId="43844"/>
    <cellStyle name="Input 2 4 3 5 4 3" xfId="52144"/>
    <cellStyle name="Input 2 4 3 5 5" xfId="9674"/>
    <cellStyle name="Input 2 4 3 5 5 2" xfId="43845"/>
    <cellStyle name="Input 2 4 3 5 5 3" xfId="52145"/>
    <cellStyle name="Input 2 4 3 5 6" xfId="35418"/>
    <cellStyle name="Input 2 4 3 5 6 2" xfId="43846"/>
    <cellStyle name="Input 2 4 3 5 6 3" xfId="52146"/>
    <cellStyle name="Input 2 4 3 5 7" xfId="43847"/>
    <cellStyle name="Input 2 4 3 5 7 2" xfId="52147"/>
    <cellStyle name="Input 2 4 3 5 8" xfId="43848"/>
    <cellStyle name="Input 2 4 3 5 8 2" xfId="52148"/>
    <cellStyle name="Input 2 4 3 5 9" xfId="43849"/>
    <cellStyle name="Input 2 4 3 5 9 2" xfId="52149"/>
    <cellStyle name="Input 2 4 3 6" xfId="1192"/>
    <cellStyle name="Input 2 4 3 6 2" xfId="9675"/>
    <cellStyle name="Input 2 4 3 6 3" xfId="9676"/>
    <cellStyle name="Input 2 4 3 6 4" xfId="9677"/>
    <cellStyle name="Input 2 4 3 6 5" xfId="9678"/>
    <cellStyle name="Input 2 4 3 6 6" xfId="35950"/>
    <cellStyle name="Input 2 4 3 6 7" xfId="43850"/>
    <cellStyle name="Input 2 4 3 6 8" xfId="52150"/>
    <cellStyle name="Input 2 4 3 7" xfId="3210"/>
    <cellStyle name="Input 2 4 3 7 2" xfId="9679"/>
    <cellStyle name="Input 2 4 3 7 3" xfId="9680"/>
    <cellStyle name="Input 2 4 3 7 4" xfId="9681"/>
    <cellStyle name="Input 2 4 3 7 5" xfId="9682"/>
    <cellStyle name="Input 2 4 3 7 6" xfId="35986"/>
    <cellStyle name="Input 2 4 3 7 7" xfId="43851"/>
    <cellStyle name="Input 2 4 3 7 8" xfId="52151"/>
    <cellStyle name="Input 2 4 3 8" xfId="3146"/>
    <cellStyle name="Input 2 4 3 8 2" xfId="9683"/>
    <cellStyle name="Input 2 4 3 8 3" xfId="9684"/>
    <cellStyle name="Input 2 4 3 8 4" xfId="9685"/>
    <cellStyle name="Input 2 4 3 8 5" xfId="9686"/>
    <cellStyle name="Input 2 4 3 8 6" xfId="36995"/>
    <cellStyle name="Input 2 4 3 8 7" xfId="43852"/>
    <cellStyle name="Input 2 4 3 8 8" xfId="52152"/>
    <cellStyle name="Input 2 4 3 9" xfId="9687"/>
    <cellStyle name="Input 2 4 3 9 2" xfId="9688"/>
    <cellStyle name="Input 2 4 3 9 3" xfId="9689"/>
    <cellStyle name="Input 2 4 3 9 4" xfId="9690"/>
    <cellStyle name="Input 2 4 3 9 5" xfId="9691"/>
    <cellStyle name="Input 2 4 3 9 6" xfId="37607"/>
    <cellStyle name="Input 2 4 3 9 7" xfId="43853"/>
    <cellStyle name="Input 2 4 3 9 8" xfId="52153"/>
    <cellStyle name="Input 2 4 4" xfId="347"/>
    <cellStyle name="Input 2 4 4 10" xfId="9692"/>
    <cellStyle name="Input 2 4 4 10 2" xfId="9693"/>
    <cellStyle name="Input 2 4 4 10 3" xfId="9694"/>
    <cellStyle name="Input 2 4 4 10 4" xfId="9695"/>
    <cellStyle name="Input 2 4 4 10 5" xfId="9696"/>
    <cellStyle name="Input 2 4 4 10 6" xfId="39525"/>
    <cellStyle name="Input 2 4 4 10 7" xfId="43854"/>
    <cellStyle name="Input 2 4 4 10 8" xfId="52154"/>
    <cellStyle name="Input 2 4 4 11" xfId="9697"/>
    <cellStyle name="Input 2 4 4 11 2" xfId="9698"/>
    <cellStyle name="Input 2 4 4 11 3" xfId="9699"/>
    <cellStyle name="Input 2 4 4 11 4" xfId="9700"/>
    <cellStyle name="Input 2 4 4 11 5" xfId="9701"/>
    <cellStyle name="Input 2 4 4 11 6" xfId="40141"/>
    <cellStyle name="Input 2 4 4 11 7" xfId="43855"/>
    <cellStyle name="Input 2 4 4 11 8" xfId="52155"/>
    <cellStyle name="Input 2 4 4 12" xfId="9702"/>
    <cellStyle name="Input 2 4 4 12 2" xfId="9703"/>
    <cellStyle name="Input 2 4 4 12 3" xfId="9704"/>
    <cellStyle name="Input 2 4 4 12 4" xfId="9705"/>
    <cellStyle name="Input 2 4 4 12 5" xfId="9706"/>
    <cellStyle name="Input 2 4 4 12 6" xfId="43856"/>
    <cellStyle name="Input 2 4 4 12 7" xfId="52156"/>
    <cellStyle name="Input 2 4 4 13" xfId="9707"/>
    <cellStyle name="Input 2 4 4 13 2" xfId="9708"/>
    <cellStyle name="Input 2 4 4 13 3" xfId="9709"/>
    <cellStyle name="Input 2 4 4 13 4" xfId="9710"/>
    <cellStyle name="Input 2 4 4 13 5" xfId="9711"/>
    <cellStyle name="Input 2 4 4 13 6" xfId="43857"/>
    <cellStyle name="Input 2 4 4 13 7" xfId="52157"/>
    <cellStyle name="Input 2 4 4 14" xfId="9712"/>
    <cellStyle name="Input 2 4 4 14 2" xfId="9713"/>
    <cellStyle name="Input 2 4 4 14 3" xfId="9714"/>
    <cellStyle name="Input 2 4 4 14 4" xfId="9715"/>
    <cellStyle name="Input 2 4 4 14 5" xfId="9716"/>
    <cellStyle name="Input 2 4 4 15" xfId="9717"/>
    <cellStyle name="Input 2 4 4 15 2" xfId="9718"/>
    <cellStyle name="Input 2 4 4 15 3" xfId="9719"/>
    <cellStyle name="Input 2 4 4 15 4" xfId="9720"/>
    <cellStyle name="Input 2 4 4 15 5" xfId="9721"/>
    <cellStyle name="Input 2 4 4 16" xfId="9722"/>
    <cellStyle name="Input 2 4 4 16 2" xfId="9723"/>
    <cellStyle name="Input 2 4 4 16 3" xfId="9724"/>
    <cellStyle name="Input 2 4 4 16 4" xfId="9725"/>
    <cellStyle name="Input 2 4 4 16 5" xfId="9726"/>
    <cellStyle name="Input 2 4 4 17" xfId="9727"/>
    <cellStyle name="Input 2 4 4 17 2" xfId="9728"/>
    <cellStyle name="Input 2 4 4 17 3" xfId="9729"/>
    <cellStyle name="Input 2 4 4 17 4" xfId="9730"/>
    <cellStyle name="Input 2 4 4 17 5" xfId="9731"/>
    <cellStyle name="Input 2 4 4 18" xfId="9732"/>
    <cellStyle name="Input 2 4 4 19" xfId="783"/>
    <cellStyle name="Input 2 4 4 2" xfId="566"/>
    <cellStyle name="Input 2 4 4 2 10" xfId="9733"/>
    <cellStyle name="Input 2 4 4 2 10 2" xfId="9734"/>
    <cellStyle name="Input 2 4 4 2 10 3" xfId="9735"/>
    <cellStyle name="Input 2 4 4 2 10 4" xfId="9736"/>
    <cellStyle name="Input 2 4 4 2 10 5" xfId="9737"/>
    <cellStyle name="Input 2 4 4 2 10 6" xfId="43858"/>
    <cellStyle name="Input 2 4 4 2 10 7" xfId="52158"/>
    <cellStyle name="Input 2 4 4 2 11" xfId="9738"/>
    <cellStyle name="Input 2 4 4 2 11 2" xfId="9739"/>
    <cellStyle name="Input 2 4 4 2 11 3" xfId="9740"/>
    <cellStyle name="Input 2 4 4 2 11 4" xfId="9741"/>
    <cellStyle name="Input 2 4 4 2 11 5" xfId="9742"/>
    <cellStyle name="Input 2 4 4 2 12" xfId="9743"/>
    <cellStyle name="Input 2 4 4 2 12 2" xfId="9744"/>
    <cellStyle name="Input 2 4 4 2 12 3" xfId="9745"/>
    <cellStyle name="Input 2 4 4 2 12 4" xfId="9746"/>
    <cellStyle name="Input 2 4 4 2 12 5" xfId="9747"/>
    <cellStyle name="Input 2 4 4 2 13" xfId="9748"/>
    <cellStyle name="Input 2 4 4 2 13 2" xfId="9749"/>
    <cellStyle name="Input 2 4 4 2 13 3" xfId="9750"/>
    <cellStyle name="Input 2 4 4 2 13 4" xfId="9751"/>
    <cellStyle name="Input 2 4 4 2 13 5" xfId="9752"/>
    <cellStyle name="Input 2 4 4 2 14" xfId="9753"/>
    <cellStyle name="Input 2 4 4 2 14 2" xfId="9754"/>
    <cellStyle name="Input 2 4 4 2 14 3" xfId="9755"/>
    <cellStyle name="Input 2 4 4 2 14 4" xfId="9756"/>
    <cellStyle name="Input 2 4 4 2 14 5" xfId="9757"/>
    <cellStyle name="Input 2 4 4 2 15" xfId="9758"/>
    <cellStyle name="Input 2 4 4 2 15 2" xfId="9759"/>
    <cellStyle name="Input 2 4 4 2 15 3" xfId="9760"/>
    <cellStyle name="Input 2 4 4 2 15 4" xfId="9761"/>
    <cellStyle name="Input 2 4 4 2 15 5" xfId="9762"/>
    <cellStyle name="Input 2 4 4 2 16" xfId="9763"/>
    <cellStyle name="Input 2 4 4 2 16 2" xfId="9764"/>
    <cellStyle name="Input 2 4 4 2 16 3" xfId="9765"/>
    <cellStyle name="Input 2 4 4 2 16 4" xfId="9766"/>
    <cellStyle name="Input 2 4 4 2 16 5" xfId="9767"/>
    <cellStyle name="Input 2 4 4 2 17" xfId="9768"/>
    <cellStyle name="Input 2 4 4 2 17 2" xfId="9769"/>
    <cellStyle name="Input 2 4 4 2 17 3" xfId="9770"/>
    <cellStyle name="Input 2 4 4 2 17 4" xfId="9771"/>
    <cellStyle name="Input 2 4 4 2 17 5" xfId="9772"/>
    <cellStyle name="Input 2 4 4 2 18" xfId="9773"/>
    <cellStyle name="Input 2 4 4 2 19" xfId="995"/>
    <cellStyle name="Input 2 4 4 2 2" xfId="2013"/>
    <cellStyle name="Input 2 4 4 2 2 2" xfId="9774"/>
    <cellStyle name="Input 2 4 4 2 2 3" xfId="9775"/>
    <cellStyle name="Input 2 4 4 2 2 4" xfId="9776"/>
    <cellStyle name="Input 2 4 4 2 2 5" xfId="9777"/>
    <cellStyle name="Input 2 4 4 2 2 6" xfId="36370"/>
    <cellStyle name="Input 2 4 4 2 2 7" xfId="43859"/>
    <cellStyle name="Input 2 4 4 2 2 8" xfId="52159"/>
    <cellStyle name="Input 2 4 4 2 20" xfId="35075"/>
    <cellStyle name="Input 2 4 4 2 21" xfId="41294"/>
    <cellStyle name="Input 2 4 4 2 3" xfId="2014"/>
    <cellStyle name="Input 2 4 4 2 3 2" xfId="9778"/>
    <cellStyle name="Input 2 4 4 2 3 3" xfId="9779"/>
    <cellStyle name="Input 2 4 4 2 3 4" xfId="9780"/>
    <cellStyle name="Input 2 4 4 2 3 5" xfId="9781"/>
    <cellStyle name="Input 2 4 4 2 3 6" xfId="36867"/>
    <cellStyle name="Input 2 4 4 2 3 7" xfId="43860"/>
    <cellStyle name="Input 2 4 4 2 3 8" xfId="52160"/>
    <cellStyle name="Input 2 4 4 2 4" xfId="1197"/>
    <cellStyle name="Input 2 4 4 2 4 2" xfId="9782"/>
    <cellStyle name="Input 2 4 4 2 4 3" xfId="9783"/>
    <cellStyle name="Input 2 4 4 2 4 4" xfId="9784"/>
    <cellStyle name="Input 2 4 4 2 4 5" xfId="9785"/>
    <cellStyle name="Input 2 4 4 2 4 6" xfId="37483"/>
    <cellStyle name="Input 2 4 4 2 4 7" xfId="43861"/>
    <cellStyle name="Input 2 4 4 2 4 8" xfId="52161"/>
    <cellStyle name="Input 2 4 4 2 5" xfId="3215"/>
    <cellStyle name="Input 2 4 4 2 5 2" xfId="9786"/>
    <cellStyle name="Input 2 4 4 2 5 3" xfId="9787"/>
    <cellStyle name="Input 2 4 4 2 5 4" xfId="9788"/>
    <cellStyle name="Input 2 4 4 2 5 5" xfId="9789"/>
    <cellStyle name="Input 2 4 4 2 5 6" xfId="38099"/>
    <cellStyle name="Input 2 4 4 2 5 7" xfId="43862"/>
    <cellStyle name="Input 2 4 4 2 5 8" xfId="52162"/>
    <cellStyle name="Input 2 4 4 2 6" xfId="3142"/>
    <cellStyle name="Input 2 4 4 2 6 2" xfId="9790"/>
    <cellStyle name="Input 2 4 4 2 6 3" xfId="9791"/>
    <cellStyle name="Input 2 4 4 2 6 4" xfId="9792"/>
    <cellStyle name="Input 2 4 4 2 6 5" xfId="9793"/>
    <cellStyle name="Input 2 4 4 2 6 6" xfId="38717"/>
    <cellStyle name="Input 2 4 4 2 6 7" xfId="43863"/>
    <cellStyle name="Input 2 4 4 2 6 8" xfId="52163"/>
    <cellStyle name="Input 2 4 4 2 7" xfId="9794"/>
    <cellStyle name="Input 2 4 4 2 7 2" xfId="9795"/>
    <cellStyle name="Input 2 4 4 2 7 3" xfId="9796"/>
    <cellStyle name="Input 2 4 4 2 7 4" xfId="9797"/>
    <cellStyle name="Input 2 4 4 2 7 5" xfId="9798"/>
    <cellStyle name="Input 2 4 4 2 7 6" xfId="39337"/>
    <cellStyle name="Input 2 4 4 2 7 7" xfId="43864"/>
    <cellStyle name="Input 2 4 4 2 7 8" xfId="52164"/>
    <cellStyle name="Input 2 4 4 2 8" xfId="9799"/>
    <cellStyle name="Input 2 4 4 2 8 2" xfId="9800"/>
    <cellStyle name="Input 2 4 4 2 8 3" xfId="9801"/>
    <cellStyle name="Input 2 4 4 2 8 4" xfId="9802"/>
    <cellStyle name="Input 2 4 4 2 8 5" xfId="9803"/>
    <cellStyle name="Input 2 4 4 2 8 6" xfId="39953"/>
    <cellStyle name="Input 2 4 4 2 8 7" xfId="43865"/>
    <cellStyle name="Input 2 4 4 2 8 8" xfId="52165"/>
    <cellStyle name="Input 2 4 4 2 9" xfId="9804"/>
    <cellStyle name="Input 2 4 4 2 9 2" xfId="9805"/>
    <cellStyle name="Input 2 4 4 2 9 3" xfId="9806"/>
    <cellStyle name="Input 2 4 4 2 9 4" xfId="9807"/>
    <cellStyle name="Input 2 4 4 2 9 5" xfId="9808"/>
    <cellStyle name="Input 2 4 4 2 9 6" xfId="40568"/>
    <cellStyle name="Input 2 4 4 2 9 7" xfId="43866"/>
    <cellStyle name="Input 2 4 4 2 9 8" xfId="52166"/>
    <cellStyle name="Input 2 4 4 20" xfId="34931"/>
    <cellStyle name="Input 2 4 4 21" xfId="40867"/>
    <cellStyle name="Input 2 4 4 22" xfId="41428"/>
    <cellStyle name="Input 2 4 4 23" xfId="50515"/>
    <cellStyle name="Input 2 4 4 3" xfId="2015"/>
    <cellStyle name="Input 2 4 4 3 10" xfId="34800"/>
    <cellStyle name="Input 2 4 4 3 11" xfId="41082"/>
    <cellStyle name="Input 2 4 4 3 12" xfId="43867"/>
    <cellStyle name="Input 2 4 4 3 13" xfId="52167"/>
    <cellStyle name="Input 2 4 4 3 2" xfId="2016"/>
    <cellStyle name="Input 2 4 4 3 2 2" xfId="36159"/>
    <cellStyle name="Input 2 4 4 3 2 3" xfId="43868"/>
    <cellStyle name="Input 2 4 4 3 2 4" xfId="52168"/>
    <cellStyle name="Input 2 4 4 3 3" xfId="2017"/>
    <cellStyle name="Input 2 4 4 3 3 2" xfId="36656"/>
    <cellStyle name="Input 2 4 4 3 3 3" xfId="43869"/>
    <cellStyle name="Input 2 4 4 3 3 4" xfId="52169"/>
    <cellStyle name="Input 2 4 4 3 4" xfId="9809"/>
    <cellStyle name="Input 2 4 4 3 4 2" xfId="37272"/>
    <cellStyle name="Input 2 4 4 3 4 3" xfId="43870"/>
    <cellStyle name="Input 2 4 4 3 4 4" xfId="52170"/>
    <cellStyle name="Input 2 4 4 3 5" xfId="9810"/>
    <cellStyle name="Input 2 4 4 3 5 2" xfId="37888"/>
    <cellStyle name="Input 2 4 4 3 5 3" xfId="43871"/>
    <cellStyle name="Input 2 4 4 3 5 4" xfId="52171"/>
    <cellStyle name="Input 2 4 4 3 6" xfId="38505"/>
    <cellStyle name="Input 2 4 4 3 6 2" xfId="43872"/>
    <cellStyle name="Input 2 4 4 3 6 3" xfId="52172"/>
    <cellStyle name="Input 2 4 4 3 7" xfId="39125"/>
    <cellStyle name="Input 2 4 4 3 7 2" xfId="43873"/>
    <cellStyle name="Input 2 4 4 3 7 3" xfId="52173"/>
    <cellStyle name="Input 2 4 4 3 8" xfId="39741"/>
    <cellStyle name="Input 2 4 4 3 8 2" xfId="43874"/>
    <cellStyle name="Input 2 4 4 3 8 3" xfId="52174"/>
    <cellStyle name="Input 2 4 4 3 9" xfId="40356"/>
    <cellStyle name="Input 2 4 4 3 9 2" xfId="43875"/>
    <cellStyle name="Input 2 4 4 3 9 3" xfId="52175"/>
    <cellStyle name="Input 2 4 4 4" xfId="2018"/>
    <cellStyle name="Input 2 4 4 4 10" xfId="43876"/>
    <cellStyle name="Input 2 4 4 4 11" xfId="52176"/>
    <cellStyle name="Input 2 4 4 4 2" xfId="9811"/>
    <cellStyle name="Input 2 4 4 4 2 2" xfId="43877"/>
    <cellStyle name="Input 2 4 4 4 2 3" xfId="52177"/>
    <cellStyle name="Input 2 4 4 4 3" xfId="9812"/>
    <cellStyle name="Input 2 4 4 4 3 2" xfId="43878"/>
    <cellStyle name="Input 2 4 4 4 3 3" xfId="52178"/>
    <cellStyle name="Input 2 4 4 4 4" xfId="9813"/>
    <cellStyle name="Input 2 4 4 4 4 2" xfId="43879"/>
    <cellStyle name="Input 2 4 4 4 4 3" xfId="52179"/>
    <cellStyle name="Input 2 4 4 4 5" xfId="9814"/>
    <cellStyle name="Input 2 4 4 4 5 2" xfId="43880"/>
    <cellStyle name="Input 2 4 4 4 5 3" xfId="52180"/>
    <cellStyle name="Input 2 4 4 4 6" xfId="35656"/>
    <cellStyle name="Input 2 4 4 4 6 2" xfId="43881"/>
    <cellStyle name="Input 2 4 4 4 6 3" xfId="52181"/>
    <cellStyle name="Input 2 4 4 4 7" xfId="43882"/>
    <cellStyle name="Input 2 4 4 4 7 2" xfId="52182"/>
    <cellStyle name="Input 2 4 4 4 8" xfId="43883"/>
    <cellStyle name="Input 2 4 4 4 8 2" xfId="52183"/>
    <cellStyle name="Input 2 4 4 4 9" xfId="43884"/>
    <cellStyle name="Input 2 4 4 4 9 2" xfId="52184"/>
    <cellStyle name="Input 2 4 4 5" xfId="1196"/>
    <cellStyle name="Input 2 4 4 5 2" xfId="9815"/>
    <cellStyle name="Input 2 4 4 5 3" xfId="9816"/>
    <cellStyle name="Input 2 4 4 5 4" xfId="9817"/>
    <cellStyle name="Input 2 4 4 5 5" xfId="9818"/>
    <cellStyle name="Input 2 4 4 5 6" xfId="35780"/>
    <cellStyle name="Input 2 4 4 5 7" xfId="43885"/>
    <cellStyle name="Input 2 4 4 5 8" xfId="52185"/>
    <cellStyle name="Input 2 4 4 6" xfId="3214"/>
    <cellStyle name="Input 2 4 4 6 2" xfId="9819"/>
    <cellStyle name="Input 2 4 4 6 3" xfId="9820"/>
    <cellStyle name="Input 2 4 4 6 4" xfId="9821"/>
    <cellStyle name="Input 2 4 4 6 5" xfId="9822"/>
    <cellStyle name="Input 2 4 4 6 6" xfId="37057"/>
    <cellStyle name="Input 2 4 4 6 7" xfId="43886"/>
    <cellStyle name="Input 2 4 4 6 8" xfId="52186"/>
    <cellStyle name="Input 2 4 4 7" xfId="3143"/>
    <cellStyle name="Input 2 4 4 7 2" xfId="9823"/>
    <cellStyle name="Input 2 4 4 7 3" xfId="9824"/>
    <cellStyle name="Input 2 4 4 7 4" xfId="9825"/>
    <cellStyle name="Input 2 4 4 7 5" xfId="9826"/>
    <cellStyle name="Input 2 4 4 7 6" xfId="37671"/>
    <cellStyle name="Input 2 4 4 7 7" xfId="43887"/>
    <cellStyle name="Input 2 4 4 7 8" xfId="52187"/>
    <cellStyle name="Input 2 4 4 8" xfId="9827"/>
    <cellStyle name="Input 2 4 4 8 2" xfId="9828"/>
    <cellStyle name="Input 2 4 4 8 3" xfId="9829"/>
    <cellStyle name="Input 2 4 4 8 4" xfId="9830"/>
    <cellStyle name="Input 2 4 4 8 5" xfId="9831"/>
    <cellStyle name="Input 2 4 4 8 6" xfId="38286"/>
    <cellStyle name="Input 2 4 4 8 7" xfId="43888"/>
    <cellStyle name="Input 2 4 4 8 8" xfId="52188"/>
    <cellStyle name="Input 2 4 4 9" xfId="9832"/>
    <cellStyle name="Input 2 4 4 9 2" xfId="9833"/>
    <cellStyle name="Input 2 4 4 9 3" xfId="9834"/>
    <cellStyle name="Input 2 4 4 9 4" xfId="9835"/>
    <cellStyle name="Input 2 4 4 9 5" xfId="9836"/>
    <cellStyle name="Input 2 4 4 9 6" xfId="38906"/>
    <cellStyle name="Input 2 4 4 9 7" xfId="43889"/>
    <cellStyle name="Input 2 4 4 9 8" xfId="52189"/>
    <cellStyle name="Input 2 4 5" xfId="479"/>
    <cellStyle name="Input 2 4 5 10" xfId="9837"/>
    <cellStyle name="Input 2 4 5 10 2" xfId="9838"/>
    <cellStyle name="Input 2 4 5 10 3" xfId="9839"/>
    <cellStyle name="Input 2 4 5 10 4" xfId="9840"/>
    <cellStyle name="Input 2 4 5 10 5" xfId="9841"/>
    <cellStyle name="Input 2 4 5 10 6" xfId="43890"/>
    <cellStyle name="Input 2 4 5 10 7" xfId="52190"/>
    <cellStyle name="Input 2 4 5 11" xfId="9842"/>
    <cellStyle name="Input 2 4 5 11 2" xfId="9843"/>
    <cellStyle name="Input 2 4 5 11 3" xfId="9844"/>
    <cellStyle name="Input 2 4 5 11 4" xfId="9845"/>
    <cellStyle name="Input 2 4 5 11 5" xfId="9846"/>
    <cellStyle name="Input 2 4 5 12" xfId="9847"/>
    <cellStyle name="Input 2 4 5 12 2" xfId="9848"/>
    <cellStyle name="Input 2 4 5 12 3" xfId="9849"/>
    <cellStyle name="Input 2 4 5 12 4" xfId="9850"/>
    <cellStyle name="Input 2 4 5 12 5" xfId="9851"/>
    <cellStyle name="Input 2 4 5 13" xfId="9852"/>
    <cellStyle name="Input 2 4 5 13 2" xfId="9853"/>
    <cellStyle name="Input 2 4 5 13 3" xfId="9854"/>
    <cellStyle name="Input 2 4 5 13 4" xfId="9855"/>
    <cellStyle name="Input 2 4 5 13 5" xfId="9856"/>
    <cellStyle name="Input 2 4 5 14" xfId="9857"/>
    <cellStyle name="Input 2 4 5 14 2" xfId="9858"/>
    <cellStyle name="Input 2 4 5 14 3" xfId="9859"/>
    <cellStyle name="Input 2 4 5 14 4" xfId="9860"/>
    <cellStyle name="Input 2 4 5 14 5" xfId="9861"/>
    <cellStyle name="Input 2 4 5 15" xfId="9862"/>
    <cellStyle name="Input 2 4 5 15 2" xfId="9863"/>
    <cellStyle name="Input 2 4 5 15 3" xfId="9864"/>
    <cellStyle name="Input 2 4 5 15 4" xfId="9865"/>
    <cellStyle name="Input 2 4 5 15 5" xfId="9866"/>
    <cellStyle name="Input 2 4 5 16" xfId="9867"/>
    <cellStyle name="Input 2 4 5 16 2" xfId="9868"/>
    <cellStyle name="Input 2 4 5 16 3" xfId="9869"/>
    <cellStyle name="Input 2 4 5 16 4" xfId="9870"/>
    <cellStyle name="Input 2 4 5 16 5" xfId="9871"/>
    <cellStyle name="Input 2 4 5 17" xfId="9872"/>
    <cellStyle name="Input 2 4 5 17 2" xfId="9873"/>
    <cellStyle name="Input 2 4 5 17 3" xfId="9874"/>
    <cellStyle name="Input 2 4 5 17 4" xfId="9875"/>
    <cellStyle name="Input 2 4 5 17 5" xfId="9876"/>
    <cellStyle name="Input 2 4 5 18" xfId="9877"/>
    <cellStyle name="Input 2 4 5 19" xfId="908"/>
    <cellStyle name="Input 2 4 5 2" xfId="2019"/>
    <cellStyle name="Input 2 4 5 2 2" xfId="2020"/>
    <cellStyle name="Input 2 4 5 2 3" xfId="2021"/>
    <cellStyle name="Input 2 4 5 2 4" xfId="9878"/>
    <cellStyle name="Input 2 4 5 2 5" xfId="9879"/>
    <cellStyle name="Input 2 4 5 2 6" xfId="36283"/>
    <cellStyle name="Input 2 4 5 2 7" xfId="43891"/>
    <cellStyle name="Input 2 4 5 2 8" xfId="52191"/>
    <cellStyle name="Input 2 4 5 20" xfId="34988"/>
    <cellStyle name="Input 2 4 5 21" xfId="40697"/>
    <cellStyle name="Input 2 4 5 22" xfId="41207"/>
    <cellStyle name="Input 2 4 5 3" xfId="2022"/>
    <cellStyle name="Input 2 4 5 3 2" xfId="9880"/>
    <cellStyle name="Input 2 4 5 3 3" xfId="9881"/>
    <cellStyle name="Input 2 4 5 3 4" xfId="9882"/>
    <cellStyle name="Input 2 4 5 3 5" xfId="9883"/>
    <cellStyle name="Input 2 4 5 3 6" xfId="36780"/>
    <cellStyle name="Input 2 4 5 3 7" xfId="43892"/>
    <cellStyle name="Input 2 4 5 3 8" xfId="52192"/>
    <cellStyle name="Input 2 4 5 4" xfId="1198"/>
    <cellStyle name="Input 2 4 5 4 2" xfId="9884"/>
    <cellStyle name="Input 2 4 5 4 3" xfId="9885"/>
    <cellStyle name="Input 2 4 5 4 4" xfId="9886"/>
    <cellStyle name="Input 2 4 5 4 5" xfId="9887"/>
    <cellStyle name="Input 2 4 5 4 6" xfId="37396"/>
    <cellStyle name="Input 2 4 5 4 7" xfId="43893"/>
    <cellStyle name="Input 2 4 5 4 8" xfId="52193"/>
    <cellStyle name="Input 2 4 5 5" xfId="3216"/>
    <cellStyle name="Input 2 4 5 5 2" xfId="9888"/>
    <cellStyle name="Input 2 4 5 5 3" xfId="9889"/>
    <cellStyle name="Input 2 4 5 5 4" xfId="9890"/>
    <cellStyle name="Input 2 4 5 5 5" xfId="9891"/>
    <cellStyle name="Input 2 4 5 5 6" xfId="38012"/>
    <cellStyle name="Input 2 4 5 5 7" xfId="43894"/>
    <cellStyle name="Input 2 4 5 5 8" xfId="52194"/>
    <cellStyle name="Input 2 4 5 6" xfId="3089"/>
    <cellStyle name="Input 2 4 5 6 2" xfId="9892"/>
    <cellStyle name="Input 2 4 5 6 3" xfId="9893"/>
    <cellStyle name="Input 2 4 5 6 4" xfId="9894"/>
    <cellStyle name="Input 2 4 5 6 5" xfId="9895"/>
    <cellStyle name="Input 2 4 5 6 6" xfId="38630"/>
    <cellStyle name="Input 2 4 5 6 7" xfId="43895"/>
    <cellStyle name="Input 2 4 5 6 8" xfId="52195"/>
    <cellStyle name="Input 2 4 5 7" xfId="9896"/>
    <cellStyle name="Input 2 4 5 7 2" xfId="9897"/>
    <cellStyle name="Input 2 4 5 7 3" xfId="9898"/>
    <cellStyle name="Input 2 4 5 7 4" xfId="9899"/>
    <cellStyle name="Input 2 4 5 7 5" xfId="9900"/>
    <cellStyle name="Input 2 4 5 7 6" xfId="39250"/>
    <cellStyle name="Input 2 4 5 7 7" xfId="43896"/>
    <cellStyle name="Input 2 4 5 7 8" xfId="52196"/>
    <cellStyle name="Input 2 4 5 8" xfId="9901"/>
    <cellStyle name="Input 2 4 5 8 2" xfId="9902"/>
    <cellStyle name="Input 2 4 5 8 3" xfId="9903"/>
    <cellStyle name="Input 2 4 5 8 4" xfId="9904"/>
    <cellStyle name="Input 2 4 5 8 5" xfId="9905"/>
    <cellStyle name="Input 2 4 5 8 6" xfId="39866"/>
    <cellStyle name="Input 2 4 5 8 7" xfId="43897"/>
    <cellStyle name="Input 2 4 5 8 8" xfId="52197"/>
    <cellStyle name="Input 2 4 5 9" xfId="9906"/>
    <cellStyle name="Input 2 4 5 9 2" xfId="9907"/>
    <cellStyle name="Input 2 4 5 9 3" xfId="9908"/>
    <cellStyle name="Input 2 4 5 9 4" xfId="9909"/>
    <cellStyle name="Input 2 4 5 9 5" xfId="9910"/>
    <cellStyle name="Input 2 4 5 9 6" xfId="40481"/>
    <cellStyle name="Input 2 4 5 9 7" xfId="43898"/>
    <cellStyle name="Input 2 4 5 9 8" xfId="52198"/>
    <cellStyle name="Input 2 4 6" xfId="2023"/>
    <cellStyle name="Input 2 4 6 10" xfId="34812"/>
    <cellStyle name="Input 2 4 6 11" xfId="40993"/>
    <cellStyle name="Input 2 4 6 12" xfId="43899"/>
    <cellStyle name="Input 2 4 6 13" xfId="52199"/>
    <cellStyle name="Input 2 4 6 2" xfId="2024"/>
    <cellStyle name="Input 2 4 6 2 2" xfId="36070"/>
    <cellStyle name="Input 2 4 6 2 3" xfId="43900"/>
    <cellStyle name="Input 2 4 6 2 4" xfId="52200"/>
    <cellStyle name="Input 2 4 6 3" xfId="2025"/>
    <cellStyle name="Input 2 4 6 3 2" xfId="36569"/>
    <cellStyle name="Input 2 4 6 3 3" xfId="43901"/>
    <cellStyle name="Input 2 4 6 3 4" xfId="52201"/>
    <cellStyle name="Input 2 4 6 4" xfId="9911"/>
    <cellStyle name="Input 2 4 6 4 2" xfId="37185"/>
    <cellStyle name="Input 2 4 6 4 3" xfId="43902"/>
    <cellStyle name="Input 2 4 6 4 4" xfId="52202"/>
    <cellStyle name="Input 2 4 6 5" xfId="9912"/>
    <cellStyle name="Input 2 4 6 5 2" xfId="37801"/>
    <cellStyle name="Input 2 4 6 5 3" xfId="43903"/>
    <cellStyle name="Input 2 4 6 5 4" xfId="52203"/>
    <cellStyle name="Input 2 4 6 6" xfId="38416"/>
    <cellStyle name="Input 2 4 6 6 2" xfId="43904"/>
    <cellStyle name="Input 2 4 6 6 3" xfId="52204"/>
    <cellStyle name="Input 2 4 6 7" xfId="39036"/>
    <cellStyle name="Input 2 4 6 7 2" xfId="43905"/>
    <cellStyle name="Input 2 4 6 7 3" xfId="52205"/>
    <cellStyle name="Input 2 4 6 8" xfId="39652"/>
    <cellStyle name="Input 2 4 6 8 2" xfId="43906"/>
    <cellStyle name="Input 2 4 6 8 3" xfId="52206"/>
    <cellStyle name="Input 2 4 6 9" xfId="40267"/>
    <cellStyle name="Input 2 4 6 9 2" xfId="43907"/>
    <cellStyle name="Input 2 4 6 9 3" xfId="52207"/>
    <cellStyle name="Input 2 4 7" xfId="2026"/>
    <cellStyle name="Input 2 4 7 10" xfId="43908"/>
    <cellStyle name="Input 2 4 7 11" xfId="52208"/>
    <cellStyle name="Input 2 4 7 2" xfId="2027"/>
    <cellStyle name="Input 2 4 7 2 2" xfId="43909"/>
    <cellStyle name="Input 2 4 7 2 3" xfId="52209"/>
    <cellStyle name="Input 2 4 7 3" xfId="2028"/>
    <cellStyle name="Input 2 4 7 3 2" xfId="43910"/>
    <cellStyle name="Input 2 4 7 3 3" xfId="52210"/>
    <cellStyle name="Input 2 4 7 4" xfId="9913"/>
    <cellStyle name="Input 2 4 7 4 2" xfId="43911"/>
    <cellStyle name="Input 2 4 7 4 3" xfId="52211"/>
    <cellStyle name="Input 2 4 7 5" xfId="9914"/>
    <cellStyle name="Input 2 4 7 5 2" xfId="43912"/>
    <cellStyle name="Input 2 4 7 5 3" xfId="52212"/>
    <cellStyle name="Input 2 4 7 6" xfId="35387"/>
    <cellStyle name="Input 2 4 7 6 2" xfId="43913"/>
    <cellStyle name="Input 2 4 7 6 3" xfId="52213"/>
    <cellStyle name="Input 2 4 7 7" xfId="43914"/>
    <cellStyle name="Input 2 4 7 7 2" xfId="52214"/>
    <cellStyle name="Input 2 4 7 8" xfId="43915"/>
    <cellStyle name="Input 2 4 7 8 2" xfId="52215"/>
    <cellStyle name="Input 2 4 7 9" xfId="43916"/>
    <cellStyle name="Input 2 4 7 9 2" xfId="52216"/>
    <cellStyle name="Input 2 4 8" xfId="1187"/>
    <cellStyle name="Input 2 4 8 2" xfId="9915"/>
    <cellStyle name="Input 2 4 8 3" xfId="9916"/>
    <cellStyle name="Input 2 4 8 4" xfId="9917"/>
    <cellStyle name="Input 2 4 8 5" xfId="9918"/>
    <cellStyle name="Input 2 4 8 6" xfId="35918"/>
    <cellStyle name="Input 2 4 8 7" xfId="43917"/>
    <cellStyle name="Input 2 4 8 8" xfId="52217"/>
    <cellStyle name="Input 2 4 9" xfId="3205"/>
    <cellStyle name="Input 2 4 9 2" xfId="9919"/>
    <cellStyle name="Input 2 4 9 3" xfId="9920"/>
    <cellStyle name="Input 2 4 9 4" xfId="9921"/>
    <cellStyle name="Input 2 4 9 5" xfId="9922"/>
    <cellStyle name="Input 2 4 9 6" xfId="35735"/>
    <cellStyle name="Input 2 4 9 7" xfId="43918"/>
    <cellStyle name="Input 2 4 9 8" xfId="52218"/>
    <cellStyle name="Input 2 5" xfId="247"/>
    <cellStyle name="Input 2 5 10" xfId="3088"/>
    <cellStyle name="Input 2 5 10 2" xfId="9923"/>
    <cellStyle name="Input 2 5 10 3" xfId="9924"/>
    <cellStyle name="Input 2 5 10 4" xfId="9925"/>
    <cellStyle name="Input 2 5 10 5" xfId="9926"/>
    <cellStyle name="Input 2 5 10 6" xfId="36040"/>
    <cellStyle name="Input 2 5 10 7" xfId="43919"/>
    <cellStyle name="Input 2 5 10 8" xfId="52219"/>
    <cellStyle name="Input 2 5 11" xfId="9927"/>
    <cellStyle name="Input 2 5 11 2" xfId="9928"/>
    <cellStyle name="Input 2 5 11 3" xfId="9929"/>
    <cellStyle name="Input 2 5 11 4" xfId="9930"/>
    <cellStyle name="Input 2 5 11 5" xfId="9931"/>
    <cellStyle name="Input 2 5 11 6" xfId="35853"/>
    <cellStyle name="Input 2 5 11 7" xfId="43920"/>
    <cellStyle name="Input 2 5 11 8" xfId="52220"/>
    <cellStyle name="Input 2 5 12" xfId="9932"/>
    <cellStyle name="Input 2 5 12 2" xfId="9933"/>
    <cellStyle name="Input 2 5 12 3" xfId="9934"/>
    <cellStyle name="Input 2 5 12 4" xfId="9935"/>
    <cellStyle name="Input 2 5 12 5" xfId="9936"/>
    <cellStyle name="Input 2 5 12 6" xfId="35888"/>
    <cellStyle name="Input 2 5 12 7" xfId="43921"/>
    <cellStyle name="Input 2 5 12 8" xfId="52221"/>
    <cellStyle name="Input 2 5 13" xfId="9937"/>
    <cellStyle name="Input 2 5 13 2" xfId="9938"/>
    <cellStyle name="Input 2 5 13 3" xfId="9939"/>
    <cellStyle name="Input 2 5 13 4" xfId="9940"/>
    <cellStyle name="Input 2 5 13 5" xfId="9941"/>
    <cellStyle name="Input 2 5 13 6" xfId="35869"/>
    <cellStyle name="Input 2 5 13 7" xfId="43922"/>
    <cellStyle name="Input 2 5 13 8" xfId="52222"/>
    <cellStyle name="Input 2 5 14" xfId="9942"/>
    <cellStyle name="Input 2 5 14 2" xfId="9943"/>
    <cellStyle name="Input 2 5 14 3" xfId="9944"/>
    <cellStyle name="Input 2 5 14 4" xfId="9945"/>
    <cellStyle name="Input 2 5 14 5" xfId="9946"/>
    <cellStyle name="Input 2 5 14 6" xfId="35879"/>
    <cellStyle name="Input 2 5 14 7" xfId="43923"/>
    <cellStyle name="Input 2 5 14 8" xfId="52223"/>
    <cellStyle name="Input 2 5 15" xfId="9947"/>
    <cellStyle name="Input 2 5 15 2" xfId="9948"/>
    <cellStyle name="Input 2 5 15 3" xfId="9949"/>
    <cellStyle name="Input 2 5 15 4" xfId="9950"/>
    <cellStyle name="Input 2 5 15 5" xfId="9951"/>
    <cellStyle name="Input 2 5 15 6" xfId="35862"/>
    <cellStyle name="Input 2 5 15 7" xfId="43924"/>
    <cellStyle name="Input 2 5 15 8" xfId="52224"/>
    <cellStyle name="Input 2 5 16" xfId="9952"/>
    <cellStyle name="Input 2 5 16 2" xfId="9953"/>
    <cellStyle name="Input 2 5 16 3" xfId="9954"/>
    <cellStyle name="Input 2 5 16 4" xfId="9955"/>
    <cellStyle name="Input 2 5 16 5" xfId="9956"/>
    <cellStyle name="Input 2 5 16 6" xfId="43925"/>
    <cellStyle name="Input 2 5 16 7" xfId="52225"/>
    <cellStyle name="Input 2 5 17" xfId="9957"/>
    <cellStyle name="Input 2 5 17 2" xfId="9958"/>
    <cellStyle name="Input 2 5 17 3" xfId="9959"/>
    <cellStyle name="Input 2 5 17 4" xfId="9960"/>
    <cellStyle name="Input 2 5 17 5" xfId="9961"/>
    <cellStyle name="Input 2 5 18" xfId="9962"/>
    <cellStyle name="Input 2 5 19" xfId="695"/>
    <cellStyle name="Input 2 5 2" xfId="280"/>
    <cellStyle name="Input 2 5 2 10" xfId="9963"/>
    <cellStyle name="Input 2 5 2 10 2" xfId="9964"/>
    <cellStyle name="Input 2 5 2 10 3" xfId="9965"/>
    <cellStyle name="Input 2 5 2 10 4" xfId="9966"/>
    <cellStyle name="Input 2 5 2 10 5" xfId="9967"/>
    <cellStyle name="Input 2 5 2 10 6" xfId="38225"/>
    <cellStyle name="Input 2 5 2 10 7" xfId="43926"/>
    <cellStyle name="Input 2 5 2 10 8" xfId="52226"/>
    <cellStyle name="Input 2 5 2 11" xfId="9968"/>
    <cellStyle name="Input 2 5 2 11 2" xfId="9969"/>
    <cellStyle name="Input 2 5 2 11 3" xfId="9970"/>
    <cellStyle name="Input 2 5 2 11 4" xfId="9971"/>
    <cellStyle name="Input 2 5 2 11 5" xfId="9972"/>
    <cellStyle name="Input 2 5 2 11 6" xfId="38847"/>
    <cellStyle name="Input 2 5 2 11 7" xfId="43927"/>
    <cellStyle name="Input 2 5 2 11 8" xfId="52227"/>
    <cellStyle name="Input 2 5 2 12" xfId="9973"/>
    <cellStyle name="Input 2 5 2 12 2" xfId="9974"/>
    <cellStyle name="Input 2 5 2 12 3" xfId="9975"/>
    <cellStyle name="Input 2 5 2 12 4" xfId="9976"/>
    <cellStyle name="Input 2 5 2 12 5" xfId="9977"/>
    <cellStyle name="Input 2 5 2 12 6" xfId="39467"/>
    <cellStyle name="Input 2 5 2 12 7" xfId="43928"/>
    <cellStyle name="Input 2 5 2 12 8" xfId="52228"/>
    <cellStyle name="Input 2 5 2 13" xfId="9978"/>
    <cellStyle name="Input 2 5 2 13 2" xfId="9979"/>
    <cellStyle name="Input 2 5 2 13 3" xfId="9980"/>
    <cellStyle name="Input 2 5 2 13 4" xfId="9981"/>
    <cellStyle name="Input 2 5 2 13 5" xfId="9982"/>
    <cellStyle name="Input 2 5 2 13 6" xfId="40085"/>
    <cellStyle name="Input 2 5 2 13 7" xfId="43929"/>
    <cellStyle name="Input 2 5 2 13 8" xfId="52229"/>
    <cellStyle name="Input 2 5 2 14" xfId="9983"/>
    <cellStyle name="Input 2 5 2 14 2" xfId="9984"/>
    <cellStyle name="Input 2 5 2 14 3" xfId="9985"/>
    <cellStyle name="Input 2 5 2 14 4" xfId="9986"/>
    <cellStyle name="Input 2 5 2 14 5" xfId="9987"/>
    <cellStyle name="Input 2 5 2 14 6" xfId="43930"/>
    <cellStyle name="Input 2 5 2 14 7" xfId="52230"/>
    <cellStyle name="Input 2 5 2 15" xfId="9988"/>
    <cellStyle name="Input 2 5 2 15 2" xfId="9989"/>
    <cellStyle name="Input 2 5 2 15 3" xfId="9990"/>
    <cellStyle name="Input 2 5 2 15 4" xfId="9991"/>
    <cellStyle name="Input 2 5 2 15 5" xfId="9992"/>
    <cellStyle name="Input 2 5 2 16" xfId="9993"/>
    <cellStyle name="Input 2 5 2 17" xfId="725"/>
    <cellStyle name="Input 2 5 2 18" xfId="34951"/>
    <cellStyle name="Input 2 5 2 19" xfId="40809"/>
    <cellStyle name="Input 2 5 2 2" xfId="348"/>
    <cellStyle name="Input 2 5 2 2 10" xfId="9994"/>
    <cellStyle name="Input 2 5 2 2 10 2" xfId="9995"/>
    <cellStyle name="Input 2 5 2 2 10 3" xfId="9996"/>
    <cellStyle name="Input 2 5 2 2 10 4" xfId="9997"/>
    <cellStyle name="Input 2 5 2 2 10 5" xfId="9998"/>
    <cellStyle name="Input 2 5 2 2 10 6" xfId="39526"/>
    <cellStyle name="Input 2 5 2 2 10 7" xfId="43931"/>
    <cellStyle name="Input 2 5 2 2 10 8" xfId="52231"/>
    <cellStyle name="Input 2 5 2 2 11" xfId="9999"/>
    <cellStyle name="Input 2 5 2 2 11 2" xfId="10000"/>
    <cellStyle name="Input 2 5 2 2 11 3" xfId="10001"/>
    <cellStyle name="Input 2 5 2 2 11 4" xfId="10002"/>
    <cellStyle name="Input 2 5 2 2 11 5" xfId="10003"/>
    <cellStyle name="Input 2 5 2 2 11 6" xfId="40142"/>
    <cellStyle name="Input 2 5 2 2 11 7" xfId="43932"/>
    <cellStyle name="Input 2 5 2 2 11 8" xfId="52232"/>
    <cellStyle name="Input 2 5 2 2 12" xfId="10004"/>
    <cellStyle name="Input 2 5 2 2 12 2" xfId="10005"/>
    <cellStyle name="Input 2 5 2 2 12 3" xfId="10006"/>
    <cellStyle name="Input 2 5 2 2 12 4" xfId="10007"/>
    <cellStyle name="Input 2 5 2 2 12 5" xfId="10008"/>
    <cellStyle name="Input 2 5 2 2 12 6" xfId="43933"/>
    <cellStyle name="Input 2 5 2 2 12 7" xfId="52233"/>
    <cellStyle name="Input 2 5 2 2 13" xfId="10009"/>
    <cellStyle name="Input 2 5 2 2 13 2" xfId="10010"/>
    <cellStyle name="Input 2 5 2 2 13 3" xfId="10011"/>
    <cellStyle name="Input 2 5 2 2 13 4" xfId="10012"/>
    <cellStyle name="Input 2 5 2 2 13 5" xfId="10013"/>
    <cellStyle name="Input 2 5 2 2 13 6" xfId="43934"/>
    <cellStyle name="Input 2 5 2 2 13 7" xfId="52234"/>
    <cellStyle name="Input 2 5 2 2 14" xfId="10014"/>
    <cellStyle name="Input 2 5 2 2 14 2" xfId="10015"/>
    <cellStyle name="Input 2 5 2 2 14 3" xfId="10016"/>
    <cellStyle name="Input 2 5 2 2 14 4" xfId="10017"/>
    <cellStyle name="Input 2 5 2 2 14 5" xfId="10018"/>
    <cellStyle name="Input 2 5 2 2 15" xfId="10019"/>
    <cellStyle name="Input 2 5 2 2 15 2" xfId="10020"/>
    <cellStyle name="Input 2 5 2 2 15 3" xfId="10021"/>
    <cellStyle name="Input 2 5 2 2 15 4" xfId="10022"/>
    <cellStyle name="Input 2 5 2 2 15 5" xfId="10023"/>
    <cellStyle name="Input 2 5 2 2 16" xfId="10024"/>
    <cellStyle name="Input 2 5 2 2 16 2" xfId="10025"/>
    <cellStyle name="Input 2 5 2 2 16 3" xfId="10026"/>
    <cellStyle name="Input 2 5 2 2 16 4" xfId="10027"/>
    <cellStyle name="Input 2 5 2 2 16 5" xfId="10028"/>
    <cellStyle name="Input 2 5 2 2 17" xfId="10029"/>
    <cellStyle name="Input 2 5 2 2 17 2" xfId="10030"/>
    <cellStyle name="Input 2 5 2 2 17 3" xfId="10031"/>
    <cellStyle name="Input 2 5 2 2 17 4" xfId="10032"/>
    <cellStyle name="Input 2 5 2 2 17 5" xfId="10033"/>
    <cellStyle name="Input 2 5 2 2 18" xfId="10034"/>
    <cellStyle name="Input 2 5 2 2 19" xfId="784"/>
    <cellStyle name="Input 2 5 2 2 2" xfId="567"/>
    <cellStyle name="Input 2 5 2 2 2 10" xfId="10035"/>
    <cellStyle name="Input 2 5 2 2 2 10 2" xfId="10036"/>
    <cellStyle name="Input 2 5 2 2 2 10 3" xfId="10037"/>
    <cellStyle name="Input 2 5 2 2 2 10 4" xfId="10038"/>
    <cellStyle name="Input 2 5 2 2 2 10 5" xfId="10039"/>
    <cellStyle name="Input 2 5 2 2 2 10 6" xfId="43935"/>
    <cellStyle name="Input 2 5 2 2 2 10 7" xfId="52235"/>
    <cellStyle name="Input 2 5 2 2 2 11" xfId="10040"/>
    <cellStyle name="Input 2 5 2 2 2 11 2" xfId="10041"/>
    <cellStyle name="Input 2 5 2 2 2 11 3" xfId="10042"/>
    <cellStyle name="Input 2 5 2 2 2 11 4" xfId="10043"/>
    <cellStyle name="Input 2 5 2 2 2 11 5" xfId="10044"/>
    <cellStyle name="Input 2 5 2 2 2 12" xfId="10045"/>
    <cellStyle name="Input 2 5 2 2 2 12 2" xfId="10046"/>
    <cellStyle name="Input 2 5 2 2 2 12 3" xfId="10047"/>
    <cellStyle name="Input 2 5 2 2 2 12 4" xfId="10048"/>
    <cellStyle name="Input 2 5 2 2 2 12 5" xfId="10049"/>
    <cellStyle name="Input 2 5 2 2 2 13" xfId="10050"/>
    <cellStyle name="Input 2 5 2 2 2 13 2" xfId="10051"/>
    <cellStyle name="Input 2 5 2 2 2 13 3" xfId="10052"/>
    <cellStyle name="Input 2 5 2 2 2 13 4" xfId="10053"/>
    <cellStyle name="Input 2 5 2 2 2 13 5" xfId="10054"/>
    <cellStyle name="Input 2 5 2 2 2 14" xfId="10055"/>
    <cellStyle name="Input 2 5 2 2 2 14 2" xfId="10056"/>
    <cellStyle name="Input 2 5 2 2 2 14 3" xfId="10057"/>
    <cellStyle name="Input 2 5 2 2 2 14 4" xfId="10058"/>
    <cellStyle name="Input 2 5 2 2 2 14 5" xfId="10059"/>
    <cellStyle name="Input 2 5 2 2 2 15" xfId="10060"/>
    <cellStyle name="Input 2 5 2 2 2 15 2" xfId="10061"/>
    <cellStyle name="Input 2 5 2 2 2 15 3" xfId="10062"/>
    <cellStyle name="Input 2 5 2 2 2 15 4" xfId="10063"/>
    <cellStyle name="Input 2 5 2 2 2 15 5" xfId="10064"/>
    <cellStyle name="Input 2 5 2 2 2 16" xfId="10065"/>
    <cellStyle name="Input 2 5 2 2 2 16 2" xfId="10066"/>
    <cellStyle name="Input 2 5 2 2 2 16 3" xfId="10067"/>
    <cellStyle name="Input 2 5 2 2 2 16 4" xfId="10068"/>
    <cellStyle name="Input 2 5 2 2 2 16 5" xfId="10069"/>
    <cellStyle name="Input 2 5 2 2 2 17" xfId="10070"/>
    <cellStyle name="Input 2 5 2 2 2 17 2" xfId="10071"/>
    <cellStyle name="Input 2 5 2 2 2 17 3" xfId="10072"/>
    <cellStyle name="Input 2 5 2 2 2 17 4" xfId="10073"/>
    <cellStyle name="Input 2 5 2 2 2 17 5" xfId="10074"/>
    <cellStyle name="Input 2 5 2 2 2 18" xfId="10075"/>
    <cellStyle name="Input 2 5 2 2 2 19" xfId="996"/>
    <cellStyle name="Input 2 5 2 2 2 2" xfId="2029"/>
    <cellStyle name="Input 2 5 2 2 2 2 2" xfId="10076"/>
    <cellStyle name="Input 2 5 2 2 2 2 3" xfId="10077"/>
    <cellStyle name="Input 2 5 2 2 2 2 4" xfId="10078"/>
    <cellStyle name="Input 2 5 2 2 2 2 5" xfId="10079"/>
    <cellStyle name="Input 2 5 2 2 2 2 6" xfId="36371"/>
    <cellStyle name="Input 2 5 2 2 2 2 7" xfId="43936"/>
    <cellStyle name="Input 2 5 2 2 2 2 8" xfId="52236"/>
    <cellStyle name="Input 2 5 2 2 2 20" xfId="35076"/>
    <cellStyle name="Input 2 5 2 2 2 21" xfId="41295"/>
    <cellStyle name="Input 2 5 2 2 2 3" xfId="2030"/>
    <cellStyle name="Input 2 5 2 2 2 3 2" xfId="10080"/>
    <cellStyle name="Input 2 5 2 2 2 3 3" xfId="10081"/>
    <cellStyle name="Input 2 5 2 2 2 3 4" xfId="10082"/>
    <cellStyle name="Input 2 5 2 2 2 3 5" xfId="10083"/>
    <cellStyle name="Input 2 5 2 2 2 3 6" xfId="36868"/>
    <cellStyle name="Input 2 5 2 2 2 3 7" xfId="43937"/>
    <cellStyle name="Input 2 5 2 2 2 3 8" xfId="52237"/>
    <cellStyle name="Input 2 5 2 2 2 4" xfId="1202"/>
    <cellStyle name="Input 2 5 2 2 2 4 2" xfId="10084"/>
    <cellStyle name="Input 2 5 2 2 2 4 3" xfId="10085"/>
    <cellStyle name="Input 2 5 2 2 2 4 4" xfId="10086"/>
    <cellStyle name="Input 2 5 2 2 2 4 5" xfId="10087"/>
    <cellStyle name="Input 2 5 2 2 2 4 6" xfId="37484"/>
    <cellStyle name="Input 2 5 2 2 2 4 7" xfId="43938"/>
    <cellStyle name="Input 2 5 2 2 2 4 8" xfId="52238"/>
    <cellStyle name="Input 2 5 2 2 2 5" xfId="3220"/>
    <cellStyle name="Input 2 5 2 2 2 5 2" xfId="10088"/>
    <cellStyle name="Input 2 5 2 2 2 5 3" xfId="10089"/>
    <cellStyle name="Input 2 5 2 2 2 5 4" xfId="10090"/>
    <cellStyle name="Input 2 5 2 2 2 5 5" xfId="10091"/>
    <cellStyle name="Input 2 5 2 2 2 5 6" xfId="38100"/>
    <cellStyle name="Input 2 5 2 2 2 5 7" xfId="43939"/>
    <cellStyle name="Input 2 5 2 2 2 5 8" xfId="52239"/>
    <cellStyle name="Input 2 5 2 2 2 6" xfId="3085"/>
    <cellStyle name="Input 2 5 2 2 2 6 2" xfId="10092"/>
    <cellStyle name="Input 2 5 2 2 2 6 3" xfId="10093"/>
    <cellStyle name="Input 2 5 2 2 2 6 4" xfId="10094"/>
    <cellStyle name="Input 2 5 2 2 2 6 5" xfId="10095"/>
    <cellStyle name="Input 2 5 2 2 2 6 6" xfId="38718"/>
    <cellStyle name="Input 2 5 2 2 2 6 7" xfId="43940"/>
    <cellStyle name="Input 2 5 2 2 2 6 8" xfId="52240"/>
    <cellStyle name="Input 2 5 2 2 2 7" xfId="10096"/>
    <cellStyle name="Input 2 5 2 2 2 7 2" xfId="10097"/>
    <cellStyle name="Input 2 5 2 2 2 7 3" xfId="10098"/>
    <cellStyle name="Input 2 5 2 2 2 7 4" xfId="10099"/>
    <cellStyle name="Input 2 5 2 2 2 7 5" xfId="10100"/>
    <cellStyle name="Input 2 5 2 2 2 7 6" xfId="39338"/>
    <cellStyle name="Input 2 5 2 2 2 7 7" xfId="43941"/>
    <cellStyle name="Input 2 5 2 2 2 7 8" xfId="52241"/>
    <cellStyle name="Input 2 5 2 2 2 8" xfId="10101"/>
    <cellStyle name="Input 2 5 2 2 2 8 2" xfId="10102"/>
    <cellStyle name="Input 2 5 2 2 2 8 3" xfId="10103"/>
    <cellStyle name="Input 2 5 2 2 2 8 4" xfId="10104"/>
    <cellStyle name="Input 2 5 2 2 2 8 5" xfId="10105"/>
    <cellStyle name="Input 2 5 2 2 2 8 6" xfId="39954"/>
    <cellStyle name="Input 2 5 2 2 2 8 7" xfId="43942"/>
    <cellStyle name="Input 2 5 2 2 2 8 8" xfId="52242"/>
    <cellStyle name="Input 2 5 2 2 2 9" xfId="10106"/>
    <cellStyle name="Input 2 5 2 2 2 9 2" xfId="10107"/>
    <cellStyle name="Input 2 5 2 2 2 9 3" xfId="10108"/>
    <cellStyle name="Input 2 5 2 2 2 9 4" xfId="10109"/>
    <cellStyle name="Input 2 5 2 2 2 9 5" xfId="10110"/>
    <cellStyle name="Input 2 5 2 2 2 9 6" xfId="40569"/>
    <cellStyle name="Input 2 5 2 2 2 9 7" xfId="43943"/>
    <cellStyle name="Input 2 5 2 2 2 9 8" xfId="52243"/>
    <cellStyle name="Input 2 5 2 2 20" xfId="34820"/>
    <cellStyle name="Input 2 5 2 2 21" xfId="40868"/>
    <cellStyle name="Input 2 5 2 2 22" xfId="41429"/>
    <cellStyle name="Input 2 5 2 2 23" xfId="50516"/>
    <cellStyle name="Input 2 5 2 2 3" xfId="2031"/>
    <cellStyle name="Input 2 5 2 2 3 10" xfId="34864"/>
    <cellStyle name="Input 2 5 2 2 3 11" xfId="41083"/>
    <cellStyle name="Input 2 5 2 2 3 12" xfId="43944"/>
    <cellStyle name="Input 2 5 2 2 3 13" xfId="52244"/>
    <cellStyle name="Input 2 5 2 2 3 2" xfId="2032"/>
    <cellStyle name="Input 2 5 2 2 3 2 2" xfId="36160"/>
    <cellStyle name="Input 2 5 2 2 3 2 3" xfId="43945"/>
    <cellStyle name="Input 2 5 2 2 3 2 4" xfId="52245"/>
    <cellStyle name="Input 2 5 2 2 3 3" xfId="2033"/>
    <cellStyle name="Input 2 5 2 2 3 3 2" xfId="36657"/>
    <cellStyle name="Input 2 5 2 2 3 3 3" xfId="43946"/>
    <cellStyle name="Input 2 5 2 2 3 3 4" xfId="52246"/>
    <cellStyle name="Input 2 5 2 2 3 4" xfId="10111"/>
    <cellStyle name="Input 2 5 2 2 3 4 2" xfId="37273"/>
    <cellStyle name="Input 2 5 2 2 3 4 3" xfId="43947"/>
    <cellStyle name="Input 2 5 2 2 3 4 4" xfId="52247"/>
    <cellStyle name="Input 2 5 2 2 3 5" xfId="10112"/>
    <cellStyle name="Input 2 5 2 2 3 5 2" xfId="37889"/>
    <cellStyle name="Input 2 5 2 2 3 5 3" xfId="43948"/>
    <cellStyle name="Input 2 5 2 2 3 5 4" xfId="52248"/>
    <cellStyle name="Input 2 5 2 2 3 6" xfId="38506"/>
    <cellStyle name="Input 2 5 2 2 3 6 2" xfId="43949"/>
    <cellStyle name="Input 2 5 2 2 3 6 3" xfId="52249"/>
    <cellStyle name="Input 2 5 2 2 3 7" xfId="39126"/>
    <cellStyle name="Input 2 5 2 2 3 7 2" xfId="43950"/>
    <cellStyle name="Input 2 5 2 2 3 7 3" xfId="52250"/>
    <cellStyle name="Input 2 5 2 2 3 8" xfId="39742"/>
    <cellStyle name="Input 2 5 2 2 3 8 2" xfId="43951"/>
    <cellStyle name="Input 2 5 2 2 3 8 3" xfId="52251"/>
    <cellStyle name="Input 2 5 2 2 3 9" xfId="40357"/>
    <cellStyle name="Input 2 5 2 2 3 9 2" xfId="43952"/>
    <cellStyle name="Input 2 5 2 2 3 9 3" xfId="52252"/>
    <cellStyle name="Input 2 5 2 2 4" xfId="2034"/>
    <cellStyle name="Input 2 5 2 2 4 10" xfId="43953"/>
    <cellStyle name="Input 2 5 2 2 4 11" xfId="52253"/>
    <cellStyle name="Input 2 5 2 2 4 2" xfId="10113"/>
    <cellStyle name="Input 2 5 2 2 4 2 2" xfId="43954"/>
    <cellStyle name="Input 2 5 2 2 4 2 3" xfId="52254"/>
    <cellStyle name="Input 2 5 2 2 4 3" xfId="10114"/>
    <cellStyle name="Input 2 5 2 2 4 3 2" xfId="43955"/>
    <cellStyle name="Input 2 5 2 2 4 3 3" xfId="52255"/>
    <cellStyle name="Input 2 5 2 2 4 4" xfId="10115"/>
    <cellStyle name="Input 2 5 2 2 4 4 2" xfId="43956"/>
    <cellStyle name="Input 2 5 2 2 4 4 3" xfId="52256"/>
    <cellStyle name="Input 2 5 2 2 4 5" xfId="10116"/>
    <cellStyle name="Input 2 5 2 2 4 5 2" xfId="43957"/>
    <cellStyle name="Input 2 5 2 2 4 5 3" xfId="52257"/>
    <cellStyle name="Input 2 5 2 2 4 6" xfId="35688"/>
    <cellStyle name="Input 2 5 2 2 4 6 2" xfId="43958"/>
    <cellStyle name="Input 2 5 2 2 4 6 3" xfId="52258"/>
    <cellStyle name="Input 2 5 2 2 4 7" xfId="43959"/>
    <cellStyle name="Input 2 5 2 2 4 7 2" xfId="52259"/>
    <cellStyle name="Input 2 5 2 2 4 8" xfId="43960"/>
    <cellStyle name="Input 2 5 2 2 4 8 2" xfId="52260"/>
    <cellStyle name="Input 2 5 2 2 4 9" xfId="43961"/>
    <cellStyle name="Input 2 5 2 2 4 9 2" xfId="52261"/>
    <cellStyle name="Input 2 5 2 2 5" xfId="1201"/>
    <cellStyle name="Input 2 5 2 2 5 2" xfId="10117"/>
    <cellStyle name="Input 2 5 2 2 5 3" xfId="10118"/>
    <cellStyle name="Input 2 5 2 2 5 4" xfId="10119"/>
    <cellStyle name="Input 2 5 2 2 5 5" xfId="10120"/>
    <cellStyle name="Input 2 5 2 2 5 6" xfId="35779"/>
    <cellStyle name="Input 2 5 2 2 5 7" xfId="43962"/>
    <cellStyle name="Input 2 5 2 2 5 8" xfId="52262"/>
    <cellStyle name="Input 2 5 2 2 6" xfId="3219"/>
    <cellStyle name="Input 2 5 2 2 6 2" xfId="10121"/>
    <cellStyle name="Input 2 5 2 2 6 3" xfId="10122"/>
    <cellStyle name="Input 2 5 2 2 6 4" xfId="10123"/>
    <cellStyle name="Input 2 5 2 2 6 5" xfId="10124"/>
    <cellStyle name="Input 2 5 2 2 6 6" xfId="37058"/>
    <cellStyle name="Input 2 5 2 2 6 7" xfId="43963"/>
    <cellStyle name="Input 2 5 2 2 6 8" xfId="52263"/>
    <cellStyle name="Input 2 5 2 2 7" xfId="3086"/>
    <cellStyle name="Input 2 5 2 2 7 2" xfId="10125"/>
    <cellStyle name="Input 2 5 2 2 7 3" xfId="10126"/>
    <cellStyle name="Input 2 5 2 2 7 4" xfId="10127"/>
    <cellStyle name="Input 2 5 2 2 7 5" xfId="10128"/>
    <cellStyle name="Input 2 5 2 2 7 6" xfId="37672"/>
    <cellStyle name="Input 2 5 2 2 7 7" xfId="43964"/>
    <cellStyle name="Input 2 5 2 2 7 8" xfId="52264"/>
    <cellStyle name="Input 2 5 2 2 8" xfId="10129"/>
    <cellStyle name="Input 2 5 2 2 8 2" xfId="10130"/>
    <cellStyle name="Input 2 5 2 2 8 3" xfId="10131"/>
    <cellStyle name="Input 2 5 2 2 8 4" xfId="10132"/>
    <cellStyle name="Input 2 5 2 2 8 5" xfId="10133"/>
    <cellStyle name="Input 2 5 2 2 8 6" xfId="38287"/>
    <cellStyle name="Input 2 5 2 2 8 7" xfId="43965"/>
    <cellStyle name="Input 2 5 2 2 8 8" xfId="52265"/>
    <cellStyle name="Input 2 5 2 2 9" xfId="10134"/>
    <cellStyle name="Input 2 5 2 2 9 2" xfId="10135"/>
    <cellStyle name="Input 2 5 2 2 9 3" xfId="10136"/>
    <cellStyle name="Input 2 5 2 2 9 4" xfId="10137"/>
    <cellStyle name="Input 2 5 2 2 9 5" xfId="10138"/>
    <cellStyle name="Input 2 5 2 2 9 6" xfId="38907"/>
    <cellStyle name="Input 2 5 2 2 9 7" xfId="43966"/>
    <cellStyle name="Input 2 5 2 2 9 8" xfId="52266"/>
    <cellStyle name="Input 2 5 2 3" xfId="510"/>
    <cellStyle name="Input 2 5 2 3 10" xfId="10139"/>
    <cellStyle name="Input 2 5 2 3 10 2" xfId="10140"/>
    <cellStyle name="Input 2 5 2 3 10 3" xfId="10141"/>
    <cellStyle name="Input 2 5 2 3 10 4" xfId="10142"/>
    <cellStyle name="Input 2 5 2 3 10 5" xfId="10143"/>
    <cellStyle name="Input 2 5 2 3 10 6" xfId="43967"/>
    <cellStyle name="Input 2 5 2 3 10 7" xfId="52267"/>
    <cellStyle name="Input 2 5 2 3 11" xfId="10144"/>
    <cellStyle name="Input 2 5 2 3 11 2" xfId="10145"/>
    <cellStyle name="Input 2 5 2 3 11 3" xfId="10146"/>
    <cellStyle name="Input 2 5 2 3 11 4" xfId="10147"/>
    <cellStyle name="Input 2 5 2 3 11 5" xfId="10148"/>
    <cellStyle name="Input 2 5 2 3 12" xfId="10149"/>
    <cellStyle name="Input 2 5 2 3 12 2" xfId="10150"/>
    <cellStyle name="Input 2 5 2 3 12 3" xfId="10151"/>
    <cellStyle name="Input 2 5 2 3 12 4" xfId="10152"/>
    <cellStyle name="Input 2 5 2 3 12 5" xfId="10153"/>
    <cellStyle name="Input 2 5 2 3 13" xfId="10154"/>
    <cellStyle name="Input 2 5 2 3 13 2" xfId="10155"/>
    <cellStyle name="Input 2 5 2 3 13 3" xfId="10156"/>
    <cellStyle name="Input 2 5 2 3 13 4" xfId="10157"/>
    <cellStyle name="Input 2 5 2 3 13 5" xfId="10158"/>
    <cellStyle name="Input 2 5 2 3 14" xfId="10159"/>
    <cellStyle name="Input 2 5 2 3 14 2" xfId="10160"/>
    <cellStyle name="Input 2 5 2 3 14 3" xfId="10161"/>
    <cellStyle name="Input 2 5 2 3 14 4" xfId="10162"/>
    <cellStyle name="Input 2 5 2 3 14 5" xfId="10163"/>
    <cellStyle name="Input 2 5 2 3 15" xfId="10164"/>
    <cellStyle name="Input 2 5 2 3 15 2" xfId="10165"/>
    <cellStyle name="Input 2 5 2 3 15 3" xfId="10166"/>
    <cellStyle name="Input 2 5 2 3 15 4" xfId="10167"/>
    <cellStyle name="Input 2 5 2 3 15 5" xfId="10168"/>
    <cellStyle name="Input 2 5 2 3 16" xfId="10169"/>
    <cellStyle name="Input 2 5 2 3 16 2" xfId="10170"/>
    <cellStyle name="Input 2 5 2 3 16 3" xfId="10171"/>
    <cellStyle name="Input 2 5 2 3 16 4" xfId="10172"/>
    <cellStyle name="Input 2 5 2 3 16 5" xfId="10173"/>
    <cellStyle name="Input 2 5 2 3 17" xfId="10174"/>
    <cellStyle name="Input 2 5 2 3 17 2" xfId="10175"/>
    <cellStyle name="Input 2 5 2 3 17 3" xfId="10176"/>
    <cellStyle name="Input 2 5 2 3 17 4" xfId="10177"/>
    <cellStyle name="Input 2 5 2 3 17 5" xfId="10178"/>
    <cellStyle name="Input 2 5 2 3 18" xfId="10179"/>
    <cellStyle name="Input 2 5 2 3 19" xfId="939"/>
    <cellStyle name="Input 2 5 2 3 2" xfId="2035"/>
    <cellStyle name="Input 2 5 2 3 2 2" xfId="2036"/>
    <cellStyle name="Input 2 5 2 3 2 3" xfId="2037"/>
    <cellStyle name="Input 2 5 2 3 2 4" xfId="10180"/>
    <cellStyle name="Input 2 5 2 3 2 5" xfId="10181"/>
    <cellStyle name="Input 2 5 2 3 2 6" xfId="36314"/>
    <cellStyle name="Input 2 5 2 3 2 7" xfId="43968"/>
    <cellStyle name="Input 2 5 2 3 2 8" xfId="52268"/>
    <cellStyle name="Input 2 5 2 3 20" xfId="35019"/>
    <cellStyle name="Input 2 5 2 3 21" xfId="40728"/>
    <cellStyle name="Input 2 5 2 3 22" xfId="41238"/>
    <cellStyle name="Input 2 5 2 3 3" xfId="2038"/>
    <cellStyle name="Input 2 5 2 3 3 2" xfId="10182"/>
    <cellStyle name="Input 2 5 2 3 3 3" xfId="10183"/>
    <cellStyle name="Input 2 5 2 3 3 4" xfId="10184"/>
    <cellStyle name="Input 2 5 2 3 3 5" xfId="10185"/>
    <cellStyle name="Input 2 5 2 3 3 6" xfId="36811"/>
    <cellStyle name="Input 2 5 2 3 3 7" xfId="43969"/>
    <cellStyle name="Input 2 5 2 3 3 8" xfId="52269"/>
    <cellStyle name="Input 2 5 2 3 4" xfId="1203"/>
    <cellStyle name="Input 2 5 2 3 4 2" xfId="10186"/>
    <cellStyle name="Input 2 5 2 3 4 3" xfId="10187"/>
    <cellStyle name="Input 2 5 2 3 4 4" xfId="10188"/>
    <cellStyle name="Input 2 5 2 3 4 5" xfId="10189"/>
    <cellStyle name="Input 2 5 2 3 4 6" xfId="37427"/>
    <cellStyle name="Input 2 5 2 3 4 7" xfId="43970"/>
    <cellStyle name="Input 2 5 2 3 4 8" xfId="52270"/>
    <cellStyle name="Input 2 5 2 3 5" xfId="3221"/>
    <cellStyle name="Input 2 5 2 3 5 2" xfId="10190"/>
    <cellStyle name="Input 2 5 2 3 5 3" xfId="10191"/>
    <cellStyle name="Input 2 5 2 3 5 4" xfId="10192"/>
    <cellStyle name="Input 2 5 2 3 5 5" xfId="10193"/>
    <cellStyle name="Input 2 5 2 3 5 6" xfId="38043"/>
    <cellStyle name="Input 2 5 2 3 5 7" xfId="43971"/>
    <cellStyle name="Input 2 5 2 3 5 8" xfId="52271"/>
    <cellStyle name="Input 2 5 2 3 6" xfId="3084"/>
    <cellStyle name="Input 2 5 2 3 6 2" xfId="10194"/>
    <cellStyle name="Input 2 5 2 3 6 3" xfId="10195"/>
    <cellStyle name="Input 2 5 2 3 6 4" xfId="10196"/>
    <cellStyle name="Input 2 5 2 3 6 5" xfId="10197"/>
    <cellStyle name="Input 2 5 2 3 6 6" xfId="38661"/>
    <cellStyle name="Input 2 5 2 3 6 7" xfId="43972"/>
    <cellStyle name="Input 2 5 2 3 6 8" xfId="52272"/>
    <cellStyle name="Input 2 5 2 3 7" xfId="10198"/>
    <cellStyle name="Input 2 5 2 3 7 2" xfId="10199"/>
    <cellStyle name="Input 2 5 2 3 7 3" xfId="10200"/>
    <cellStyle name="Input 2 5 2 3 7 4" xfId="10201"/>
    <cellStyle name="Input 2 5 2 3 7 5" xfId="10202"/>
    <cellStyle name="Input 2 5 2 3 7 6" xfId="39281"/>
    <cellStyle name="Input 2 5 2 3 7 7" xfId="43973"/>
    <cellStyle name="Input 2 5 2 3 7 8" xfId="52273"/>
    <cellStyle name="Input 2 5 2 3 8" xfId="10203"/>
    <cellStyle name="Input 2 5 2 3 8 2" xfId="10204"/>
    <cellStyle name="Input 2 5 2 3 8 3" xfId="10205"/>
    <cellStyle name="Input 2 5 2 3 8 4" xfId="10206"/>
    <cellStyle name="Input 2 5 2 3 8 5" xfId="10207"/>
    <cellStyle name="Input 2 5 2 3 8 6" xfId="39897"/>
    <cellStyle name="Input 2 5 2 3 8 7" xfId="43974"/>
    <cellStyle name="Input 2 5 2 3 8 8" xfId="52274"/>
    <cellStyle name="Input 2 5 2 3 9" xfId="10208"/>
    <cellStyle name="Input 2 5 2 3 9 2" xfId="10209"/>
    <cellStyle name="Input 2 5 2 3 9 3" xfId="10210"/>
    <cellStyle name="Input 2 5 2 3 9 4" xfId="10211"/>
    <cellStyle name="Input 2 5 2 3 9 5" xfId="10212"/>
    <cellStyle name="Input 2 5 2 3 9 6" xfId="40512"/>
    <cellStyle name="Input 2 5 2 3 9 7" xfId="43975"/>
    <cellStyle name="Input 2 5 2 3 9 8" xfId="52275"/>
    <cellStyle name="Input 2 5 2 4" xfId="2039"/>
    <cellStyle name="Input 2 5 2 4 10" xfId="34915"/>
    <cellStyle name="Input 2 5 2 4 11" xfId="41024"/>
    <cellStyle name="Input 2 5 2 4 12" xfId="43976"/>
    <cellStyle name="Input 2 5 2 4 13" xfId="52276"/>
    <cellStyle name="Input 2 5 2 4 2" xfId="2040"/>
    <cellStyle name="Input 2 5 2 4 2 2" xfId="36101"/>
    <cellStyle name="Input 2 5 2 4 2 3" xfId="43977"/>
    <cellStyle name="Input 2 5 2 4 2 4" xfId="52277"/>
    <cellStyle name="Input 2 5 2 4 3" xfId="2041"/>
    <cellStyle name="Input 2 5 2 4 3 2" xfId="36600"/>
    <cellStyle name="Input 2 5 2 4 3 3" xfId="43978"/>
    <cellStyle name="Input 2 5 2 4 3 4" xfId="52278"/>
    <cellStyle name="Input 2 5 2 4 4" xfId="10213"/>
    <cellStyle name="Input 2 5 2 4 4 2" xfId="37216"/>
    <cellStyle name="Input 2 5 2 4 4 3" xfId="43979"/>
    <cellStyle name="Input 2 5 2 4 4 4" xfId="52279"/>
    <cellStyle name="Input 2 5 2 4 5" xfId="10214"/>
    <cellStyle name="Input 2 5 2 4 5 2" xfId="37832"/>
    <cellStyle name="Input 2 5 2 4 5 3" xfId="43980"/>
    <cellStyle name="Input 2 5 2 4 5 4" xfId="52280"/>
    <cellStyle name="Input 2 5 2 4 6" xfId="38447"/>
    <cellStyle name="Input 2 5 2 4 6 2" xfId="43981"/>
    <cellStyle name="Input 2 5 2 4 6 3" xfId="52281"/>
    <cellStyle name="Input 2 5 2 4 7" xfId="39067"/>
    <cellStyle name="Input 2 5 2 4 7 2" xfId="43982"/>
    <cellStyle name="Input 2 5 2 4 7 3" xfId="52282"/>
    <cellStyle name="Input 2 5 2 4 8" xfId="39683"/>
    <cellStyle name="Input 2 5 2 4 8 2" xfId="43983"/>
    <cellStyle name="Input 2 5 2 4 8 3" xfId="52283"/>
    <cellStyle name="Input 2 5 2 4 9" xfId="40298"/>
    <cellStyle name="Input 2 5 2 4 9 2" xfId="43984"/>
    <cellStyle name="Input 2 5 2 4 9 3" xfId="52284"/>
    <cellStyle name="Input 2 5 2 5" xfId="2042"/>
    <cellStyle name="Input 2 5 2 5 10" xfId="43985"/>
    <cellStyle name="Input 2 5 2 5 11" xfId="52285"/>
    <cellStyle name="Input 2 5 2 5 2" xfId="2043"/>
    <cellStyle name="Input 2 5 2 5 2 2" xfId="43986"/>
    <cellStyle name="Input 2 5 2 5 2 3" xfId="52286"/>
    <cellStyle name="Input 2 5 2 5 3" xfId="2044"/>
    <cellStyle name="Input 2 5 2 5 3 2" xfId="43987"/>
    <cellStyle name="Input 2 5 2 5 3 3" xfId="52287"/>
    <cellStyle name="Input 2 5 2 5 4" xfId="10215"/>
    <cellStyle name="Input 2 5 2 5 4 2" xfId="43988"/>
    <cellStyle name="Input 2 5 2 5 4 3" xfId="52288"/>
    <cellStyle name="Input 2 5 2 5 5" xfId="10216"/>
    <cellStyle name="Input 2 5 2 5 5 2" xfId="43989"/>
    <cellStyle name="Input 2 5 2 5 5 3" xfId="52289"/>
    <cellStyle name="Input 2 5 2 5 6" xfId="35419"/>
    <cellStyle name="Input 2 5 2 5 6 2" xfId="43990"/>
    <cellStyle name="Input 2 5 2 5 6 3" xfId="52290"/>
    <cellStyle name="Input 2 5 2 5 7" xfId="43991"/>
    <cellStyle name="Input 2 5 2 5 7 2" xfId="52291"/>
    <cellStyle name="Input 2 5 2 5 8" xfId="43992"/>
    <cellStyle name="Input 2 5 2 5 8 2" xfId="52292"/>
    <cellStyle name="Input 2 5 2 5 9" xfId="43993"/>
    <cellStyle name="Input 2 5 2 5 9 2" xfId="52293"/>
    <cellStyle name="Input 2 5 2 6" xfId="1200"/>
    <cellStyle name="Input 2 5 2 6 2" xfId="10217"/>
    <cellStyle name="Input 2 5 2 6 3" xfId="10218"/>
    <cellStyle name="Input 2 5 2 6 4" xfId="10219"/>
    <cellStyle name="Input 2 5 2 6 5" xfId="10220"/>
    <cellStyle name="Input 2 5 2 6 6" xfId="35951"/>
    <cellStyle name="Input 2 5 2 6 7" xfId="43994"/>
    <cellStyle name="Input 2 5 2 6 8" xfId="52294"/>
    <cellStyle name="Input 2 5 2 7" xfId="3218"/>
    <cellStyle name="Input 2 5 2 7 2" xfId="10221"/>
    <cellStyle name="Input 2 5 2 7 3" xfId="10222"/>
    <cellStyle name="Input 2 5 2 7 4" xfId="10223"/>
    <cellStyle name="Input 2 5 2 7 5" xfId="10224"/>
    <cellStyle name="Input 2 5 2 7 6" xfId="35736"/>
    <cellStyle name="Input 2 5 2 7 7" xfId="43995"/>
    <cellStyle name="Input 2 5 2 7 8" xfId="52295"/>
    <cellStyle name="Input 2 5 2 8" xfId="3087"/>
    <cellStyle name="Input 2 5 2 8 2" xfId="10225"/>
    <cellStyle name="Input 2 5 2 8 3" xfId="10226"/>
    <cellStyle name="Input 2 5 2 8 4" xfId="10227"/>
    <cellStyle name="Input 2 5 2 8 5" xfId="10228"/>
    <cellStyle name="Input 2 5 2 8 6" xfId="36996"/>
    <cellStyle name="Input 2 5 2 8 7" xfId="43996"/>
    <cellStyle name="Input 2 5 2 8 8" xfId="52296"/>
    <cellStyle name="Input 2 5 2 9" xfId="10229"/>
    <cellStyle name="Input 2 5 2 9 2" xfId="10230"/>
    <cellStyle name="Input 2 5 2 9 3" xfId="10231"/>
    <cellStyle name="Input 2 5 2 9 4" xfId="10232"/>
    <cellStyle name="Input 2 5 2 9 5" xfId="10233"/>
    <cellStyle name="Input 2 5 2 9 6" xfId="37608"/>
    <cellStyle name="Input 2 5 2 9 7" xfId="43997"/>
    <cellStyle name="Input 2 5 2 9 8" xfId="52297"/>
    <cellStyle name="Input 2 5 20" xfId="34849"/>
    <cellStyle name="Input 2 5 21" xfId="40779"/>
    <cellStyle name="Input 2 5 3" xfId="281"/>
    <cellStyle name="Input 2 5 3 10" xfId="10234"/>
    <cellStyle name="Input 2 5 3 10 2" xfId="10235"/>
    <cellStyle name="Input 2 5 3 10 3" xfId="10236"/>
    <cellStyle name="Input 2 5 3 10 4" xfId="10237"/>
    <cellStyle name="Input 2 5 3 10 5" xfId="10238"/>
    <cellStyle name="Input 2 5 3 10 6" xfId="38226"/>
    <cellStyle name="Input 2 5 3 10 7" xfId="43998"/>
    <cellStyle name="Input 2 5 3 10 8" xfId="52298"/>
    <cellStyle name="Input 2 5 3 11" xfId="10239"/>
    <cellStyle name="Input 2 5 3 11 2" xfId="10240"/>
    <cellStyle name="Input 2 5 3 11 3" xfId="10241"/>
    <cellStyle name="Input 2 5 3 11 4" xfId="10242"/>
    <cellStyle name="Input 2 5 3 11 5" xfId="10243"/>
    <cellStyle name="Input 2 5 3 11 6" xfId="38848"/>
    <cellStyle name="Input 2 5 3 11 7" xfId="43999"/>
    <cellStyle name="Input 2 5 3 11 8" xfId="52299"/>
    <cellStyle name="Input 2 5 3 12" xfId="10244"/>
    <cellStyle name="Input 2 5 3 12 2" xfId="10245"/>
    <cellStyle name="Input 2 5 3 12 3" xfId="10246"/>
    <cellStyle name="Input 2 5 3 12 4" xfId="10247"/>
    <cellStyle name="Input 2 5 3 12 5" xfId="10248"/>
    <cellStyle name="Input 2 5 3 12 6" xfId="39468"/>
    <cellStyle name="Input 2 5 3 12 7" xfId="44000"/>
    <cellStyle name="Input 2 5 3 12 8" xfId="52300"/>
    <cellStyle name="Input 2 5 3 13" xfId="10249"/>
    <cellStyle name="Input 2 5 3 13 2" xfId="10250"/>
    <cellStyle name="Input 2 5 3 13 3" xfId="10251"/>
    <cellStyle name="Input 2 5 3 13 4" xfId="10252"/>
    <cellStyle name="Input 2 5 3 13 5" xfId="10253"/>
    <cellStyle name="Input 2 5 3 13 6" xfId="40086"/>
    <cellStyle name="Input 2 5 3 13 7" xfId="44001"/>
    <cellStyle name="Input 2 5 3 13 8" xfId="52301"/>
    <cellStyle name="Input 2 5 3 14" xfId="10254"/>
    <cellStyle name="Input 2 5 3 14 2" xfId="10255"/>
    <cellStyle name="Input 2 5 3 14 3" xfId="10256"/>
    <cellStyle name="Input 2 5 3 14 4" xfId="10257"/>
    <cellStyle name="Input 2 5 3 14 5" xfId="10258"/>
    <cellStyle name="Input 2 5 3 14 6" xfId="44002"/>
    <cellStyle name="Input 2 5 3 14 7" xfId="52302"/>
    <cellStyle name="Input 2 5 3 15" xfId="10259"/>
    <cellStyle name="Input 2 5 3 15 2" xfId="10260"/>
    <cellStyle name="Input 2 5 3 15 3" xfId="10261"/>
    <cellStyle name="Input 2 5 3 15 4" xfId="10262"/>
    <cellStyle name="Input 2 5 3 15 5" xfId="10263"/>
    <cellStyle name="Input 2 5 3 16" xfId="10264"/>
    <cellStyle name="Input 2 5 3 17" xfId="726"/>
    <cellStyle name="Input 2 5 3 18" xfId="34840"/>
    <cellStyle name="Input 2 5 3 19" xfId="40810"/>
    <cellStyle name="Input 2 5 3 2" xfId="349"/>
    <cellStyle name="Input 2 5 3 2 10" xfId="10265"/>
    <cellStyle name="Input 2 5 3 2 10 2" xfId="10266"/>
    <cellStyle name="Input 2 5 3 2 10 3" xfId="10267"/>
    <cellStyle name="Input 2 5 3 2 10 4" xfId="10268"/>
    <cellStyle name="Input 2 5 3 2 10 5" xfId="10269"/>
    <cellStyle name="Input 2 5 3 2 10 6" xfId="39527"/>
    <cellStyle name="Input 2 5 3 2 10 7" xfId="44003"/>
    <cellStyle name="Input 2 5 3 2 10 8" xfId="52303"/>
    <cellStyle name="Input 2 5 3 2 11" xfId="10270"/>
    <cellStyle name="Input 2 5 3 2 11 2" xfId="10271"/>
    <cellStyle name="Input 2 5 3 2 11 3" xfId="10272"/>
    <cellStyle name="Input 2 5 3 2 11 4" xfId="10273"/>
    <cellStyle name="Input 2 5 3 2 11 5" xfId="10274"/>
    <cellStyle name="Input 2 5 3 2 11 6" xfId="40143"/>
    <cellStyle name="Input 2 5 3 2 11 7" xfId="44004"/>
    <cellStyle name="Input 2 5 3 2 11 8" xfId="52304"/>
    <cellStyle name="Input 2 5 3 2 12" xfId="10275"/>
    <cellStyle name="Input 2 5 3 2 12 2" xfId="10276"/>
    <cellStyle name="Input 2 5 3 2 12 3" xfId="10277"/>
    <cellStyle name="Input 2 5 3 2 12 4" xfId="10278"/>
    <cellStyle name="Input 2 5 3 2 12 5" xfId="10279"/>
    <cellStyle name="Input 2 5 3 2 12 6" xfId="44005"/>
    <cellStyle name="Input 2 5 3 2 12 7" xfId="52305"/>
    <cellStyle name="Input 2 5 3 2 13" xfId="10280"/>
    <cellStyle name="Input 2 5 3 2 13 2" xfId="10281"/>
    <cellStyle name="Input 2 5 3 2 13 3" xfId="10282"/>
    <cellStyle name="Input 2 5 3 2 13 4" xfId="10283"/>
    <cellStyle name="Input 2 5 3 2 13 5" xfId="10284"/>
    <cellStyle name="Input 2 5 3 2 13 6" xfId="44006"/>
    <cellStyle name="Input 2 5 3 2 13 7" xfId="52306"/>
    <cellStyle name="Input 2 5 3 2 14" xfId="10285"/>
    <cellStyle name="Input 2 5 3 2 14 2" xfId="10286"/>
    <cellStyle name="Input 2 5 3 2 14 3" xfId="10287"/>
    <cellStyle name="Input 2 5 3 2 14 4" xfId="10288"/>
    <cellStyle name="Input 2 5 3 2 14 5" xfId="10289"/>
    <cellStyle name="Input 2 5 3 2 15" xfId="10290"/>
    <cellStyle name="Input 2 5 3 2 15 2" xfId="10291"/>
    <cellStyle name="Input 2 5 3 2 15 3" xfId="10292"/>
    <cellStyle name="Input 2 5 3 2 15 4" xfId="10293"/>
    <cellStyle name="Input 2 5 3 2 15 5" xfId="10294"/>
    <cellStyle name="Input 2 5 3 2 16" xfId="10295"/>
    <cellStyle name="Input 2 5 3 2 16 2" xfId="10296"/>
    <cellStyle name="Input 2 5 3 2 16 3" xfId="10297"/>
    <cellStyle name="Input 2 5 3 2 16 4" xfId="10298"/>
    <cellStyle name="Input 2 5 3 2 16 5" xfId="10299"/>
    <cellStyle name="Input 2 5 3 2 17" xfId="10300"/>
    <cellStyle name="Input 2 5 3 2 17 2" xfId="10301"/>
    <cellStyle name="Input 2 5 3 2 17 3" xfId="10302"/>
    <cellStyle name="Input 2 5 3 2 17 4" xfId="10303"/>
    <cellStyle name="Input 2 5 3 2 17 5" xfId="10304"/>
    <cellStyle name="Input 2 5 3 2 18" xfId="10305"/>
    <cellStyle name="Input 2 5 3 2 19" xfId="785"/>
    <cellStyle name="Input 2 5 3 2 2" xfId="568"/>
    <cellStyle name="Input 2 5 3 2 2 10" xfId="10306"/>
    <cellStyle name="Input 2 5 3 2 2 10 2" xfId="10307"/>
    <cellStyle name="Input 2 5 3 2 2 10 3" xfId="10308"/>
    <cellStyle name="Input 2 5 3 2 2 10 4" xfId="10309"/>
    <cellStyle name="Input 2 5 3 2 2 10 5" xfId="10310"/>
    <cellStyle name="Input 2 5 3 2 2 10 6" xfId="44007"/>
    <cellStyle name="Input 2 5 3 2 2 10 7" xfId="52307"/>
    <cellStyle name="Input 2 5 3 2 2 11" xfId="10311"/>
    <cellStyle name="Input 2 5 3 2 2 11 2" xfId="10312"/>
    <cellStyle name="Input 2 5 3 2 2 11 3" xfId="10313"/>
    <cellStyle name="Input 2 5 3 2 2 11 4" xfId="10314"/>
    <cellStyle name="Input 2 5 3 2 2 11 5" xfId="10315"/>
    <cellStyle name="Input 2 5 3 2 2 12" xfId="10316"/>
    <cellStyle name="Input 2 5 3 2 2 12 2" xfId="10317"/>
    <cellStyle name="Input 2 5 3 2 2 12 3" xfId="10318"/>
    <cellStyle name="Input 2 5 3 2 2 12 4" xfId="10319"/>
    <cellStyle name="Input 2 5 3 2 2 12 5" xfId="10320"/>
    <cellStyle name="Input 2 5 3 2 2 13" xfId="10321"/>
    <cellStyle name="Input 2 5 3 2 2 13 2" xfId="10322"/>
    <cellStyle name="Input 2 5 3 2 2 13 3" xfId="10323"/>
    <cellStyle name="Input 2 5 3 2 2 13 4" xfId="10324"/>
    <cellStyle name="Input 2 5 3 2 2 13 5" xfId="10325"/>
    <cellStyle name="Input 2 5 3 2 2 14" xfId="10326"/>
    <cellStyle name="Input 2 5 3 2 2 14 2" xfId="10327"/>
    <cellStyle name="Input 2 5 3 2 2 14 3" xfId="10328"/>
    <cellStyle name="Input 2 5 3 2 2 14 4" xfId="10329"/>
    <cellStyle name="Input 2 5 3 2 2 14 5" xfId="10330"/>
    <cellStyle name="Input 2 5 3 2 2 15" xfId="10331"/>
    <cellStyle name="Input 2 5 3 2 2 15 2" xfId="10332"/>
    <cellStyle name="Input 2 5 3 2 2 15 3" xfId="10333"/>
    <cellStyle name="Input 2 5 3 2 2 15 4" xfId="10334"/>
    <cellStyle name="Input 2 5 3 2 2 15 5" xfId="10335"/>
    <cellStyle name="Input 2 5 3 2 2 16" xfId="10336"/>
    <cellStyle name="Input 2 5 3 2 2 16 2" xfId="10337"/>
    <cellStyle name="Input 2 5 3 2 2 16 3" xfId="10338"/>
    <cellStyle name="Input 2 5 3 2 2 16 4" xfId="10339"/>
    <cellStyle name="Input 2 5 3 2 2 16 5" xfId="10340"/>
    <cellStyle name="Input 2 5 3 2 2 17" xfId="10341"/>
    <cellStyle name="Input 2 5 3 2 2 17 2" xfId="10342"/>
    <cellStyle name="Input 2 5 3 2 2 17 3" xfId="10343"/>
    <cellStyle name="Input 2 5 3 2 2 17 4" xfId="10344"/>
    <cellStyle name="Input 2 5 3 2 2 17 5" xfId="10345"/>
    <cellStyle name="Input 2 5 3 2 2 18" xfId="10346"/>
    <cellStyle name="Input 2 5 3 2 2 19" xfId="997"/>
    <cellStyle name="Input 2 5 3 2 2 2" xfId="2045"/>
    <cellStyle name="Input 2 5 3 2 2 2 2" xfId="10347"/>
    <cellStyle name="Input 2 5 3 2 2 2 3" xfId="10348"/>
    <cellStyle name="Input 2 5 3 2 2 2 4" xfId="10349"/>
    <cellStyle name="Input 2 5 3 2 2 2 5" xfId="10350"/>
    <cellStyle name="Input 2 5 3 2 2 2 6" xfId="36372"/>
    <cellStyle name="Input 2 5 3 2 2 2 7" xfId="44008"/>
    <cellStyle name="Input 2 5 3 2 2 2 8" xfId="52308"/>
    <cellStyle name="Input 2 5 3 2 2 20" xfId="35077"/>
    <cellStyle name="Input 2 5 3 2 2 21" xfId="41296"/>
    <cellStyle name="Input 2 5 3 2 2 3" xfId="2046"/>
    <cellStyle name="Input 2 5 3 2 2 3 2" xfId="10351"/>
    <cellStyle name="Input 2 5 3 2 2 3 3" xfId="10352"/>
    <cellStyle name="Input 2 5 3 2 2 3 4" xfId="10353"/>
    <cellStyle name="Input 2 5 3 2 2 3 5" xfId="10354"/>
    <cellStyle name="Input 2 5 3 2 2 3 6" xfId="36869"/>
    <cellStyle name="Input 2 5 3 2 2 3 7" xfId="44009"/>
    <cellStyle name="Input 2 5 3 2 2 3 8" xfId="52309"/>
    <cellStyle name="Input 2 5 3 2 2 4" xfId="1206"/>
    <cellStyle name="Input 2 5 3 2 2 4 2" xfId="10355"/>
    <cellStyle name="Input 2 5 3 2 2 4 3" xfId="10356"/>
    <cellStyle name="Input 2 5 3 2 2 4 4" xfId="10357"/>
    <cellStyle name="Input 2 5 3 2 2 4 5" xfId="10358"/>
    <cellStyle name="Input 2 5 3 2 2 4 6" xfId="37485"/>
    <cellStyle name="Input 2 5 3 2 2 4 7" xfId="44010"/>
    <cellStyle name="Input 2 5 3 2 2 4 8" xfId="52310"/>
    <cellStyle name="Input 2 5 3 2 2 5" xfId="3224"/>
    <cellStyle name="Input 2 5 3 2 2 5 2" xfId="10359"/>
    <cellStyle name="Input 2 5 3 2 2 5 3" xfId="10360"/>
    <cellStyle name="Input 2 5 3 2 2 5 4" xfId="10361"/>
    <cellStyle name="Input 2 5 3 2 2 5 5" xfId="10362"/>
    <cellStyle name="Input 2 5 3 2 2 5 6" xfId="38101"/>
    <cellStyle name="Input 2 5 3 2 2 5 7" xfId="44011"/>
    <cellStyle name="Input 2 5 3 2 2 5 8" xfId="52311"/>
    <cellStyle name="Input 2 5 3 2 2 6" xfId="3081"/>
    <cellStyle name="Input 2 5 3 2 2 6 2" xfId="10363"/>
    <cellStyle name="Input 2 5 3 2 2 6 3" xfId="10364"/>
    <cellStyle name="Input 2 5 3 2 2 6 4" xfId="10365"/>
    <cellStyle name="Input 2 5 3 2 2 6 5" xfId="10366"/>
    <cellStyle name="Input 2 5 3 2 2 6 6" xfId="38719"/>
    <cellStyle name="Input 2 5 3 2 2 6 7" xfId="44012"/>
    <cellStyle name="Input 2 5 3 2 2 6 8" xfId="52312"/>
    <cellStyle name="Input 2 5 3 2 2 7" xfId="10367"/>
    <cellStyle name="Input 2 5 3 2 2 7 2" xfId="10368"/>
    <cellStyle name="Input 2 5 3 2 2 7 3" xfId="10369"/>
    <cellStyle name="Input 2 5 3 2 2 7 4" xfId="10370"/>
    <cellStyle name="Input 2 5 3 2 2 7 5" xfId="10371"/>
    <cellStyle name="Input 2 5 3 2 2 7 6" xfId="39339"/>
    <cellStyle name="Input 2 5 3 2 2 7 7" xfId="44013"/>
    <cellStyle name="Input 2 5 3 2 2 7 8" xfId="52313"/>
    <cellStyle name="Input 2 5 3 2 2 8" xfId="10372"/>
    <cellStyle name="Input 2 5 3 2 2 8 2" xfId="10373"/>
    <cellStyle name="Input 2 5 3 2 2 8 3" xfId="10374"/>
    <cellStyle name="Input 2 5 3 2 2 8 4" xfId="10375"/>
    <cellStyle name="Input 2 5 3 2 2 8 5" xfId="10376"/>
    <cellStyle name="Input 2 5 3 2 2 8 6" xfId="39955"/>
    <cellStyle name="Input 2 5 3 2 2 8 7" xfId="44014"/>
    <cellStyle name="Input 2 5 3 2 2 8 8" xfId="52314"/>
    <cellStyle name="Input 2 5 3 2 2 9" xfId="10377"/>
    <cellStyle name="Input 2 5 3 2 2 9 2" xfId="10378"/>
    <cellStyle name="Input 2 5 3 2 2 9 3" xfId="10379"/>
    <cellStyle name="Input 2 5 3 2 2 9 4" xfId="10380"/>
    <cellStyle name="Input 2 5 3 2 2 9 5" xfId="10381"/>
    <cellStyle name="Input 2 5 3 2 2 9 6" xfId="40570"/>
    <cellStyle name="Input 2 5 3 2 2 9 7" xfId="44015"/>
    <cellStyle name="Input 2 5 3 2 2 9 8" xfId="52315"/>
    <cellStyle name="Input 2 5 3 2 20" xfId="34767"/>
    <cellStyle name="Input 2 5 3 2 21" xfId="40869"/>
    <cellStyle name="Input 2 5 3 2 22" xfId="41430"/>
    <cellStyle name="Input 2 5 3 2 23" xfId="50517"/>
    <cellStyle name="Input 2 5 3 2 3" xfId="2047"/>
    <cellStyle name="Input 2 5 3 2 3 10" xfId="34912"/>
    <cellStyle name="Input 2 5 3 2 3 11" xfId="41084"/>
    <cellStyle name="Input 2 5 3 2 3 12" xfId="44016"/>
    <cellStyle name="Input 2 5 3 2 3 13" xfId="52316"/>
    <cellStyle name="Input 2 5 3 2 3 2" xfId="2048"/>
    <cellStyle name="Input 2 5 3 2 3 2 2" xfId="36161"/>
    <cellStyle name="Input 2 5 3 2 3 2 3" xfId="44017"/>
    <cellStyle name="Input 2 5 3 2 3 2 4" xfId="52317"/>
    <cellStyle name="Input 2 5 3 2 3 3" xfId="2049"/>
    <cellStyle name="Input 2 5 3 2 3 3 2" xfId="36658"/>
    <cellStyle name="Input 2 5 3 2 3 3 3" xfId="44018"/>
    <cellStyle name="Input 2 5 3 2 3 3 4" xfId="52318"/>
    <cellStyle name="Input 2 5 3 2 3 4" xfId="10382"/>
    <cellStyle name="Input 2 5 3 2 3 4 2" xfId="37274"/>
    <cellStyle name="Input 2 5 3 2 3 4 3" xfId="44019"/>
    <cellStyle name="Input 2 5 3 2 3 4 4" xfId="52319"/>
    <cellStyle name="Input 2 5 3 2 3 5" xfId="10383"/>
    <cellStyle name="Input 2 5 3 2 3 5 2" xfId="37890"/>
    <cellStyle name="Input 2 5 3 2 3 5 3" xfId="44020"/>
    <cellStyle name="Input 2 5 3 2 3 5 4" xfId="52320"/>
    <cellStyle name="Input 2 5 3 2 3 6" xfId="38507"/>
    <cellStyle name="Input 2 5 3 2 3 6 2" xfId="44021"/>
    <cellStyle name="Input 2 5 3 2 3 6 3" xfId="52321"/>
    <cellStyle name="Input 2 5 3 2 3 7" xfId="39127"/>
    <cellStyle name="Input 2 5 3 2 3 7 2" xfId="44022"/>
    <cellStyle name="Input 2 5 3 2 3 7 3" xfId="52322"/>
    <cellStyle name="Input 2 5 3 2 3 8" xfId="39743"/>
    <cellStyle name="Input 2 5 3 2 3 8 2" xfId="44023"/>
    <cellStyle name="Input 2 5 3 2 3 8 3" xfId="52323"/>
    <cellStyle name="Input 2 5 3 2 3 9" xfId="40358"/>
    <cellStyle name="Input 2 5 3 2 3 9 2" xfId="44024"/>
    <cellStyle name="Input 2 5 3 2 3 9 3" xfId="52324"/>
    <cellStyle name="Input 2 5 3 2 4" xfId="2050"/>
    <cellStyle name="Input 2 5 3 2 4 10" xfId="44025"/>
    <cellStyle name="Input 2 5 3 2 4 11" xfId="52325"/>
    <cellStyle name="Input 2 5 3 2 4 2" xfId="10384"/>
    <cellStyle name="Input 2 5 3 2 4 2 2" xfId="44026"/>
    <cellStyle name="Input 2 5 3 2 4 2 3" xfId="52326"/>
    <cellStyle name="Input 2 5 3 2 4 3" xfId="10385"/>
    <cellStyle name="Input 2 5 3 2 4 3 2" xfId="44027"/>
    <cellStyle name="Input 2 5 3 2 4 3 3" xfId="52327"/>
    <cellStyle name="Input 2 5 3 2 4 4" xfId="10386"/>
    <cellStyle name="Input 2 5 3 2 4 4 2" xfId="44028"/>
    <cellStyle name="Input 2 5 3 2 4 4 3" xfId="52328"/>
    <cellStyle name="Input 2 5 3 2 4 5" xfId="10387"/>
    <cellStyle name="Input 2 5 3 2 4 5 2" xfId="44029"/>
    <cellStyle name="Input 2 5 3 2 4 5 3" xfId="52329"/>
    <cellStyle name="Input 2 5 3 2 4 6" xfId="35689"/>
    <cellStyle name="Input 2 5 3 2 4 6 2" xfId="44030"/>
    <cellStyle name="Input 2 5 3 2 4 6 3" xfId="52330"/>
    <cellStyle name="Input 2 5 3 2 4 7" xfId="44031"/>
    <cellStyle name="Input 2 5 3 2 4 7 2" xfId="52331"/>
    <cellStyle name="Input 2 5 3 2 4 8" xfId="44032"/>
    <cellStyle name="Input 2 5 3 2 4 8 2" xfId="52332"/>
    <cellStyle name="Input 2 5 3 2 4 9" xfId="44033"/>
    <cellStyle name="Input 2 5 3 2 4 9 2" xfId="52333"/>
    <cellStyle name="Input 2 5 3 2 5" xfId="1205"/>
    <cellStyle name="Input 2 5 3 2 5 2" xfId="10388"/>
    <cellStyle name="Input 2 5 3 2 5 3" xfId="10389"/>
    <cellStyle name="Input 2 5 3 2 5 4" xfId="10390"/>
    <cellStyle name="Input 2 5 3 2 5 5" xfId="10391"/>
    <cellStyle name="Input 2 5 3 2 5 6" xfId="35778"/>
    <cellStyle name="Input 2 5 3 2 5 7" xfId="44034"/>
    <cellStyle name="Input 2 5 3 2 5 8" xfId="52334"/>
    <cellStyle name="Input 2 5 3 2 6" xfId="3223"/>
    <cellStyle name="Input 2 5 3 2 6 2" xfId="10392"/>
    <cellStyle name="Input 2 5 3 2 6 3" xfId="10393"/>
    <cellStyle name="Input 2 5 3 2 6 4" xfId="10394"/>
    <cellStyle name="Input 2 5 3 2 6 5" xfId="10395"/>
    <cellStyle name="Input 2 5 3 2 6 6" xfId="37059"/>
    <cellStyle name="Input 2 5 3 2 6 7" xfId="44035"/>
    <cellStyle name="Input 2 5 3 2 6 8" xfId="52335"/>
    <cellStyle name="Input 2 5 3 2 7" xfId="3082"/>
    <cellStyle name="Input 2 5 3 2 7 2" xfId="10396"/>
    <cellStyle name="Input 2 5 3 2 7 3" xfId="10397"/>
    <cellStyle name="Input 2 5 3 2 7 4" xfId="10398"/>
    <cellStyle name="Input 2 5 3 2 7 5" xfId="10399"/>
    <cellStyle name="Input 2 5 3 2 7 6" xfId="37673"/>
    <cellStyle name="Input 2 5 3 2 7 7" xfId="44036"/>
    <cellStyle name="Input 2 5 3 2 7 8" xfId="52336"/>
    <cellStyle name="Input 2 5 3 2 8" xfId="10400"/>
    <cellStyle name="Input 2 5 3 2 8 2" xfId="10401"/>
    <cellStyle name="Input 2 5 3 2 8 3" xfId="10402"/>
    <cellStyle name="Input 2 5 3 2 8 4" xfId="10403"/>
    <cellStyle name="Input 2 5 3 2 8 5" xfId="10404"/>
    <cellStyle name="Input 2 5 3 2 8 6" xfId="38288"/>
    <cellStyle name="Input 2 5 3 2 8 7" xfId="44037"/>
    <cellStyle name="Input 2 5 3 2 8 8" xfId="52337"/>
    <cellStyle name="Input 2 5 3 2 9" xfId="10405"/>
    <cellStyle name="Input 2 5 3 2 9 2" xfId="10406"/>
    <cellStyle name="Input 2 5 3 2 9 3" xfId="10407"/>
    <cellStyle name="Input 2 5 3 2 9 4" xfId="10408"/>
    <cellStyle name="Input 2 5 3 2 9 5" xfId="10409"/>
    <cellStyle name="Input 2 5 3 2 9 6" xfId="38908"/>
    <cellStyle name="Input 2 5 3 2 9 7" xfId="44038"/>
    <cellStyle name="Input 2 5 3 2 9 8" xfId="52338"/>
    <cellStyle name="Input 2 5 3 3" xfId="511"/>
    <cellStyle name="Input 2 5 3 3 10" xfId="10410"/>
    <cellStyle name="Input 2 5 3 3 10 2" xfId="10411"/>
    <cellStyle name="Input 2 5 3 3 10 3" xfId="10412"/>
    <cellStyle name="Input 2 5 3 3 10 4" xfId="10413"/>
    <cellStyle name="Input 2 5 3 3 10 5" xfId="10414"/>
    <cellStyle name="Input 2 5 3 3 10 6" xfId="44039"/>
    <cellStyle name="Input 2 5 3 3 10 7" xfId="52339"/>
    <cellStyle name="Input 2 5 3 3 11" xfId="10415"/>
    <cellStyle name="Input 2 5 3 3 11 2" xfId="10416"/>
    <cellStyle name="Input 2 5 3 3 11 3" xfId="10417"/>
    <cellStyle name="Input 2 5 3 3 11 4" xfId="10418"/>
    <cellStyle name="Input 2 5 3 3 11 5" xfId="10419"/>
    <cellStyle name="Input 2 5 3 3 12" xfId="10420"/>
    <cellStyle name="Input 2 5 3 3 12 2" xfId="10421"/>
    <cellStyle name="Input 2 5 3 3 12 3" xfId="10422"/>
    <cellStyle name="Input 2 5 3 3 12 4" xfId="10423"/>
    <cellStyle name="Input 2 5 3 3 12 5" xfId="10424"/>
    <cellStyle name="Input 2 5 3 3 13" xfId="10425"/>
    <cellStyle name="Input 2 5 3 3 13 2" xfId="10426"/>
    <cellStyle name="Input 2 5 3 3 13 3" xfId="10427"/>
    <cellStyle name="Input 2 5 3 3 13 4" xfId="10428"/>
    <cellStyle name="Input 2 5 3 3 13 5" xfId="10429"/>
    <cellStyle name="Input 2 5 3 3 14" xfId="10430"/>
    <cellStyle name="Input 2 5 3 3 14 2" xfId="10431"/>
    <cellStyle name="Input 2 5 3 3 14 3" xfId="10432"/>
    <cellStyle name="Input 2 5 3 3 14 4" xfId="10433"/>
    <cellStyle name="Input 2 5 3 3 14 5" xfId="10434"/>
    <cellStyle name="Input 2 5 3 3 15" xfId="10435"/>
    <cellStyle name="Input 2 5 3 3 15 2" xfId="10436"/>
    <cellStyle name="Input 2 5 3 3 15 3" xfId="10437"/>
    <cellStyle name="Input 2 5 3 3 15 4" xfId="10438"/>
    <cellStyle name="Input 2 5 3 3 15 5" xfId="10439"/>
    <cellStyle name="Input 2 5 3 3 16" xfId="10440"/>
    <cellStyle name="Input 2 5 3 3 16 2" xfId="10441"/>
    <cellStyle name="Input 2 5 3 3 16 3" xfId="10442"/>
    <cellStyle name="Input 2 5 3 3 16 4" xfId="10443"/>
    <cellStyle name="Input 2 5 3 3 16 5" xfId="10444"/>
    <cellStyle name="Input 2 5 3 3 17" xfId="10445"/>
    <cellStyle name="Input 2 5 3 3 17 2" xfId="10446"/>
    <cellStyle name="Input 2 5 3 3 17 3" xfId="10447"/>
    <cellStyle name="Input 2 5 3 3 17 4" xfId="10448"/>
    <cellStyle name="Input 2 5 3 3 17 5" xfId="10449"/>
    <cellStyle name="Input 2 5 3 3 18" xfId="10450"/>
    <cellStyle name="Input 2 5 3 3 19" xfId="940"/>
    <cellStyle name="Input 2 5 3 3 2" xfId="2051"/>
    <cellStyle name="Input 2 5 3 3 2 2" xfId="2052"/>
    <cellStyle name="Input 2 5 3 3 2 3" xfId="2053"/>
    <cellStyle name="Input 2 5 3 3 2 4" xfId="10451"/>
    <cellStyle name="Input 2 5 3 3 2 5" xfId="10452"/>
    <cellStyle name="Input 2 5 3 3 2 6" xfId="36315"/>
    <cellStyle name="Input 2 5 3 3 2 7" xfId="44040"/>
    <cellStyle name="Input 2 5 3 3 2 8" xfId="52340"/>
    <cellStyle name="Input 2 5 3 3 20" xfId="35020"/>
    <cellStyle name="Input 2 5 3 3 21" xfId="40729"/>
    <cellStyle name="Input 2 5 3 3 22" xfId="41239"/>
    <cellStyle name="Input 2 5 3 3 3" xfId="2054"/>
    <cellStyle name="Input 2 5 3 3 3 2" xfId="10453"/>
    <cellStyle name="Input 2 5 3 3 3 3" xfId="10454"/>
    <cellStyle name="Input 2 5 3 3 3 4" xfId="10455"/>
    <cellStyle name="Input 2 5 3 3 3 5" xfId="10456"/>
    <cellStyle name="Input 2 5 3 3 3 6" xfId="36812"/>
    <cellStyle name="Input 2 5 3 3 3 7" xfId="44041"/>
    <cellStyle name="Input 2 5 3 3 3 8" xfId="52341"/>
    <cellStyle name="Input 2 5 3 3 4" xfId="1207"/>
    <cellStyle name="Input 2 5 3 3 4 2" xfId="10457"/>
    <cellStyle name="Input 2 5 3 3 4 3" xfId="10458"/>
    <cellStyle name="Input 2 5 3 3 4 4" xfId="10459"/>
    <cellStyle name="Input 2 5 3 3 4 5" xfId="10460"/>
    <cellStyle name="Input 2 5 3 3 4 6" xfId="37428"/>
    <cellStyle name="Input 2 5 3 3 4 7" xfId="44042"/>
    <cellStyle name="Input 2 5 3 3 4 8" xfId="52342"/>
    <cellStyle name="Input 2 5 3 3 5" xfId="3225"/>
    <cellStyle name="Input 2 5 3 3 5 2" xfId="10461"/>
    <cellStyle name="Input 2 5 3 3 5 3" xfId="10462"/>
    <cellStyle name="Input 2 5 3 3 5 4" xfId="10463"/>
    <cellStyle name="Input 2 5 3 3 5 5" xfId="10464"/>
    <cellStyle name="Input 2 5 3 3 5 6" xfId="38044"/>
    <cellStyle name="Input 2 5 3 3 5 7" xfId="44043"/>
    <cellStyle name="Input 2 5 3 3 5 8" xfId="52343"/>
    <cellStyle name="Input 2 5 3 3 6" xfId="3080"/>
    <cellStyle name="Input 2 5 3 3 6 2" xfId="10465"/>
    <cellStyle name="Input 2 5 3 3 6 3" xfId="10466"/>
    <cellStyle name="Input 2 5 3 3 6 4" xfId="10467"/>
    <cellStyle name="Input 2 5 3 3 6 5" xfId="10468"/>
    <cellStyle name="Input 2 5 3 3 6 6" xfId="38662"/>
    <cellStyle name="Input 2 5 3 3 6 7" xfId="44044"/>
    <cellStyle name="Input 2 5 3 3 6 8" xfId="52344"/>
    <cellStyle name="Input 2 5 3 3 7" xfId="10469"/>
    <cellStyle name="Input 2 5 3 3 7 2" xfId="10470"/>
    <cellStyle name="Input 2 5 3 3 7 3" xfId="10471"/>
    <cellStyle name="Input 2 5 3 3 7 4" xfId="10472"/>
    <cellStyle name="Input 2 5 3 3 7 5" xfId="10473"/>
    <cellStyle name="Input 2 5 3 3 7 6" xfId="39282"/>
    <cellStyle name="Input 2 5 3 3 7 7" xfId="44045"/>
    <cellStyle name="Input 2 5 3 3 7 8" xfId="52345"/>
    <cellStyle name="Input 2 5 3 3 8" xfId="10474"/>
    <cellStyle name="Input 2 5 3 3 8 2" xfId="10475"/>
    <cellStyle name="Input 2 5 3 3 8 3" xfId="10476"/>
    <cellStyle name="Input 2 5 3 3 8 4" xfId="10477"/>
    <cellStyle name="Input 2 5 3 3 8 5" xfId="10478"/>
    <cellStyle name="Input 2 5 3 3 8 6" xfId="39898"/>
    <cellStyle name="Input 2 5 3 3 8 7" xfId="44046"/>
    <cellStyle name="Input 2 5 3 3 8 8" xfId="52346"/>
    <cellStyle name="Input 2 5 3 3 9" xfId="10479"/>
    <cellStyle name="Input 2 5 3 3 9 2" xfId="10480"/>
    <cellStyle name="Input 2 5 3 3 9 3" xfId="10481"/>
    <cellStyle name="Input 2 5 3 3 9 4" xfId="10482"/>
    <cellStyle name="Input 2 5 3 3 9 5" xfId="10483"/>
    <cellStyle name="Input 2 5 3 3 9 6" xfId="40513"/>
    <cellStyle name="Input 2 5 3 3 9 7" xfId="44047"/>
    <cellStyle name="Input 2 5 3 3 9 8" xfId="52347"/>
    <cellStyle name="Input 2 5 3 4" xfId="2055"/>
    <cellStyle name="Input 2 5 3 4 10" xfId="34804"/>
    <cellStyle name="Input 2 5 3 4 11" xfId="41025"/>
    <cellStyle name="Input 2 5 3 4 12" xfId="44048"/>
    <cellStyle name="Input 2 5 3 4 13" xfId="52348"/>
    <cellStyle name="Input 2 5 3 4 2" xfId="2056"/>
    <cellStyle name="Input 2 5 3 4 2 2" xfId="36102"/>
    <cellStyle name="Input 2 5 3 4 2 3" xfId="44049"/>
    <cellStyle name="Input 2 5 3 4 2 4" xfId="52349"/>
    <cellStyle name="Input 2 5 3 4 3" xfId="2057"/>
    <cellStyle name="Input 2 5 3 4 3 2" xfId="36601"/>
    <cellStyle name="Input 2 5 3 4 3 3" xfId="44050"/>
    <cellStyle name="Input 2 5 3 4 3 4" xfId="52350"/>
    <cellStyle name="Input 2 5 3 4 4" xfId="10484"/>
    <cellStyle name="Input 2 5 3 4 4 2" xfId="37217"/>
    <cellStyle name="Input 2 5 3 4 4 3" xfId="44051"/>
    <cellStyle name="Input 2 5 3 4 4 4" xfId="52351"/>
    <cellStyle name="Input 2 5 3 4 5" xfId="10485"/>
    <cellStyle name="Input 2 5 3 4 5 2" xfId="37833"/>
    <cellStyle name="Input 2 5 3 4 5 3" xfId="44052"/>
    <cellStyle name="Input 2 5 3 4 5 4" xfId="52352"/>
    <cellStyle name="Input 2 5 3 4 6" xfId="38448"/>
    <cellStyle name="Input 2 5 3 4 6 2" xfId="44053"/>
    <cellStyle name="Input 2 5 3 4 6 3" xfId="52353"/>
    <cellStyle name="Input 2 5 3 4 7" xfId="39068"/>
    <cellStyle name="Input 2 5 3 4 7 2" xfId="44054"/>
    <cellStyle name="Input 2 5 3 4 7 3" xfId="52354"/>
    <cellStyle name="Input 2 5 3 4 8" xfId="39684"/>
    <cellStyle name="Input 2 5 3 4 8 2" xfId="44055"/>
    <cellStyle name="Input 2 5 3 4 8 3" xfId="52355"/>
    <cellStyle name="Input 2 5 3 4 9" xfId="40299"/>
    <cellStyle name="Input 2 5 3 4 9 2" xfId="44056"/>
    <cellStyle name="Input 2 5 3 4 9 3" xfId="52356"/>
    <cellStyle name="Input 2 5 3 5" xfId="2058"/>
    <cellStyle name="Input 2 5 3 5 10" xfId="44057"/>
    <cellStyle name="Input 2 5 3 5 11" xfId="52357"/>
    <cellStyle name="Input 2 5 3 5 2" xfId="2059"/>
    <cellStyle name="Input 2 5 3 5 2 2" xfId="44058"/>
    <cellStyle name="Input 2 5 3 5 2 3" xfId="52358"/>
    <cellStyle name="Input 2 5 3 5 3" xfId="2060"/>
    <cellStyle name="Input 2 5 3 5 3 2" xfId="44059"/>
    <cellStyle name="Input 2 5 3 5 3 3" xfId="52359"/>
    <cellStyle name="Input 2 5 3 5 4" xfId="10486"/>
    <cellStyle name="Input 2 5 3 5 4 2" xfId="44060"/>
    <cellStyle name="Input 2 5 3 5 4 3" xfId="52360"/>
    <cellStyle name="Input 2 5 3 5 5" xfId="10487"/>
    <cellStyle name="Input 2 5 3 5 5 2" xfId="44061"/>
    <cellStyle name="Input 2 5 3 5 5 3" xfId="52361"/>
    <cellStyle name="Input 2 5 3 5 6" xfId="35420"/>
    <cellStyle name="Input 2 5 3 5 6 2" xfId="44062"/>
    <cellStyle name="Input 2 5 3 5 6 3" xfId="52362"/>
    <cellStyle name="Input 2 5 3 5 7" xfId="44063"/>
    <cellStyle name="Input 2 5 3 5 7 2" xfId="52363"/>
    <cellStyle name="Input 2 5 3 5 8" xfId="44064"/>
    <cellStyle name="Input 2 5 3 5 8 2" xfId="52364"/>
    <cellStyle name="Input 2 5 3 5 9" xfId="44065"/>
    <cellStyle name="Input 2 5 3 5 9 2" xfId="52365"/>
    <cellStyle name="Input 2 5 3 6" xfId="1204"/>
    <cellStyle name="Input 2 5 3 6 2" xfId="10488"/>
    <cellStyle name="Input 2 5 3 6 3" xfId="10489"/>
    <cellStyle name="Input 2 5 3 6 4" xfId="10490"/>
    <cellStyle name="Input 2 5 3 6 5" xfId="10491"/>
    <cellStyle name="Input 2 5 3 6 6" xfId="35952"/>
    <cellStyle name="Input 2 5 3 6 7" xfId="44066"/>
    <cellStyle name="Input 2 5 3 6 8" xfId="52366"/>
    <cellStyle name="Input 2 5 3 7" xfId="3222"/>
    <cellStyle name="Input 2 5 3 7 2" xfId="10492"/>
    <cellStyle name="Input 2 5 3 7 3" xfId="10493"/>
    <cellStyle name="Input 2 5 3 7 4" xfId="10494"/>
    <cellStyle name="Input 2 5 3 7 5" xfId="10495"/>
    <cellStyle name="Input 2 5 3 7 6" xfId="35903"/>
    <cellStyle name="Input 2 5 3 7 7" xfId="44067"/>
    <cellStyle name="Input 2 5 3 7 8" xfId="52367"/>
    <cellStyle name="Input 2 5 3 8" xfId="3083"/>
    <cellStyle name="Input 2 5 3 8 2" xfId="10496"/>
    <cellStyle name="Input 2 5 3 8 3" xfId="10497"/>
    <cellStyle name="Input 2 5 3 8 4" xfId="10498"/>
    <cellStyle name="Input 2 5 3 8 5" xfId="10499"/>
    <cellStyle name="Input 2 5 3 8 6" xfId="36997"/>
    <cellStyle name="Input 2 5 3 8 7" xfId="44068"/>
    <cellStyle name="Input 2 5 3 8 8" xfId="52368"/>
    <cellStyle name="Input 2 5 3 9" xfId="10500"/>
    <cellStyle name="Input 2 5 3 9 2" xfId="10501"/>
    <cellStyle name="Input 2 5 3 9 3" xfId="10502"/>
    <cellStyle name="Input 2 5 3 9 4" xfId="10503"/>
    <cellStyle name="Input 2 5 3 9 5" xfId="10504"/>
    <cellStyle name="Input 2 5 3 9 6" xfId="37609"/>
    <cellStyle name="Input 2 5 3 9 7" xfId="44069"/>
    <cellStyle name="Input 2 5 3 9 8" xfId="52369"/>
    <cellStyle name="Input 2 5 4" xfId="350"/>
    <cellStyle name="Input 2 5 4 10" xfId="10505"/>
    <cellStyle name="Input 2 5 4 10 2" xfId="10506"/>
    <cellStyle name="Input 2 5 4 10 3" xfId="10507"/>
    <cellStyle name="Input 2 5 4 10 4" xfId="10508"/>
    <cellStyle name="Input 2 5 4 10 5" xfId="10509"/>
    <cellStyle name="Input 2 5 4 10 6" xfId="39528"/>
    <cellStyle name="Input 2 5 4 10 7" xfId="44070"/>
    <cellStyle name="Input 2 5 4 10 8" xfId="52370"/>
    <cellStyle name="Input 2 5 4 11" xfId="10510"/>
    <cellStyle name="Input 2 5 4 11 2" xfId="10511"/>
    <cellStyle name="Input 2 5 4 11 3" xfId="10512"/>
    <cellStyle name="Input 2 5 4 11 4" xfId="10513"/>
    <cellStyle name="Input 2 5 4 11 5" xfId="10514"/>
    <cellStyle name="Input 2 5 4 11 6" xfId="40144"/>
    <cellStyle name="Input 2 5 4 11 7" xfId="44071"/>
    <cellStyle name="Input 2 5 4 11 8" xfId="52371"/>
    <cellStyle name="Input 2 5 4 12" xfId="10515"/>
    <cellStyle name="Input 2 5 4 12 2" xfId="10516"/>
    <cellStyle name="Input 2 5 4 12 3" xfId="10517"/>
    <cellStyle name="Input 2 5 4 12 4" xfId="10518"/>
    <cellStyle name="Input 2 5 4 12 5" xfId="10519"/>
    <cellStyle name="Input 2 5 4 12 6" xfId="44072"/>
    <cellStyle name="Input 2 5 4 12 7" xfId="52372"/>
    <cellStyle name="Input 2 5 4 13" xfId="10520"/>
    <cellStyle name="Input 2 5 4 13 2" xfId="10521"/>
    <cellStyle name="Input 2 5 4 13 3" xfId="10522"/>
    <cellStyle name="Input 2 5 4 13 4" xfId="10523"/>
    <cellStyle name="Input 2 5 4 13 5" xfId="10524"/>
    <cellStyle name="Input 2 5 4 13 6" xfId="44073"/>
    <cellStyle name="Input 2 5 4 13 7" xfId="52373"/>
    <cellStyle name="Input 2 5 4 14" xfId="10525"/>
    <cellStyle name="Input 2 5 4 14 2" xfId="10526"/>
    <cellStyle name="Input 2 5 4 14 3" xfId="10527"/>
    <cellStyle name="Input 2 5 4 14 4" xfId="10528"/>
    <cellStyle name="Input 2 5 4 14 5" xfId="10529"/>
    <cellStyle name="Input 2 5 4 15" xfId="10530"/>
    <cellStyle name="Input 2 5 4 15 2" xfId="10531"/>
    <cellStyle name="Input 2 5 4 15 3" xfId="10532"/>
    <cellStyle name="Input 2 5 4 15 4" xfId="10533"/>
    <cellStyle name="Input 2 5 4 15 5" xfId="10534"/>
    <cellStyle name="Input 2 5 4 16" xfId="10535"/>
    <cellStyle name="Input 2 5 4 16 2" xfId="10536"/>
    <cellStyle name="Input 2 5 4 16 3" xfId="10537"/>
    <cellStyle name="Input 2 5 4 16 4" xfId="10538"/>
    <cellStyle name="Input 2 5 4 16 5" xfId="10539"/>
    <cellStyle name="Input 2 5 4 17" xfId="10540"/>
    <cellStyle name="Input 2 5 4 17 2" xfId="10541"/>
    <cellStyle name="Input 2 5 4 17 3" xfId="10542"/>
    <cellStyle name="Input 2 5 4 17 4" xfId="10543"/>
    <cellStyle name="Input 2 5 4 17 5" xfId="10544"/>
    <cellStyle name="Input 2 5 4 18" xfId="10545"/>
    <cellStyle name="Input 2 5 4 19" xfId="786"/>
    <cellStyle name="Input 2 5 4 2" xfId="569"/>
    <cellStyle name="Input 2 5 4 2 10" xfId="10546"/>
    <cellStyle name="Input 2 5 4 2 10 2" xfId="10547"/>
    <cellStyle name="Input 2 5 4 2 10 3" xfId="10548"/>
    <cellStyle name="Input 2 5 4 2 10 4" xfId="10549"/>
    <cellStyle name="Input 2 5 4 2 10 5" xfId="10550"/>
    <cellStyle name="Input 2 5 4 2 10 6" xfId="44074"/>
    <cellStyle name="Input 2 5 4 2 10 7" xfId="52374"/>
    <cellStyle name="Input 2 5 4 2 11" xfId="10551"/>
    <cellStyle name="Input 2 5 4 2 11 2" xfId="10552"/>
    <cellStyle name="Input 2 5 4 2 11 3" xfId="10553"/>
    <cellStyle name="Input 2 5 4 2 11 4" xfId="10554"/>
    <cellStyle name="Input 2 5 4 2 11 5" xfId="10555"/>
    <cellStyle name="Input 2 5 4 2 12" xfId="10556"/>
    <cellStyle name="Input 2 5 4 2 12 2" xfId="10557"/>
    <cellStyle name="Input 2 5 4 2 12 3" xfId="10558"/>
    <cellStyle name="Input 2 5 4 2 12 4" xfId="10559"/>
    <cellStyle name="Input 2 5 4 2 12 5" xfId="10560"/>
    <cellStyle name="Input 2 5 4 2 13" xfId="10561"/>
    <cellStyle name="Input 2 5 4 2 13 2" xfId="10562"/>
    <cellStyle name="Input 2 5 4 2 13 3" xfId="10563"/>
    <cellStyle name="Input 2 5 4 2 13 4" xfId="10564"/>
    <cellStyle name="Input 2 5 4 2 13 5" xfId="10565"/>
    <cellStyle name="Input 2 5 4 2 14" xfId="10566"/>
    <cellStyle name="Input 2 5 4 2 14 2" xfId="10567"/>
    <cellStyle name="Input 2 5 4 2 14 3" xfId="10568"/>
    <cellStyle name="Input 2 5 4 2 14 4" xfId="10569"/>
    <cellStyle name="Input 2 5 4 2 14 5" xfId="10570"/>
    <cellStyle name="Input 2 5 4 2 15" xfId="10571"/>
    <cellStyle name="Input 2 5 4 2 15 2" xfId="10572"/>
    <cellStyle name="Input 2 5 4 2 15 3" xfId="10573"/>
    <cellStyle name="Input 2 5 4 2 15 4" xfId="10574"/>
    <cellStyle name="Input 2 5 4 2 15 5" xfId="10575"/>
    <cellStyle name="Input 2 5 4 2 16" xfId="10576"/>
    <cellStyle name="Input 2 5 4 2 16 2" xfId="10577"/>
    <cellStyle name="Input 2 5 4 2 16 3" xfId="10578"/>
    <cellStyle name="Input 2 5 4 2 16 4" xfId="10579"/>
    <cellStyle name="Input 2 5 4 2 16 5" xfId="10580"/>
    <cellStyle name="Input 2 5 4 2 17" xfId="10581"/>
    <cellStyle name="Input 2 5 4 2 17 2" xfId="10582"/>
    <cellStyle name="Input 2 5 4 2 17 3" xfId="10583"/>
    <cellStyle name="Input 2 5 4 2 17 4" xfId="10584"/>
    <cellStyle name="Input 2 5 4 2 17 5" xfId="10585"/>
    <cellStyle name="Input 2 5 4 2 18" xfId="10586"/>
    <cellStyle name="Input 2 5 4 2 19" xfId="998"/>
    <cellStyle name="Input 2 5 4 2 2" xfId="2061"/>
    <cellStyle name="Input 2 5 4 2 2 2" xfId="10587"/>
    <cellStyle name="Input 2 5 4 2 2 3" xfId="10588"/>
    <cellStyle name="Input 2 5 4 2 2 4" xfId="10589"/>
    <cellStyle name="Input 2 5 4 2 2 5" xfId="10590"/>
    <cellStyle name="Input 2 5 4 2 2 6" xfId="36373"/>
    <cellStyle name="Input 2 5 4 2 2 7" xfId="44075"/>
    <cellStyle name="Input 2 5 4 2 2 8" xfId="52375"/>
    <cellStyle name="Input 2 5 4 2 20" xfId="35078"/>
    <cellStyle name="Input 2 5 4 2 21" xfId="41297"/>
    <cellStyle name="Input 2 5 4 2 3" xfId="2062"/>
    <cellStyle name="Input 2 5 4 2 3 2" xfId="10591"/>
    <cellStyle name="Input 2 5 4 2 3 3" xfId="10592"/>
    <cellStyle name="Input 2 5 4 2 3 4" xfId="10593"/>
    <cellStyle name="Input 2 5 4 2 3 5" xfId="10594"/>
    <cellStyle name="Input 2 5 4 2 3 6" xfId="36870"/>
    <cellStyle name="Input 2 5 4 2 3 7" xfId="44076"/>
    <cellStyle name="Input 2 5 4 2 3 8" xfId="52376"/>
    <cellStyle name="Input 2 5 4 2 4" xfId="1209"/>
    <cellStyle name="Input 2 5 4 2 4 2" xfId="10595"/>
    <cellStyle name="Input 2 5 4 2 4 3" xfId="10596"/>
    <cellStyle name="Input 2 5 4 2 4 4" xfId="10597"/>
    <cellStyle name="Input 2 5 4 2 4 5" xfId="10598"/>
    <cellStyle name="Input 2 5 4 2 4 6" xfId="37486"/>
    <cellStyle name="Input 2 5 4 2 4 7" xfId="44077"/>
    <cellStyle name="Input 2 5 4 2 4 8" xfId="52377"/>
    <cellStyle name="Input 2 5 4 2 5" xfId="3227"/>
    <cellStyle name="Input 2 5 4 2 5 2" xfId="10599"/>
    <cellStyle name="Input 2 5 4 2 5 3" xfId="10600"/>
    <cellStyle name="Input 2 5 4 2 5 4" xfId="10601"/>
    <cellStyle name="Input 2 5 4 2 5 5" xfId="10602"/>
    <cellStyle name="Input 2 5 4 2 5 6" xfId="38102"/>
    <cellStyle name="Input 2 5 4 2 5 7" xfId="44078"/>
    <cellStyle name="Input 2 5 4 2 5 8" xfId="52378"/>
    <cellStyle name="Input 2 5 4 2 6" xfId="3078"/>
    <cellStyle name="Input 2 5 4 2 6 2" xfId="10603"/>
    <cellStyle name="Input 2 5 4 2 6 3" xfId="10604"/>
    <cellStyle name="Input 2 5 4 2 6 4" xfId="10605"/>
    <cellStyle name="Input 2 5 4 2 6 5" xfId="10606"/>
    <cellStyle name="Input 2 5 4 2 6 6" xfId="38720"/>
    <cellStyle name="Input 2 5 4 2 6 7" xfId="44079"/>
    <cellStyle name="Input 2 5 4 2 6 8" xfId="52379"/>
    <cellStyle name="Input 2 5 4 2 7" xfId="10607"/>
    <cellStyle name="Input 2 5 4 2 7 2" xfId="10608"/>
    <cellStyle name="Input 2 5 4 2 7 3" xfId="10609"/>
    <cellStyle name="Input 2 5 4 2 7 4" xfId="10610"/>
    <cellStyle name="Input 2 5 4 2 7 5" xfId="10611"/>
    <cellStyle name="Input 2 5 4 2 7 6" xfId="39340"/>
    <cellStyle name="Input 2 5 4 2 7 7" xfId="44080"/>
    <cellStyle name="Input 2 5 4 2 7 8" xfId="52380"/>
    <cellStyle name="Input 2 5 4 2 8" xfId="10612"/>
    <cellStyle name="Input 2 5 4 2 8 2" xfId="10613"/>
    <cellStyle name="Input 2 5 4 2 8 3" xfId="10614"/>
    <cellStyle name="Input 2 5 4 2 8 4" xfId="10615"/>
    <cellStyle name="Input 2 5 4 2 8 5" xfId="10616"/>
    <cellStyle name="Input 2 5 4 2 8 6" xfId="39956"/>
    <cellStyle name="Input 2 5 4 2 8 7" xfId="44081"/>
    <cellStyle name="Input 2 5 4 2 8 8" xfId="52381"/>
    <cellStyle name="Input 2 5 4 2 9" xfId="10617"/>
    <cellStyle name="Input 2 5 4 2 9 2" xfId="10618"/>
    <cellStyle name="Input 2 5 4 2 9 3" xfId="10619"/>
    <cellStyle name="Input 2 5 4 2 9 4" xfId="10620"/>
    <cellStyle name="Input 2 5 4 2 9 5" xfId="10621"/>
    <cellStyle name="Input 2 5 4 2 9 6" xfId="40571"/>
    <cellStyle name="Input 2 5 4 2 9 7" xfId="44082"/>
    <cellStyle name="Input 2 5 4 2 9 8" xfId="52382"/>
    <cellStyle name="Input 2 5 4 20" xfId="34745"/>
    <cellStyle name="Input 2 5 4 21" xfId="40870"/>
    <cellStyle name="Input 2 5 4 22" xfId="41431"/>
    <cellStyle name="Input 2 5 4 23" xfId="50518"/>
    <cellStyle name="Input 2 5 4 3" xfId="2063"/>
    <cellStyle name="Input 2 5 4 3 10" xfId="34799"/>
    <cellStyle name="Input 2 5 4 3 11" xfId="41085"/>
    <cellStyle name="Input 2 5 4 3 12" xfId="44083"/>
    <cellStyle name="Input 2 5 4 3 13" xfId="52383"/>
    <cellStyle name="Input 2 5 4 3 2" xfId="2064"/>
    <cellStyle name="Input 2 5 4 3 2 2" xfId="36162"/>
    <cellStyle name="Input 2 5 4 3 2 3" xfId="44084"/>
    <cellStyle name="Input 2 5 4 3 2 4" xfId="52384"/>
    <cellStyle name="Input 2 5 4 3 3" xfId="2065"/>
    <cellStyle name="Input 2 5 4 3 3 2" xfId="36659"/>
    <cellStyle name="Input 2 5 4 3 3 3" xfId="44085"/>
    <cellStyle name="Input 2 5 4 3 3 4" xfId="52385"/>
    <cellStyle name="Input 2 5 4 3 4" xfId="10622"/>
    <cellStyle name="Input 2 5 4 3 4 2" xfId="37275"/>
    <cellStyle name="Input 2 5 4 3 4 3" xfId="44086"/>
    <cellStyle name="Input 2 5 4 3 4 4" xfId="52386"/>
    <cellStyle name="Input 2 5 4 3 5" xfId="10623"/>
    <cellStyle name="Input 2 5 4 3 5 2" xfId="37891"/>
    <cellStyle name="Input 2 5 4 3 5 3" xfId="44087"/>
    <cellStyle name="Input 2 5 4 3 5 4" xfId="52387"/>
    <cellStyle name="Input 2 5 4 3 6" xfId="38508"/>
    <cellStyle name="Input 2 5 4 3 6 2" xfId="44088"/>
    <cellStyle name="Input 2 5 4 3 6 3" xfId="52388"/>
    <cellStyle name="Input 2 5 4 3 7" xfId="39128"/>
    <cellStyle name="Input 2 5 4 3 7 2" xfId="44089"/>
    <cellStyle name="Input 2 5 4 3 7 3" xfId="52389"/>
    <cellStyle name="Input 2 5 4 3 8" xfId="39744"/>
    <cellStyle name="Input 2 5 4 3 8 2" xfId="44090"/>
    <cellStyle name="Input 2 5 4 3 8 3" xfId="52390"/>
    <cellStyle name="Input 2 5 4 3 9" xfId="40359"/>
    <cellStyle name="Input 2 5 4 3 9 2" xfId="44091"/>
    <cellStyle name="Input 2 5 4 3 9 3" xfId="52391"/>
    <cellStyle name="Input 2 5 4 4" xfId="2066"/>
    <cellStyle name="Input 2 5 4 4 10" xfId="44092"/>
    <cellStyle name="Input 2 5 4 4 11" xfId="52392"/>
    <cellStyle name="Input 2 5 4 4 2" xfId="10624"/>
    <cellStyle name="Input 2 5 4 4 2 2" xfId="44093"/>
    <cellStyle name="Input 2 5 4 4 2 3" xfId="52393"/>
    <cellStyle name="Input 2 5 4 4 3" xfId="10625"/>
    <cellStyle name="Input 2 5 4 4 3 2" xfId="44094"/>
    <cellStyle name="Input 2 5 4 4 3 3" xfId="52394"/>
    <cellStyle name="Input 2 5 4 4 4" xfId="10626"/>
    <cellStyle name="Input 2 5 4 4 4 2" xfId="44095"/>
    <cellStyle name="Input 2 5 4 4 4 3" xfId="52395"/>
    <cellStyle name="Input 2 5 4 4 5" xfId="10627"/>
    <cellStyle name="Input 2 5 4 4 5 2" xfId="44096"/>
    <cellStyle name="Input 2 5 4 4 5 3" xfId="52396"/>
    <cellStyle name="Input 2 5 4 4 6" xfId="35657"/>
    <cellStyle name="Input 2 5 4 4 6 2" xfId="44097"/>
    <cellStyle name="Input 2 5 4 4 6 3" xfId="52397"/>
    <cellStyle name="Input 2 5 4 4 7" xfId="44098"/>
    <cellStyle name="Input 2 5 4 4 7 2" xfId="52398"/>
    <cellStyle name="Input 2 5 4 4 8" xfId="44099"/>
    <cellStyle name="Input 2 5 4 4 8 2" xfId="52399"/>
    <cellStyle name="Input 2 5 4 4 9" xfId="44100"/>
    <cellStyle name="Input 2 5 4 4 9 2" xfId="52400"/>
    <cellStyle name="Input 2 5 4 5" xfId="1208"/>
    <cellStyle name="Input 2 5 4 5 2" xfId="10628"/>
    <cellStyle name="Input 2 5 4 5 3" xfId="10629"/>
    <cellStyle name="Input 2 5 4 5 4" xfId="10630"/>
    <cellStyle name="Input 2 5 4 5 5" xfId="10631"/>
    <cellStyle name="Input 2 5 4 5 6" xfId="35777"/>
    <cellStyle name="Input 2 5 4 5 7" xfId="44101"/>
    <cellStyle name="Input 2 5 4 5 8" xfId="52401"/>
    <cellStyle name="Input 2 5 4 6" xfId="3226"/>
    <cellStyle name="Input 2 5 4 6 2" xfId="10632"/>
    <cellStyle name="Input 2 5 4 6 3" xfId="10633"/>
    <cellStyle name="Input 2 5 4 6 4" xfId="10634"/>
    <cellStyle name="Input 2 5 4 6 5" xfId="10635"/>
    <cellStyle name="Input 2 5 4 6 6" xfId="37060"/>
    <cellStyle name="Input 2 5 4 6 7" xfId="44102"/>
    <cellStyle name="Input 2 5 4 6 8" xfId="52402"/>
    <cellStyle name="Input 2 5 4 7" xfId="3079"/>
    <cellStyle name="Input 2 5 4 7 2" xfId="10636"/>
    <cellStyle name="Input 2 5 4 7 3" xfId="10637"/>
    <cellStyle name="Input 2 5 4 7 4" xfId="10638"/>
    <cellStyle name="Input 2 5 4 7 5" xfId="10639"/>
    <cellStyle name="Input 2 5 4 7 6" xfId="37674"/>
    <cellStyle name="Input 2 5 4 7 7" xfId="44103"/>
    <cellStyle name="Input 2 5 4 7 8" xfId="52403"/>
    <cellStyle name="Input 2 5 4 8" xfId="10640"/>
    <cellStyle name="Input 2 5 4 8 2" xfId="10641"/>
    <cellStyle name="Input 2 5 4 8 3" xfId="10642"/>
    <cellStyle name="Input 2 5 4 8 4" xfId="10643"/>
    <cellStyle name="Input 2 5 4 8 5" xfId="10644"/>
    <cellStyle name="Input 2 5 4 8 6" xfId="38289"/>
    <cellStyle name="Input 2 5 4 8 7" xfId="44104"/>
    <cellStyle name="Input 2 5 4 8 8" xfId="52404"/>
    <cellStyle name="Input 2 5 4 9" xfId="10645"/>
    <cellStyle name="Input 2 5 4 9 2" xfId="10646"/>
    <cellStyle name="Input 2 5 4 9 3" xfId="10647"/>
    <cellStyle name="Input 2 5 4 9 4" xfId="10648"/>
    <cellStyle name="Input 2 5 4 9 5" xfId="10649"/>
    <cellStyle name="Input 2 5 4 9 6" xfId="38909"/>
    <cellStyle name="Input 2 5 4 9 7" xfId="44105"/>
    <cellStyle name="Input 2 5 4 9 8" xfId="52405"/>
    <cellStyle name="Input 2 5 5" xfId="480"/>
    <cellStyle name="Input 2 5 5 10" xfId="10650"/>
    <cellStyle name="Input 2 5 5 10 2" xfId="10651"/>
    <cellStyle name="Input 2 5 5 10 3" xfId="10652"/>
    <cellStyle name="Input 2 5 5 10 4" xfId="10653"/>
    <cellStyle name="Input 2 5 5 10 5" xfId="10654"/>
    <cellStyle name="Input 2 5 5 10 6" xfId="44106"/>
    <cellStyle name="Input 2 5 5 10 7" xfId="52406"/>
    <cellStyle name="Input 2 5 5 11" xfId="10655"/>
    <cellStyle name="Input 2 5 5 11 2" xfId="10656"/>
    <cellStyle name="Input 2 5 5 11 3" xfId="10657"/>
    <cellStyle name="Input 2 5 5 11 4" xfId="10658"/>
    <cellStyle name="Input 2 5 5 11 5" xfId="10659"/>
    <cellStyle name="Input 2 5 5 12" xfId="10660"/>
    <cellStyle name="Input 2 5 5 12 2" xfId="10661"/>
    <cellStyle name="Input 2 5 5 12 3" xfId="10662"/>
    <cellStyle name="Input 2 5 5 12 4" xfId="10663"/>
    <cellStyle name="Input 2 5 5 12 5" xfId="10664"/>
    <cellStyle name="Input 2 5 5 13" xfId="10665"/>
    <cellStyle name="Input 2 5 5 13 2" xfId="10666"/>
    <cellStyle name="Input 2 5 5 13 3" xfId="10667"/>
    <cellStyle name="Input 2 5 5 13 4" xfId="10668"/>
    <cellStyle name="Input 2 5 5 13 5" xfId="10669"/>
    <cellStyle name="Input 2 5 5 14" xfId="10670"/>
    <cellStyle name="Input 2 5 5 14 2" xfId="10671"/>
    <cellStyle name="Input 2 5 5 14 3" xfId="10672"/>
    <cellStyle name="Input 2 5 5 14 4" xfId="10673"/>
    <cellStyle name="Input 2 5 5 14 5" xfId="10674"/>
    <cellStyle name="Input 2 5 5 15" xfId="10675"/>
    <cellStyle name="Input 2 5 5 15 2" xfId="10676"/>
    <cellStyle name="Input 2 5 5 15 3" xfId="10677"/>
    <cellStyle name="Input 2 5 5 15 4" xfId="10678"/>
    <cellStyle name="Input 2 5 5 15 5" xfId="10679"/>
    <cellStyle name="Input 2 5 5 16" xfId="10680"/>
    <cellStyle name="Input 2 5 5 16 2" xfId="10681"/>
    <cellStyle name="Input 2 5 5 16 3" xfId="10682"/>
    <cellStyle name="Input 2 5 5 16 4" xfId="10683"/>
    <cellStyle name="Input 2 5 5 16 5" xfId="10684"/>
    <cellStyle name="Input 2 5 5 17" xfId="10685"/>
    <cellStyle name="Input 2 5 5 17 2" xfId="10686"/>
    <cellStyle name="Input 2 5 5 17 3" xfId="10687"/>
    <cellStyle name="Input 2 5 5 17 4" xfId="10688"/>
    <cellStyle name="Input 2 5 5 17 5" xfId="10689"/>
    <cellStyle name="Input 2 5 5 18" xfId="10690"/>
    <cellStyle name="Input 2 5 5 19" xfId="909"/>
    <cellStyle name="Input 2 5 5 2" xfId="2067"/>
    <cellStyle name="Input 2 5 5 2 2" xfId="2068"/>
    <cellStyle name="Input 2 5 5 2 3" xfId="2069"/>
    <cellStyle name="Input 2 5 5 2 4" xfId="10691"/>
    <cellStyle name="Input 2 5 5 2 5" xfId="10692"/>
    <cellStyle name="Input 2 5 5 2 6" xfId="36284"/>
    <cellStyle name="Input 2 5 5 2 7" xfId="44107"/>
    <cellStyle name="Input 2 5 5 2 8" xfId="52407"/>
    <cellStyle name="Input 2 5 5 20" xfId="34989"/>
    <cellStyle name="Input 2 5 5 21" xfId="40698"/>
    <cellStyle name="Input 2 5 5 22" xfId="41208"/>
    <cellStyle name="Input 2 5 5 3" xfId="2070"/>
    <cellStyle name="Input 2 5 5 3 2" xfId="10693"/>
    <cellStyle name="Input 2 5 5 3 3" xfId="10694"/>
    <cellStyle name="Input 2 5 5 3 4" xfId="10695"/>
    <cellStyle name="Input 2 5 5 3 5" xfId="10696"/>
    <cellStyle name="Input 2 5 5 3 6" xfId="36781"/>
    <cellStyle name="Input 2 5 5 3 7" xfId="44108"/>
    <cellStyle name="Input 2 5 5 3 8" xfId="52408"/>
    <cellStyle name="Input 2 5 5 4" xfId="1210"/>
    <cellStyle name="Input 2 5 5 4 2" xfId="10697"/>
    <cellStyle name="Input 2 5 5 4 3" xfId="10698"/>
    <cellStyle name="Input 2 5 5 4 4" xfId="10699"/>
    <cellStyle name="Input 2 5 5 4 5" xfId="10700"/>
    <cellStyle name="Input 2 5 5 4 6" xfId="37397"/>
    <cellStyle name="Input 2 5 5 4 7" xfId="44109"/>
    <cellStyle name="Input 2 5 5 4 8" xfId="52409"/>
    <cellStyle name="Input 2 5 5 5" xfId="3228"/>
    <cellStyle name="Input 2 5 5 5 2" xfId="10701"/>
    <cellStyle name="Input 2 5 5 5 3" xfId="10702"/>
    <cellStyle name="Input 2 5 5 5 4" xfId="10703"/>
    <cellStyle name="Input 2 5 5 5 5" xfId="10704"/>
    <cellStyle name="Input 2 5 5 5 6" xfId="38013"/>
    <cellStyle name="Input 2 5 5 5 7" xfId="44110"/>
    <cellStyle name="Input 2 5 5 5 8" xfId="52410"/>
    <cellStyle name="Input 2 5 5 6" xfId="3077"/>
    <cellStyle name="Input 2 5 5 6 2" xfId="10705"/>
    <cellStyle name="Input 2 5 5 6 3" xfId="10706"/>
    <cellStyle name="Input 2 5 5 6 4" xfId="10707"/>
    <cellStyle name="Input 2 5 5 6 5" xfId="10708"/>
    <cellStyle name="Input 2 5 5 6 6" xfId="38631"/>
    <cellStyle name="Input 2 5 5 6 7" xfId="44111"/>
    <cellStyle name="Input 2 5 5 6 8" xfId="52411"/>
    <cellStyle name="Input 2 5 5 7" xfId="10709"/>
    <cellStyle name="Input 2 5 5 7 2" xfId="10710"/>
    <cellStyle name="Input 2 5 5 7 3" xfId="10711"/>
    <cellStyle name="Input 2 5 5 7 4" xfId="10712"/>
    <cellStyle name="Input 2 5 5 7 5" xfId="10713"/>
    <cellStyle name="Input 2 5 5 7 6" xfId="39251"/>
    <cellStyle name="Input 2 5 5 7 7" xfId="44112"/>
    <cellStyle name="Input 2 5 5 7 8" xfId="52412"/>
    <cellStyle name="Input 2 5 5 8" xfId="10714"/>
    <cellStyle name="Input 2 5 5 8 2" xfId="10715"/>
    <cellStyle name="Input 2 5 5 8 3" xfId="10716"/>
    <cellStyle name="Input 2 5 5 8 4" xfId="10717"/>
    <cellStyle name="Input 2 5 5 8 5" xfId="10718"/>
    <cellStyle name="Input 2 5 5 8 6" xfId="39867"/>
    <cellStyle name="Input 2 5 5 8 7" xfId="44113"/>
    <cellStyle name="Input 2 5 5 8 8" xfId="52413"/>
    <cellStyle name="Input 2 5 5 9" xfId="10719"/>
    <cellStyle name="Input 2 5 5 9 2" xfId="10720"/>
    <cellStyle name="Input 2 5 5 9 3" xfId="10721"/>
    <cellStyle name="Input 2 5 5 9 4" xfId="10722"/>
    <cellStyle name="Input 2 5 5 9 5" xfId="10723"/>
    <cellStyle name="Input 2 5 5 9 6" xfId="40482"/>
    <cellStyle name="Input 2 5 5 9 7" xfId="44114"/>
    <cellStyle name="Input 2 5 5 9 8" xfId="52414"/>
    <cellStyle name="Input 2 5 6" xfId="2071"/>
    <cellStyle name="Input 2 5 6 10" xfId="34765"/>
    <cellStyle name="Input 2 5 6 11" xfId="40994"/>
    <cellStyle name="Input 2 5 6 12" xfId="44115"/>
    <cellStyle name="Input 2 5 6 13" xfId="52415"/>
    <cellStyle name="Input 2 5 6 2" xfId="2072"/>
    <cellStyle name="Input 2 5 6 2 2" xfId="36071"/>
    <cellStyle name="Input 2 5 6 2 3" xfId="44116"/>
    <cellStyle name="Input 2 5 6 2 4" xfId="52416"/>
    <cellStyle name="Input 2 5 6 3" xfId="2073"/>
    <cellStyle name="Input 2 5 6 3 2" xfId="36570"/>
    <cellStyle name="Input 2 5 6 3 3" xfId="44117"/>
    <cellStyle name="Input 2 5 6 3 4" xfId="52417"/>
    <cellStyle name="Input 2 5 6 4" xfId="10724"/>
    <cellStyle name="Input 2 5 6 4 2" xfId="37186"/>
    <cellStyle name="Input 2 5 6 4 3" xfId="44118"/>
    <cellStyle name="Input 2 5 6 4 4" xfId="52418"/>
    <cellStyle name="Input 2 5 6 5" xfId="10725"/>
    <cellStyle name="Input 2 5 6 5 2" xfId="37802"/>
    <cellStyle name="Input 2 5 6 5 3" xfId="44119"/>
    <cellStyle name="Input 2 5 6 5 4" xfId="52419"/>
    <cellStyle name="Input 2 5 6 6" xfId="38417"/>
    <cellStyle name="Input 2 5 6 6 2" xfId="44120"/>
    <cellStyle name="Input 2 5 6 6 3" xfId="52420"/>
    <cellStyle name="Input 2 5 6 7" xfId="39037"/>
    <cellStyle name="Input 2 5 6 7 2" xfId="44121"/>
    <cellStyle name="Input 2 5 6 7 3" xfId="52421"/>
    <cellStyle name="Input 2 5 6 8" xfId="39653"/>
    <cellStyle name="Input 2 5 6 8 2" xfId="44122"/>
    <cellStyle name="Input 2 5 6 8 3" xfId="52422"/>
    <cellStyle name="Input 2 5 6 9" xfId="40268"/>
    <cellStyle name="Input 2 5 6 9 2" xfId="44123"/>
    <cellStyle name="Input 2 5 6 9 3" xfId="52423"/>
    <cellStyle name="Input 2 5 7" xfId="2074"/>
    <cellStyle name="Input 2 5 7 10" xfId="44124"/>
    <cellStyle name="Input 2 5 7 11" xfId="52424"/>
    <cellStyle name="Input 2 5 7 2" xfId="2075"/>
    <cellStyle name="Input 2 5 7 2 2" xfId="44125"/>
    <cellStyle name="Input 2 5 7 2 3" xfId="52425"/>
    <cellStyle name="Input 2 5 7 3" xfId="2076"/>
    <cellStyle name="Input 2 5 7 3 2" xfId="44126"/>
    <cellStyle name="Input 2 5 7 3 3" xfId="52426"/>
    <cellStyle name="Input 2 5 7 4" xfId="10726"/>
    <cellStyle name="Input 2 5 7 4 2" xfId="44127"/>
    <cellStyle name="Input 2 5 7 4 3" xfId="52427"/>
    <cellStyle name="Input 2 5 7 5" xfId="10727"/>
    <cellStyle name="Input 2 5 7 5 2" xfId="44128"/>
    <cellStyle name="Input 2 5 7 5 3" xfId="52428"/>
    <cellStyle name="Input 2 5 7 6" xfId="35388"/>
    <cellStyle name="Input 2 5 7 6 2" xfId="44129"/>
    <cellStyle name="Input 2 5 7 6 3" xfId="52429"/>
    <cellStyle name="Input 2 5 7 7" xfId="44130"/>
    <cellStyle name="Input 2 5 7 7 2" xfId="52430"/>
    <cellStyle name="Input 2 5 7 8" xfId="44131"/>
    <cellStyle name="Input 2 5 7 8 2" xfId="52431"/>
    <cellStyle name="Input 2 5 7 9" xfId="44132"/>
    <cellStyle name="Input 2 5 7 9 2" xfId="52432"/>
    <cellStyle name="Input 2 5 8" xfId="1199"/>
    <cellStyle name="Input 2 5 8 2" xfId="10728"/>
    <cellStyle name="Input 2 5 8 3" xfId="10729"/>
    <cellStyle name="Input 2 5 8 4" xfId="10730"/>
    <cellStyle name="Input 2 5 8 5" xfId="10731"/>
    <cellStyle name="Input 2 5 8 6" xfId="35919"/>
    <cellStyle name="Input 2 5 8 7" xfId="44133"/>
    <cellStyle name="Input 2 5 8 8" xfId="52433"/>
    <cellStyle name="Input 2 5 9" xfId="3217"/>
    <cellStyle name="Input 2 5 9 2" xfId="10732"/>
    <cellStyle name="Input 2 5 9 3" xfId="10733"/>
    <cellStyle name="Input 2 5 9 4" xfId="10734"/>
    <cellStyle name="Input 2 5 9 5" xfId="10735"/>
    <cellStyle name="Input 2 5 9 6" xfId="35831"/>
    <cellStyle name="Input 2 5 9 7" xfId="44134"/>
    <cellStyle name="Input 2 5 9 8" xfId="52434"/>
    <cellStyle name="Input 2 6" xfId="351"/>
    <cellStyle name="Input 2 6 10" xfId="10736"/>
    <cellStyle name="Input 2 6 10 2" xfId="10737"/>
    <cellStyle name="Input 2 6 10 3" xfId="10738"/>
    <cellStyle name="Input 2 6 10 4" xfId="10739"/>
    <cellStyle name="Input 2 6 10 5" xfId="10740"/>
    <cellStyle name="Input 2 6 10 6" xfId="39529"/>
    <cellStyle name="Input 2 6 10 7" xfId="44135"/>
    <cellStyle name="Input 2 6 10 8" xfId="52435"/>
    <cellStyle name="Input 2 6 11" xfId="10741"/>
    <cellStyle name="Input 2 6 11 2" xfId="10742"/>
    <cellStyle name="Input 2 6 11 3" xfId="10743"/>
    <cellStyle name="Input 2 6 11 4" xfId="10744"/>
    <cellStyle name="Input 2 6 11 5" xfId="10745"/>
    <cellStyle name="Input 2 6 11 6" xfId="40145"/>
    <cellStyle name="Input 2 6 11 7" xfId="44136"/>
    <cellStyle name="Input 2 6 11 8" xfId="52436"/>
    <cellStyle name="Input 2 6 12" xfId="10746"/>
    <cellStyle name="Input 2 6 12 2" xfId="10747"/>
    <cellStyle name="Input 2 6 12 3" xfId="10748"/>
    <cellStyle name="Input 2 6 12 4" xfId="10749"/>
    <cellStyle name="Input 2 6 12 5" xfId="10750"/>
    <cellStyle name="Input 2 6 12 6" xfId="44137"/>
    <cellStyle name="Input 2 6 12 7" xfId="52437"/>
    <cellStyle name="Input 2 6 13" xfId="10751"/>
    <cellStyle name="Input 2 6 13 2" xfId="10752"/>
    <cellStyle name="Input 2 6 13 3" xfId="10753"/>
    <cellStyle name="Input 2 6 13 4" xfId="10754"/>
    <cellStyle name="Input 2 6 13 5" xfId="10755"/>
    <cellStyle name="Input 2 6 13 6" xfId="44138"/>
    <cellStyle name="Input 2 6 13 7" xfId="52438"/>
    <cellStyle name="Input 2 6 14" xfId="10756"/>
    <cellStyle name="Input 2 6 14 2" xfId="10757"/>
    <cellStyle name="Input 2 6 14 3" xfId="10758"/>
    <cellStyle name="Input 2 6 14 4" xfId="10759"/>
    <cellStyle name="Input 2 6 14 5" xfId="10760"/>
    <cellStyle name="Input 2 6 15" xfId="10761"/>
    <cellStyle name="Input 2 6 15 2" xfId="10762"/>
    <cellStyle name="Input 2 6 15 3" xfId="10763"/>
    <cellStyle name="Input 2 6 15 4" xfId="10764"/>
    <cellStyle name="Input 2 6 15 5" xfId="10765"/>
    <cellStyle name="Input 2 6 16" xfId="10766"/>
    <cellStyle name="Input 2 6 16 2" xfId="10767"/>
    <cellStyle name="Input 2 6 16 3" xfId="10768"/>
    <cellStyle name="Input 2 6 16 4" xfId="10769"/>
    <cellStyle name="Input 2 6 16 5" xfId="10770"/>
    <cellStyle name="Input 2 6 17" xfId="10771"/>
    <cellStyle name="Input 2 6 17 2" xfId="10772"/>
    <cellStyle name="Input 2 6 17 3" xfId="10773"/>
    <cellStyle name="Input 2 6 17 4" xfId="10774"/>
    <cellStyle name="Input 2 6 17 5" xfId="10775"/>
    <cellStyle name="Input 2 6 18" xfId="10776"/>
    <cellStyle name="Input 2 6 19" xfId="787"/>
    <cellStyle name="Input 2 6 2" xfId="570"/>
    <cellStyle name="Input 2 6 2 10" xfId="10777"/>
    <cellStyle name="Input 2 6 2 10 2" xfId="10778"/>
    <cellStyle name="Input 2 6 2 10 3" xfId="10779"/>
    <cellStyle name="Input 2 6 2 10 4" xfId="10780"/>
    <cellStyle name="Input 2 6 2 10 5" xfId="10781"/>
    <cellStyle name="Input 2 6 2 10 6" xfId="44139"/>
    <cellStyle name="Input 2 6 2 10 7" xfId="52439"/>
    <cellStyle name="Input 2 6 2 11" xfId="10782"/>
    <cellStyle name="Input 2 6 2 11 2" xfId="10783"/>
    <cellStyle name="Input 2 6 2 11 3" xfId="10784"/>
    <cellStyle name="Input 2 6 2 11 4" xfId="10785"/>
    <cellStyle name="Input 2 6 2 11 5" xfId="10786"/>
    <cellStyle name="Input 2 6 2 12" xfId="10787"/>
    <cellStyle name="Input 2 6 2 12 2" xfId="10788"/>
    <cellStyle name="Input 2 6 2 12 3" xfId="10789"/>
    <cellStyle name="Input 2 6 2 12 4" xfId="10790"/>
    <cellStyle name="Input 2 6 2 12 5" xfId="10791"/>
    <cellStyle name="Input 2 6 2 13" xfId="10792"/>
    <cellStyle name="Input 2 6 2 13 2" xfId="10793"/>
    <cellStyle name="Input 2 6 2 13 3" xfId="10794"/>
    <cellStyle name="Input 2 6 2 13 4" xfId="10795"/>
    <cellStyle name="Input 2 6 2 13 5" xfId="10796"/>
    <cellStyle name="Input 2 6 2 14" xfId="10797"/>
    <cellStyle name="Input 2 6 2 14 2" xfId="10798"/>
    <cellStyle name="Input 2 6 2 14 3" xfId="10799"/>
    <cellStyle name="Input 2 6 2 14 4" xfId="10800"/>
    <cellStyle name="Input 2 6 2 14 5" xfId="10801"/>
    <cellStyle name="Input 2 6 2 15" xfId="10802"/>
    <cellStyle name="Input 2 6 2 15 2" xfId="10803"/>
    <cellStyle name="Input 2 6 2 15 3" xfId="10804"/>
    <cellStyle name="Input 2 6 2 15 4" xfId="10805"/>
    <cellStyle name="Input 2 6 2 15 5" xfId="10806"/>
    <cellStyle name="Input 2 6 2 16" xfId="10807"/>
    <cellStyle name="Input 2 6 2 16 2" xfId="10808"/>
    <cellStyle name="Input 2 6 2 16 3" xfId="10809"/>
    <cellStyle name="Input 2 6 2 16 4" xfId="10810"/>
    <cellStyle name="Input 2 6 2 16 5" xfId="10811"/>
    <cellStyle name="Input 2 6 2 17" xfId="10812"/>
    <cellStyle name="Input 2 6 2 17 2" xfId="10813"/>
    <cellStyle name="Input 2 6 2 17 3" xfId="10814"/>
    <cellStyle name="Input 2 6 2 17 4" xfId="10815"/>
    <cellStyle name="Input 2 6 2 17 5" xfId="10816"/>
    <cellStyle name="Input 2 6 2 18" xfId="10817"/>
    <cellStyle name="Input 2 6 2 19" xfId="999"/>
    <cellStyle name="Input 2 6 2 2" xfId="2077"/>
    <cellStyle name="Input 2 6 2 2 2" xfId="10818"/>
    <cellStyle name="Input 2 6 2 2 3" xfId="10819"/>
    <cellStyle name="Input 2 6 2 2 4" xfId="10820"/>
    <cellStyle name="Input 2 6 2 2 5" xfId="10821"/>
    <cellStyle name="Input 2 6 2 2 6" xfId="36374"/>
    <cellStyle name="Input 2 6 2 2 7" xfId="44140"/>
    <cellStyle name="Input 2 6 2 2 8" xfId="52440"/>
    <cellStyle name="Input 2 6 2 20" xfId="35079"/>
    <cellStyle name="Input 2 6 2 21" xfId="41298"/>
    <cellStyle name="Input 2 6 2 3" xfId="2078"/>
    <cellStyle name="Input 2 6 2 3 2" xfId="10822"/>
    <cellStyle name="Input 2 6 2 3 3" xfId="10823"/>
    <cellStyle name="Input 2 6 2 3 4" xfId="10824"/>
    <cellStyle name="Input 2 6 2 3 5" xfId="10825"/>
    <cellStyle name="Input 2 6 2 3 6" xfId="36871"/>
    <cellStyle name="Input 2 6 2 3 7" xfId="44141"/>
    <cellStyle name="Input 2 6 2 3 8" xfId="52441"/>
    <cellStyle name="Input 2 6 2 4" xfId="1212"/>
    <cellStyle name="Input 2 6 2 4 2" xfId="10826"/>
    <cellStyle name="Input 2 6 2 4 3" xfId="10827"/>
    <cellStyle name="Input 2 6 2 4 4" xfId="10828"/>
    <cellStyle name="Input 2 6 2 4 5" xfId="10829"/>
    <cellStyle name="Input 2 6 2 4 6" xfId="37487"/>
    <cellStyle name="Input 2 6 2 4 7" xfId="44142"/>
    <cellStyle name="Input 2 6 2 4 8" xfId="52442"/>
    <cellStyle name="Input 2 6 2 5" xfId="3230"/>
    <cellStyle name="Input 2 6 2 5 2" xfId="10830"/>
    <cellStyle name="Input 2 6 2 5 3" xfId="10831"/>
    <cellStyle name="Input 2 6 2 5 4" xfId="10832"/>
    <cellStyle name="Input 2 6 2 5 5" xfId="10833"/>
    <cellStyle name="Input 2 6 2 5 6" xfId="38103"/>
    <cellStyle name="Input 2 6 2 5 7" xfId="44143"/>
    <cellStyle name="Input 2 6 2 5 8" xfId="52443"/>
    <cellStyle name="Input 2 6 2 6" xfId="3075"/>
    <cellStyle name="Input 2 6 2 6 2" xfId="10834"/>
    <cellStyle name="Input 2 6 2 6 3" xfId="10835"/>
    <cellStyle name="Input 2 6 2 6 4" xfId="10836"/>
    <cellStyle name="Input 2 6 2 6 5" xfId="10837"/>
    <cellStyle name="Input 2 6 2 6 6" xfId="38721"/>
    <cellStyle name="Input 2 6 2 6 7" xfId="44144"/>
    <cellStyle name="Input 2 6 2 6 8" xfId="52444"/>
    <cellStyle name="Input 2 6 2 7" xfId="10838"/>
    <cellStyle name="Input 2 6 2 7 2" xfId="10839"/>
    <cellStyle name="Input 2 6 2 7 3" xfId="10840"/>
    <cellStyle name="Input 2 6 2 7 4" xfId="10841"/>
    <cellStyle name="Input 2 6 2 7 5" xfId="10842"/>
    <cellStyle name="Input 2 6 2 7 6" xfId="39341"/>
    <cellStyle name="Input 2 6 2 7 7" xfId="44145"/>
    <cellStyle name="Input 2 6 2 7 8" xfId="52445"/>
    <cellStyle name="Input 2 6 2 8" xfId="10843"/>
    <cellStyle name="Input 2 6 2 8 2" xfId="10844"/>
    <cellStyle name="Input 2 6 2 8 3" xfId="10845"/>
    <cellStyle name="Input 2 6 2 8 4" xfId="10846"/>
    <cellStyle name="Input 2 6 2 8 5" xfId="10847"/>
    <cellStyle name="Input 2 6 2 8 6" xfId="39957"/>
    <cellStyle name="Input 2 6 2 8 7" xfId="44146"/>
    <cellStyle name="Input 2 6 2 8 8" xfId="52446"/>
    <cellStyle name="Input 2 6 2 9" xfId="10848"/>
    <cellStyle name="Input 2 6 2 9 2" xfId="10849"/>
    <cellStyle name="Input 2 6 2 9 3" xfId="10850"/>
    <cellStyle name="Input 2 6 2 9 4" xfId="10851"/>
    <cellStyle name="Input 2 6 2 9 5" xfId="10852"/>
    <cellStyle name="Input 2 6 2 9 6" xfId="40572"/>
    <cellStyle name="Input 2 6 2 9 7" xfId="44147"/>
    <cellStyle name="Input 2 6 2 9 8" xfId="52447"/>
    <cellStyle name="Input 2 6 20" xfId="34869"/>
    <cellStyle name="Input 2 6 21" xfId="40871"/>
    <cellStyle name="Input 2 6 22" xfId="41432"/>
    <cellStyle name="Input 2 6 23" xfId="50519"/>
    <cellStyle name="Input 2 6 3" xfId="2079"/>
    <cellStyle name="Input 2 6 3 10" xfId="34881"/>
    <cellStyle name="Input 2 6 3 11" xfId="41086"/>
    <cellStyle name="Input 2 6 3 12" xfId="44148"/>
    <cellStyle name="Input 2 6 3 13" xfId="52448"/>
    <cellStyle name="Input 2 6 3 2" xfId="2080"/>
    <cellStyle name="Input 2 6 3 2 2" xfId="36163"/>
    <cellStyle name="Input 2 6 3 2 3" xfId="44149"/>
    <cellStyle name="Input 2 6 3 2 4" xfId="52449"/>
    <cellStyle name="Input 2 6 3 3" xfId="2081"/>
    <cellStyle name="Input 2 6 3 3 2" xfId="36660"/>
    <cellStyle name="Input 2 6 3 3 3" xfId="44150"/>
    <cellStyle name="Input 2 6 3 3 4" xfId="52450"/>
    <cellStyle name="Input 2 6 3 4" xfId="10853"/>
    <cellStyle name="Input 2 6 3 4 2" xfId="37276"/>
    <cellStyle name="Input 2 6 3 4 3" xfId="44151"/>
    <cellStyle name="Input 2 6 3 4 4" xfId="52451"/>
    <cellStyle name="Input 2 6 3 5" xfId="10854"/>
    <cellStyle name="Input 2 6 3 5 2" xfId="37892"/>
    <cellStyle name="Input 2 6 3 5 3" xfId="44152"/>
    <cellStyle name="Input 2 6 3 5 4" xfId="52452"/>
    <cellStyle name="Input 2 6 3 6" xfId="38509"/>
    <cellStyle name="Input 2 6 3 6 2" xfId="44153"/>
    <cellStyle name="Input 2 6 3 6 3" xfId="52453"/>
    <cellStyle name="Input 2 6 3 7" xfId="39129"/>
    <cellStyle name="Input 2 6 3 7 2" xfId="44154"/>
    <cellStyle name="Input 2 6 3 7 3" xfId="52454"/>
    <cellStyle name="Input 2 6 3 8" xfId="39745"/>
    <cellStyle name="Input 2 6 3 8 2" xfId="44155"/>
    <cellStyle name="Input 2 6 3 8 3" xfId="52455"/>
    <cellStyle name="Input 2 6 3 9" xfId="40360"/>
    <cellStyle name="Input 2 6 3 9 2" xfId="44156"/>
    <cellStyle name="Input 2 6 3 9 3" xfId="52456"/>
    <cellStyle name="Input 2 6 4" xfId="2082"/>
    <cellStyle name="Input 2 6 4 10" xfId="44157"/>
    <cellStyle name="Input 2 6 4 11" xfId="52457"/>
    <cellStyle name="Input 2 6 4 2" xfId="10855"/>
    <cellStyle name="Input 2 6 4 2 2" xfId="44158"/>
    <cellStyle name="Input 2 6 4 2 3" xfId="52458"/>
    <cellStyle name="Input 2 6 4 3" xfId="10856"/>
    <cellStyle name="Input 2 6 4 3 2" xfId="44159"/>
    <cellStyle name="Input 2 6 4 3 3" xfId="52459"/>
    <cellStyle name="Input 2 6 4 4" xfId="10857"/>
    <cellStyle name="Input 2 6 4 4 2" xfId="44160"/>
    <cellStyle name="Input 2 6 4 4 3" xfId="52460"/>
    <cellStyle name="Input 2 6 4 5" xfId="10858"/>
    <cellStyle name="Input 2 6 4 5 2" xfId="44161"/>
    <cellStyle name="Input 2 6 4 5 3" xfId="52461"/>
    <cellStyle name="Input 2 6 4 6" xfId="35536"/>
    <cellStyle name="Input 2 6 4 6 2" xfId="44162"/>
    <cellStyle name="Input 2 6 4 6 3" xfId="52462"/>
    <cellStyle name="Input 2 6 4 7" xfId="44163"/>
    <cellStyle name="Input 2 6 4 7 2" xfId="52463"/>
    <cellStyle name="Input 2 6 4 8" xfId="44164"/>
    <cellStyle name="Input 2 6 4 8 2" xfId="52464"/>
    <cellStyle name="Input 2 6 4 9" xfId="44165"/>
    <cellStyle name="Input 2 6 4 9 2" xfId="52465"/>
    <cellStyle name="Input 2 6 5" xfId="1211"/>
    <cellStyle name="Input 2 6 5 2" xfId="10859"/>
    <cellStyle name="Input 2 6 5 3" xfId="10860"/>
    <cellStyle name="Input 2 6 5 4" xfId="10861"/>
    <cellStyle name="Input 2 6 5 5" xfId="10862"/>
    <cellStyle name="Input 2 6 5 6" xfId="35776"/>
    <cellStyle name="Input 2 6 5 7" xfId="44166"/>
    <cellStyle name="Input 2 6 5 8" xfId="52466"/>
    <cellStyle name="Input 2 6 6" xfId="3229"/>
    <cellStyle name="Input 2 6 6 2" xfId="10863"/>
    <cellStyle name="Input 2 6 6 3" xfId="10864"/>
    <cellStyle name="Input 2 6 6 4" xfId="10865"/>
    <cellStyle name="Input 2 6 6 5" xfId="10866"/>
    <cellStyle name="Input 2 6 6 6" xfId="37061"/>
    <cellStyle name="Input 2 6 6 7" xfId="44167"/>
    <cellStyle name="Input 2 6 6 8" xfId="52467"/>
    <cellStyle name="Input 2 6 7" xfId="3076"/>
    <cellStyle name="Input 2 6 7 2" xfId="10867"/>
    <cellStyle name="Input 2 6 7 3" xfId="10868"/>
    <cellStyle name="Input 2 6 7 4" xfId="10869"/>
    <cellStyle name="Input 2 6 7 5" xfId="10870"/>
    <cellStyle name="Input 2 6 7 6" xfId="37675"/>
    <cellStyle name="Input 2 6 7 7" xfId="44168"/>
    <cellStyle name="Input 2 6 7 8" xfId="52468"/>
    <cellStyle name="Input 2 6 8" xfId="10871"/>
    <cellStyle name="Input 2 6 8 2" xfId="10872"/>
    <cellStyle name="Input 2 6 8 3" xfId="10873"/>
    <cellStyle name="Input 2 6 8 4" xfId="10874"/>
    <cellStyle name="Input 2 6 8 5" xfId="10875"/>
    <cellStyle name="Input 2 6 8 6" xfId="38290"/>
    <cellStyle name="Input 2 6 8 7" xfId="44169"/>
    <cellStyle name="Input 2 6 8 8" xfId="52469"/>
    <cellStyle name="Input 2 6 9" xfId="10876"/>
    <cellStyle name="Input 2 6 9 2" xfId="10877"/>
    <cellStyle name="Input 2 6 9 3" xfId="10878"/>
    <cellStyle name="Input 2 6 9 4" xfId="10879"/>
    <cellStyle name="Input 2 6 9 5" xfId="10880"/>
    <cellStyle name="Input 2 6 9 6" xfId="38910"/>
    <cellStyle name="Input 2 6 9 7" xfId="44170"/>
    <cellStyle name="Input 2 6 9 8" xfId="52470"/>
    <cellStyle name="Input 2 7" xfId="466"/>
    <cellStyle name="Input 2 7 10" xfId="10881"/>
    <cellStyle name="Input 2 7 10 2" xfId="10882"/>
    <cellStyle name="Input 2 7 10 3" xfId="10883"/>
    <cellStyle name="Input 2 7 10 4" xfId="10884"/>
    <cellStyle name="Input 2 7 10 5" xfId="10885"/>
    <cellStyle name="Input 2 7 10 6" xfId="44171"/>
    <cellStyle name="Input 2 7 10 7" xfId="52471"/>
    <cellStyle name="Input 2 7 11" xfId="10886"/>
    <cellStyle name="Input 2 7 11 2" xfId="10887"/>
    <cellStyle name="Input 2 7 11 3" xfId="10888"/>
    <cellStyle name="Input 2 7 11 4" xfId="10889"/>
    <cellStyle name="Input 2 7 11 5" xfId="10890"/>
    <cellStyle name="Input 2 7 12" xfId="10891"/>
    <cellStyle name="Input 2 7 12 2" xfId="10892"/>
    <cellStyle name="Input 2 7 12 3" xfId="10893"/>
    <cellStyle name="Input 2 7 12 4" xfId="10894"/>
    <cellStyle name="Input 2 7 12 5" xfId="10895"/>
    <cellStyle name="Input 2 7 13" xfId="10896"/>
    <cellStyle name="Input 2 7 13 2" xfId="10897"/>
    <cellStyle name="Input 2 7 13 3" xfId="10898"/>
    <cellStyle name="Input 2 7 13 4" xfId="10899"/>
    <cellStyle name="Input 2 7 13 5" xfId="10900"/>
    <cellStyle name="Input 2 7 14" xfId="10901"/>
    <cellStyle name="Input 2 7 14 2" xfId="10902"/>
    <cellStyle name="Input 2 7 14 3" xfId="10903"/>
    <cellStyle name="Input 2 7 14 4" xfId="10904"/>
    <cellStyle name="Input 2 7 14 5" xfId="10905"/>
    <cellStyle name="Input 2 7 15" xfId="10906"/>
    <cellStyle name="Input 2 7 15 2" xfId="10907"/>
    <cellStyle name="Input 2 7 15 3" xfId="10908"/>
    <cellStyle name="Input 2 7 15 4" xfId="10909"/>
    <cellStyle name="Input 2 7 15 5" xfId="10910"/>
    <cellStyle name="Input 2 7 16" xfId="10911"/>
    <cellStyle name="Input 2 7 16 2" xfId="10912"/>
    <cellStyle name="Input 2 7 16 3" xfId="10913"/>
    <cellStyle name="Input 2 7 16 4" xfId="10914"/>
    <cellStyle name="Input 2 7 16 5" xfId="10915"/>
    <cellStyle name="Input 2 7 17" xfId="10916"/>
    <cellStyle name="Input 2 7 17 2" xfId="10917"/>
    <cellStyle name="Input 2 7 17 3" xfId="10918"/>
    <cellStyle name="Input 2 7 17 4" xfId="10919"/>
    <cellStyle name="Input 2 7 17 5" xfId="10920"/>
    <cellStyle name="Input 2 7 18" xfId="10921"/>
    <cellStyle name="Input 2 7 19" xfId="895"/>
    <cellStyle name="Input 2 7 2" xfId="2083"/>
    <cellStyle name="Input 2 7 2 2" xfId="2084"/>
    <cellStyle name="Input 2 7 2 3" xfId="10922"/>
    <cellStyle name="Input 2 7 2 4" xfId="10923"/>
    <cellStyle name="Input 2 7 2 5" xfId="10924"/>
    <cellStyle name="Input 2 7 2 6" xfId="36271"/>
    <cellStyle name="Input 2 7 2 7" xfId="44172"/>
    <cellStyle name="Input 2 7 2 8" xfId="52472"/>
    <cellStyle name="Input 2 7 20" xfId="34976"/>
    <cellStyle name="Input 2 7 21" xfId="40685"/>
    <cellStyle name="Input 2 7 22" xfId="41194"/>
    <cellStyle name="Input 2 7 3" xfId="2085"/>
    <cellStyle name="Input 2 7 3 2" xfId="10925"/>
    <cellStyle name="Input 2 7 3 3" xfId="10926"/>
    <cellStyle name="Input 2 7 3 4" xfId="10927"/>
    <cellStyle name="Input 2 7 3 5" xfId="10928"/>
    <cellStyle name="Input 2 7 3 6" xfId="36768"/>
    <cellStyle name="Input 2 7 3 7" xfId="44173"/>
    <cellStyle name="Input 2 7 3 8" xfId="52473"/>
    <cellStyle name="Input 2 7 4" xfId="2086"/>
    <cellStyle name="Input 2 7 4 2" xfId="10929"/>
    <cellStyle name="Input 2 7 4 3" xfId="10930"/>
    <cellStyle name="Input 2 7 4 4" xfId="10931"/>
    <cellStyle name="Input 2 7 4 5" xfId="10932"/>
    <cellStyle name="Input 2 7 4 6" xfId="37384"/>
    <cellStyle name="Input 2 7 4 7" xfId="44174"/>
    <cellStyle name="Input 2 7 4 8" xfId="52474"/>
    <cellStyle name="Input 2 7 5" xfId="1213"/>
    <cellStyle name="Input 2 7 5 2" xfId="10933"/>
    <cellStyle name="Input 2 7 5 3" xfId="10934"/>
    <cellStyle name="Input 2 7 5 4" xfId="10935"/>
    <cellStyle name="Input 2 7 5 5" xfId="10936"/>
    <cellStyle name="Input 2 7 5 6" xfId="38000"/>
    <cellStyle name="Input 2 7 5 7" xfId="44175"/>
    <cellStyle name="Input 2 7 5 8" xfId="52475"/>
    <cellStyle name="Input 2 7 6" xfId="3231"/>
    <cellStyle name="Input 2 7 6 2" xfId="10937"/>
    <cellStyle name="Input 2 7 6 3" xfId="10938"/>
    <cellStyle name="Input 2 7 6 4" xfId="10939"/>
    <cellStyle name="Input 2 7 6 5" xfId="10940"/>
    <cellStyle name="Input 2 7 6 6" xfId="38617"/>
    <cellStyle name="Input 2 7 6 7" xfId="44176"/>
    <cellStyle name="Input 2 7 6 8" xfId="52476"/>
    <cellStyle name="Input 2 7 7" xfId="3074"/>
    <cellStyle name="Input 2 7 7 2" xfId="10941"/>
    <cellStyle name="Input 2 7 7 3" xfId="10942"/>
    <cellStyle name="Input 2 7 7 4" xfId="10943"/>
    <cellStyle name="Input 2 7 7 5" xfId="10944"/>
    <cellStyle name="Input 2 7 7 6" xfId="39237"/>
    <cellStyle name="Input 2 7 7 7" xfId="44177"/>
    <cellStyle name="Input 2 7 7 8" xfId="52477"/>
    <cellStyle name="Input 2 7 8" xfId="10945"/>
    <cellStyle name="Input 2 7 8 2" xfId="10946"/>
    <cellStyle name="Input 2 7 8 3" xfId="10947"/>
    <cellStyle name="Input 2 7 8 4" xfId="10948"/>
    <cellStyle name="Input 2 7 8 5" xfId="10949"/>
    <cellStyle name="Input 2 7 8 6" xfId="39853"/>
    <cellStyle name="Input 2 7 8 7" xfId="44178"/>
    <cellStyle name="Input 2 7 8 8" xfId="52478"/>
    <cellStyle name="Input 2 7 9" xfId="10950"/>
    <cellStyle name="Input 2 7 9 2" xfId="10951"/>
    <cellStyle name="Input 2 7 9 3" xfId="10952"/>
    <cellStyle name="Input 2 7 9 4" xfId="10953"/>
    <cellStyle name="Input 2 7 9 5" xfId="10954"/>
    <cellStyle name="Input 2 7 9 6" xfId="40468"/>
    <cellStyle name="Input 2 7 9 7" xfId="44179"/>
    <cellStyle name="Input 2 7 9 8" xfId="52479"/>
    <cellStyle name="Input 2 8" xfId="2087"/>
    <cellStyle name="Input 2 8 10" xfId="34652"/>
    <cellStyle name="Input 2 8 11" xfId="40980"/>
    <cellStyle name="Input 2 8 12" xfId="44180"/>
    <cellStyle name="Input 2 8 13" xfId="52480"/>
    <cellStyle name="Input 2 8 2" xfId="2088"/>
    <cellStyle name="Input 2 8 2 2" xfId="36058"/>
    <cellStyle name="Input 2 8 2 3" xfId="44181"/>
    <cellStyle name="Input 2 8 2 4" xfId="52481"/>
    <cellStyle name="Input 2 8 3" xfId="2089"/>
    <cellStyle name="Input 2 8 3 2" xfId="36557"/>
    <cellStyle name="Input 2 8 3 3" xfId="44182"/>
    <cellStyle name="Input 2 8 3 4" xfId="52482"/>
    <cellStyle name="Input 2 8 4" xfId="10955"/>
    <cellStyle name="Input 2 8 4 2" xfId="37173"/>
    <cellStyle name="Input 2 8 4 3" xfId="44183"/>
    <cellStyle name="Input 2 8 4 4" xfId="52483"/>
    <cellStyle name="Input 2 8 5" xfId="10956"/>
    <cellStyle name="Input 2 8 5 2" xfId="37788"/>
    <cellStyle name="Input 2 8 5 3" xfId="44184"/>
    <cellStyle name="Input 2 8 5 4" xfId="52484"/>
    <cellStyle name="Input 2 8 6" xfId="38403"/>
    <cellStyle name="Input 2 8 6 2" xfId="44185"/>
    <cellStyle name="Input 2 8 6 3" xfId="52485"/>
    <cellStyle name="Input 2 8 7" xfId="39023"/>
    <cellStyle name="Input 2 8 7 2" xfId="44186"/>
    <cellStyle name="Input 2 8 7 3" xfId="52486"/>
    <cellStyle name="Input 2 8 8" xfId="39639"/>
    <cellStyle name="Input 2 8 8 2" xfId="44187"/>
    <cellStyle name="Input 2 8 8 3" xfId="52487"/>
    <cellStyle name="Input 2 8 9" xfId="40254"/>
    <cellStyle name="Input 2 8 9 2" xfId="44188"/>
    <cellStyle name="Input 2 8 9 3" xfId="52488"/>
    <cellStyle name="Input 2 9" xfId="2090"/>
    <cellStyle name="Input 2 9 10" xfId="44189"/>
    <cellStyle name="Input 2 9 11" xfId="52489"/>
    <cellStyle name="Input 2 9 2" xfId="2091"/>
    <cellStyle name="Input 2 9 2 2" xfId="44190"/>
    <cellStyle name="Input 2 9 2 3" xfId="52490"/>
    <cellStyle name="Input 2 9 3" xfId="2092"/>
    <cellStyle name="Input 2 9 3 2" xfId="44191"/>
    <cellStyle name="Input 2 9 3 3" xfId="52491"/>
    <cellStyle name="Input 2 9 4" xfId="10957"/>
    <cellStyle name="Input 2 9 4 2" xfId="44192"/>
    <cellStyle name="Input 2 9 4 3" xfId="52492"/>
    <cellStyle name="Input 2 9 5" xfId="10958"/>
    <cellStyle name="Input 2 9 5 2" xfId="44193"/>
    <cellStyle name="Input 2 9 5 3" xfId="52493"/>
    <cellStyle name="Input 2 9 6" xfId="35268"/>
    <cellStyle name="Input 2 9 6 2" xfId="44194"/>
    <cellStyle name="Input 2 9 6 3" xfId="52494"/>
    <cellStyle name="Input 2 9 7" xfId="44195"/>
    <cellStyle name="Input 2 9 7 2" xfId="52495"/>
    <cellStyle name="Input 2 9 8" xfId="44196"/>
    <cellStyle name="Input 2 9 8 2" xfId="52496"/>
    <cellStyle name="Input 2 9 9" xfId="44197"/>
    <cellStyle name="Input 2 9 9 2" xfId="52497"/>
    <cellStyle name="Input 3" xfId="44198"/>
    <cellStyle name="Input1" xfId="105"/>
    <cellStyle name="Input1 2" xfId="106"/>
    <cellStyle name="Input1 3" xfId="316"/>
    <cellStyle name="Input1 4" xfId="317"/>
    <cellStyle name="Input2" xfId="44199"/>
    <cellStyle name="Input3" xfId="107"/>
    <cellStyle name="Input3 2" xfId="318"/>
    <cellStyle name="Input3 3" xfId="319"/>
    <cellStyle name="Input3 4" xfId="320"/>
    <cellStyle name="Lines" xfId="108"/>
    <cellStyle name="Lines 2" xfId="35537"/>
    <cellStyle name="Lines 3" xfId="35269"/>
    <cellStyle name="Linked Cell 2" xfId="109"/>
    <cellStyle name="Linked Cell 2 2" xfId="35538"/>
    <cellStyle name="Linked Cell 2 3" xfId="35270"/>
    <cellStyle name="Linked Cell 3" xfId="44200"/>
    <cellStyle name="Mine" xfId="110"/>
    <cellStyle name="Model Name" xfId="111"/>
    <cellStyle name="Model Name 2" xfId="35539"/>
    <cellStyle name="Model Name 3" xfId="35271"/>
    <cellStyle name="Neutral 2" xfId="112"/>
    <cellStyle name="Neutral 2 2" xfId="35540"/>
    <cellStyle name="Neutral 2 3" xfId="35272"/>
    <cellStyle name="Neutral 3" xfId="44201"/>
    <cellStyle name="Normal" xfId="0" builtinId="0"/>
    <cellStyle name="Normal - Style1" xfId="113"/>
    <cellStyle name="Normal 10" xfId="5"/>
    <cellStyle name="Normal 10 2" xfId="35458"/>
    <cellStyle name="Normal 10 2 2" xfId="44202"/>
    <cellStyle name="Normal 10 3" xfId="35190"/>
    <cellStyle name="Normal 10 3 2" xfId="44203"/>
    <cellStyle name="Normal 10_Piv_Master - OH inc P1 P2 (2)" xfId="44204"/>
    <cellStyle name="Normal 100" xfId="44205"/>
    <cellStyle name="Normal 101" xfId="44206"/>
    <cellStyle name="Normal 102" xfId="44207"/>
    <cellStyle name="Normal 103" xfId="44208"/>
    <cellStyle name="Normal 104" xfId="44209"/>
    <cellStyle name="Normal 105" xfId="44210"/>
    <cellStyle name="Normal 106" xfId="44211"/>
    <cellStyle name="Normal 107" xfId="44212"/>
    <cellStyle name="Normal 108" xfId="44213"/>
    <cellStyle name="Normal 109" xfId="44214"/>
    <cellStyle name="Normal 11" xfId="114"/>
    <cellStyle name="Normal 11 2" xfId="35541"/>
    <cellStyle name="Normal 11 2 2" xfId="44215"/>
    <cellStyle name="Normal 11 3" xfId="35273"/>
    <cellStyle name="Normal 11 3 2" xfId="44216"/>
    <cellStyle name="Normal 11_Piv_Master - OH inc P1 P2 (2)" xfId="44217"/>
    <cellStyle name="Normal 110" xfId="44218"/>
    <cellStyle name="Normal 111" xfId="44219"/>
    <cellStyle name="Normal 112" xfId="44220"/>
    <cellStyle name="Normal 114" xfId="9"/>
    <cellStyle name="Normal 114 2" xfId="35186"/>
    <cellStyle name="Normal 12" xfId="234"/>
    <cellStyle name="Normal 12 2" xfId="35643"/>
    <cellStyle name="Normal 12 2 2" xfId="44221"/>
    <cellStyle name="Normal 12 3" xfId="35375"/>
    <cellStyle name="Normal 12 3 2" xfId="44222"/>
    <cellStyle name="Normal 12_Piv_Master - OH inc P1 P2 (2)" xfId="44223"/>
    <cellStyle name="Normal 13" xfId="4"/>
    <cellStyle name="Normal 13 2" xfId="235"/>
    <cellStyle name="Normal 13 2 2" xfId="35645"/>
    <cellStyle name="Normal 13 2 2 2" xfId="44224"/>
    <cellStyle name="Normal 13 2 3" xfId="35376"/>
    <cellStyle name="Normal 13 3" xfId="35457"/>
    <cellStyle name="Normal 13 3 2" xfId="44225"/>
    <cellStyle name="Normal 13 4" xfId="35189"/>
    <cellStyle name="Normal 13_Piv_Master - OH inc P1 P2 (2)" xfId="44226"/>
    <cellStyle name="Normal 14" xfId="12"/>
    <cellStyle name="Normal 14 2" xfId="115"/>
    <cellStyle name="Normal 14 2 2" xfId="35542"/>
    <cellStyle name="Normal 14 2 2 2" xfId="44227"/>
    <cellStyle name="Normal 14 2 3" xfId="35274"/>
    <cellStyle name="Normal 14 3" xfId="35464"/>
    <cellStyle name="Normal 14 3 2" xfId="44228"/>
    <cellStyle name="Normal 14 4" xfId="35196"/>
    <cellStyle name="Normal 14_Piv_Master - OH inc P1 P2 (2)" xfId="44229"/>
    <cellStyle name="Normal 143" xfId="116"/>
    <cellStyle name="Normal 143 2" xfId="35543"/>
    <cellStyle name="Normal 143 3" xfId="35275"/>
    <cellStyle name="Normal 144" xfId="117"/>
    <cellStyle name="Normal 144 2" xfId="35544"/>
    <cellStyle name="Normal 144 3" xfId="35276"/>
    <cellStyle name="Normal 147" xfId="118"/>
    <cellStyle name="Normal 147 2" xfId="35545"/>
    <cellStyle name="Normal 147 3" xfId="35277"/>
    <cellStyle name="Normal 148" xfId="119"/>
    <cellStyle name="Normal 148 2" xfId="35546"/>
    <cellStyle name="Normal 148 3" xfId="35278"/>
    <cellStyle name="Normal 149" xfId="120"/>
    <cellStyle name="Normal 149 2" xfId="35547"/>
    <cellStyle name="Normal 149 3" xfId="35279"/>
    <cellStyle name="Normal 15" xfId="1534"/>
    <cellStyle name="Normal 15 2" xfId="35455"/>
    <cellStyle name="Normal 15 2 2" xfId="44231"/>
    <cellStyle name="Normal 15 3" xfId="44230"/>
    <cellStyle name="Normal 15_Piv_Master - OH inc P1 P2 (2)" xfId="44232"/>
    <cellStyle name="Normal 150" xfId="121"/>
    <cellStyle name="Normal 150 2" xfId="35548"/>
    <cellStyle name="Normal 150 3" xfId="35280"/>
    <cellStyle name="Normal 151" xfId="122"/>
    <cellStyle name="Normal 151 2" xfId="35549"/>
    <cellStyle name="Normal 151 3" xfId="35281"/>
    <cellStyle name="Normal 152" xfId="123"/>
    <cellStyle name="Normal 152 2" xfId="35550"/>
    <cellStyle name="Normal 152 3" xfId="35282"/>
    <cellStyle name="Normal 153" xfId="124"/>
    <cellStyle name="Normal 153 2" xfId="35551"/>
    <cellStyle name="Normal 153 3" xfId="35283"/>
    <cellStyle name="Normal 154" xfId="125"/>
    <cellStyle name="Normal 154 2" xfId="35552"/>
    <cellStyle name="Normal 154 3" xfId="35284"/>
    <cellStyle name="Normal 155" xfId="126"/>
    <cellStyle name="Normal 155 2" xfId="35553"/>
    <cellStyle name="Normal 155 3" xfId="35285"/>
    <cellStyle name="Normal 156" xfId="127"/>
    <cellStyle name="Normal 156 2" xfId="35554"/>
    <cellStyle name="Normal 156 3" xfId="35286"/>
    <cellStyle name="Normal 16" xfId="35724"/>
    <cellStyle name="Normal 16 2" xfId="44234"/>
    <cellStyle name="Normal 16 3" xfId="44233"/>
    <cellStyle name="Normal 16_Piv_Master - OH inc P1 P2 (2)" xfId="44235"/>
    <cellStyle name="Normal 161" xfId="128"/>
    <cellStyle name="Normal 161 2" xfId="35555"/>
    <cellStyle name="Normal 161 3" xfId="35287"/>
    <cellStyle name="Normal 162" xfId="129"/>
    <cellStyle name="Normal 162 2" xfId="35556"/>
    <cellStyle name="Normal 162 3" xfId="35288"/>
    <cellStyle name="Normal 163" xfId="130"/>
    <cellStyle name="Normal 163 2" xfId="35557"/>
    <cellStyle name="Normal 163 3" xfId="35289"/>
    <cellStyle name="Normal 164" xfId="131"/>
    <cellStyle name="Normal 164 2" xfId="35558"/>
    <cellStyle name="Normal 164 3" xfId="35290"/>
    <cellStyle name="Normal 169" xfId="132"/>
    <cellStyle name="Normal 169 2" xfId="35559"/>
    <cellStyle name="Normal 169 3" xfId="35291"/>
    <cellStyle name="Normal 17" xfId="35187"/>
    <cellStyle name="Normal 17 2" xfId="44237"/>
    <cellStyle name="Normal 17 3" xfId="44236"/>
    <cellStyle name="Normal 17_Piv_Master - OH inc P1 P2 (2)" xfId="44238"/>
    <cellStyle name="Normal 170" xfId="133"/>
    <cellStyle name="Normal 170 2" xfId="35560"/>
    <cellStyle name="Normal 170 3" xfId="35292"/>
    <cellStyle name="Normal 171" xfId="134"/>
    <cellStyle name="Normal 171 2" xfId="35561"/>
    <cellStyle name="Normal 171 3" xfId="35293"/>
    <cellStyle name="Normal 172" xfId="135"/>
    <cellStyle name="Normal 172 2" xfId="35562"/>
    <cellStyle name="Normal 172 3" xfId="35294"/>
    <cellStyle name="Normal 177" xfId="136"/>
    <cellStyle name="Normal 177 2" xfId="35563"/>
    <cellStyle name="Normal 177 3" xfId="35295"/>
    <cellStyle name="Normal 178" xfId="137"/>
    <cellStyle name="Normal 178 2" xfId="35564"/>
    <cellStyle name="Normal 178 3" xfId="35296"/>
    <cellStyle name="Normal 179" xfId="138"/>
    <cellStyle name="Normal 179 2" xfId="35565"/>
    <cellStyle name="Normal 179 3" xfId="35297"/>
    <cellStyle name="Normal 18" xfId="35727"/>
    <cellStyle name="Normal 18 2" xfId="44240"/>
    <cellStyle name="Normal 18 3" xfId="44239"/>
    <cellStyle name="Normal 18_Piv_Master - OH inc P1 P2 (2)" xfId="44241"/>
    <cellStyle name="Normal 180" xfId="139"/>
    <cellStyle name="Normal 180 2" xfId="35566"/>
    <cellStyle name="Normal 180 3" xfId="35298"/>
    <cellStyle name="Normal 181" xfId="140"/>
    <cellStyle name="Normal 181 2" xfId="35567"/>
    <cellStyle name="Normal 181 3" xfId="35299"/>
    <cellStyle name="Normal 182" xfId="141"/>
    <cellStyle name="Normal 182 2" xfId="35568"/>
    <cellStyle name="Normal 182 3" xfId="35300"/>
    <cellStyle name="Normal 183" xfId="142"/>
    <cellStyle name="Normal 183 2" xfId="35569"/>
    <cellStyle name="Normal 183 3" xfId="35301"/>
    <cellStyle name="Normal 184" xfId="143"/>
    <cellStyle name="Normal 184 2" xfId="35570"/>
    <cellStyle name="Normal 184 3" xfId="35302"/>
    <cellStyle name="Normal 185" xfId="144"/>
    <cellStyle name="Normal 185 2" xfId="35571"/>
    <cellStyle name="Normal 185 3" xfId="35303"/>
    <cellStyle name="Normal 186" xfId="145"/>
    <cellStyle name="Normal 186 2" xfId="35572"/>
    <cellStyle name="Normal 186 3" xfId="35304"/>
    <cellStyle name="Normal 187" xfId="146"/>
    <cellStyle name="Normal 187 2" xfId="35573"/>
    <cellStyle name="Normal 187 3" xfId="35305"/>
    <cellStyle name="Normal 188" xfId="147"/>
    <cellStyle name="Normal 188 2" xfId="35574"/>
    <cellStyle name="Normal 188 3" xfId="35306"/>
    <cellStyle name="Normal 189" xfId="148"/>
    <cellStyle name="Normal 189 2" xfId="35575"/>
    <cellStyle name="Normal 189 3" xfId="35307"/>
    <cellStyle name="Normal 19" xfId="35726"/>
    <cellStyle name="Normal 19 2" xfId="44243"/>
    <cellStyle name="Normal 19 3" xfId="44242"/>
    <cellStyle name="Normal 19_Piv_Master - OH inc P1 P2 (2)" xfId="44244"/>
    <cellStyle name="Normal 190" xfId="149"/>
    <cellStyle name="Normal 190 2" xfId="35576"/>
    <cellStyle name="Normal 190 3" xfId="35308"/>
    <cellStyle name="Normal 192" xfId="150"/>
    <cellStyle name="Normal 192 2" xfId="35577"/>
    <cellStyle name="Normal 192 3" xfId="35309"/>
    <cellStyle name="Normal 193" xfId="151"/>
    <cellStyle name="Normal 193 2" xfId="35578"/>
    <cellStyle name="Normal 193 3" xfId="35310"/>
    <cellStyle name="Normal 196" xfId="152"/>
    <cellStyle name="Normal 196 2" xfId="35579"/>
    <cellStyle name="Normal 196 3" xfId="35311"/>
    <cellStyle name="Normal 197" xfId="153"/>
    <cellStyle name="Normal 197 2" xfId="35580"/>
    <cellStyle name="Normal 197 3" xfId="35312"/>
    <cellStyle name="Normal 198" xfId="154"/>
    <cellStyle name="Normal 198 2" xfId="35581"/>
    <cellStyle name="Normal 198 3" xfId="35313"/>
    <cellStyle name="Normal 199" xfId="155"/>
    <cellStyle name="Normal 199 2" xfId="35582"/>
    <cellStyle name="Normal 199 3" xfId="35314"/>
    <cellStyle name="Normal 2" xfId="156"/>
    <cellStyle name="Normal 2 2" xfId="157"/>
    <cellStyle name="Normal 2 2 2" xfId="3"/>
    <cellStyle name="Normal 2 2 2 2" xfId="35456"/>
    <cellStyle name="Normal 2 2 2 3" xfId="35188"/>
    <cellStyle name="Normal 2 2 3" xfId="35584"/>
    <cellStyle name="Normal 2 2 3 2" xfId="44245"/>
    <cellStyle name="Normal 2 2 4" xfId="35316"/>
    <cellStyle name="Normal 2 2_SS10_Codes Cat Analysis RIN" xfId="44246"/>
    <cellStyle name="Normal 2 3" xfId="158"/>
    <cellStyle name="Normal 2 3 2" xfId="35585"/>
    <cellStyle name="Normal 2 3 2 2" xfId="44247"/>
    <cellStyle name="Normal 2 3 3" xfId="35317"/>
    <cellStyle name="Normal 2 3 3 2" xfId="44248"/>
    <cellStyle name="Normal 2 4" xfId="236"/>
    <cellStyle name="Normal 2 4 2" xfId="35646"/>
    <cellStyle name="Normal 2 4 2 2" xfId="44249"/>
    <cellStyle name="Normal 2 4 3" xfId="35377"/>
    <cellStyle name="Normal 2 4 3 2" xfId="44250"/>
    <cellStyle name="Normal 2 4 4" xfId="44251"/>
    <cellStyle name="Normal 2 5" xfId="35583"/>
    <cellStyle name="Normal 2 5 2" xfId="44252"/>
    <cellStyle name="Normal 2 6" xfId="35315"/>
    <cellStyle name="Normal 2 6 2" xfId="44254"/>
    <cellStyle name="Normal 2 6 3" xfId="44253"/>
    <cellStyle name="Normal 20" xfId="6"/>
    <cellStyle name="Normal 20 2" xfId="35459"/>
    <cellStyle name="Normal 20 2 2" xfId="44255"/>
    <cellStyle name="Normal 20 3" xfId="35191"/>
    <cellStyle name="Normal 20 3 2" xfId="44256"/>
    <cellStyle name="Normal 20_Piv_Master - OH inc P1 P2 (2)" xfId="44257"/>
    <cellStyle name="Normal 200" xfId="159"/>
    <cellStyle name="Normal 200 2" xfId="35586"/>
    <cellStyle name="Normal 200 3" xfId="35318"/>
    <cellStyle name="Normal 201" xfId="160"/>
    <cellStyle name="Normal 201 2" xfId="35587"/>
    <cellStyle name="Normal 201 3" xfId="35319"/>
    <cellStyle name="Normal 202" xfId="161"/>
    <cellStyle name="Normal 202 2" xfId="35588"/>
    <cellStyle name="Normal 202 3" xfId="35320"/>
    <cellStyle name="Normal 203" xfId="162"/>
    <cellStyle name="Normal 203 2" xfId="35589"/>
    <cellStyle name="Normal 203 3" xfId="35321"/>
    <cellStyle name="Normal 204" xfId="163"/>
    <cellStyle name="Normal 204 2" xfId="35590"/>
    <cellStyle name="Normal 204 3" xfId="35322"/>
    <cellStyle name="Normal 205" xfId="164"/>
    <cellStyle name="Normal 205 2" xfId="35591"/>
    <cellStyle name="Normal 205 3" xfId="35323"/>
    <cellStyle name="Normal 207" xfId="165"/>
    <cellStyle name="Normal 207 2" xfId="35592"/>
    <cellStyle name="Normal 207 3" xfId="35324"/>
    <cellStyle name="Normal 208" xfId="166"/>
    <cellStyle name="Normal 208 2" xfId="35593"/>
    <cellStyle name="Normal 208 3" xfId="35325"/>
    <cellStyle name="Normal 209" xfId="167"/>
    <cellStyle name="Normal 209 2" xfId="35594"/>
    <cellStyle name="Normal 209 3" xfId="35326"/>
    <cellStyle name="Normal 21" xfId="44258"/>
    <cellStyle name="Normal 21 2" xfId="44259"/>
    <cellStyle name="Normal 21_Piv_Master - OH inc P1 P2 (2)" xfId="44260"/>
    <cellStyle name="Normal 210" xfId="168"/>
    <cellStyle name="Normal 210 2" xfId="35595"/>
    <cellStyle name="Normal 210 3" xfId="35327"/>
    <cellStyle name="Normal 211" xfId="169"/>
    <cellStyle name="Normal 211 2" xfId="35596"/>
    <cellStyle name="Normal 211 3" xfId="35328"/>
    <cellStyle name="Normal 212" xfId="170"/>
    <cellStyle name="Normal 212 2" xfId="35597"/>
    <cellStyle name="Normal 212 3" xfId="35329"/>
    <cellStyle name="Normal 213" xfId="171"/>
    <cellStyle name="Normal 213 2" xfId="35598"/>
    <cellStyle name="Normal 213 3" xfId="35330"/>
    <cellStyle name="Normal 214" xfId="172"/>
    <cellStyle name="Normal 214 2" xfId="35599"/>
    <cellStyle name="Normal 214 3" xfId="35331"/>
    <cellStyle name="Normal 215" xfId="173"/>
    <cellStyle name="Normal 215 2" xfId="35600"/>
    <cellStyle name="Normal 215 3" xfId="35332"/>
    <cellStyle name="Normal 216" xfId="174"/>
    <cellStyle name="Normal 216 2" xfId="35601"/>
    <cellStyle name="Normal 216 3" xfId="35333"/>
    <cellStyle name="Normal 22" xfId="44261"/>
    <cellStyle name="Normal 22 2" xfId="44262"/>
    <cellStyle name="Normal 22_Piv_Master - OH inc P1 P2 (2)" xfId="44263"/>
    <cellStyle name="Normal 23" xfId="44264"/>
    <cellStyle name="Normal 23 2" xfId="44265"/>
    <cellStyle name="Normal 23_Piv_Master - OH inc P1 P2 (2)" xfId="44266"/>
    <cellStyle name="Normal 24" xfId="44267"/>
    <cellStyle name="Normal 24 2" xfId="44268"/>
    <cellStyle name="Normal 24_Piv_Master - OH inc P1 P2 (2)" xfId="44269"/>
    <cellStyle name="Normal 25" xfId="44270"/>
    <cellStyle name="Normal 25 2" xfId="44271"/>
    <cellStyle name="Normal 25_Piv_Master - OH inc P1 P2 (2)" xfId="44272"/>
    <cellStyle name="Normal 26" xfId="44273"/>
    <cellStyle name="Normal 26 2" xfId="44274"/>
    <cellStyle name="Normal 26_Piv_Master - OH inc P1 P2 (2)" xfId="44275"/>
    <cellStyle name="Normal 27" xfId="44276"/>
    <cellStyle name="Normal 27 2" xfId="44277"/>
    <cellStyle name="Normal 27_Piv_Master - OH inc P1 P2 (2)" xfId="44278"/>
    <cellStyle name="Normal 28" xfId="44279"/>
    <cellStyle name="Normal 29" xfId="44280"/>
    <cellStyle name="Normal 3" xfId="175"/>
    <cellStyle name="Normal 3 2" xfId="2093"/>
    <cellStyle name="Normal 3 2 2" xfId="2094"/>
    <cellStyle name="Normal 3 2 3" xfId="2095"/>
    <cellStyle name="Normal 3 2 4" xfId="35602"/>
    <cellStyle name="Normal 3 2 5" xfId="44281"/>
    <cellStyle name="Normal 3 3" xfId="35334"/>
    <cellStyle name="Normal 3 3 2" xfId="44282"/>
    <cellStyle name="Normal 3 4" xfId="44283"/>
    <cellStyle name="Normal 3_A7 Characteristics &amp; Dates" xfId="44284"/>
    <cellStyle name="Normal 30" xfId="44285"/>
    <cellStyle name="Normal 31" xfId="44286"/>
    <cellStyle name="Normal 32" xfId="44287"/>
    <cellStyle name="Normal 33" xfId="44288"/>
    <cellStyle name="Normal 34" xfId="44289"/>
    <cellStyle name="Normal 35" xfId="44290"/>
    <cellStyle name="Normal 36" xfId="44291"/>
    <cellStyle name="Normal 37" xfId="176"/>
    <cellStyle name="Normal 37 2" xfId="35603"/>
    <cellStyle name="Normal 37 3" xfId="35335"/>
    <cellStyle name="Normal 38" xfId="177"/>
    <cellStyle name="Normal 38 2" xfId="35604"/>
    <cellStyle name="Normal 38 3" xfId="35336"/>
    <cellStyle name="Normal 39" xfId="178"/>
    <cellStyle name="Normal 39 2" xfId="35605"/>
    <cellStyle name="Normal 39 3" xfId="35337"/>
    <cellStyle name="Normal 4" xfId="13"/>
    <cellStyle name="Normal 4 2" xfId="179"/>
    <cellStyle name="Normal 4 2 2" xfId="8"/>
    <cellStyle name="Normal 4 2 2 2" xfId="2096"/>
    <cellStyle name="Normal 4 2 2 2 2" xfId="35461"/>
    <cellStyle name="Normal 4 2 2 3" xfId="35193"/>
    <cellStyle name="Normal 4 2 3" xfId="2097"/>
    <cellStyle name="Normal 4 2 3 2" xfId="35606"/>
    <cellStyle name="Normal 4 2 3 3" xfId="44292"/>
    <cellStyle name="Normal 4 2 4" xfId="35338"/>
    <cellStyle name="Normal 4 2 4 2" xfId="44293"/>
    <cellStyle name="Normal 4 2_SS10_Codes Cat Analysis RIN" xfId="44294"/>
    <cellStyle name="Normal 4 3" xfId="2098"/>
    <cellStyle name="Normal 4 3 2" xfId="2099"/>
    <cellStyle name="Normal 4 3 2 2" xfId="2100"/>
    <cellStyle name="Normal 4 3 3" xfId="2101"/>
    <cellStyle name="Normal 4 3 4" xfId="35465"/>
    <cellStyle name="Normal 4 3 5" xfId="44295"/>
    <cellStyle name="Normal 4 4" xfId="2102"/>
    <cellStyle name="Normal 4 4 2" xfId="2103"/>
    <cellStyle name="Normal 4 4 3" xfId="35197"/>
    <cellStyle name="Normal 4 4 4" xfId="44296"/>
    <cellStyle name="Normal 4 5" xfId="2104"/>
    <cellStyle name="Normal 4 6" xfId="2105"/>
    <cellStyle name="Normal 4_Piv_Master - OH inc P1 P2 (2)" xfId="44297"/>
    <cellStyle name="Normal 40" xfId="180"/>
    <cellStyle name="Normal 40 2" xfId="35607"/>
    <cellStyle name="Normal 40 3" xfId="35339"/>
    <cellStyle name="Normal 41" xfId="44298"/>
    <cellStyle name="Normal 42" xfId="44299"/>
    <cellStyle name="Normal 43" xfId="44300"/>
    <cellStyle name="Normal 44" xfId="44301"/>
    <cellStyle name="Normal 45" xfId="44302"/>
    <cellStyle name="Normal 46" xfId="44303"/>
    <cellStyle name="Normal 47" xfId="44304"/>
    <cellStyle name="Normal 48" xfId="44305"/>
    <cellStyle name="Normal 49" xfId="44306"/>
    <cellStyle name="Normal 5" xfId="181"/>
    <cellStyle name="Normal 5 2" xfId="2106"/>
    <cellStyle name="Normal 5 2 2" xfId="2107"/>
    <cellStyle name="Normal 5 2 3" xfId="2108"/>
    <cellStyle name="Normal 5 2 4" xfId="35608"/>
    <cellStyle name="Normal 5 2 5" xfId="44307"/>
    <cellStyle name="Normal 5 3" xfId="2109"/>
    <cellStyle name="Normal 5 3 2" xfId="2110"/>
    <cellStyle name="Normal 5 3 3" xfId="35340"/>
    <cellStyle name="Normal 5 3 4" xfId="44308"/>
    <cellStyle name="Normal 5 4" xfId="44309"/>
    <cellStyle name="Normal 5 5" xfId="44310"/>
    <cellStyle name="Normal 5_Piv_Master - OH inc P1 P2 (2)" xfId="44311"/>
    <cellStyle name="Normal 50" xfId="44312"/>
    <cellStyle name="Normal 51" xfId="44313"/>
    <cellStyle name="Normal 52" xfId="44314"/>
    <cellStyle name="Normal 53" xfId="44315"/>
    <cellStyle name="Normal 54" xfId="44316"/>
    <cellStyle name="Normal 55" xfId="44317"/>
    <cellStyle name="Normal 56" xfId="44318"/>
    <cellStyle name="Normal 57" xfId="44319"/>
    <cellStyle name="Normal 58" xfId="44320"/>
    <cellStyle name="Normal 59" xfId="44321"/>
    <cellStyle name="Normal 6" xfId="182"/>
    <cellStyle name="Normal 6 2" xfId="35609"/>
    <cellStyle name="Normal 6 2 2" xfId="44322"/>
    <cellStyle name="Normal 6 3" xfId="35341"/>
    <cellStyle name="Normal 6 3 2" xfId="44323"/>
    <cellStyle name="Normal 6_Piv_Master - OH inc P1 P2 (2)" xfId="44324"/>
    <cellStyle name="Normal 60" xfId="44325"/>
    <cellStyle name="Normal 61" xfId="44326"/>
    <cellStyle name="Normal 62" xfId="44327"/>
    <cellStyle name="Normal 63" xfId="44328"/>
    <cellStyle name="Normal 64" xfId="44329"/>
    <cellStyle name="Normal 65" xfId="44330"/>
    <cellStyle name="Normal 66" xfId="44331"/>
    <cellStyle name="Normal 67" xfId="44332"/>
    <cellStyle name="Normal 68" xfId="44333"/>
    <cellStyle name="Normal 69" xfId="44334"/>
    <cellStyle name="Normal 7" xfId="183"/>
    <cellStyle name="Normal 7 2" xfId="35610"/>
    <cellStyle name="Normal 7 2 2" xfId="44335"/>
    <cellStyle name="Normal 7 3" xfId="35342"/>
    <cellStyle name="Normal 7 3 2" xfId="44336"/>
    <cellStyle name="Normal 7_Piv_Master - OH inc P1 P2 (2)" xfId="44337"/>
    <cellStyle name="Normal 70" xfId="44338"/>
    <cellStyle name="Normal 71" xfId="44339"/>
    <cellStyle name="Normal 72" xfId="44340"/>
    <cellStyle name="Normal 73" xfId="44341"/>
    <cellStyle name="Normal 74" xfId="44342"/>
    <cellStyle name="Normal 75" xfId="44343"/>
    <cellStyle name="Normal 76" xfId="44344"/>
    <cellStyle name="Normal 77" xfId="44345"/>
    <cellStyle name="Normal 78" xfId="44346"/>
    <cellStyle name="Normal 79" xfId="44347"/>
    <cellStyle name="Normal 8" xfId="184"/>
    <cellStyle name="Normal 8 2" xfId="11"/>
    <cellStyle name="Normal 8 2 2" xfId="35463"/>
    <cellStyle name="Normal 8 2 2 2" xfId="44348"/>
    <cellStyle name="Normal 8 2 3" xfId="35195"/>
    <cellStyle name="Normal 8 3" xfId="35611"/>
    <cellStyle name="Normal 8 3 2" xfId="44349"/>
    <cellStyle name="Normal 8 4" xfId="35343"/>
    <cellStyle name="Normal 8_Piv_Master - OH inc P1 P2 (2)" xfId="44350"/>
    <cellStyle name="Normal 80" xfId="44351"/>
    <cellStyle name="Normal 81" xfId="44352"/>
    <cellStyle name="Normal 82" xfId="44353"/>
    <cellStyle name="Normal 83" xfId="44354"/>
    <cellStyle name="Normal 84" xfId="44355"/>
    <cellStyle name="Normal 85" xfId="44356"/>
    <cellStyle name="Normal 86" xfId="44357"/>
    <cellStyle name="Normal 87" xfId="44358"/>
    <cellStyle name="Normal 88" xfId="44359"/>
    <cellStyle name="Normal 89" xfId="44360"/>
    <cellStyle name="Normal 9" xfId="185"/>
    <cellStyle name="Normal 9 2" xfId="35612"/>
    <cellStyle name="Normal 9 2 2" xfId="44361"/>
    <cellStyle name="Normal 9 3" xfId="35344"/>
    <cellStyle name="Normal 9 3 2" xfId="44362"/>
    <cellStyle name="Normal 9_Piv_Master - OH inc P1 P2 (2)" xfId="44363"/>
    <cellStyle name="Normal 90" xfId="44364"/>
    <cellStyle name="Normal 91" xfId="44365"/>
    <cellStyle name="Normal 92" xfId="44366"/>
    <cellStyle name="Normal 93" xfId="44367"/>
    <cellStyle name="Normal 94" xfId="44368"/>
    <cellStyle name="Normal 95" xfId="44369"/>
    <cellStyle name="Normal 96" xfId="44370"/>
    <cellStyle name="Normal 97" xfId="44371"/>
    <cellStyle name="Normal 98" xfId="44372"/>
    <cellStyle name="Normal 99" xfId="44373"/>
    <cellStyle name="Note 10" xfId="44374"/>
    <cellStyle name="Note 10 2" xfId="44375"/>
    <cellStyle name="Note 10 2 2" xfId="44376"/>
    <cellStyle name="Note 10 2 2 2" xfId="52500"/>
    <cellStyle name="Note 10 2 3" xfId="52499"/>
    <cellStyle name="Note 10 3" xfId="44377"/>
    <cellStyle name="Note 10 3 2" xfId="44378"/>
    <cellStyle name="Note 10 3 2 2" xfId="52502"/>
    <cellStyle name="Note 10 3 3" xfId="52501"/>
    <cellStyle name="Note 10 4" xfId="44379"/>
    <cellStyle name="Note 10 4 2" xfId="52503"/>
    <cellStyle name="Note 10 5" xfId="52498"/>
    <cellStyle name="Note 11" xfId="44380"/>
    <cellStyle name="Note 11 2" xfId="44381"/>
    <cellStyle name="Note 11 2 2" xfId="44382"/>
    <cellStyle name="Note 11 2 2 2" xfId="52506"/>
    <cellStyle name="Note 11 2 3" xfId="52505"/>
    <cellStyle name="Note 11 3" xfId="44383"/>
    <cellStyle name="Note 11 3 2" xfId="52507"/>
    <cellStyle name="Note 11 4" xfId="52504"/>
    <cellStyle name="Note 12" xfId="44384"/>
    <cellStyle name="Note 12 2" xfId="44385"/>
    <cellStyle name="Note 12 2 2" xfId="44386"/>
    <cellStyle name="Note 12 2 2 2" xfId="52510"/>
    <cellStyle name="Note 12 2 3" xfId="52509"/>
    <cellStyle name="Note 12 3" xfId="44387"/>
    <cellStyle name="Note 12 3 2" xfId="44388"/>
    <cellStyle name="Note 12 3 2 2" xfId="52512"/>
    <cellStyle name="Note 12 3 3" xfId="52511"/>
    <cellStyle name="Note 12 4" xfId="44389"/>
    <cellStyle name="Note 12 4 2" xfId="52513"/>
    <cellStyle name="Note 12 5" xfId="52508"/>
    <cellStyle name="Note 13" xfId="44390"/>
    <cellStyle name="Note 13 2" xfId="44391"/>
    <cellStyle name="Note 13 2 2" xfId="44392"/>
    <cellStyle name="Note 13 2 2 2" xfId="52516"/>
    <cellStyle name="Note 13 2 3" xfId="52515"/>
    <cellStyle name="Note 13 3" xfId="44393"/>
    <cellStyle name="Note 13 3 2" xfId="52517"/>
    <cellStyle name="Note 13 4" xfId="52514"/>
    <cellStyle name="Note 14" xfId="44394"/>
    <cellStyle name="Note 14 2" xfId="44395"/>
    <cellStyle name="Note 14 2 2" xfId="44396"/>
    <cellStyle name="Note 14 2 2 2" xfId="52520"/>
    <cellStyle name="Note 14 2 3" xfId="52519"/>
    <cellStyle name="Note 14 3" xfId="44397"/>
    <cellStyle name="Note 14 3 2" xfId="52521"/>
    <cellStyle name="Note 14 4" xfId="44398"/>
    <cellStyle name="Note 14 4 2" xfId="52522"/>
    <cellStyle name="Note 14 5" xfId="52518"/>
    <cellStyle name="Note 15" xfId="44399"/>
    <cellStyle name="Note 15 2" xfId="44400"/>
    <cellStyle name="Note 15 2 2" xfId="44401"/>
    <cellStyle name="Note 15 2 2 2" xfId="52525"/>
    <cellStyle name="Note 15 2 3" xfId="52524"/>
    <cellStyle name="Note 15 3" xfId="44402"/>
    <cellStyle name="Note 15 3 2" xfId="52526"/>
    <cellStyle name="Note 15 4" xfId="44403"/>
    <cellStyle name="Note 15 4 2" xfId="52527"/>
    <cellStyle name="Note 15 5" xfId="52523"/>
    <cellStyle name="Note 16" xfId="44404"/>
    <cellStyle name="Note 16 2" xfId="44405"/>
    <cellStyle name="Note 16 2 2" xfId="52529"/>
    <cellStyle name="Note 16 3" xfId="52528"/>
    <cellStyle name="Note 17" xfId="44406"/>
    <cellStyle name="Note 17 2" xfId="44407"/>
    <cellStyle name="Note 17 2 2" xfId="52531"/>
    <cellStyle name="Note 17 3" xfId="52530"/>
    <cellStyle name="Note 18" xfId="44408"/>
    <cellStyle name="Note 18 2" xfId="44409"/>
    <cellStyle name="Note 18 2 2" xfId="52533"/>
    <cellStyle name="Note 18 3" xfId="52532"/>
    <cellStyle name="Note 19" xfId="44410"/>
    <cellStyle name="Note 19 2" xfId="52534"/>
    <cellStyle name="Note 2" xfId="186"/>
    <cellStyle name="Note 2 10" xfId="2111"/>
    <cellStyle name="Note 2 10 10" xfId="34856"/>
    <cellStyle name="Note 2 10 10 2" xfId="44412"/>
    <cellStyle name="Note 2 10 10 3" xfId="52536"/>
    <cellStyle name="Note 2 10 11" xfId="40981"/>
    <cellStyle name="Note 2 10 12" xfId="44411"/>
    <cellStyle name="Note 2 10 13" xfId="52535"/>
    <cellStyle name="Note 2 10 2" xfId="2112"/>
    <cellStyle name="Note 2 10 2 2" xfId="36059"/>
    <cellStyle name="Note 2 10 2 3" xfId="44413"/>
    <cellStyle name="Note 2 10 2 4" xfId="52537"/>
    <cellStyle name="Note 2 10 3" xfId="2113"/>
    <cellStyle name="Note 2 10 3 2" xfId="36558"/>
    <cellStyle name="Note 2 10 3 3" xfId="44414"/>
    <cellStyle name="Note 2 10 3 4" xfId="52538"/>
    <cellStyle name="Note 2 10 4" xfId="10959"/>
    <cellStyle name="Note 2 10 4 2" xfId="37174"/>
    <cellStyle name="Note 2 10 4 3" xfId="44415"/>
    <cellStyle name="Note 2 10 4 4" xfId="52539"/>
    <cellStyle name="Note 2 10 5" xfId="10960"/>
    <cellStyle name="Note 2 10 5 2" xfId="37789"/>
    <cellStyle name="Note 2 10 5 3" xfId="44416"/>
    <cellStyle name="Note 2 10 5 4" xfId="52540"/>
    <cellStyle name="Note 2 10 6" xfId="38404"/>
    <cellStyle name="Note 2 10 6 2" xfId="44417"/>
    <cellStyle name="Note 2 10 6 3" xfId="52541"/>
    <cellStyle name="Note 2 10 7" xfId="39024"/>
    <cellStyle name="Note 2 10 7 2" xfId="44418"/>
    <cellStyle name="Note 2 10 7 3" xfId="52542"/>
    <cellStyle name="Note 2 10 8" xfId="39640"/>
    <cellStyle name="Note 2 10 8 2" xfId="44419"/>
    <cellStyle name="Note 2 10 8 3" xfId="52543"/>
    <cellStyle name="Note 2 10 9" xfId="40255"/>
    <cellStyle name="Note 2 10 9 2" xfId="44420"/>
    <cellStyle name="Note 2 10 9 3" xfId="52544"/>
    <cellStyle name="Note 2 11" xfId="2114"/>
    <cellStyle name="Note 2 11 10" xfId="44421"/>
    <cellStyle name="Note 2 11 11" xfId="52545"/>
    <cellStyle name="Note 2 11 2" xfId="2115"/>
    <cellStyle name="Note 2 11 2 2" xfId="44422"/>
    <cellStyle name="Note 2 11 2 3" xfId="52546"/>
    <cellStyle name="Note 2 11 3" xfId="10961"/>
    <cellStyle name="Note 2 11 3 2" xfId="44423"/>
    <cellStyle name="Note 2 11 3 3" xfId="52547"/>
    <cellStyle name="Note 2 11 4" xfId="10962"/>
    <cellStyle name="Note 2 11 4 2" xfId="44424"/>
    <cellStyle name="Note 2 11 4 3" xfId="52548"/>
    <cellStyle name="Note 2 11 5" xfId="10963"/>
    <cellStyle name="Note 2 11 5 2" xfId="44425"/>
    <cellStyle name="Note 2 11 5 3" xfId="52549"/>
    <cellStyle name="Note 2 11 6" xfId="35345"/>
    <cellStyle name="Note 2 11 6 2" xfId="44426"/>
    <cellStyle name="Note 2 11 6 3" xfId="52550"/>
    <cellStyle name="Note 2 11 7" xfId="44427"/>
    <cellStyle name="Note 2 11 7 2" xfId="52551"/>
    <cellStyle name="Note 2 11 8" xfId="44428"/>
    <cellStyle name="Note 2 11 8 2" xfId="52552"/>
    <cellStyle name="Note 2 11 9" xfId="44429"/>
    <cellStyle name="Note 2 11 9 2" xfId="52553"/>
    <cellStyle name="Note 2 12" xfId="1214"/>
    <cellStyle name="Note 2 12 2" xfId="10964"/>
    <cellStyle name="Note 2 12 3" xfId="10965"/>
    <cellStyle name="Note 2 12 4" xfId="10966"/>
    <cellStyle name="Note 2 12 5" xfId="10967"/>
    <cellStyle name="Note 2 12 6" xfId="35873"/>
    <cellStyle name="Note 2 12 7" xfId="44430"/>
    <cellStyle name="Note 2 12 8" xfId="52554"/>
    <cellStyle name="Note 2 13" xfId="3282"/>
    <cellStyle name="Note 2 13 2" xfId="10968"/>
    <cellStyle name="Note 2 13 3" xfId="10969"/>
    <cellStyle name="Note 2 13 4" xfId="10970"/>
    <cellStyle name="Note 2 13 5" xfId="10971"/>
    <cellStyle name="Note 2 13 6" xfId="36022"/>
    <cellStyle name="Note 2 13 7" xfId="44431"/>
    <cellStyle name="Note 2 13 8" xfId="52555"/>
    <cellStyle name="Note 2 14" xfId="3604"/>
    <cellStyle name="Note 2 14 2" xfId="10972"/>
    <cellStyle name="Note 2 14 3" xfId="10973"/>
    <cellStyle name="Note 2 14 4" xfId="10974"/>
    <cellStyle name="Note 2 14 5" xfId="10975"/>
    <cellStyle name="Note 2 14 6" xfId="44432"/>
    <cellStyle name="Note 2 14 7" xfId="52556"/>
    <cellStyle name="Note 2 15" xfId="10976"/>
    <cellStyle name="Note 2 15 2" xfId="10977"/>
    <cellStyle name="Note 2 15 3" xfId="10978"/>
    <cellStyle name="Note 2 15 4" xfId="10979"/>
    <cellStyle name="Note 2 15 5" xfId="10980"/>
    <cellStyle name="Note 2 15 6" xfId="44433"/>
    <cellStyle name="Note 2 15 7" xfId="52557"/>
    <cellStyle name="Note 2 16" xfId="10981"/>
    <cellStyle name="Note 2 16 2" xfId="10982"/>
    <cellStyle name="Note 2 16 3" xfId="10983"/>
    <cellStyle name="Note 2 16 4" xfId="10984"/>
    <cellStyle name="Note 2 16 5" xfId="10985"/>
    <cellStyle name="Note 2 16 6" xfId="44434"/>
    <cellStyle name="Note 2 16 7" xfId="52558"/>
    <cellStyle name="Note 2 17" xfId="10986"/>
    <cellStyle name="Note 2 17 2" xfId="10987"/>
    <cellStyle name="Note 2 17 3" xfId="10988"/>
    <cellStyle name="Note 2 17 4" xfId="10989"/>
    <cellStyle name="Note 2 17 5" xfId="10990"/>
    <cellStyle name="Note 2 17 6" xfId="44435"/>
    <cellStyle name="Note 2 17 7" xfId="52559"/>
    <cellStyle name="Note 2 18" xfId="10991"/>
    <cellStyle name="Note 2 18 2" xfId="10992"/>
    <cellStyle name="Note 2 18 3" xfId="10993"/>
    <cellStyle name="Note 2 18 4" xfId="10994"/>
    <cellStyle name="Note 2 18 5" xfId="10995"/>
    <cellStyle name="Note 2 18 6" xfId="44436"/>
    <cellStyle name="Note 2 18 7" xfId="52560"/>
    <cellStyle name="Note 2 19" xfId="10996"/>
    <cellStyle name="Note 2 19 2" xfId="10997"/>
    <cellStyle name="Note 2 19 3" xfId="10998"/>
    <cellStyle name="Note 2 19 4" xfId="10999"/>
    <cellStyle name="Note 2 19 5" xfId="11000"/>
    <cellStyle name="Note 2 19 6" xfId="44437"/>
    <cellStyle name="Note 2 19 7" xfId="52561"/>
    <cellStyle name="Note 2 2" xfId="248"/>
    <cellStyle name="Note 2 2 10" xfId="3605"/>
    <cellStyle name="Note 2 2 10 2" xfId="11001"/>
    <cellStyle name="Note 2 2 10 3" xfId="11002"/>
    <cellStyle name="Note 2 2 10 4" xfId="11003"/>
    <cellStyle name="Note 2 2 10 5" xfId="11004"/>
    <cellStyle name="Note 2 2 10 6" xfId="36041"/>
    <cellStyle name="Note 2 2 10 7" xfId="44438"/>
    <cellStyle name="Note 2 2 10 8" xfId="52562"/>
    <cellStyle name="Note 2 2 11" xfId="11005"/>
    <cellStyle name="Note 2 2 11 2" xfId="11006"/>
    <cellStyle name="Note 2 2 11 3" xfId="11007"/>
    <cellStyle name="Note 2 2 11 4" xfId="11008"/>
    <cellStyle name="Note 2 2 11 5" xfId="11009"/>
    <cellStyle name="Note 2 2 11 6" xfId="35852"/>
    <cellStyle name="Note 2 2 11 7" xfId="44439"/>
    <cellStyle name="Note 2 2 11 8" xfId="52563"/>
    <cellStyle name="Note 2 2 12" xfId="11010"/>
    <cellStyle name="Note 2 2 12 2" xfId="11011"/>
    <cellStyle name="Note 2 2 12 3" xfId="11012"/>
    <cellStyle name="Note 2 2 12 4" xfId="11013"/>
    <cellStyle name="Note 2 2 12 5" xfId="11014"/>
    <cellStyle name="Note 2 2 12 6" xfId="35890"/>
    <cellStyle name="Note 2 2 12 7" xfId="44440"/>
    <cellStyle name="Note 2 2 12 8" xfId="52564"/>
    <cellStyle name="Note 2 2 13" xfId="11015"/>
    <cellStyle name="Note 2 2 13 2" xfId="11016"/>
    <cellStyle name="Note 2 2 13 3" xfId="11017"/>
    <cellStyle name="Note 2 2 13 4" xfId="11018"/>
    <cellStyle name="Note 2 2 13 5" xfId="11019"/>
    <cellStyle name="Note 2 2 13 6" xfId="35868"/>
    <cellStyle name="Note 2 2 13 7" xfId="44441"/>
    <cellStyle name="Note 2 2 13 8" xfId="52565"/>
    <cellStyle name="Note 2 2 14" xfId="11020"/>
    <cellStyle name="Note 2 2 14 2" xfId="11021"/>
    <cellStyle name="Note 2 2 14 3" xfId="11022"/>
    <cellStyle name="Note 2 2 14 4" xfId="11023"/>
    <cellStyle name="Note 2 2 14 5" xfId="11024"/>
    <cellStyle name="Note 2 2 14 6" xfId="35839"/>
    <cellStyle name="Note 2 2 14 7" xfId="44442"/>
    <cellStyle name="Note 2 2 14 8" xfId="52566"/>
    <cellStyle name="Note 2 2 15" xfId="11025"/>
    <cellStyle name="Note 2 2 15 2" xfId="11026"/>
    <cellStyle name="Note 2 2 15 3" xfId="11027"/>
    <cellStyle name="Note 2 2 15 4" xfId="11028"/>
    <cellStyle name="Note 2 2 15 5" xfId="11029"/>
    <cellStyle name="Note 2 2 15 6" xfId="35994"/>
    <cellStyle name="Note 2 2 15 7" xfId="44443"/>
    <cellStyle name="Note 2 2 15 8" xfId="52567"/>
    <cellStyle name="Note 2 2 16" xfId="11030"/>
    <cellStyle name="Note 2 2 16 2" xfId="11031"/>
    <cellStyle name="Note 2 2 16 3" xfId="11032"/>
    <cellStyle name="Note 2 2 16 4" xfId="11033"/>
    <cellStyle name="Note 2 2 16 5" xfId="11034"/>
    <cellStyle name="Note 2 2 16 6" xfId="44444"/>
    <cellStyle name="Note 2 2 16 7" xfId="52568"/>
    <cellStyle name="Note 2 2 17" xfId="11035"/>
    <cellStyle name="Note 2 2 17 2" xfId="11036"/>
    <cellStyle name="Note 2 2 17 3" xfId="11037"/>
    <cellStyle name="Note 2 2 17 4" xfId="11038"/>
    <cellStyle name="Note 2 2 17 5" xfId="11039"/>
    <cellStyle name="Note 2 2 18" xfId="11040"/>
    <cellStyle name="Note 2 2 19" xfId="696"/>
    <cellStyle name="Note 2 2 2" xfId="282"/>
    <cellStyle name="Note 2 2 2 10" xfId="11041"/>
    <cellStyle name="Note 2 2 2 10 2" xfId="11042"/>
    <cellStyle name="Note 2 2 2 10 3" xfId="11043"/>
    <cellStyle name="Note 2 2 2 10 4" xfId="11044"/>
    <cellStyle name="Note 2 2 2 10 5" xfId="11045"/>
    <cellStyle name="Note 2 2 2 10 6" xfId="37610"/>
    <cellStyle name="Note 2 2 2 10 7" xfId="44445"/>
    <cellStyle name="Note 2 2 2 10 8" xfId="52569"/>
    <cellStyle name="Note 2 2 2 11" xfId="11046"/>
    <cellStyle name="Note 2 2 2 11 2" xfId="11047"/>
    <cellStyle name="Note 2 2 2 11 3" xfId="11048"/>
    <cellStyle name="Note 2 2 2 11 4" xfId="11049"/>
    <cellStyle name="Note 2 2 2 11 5" xfId="11050"/>
    <cellStyle name="Note 2 2 2 11 6" xfId="38227"/>
    <cellStyle name="Note 2 2 2 11 7" xfId="44446"/>
    <cellStyle name="Note 2 2 2 11 8" xfId="52570"/>
    <cellStyle name="Note 2 2 2 12" xfId="11051"/>
    <cellStyle name="Note 2 2 2 12 2" xfId="11052"/>
    <cellStyle name="Note 2 2 2 12 3" xfId="11053"/>
    <cellStyle name="Note 2 2 2 12 4" xfId="11054"/>
    <cellStyle name="Note 2 2 2 12 5" xfId="11055"/>
    <cellStyle name="Note 2 2 2 12 6" xfId="38849"/>
    <cellStyle name="Note 2 2 2 12 7" xfId="44447"/>
    <cellStyle name="Note 2 2 2 12 8" xfId="52571"/>
    <cellStyle name="Note 2 2 2 13" xfId="11056"/>
    <cellStyle name="Note 2 2 2 13 2" xfId="11057"/>
    <cellStyle name="Note 2 2 2 13 3" xfId="11058"/>
    <cellStyle name="Note 2 2 2 13 4" xfId="11059"/>
    <cellStyle name="Note 2 2 2 13 5" xfId="11060"/>
    <cellStyle name="Note 2 2 2 13 6" xfId="39469"/>
    <cellStyle name="Note 2 2 2 13 7" xfId="44448"/>
    <cellStyle name="Note 2 2 2 13 8" xfId="52572"/>
    <cellStyle name="Note 2 2 2 14" xfId="11061"/>
    <cellStyle name="Note 2 2 2 14 2" xfId="11062"/>
    <cellStyle name="Note 2 2 2 14 3" xfId="11063"/>
    <cellStyle name="Note 2 2 2 14 4" xfId="11064"/>
    <cellStyle name="Note 2 2 2 14 5" xfId="11065"/>
    <cellStyle name="Note 2 2 2 14 6" xfId="40087"/>
    <cellStyle name="Note 2 2 2 14 7" xfId="44449"/>
    <cellStyle name="Note 2 2 2 14 8" xfId="52573"/>
    <cellStyle name="Note 2 2 2 15" xfId="11066"/>
    <cellStyle name="Note 2 2 2 15 2" xfId="11067"/>
    <cellStyle name="Note 2 2 2 15 3" xfId="11068"/>
    <cellStyle name="Note 2 2 2 15 4" xfId="11069"/>
    <cellStyle name="Note 2 2 2 15 5" xfId="11070"/>
    <cellStyle name="Note 2 2 2 15 6" xfId="44450"/>
    <cellStyle name="Note 2 2 2 15 7" xfId="52574"/>
    <cellStyle name="Note 2 2 2 16" xfId="11071"/>
    <cellStyle name="Note 2 2 2 16 2" xfId="11072"/>
    <cellStyle name="Note 2 2 2 16 3" xfId="11073"/>
    <cellStyle name="Note 2 2 2 16 4" xfId="11074"/>
    <cellStyle name="Note 2 2 2 16 5" xfId="11075"/>
    <cellStyle name="Note 2 2 2 17" xfId="11076"/>
    <cellStyle name="Note 2 2 2 18" xfId="727"/>
    <cellStyle name="Note 2 2 2 19" xfId="34950"/>
    <cellStyle name="Note 2 2 2 2" xfId="352"/>
    <cellStyle name="Note 2 2 2 2 10" xfId="11077"/>
    <cellStyle name="Note 2 2 2 2 10 2" xfId="11078"/>
    <cellStyle name="Note 2 2 2 2 10 3" xfId="11079"/>
    <cellStyle name="Note 2 2 2 2 10 4" xfId="11080"/>
    <cellStyle name="Note 2 2 2 2 10 5" xfId="11081"/>
    <cellStyle name="Note 2 2 2 2 10 6" xfId="39530"/>
    <cellStyle name="Note 2 2 2 2 10 7" xfId="44451"/>
    <cellStyle name="Note 2 2 2 2 10 8" xfId="52575"/>
    <cellStyle name="Note 2 2 2 2 11" xfId="11082"/>
    <cellStyle name="Note 2 2 2 2 11 2" xfId="11083"/>
    <cellStyle name="Note 2 2 2 2 11 3" xfId="11084"/>
    <cellStyle name="Note 2 2 2 2 11 4" xfId="11085"/>
    <cellStyle name="Note 2 2 2 2 11 5" xfId="11086"/>
    <cellStyle name="Note 2 2 2 2 11 6" xfId="40146"/>
    <cellStyle name="Note 2 2 2 2 11 7" xfId="44452"/>
    <cellStyle name="Note 2 2 2 2 11 8" xfId="52576"/>
    <cellStyle name="Note 2 2 2 2 12" xfId="11087"/>
    <cellStyle name="Note 2 2 2 2 12 2" xfId="11088"/>
    <cellStyle name="Note 2 2 2 2 12 3" xfId="11089"/>
    <cellStyle name="Note 2 2 2 2 12 4" xfId="11090"/>
    <cellStyle name="Note 2 2 2 2 12 5" xfId="11091"/>
    <cellStyle name="Note 2 2 2 2 12 6" xfId="44453"/>
    <cellStyle name="Note 2 2 2 2 12 7" xfId="52577"/>
    <cellStyle name="Note 2 2 2 2 13" xfId="11092"/>
    <cellStyle name="Note 2 2 2 2 13 2" xfId="11093"/>
    <cellStyle name="Note 2 2 2 2 13 3" xfId="11094"/>
    <cellStyle name="Note 2 2 2 2 13 4" xfId="11095"/>
    <cellStyle name="Note 2 2 2 2 13 5" xfId="11096"/>
    <cellStyle name="Note 2 2 2 2 13 6" xfId="44454"/>
    <cellStyle name="Note 2 2 2 2 13 7" xfId="52578"/>
    <cellStyle name="Note 2 2 2 2 14" xfId="11097"/>
    <cellStyle name="Note 2 2 2 2 14 2" xfId="11098"/>
    <cellStyle name="Note 2 2 2 2 14 3" xfId="11099"/>
    <cellStyle name="Note 2 2 2 2 14 4" xfId="11100"/>
    <cellStyle name="Note 2 2 2 2 14 5" xfId="11101"/>
    <cellStyle name="Note 2 2 2 2 15" xfId="11102"/>
    <cellStyle name="Note 2 2 2 2 15 2" xfId="11103"/>
    <cellStyle name="Note 2 2 2 2 15 3" xfId="11104"/>
    <cellStyle name="Note 2 2 2 2 15 4" xfId="11105"/>
    <cellStyle name="Note 2 2 2 2 15 5" xfId="11106"/>
    <cellStyle name="Note 2 2 2 2 16" xfId="11107"/>
    <cellStyle name="Note 2 2 2 2 16 2" xfId="11108"/>
    <cellStyle name="Note 2 2 2 2 16 3" xfId="11109"/>
    <cellStyle name="Note 2 2 2 2 16 4" xfId="11110"/>
    <cellStyle name="Note 2 2 2 2 16 5" xfId="11111"/>
    <cellStyle name="Note 2 2 2 2 17" xfId="11112"/>
    <cellStyle name="Note 2 2 2 2 17 2" xfId="11113"/>
    <cellStyle name="Note 2 2 2 2 17 3" xfId="11114"/>
    <cellStyle name="Note 2 2 2 2 17 4" xfId="11115"/>
    <cellStyle name="Note 2 2 2 2 17 5" xfId="11116"/>
    <cellStyle name="Note 2 2 2 2 18" xfId="11117"/>
    <cellStyle name="Note 2 2 2 2 19" xfId="788"/>
    <cellStyle name="Note 2 2 2 2 2" xfId="571"/>
    <cellStyle name="Note 2 2 2 2 2 10" xfId="11118"/>
    <cellStyle name="Note 2 2 2 2 2 10 2" xfId="11119"/>
    <cellStyle name="Note 2 2 2 2 2 10 3" xfId="11120"/>
    <cellStyle name="Note 2 2 2 2 2 10 4" xfId="11121"/>
    <cellStyle name="Note 2 2 2 2 2 10 5" xfId="11122"/>
    <cellStyle name="Note 2 2 2 2 2 10 6" xfId="44455"/>
    <cellStyle name="Note 2 2 2 2 2 10 7" xfId="52579"/>
    <cellStyle name="Note 2 2 2 2 2 11" xfId="11123"/>
    <cellStyle name="Note 2 2 2 2 2 11 2" xfId="11124"/>
    <cellStyle name="Note 2 2 2 2 2 11 3" xfId="11125"/>
    <cellStyle name="Note 2 2 2 2 2 11 4" xfId="11126"/>
    <cellStyle name="Note 2 2 2 2 2 11 5" xfId="11127"/>
    <cellStyle name="Note 2 2 2 2 2 12" xfId="11128"/>
    <cellStyle name="Note 2 2 2 2 2 12 2" xfId="11129"/>
    <cellStyle name="Note 2 2 2 2 2 12 3" xfId="11130"/>
    <cellStyle name="Note 2 2 2 2 2 12 4" xfId="11131"/>
    <cellStyle name="Note 2 2 2 2 2 12 5" xfId="11132"/>
    <cellStyle name="Note 2 2 2 2 2 13" xfId="11133"/>
    <cellStyle name="Note 2 2 2 2 2 13 2" xfId="11134"/>
    <cellStyle name="Note 2 2 2 2 2 13 3" xfId="11135"/>
    <cellStyle name="Note 2 2 2 2 2 13 4" xfId="11136"/>
    <cellStyle name="Note 2 2 2 2 2 13 5" xfId="11137"/>
    <cellStyle name="Note 2 2 2 2 2 14" xfId="11138"/>
    <cellStyle name="Note 2 2 2 2 2 14 2" xfId="11139"/>
    <cellStyle name="Note 2 2 2 2 2 14 3" xfId="11140"/>
    <cellStyle name="Note 2 2 2 2 2 14 4" xfId="11141"/>
    <cellStyle name="Note 2 2 2 2 2 14 5" xfId="11142"/>
    <cellStyle name="Note 2 2 2 2 2 15" xfId="11143"/>
    <cellStyle name="Note 2 2 2 2 2 15 2" xfId="11144"/>
    <cellStyle name="Note 2 2 2 2 2 15 3" xfId="11145"/>
    <cellStyle name="Note 2 2 2 2 2 15 4" xfId="11146"/>
    <cellStyle name="Note 2 2 2 2 2 15 5" xfId="11147"/>
    <cellStyle name="Note 2 2 2 2 2 16" xfId="11148"/>
    <cellStyle name="Note 2 2 2 2 2 16 2" xfId="11149"/>
    <cellStyle name="Note 2 2 2 2 2 16 3" xfId="11150"/>
    <cellStyle name="Note 2 2 2 2 2 16 4" xfId="11151"/>
    <cellStyle name="Note 2 2 2 2 2 16 5" xfId="11152"/>
    <cellStyle name="Note 2 2 2 2 2 17" xfId="11153"/>
    <cellStyle name="Note 2 2 2 2 2 17 2" xfId="11154"/>
    <cellStyle name="Note 2 2 2 2 2 17 3" xfId="11155"/>
    <cellStyle name="Note 2 2 2 2 2 17 4" xfId="11156"/>
    <cellStyle name="Note 2 2 2 2 2 17 5" xfId="11157"/>
    <cellStyle name="Note 2 2 2 2 2 18" xfId="11158"/>
    <cellStyle name="Note 2 2 2 2 2 19" xfId="1000"/>
    <cellStyle name="Note 2 2 2 2 2 2" xfId="2116"/>
    <cellStyle name="Note 2 2 2 2 2 2 2" xfId="11159"/>
    <cellStyle name="Note 2 2 2 2 2 2 3" xfId="11160"/>
    <cellStyle name="Note 2 2 2 2 2 2 4" xfId="11161"/>
    <cellStyle name="Note 2 2 2 2 2 2 5" xfId="11162"/>
    <cellStyle name="Note 2 2 2 2 2 2 6" xfId="36375"/>
    <cellStyle name="Note 2 2 2 2 2 2 7" xfId="44456"/>
    <cellStyle name="Note 2 2 2 2 2 2 8" xfId="52580"/>
    <cellStyle name="Note 2 2 2 2 2 20" xfId="35080"/>
    <cellStyle name="Note 2 2 2 2 2 21" xfId="41299"/>
    <cellStyle name="Note 2 2 2 2 2 3" xfId="2117"/>
    <cellStyle name="Note 2 2 2 2 2 3 2" xfId="11163"/>
    <cellStyle name="Note 2 2 2 2 2 3 3" xfId="11164"/>
    <cellStyle name="Note 2 2 2 2 2 3 4" xfId="11165"/>
    <cellStyle name="Note 2 2 2 2 2 3 5" xfId="11166"/>
    <cellStyle name="Note 2 2 2 2 2 3 6" xfId="36872"/>
    <cellStyle name="Note 2 2 2 2 2 3 7" xfId="44457"/>
    <cellStyle name="Note 2 2 2 2 2 3 8" xfId="52581"/>
    <cellStyle name="Note 2 2 2 2 2 4" xfId="1218"/>
    <cellStyle name="Note 2 2 2 2 2 4 2" xfId="11167"/>
    <cellStyle name="Note 2 2 2 2 2 4 3" xfId="11168"/>
    <cellStyle name="Note 2 2 2 2 2 4 4" xfId="11169"/>
    <cellStyle name="Note 2 2 2 2 2 4 5" xfId="11170"/>
    <cellStyle name="Note 2 2 2 2 2 4 6" xfId="37488"/>
    <cellStyle name="Note 2 2 2 2 2 4 7" xfId="44458"/>
    <cellStyle name="Note 2 2 2 2 2 4 8" xfId="52582"/>
    <cellStyle name="Note 2 2 2 2 2 5" xfId="3286"/>
    <cellStyle name="Note 2 2 2 2 2 5 2" xfId="11171"/>
    <cellStyle name="Note 2 2 2 2 2 5 3" xfId="11172"/>
    <cellStyle name="Note 2 2 2 2 2 5 4" xfId="11173"/>
    <cellStyle name="Note 2 2 2 2 2 5 5" xfId="11174"/>
    <cellStyle name="Note 2 2 2 2 2 5 6" xfId="38104"/>
    <cellStyle name="Note 2 2 2 2 2 5 7" xfId="44459"/>
    <cellStyle name="Note 2 2 2 2 2 5 8" xfId="52583"/>
    <cellStyle name="Note 2 2 2 2 2 6" xfId="3608"/>
    <cellStyle name="Note 2 2 2 2 2 6 2" xfId="11175"/>
    <cellStyle name="Note 2 2 2 2 2 6 3" xfId="11176"/>
    <cellStyle name="Note 2 2 2 2 2 6 4" xfId="11177"/>
    <cellStyle name="Note 2 2 2 2 2 6 5" xfId="11178"/>
    <cellStyle name="Note 2 2 2 2 2 6 6" xfId="38722"/>
    <cellStyle name="Note 2 2 2 2 2 6 7" xfId="44460"/>
    <cellStyle name="Note 2 2 2 2 2 6 8" xfId="52584"/>
    <cellStyle name="Note 2 2 2 2 2 7" xfId="11179"/>
    <cellStyle name="Note 2 2 2 2 2 7 2" xfId="11180"/>
    <cellStyle name="Note 2 2 2 2 2 7 3" xfId="11181"/>
    <cellStyle name="Note 2 2 2 2 2 7 4" xfId="11182"/>
    <cellStyle name="Note 2 2 2 2 2 7 5" xfId="11183"/>
    <cellStyle name="Note 2 2 2 2 2 7 6" xfId="39342"/>
    <cellStyle name="Note 2 2 2 2 2 7 7" xfId="44461"/>
    <cellStyle name="Note 2 2 2 2 2 7 8" xfId="52585"/>
    <cellStyle name="Note 2 2 2 2 2 8" xfId="11184"/>
    <cellStyle name="Note 2 2 2 2 2 8 2" xfId="11185"/>
    <cellStyle name="Note 2 2 2 2 2 8 3" xfId="11186"/>
    <cellStyle name="Note 2 2 2 2 2 8 4" xfId="11187"/>
    <cellStyle name="Note 2 2 2 2 2 8 5" xfId="11188"/>
    <cellStyle name="Note 2 2 2 2 2 8 6" xfId="39958"/>
    <cellStyle name="Note 2 2 2 2 2 8 7" xfId="44462"/>
    <cellStyle name="Note 2 2 2 2 2 8 8" xfId="52586"/>
    <cellStyle name="Note 2 2 2 2 2 9" xfId="11189"/>
    <cellStyle name="Note 2 2 2 2 2 9 2" xfId="11190"/>
    <cellStyle name="Note 2 2 2 2 2 9 3" xfId="11191"/>
    <cellStyle name="Note 2 2 2 2 2 9 4" xfId="11192"/>
    <cellStyle name="Note 2 2 2 2 2 9 5" xfId="11193"/>
    <cellStyle name="Note 2 2 2 2 2 9 6" xfId="40573"/>
    <cellStyle name="Note 2 2 2 2 2 9 7" xfId="44463"/>
    <cellStyle name="Note 2 2 2 2 2 9 8" xfId="52587"/>
    <cellStyle name="Note 2 2 2 2 20" xfId="34930"/>
    <cellStyle name="Note 2 2 2 2 21" xfId="40872"/>
    <cellStyle name="Note 2 2 2 2 22" xfId="41433"/>
    <cellStyle name="Note 2 2 2 2 23" xfId="50520"/>
    <cellStyle name="Note 2 2 2 2 3" xfId="2118"/>
    <cellStyle name="Note 2 2 2 2 3 10" xfId="34911"/>
    <cellStyle name="Note 2 2 2 2 3 10 2" xfId="44465"/>
    <cellStyle name="Note 2 2 2 2 3 10 3" xfId="52589"/>
    <cellStyle name="Note 2 2 2 2 3 11" xfId="41087"/>
    <cellStyle name="Note 2 2 2 2 3 12" xfId="44464"/>
    <cellStyle name="Note 2 2 2 2 3 13" xfId="52588"/>
    <cellStyle name="Note 2 2 2 2 3 2" xfId="2119"/>
    <cellStyle name="Note 2 2 2 2 3 2 2" xfId="36164"/>
    <cellStyle name="Note 2 2 2 2 3 2 3" xfId="44466"/>
    <cellStyle name="Note 2 2 2 2 3 2 4" xfId="52590"/>
    <cellStyle name="Note 2 2 2 2 3 3" xfId="11194"/>
    <cellStyle name="Note 2 2 2 2 3 3 2" xfId="36661"/>
    <cellStyle name="Note 2 2 2 2 3 3 3" xfId="44467"/>
    <cellStyle name="Note 2 2 2 2 3 3 4" xfId="52591"/>
    <cellStyle name="Note 2 2 2 2 3 4" xfId="11195"/>
    <cellStyle name="Note 2 2 2 2 3 4 2" xfId="37277"/>
    <cellStyle name="Note 2 2 2 2 3 4 3" xfId="44468"/>
    <cellStyle name="Note 2 2 2 2 3 4 4" xfId="52592"/>
    <cellStyle name="Note 2 2 2 2 3 5" xfId="11196"/>
    <cellStyle name="Note 2 2 2 2 3 5 2" xfId="37893"/>
    <cellStyle name="Note 2 2 2 2 3 5 3" xfId="44469"/>
    <cellStyle name="Note 2 2 2 2 3 5 4" xfId="52593"/>
    <cellStyle name="Note 2 2 2 2 3 6" xfId="38510"/>
    <cellStyle name="Note 2 2 2 2 3 6 2" xfId="44470"/>
    <cellStyle name="Note 2 2 2 2 3 6 3" xfId="52594"/>
    <cellStyle name="Note 2 2 2 2 3 7" xfId="39130"/>
    <cellStyle name="Note 2 2 2 2 3 7 2" xfId="44471"/>
    <cellStyle name="Note 2 2 2 2 3 7 3" xfId="52595"/>
    <cellStyle name="Note 2 2 2 2 3 8" xfId="39746"/>
    <cellStyle name="Note 2 2 2 2 3 8 2" xfId="44472"/>
    <cellStyle name="Note 2 2 2 2 3 8 3" xfId="52596"/>
    <cellStyle name="Note 2 2 2 2 3 9" xfId="40361"/>
    <cellStyle name="Note 2 2 2 2 3 9 2" xfId="44473"/>
    <cellStyle name="Note 2 2 2 2 3 9 3" xfId="52597"/>
    <cellStyle name="Note 2 2 2 2 4" xfId="2120"/>
    <cellStyle name="Note 2 2 2 2 4 10" xfId="44474"/>
    <cellStyle name="Note 2 2 2 2 4 11" xfId="52598"/>
    <cellStyle name="Note 2 2 2 2 4 2" xfId="11197"/>
    <cellStyle name="Note 2 2 2 2 4 2 2" xfId="44475"/>
    <cellStyle name="Note 2 2 2 2 4 2 3" xfId="52599"/>
    <cellStyle name="Note 2 2 2 2 4 3" xfId="11198"/>
    <cellStyle name="Note 2 2 2 2 4 3 2" xfId="44476"/>
    <cellStyle name="Note 2 2 2 2 4 3 3" xfId="52600"/>
    <cellStyle name="Note 2 2 2 2 4 4" xfId="11199"/>
    <cellStyle name="Note 2 2 2 2 4 4 2" xfId="44477"/>
    <cellStyle name="Note 2 2 2 2 4 4 3" xfId="52601"/>
    <cellStyle name="Note 2 2 2 2 4 5" xfId="11200"/>
    <cellStyle name="Note 2 2 2 2 4 5 2" xfId="44478"/>
    <cellStyle name="Note 2 2 2 2 4 5 3" xfId="52602"/>
    <cellStyle name="Note 2 2 2 2 4 6" xfId="35690"/>
    <cellStyle name="Note 2 2 2 2 4 6 2" xfId="44479"/>
    <cellStyle name="Note 2 2 2 2 4 6 3" xfId="52603"/>
    <cellStyle name="Note 2 2 2 2 4 7" xfId="44480"/>
    <cellStyle name="Note 2 2 2 2 4 7 2" xfId="52604"/>
    <cellStyle name="Note 2 2 2 2 4 8" xfId="44481"/>
    <cellStyle name="Note 2 2 2 2 4 8 2" xfId="52605"/>
    <cellStyle name="Note 2 2 2 2 4 9" xfId="44482"/>
    <cellStyle name="Note 2 2 2 2 4 9 2" xfId="52606"/>
    <cellStyle name="Note 2 2 2 2 5" xfId="1217"/>
    <cellStyle name="Note 2 2 2 2 5 2" xfId="11201"/>
    <cellStyle name="Note 2 2 2 2 5 3" xfId="11202"/>
    <cellStyle name="Note 2 2 2 2 5 4" xfId="11203"/>
    <cellStyle name="Note 2 2 2 2 5 5" xfId="11204"/>
    <cellStyle name="Note 2 2 2 2 5 6" xfId="35775"/>
    <cellStyle name="Note 2 2 2 2 5 7" xfId="44483"/>
    <cellStyle name="Note 2 2 2 2 5 8" xfId="52607"/>
    <cellStyle name="Note 2 2 2 2 6" xfId="3285"/>
    <cellStyle name="Note 2 2 2 2 6 2" xfId="11205"/>
    <cellStyle name="Note 2 2 2 2 6 3" xfId="11206"/>
    <cellStyle name="Note 2 2 2 2 6 4" xfId="11207"/>
    <cellStyle name="Note 2 2 2 2 6 5" xfId="11208"/>
    <cellStyle name="Note 2 2 2 2 6 6" xfId="37062"/>
    <cellStyle name="Note 2 2 2 2 6 7" xfId="44484"/>
    <cellStyle name="Note 2 2 2 2 6 8" xfId="52608"/>
    <cellStyle name="Note 2 2 2 2 7" xfId="3607"/>
    <cellStyle name="Note 2 2 2 2 7 2" xfId="11209"/>
    <cellStyle name="Note 2 2 2 2 7 3" xfId="11210"/>
    <cellStyle name="Note 2 2 2 2 7 4" xfId="11211"/>
    <cellStyle name="Note 2 2 2 2 7 5" xfId="11212"/>
    <cellStyle name="Note 2 2 2 2 7 6" xfId="37676"/>
    <cellStyle name="Note 2 2 2 2 7 7" xfId="44485"/>
    <cellStyle name="Note 2 2 2 2 7 8" xfId="52609"/>
    <cellStyle name="Note 2 2 2 2 8" xfId="11213"/>
    <cellStyle name="Note 2 2 2 2 8 2" xfId="11214"/>
    <cellStyle name="Note 2 2 2 2 8 3" xfId="11215"/>
    <cellStyle name="Note 2 2 2 2 8 4" xfId="11216"/>
    <cellStyle name="Note 2 2 2 2 8 5" xfId="11217"/>
    <cellStyle name="Note 2 2 2 2 8 6" xfId="38291"/>
    <cellStyle name="Note 2 2 2 2 8 7" xfId="44486"/>
    <cellStyle name="Note 2 2 2 2 8 8" xfId="52610"/>
    <cellStyle name="Note 2 2 2 2 9" xfId="11218"/>
    <cellStyle name="Note 2 2 2 2 9 2" xfId="11219"/>
    <cellStyle name="Note 2 2 2 2 9 3" xfId="11220"/>
    <cellStyle name="Note 2 2 2 2 9 4" xfId="11221"/>
    <cellStyle name="Note 2 2 2 2 9 5" xfId="11222"/>
    <cellStyle name="Note 2 2 2 2 9 6" xfId="38911"/>
    <cellStyle name="Note 2 2 2 2 9 7" xfId="44487"/>
    <cellStyle name="Note 2 2 2 2 9 8" xfId="52611"/>
    <cellStyle name="Note 2 2 2 20" xfId="40811"/>
    <cellStyle name="Note 2 2 2 3" xfId="353"/>
    <cellStyle name="Note 2 2 2 3 10" xfId="11223"/>
    <cellStyle name="Note 2 2 2 3 10 2" xfId="11224"/>
    <cellStyle name="Note 2 2 2 3 10 3" xfId="11225"/>
    <cellStyle name="Note 2 2 2 3 10 4" xfId="11226"/>
    <cellStyle name="Note 2 2 2 3 10 5" xfId="11227"/>
    <cellStyle name="Note 2 2 2 3 10 6" xfId="40147"/>
    <cellStyle name="Note 2 2 2 3 10 7" xfId="44488"/>
    <cellStyle name="Note 2 2 2 3 10 8" xfId="52612"/>
    <cellStyle name="Note 2 2 2 3 11" xfId="11228"/>
    <cellStyle name="Note 2 2 2 3 11 2" xfId="11229"/>
    <cellStyle name="Note 2 2 2 3 11 3" xfId="11230"/>
    <cellStyle name="Note 2 2 2 3 11 4" xfId="11231"/>
    <cellStyle name="Note 2 2 2 3 11 5" xfId="11232"/>
    <cellStyle name="Note 2 2 2 3 11 6" xfId="44489"/>
    <cellStyle name="Note 2 2 2 3 11 7" xfId="52613"/>
    <cellStyle name="Note 2 2 2 3 12" xfId="11233"/>
    <cellStyle name="Note 2 2 2 3 12 2" xfId="11234"/>
    <cellStyle name="Note 2 2 2 3 12 3" xfId="11235"/>
    <cellStyle name="Note 2 2 2 3 12 4" xfId="11236"/>
    <cellStyle name="Note 2 2 2 3 12 5" xfId="11237"/>
    <cellStyle name="Note 2 2 2 3 12 6" xfId="44490"/>
    <cellStyle name="Note 2 2 2 3 12 7" xfId="52614"/>
    <cellStyle name="Note 2 2 2 3 13" xfId="11238"/>
    <cellStyle name="Note 2 2 2 3 13 2" xfId="11239"/>
    <cellStyle name="Note 2 2 2 3 13 3" xfId="11240"/>
    <cellStyle name="Note 2 2 2 3 13 4" xfId="11241"/>
    <cellStyle name="Note 2 2 2 3 13 5" xfId="11242"/>
    <cellStyle name="Note 2 2 2 3 13 6" xfId="44491"/>
    <cellStyle name="Note 2 2 2 3 13 7" xfId="52615"/>
    <cellStyle name="Note 2 2 2 3 14" xfId="11243"/>
    <cellStyle name="Note 2 2 2 3 14 2" xfId="11244"/>
    <cellStyle name="Note 2 2 2 3 14 3" xfId="11245"/>
    <cellStyle name="Note 2 2 2 3 14 4" xfId="11246"/>
    <cellStyle name="Note 2 2 2 3 14 5" xfId="11247"/>
    <cellStyle name="Note 2 2 2 3 15" xfId="11248"/>
    <cellStyle name="Note 2 2 2 3 15 2" xfId="11249"/>
    <cellStyle name="Note 2 2 2 3 15 3" xfId="11250"/>
    <cellStyle name="Note 2 2 2 3 15 4" xfId="11251"/>
    <cellStyle name="Note 2 2 2 3 15 5" xfId="11252"/>
    <cellStyle name="Note 2 2 2 3 16" xfId="11253"/>
    <cellStyle name="Note 2 2 2 3 16 2" xfId="11254"/>
    <cellStyle name="Note 2 2 2 3 16 3" xfId="11255"/>
    <cellStyle name="Note 2 2 2 3 16 4" xfId="11256"/>
    <cellStyle name="Note 2 2 2 3 16 5" xfId="11257"/>
    <cellStyle name="Note 2 2 2 3 17" xfId="11258"/>
    <cellStyle name="Note 2 2 2 3 17 2" xfId="11259"/>
    <cellStyle name="Note 2 2 2 3 17 3" xfId="11260"/>
    <cellStyle name="Note 2 2 2 3 17 4" xfId="11261"/>
    <cellStyle name="Note 2 2 2 3 17 5" xfId="11262"/>
    <cellStyle name="Note 2 2 2 3 18" xfId="11263"/>
    <cellStyle name="Note 2 2 2 3 19" xfId="789"/>
    <cellStyle name="Note 2 2 2 3 2" xfId="572"/>
    <cellStyle name="Note 2 2 2 3 2 10" xfId="11264"/>
    <cellStyle name="Note 2 2 2 3 2 10 2" xfId="11265"/>
    <cellStyle name="Note 2 2 2 3 2 10 3" xfId="11266"/>
    <cellStyle name="Note 2 2 2 3 2 10 4" xfId="11267"/>
    <cellStyle name="Note 2 2 2 3 2 10 5" xfId="11268"/>
    <cellStyle name="Note 2 2 2 3 2 10 6" xfId="44492"/>
    <cellStyle name="Note 2 2 2 3 2 10 7" xfId="52616"/>
    <cellStyle name="Note 2 2 2 3 2 11" xfId="11269"/>
    <cellStyle name="Note 2 2 2 3 2 11 2" xfId="11270"/>
    <cellStyle name="Note 2 2 2 3 2 11 3" xfId="11271"/>
    <cellStyle name="Note 2 2 2 3 2 11 4" xfId="11272"/>
    <cellStyle name="Note 2 2 2 3 2 11 5" xfId="11273"/>
    <cellStyle name="Note 2 2 2 3 2 12" xfId="11274"/>
    <cellStyle name="Note 2 2 2 3 2 12 2" xfId="11275"/>
    <cellStyle name="Note 2 2 2 3 2 12 3" xfId="11276"/>
    <cellStyle name="Note 2 2 2 3 2 12 4" xfId="11277"/>
    <cellStyle name="Note 2 2 2 3 2 12 5" xfId="11278"/>
    <cellStyle name="Note 2 2 2 3 2 13" xfId="11279"/>
    <cellStyle name="Note 2 2 2 3 2 13 2" xfId="11280"/>
    <cellStyle name="Note 2 2 2 3 2 13 3" xfId="11281"/>
    <cellStyle name="Note 2 2 2 3 2 13 4" xfId="11282"/>
    <cellStyle name="Note 2 2 2 3 2 13 5" xfId="11283"/>
    <cellStyle name="Note 2 2 2 3 2 14" xfId="11284"/>
    <cellStyle name="Note 2 2 2 3 2 14 2" xfId="11285"/>
    <cellStyle name="Note 2 2 2 3 2 14 3" xfId="11286"/>
    <cellStyle name="Note 2 2 2 3 2 14 4" xfId="11287"/>
    <cellStyle name="Note 2 2 2 3 2 14 5" xfId="11288"/>
    <cellStyle name="Note 2 2 2 3 2 15" xfId="11289"/>
    <cellStyle name="Note 2 2 2 3 2 15 2" xfId="11290"/>
    <cellStyle name="Note 2 2 2 3 2 15 3" xfId="11291"/>
    <cellStyle name="Note 2 2 2 3 2 15 4" xfId="11292"/>
    <cellStyle name="Note 2 2 2 3 2 15 5" xfId="11293"/>
    <cellStyle name="Note 2 2 2 3 2 16" xfId="11294"/>
    <cellStyle name="Note 2 2 2 3 2 16 2" xfId="11295"/>
    <cellStyle name="Note 2 2 2 3 2 16 3" xfId="11296"/>
    <cellStyle name="Note 2 2 2 3 2 16 4" xfId="11297"/>
    <cellStyle name="Note 2 2 2 3 2 16 5" xfId="11298"/>
    <cellStyle name="Note 2 2 2 3 2 17" xfId="11299"/>
    <cellStyle name="Note 2 2 2 3 2 17 2" xfId="11300"/>
    <cellStyle name="Note 2 2 2 3 2 17 3" xfId="11301"/>
    <cellStyle name="Note 2 2 2 3 2 17 4" xfId="11302"/>
    <cellStyle name="Note 2 2 2 3 2 17 5" xfId="11303"/>
    <cellStyle name="Note 2 2 2 3 2 18" xfId="11304"/>
    <cellStyle name="Note 2 2 2 3 2 19" xfId="1001"/>
    <cellStyle name="Note 2 2 2 3 2 2" xfId="2121"/>
    <cellStyle name="Note 2 2 2 3 2 2 2" xfId="11305"/>
    <cellStyle name="Note 2 2 2 3 2 2 3" xfId="11306"/>
    <cellStyle name="Note 2 2 2 3 2 2 4" xfId="11307"/>
    <cellStyle name="Note 2 2 2 3 2 2 5" xfId="11308"/>
    <cellStyle name="Note 2 2 2 3 2 2 6" xfId="36376"/>
    <cellStyle name="Note 2 2 2 3 2 2 7" xfId="44493"/>
    <cellStyle name="Note 2 2 2 3 2 2 8" xfId="52617"/>
    <cellStyle name="Note 2 2 2 3 2 20" xfId="35081"/>
    <cellStyle name="Note 2 2 2 3 2 21" xfId="41300"/>
    <cellStyle name="Note 2 2 2 3 2 3" xfId="2122"/>
    <cellStyle name="Note 2 2 2 3 2 3 2" xfId="11309"/>
    <cellStyle name="Note 2 2 2 3 2 3 3" xfId="11310"/>
    <cellStyle name="Note 2 2 2 3 2 3 4" xfId="11311"/>
    <cellStyle name="Note 2 2 2 3 2 3 5" xfId="11312"/>
    <cellStyle name="Note 2 2 2 3 2 3 6" xfId="36873"/>
    <cellStyle name="Note 2 2 2 3 2 3 7" xfId="44494"/>
    <cellStyle name="Note 2 2 2 3 2 3 8" xfId="52618"/>
    <cellStyle name="Note 2 2 2 3 2 4" xfId="1220"/>
    <cellStyle name="Note 2 2 2 3 2 4 2" xfId="11313"/>
    <cellStyle name="Note 2 2 2 3 2 4 3" xfId="11314"/>
    <cellStyle name="Note 2 2 2 3 2 4 4" xfId="11315"/>
    <cellStyle name="Note 2 2 2 3 2 4 5" xfId="11316"/>
    <cellStyle name="Note 2 2 2 3 2 4 6" xfId="37489"/>
    <cellStyle name="Note 2 2 2 3 2 4 7" xfId="44495"/>
    <cellStyle name="Note 2 2 2 3 2 4 8" xfId="52619"/>
    <cellStyle name="Note 2 2 2 3 2 5" xfId="3288"/>
    <cellStyle name="Note 2 2 2 3 2 5 2" xfId="11317"/>
    <cellStyle name="Note 2 2 2 3 2 5 3" xfId="11318"/>
    <cellStyle name="Note 2 2 2 3 2 5 4" xfId="11319"/>
    <cellStyle name="Note 2 2 2 3 2 5 5" xfId="11320"/>
    <cellStyle name="Note 2 2 2 3 2 5 6" xfId="38105"/>
    <cellStyle name="Note 2 2 2 3 2 5 7" xfId="44496"/>
    <cellStyle name="Note 2 2 2 3 2 5 8" xfId="52620"/>
    <cellStyle name="Note 2 2 2 3 2 6" xfId="3610"/>
    <cellStyle name="Note 2 2 2 3 2 6 2" xfId="11321"/>
    <cellStyle name="Note 2 2 2 3 2 6 3" xfId="11322"/>
    <cellStyle name="Note 2 2 2 3 2 6 4" xfId="11323"/>
    <cellStyle name="Note 2 2 2 3 2 6 5" xfId="11324"/>
    <cellStyle name="Note 2 2 2 3 2 6 6" xfId="38723"/>
    <cellStyle name="Note 2 2 2 3 2 6 7" xfId="44497"/>
    <cellStyle name="Note 2 2 2 3 2 6 8" xfId="52621"/>
    <cellStyle name="Note 2 2 2 3 2 7" xfId="11325"/>
    <cellStyle name="Note 2 2 2 3 2 7 2" xfId="11326"/>
    <cellStyle name="Note 2 2 2 3 2 7 3" xfId="11327"/>
    <cellStyle name="Note 2 2 2 3 2 7 4" xfId="11328"/>
    <cellStyle name="Note 2 2 2 3 2 7 5" xfId="11329"/>
    <cellStyle name="Note 2 2 2 3 2 7 6" xfId="39343"/>
    <cellStyle name="Note 2 2 2 3 2 7 7" xfId="44498"/>
    <cellStyle name="Note 2 2 2 3 2 7 8" xfId="52622"/>
    <cellStyle name="Note 2 2 2 3 2 8" xfId="11330"/>
    <cellStyle name="Note 2 2 2 3 2 8 2" xfId="11331"/>
    <cellStyle name="Note 2 2 2 3 2 8 3" xfId="11332"/>
    <cellStyle name="Note 2 2 2 3 2 8 4" xfId="11333"/>
    <cellStyle name="Note 2 2 2 3 2 8 5" xfId="11334"/>
    <cellStyle name="Note 2 2 2 3 2 8 6" xfId="39959"/>
    <cellStyle name="Note 2 2 2 3 2 8 7" xfId="44499"/>
    <cellStyle name="Note 2 2 2 3 2 8 8" xfId="52623"/>
    <cellStyle name="Note 2 2 2 3 2 9" xfId="11335"/>
    <cellStyle name="Note 2 2 2 3 2 9 2" xfId="11336"/>
    <cellStyle name="Note 2 2 2 3 2 9 3" xfId="11337"/>
    <cellStyle name="Note 2 2 2 3 2 9 4" xfId="11338"/>
    <cellStyle name="Note 2 2 2 3 2 9 5" xfId="11339"/>
    <cellStyle name="Note 2 2 2 3 2 9 6" xfId="40574"/>
    <cellStyle name="Note 2 2 2 3 2 9 7" xfId="44500"/>
    <cellStyle name="Note 2 2 2 3 2 9 8" xfId="52624"/>
    <cellStyle name="Note 2 2 2 3 20" xfId="34819"/>
    <cellStyle name="Note 2 2 2 3 21" xfId="40873"/>
    <cellStyle name="Note 2 2 2 3 22" xfId="41434"/>
    <cellStyle name="Note 2 2 2 3 23" xfId="50521"/>
    <cellStyle name="Note 2 2 2 3 3" xfId="2123"/>
    <cellStyle name="Note 2 2 2 3 3 10" xfId="34798"/>
    <cellStyle name="Note 2 2 2 3 3 10 2" xfId="44502"/>
    <cellStyle name="Note 2 2 2 3 3 10 3" xfId="52626"/>
    <cellStyle name="Note 2 2 2 3 3 11" xfId="41088"/>
    <cellStyle name="Note 2 2 2 3 3 12" xfId="44501"/>
    <cellStyle name="Note 2 2 2 3 3 13" xfId="52625"/>
    <cellStyle name="Note 2 2 2 3 3 2" xfId="2124"/>
    <cellStyle name="Note 2 2 2 3 3 2 2" xfId="36165"/>
    <cellStyle name="Note 2 2 2 3 3 2 3" xfId="44503"/>
    <cellStyle name="Note 2 2 2 3 3 2 4" xfId="52627"/>
    <cellStyle name="Note 2 2 2 3 3 3" xfId="11340"/>
    <cellStyle name="Note 2 2 2 3 3 3 2" xfId="36662"/>
    <cellStyle name="Note 2 2 2 3 3 3 3" xfId="44504"/>
    <cellStyle name="Note 2 2 2 3 3 3 4" xfId="52628"/>
    <cellStyle name="Note 2 2 2 3 3 4" xfId="11341"/>
    <cellStyle name="Note 2 2 2 3 3 4 2" xfId="37278"/>
    <cellStyle name="Note 2 2 2 3 3 4 3" xfId="44505"/>
    <cellStyle name="Note 2 2 2 3 3 4 4" xfId="52629"/>
    <cellStyle name="Note 2 2 2 3 3 5" xfId="11342"/>
    <cellStyle name="Note 2 2 2 3 3 5 2" xfId="37894"/>
    <cellStyle name="Note 2 2 2 3 3 5 3" xfId="44506"/>
    <cellStyle name="Note 2 2 2 3 3 5 4" xfId="52630"/>
    <cellStyle name="Note 2 2 2 3 3 6" xfId="38511"/>
    <cellStyle name="Note 2 2 2 3 3 6 2" xfId="44507"/>
    <cellStyle name="Note 2 2 2 3 3 6 3" xfId="52631"/>
    <cellStyle name="Note 2 2 2 3 3 7" xfId="39131"/>
    <cellStyle name="Note 2 2 2 3 3 7 2" xfId="44508"/>
    <cellStyle name="Note 2 2 2 3 3 7 3" xfId="52632"/>
    <cellStyle name="Note 2 2 2 3 3 8" xfId="39747"/>
    <cellStyle name="Note 2 2 2 3 3 8 2" xfId="44509"/>
    <cellStyle name="Note 2 2 2 3 3 8 3" xfId="52633"/>
    <cellStyle name="Note 2 2 2 3 3 9" xfId="40362"/>
    <cellStyle name="Note 2 2 2 3 3 9 2" xfId="44510"/>
    <cellStyle name="Note 2 2 2 3 3 9 3" xfId="52634"/>
    <cellStyle name="Note 2 2 2 3 4" xfId="2125"/>
    <cellStyle name="Note 2 2 2 3 4 10" xfId="44511"/>
    <cellStyle name="Note 2 2 2 3 4 11" xfId="52635"/>
    <cellStyle name="Note 2 2 2 3 4 2" xfId="11343"/>
    <cellStyle name="Note 2 2 2 3 4 2 2" xfId="44512"/>
    <cellStyle name="Note 2 2 2 3 4 2 3" xfId="52636"/>
    <cellStyle name="Note 2 2 2 3 4 3" xfId="11344"/>
    <cellStyle name="Note 2 2 2 3 4 3 2" xfId="44513"/>
    <cellStyle name="Note 2 2 2 3 4 3 3" xfId="52637"/>
    <cellStyle name="Note 2 2 2 3 4 4" xfId="11345"/>
    <cellStyle name="Note 2 2 2 3 4 4 2" xfId="44514"/>
    <cellStyle name="Note 2 2 2 3 4 4 3" xfId="52638"/>
    <cellStyle name="Note 2 2 2 3 4 5" xfId="11346"/>
    <cellStyle name="Note 2 2 2 3 4 5 2" xfId="44515"/>
    <cellStyle name="Note 2 2 2 3 4 5 3" xfId="52639"/>
    <cellStyle name="Note 2 2 2 3 4 6" xfId="35774"/>
    <cellStyle name="Note 2 2 2 3 4 6 2" xfId="44516"/>
    <cellStyle name="Note 2 2 2 3 4 6 3" xfId="52640"/>
    <cellStyle name="Note 2 2 2 3 4 7" xfId="44517"/>
    <cellStyle name="Note 2 2 2 3 4 7 2" xfId="52641"/>
    <cellStyle name="Note 2 2 2 3 4 8" xfId="44518"/>
    <cellStyle name="Note 2 2 2 3 4 8 2" xfId="52642"/>
    <cellStyle name="Note 2 2 2 3 4 9" xfId="44519"/>
    <cellStyle name="Note 2 2 2 3 4 9 2" xfId="52643"/>
    <cellStyle name="Note 2 2 2 3 5" xfId="1219"/>
    <cellStyle name="Note 2 2 2 3 5 2" xfId="11347"/>
    <cellStyle name="Note 2 2 2 3 5 3" xfId="11348"/>
    <cellStyle name="Note 2 2 2 3 5 4" xfId="11349"/>
    <cellStyle name="Note 2 2 2 3 5 5" xfId="11350"/>
    <cellStyle name="Note 2 2 2 3 5 6" xfId="37063"/>
    <cellStyle name="Note 2 2 2 3 5 7" xfId="44520"/>
    <cellStyle name="Note 2 2 2 3 5 8" xfId="52644"/>
    <cellStyle name="Note 2 2 2 3 6" xfId="3287"/>
    <cellStyle name="Note 2 2 2 3 6 2" xfId="11351"/>
    <cellStyle name="Note 2 2 2 3 6 3" xfId="11352"/>
    <cellStyle name="Note 2 2 2 3 6 4" xfId="11353"/>
    <cellStyle name="Note 2 2 2 3 6 5" xfId="11354"/>
    <cellStyle name="Note 2 2 2 3 6 6" xfId="37677"/>
    <cellStyle name="Note 2 2 2 3 6 7" xfId="44521"/>
    <cellStyle name="Note 2 2 2 3 6 8" xfId="52645"/>
    <cellStyle name="Note 2 2 2 3 7" xfId="3609"/>
    <cellStyle name="Note 2 2 2 3 7 2" xfId="11355"/>
    <cellStyle name="Note 2 2 2 3 7 3" xfId="11356"/>
    <cellStyle name="Note 2 2 2 3 7 4" xfId="11357"/>
    <cellStyle name="Note 2 2 2 3 7 5" xfId="11358"/>
    <cellStyle name="Note 2 2 2 3 7 6" xfId="38292"/>
    <cellStyle name="Note 2 2 2 3 7 7" xfId="44522"/>
    <cellStyle name="Note 2 2 2 3 7 8" xfId="52646"/>
    <cellStyle name="Note 2 2 2 3 8" xfId="11359"/>
    <cellStyle name="Note 2 2 2 3 8 2" xfId="11360"/>
    <cellStyle name="Note 2 2 2 3 8 3" xfId="11361"/>
    <cellStyle name="Note 2 2 2 3 8 4" xfId="11362"/>
    <cellStyle name="Note 2 2 2 3 8 5" xfId="11363"/>
    <cellStyle name="Note 2 2 2 3 8 6" xfId="38912"/>
    <cellStyle name="Note 2 2 2 3 8 7" xfId="44523"/>
    <cellStyle name="Note 2 2 2 3 8 8" xfId="52647"/>
    <cellStyle name="Note 2 2 2 3 9" xfId="11364"/>
    <cellStyle name="Note 2 2 2 3 9 2" xfId="11365"/>
    <cellStyle name="Note 2 2 2 3 9 3" xfId="11366"/>
    <cellStyle name="Note 2 2 2 3 9 4" xfId="11367"/>
    <cellStyle name="Note 2 2 2 3 9 5" xfId="11368"/>
    <cellStyle name="Note 2 2 2 3 9 6" xfId="39531"/>
    <cellStyle name="Note 2 2 2 3 9 7" xfId="44524"/>
    <cellStyle name="Note 2 2 2 3 9 8" xfId="52648"/>
    <cellStyle name="Note 2 2 2 4" xfId="512"/>
    <cellStyle name="Note 2 2 2 4 10" xfId="11369"/>
    <cellStyle name="Note 2 2 2 4 10 2" xfId="11370"/>
    <cellStyle name="Note 2 2 2 4 10 3" xfId="11371"/>
    <cellStyle name="Note 2 2 2 4 10 4" xfId="11372"/>
    <cellStyle name="Note 2 2 2 4 10 5" xfId="11373"/>
    <cellStyle name="Note 2 2 2 4 10 6" xfId="44525"/>
    <cellStyle name="Note 2 2 2 4 10 7" xfId="52649"/>
    <cellStyle name="Note 2 2 2 4 11" xfId="11374"/>
    <cellStyle name="Note 2 2 2 4 11 2" xfId="11375"/>
    <cellStyle name="Note 2 2 2 4 11 3" xfId="11376"/>
    <cellStyle name="Note 2 2 2 4 11 4" xfId="11377"/>
    <cellStyle name="Note 2 2 2 4 11 5" xfId="11378"/>
    <cellStyle name="Note 2 2 2 4 12" xfId="11379"/>
    <cellStyle name="Note 2 2 2 4 12 2" xfId="11380"/>
    <cellStyle name="Note 2 2 2 4 12 3" xfId="11381"/>
    <cellStyle name="Note 2 2 2 4 12 4" xfId="11382"/>
    <cellStyle name="Note 2 2 2 4 12 5" xfId="11383"/>
    <cellStyle name="Note 2 2 2 4 13" xfId="11384"/>
    <cellStyle name="Note 2 2 2 4 13 2" xfId="11385"/>
    <cellStyle name="Note 2 2 2 4 13 3" xfId="11386"/>
    <cellStyle name="Note 2 2 2 4 13 4" xfId="11387"/>
    <cellStyle name="Note 2 2 2 4 13 5" xfId="11388"/>
    <cellStyle name="Note 2 2 2 4 14" xfId="11389"/>
    <cellStyle name="Note 2 2 2 4 14 2" xfId="11390"/>
    <cellStyle name="Note 2 2 2 4 14 3" xfId="11391"/>
    <cellStyle name="Note 2 2 2 4 14 4" xfId="11392"/>
    <cellStyle name="Note 2 2 2 4 14 5" xfId="11393"/>
    <cellStyle name="Note 2 2 2 4 15" xfId="11394"/>
    <cellStyle name="Note 2 2 2 4 15 2" xfId="11395"/>
    <cellStyle name="Note 2 2 2 4 15 3" xfId="11396"/>
    <cellStyle name="Note 2 2 2 4 15 4" xfId="11397"/>
    <cellStyle name="Note 2 2 2 4 15 5" xfId="11398"/>
    <cellStyle name="Note 2 2 2 4 16" xfId="11399"/>
    <cellStyle name="Note 2 2 2 4 16 2" xfId="11400"/>
    <cellStyle name="Note 2 2 2 4 16 3" xfId="11401"/>
    <cellStyle name="Note 2 2 2 4 16 4" xfId="11402"/>
    <cellStyle name="Note 2 2 2 4 16 5" xfId="11403"/>
    <cellStyle name="Note 2 2 2 4 17" xfId="11404"/>
    <cellStyle name="Note 2 2 2 4 17 2" xfId="11405"/>
    <cellStyle name="Note 2 2 2 4 17 3" xfId="11406"/>
    <cellStyle name="Note 2 2 2 4 17 4" xfId="11407"/>
    <cellStyle name="Note 2 2 2 4 17 5" xfId="11408"/>
    <cellStyle name="Note 2 2 2 4 18" xfId="11409"/>
    <cellStyle name="Note 2 2 2 4 19" xfId="941"/>
    <cellStyle name="Note 2 2 2 4 2" xfId="2126"/>
    <cellStyle name="Note 2 2 2 4 2 2" xfId="11410"/>
    <cellStyle name="Note 2 2 2 4 2 3" xfId="11411"/>
    <cellStyle name="Note 2 2 2 4 2 4" xfId="11412"/>
    <cellStyle name="Note 2 2 2 4 2 5" xfId="11413"/>
    <cellStyle name="Note 2 2 2 4 2 6" xfId="36316"/>
    <cellStyle name="Note 2 2 2 4 2 7" xfId="44526"/>
    <cellStyle name="Note 2 2 2 4 2 8" xfId="52650"/>
    <cellStyle name="Note 2 2 2 4 20" xfId="35021"/>
    <cellStyle name="Note 2 2 2 4 21" xfId="40730"/>
    <cellStyle name="Note 2 2 2 4 22" xfId="41240"/>
    <cellStyle name="Note 2 2 2 4 3" xfId="2127"/>
    <cellStyle name="Note 2 2 2 4 3 2" xfId="11414"/>
    <cellStyle name="Note 2 2 2 4 3 3" xfId="11415"/>
    <cellStyle name="Note 2 2 2 4 3 4" xfId="11416"/>
    <cellStyle name="Note 2 2 2 4 3 5" xfId="11417"/>
    <cellStyle name="Note 2 2 2 4 3 6" xfId="36813"/>
    <cellStyle name="Note 2 2 2 4 3 7" xfId="44527"/>
    <cellStyle name="Note 2 2 2 4 3 8" xfId="52651"/>
    <cellStyle name="Note 2 2 2 4 4" xfId="1221"/>
    <cellStyle name="Note 2 2 2 4 4 2" xfId="11418"/>
    <cellStyle name="Note 2 2 2 4 4 3" xfId="11419"/>
    <cellStyle name="Note 2 2 2 4 4 4" xfId="11420"/>
    <cellStyle name="Note 2 2 2 4 4 5" xfId="11421"/>
    <cellStyle name="Note 2 2 2 4 4 6" xfId="37429"/>
    <cellStyle name="Note 2 2 2 4 4 7" xfId="44528"/>
    <cellStyle name="Note 2 2 2 4 4 8" xfId="52652"/>
    <cellStyle name="Note 2 2 2 4 5" xfId="3289"/>
    <cellStyle name="Note 2 2 2 4 5 2" xfId="11422"/>
    <cellStyle name="Note 2 2 2 4 5 3" xfId="11423"/>
    <cellStyle name="Note 2 2 2 4 5 4" xfId="11424"/>
    <cellStyle name="Note 2 2 2 4 5 5" xfId="11425"/>
    <cellStyle name="Note 2 2 2 4 5 6" xfId="38045"/>
    <cellStyle name="Note 2 2 2 4 5 7" xfId="44529"/>
    <cellStyle name="Note 2 2 2 4 5 8" xfId="52653"/>
    <cellStyle name="Note 2 2 2 4 6" xfId="3611"/>
    <cellStyle name="Note 2 2 2 4 6 2" xfId="11426"/>
    <cellStyle name="Note 2 2 2 4 6 3" xfId="11427"/>
    <cellStyle name="Note 2 2 2 4 6 4" xfId="11428"/>
    <cellStyle name="Note 2 2 2 4 6 5" xfId="11429"/>
    <cellStyle name="Note 2 2 2 4 6 6" xfId="38663"/>
    <cellStyle name="Note 2 2 2 4 6 7" xfId="44530"/>
    <cellStyle name="Note 2 2 2 4 6 8" xfId="52654"/>
    <cellStyle name="Note 2 2 2 4 7" xfId="11430"/>
    <cellStyle name="Note 2 2 2 4 7 2" xfId="11431"/>
    <cellStyle name="Note 2 2 2 4 7 3" xfId="11432"/>
    <cellStyle name="Note 2 2 2 4 7 4" xfId="11433"/>
    <cellStyle name="Note 2 2 2 4 7 5" xfId="11434"/>
    <cellStyle name="Note 2 2 2 4 7 6" xfId="39283"/>
    <cellStyle name="Note 2 2 2 4 7 7" xfId="44531"/>
    <cellStyle name="Note 2 2 2 4 7 8" xfId="52655"/>
    <cellStyle name="Note 2 2 2 4 8" xfId="11435"/>
    <cellStyle name="Note 2 2 2 4 8 2" xfId="11436"/>
    <cellStyle name="Note 2 2 2 4 8 3" xfId="11437"/>
    <cellStyle name="Note 2 2 2 4 8 4" xfId="11438"/>
    <cellStyle name="Note 2 2 2 4 8 5" xfId="11439"/>
    <cellStyle name="Note 2 2 2 4 8 6" xfId="39899"/>
    <cellStyle name="Note 2 2 2 4 8 7" xfId="44532"/>
    <cellStyle name="Note 2 2 2 4 8 8" xfId="52656"/>
    <cellStyle name="Note 2 2 2 4 9" xfId="11440"/>
    <cellStyle name="Note 2 2 2 4 9 2" xfId="11441"/>
    <cellStyle name="Note 2 2 2 4 9 3" xfId="11442"/>
    <cellStyle name="Note 2 2 2 4 9 4" xfId="11443"/>
    <cellStyle name="Note 2 2 2 4 9 5" xfId="11444"/>
    <cellStyle name="Note 2 2 2 4 9 6" xfId="40514"/>
    <cellStyle name="Note 2 2 2 4 9 7" xfId="44533"/>
    <cellStyle name="Note 2 2 2 4 9 8" xfId="52657"/>
    <cellStyle name="Note 2 2 2 5" xfId="2128"/>
    <cellStyle name="Note 2 2 2 5 10" xfId="34760"/>
    <cellStyle name="Note 2 2 2 5 10 2" xfId="44535"/>
    <cellStyle name="Note 2 2 2 5 10 3" xfId="52659"/>
    <cellStyle name="Note 2 2 2 5 11" xfId="41026"/>
    <cellStyle name="Note 2 2 2 5 12" xfId="44534"/>
    <cellStyle name="Note 2 2 2 5 13" xfId="52658"/>
    <cellStyle name="Note 2 2 2 5 2" xfId="2129"/>
    <cellStyle name="Note 2 2 2 5 2 2" xfId="36103"/>
    <cellStyle name="Note 2 2 2 5 2 3" xfId="44536"/>
    <cellStyle name="Note 2 2 2 5 2 4" xfId="52660"/>
    <cellStyle name="Note 2 2 2 5 3" xfId="2130"/>
    <cellStyle name="Note 2 2 2 5 3 2" xfId="36602"/>
    <cellStyle name="Note 2 2 2 5 3 3" xfId="44537"/>
    <cellStyle name="Note 2 2 2 5 3 4" xfId="52661"/>
    <cellStyle name="Note 2 2 2 5 4" xfId="11445"/>
    <cellStyle name="Note 2 2 2 5 4 2" xfId="37218"/>
    <cellStyle name="Note 2 2 2 5 4 3" xfId="44538"/>
    <cellStyle name="Note 2 2 2 5 4 4" xfId="52662"/>
    <cellStyle name="Note 2 2 2 5 5" xfId="11446"/>
    <cellStyle name="Note 2 2 2 5 5 2" xfId="37834"/>
    <cellStyle name="Note 2 2 2 5 5 3" xfId="44539"/>
    <cellStyle name="Note 2 2 2 5 5 4" xfId="52663"/>
    <cellStyle name="Note 2 2 2 5 6" xfId="38449"/>
    <cellStyle name="Note 2 2 2 5 6 2" xfId="44540"/>
    <cellStyle name="Note 2 2 2 5 6 3" xfId="52664"/>
    <cellStyle name="Note 2 2 2 5 7" xfId="39069"/>
    <cellStyle name="Note 2 2 2 5 7 2" xfId="44541"/>
    <cellStyle name="Note 2 2 2 5 7 3" xfId="52665"/>
    <cellStyle name="Note 2 2 2 5 8" xfId="39685"/>
    <cellStyle name="Note 2 2 2 5 8 2" xfId="44542"/>
    <cellStyle name="Note 2 2 2 5 8 3" xfId="52666"/>
    <cellStyle name="Note 2 2 2 5 9" xfId="40300"/>
    <cellStyle name="Note 2 2 2 5 9 2" xfId="44543"/>
    <cellStyle name="Note 2 2 2 5 9 3" xfId="52667"/>
    <cellStyle name="Note 2 2 2 6" xfId="2131"/>
    <cellStyle name="Note 2 2 2 6 10" xfId="44544"/>
    <cellStyle name="Note 2 2 2 6 11" xfId="52668"/>
    <cellStyle name="Note 2 2 2 6 2" xfId="2132"/>
    <cellStyle name="Note 2 2 2 6 2 2" xfId="44545"/>
    <cellStyle name="Note 2 2 2 6 2 3" xfId="52669"/>
    <cellStyle name="Note 2 2 2 6 3" xfId="11447"/>
    <cellStyle name="Note 2 2 2 6 3 2" xfId="44546"/>
    <cellStyle name="Note 2 2 2 6 3 3" xfId="52670"/>
    <cellStyle name="Note 2 2 2 6 4" xfId="11448"/>
    <cellStyle name="Note 2 2 2 6 4 2" xfId="44547"/>
    <cellStyle name="Note 2 2 2 6 4 3" xfId="52671"/>
    <cellStyle name="Note 2 2 2 6 5" xfId="11449"/>
    <cellStyle name="Note 2 2 2 6 5 2" xfId="44548"/>
    <cellStyle name="Note 2 2 2 6 5 3" xfId="52672"/>
    <cellStyle name="Note 2 2 2 6 6" xfId="35421"/>
    <cellStyle name="Note 2 2 2 6 6 2" xfId="44549"/>
    <cellStyle name="Note 2 2 2 6 6 3" xfId="52673"/>
    <cellStyle name="Note 2 2 2 6 7" xfId="44550"/>
    <cellStyle name="Note 2 2 2 6 7 2" xfId="52674"/>
    <cellStyle name="Note 2 2 2 6 8" xfId="44551"/>
    <cellStyle name="Note 2 2 2 6 8 2" xfId="52675"/>
    <cellStyle name="Note 2 2 2 6 9" xfId="44552"/>
    <cellStyle name="Note 2 2 2 6 9 2" xfId="52676"/>
    <cellStyle name="Note 2 2 2 7" xfId="1216"/>
    <cellStyle name="Note 2 2 2 7 2" xfId="11450"/>
    <cellStyle name="Note 2 2 2 7 3" xfId="11451"/>
    <cellStyle name="Note 2 2 2 7 4" xfId="11452"/>
    <cellStyle name="Note 2 2 2 7 5" xfId="11453"/>
    <cellStyle name="Note 2 2 2 7 6" xfId="35953"/>
    <cellStyle name="Note 2 2 2 7 7" xfId="44553"/>
    <cellStyle name="Note 2 2 2 7 8" xfId="52677"/>
    <cellStyle name="Note 2 2 2 8" xfId="3284"/>
    <cellStyle name="Note 2 2 2 8 2" xfId="11454"/>
    <cellStyle name="Note 2 2 2 8 3" xfId="11455"/>
    <cellStyle name="Note 2 2 2 8 4" xfId="11456"/>
    <cellStyle name="Note 2 2 2 8 5" xfId="11457"/>
    <cellStyle name="Note 2 2 2 8 6" xfId="35818"/>
    <cellStyle name="Note 2 2 2 8 7" xfId="44554"/>
    <cellStyle name="Note 2 2 2 8 8" xfId="52678"/>
    <cellStyle name="Note 2 2 2 9" xfId="3606"/>
    <cellStyle name="Note 2 2 2 9 2" xfId="11458"/>
    <cellStyle name="Note 2 2 2 9 3" xfId="11459"/>
    <cellStyle name="Note 2 2 2 9 4" xfId="11460"/>
    <cellStyle name="Note 2 2 2 9 5" xfId="11461"/>
    <cellStyle name="Note 2 2 2 9 6" xfId="36998"/>
    <cellStyle name="Note 2 2 2 9 7" xfId="44555"/>
    <cellStyle name="Note 2 2 2 9 8" xfId="52679"/>
    <cellStyle name="Note 2 2 20" xfId="34899"/>
    <cellStyle name="Note 2 2 21" xfId="40780"/>
    <cellStyle name="Note 2 2 3" xfId="354"/>
    <cellStyle name="Note 2 2 3 10" xfId="11462"/>
    <cellStyle name="Note 2 2 3 10 2" xfId="11463"/>
    <cellStyle name="Note 2 2 3 10 3" xfId="11464"/>
    <cellStyle name="Note 2 2 3 10 4" xfId="11465"/>
    <cellStyle name="Note 2 2 3 10 5" xfId="11466"/>
    <cellStyle name="Note 2 2 3 10 6" xfId="39532"/>
    <cellStyle name="Note 2 2 3 10 7" xfId="44556"/>
    <cellStyle name="Note 2 2 3 10 8" xfId="52680"/>
    <cellStyle name="Note 2 2 3 11" xfId="11467"/>
    <cellStyle name="Note 2 2 3 11 2" xfId="11468"/>
    <cellStyle name="Note 2 2 3 11 3" xfId="11469"/>
    <cellStyle name="Note 2 2 3 11 4" xfId="11470"/>
    <cellStyle name="Note 2 2 3 11 5" xfId="11471"/>
    <cellStyle name="Note 2 2 3 11 6" xfId="40148"/>
    <cellStyle name="Note 2 2 3 11 7" xfId="44557"/>
    <cellStyle name="Note 2 2 3 11 8" xfId="52681"/>
    <cellStyle name="Note 2 2 3 12" xfId="11472"/>
    <cellStyle name="Note 2 2 3 12 2" xfId="11473"/>
    <cellStyle name="Note 2 2 3 12 3" xfId="11474"/>
    <cellStyle name="Note 2 2 3 12 4" xfId="11475"/>
    <cellStyle name="Note 2 2 3 12 5" xfId="11476"/>
    <cellStyle name="Note 2 2 3 12 6" xfId="44558"/>
    <cellStyle name="Note 2 2 3 12 7" xfId="52682"/>
    <cellStyle name="Note 2 2 3 13" xfId="11477"/>
    <cellStyle name="Note 2 2 3 13 2" xfId="11478"/>
    <cellStyle name="Note 2 2 3 13 3" xfId="11479"/>
    <cellStyle name="Note 2 2 3 13 4" xfId="11480"/>
    <cellStyle name="Note 2 2 3 13 5" xfId="11481"/>
    <cellStyle name="Note 2 2 3 13 6" xfId="44559"/>
    <cellStyle name="Note 2 2 3 13 7" xfId="52683"/>
    <cellStyle name="Note 2 2 3 14" xfId="11482"/>
    <cellStyle name="Note 2 2 3 14 2" xfId="11483"/>
    <cellStyle name="Note 2 2 3 14 3" xfId="11484"/>
    <cellStyle name="Note 2 2 3 14 4" xfId="11485"/>
    <cellStyle name="Note 2 2 3 14 5" xfId="11486"/>
    <cellStyle name="Note 2 2 3 15" xfId="11487"/>
    <cellStyle name="Note 2 2 3 15 2" xfId="11488"/>
    <cellStyle name="Note 2 2 3 15 3" xfId="11489"/>
    <cellStyle name="Note 2 2 3 15 4" xfId="11490"/>
    <cellStyle name="Note 2 2 3 15 5" xfId="11491"/>
    <cellStyle name="Note 2 2 3 16" xfId="11492"/>
    <cellStyle name="Note 2 2 3 16 2" xfId="11493"/>
    <cellStyle name="Note 2 2 3 16 3" xfId="11494"/>
    <cellStyle name="Note 2 2 3 16 4" xfId="11495"/>
    <cellStyle name="Note 2 2 3 16 5" xfId="11496"/>
    <cellStyle name="Note 2 2 3 17" xfId="11497"/>
    <cellStyle name="Note 2 2 3 17 2" xfId="11498"/>
    <cellStyle name="Note 2 2 3 17 3" xfId="11499"/>
    <cellStyle name="Note 2 2 3 17 4" xfId="11500"/>
    <cellStyle name="Note 2 2 3 17 5" xfId="11501"/>
    <cellStyle name="Note 2 2 3 18" xfId="11502"/>
    <cellStyle name="Note 2 2 3 19" xfId="790"/>
    <cellStyle name="Note 2 2 3 2" xfId="573"/>
    <cellStyle name="Note 2 2 3 2 10" xfId="11503"/>
    <cellStyle name="Note 2 2 3 2 10 2" xfId="11504"/>
    <cellStyle name="Note 2 2 3 2 10 3" xfId="11505"/>
    <cellStyle name="Note 2 2 3 2 10 4" xfId="11506"/>
    <cellStyle name="Note 2 2 3 2 10 5" xfId="11507"/>
    <cellStyle name="Note 2 2 3 2 10 6" xfId="44560"/>
    <cellStyle name="Note 2 2 3 2 10 7" xfId="52684"/>
    <cellStyle name="Note 2 2 3 2 11" xfId="11508"/>
    <cellStyle name="Note 2 2 3 2 11 2" xfId="11509"/>
    <cellStyle name="Note 2 2 3 2 11 3" xfId="11510"/>
    <cellStyle name="Note 2 2 3 2 11 4" xfId="11511"/>
    <cellStyle name="Note 2 2 3 2 11 5" xfId="11512"/>
    <cellStyle name="Note 2 2 3 2 12" xfId="11513"/>
    <cellStyle name="Note 2 2 3 2 12 2" xfId="11514"/>
    <cellStyle name="Note 2 2 3 2 12 3" xfId="11515"/>
    <cellStyle name="Note 2 2 3 2 12 4" xfId="11516"/>
    <cellStyle name="Note 2 2 3 2 12 5" xfId="11517"/>
    <cellStyle name="Note 2 2 3 2 13" xfId="11518"/>
    <cellStyle name="Note 2 2 3 2 13 2" xfId="11519"/>
    <cellStyle name="Note 2 2 3 2 13 3" xfId="11520"/>
    <cellStyle name="Note 2 2 3 2 13 4" xfId="11521"/>
    <cellStyle name="Note 2 2 3 2 13 5" xfId="11522"/>
    <cellStyle name="Note 2 2 3 2 14" xfId="11523"/>
    <cellStyle name="Note 2 2 3 2 14 2" xfId="11524"/>
    <cellStyle name="Note 2 2 3 2 14 3" xfId="11525"/>
    <cellStyle name="Note 2 2 3 2 14 4" xfId="11526"/>
    <cellStyle name="Note 2 2 3 2 14 5" xfId="11527"/>
    <cellStyle name="Note 2 2 3 2 15" xfId="11528"/>
    <cellStyle name="Note 2 2 3 2 15 2" xfId="11529"/>
    <cellStyle name="Note 2 2 3 2 15 3" xfId="11530"/>
    <cellStyle name="Note 2 2 3 2 15 4" xfId="11531"/>
    <cellStyle name="Note 2 2 3 2 15 5" xfId="11532"/>
    <cellStyle name="Note 2 2 3 2 16" xfId="11533"/>
    <cellStyle name="Note 2 2 3 2 16 2" xfId="11534"/>
    <cellStyle name="Note 2 2 3 2 16 3" xfId="11535"/>
    <cellStyle name="Note 2 2 3 2 16 4" xfId="11536"/>
    <cellStyle name="Note 2 2 3 2 16 5" xfId="11537"/>
    <cellStyle name="Note 2 2 3 2 17" xfId="11538"/>
    <cellStyle name="Note 2 2 3 2 17 2" xfId="11539"/>
    <cellStyle name="Note 2 2 3 2 17 3" xfId="11540"/>
    <cellStyle name="Note 2 2 3 2 17 4" xfId="11541"/>
    <cellStyle name="Note 2 2 3 2 17 5" xfId="11542"/>
    <cellStyle name="Note 2 2 3 2 18" xfId="11543"/>
    <cellStyle name="Note 2 2 3 2 19" xfId="1002"/>
    <cellStyle name="Note 2 2 3 2 2" xfId="2133"/>
    <cellStyle name="Note 2 2 3 2 2 2" xfId="11544"/>
    <cellStyle name="Note 2 2 3 2 2 3" xfId="11545"/>
    <cellStyle name="Note 2 2 3 2 2 4" xfId="11546"/>
    <cellStyle name="Note 2 2 3 2 2 5" xfId="11547"/>
    <cellStyle name="Note 2 2 3 2 2 6" xfId="36377"/>
    <cellStyle name="Note 2 2 3 2 2 7" xfId="44561"/>
    <cellStyle name="Note 2 2 3 2 2 8" xfId="52685"/>
    <cellStyle name="Note 2 2 3 2 20" xfId="35082"/>
    <cellStyle name="Note 2 2 3 2 21" xfId="41301"/>
    <cellStyle name="Note 2 2 3 2 3" xfId="2134"/>
    <cellStyle name="Note 2 2 3 2 3 2" xfId="11548"/>
    <cellStyle name="Note 2 2 3 2 3 3" xfId="11549"/>
    <cellStyle name="Note 2 2 3 2 3 4" xfId="11550"/>
    <cellStyle name="Note 2 2 3 2 3 5" xfId="11551"/>
    <cellStyle name="Note 2 2 3 2 3 6" xfId="36874"/>
    <cellStyle name="Note 2 2 3 2 3 7" xfId="44562"/>
    <cellStyle name="Note 2 2 3 2 3 8" xfId="52686"/>
    <cellStyle name="Note 2 2 3 2 4" xfId="1223"/>
    <cellStyle name="Note 2 2 3 2 4 2" xfId="11552"/>
    <cellStyle name="Note 2 2 3 2 4 3" xfId="11553"/>
    <cellStyle name="Note 2 2 3 2 4 4" xfId="11554"/>
    <cellStyle name="Note 2 2 3 2 4 5" xfId="11555"/>
    <cellStyle name="Note 2 2 3 2 4 6" xfId="37490"/>
    <cellStyle name="Note 2 2 3 2 4 7" xfId="44563"/>
    <cellStyle name="Note 2 2 3 2 4 8" xfId="52687"/>
    <cellStyle name="Note 2 2 3 2 5" xfId="3291"/>
    <cellStyle name="Note 2 2 3 2 5 2" xfId="11556"/>
    <cellStyle name="Note 2 2 3 2 5 3" xfId="11557"/>
    <cellStyle name="Note 2 2 3 2 5 4" xfId="11558"/>
    <cellStyle name="Note 2 2 3 2 5 5" xfId="11559"/>
    <cellStyle name="Note 2 2 3 2 5 6" xfId="38106"/>
    <cellStyle name="Note 2 2 3 2 5 7" xfId="44564"/>
    <cellStyle name="Note 2 2 3 2 5 8" xfId="52688"/>
    <cellStyle name="Note 2 2 3 2 6" xfId="3613"/>
    <cellStyle name="Note 2 2 3 2 6 2" xfId="11560"/>
    <cellStyle name="Note 2 2 3 2 6 3" xfId="11561"/>
    <cellStyle name="Note 2 2 3 2 6 4" xfId="11562"/>
    <cellStyle name="Note 2 2 3 2 6 5" xfId="11563"/>
    <cellStyle name="Note 2 2 3 2 6 6" xfId="38724"/>
    <cellStyle name="Note 2 2 3 2 6 7" xfId="44565"/>
    <cellStyle name="Note 2 2 3 2 6 8" xfId="52689"/>
    <cellStyle name="Note 2 2 3 2 7" xfId="11564"/>
    <cellStyle name="Note 2 2 3 2 7 2" xfId="11565"/>
    <cellStyle name="Note 2 2 3 2 7 3" xfId="11566"/>
    <cellStyle name="Note 2 2 3 2 7 4" xfId="11567"/>
    <cellStyle name="Note 2 2 3 2 7 5" xfId="11568"/>
    <cellStyle name="Note 2 2 3 2 7 6" xfId="39344"/>
    <cellStyle name="Note 2 2 3 2 7 7" xfId="44566"/>
    <cellStyle name="Note 2 2 3 2 7 8" xfId="52690"/>
    <cellStyle name="Note 2 2 3 2 8" xfId="11569"/>
    <cellStyle name="Note 2 2 3 2 8 2" xfId="11570"/>
    <cellStyle name="Note 2 2 3 2 8 3" xfId="11571"/>
    <cellStyle name="Note 2 2 3 2 8 4" xfId="11572"/>
    <cellStyle name="Note 2 2 3 2 8 5" xfId="11573"/>
    <cellStyle name="Note 2 2 3 2 8 6" xfId="39960"/>
    <cellStyle name="Note 2 2 3 2 8 7" xfId="44567"/>
    <cellStyle name="Note 2 2 3 2 8 8" xfId="52691"/>
    <cellStyle name="Note 2 2 3 2 9" xfId="11574"/>
    <cellStyle name="Note 2 2 3 2 9 2" xfId="11575"/>
    <cellStyle name="Note 2 2 3 2 9 3" xfId="11576"/>
    <cellStyle name="Note 2 2 3 2 9 4" xfId="11577"/>
    <cellStyle name="Note 2 2 3 2 9 5" xfId="11578"/>
    <cellStyle name="Note 2 2 3 2 9 6" xfId="40575"/>
    <cellStyle name="Note 2 2 3 2 9 7" xfId="44568"/>
    <cellStyle name="Note 2 2 3 2 9 8" xfId="52692"/>
    <cellStyle name="Note 2 2 3 20" xfId="34929"/>
    <cellStyle name="Note 2 2 3 21" xfId="40874"/>
    <cellStyle name="Note 2 2 3 22" xfId="41435"/>
    <cellStyle name="Note 2 2 3 23" xfId="50522"/>
    <cellStyle name="Note 2 2 3 3" xfId="2135"/>
    <cellStyle name="Note 2 2 3 3 10" xfId="34758"/>
    <cellStyle name="Note 2 2 3 3 10 2" xfId="44570"/>
    <cellStyle name="Note 2 2 3 3 10 3" xfId="52694"/>
    <cellStyle name="Note 2 2 3 3 11" xfId="41089"/>
    <cellStyle name="Note 2 2 3 3 12" xfId="44569"/>
    <cellStyle name="Note 2 2 3 3 13" xfId="52693"/>
    <cellStyle name="Note 2 2 3 3 2" xfId="2136"/>
    <cellStyle name="Note 2 2 3 3 2 2" xfId="36166"/>
    <cellStyle name="Note 2 2 3 3 2 3" xfId="44571"/>
    <cellStyle name="Note 2 2 3 3 2 4" xfId="52695"/>
    <cellStyle name="Note 2 2 3 3 3" xfId="11579"/>
    <cellStyle name="Note 2 2 3 3 3 2" xfId="36663"/>
    <cellStyle name="Note 2 2 3 3 3 3" xfId="44572"/>
    <cellStyle name="Note 2 2 3 3 3 4" xfId="52696"/>
    <cellStyle name="Note 2 2 3 3 4" xfId="11580"/>
    <cellStyle name="Note 2 2 3 3 4 2" xfId="37279"/>
    <cellStyle name="Note 2 2 3 3 4 3" xfId="44573"/>
    <cellStyle name="Note 2 2 3 3 4 4" xfId="52697"/>
    <cellStyle name="Note 2 2 3 3 5" xfId="11581"/>
    <cellStyle name="Note 2 2 3 3 5 2" xfId="37895"/>
    <cellStyle name="Note 2 2 3 3 5 3" xfId="44574"/>
    <cellStyle name="Note 2 2 3 3 5 4" xfId="52698"/>
    <cellStyle name="Note 2 2 3 3 6" xfId="38512"/>
    <cellStyle name="Note 2 2 3 3 6 2" xfId="44575"/>
    <cellStyle name="Note 2 2 3 3 6 3" xfId="52699"/>
    <cellStyle name="Note 2 2 3 3 7" xfId="39132"/>
    <cellStyle name="Note 2 2 3 3 7 2" xfId="44576"/>
    <cellStyle name="Note 2 2 3 3 7 3" xfId="52700"/>
    <cellStyle name="Note 2 2 3 3 8" xfId="39748"/>
    <cellStyle name="Note 2 2 3 3 8 2" xfId="44577"/>
    <cellStyle name="Note 2 2 3 3 8 3" xfId="52701"/>
    <cellStyle name="Note 2 2 3 3 9" xfId="40363"/>
    <cellStyle name="Note 2 2 3 3 9 2" xfId="44578"/>
    <cellStyle name="Note 2 2 3 3 9 3" xfId="52702"/>
    <cellStyle name="Note 2 2 3 4" xfId="2137"/>
    <cellStyle name="Note 2 2 3 4 10" xfId="44579"/>
    <cellStyle name="Note 2 2 3 4 11" xfId="52703"/>
    <cellStyle name="Note 2 2 3 4 2" xfId="11582"/>
    <cellStyle name="Note 2 2 3 4 2 2" xfId="44580"/>
    <cellStyle name="Note 2 2 3 4 2 3" xfId="52704"/>
    <cellStyle name="Note 2 2 3 4 3" xfId="11583"/>
    <cellStyle name="Note 2 2 3 4 3 2" xfId="44581"/>
    <cellStyle name="Note 2 2 3 4 3 3" xfId="52705"/>
    <cellStyle name="Note 2 2 3 4 4" xfId="11584"/>
    <cellStyle name="Note 2 2 3 4 4 2" xfId="44582"/>
    <cellStyle name="Note 2 2 3 4 4 3" xfId="52706"/>
    <cellStyle name="Note 2 2 3 4 5" xfId="11585"/>
    <cellStyle name="Note 2 2 3 4 5 2" xfId="44583"/>
    <cellStyle name="Note 2 2 3 4 5 3" xfId="52707"/>
    <cellStyle name="Note 2 2 3 4 6" xfId="35658"/>
    <cellStyle name="Note 2 2 3 4 6 2" xfId="44584"/>
    <cellStyle name="Note 2 2 3 4 6 3" xfId="52708"/>
    <cellStyle name="Note 2 2 3 4 7" xfId="44585"/>
    <cellStyle name="Note 2 2 3 4 7 2" xfId="52709"/>
    <cellStyle name="Note 2 2 3 4 8" xfId="44586"/>
    <cellStyle name="Note 2 2 3 4 8 2" xfId="52710"/>
    <cellStyle name="Note 2 2 3 4 9" xfId="44587"/>
    <cellStyle name="Note 2 2 3 4 9 2" xfId="52711"/>
    <cellStyle name="Note 2 2 3 5" xfId="1222"/>
    <cellStyle name="Note 2 2 3 5 2" xfId="11586"/>
    <cellStyle name="Note 2 2 3 5 3" xfId="11587"/>
    <cellStyle name="Note 2 2 3 5 4" xfId="11588"/>
    <cellStyle name="Note 2 2 3 5 5" xfId="11589"/>
    <cellStyle name="Note 2 2 3 5 6" xfId="35773"/>
    <cellStyle name="Note 2 2 3 5 7" xfId="44588"/>
    <cellStyle name="Note 2 2 3 5 8" xfId="52712"/>
    <cellStyle name="Note 2 2 3 6" xfId="3290"/>
    <cellStyle name="Note 2 2 3 6 2" xfId="11590"/>
    <cellStyle name="Note 2 2 3 6 3" xfId="11591"/>
    <cellStyle name="Note 2 2 3 6 4" xfId="11592"/>
    <cellStyle name="Note 2 2 3 6 5" xfId="11593"/>
    <cellStyle name="Note 2 2 3 6 6" xfId="37064"/>
    <cellStyle name="Note 2 2 3 6 7" xfId="44589"/>
    <cellStyle name="Note 2 2 3 6 8" xfId="52713"/>
    <cellStyle name="Note 2 2 3 7" xfId="3612"/>
    <cellStyle name="Note 2 2 3 7 2" xfId="11594"/>
    <cellStyle name="Note 2 2 3 7 3" xfId="11595"/>
    <cellStyle name="Note 2 2 3 7 4" xfId="11596"/>
    <cellStyle name="Note 2 2 3 7 5" xfId="11597"/>
    <cellStyle name="Note 2 2 3 7 6" xfId="37678"/>
    <cellStyle name="Note 2 2 3 7 7" xfId="44590"/>
    <cellStyle name="Note 2 2 3 7 8" xfId="52714"/>
    <cellStyle name="Note 2 2 3 8" xfId="11598"/>
    <cellStyle name="Note 2 2 3 8 2" xfId="11599"/>
    <cellStyle name="Note 2 2 3 8 3" xfId="11600"/>
    <cellStyle name="Note 2 2 3 8 4" xfId="11601"/>
    <cellStyle name="Note 2 2 3 8 5" xfId="11602"/>
    <cellStyle name="Note 2 2 3 8 6" xfId="38293"/>
    <cellStyle name="Note 2 2 3 8 7" xfId="44591"/>
    <cellStyle name="Note 2 2 3 8 8" xfId="52715"/>
    <cellStyle name="Note 2 2 3 9" xfId="11603"/>
    <cellStyle name="Note 2 2 3 9 2" xfId="11604"/>
    <cellStyle name="Note 2 2 3 9 3" xfId="11605"/>
    <cellStyle name="Note 2 2 3 9 4" xfId="11606"/>
    <cellStyle name="Note 2 2 3 9 5" xfId="11607"/>
    <cellStyle name="Note 2 2 3 9 6" xfId="38913"/>
    <cellStyle name="Note 2 2 3 9 7" xfId="44592"/>
    <cellStyle name="Note 2 2 3 9 8" xfId="52716"/>
    <cellStyle name="Note 2 2 4" xfId="355"/>
    <cellStyle name="Note 2 2 4 10" xfId="11608"/>
    <cellStyle name="Note 2 2 4 10 2" xfId="11609"/>
    <cellStyle name="Note 2 2 4 10 3" xfId="11610"/>
    <cellStyle name="Note 2 2 4 10 4" xfId="11611"/>
    <cellStyle name="Note 2 2 4 10 5" xfId="11612"/>
    <cellStyle name="Note 2 2 4 10 6" xfId="40149"/>
    <cellStyle name="Note 2 2 4 10 7" xfId="44593"/>
    <cellStyle name="Note 2 2 4 10 8" xfId="52717"/>
    <cellStyle name="Note 2 2 4 11" xfId="11613"/>
    <cellStyle name="Note 2 2 4 11 2" xfId="11614"/>
    <cellStyle name="Note 2 2 4 11 3" xfId="11615"/>
    <cellStyle name="Note 2 2 4 11 4" xfId="11616"/>
    <cellStyle name="Note 2 2 4 11 5" xfId="11617"/>
    <cellStyle name="Note 2 2 4 11 6" xfId="44594"/>
    <cellStyle name="Note 2 2 4 11 7" xfId="52718"/>
    <cellStyle name="Note 2 2 4 12" xfId="11618"/>
    <cellStyle name="Note 2 2 4 12 2" xfId="11619"/>
    <cellStyle name="Note 2 2 4 12 3" xfId="11620"/>
    <cellStyle name="Note 2 2 4 12 4" xfId="11621"/>
    <cellStyle name="Note 2 2 4 12 5" xfId="11622"/>
    <cellStyle name="Note 2 2 4 12 6" xfId="44595"/>
    <cellStyle name="Note 2 2 4 12 7" xfId="52719"/>
    <cellStyle name="Note 2 2 4 13" xfId="11623"/>
    <cellStyle name="Note 2 2 4 13 2" xfId="11624"/>
    <cellStyle name="Note 2 2 4 13 3" xfId="11625"/>
    <cellStyle name="Note 2 2 4 13 4" xfId="11626"/>
    <cellStyle name="Note 2 2 4 13 5" xfId="11627"/>
    <cellStyle name="Note 2 2 4 13 6" xfId="44596"/>
    <cellStyle name="Note 2 2 4 13 7" xfId="52720"/>
    <cellStyle name="Note 2 2 4 14" xfId="11628"/>
    <cellStyle name="Note 2 2 4 14 2" xfId="11629"/>
    <cellStyle name="Note 2 2 4 14 3" xfId="11630"/>
    <cellStyle name="Note 2 2 4 14 4" xfId="11631"/>
    <cellStyle name="Note 2 2 4 14 5" xfId="11632"/>
    <cellStyle name="Note 2 2 4 15" xfId="11633"/>
    <cellStyle name="Note 2 2 4 15 2" xfId="11634"/>
    <cellStyle name="Note 2 2 4 15 3" xfId="11635"/>
    <cellStyle name="Note 2 2 4 15 4" xfId="11636"/>
    <cellStyle name="Note 2 2 4 15 5" xfId="11637"/>
    <cellStyle name="Note 2 2 4 16" xfId="11638"/>
    <cellStyle name="Note 2 2 4 16 2" xfId="11639"/>
    <cellStyle name="Note 2 2 4 16 3" xfId="11640"/>
    <cellStyle name="Note 2 2 4 16 4" xfId="11641"/>
    <cellStyle name="Note 2 2 4 16 5" xfId="11642"/>
    <cellStyle name="Note 2 2 4 17" xfId="11643"/>
    <cellStyle name="Note 2 2 4 17 2" xfId="11644"/>
    <cellStyle name="Note 2 2 4 17 3" xfId="11645"/>
    <cellStyle name="Note 2 2 4 17 4" xfId="11646"/>
    <cellStyle name="Note 2 2 4 17 5" xfId="11647"/>
    <cellStyle name="Note 2 2 4 18" xfId="11648"/>
    <cellStyle name="Note 2 2 4 19" xfId="791"/>
    <cellStyle name="Note 2 2 4 2" xfId="574"/>
    <cellStyle name="Note 2 2 4 2 10" xfId="11649"/>
    <cellStyle name="Note 2 2 4 2 10 2" xfId="11650"/>
    <cellStyle name="Note 2 2 4 2 10 3" xfId="11651"/>
    <cellStyle name="Note 2 2 4 2 10 4" xfId="11652"/>
    <cellStyle name="Note 2 2 4 2 10 5" xfId="11653"/>
    <cellStyle name="Note 2 2 4 2 10 6" xfId="44597"/>
    <cellStyle name="Note 2 2 4 2 10 7" xfId="52721"/>
    <cellStyle name="Note 2 2 4 2 11" xfId="11654"/>
    <cellStyle name="Note 2 2 4 2 11 2" xfId="11655"/>
    <cellStyle name="Note 2 2 4 2 11 3" xfId="11656"/>
    <cellStyle name="Note 2 2 4 2 11 4" xfId="11657"/>
    <cellStyle name="Note 2 2 4 2 11 5" xfId="11658"/>
    <cellStyle name="Note 2 2 4 2 12" xfId="11659"/>
    <cellStyle name="Note 2 2 4 2 12 2" xfId="11660"/>
    <cellStyle name="Note 2 2 4 2 12 3" xfId="11661"/>
    <cellStyle name="Note 2 2 4 2 12 4" xfId="11662"/>
    <cellStyle name="Note 2 2 4 2 12 5" xfId="11663"/>
    <cellStyle name="Note 2 2 4 2 13" xfId="11664"/>
    <cellStyle name="Note 2 2 4 2 13 2" xfId="11665"/>
    <cellStyle name="Note 2 2 4 2 13 3" xfId="11666"/>
    <cellStyle name="Note 2 2 4 2 13 4" xfId="11667"/>
    <cellStyle name="Note 2 2 4 2 13 5" xfId="11668"/>
    <cellStyle name="Note 2 2 4 2 14" xfId="11669"/>
    <cellStyle name="Note 2 2 4 2 14 2" xfId="11670"/>
    <cellStyle name="Note 2 2 4 2 14 3" xfId="11671"/>
    <cellStyle name="Note 2 2 4 2 14 4" xfId="11672"/>
    <cellStyle name="Note 2 2 4 2 14 5" xfId="11673"/>
    <cellStyle name="Note 2 2 4 2 15" xfId="11674"/>
    <cellStyle name="Note 2 2 4 2 15 2" xfId="11675"/>
    <cellStyle name="Note 2 2 4 2 15 3" xfId="11676"/>
    <cellStyle name="Note 2 2 4 2 15 4" xfId="11677"/>
    <cellStyle name="Note 2 2 4 2 15 5" xfId="11678"/>
    <cellStyle name="Note 2 2 4 2 16" xfId="11679"/>
    <cellStyle name="Note 2 2 4 2 16 2" xfId="11680"/>
    <cellStyle name="Note 2 2 4 2 16 3" xfId="11681"/>
    <cellStyle name="Note 2 2 4 2 16 4" xfId="11682"/>
    <cellStyle name="Note 2 2 4 2 16 5" xfId="11683"/>
    <cellStyle name="Note 2 2 4 2 17" xfId="11684"/>
    <cellStyle name="Note 2 2 4 2 17 2" xfId="11685"/>
    <cellStyle name="Note 2 2 4 2 17 3" xfId="11686"/>
    <cellStyle name="Note 2 2 4 2 17 4" xfId="11687"/>
    <cellStyle name="Note 2 2 4 2 17 5" xfId="11688"/>
    <cellStyle name="Note 2 2 4 2 18" xfId="11689"/>
    <cellStyle name="Note 2 2 4 2 19" xfId="1003"/>
    <cellStyle name="Note 2 2 4 2 2" xfId="2138"/>
    <cellStyle name="Note 2 2 4 2 2 2" xfId="11690"/>
    <cellStyle name="Note 2 2 4 2 2 3" xfId="11691"/>
    <cellStyle name="Note 2 2 4 2 2 4" xfId="11692"/>
    <cellStyle name="Note 2 2 4 2 2 5" xfId="11693"/>
    <cellStyle name="Note 2 2 4 2 2 6" xfId="36378"/>
    <cellStyle name="Note 2 2 4 2 2 7" xfId="44598"/>
    <cellStyle name="Note 2 2 4 2 2 8" xfId="52722"/>
    <cellStyle name="Note 2 2 4 2 20" xfId="35083"/>
    <cellStyle name="Note 2 2 4 2 21" xfId="41302"/>
    <cellStyle name="Note 2 2 4 2 3" xfId="2139"/>
    <cellStyle name="Note 2 2 4 2 3 2" xfId="11694"/>
    <cellStyle name="Note 2 2 4 2 3 3" xfId="11695"/>
    <cellStyle name="Note 2 2 4 2 3 4" xfId="11696"/>
    <cellStyle name="Note 2 2 4 2 3 5" xfId="11697"/>
    <cellStyle name="Note 2 2 4 2 3 6" xfId="36875"/>
    <cellStyle name="Note 2 2 4 2 3 7" xfId="44599"/>
    <cellStyle name="Note 2 2 4 2 3 8" xfId="52723"/>
    <cellStyle name="Note 2 2 4 2 4" xfId="1225"/>
    <cellStyle name="Note 2 2 4 2 4 2" xfId="11698"/>
    <cellStyle name="Note 2 2 4 2 4 3" xfId="11699"/>
    <cellStyle name="Note 2 2 4 2 4 4" xfId="11700"/>
    <cellStyle name="Note 2 2 4 2 4 5" xfId="11701"/>
    <cellStyle name="Note 2 2 4 2 4 6" xfId="37491"/>
    <cellStyle name="Note 2 2 4 2 4 7" xfId="44600"/>
    <cellStyle name="Note 2 2 4 2 4 8" xfId="52724"/>
    <cellStyle name="Note 2 2 4 2 5" xfId="3293"/>
    <cellStyle name="Note 2 2 4 2 5 2" xfId="11702"/>
    <cellStyle name="Note 2 2 4 2 5 3" xfId="11703"/>
    <cellStyle name="Note 2 2 4 2 5 4" xfId="11704"/>
    <cellStyle name="Note 2 2 4 2 5 5" xfId="11705"/>
    <cellStyle name="Note 2 2 4 2 5 6" xfId="38107"/>
    <cellStyle name="Note 2 2 4 2 5 7" xfId="44601"/>
    <cellStyle name="Note 2 2 4 2 5 8" xfId="52725"/>
    <cellStyle name="Note 2 2 4 2 6" xfId="3615"/>
    <cellStyle name="Note 2 2 4 2 6 2" xfId="11706"/>
    <cellStyle name="Note 2 2 4 2 6 3" xfId="11707"/>
    <cellStyle name="Note 2 2 4 2 6 4" xfId="11708"/>
    <cellStyle name="Note 2 2 4 2 6 5" xfId="11709"/>
    <cellStyle name="Note 2 2 4 2 6 6" xfId="38725"/>
    <cellStyle name="Note 2 2 4 2 6 7" xfId="44602"/>
    <cellStyle name="Note 2 2 4 2 6 8" xfId="52726"/>
    <cellStyle name="Note 2 2 4 2 7" xfId="11710"/>
    <cellStyle name="Note 2 2 4 2 7 2" xfId="11711"/>
    <cellStyle name="Note 2 2 4 2 7 3" xfId="11712"/>
    <cellStyle name="Note 2 2 4 2 7 4" xfId="11713"/>
    <cellStyle name="Note 2 2 4 2 7 5" xfId="11714"/>
    <cellStyle name="Note 2 2 4 2 7 6" xfId="39345"/>
    <cellStyle name="Note 2 2 4 2 7 7" xfId="44603"/>
    <cellStyle name="Note 2 2 4 2 7 8" xfId="52727"/>
    <cellStyle name="Note 2 2 4 2 8" xfId="11715"/>
    <cellStyle name="Note 2 2 4 2 8 2" xfId="11716"/>
    <cellStyle name="Note 2 2 4 2 8 3" xfId="11717"/>
    <cellStyle name="Note 2 2 4 2 8 4" xfId="11718"/>
    <cellStyle name="Note 2 2 4 2 8 5" xfId="11719"/>
    <cellStyle name="Note 2 2 4 2 8 6" xfId="39961"/>
    <cellStyle name="Note 2 2 4 2 8 7" xfId="44604"/>
    <cellStyle name="Note 2 2 4 2 8 8" xfId="52728"/>
    <cellStyle name="Note 2 2 4 2 9" xfId="11720"/>
    <cellStyle name="Note 2 2 4 2 9 2" xfId="11721"/>
    <cellStyle name="Note 2 2 4 2 9 3" xfId="11722"/>
    <cellStyle name="Note 2 2 4 2 9 4" xfId="11723"/>
    <cellStyle name="Note 2 2 4 2 9 5" xfId="11724"/>
    <cellStyle name="Note 2 2 4 2 9 6" xfId="40576"/>
    <cellStyle name="Note 2 2 4 2 9 7" xfId="44605"/>
    <cellStyle name="Note 2 2 4 2 9 8" xfId="52729"/>
    <cellStyle name="Note 2 2 4 20" xfId="34818"/>
    <cellStyle name="Note 2 2 4 21" xfId="40875"/>
    <cellStyle name="Note 2 2 4 22" xfId="41436"/>
    <cellStyle name="Note 2 2 4 23" xfId="50523"/>
    <cellStyle name="Note 2 2 4 3" xfId="2140"/>
    <cellStyle name="Note 2 2 4 3 10" xfId="34880"/>
    <cellStyle name="Note 2 2 4 3 10 2" xfId="44607"/>
    <cellStyle name="Note 2 2 4 3 10 3" xfId="52731"/>
    <cellStyle name="Note 2 2 4 3 11" xfId="41090"/>
    <cellStyle name="Note 2 2 4 3 12" xfId="44606"/>
    <cellStyle name="Note 2 2 4 3 13" xfId="52730"/>
    <cellStyle name="Note 2 2 4 3 2" xfId="2141"/>
    <cellStyle name="Note 2 2 4 3 2 2" xfId="36167"/>
    <cellStyle name="Note 2 2 4 3 2 3" xfId="44608"/>
    <cellStyle name="Note 2 2 4 3 2 4" xfId="52732"/>
    <cellStyle name="Note 2 2 4 3 3" xfId="11725"/>
    <cellStyle name="Note 2 2 4 3 3 2" xfId="36664"/>
    <cellStyle name="Note 2 2 4 3 3 3" xfId="44609"/>
    <cellStyle name="Note 2 2 4 3 3 4" xfId="52733"/>
    <cellStyle name="Note 2 2 4 3 4" xfId="11726"/>
    <cellStyle name="Note 2 2 4 3 4 2" xfId="37280"/>
    <cellStyle name="Note 2 2 4 3 4 3" xfId="44610"/>
    <cellStyle name="Note 2 2 4 3 4 4" xfId="52734"/>
    <cellStyle name="Note 2 2 4 3 5" xfId="11727"/>
    <cellStyle name="Note 2 2 4 3 5 2" xfId="37896"/>
    <cellStyle name="Note 2 2 4 3 5 3" xfId="44611"/>
    <cellStyle name="Note 2 2 4 3 5 4" xfId="52735"/>
    <cellStyle name="Note 2 2 4 3 6" xfId="38513"/>
    <cellStyle name="Note 2 2 4 3 6 2" xfId="44612"/>
    <cellStyle name="Note 2 2 4 3 6 3" xfId="52736"/>
    <cellStyle name="Note 2 2 4 3 7" xfId="39133"/>
    <cellStyle name="Note 2 2 4 3 7 2" xfId="44613"/>
    <cellStyle name="Note 2 2 4 3 7 3" xfId="52737"/>
    <cellStyle name="Note 2 2 4 3 8" xfId="39749"/>
    <cellStyle name="Note 2 2 4 3 8 2" xfId="44614"/>
    <cellStyle name="Note 2 2 4 3 8 3" xfId="52738"/>
    <cellStyle name="Note 2 2 4 3 9" xfId="40364"/>
    <cellStyle name="Note 2 2 4 3 9 2" xfId="44615"/>
    <cellStyle name="Note 2 2 4 3 9 3" xfId="52739"/>
    <cellStyle name="Note 2 2 4 4" xfId="2142"/>
    <cellStyle name="Note 2 2 4 4 10" xfId="44616"/>
    <cellStyle name="Note 2 2 4 4 11" xfId="52740"/>
    <cellStyle name="Note 2 2 4 4 2" xfId="11728"/>
    <cellStyle name="Note 2 2 4 4 2 2" xfId="44617"/>
    <cellStyle name="Note 2 2 4 4 2 3" xfId="52741"/>
    <cellStyle name="Note 2 2 4 4 3" xfId="11729"/>
    <cellStyle name="Note 2 2 4 4 3 2" xfId="44618"/>
    <cellStyle name="Note 2 2 4 4 3 3" xfId="52742"/>
    <cellStyle name="Note 2 2 4 4 4" xfId="11730"/>
    <cellStyle name="Note 2 2 4 4 4 2" xfId="44619"/>
    <cellStyle name="Note 2 2 4 4 4 3" xfId="52743"/>
    <cellStyle name="Note 2 2 4 4 5" xfId="11731"/>
    <cellStyle name="Note 2 2 4 4 5 2" xfId="44620"/>
    <cellStyle name="Note 2 2 4 4 5 3" xfId="52744"/>
    <cellStyle name="Note 2 2 4 4 6" xfId="35772"/>
    <cellStyle name="Note 2 2 4 4 6 2" xfId="44621"/>
    <cellStyle name="Note 2 2 4 4 6 3" xfId="52745"/>
    <cellStyle name="Note 2 2 4 4 7" xfId="44622"/>
    <cellStyle name="Note 2 2 4 4 7 2" xfId="52746"/>
    <cellStyle name="Note 2 2 4 4 8" xfId="44623"/>
    <cellStyle name="Note 2 2 4 4 8 2" xfId="52747"/>
    <cellStyle name="Note 2 2 4 4 9" xfId="44624"/>
    <cellStyle name="Note 2 2 4 4 9 2" xfId="52748"/>
    <cellStyle name="Note 2 2 4 5" xfId="1224"/>
    <cellStyle name="Note 2 2 4 5 2" xfId="11732"/>
    <cellStyle name="Note 2 2 4 5 3" xfId="11733"/>
    <cellStyle name="Note 2 2 4 5 4" xfId="11734"/>
    <cellStyle name="Note 2 2 4 5 5" xfId="11735"/>
    <cellStyle name="Note 2 2 4 5 6" xfId="37065"/>
    <cellStyle name="Note 2 2 4 5 7" xfId="44625"/>
    <cellStyle name="Note 2 2 4 5 8" xfId="52749"/>
    <cellStyle name="Note 2 2 4 6" xfId="3292"/>
    <cellStyle name="Note 2 2 4 6 2" xfId="11736"/>
    <cellStyle name="Note 2 2 4 6 3" xfId="11737"/>
    <cellStyle name="Note 2 2 4 6 4" xfId="11738"/>
    <cellStyle name="Note 2 2 4 6 5" xfId="11739"/>
    <cellStyle name="Note 2 2 4 6 6" xfId="37679"/>
    <cellStyle name="Note 2 2 4 6 7" xfId="44626"/>
    <cellStyle name="Note 2 2 4 6 8" xfId="52750"/>
    <cellStyle name="Note 2 2 4 7" xfId="3614"/>
    <cellStyle name="Note 2 2 4 7 2" xfId="11740"/>
    <cellStyle name="Note 2 2 4 7 3" xfId="11741"/>
    <cellStyle name="Note 2 2 4 7 4" xfId="11742"/>
    <cellStyle name="Note 2 2 4 7 5" xfId="11743"/>
    <cellStyle name="Note 2 2 4 7 6" xfId="38294"/>
    <cellStyle name="Note 2 2 4 7 7" xfId="44627"/>
    <cellStyle name="Note 2 2 4 7 8" xfId="52751"/>
    <cellStyle name="Note 2 2 4 8" xfId="11744"/>
    <cellStyle name="Note 2 2 4 8 2" xfId="11745"/>
    <cellStyle name="Note 2 2 4 8 3" xfId="11746"/>
    <cellStyle name="Note 2 2 4 8 4" xfId="11747"/>
    <cellStyle name="Note 2 2 4 8 5" xfId="11748"/>
    <cellStyle name="Note 2 2 4 8 6" xfId="38914"/>
    <cellStyle name="Note 2 2 4 8 7" xfId="44628"/>
    <cellStyle name="Note 2 2 4 8 8" xfId="52752"/>
    <cellStyle name="Note 2 2 4 9" xfId="11749"/>
    <cellStyle name="Note 2 2 4 9 2" xfId="11750"/>
    <cellStyle name="Note 2 2 4 9 3" xfId="11751"/>
    <cellStyle name="Note 2 2 4 9 4" xfId="11752"/>
    <cellStyle name="Note 2 2 4 9 5" xfId="11753"/>
    <cellStyle name="Note 2 2 4 9 6" xfId="39533"/>
    <cellStyle name="Note 2 2 4 9 7" xfId="44629"/>
    <cellStyle name="Note 2 2 4 9 8" xfId="52753"/>
    <cellStyle name="Note 2 2 5" xfId="481"/>
    <cellStyle name="Note 2 2 5 10" xfId="11754"/>
    <cellStyle name="Note 2 2 5 10 2" xfId="11755"/>
    <cellStyle name="Note 2 2 5 10 3" xfId="11756"/>
    <cellStyle name="Note 2 2 5 10 4" xfId="11757"/>
    <cellStyle name="Note 2 2 5 10 5" xfId="11758"/>
    <cellStyle name="Note 2 2 5 10 6" xfId="44630"/>
    <cellStyle name="Note 2 2 5 10 7" xfId="52754"/>
    <cellStyle name="Note 2 2 5 11" xfId="11759"/>
    <cellStyle name="Note 2 2 5 11 2" xfId="11760"/>
    <cellStyle name="Note 2 2 5 11 3" xfId="11761"/>
    <cellStyle name="Note 2 2 5 11 4" xfId="11762"/>
    <cellStyle name="Note 2 2 5 11 5" xfId="11763"/>
    <cellStyle name="Note 2 2 5 12" xfId="11764"/>
    <cellStyle name="Note 2 2 5 12 2" xfId="11765"/>
    <cellStyle name="Note 2 2 5 12 3" xfId="11766"/>
    <cellStyle name="Note 2 2 5 12 4" xfId="11767"/>
    <cellStyle name="Note 2 2 5 12 5" xfId="11768"/>
    <cellStyle name="Note 2 2 5 13" xfId="11769"/>
    <cellStyle name="Note 2 2 5 13 2" xfId="11770"/>
    <cellStyle name="Note 2 2 5 13 3" xfId="11771"/>
    <cellStyle name="Note 2 2 5 13 4" xfId="11772"/>
    <cellStyle name="Note 2 2 5 13 5" xfId="11773"/>
    <cellStyle name="Note 2 2 5 14" xfId="11774"/>
    <cellStyle name="Note 2 2 5 14 2" xfId="11775"/>
    <cellStyle name="Note 2 2 5 14 3" xfId="11776"/>
    <cellStyle name="Note 2 2 5 14 4" xfId="11777"/>
    <cellStyle name="Note 2 2 5 14 5" xfId="11778"/>
    <cellStyle name="Note 2 2 5 15" xfId="11779"/>
    <cellStyle name="Note 2 2 5 15 2" xfId="11780"/>
    <cellStyle name="Note 2 2 5 15 3" xfId="11781"/>
    <cellStyle name="Note 2 2 5 15 4" xfId="11782"/>
    <cellStyle name="Note 2 2 5 15 5" xfId="11783"/>
    <cellStyle name="Note 2 2 5 16" xfId="11784"/>
    <cellStyle name="Note 2 2 5 16 2" xfId="11785"/>
    <cellStyle name="Note 2 2 5 16 3" xfId="11786"/>
    <cellStyle name="Note 2 2 5 16 4" xfId="11787"/>
    <cellStyle name="Note 2 2 5 16 5" xfId="11788"/>
    <cellStyle name="Note 2 2 5 17" xfId="11789"/>
    <cellStyle name="Note 2 2 5 17 2" xfId="11790"/>
    <cellStyle name="Note 2 2 5 17 3" xfId="11791"/>
    <cellStyle name="Note 2 2 5 17 4" xfId="11792"/>
    <cellStyle name="Note 2 2 5 17 5" xfId="11793"/>
    <cellStyle name="Note 2 2 5 18" xfId="11794"/>
    <cellStyle name="Note 2 2 5 19" xfId="910"/>
    <cellStyle name="Note 2 2 5 2" xfId="2143"/>
    <cellStyle name="Note 2 2 5 2 2" xfId="11795"/>
    <cellStyle name="Note 2 2 5 2 3" xfId="11796"/>
    <cellStyle name="Note 2 2 5 2 4" xfId="11797"/>
    <cellStyle name="Note 2 2 5 2 5" xfId="11798"/>
    <cellStyle name="Note 2 2 5 2 6" xfId="36285"/>
    <cellStyle name="Note 2 2 5 2 7" xfId="44631"/>
    <cellStyle name="Note 2 2 5 2 8" xfId="52755"/>
    <cellStyle name="Note 2 2 5 20" xfId="34990"/>
    <cellStyle name="Note 2 2 5 21" xfId="40699"/>
    <cellStyle name="Note 2 2 5 22" xfId="41209"/>
    <cellStyle name="Note 2 2 5 3" xfId="2144"/>
    <cellStyle name="Note 2 2 5 3 2" xfId="11799"/>
    <cellStyle name="Note 2 2 5 3 3" xfId="11800"/>
    <cellStyle name="Note 2 2 5 3 4" xfId="11801"/>
    <cellStyle name="Note 2 2 5 3 5" xfId="11802"/>
    <cellStyle name="Note 2 2 5 3 6" xfId="36782"/>
    <cellStyle name="Note 2 2 5 3 7" xfId="44632"/>
    <cellStyle name="Note 2 2 5 3 8" xfId="52756"/>
    <cellStyle name="Note 2 2 5 4" xfId="1226"/>
    <cellStyle name="Note 2 2 5 4 2" xfId="11803"/>
    <cellStyle name="Note 2 2 5 4 3" xfId="11804"/>
    <cellStyle name="Note 2 2 5 4 4" xfId="11805"/>
    <cellStyle name="Note 2 2 5 4 5" xfId="11806"/>
    <cellStyle name="Note 2 2 5 4 6" xfId="37398"/>
    <cellStyle name="Note 2 2 5 4 7" xfId="44633"/>
    <cellStyle name="Note 2 2 5 4 8" xfId="52757"/>
    <cellStyle name="Note 2 2 5 5" xfId="3294"/>
    <cellStyle name="Note 2 2 5 5 2" xfId="11807"/>
    <cellStyle name="Note 2 2 5 5 3" xfId="11808"/>
    <cellStyle name="Note 2 2 5 5 4" xfId="11809"/>
    <cellStyle name="Note 2 2 5 5 5" xfId="11810"/>
    <cellStyle name="Note 2 2 5 5 6" xfId="38014"/>
    <cellStyle name="Note 2 2 5 5 7" xfId="44634"/>
    <cellStyle name="Note 2 2 5 5 8" xfId="52758"/>
    <cellStyle name="Note 2 2 5 6" xfId="3616"/>
    <cellStyle name="Note 2 2 5 6 2" xfId="11811"/>
    <cellStyle name="Note 2 2 5 6 3" xfId="11812"/>
    <cellStyle name="Note 2 2 5 6 4" xfId="11813"/>
    <cellStyle name="Note 2 2 5 6 5" xfId="11814"/>
    <cellStyle name="Note 2 2 5 6 6" xfId="38632"/>
    <cellStyle name="Note 2 2 5 6 7" xfId="44635"/>
    <cellStyle name="Note 2 2 5 6 8" xfId="52759"/>
    <cellStyle name="Note 2 2 5 7" xfId="11815"/>
    <cellStyle name="Note 2 2 5 7 2" xfId="11816"/>
    <cellStyle name="Note 2 2 5 7 3" xfId="11817"/>
    <cellStyle name="Note 2 2 5 7 4" xfId="11818"/>
    <cellStyle name="Note 2 2 5 7 5" xfId="11819"/>
    <cellStyle name="Note 2 2 5 7 6" xfId="39252"/>
    <cellStyle name="Note 2 2 5 7 7" xfId="44636"/>
    <cellStyle name="Note 2 2 5 7 8" xfId="52760"/>
    <cellStyle name="Note 2 2 5 8" xfId="11820"/>
    <cellStyle name="Note 2 2 5 8 2" xfId="11821"/>
    <cellStyle name="Note 2 2 5 8 3" xfId="11822"/>
    <cellStyle name="Note 2 2 5 8 4" xfId="11823"/>
    <cellStyle name="Note 2 2 5 8 5" xfId="11824"/>
    <cellStyle name="Note 2 2 5 8 6" xfId="39868"/>
    <cellStyle name="Note 2 2 5 8 7" xfId="44637"/>
    <cellStyle name="Note 2 2 5 8 8" xfId="52761"/>
    <cellStyle name="Note 2 2 5 9" xfId="11825"/>
    <cellStyle name="Note 2 2 5 9 2" xfId="11826"/>
    <cellStyle name="Note 2 2 5 9 3" xfId="11827"/>
    <cellStyle name="Note 2 2 5 9 4" xfId="11828"/>
    <cellStyle name="Note 2 2 5 9 5" xfId="11829"/>
    <cellStyle name="Note 2 2 5 9 6" xfId="40483"/>
    <cellStyle name="Note 2 2 5 9 7" xfId="44638"/>
    <cellStyle name="Note 2 2 5 9 8" xfId="52762"/>
    <cellStyle name="Note 2 2 6" xfId="2145"/>
    <cellStyle name="Note 2 2 6 10" xfId="34743"/>
    <cellStyle name="Note 2 2 6 10 2" xfId="44640"/>
    <cellStyle name="Note 2 2 6 10 3" xfId="52764"/>
    <cellStyle name="Note 2 2 6 11" xfId="40995"/>
    <cellStyle name="Note 2 2 6 12" xfId="44639"/>
    <cellStyle name="Note 2 2 6 13" xfId="52763"/>
    <cellStyle name="Note 2 2 6 2" xfId="2146"/>
    <cellStyle name="Note 2 2 6 2 2" xfId="36072"/>
    <cellStyle name="Note 2 2 6 2 3" xfId="44641"/>
    <cellStyle name="Note 2 2 6 2 4" xfId="52765"/>
    <cellStyle name="Note 2 2 6 3" xfId="2147"/>
    <cellStyle name="Note 2 2 6 3 2" xfId="36571"/>
    <cellStyle name="Note 2 2 6 3 3" xfId="44642"/>
    <cellStyle name="Note 2 2 6 3 4" xfId="52766"/>
    <cellStyle name="Note 2 2 6 4" xfId="11830"/>
    <cellStyle name="Note 2 2 6 4 2" xfId="37187"/>
    <cellStyle name="Note 2 2 6 4 3" xfId="44643"/>
    <cellStyle name="Note 2 2 6 4 4" xfId="52767"/>
    <cellStyle name="Note 2 2 6 5" xfId="11831"/>
    <cellStyle name="Note 2 2 6 5 2" xfId="37803"/>
    <cellStyle name="Note 2 2 6 5 3" xfId="44644"/>
    <cellStyle name="Note 2 2 6 5 4" xfId="52768"/>
    <cellStyle name="Note 2 2 6 6" xfId="38418"/>
    <cellStyle name="Note 2 2 6 6 2" xfId="44645"/>
    <cellStyle name="Note 2 2 6 6 3" xfId="52769"/>
    <cellStyle name="Note 2 2 6 7" xfId="39038"/>
    <cellStyle name="Note 2 2 6 7 2" xfId="44646"/>
    <cellStyle name="Note 2 2 6 7 3" xfId="52770"/>
    <cellStyle name="Note 2 2 6 8" xfId="39654"/>
    <cellStyle name="Note 2 2 6 8 2" xfId="44647"/>
    <cellStyle name="Note 2 2 6 8 3" xfId="52771"/>
    <cellStyle name="Note 2 2 6 9" xfId="40269"/>
    <cellStyle name="Note 2 2 6 9 2" xfId="44648"/>
    <cellStyle name="Note 2 2 6 9 3" xfId="52772"/>
    <cellStyle name="Note 2 2 7" xfId="2148"/>
    <cellStyle name="Note 2 2 7 10" xfId="44649"/>
    <cellStyle name="Note 2 2 7 11" xfId="52773"/>
    <cellStyle name="Note 2 2 7 2" xfId="2149"/>
    <cellStyle name="Note 2 2 7 2 2" xfId="44650"/>
    <cellStyle name="Note 2 2 7 2 3" xfId="52774"/>
    <cellStyle name="Note 2 2 7 3" xfId="11832"/>
    <cellStyle name="Note 2 2 7 3 2" xfId="44651"/>
    <cellStyle name="Note 2 2 7 3 3" xfId="52775"/>
    <cellStyle name="Note 2 2 7 4" xfId="11833"/>
    <cellStyle name="Note 2 2 7 4 2" xfId="44652"/>
    <cellStyle name="Note 2 2 7 4 3" xfId="52776"/>
    <cellStyle name="Note 2 2 7 5" xfId="11834"/>
    <cellStyle name="Note 2 2 7 5 2" xfId="44653"/>
    <cellStyle name="Note 2 2 7 5 3" xfId="52777"/>
    <cellStyle name="Note 2 2 7 6" xfId="35389"/>
    <cellStyle name="Note 2 2 7 6 2" xfId="44654"/>
    <cellStyle name="Note 2 2 7 6 3" xfId="52778"/>
    <cellStyle name="Note 2 2 7 7" xfId="44655"/>
    <cellStyle name="Note 2 2 7 7 2" xfId="52779"/>
    <cellStyle name="Note 2 2 7 8" xfId="44656"/>
    <cellStyle name="Note 2 2 7 8 2" xfId="52780"/>
    <cellStyle name="Note 2 2 7 9" xfId="44657"/>
    <cellStyle name="Note 2 2 7 9 2" xfId="52781"/>
    <cellStyle name="Note 2 2 8" xfId="1215"/>
    <cellStyle name="Note 2 2 8 2" xfId="11835"/>
    <cellStyle name="Note 2 2 8 3" xfId="11836"/>
    <cellStyle name="Note 2 2 8 4" xfId="11837"/>
    <cellStyle name="Note 2 2 8 5" xfId="11838"/>
    <cellStyle name="Note 2 2 8 6" xfId="35920"/>
    <cellStyle name="Note 2 2 8 7" xfId="44658"/>
    <cellStyle name="Note 2 2 8 8" xfId="52782"/>
    <cellStyle name="Note 2 2 9" xfId="3283"/>
    <cellStyle name="Note 2 2 9 2" xfId="11839"/>
    <cellStyle name="Note 2 2 9 3" xfId="11840"/>
    <cellStyle name="Note 2 2 9 4" xfId="11841"/>
    <cellStyle name="Note 2 2 9 5" xfId="11842"/>
    <cellStyle name="Note 2 2 9 6" xfId="35732"/>
    <cellStyle name="Note 2 2 9 7" xfId="44659"/>
    <cellStyle name="Note 2 2 9 8" xfId="52783"/>
    <cellStyle name="Note 2 20" xfId="11843"/>
    <cellStyle name="Note 2 20 2" xfId="11844"/>
    <cellStyle name="Note 2 20 3" xfId="11845"/>
    <cellStyle name="Note 2 20 4" xfId="11846"/>
    <cellStyle name="Note 2 20 5" xfId="11847"/>
    <cellStyle name="Note 2 20 6" xfId="44660"/>
    <cellStyle name="Note 2 20 7" xfId="52784"/>
    <cellStyle name="Note 2 21" xfId="11848"/>
    <cellStyle name="Note 2 22" xfId="682"/>
    <cellStyle name="Note 2 23" xfId="34852"/>
    <cellStyle name="Note 2 24" xfId="40767"/>
    <cellStyle name="Note 2 3" xfId="249"/>
    <cellStyle name="Note 2 3 10" xfId="3617"/>
    <cellStyle name="Note 2 3 10 2" xfId="11849"/>
    <cellStyle name="Note 2 3 10 3" xfId="11850"/>
    <cellStyle name="Note 2 3 10 4" xfId="11851"/>
    <cellStyle name="Note 2 3 10 5" xfId="11852"/>
    <cellStyle name="Note 2 3 10 6" xfId="36042"/>
    <cellStyle name="Note 2 3 10 7" xfId="44661"/>
    <cellStyle name="Note 2 3 10 8" xfId="52785"/>
    <cellStyle name="Note 2 3 11" xfId="11853"/>
    <cellStyle name="Note 2 3 11 2" xfId="11854"/>
    <cellStyle name="Note 2 3 11 3" xfId="11855"/>
    <cellStyle name="Note 2 3 11 4" xfId="11856"/>
    <cellStyle name="Note 2 3 11 5" xfId="11857"/>
    <cellStyle name="Note 2 3 11 6" xfId="35851"/>
    <cellStyle name="Note 2 3 11 7" xfId="44662"/>
    <cellStyle name="Note 2 3 11 8" xfId="52786"/>
    <cellStyle name="Note 2 3 12" xfId="11858"/>
    <cellStyle name="Note 2 3 12 2" xfId="11859"/>
    <cellStyle name="Note 2 3 12 3" xfId="11860"/>
    <cellStyle name="Note 2 3 12 4" xfId="11861"/>
    <cellStyle name="Note 2 3 12 5" xfId="11862"/>
    <cellStyle name="Note 2 3 12 6" xfId="35838"/>
    <cellStyle name="Note 2 3 12 7" xfId="44663"/>
    <cellStyle name="Note 2 3 12 8" xfId="52787"/>
    <cellStyle name="Note 2 3 13" xfId="11863"/>
    <cellStyle name="Note 2 3 13 2" xfId="11864"/>
    <cellStyle name="Note 2 3 13 3" xfId="11865"/>
    <cellStyle name="Note 2 3 13 4" xfId="11866"/>
    <cellStyle name="Note 2 3 13 5" xfId="11867"/>
    <cellStyle name="Note 2 3 13 6" xfId="35867"/>
    <cellStyle name="Note 2 3 13 7" xfId="44664"/>
    <cellStyle name="Note 2 3 13 8" xfId="52788"/>
    <cellStyle name="Note 2 3 14" xfId="11868"/>
    <cellStyle name="Note 2 3 14 2" xfId="11869"/>
    <cellStyle name="Note 2 3 14 3" xfId="11870"/>
    <cellStyle name="Note 2 3 14 4" xfId="11871"/>
    <cellStyle name="Note 2 3 14 5" xfId="11872"/>
    <cellStyle name="Note 2 3 14 6" xfId="35880"/>
    <cellStyle name="Note 2 3 14 7" xfId="44665"/>
    <cellStyle name="Note 2 3 14 8" xfId="52789"/>
    <cellStyle name="Note 2 3 15" xfId="11873"/>
    <cellStyle name="Note 2 3 15 2" xfId="11874"/>
    <cellStyle name="Note 2 3 15 3" xfId="11875"/>
    <cellStyle name="Note 2 3 15 4" xfId="11876"/>
    <cellStyle name="Note 2 3 15 5" xfId="11877"/>
    <cellStyle name="Note 2 3 15 6" xfId="38976"/>
    <cellStyle name="Note 2 3 15 7" xfId="44666"/>
    <cellStyle name="Note 2 3 15 8" xfId="52790"/>
    <cellStyle name="Note 2 3 16" xfId="11878"/>
    <cellStyle name="Note 2 3 16 2" xfId="11879"/>
    <cellStyle name="Note 2 3 16 3" xfId="11880"/>
    <cellStyle name="Note 2 3 16 4" xfId="11881"/>
    <cellStyle name="Note 2 3 16 5" xfId="11882"/>
    <cellStyle name="Note 2 3 16 6" xfId="44667"/>
    <cellStyle name="Note 2 3 16 7" xfId="52791"/>
    <cellStyle name="Note 2 3 17" xfId="11883"/>
    <cellStyle name="Note 2 3 17 2" xfId="11884"/>
    <cellStyle name="Note 2 3 17 3" xfId="11885"/>
    <cellStyle name="Note 2 3 17 4" xfId="11886"/>
    <cellStyle name="Note 2 3 17 5" xfId="11887"/>
    <cellStyle name="Note 2 3 18" xfId="11888"/>
    <cellStyle name="Note 2 3 19" xfId="697"/>
    <cellStyle name="Note 2 3 2" xfId="283"/>
    <cellStyle name="Note 2 3 2 10" xfId="11889"/>
    <cellStyle name="Note 2 3 2 10 2" xfId="11890"/>
    <cellStyle name="Note 2 3 2 10 3" xfId="11891"/>
    <cellStyle name="Note 2 3 2 10 4" xfId="11892"/>
    <cellStyle name="Note 2 3 2 10 5" xfId="11893"/>
    <cellStyle name="Note 2 3 2 10 6" xfId="37611"/>
    <cellStyle name="Note 2 3 2 10 7" xfId="44668"/>
    <cellStyle name="Note 2 3 2 10 8" xfId="52792"/>
    <cellStyle name="Note 2 3 2 11" xfId="11894"/>
    <cellStyle name="Note 2 3 2 11 2" xfId="11895"/>
    <cellStyle name="Note 2 3 2 11 3" xfId="11896"/>
    <cellStyle name="Note 2 3 2 11 4" xfId="11897"/>
    <cellStyle name="Note 2 3 2 11 5" xfId="11898"/>
    <cellStyle name="Note 2 3 2 11 6" xfId="38228"/>
    <cellStyle name="Note 2 3 2 11 7" xfId="44669"/>
    <cellStyle name="Note 2 3 2 11 8" xfId="52793"/>
    <cellStyle name="Note 2 3 2 12" xfId="11899"/>
    <cellStyle name="Note 2 3 2 12 2" xfId="11900"/>
    <cellStyle name="Note 2 3 2 12 3" xfId="11901"/>
    <cellStyle name="Note 2 3 2 12 4" xfId="11902"/>
    <cellStyle name="Note 2 3 2 12 5" xfId="11903"/>
    <cellStyle name="Note 2 3 2 12 6" xfId="38850"/>
    <cellStyle name="Note 2 3 2 12 7" xfId="44670"/>
    <cellStyle name="Note 2 3 2 12 8" xfId="52794"/>
    <cellStyle name="Note 2 3 2 13" xfId="11904"/>
    <cellStyle name="Note 2 3 2 13 2" xfId="11905"/>
    <cellStyle name="Note 2 3 2 13 3" xfId="11906"/>
    <cellStyle name="Note 2 3 2 13 4" xfId="11907"/>
    <cellStyle name="Note 2 3 2 13 5" xfId="11908"/>
    <cellStyle name="Note 2 3 2 13 6" xfId="39470"/>
    <cellStyle name="Note 2 3 2 13 7" xfId="44671"/>
    <cellStyle name="Note 2 3 2 13 8" xfId="52795"/>
    <cellStyle name="Note 2 3 2 14" xfId="11909"/>
    <cellStyle name="Note 2 3 2 14 2" xfId="11910"/>
    <cellStyle name="Note 2 3 2 14 3" xfId="11911"/>
    <cellStyle name="Note 2 3 2 14 4" xfId="11912"/>
    <cellStyle name="Note 2 3 2 14 5" xfId="11913"/>
    <cellStyle name="Note 2 3 2 14 6" xfId="40088"/>
    <cellStyle name="Note 2 3 2 14 7" xfId="44672"/>
    <cellStyle name="Note 2 3 2 14 8" xfId="52796"/>
    <cellStyle name="Note 2 3 2 15" xfId="11914"/>
    <cellStyle name="Note 2 3 2 15 2" xfId="11915"/>
    <cellStyle name="Note 2 3 2 15 3" xfId="11916"/>
    <cellStyle name="Note 2 3 2 15 4" xfId="11917"/>
    <cellStyle name="Note 2 3 2 15 5" xfId="11918"/>
    <cellStyle name="Note 2 3 2 15 6" xfId="44673"/>
    <cellStyle name="Note 2 3 2 15 7" xfId="52797"/>
    <cellStyle name="Note 2 3 2 16" xfId="11919"/>
    <cellStyle name="Note 2 3 2 16 2" xfId="11920"/>
    <cellStyle name="Note 2 3 2 16 3" xfId="11921"/>
    <cellStyle name="Note 2 3 2 16 4" xfId="11922"/>
    <cellStyle name="Note 2 3 2 16 5" xfId="11923"/>
    <cellStyle name="Note 2 3 2 17" xfId="11924"/>
    <cellStyle name="Note 2 3 2 18" xfId="728"/>
    <cellStyle name="Note 2 3 2 19" xfId="34839"/>
    <cellStyle name="Note 2 3 2 2" xfId="356"/>
    <cellStyle name="Note 2 3 2 2 10" xfId="11925"/>
    <cellStyle name="Note 2 3 2 2 10 2" xfId="11926"/>
    <cellStyle name="Note 2 3 2 2 10 3" xfId="11927"/>
    <cellStyle name="Note 2 3 2 2 10 4" xfId="11928"/>
    <cellStyle name="Note 2 3 2 2 10 5" xfId="11929"/>
    <cellStyle name="Note 2 3 2 2 10 6" xfId="39534"/>
    <cellStyle name="Note 2 3 2 2 10 7" xfId="44674"/>
    <cellStyle name="Note 2 3 2 2 10 8" xfId="52798"/>
    <cellStyle name="Note 2 3 2 2 11" xfId="11930"/>
    <cellStyle name="Note 2 3 2 2 11 2" xfId="11931"/>
    <cellStyle name="Note 2 3 2 2 11 3" xfId="11932"/>
    <cellStyle name="Note 2 3 2 2 11 4" xfId="11933"/>
    <cellStyle name="Note 2 3 2 2 11 5" xfId="11934"/>
    <cellStyle name="Note 2 3 2 2 11 6" xfId="40150"/>
    <cellStyle name="Note 2 3 2 2 11 7" xfId="44675"/>
    <cellStyle name="Note 2 3 2 2 11 8" xfId="52799"/>
    <cellStyle name="Note 2 3 2 2 12" xfId="11935"/>
    <cellStyle name="Note 2 3 2 2 12 2" xfId="11936"/>
    <cellStyle name="Note 2 3 2 2 12 3" xfId="11937"/>
    <cellStyle name="Note 2 3 2 2 12 4" xfId="11938"/>
    <cellStyle name="Note 2 3 2 2 12 5" xfId="11939"/>
    <cellStyle name="Note 2 3 2 2 12 6" xfId="44676"/>
    <cellStyle name="Note 2 3 2 2 12 7" xfId="52800"/>
    <cellStyle name="Note 2 3 2 2 13" xfId="11940"/>
    <cellStyle name="Note 2 3 2 2 13 2" xfId="11941"/>
    <cellStyle name="Note 2 3 2 2 13 3" xfId="11942"/>
    <cellStyle name="Note 2 3 2 2 13 4" xfId="11943"/>
    <cellStyle name="Note 2 3 2 2 13 5" xfId="11944"/>
    <cellStyle name="Note 2 3 2 2 13 6" xfId="44677"/>
    <cellStyle name="Note 2 3 2 2 13 7" xfId="52801"/>
    <cellStyle name="Note 2 3 2 2 14" xfId="11945"/>
    <cellStyle name="Note 2 3 2 2 14 2" xfId="11946"/>
    <cellStyle name="Note 2 3 2 2 14 3" xfId="11947"/>
    <cellStyle name="Note 2 3 2 2 14 4" xfId="11948"/>
    <cellStyle name="Note 2 3 2 2 14 5" xfId="11949"/>
    <cellStyle name="Note 2 3 2 2 15" xfId="11950"/>
    <cellStyle name="Note 2 3 2 2 15 2" xfId="11951"/>
    <cellStyle name="Note 2 3 2 2 15 3" xfId="11952"/>
    <cellStyle name="Note 2 3 2 2 15 4" xfId="11953"/>
    <cellStyle name="Note 2 3 2 2 15 5" xfId="11954"/>
    <cellStyle name="Note 2 3 2 2 16" xfId="11955"/>
    <cellStyle name="Note 2 3 2 2 16 2" xfId="11956"/>
    <cellStyle name="Note 2 3 2 2 16 3" xfId="11957"/>
    <cellStyle name="Note 2 3 2 2 16 4" xfId="11958"/>
    <cellStyle name="Note 2 3 2 2 16 5" xfId="11959"/>
    <cellStyle name="Note 2 3 2 2 17" xfId="11960"/>
    <cellStyle name="Note 2 3 2 2 17 2" xfId="11961"/>
    <cellStyle name="Note 2 3 2 2 17 3" xfId="11962"/>
    <cellStyle name="Note 2 3 2 2 17 4" xfId="11963"/>
    <cellStyle name="Note 2 3 2 2 17 5" xfId="11964"/>
    <cellStyle name="Note 2 3 2 2 18" xfId="11965"/>
    <cellStyle name="Note 2 3 2 2 19" xfId="792"/>
    <cellStyle name="Note 2 3 2 2 2" xfId="575"/>
    <cellStyle name="Note 2 3 2 2 2 10" xfId="11966"/>
    <cellStyle name="Note 2 3 2 2 2 10 2" xfId="11967"/>
    <cellStyle name="Note 2 3 2 2 2 10 3" xfId="11968"/>
    <cellStyle name="Note 2 3 2 2 2 10 4" xfId="11969"/>
    <cellStyle name="Note 2 3 2 2 2 10 5" xfId="11970"/>
    <cellStyle name="Note 2 3 2 2 2 10 6" xfId="44678"/>
    <cellStyle name="Note 2 3 2 2 2 10 7" xfId="52802"/>
    <cellStyle name="Note 2 3 2 2 2 11" xfId="11971"/>
    <cellStyle name="Note 2 3 2 2 2 11 2" xfId="11972"/>
    <cellStyle name="Note 2 3 2 2 2 11 3" xfId="11973"/>
    <cellStyle name="Note 2 3 2 2 2 11 4" xfId="11974"/>
    <cellStyle name="Note 2 3 2 2 2 11 5" xfId="11975"/>
    <cellStyle name="Note 2 3 2 2 2 12" xfId="11976"/>
    <cellStyle name="Note 2 3 2 2 2 12 2" xfId="11977"/>
    <cellStyle name="Note 2 3 2 2 2 12 3" xfId="11978"/>
    <cellStyle name="Note 2 3 2 2 2 12 4" xfId="11979"/>
    <cellStyle name="Note 2 3 2 2 2 12 5" xfId="11980"/>
    <cellStyle name="Note 2 3 2 2 2 13" xfId="11981"/>
    <cellStyle name="Note 2 3 2 2 2 13 2" xfId="11982"/>
    <cellStyle name="Note 2 3 2 2 2 13 3" xfId="11983"/>
    <cellStyle name="Note 2 3 2 2 2 13 4" xfId="11984"/>
    <cellStyle name="Note 2 3 2 2 2 13 5" xfId="11985"/>
    <cellStyle name="Note 2 3 2 2 2 14" xfId="11986"/>
    <cellStyle name="Note 2 3 2 2 2 14 2" xfId="11987"/>
    <cellStyle name="Note 2 3 2 2 2 14 3" xfId="11988"/>
    <cellStyle name="Note 2 3 2 2 2 14 4" xfId="11989"/>
    <cellStyle name="Note 2 3 2 2 2 14 5" xfId="11990"/>
    <cellStyle name="Note 2 3 2 2 2 15" xfId="11991"/>
    <cellStyle name="Note 2 3 2 2 2 15 2" xfId="11992"/>
    <cellStyle name="Note 2 3 2 2 2 15 3" xfId="11993"/>
    <cellStyle name="Note 2 3 2 2 2 15 4" xfId="11994"/>
    <cellStyle name="Note 2 3 2 2 2 15 5" xfId="11995"/>
    <cellStyle name="Note 2 3 2 2 2 16" xfId="11996"/>
    <cellStyle name="Note 2 3 2 2 2 16 2" xfId="11997"/>
    <cellStyle name="Note 2 3 2 2 2 16 3" xfId="11998"/>
    <cellStyle name="Note 2 3 2 2 2 16 4" xfId="11999"/>
    <cellStyle name="Note 2 3 2 2 2 16 5" xfId="12000"/>
    <cellStyle name="Note 2 3 2 2 2 17" xfId="12001"/>
    <cellStyle name="Note 2 3 2 2 2 17 2" xfId="12002"/>
    <cellStyle name="Note 2 3 2 2 2 17 3" xfId="12003"/>
    <cellStyle name="Note 2 3 2 2 2 17 4" xfId="12004"/>
    <cellStyle name="Note 2 3 2 2 2 17 5" xfId="12005"/>
    <cellStyle name="Note 2 3 2 2 2 18" xfId="12006"/>
    <cellStyle name="Note 2 3 2 2 2 19" xfId="1004"/>
    <cellStyle name="Note 2 3 2 2 2 2" xfId="2150"/>
    <cellStyle name="Note 2 3 2 2 2 2 2" xfId="12007"/>
    <cellStyle name="Note 2 3 2 2 2 2 3" xfId="12008"/>
    <cellStyle name="Note 2 3 2 2 2 2 4" xfId="12009"/>
    <cellStyle name="Note 2 3 2 2 2 2 5" xfId="12010"/>
    <cellStyle name="Note 2 3 2 2 2 2 6" xfId="36379"/>
    <cellStyle name="Note 2 3 2 2 2 2 7" xfId="44679"/>
    <cellStyle name="Note 2 3 2 2 2 2 8" xfId="52803"/>
    <cellStyle name="Note 2 3 2 2 2 20" xfId="35084"/>
    <cellStyle name="Note 2 3 2 2 2 21" xfId="41303"/>
    <cellStyle name="Note 2 3 2 2 2 3" xfId="2151"/>
    <cellStyle name="Note 2 3 2 2 2 3 2" xfId="12011"/>
    <cellStyle name="Note 2 3 2 2 2 3 3" xfId="12012"/>
    <cellStyle name="Note 2 3 2 2 2 3 4" xfId="12013"/>
    <cellStyle name="Note 2 3 2 2 2 3 5" xfId="12014"/>
    <cellStyle name="Note 2 3 2 2 2 3 6" xfId="36876"/>
    <cellStyle name="Note 2 3 2 2 2 3 7" xfId="44680"/>
    <cellStyle name="Note 2 3 2 2 2 3 8" xfId="52804"/>
    <cellStyle name="Note 2 3 2 2 2 4" xfId="1230"/>
    <cellStyle name="Note 2 3 2 2 2 4 2" xfId="12015"/>
    <cellStyle name="Note 2 3 2 2 2 4 3" xfId="12016"/>
    <cellStyle name="Note 2 3 2 2 2 4 4" xfId="12017"/>
    <cellStyle name="Note 2 3 2 2 2 4 5" xfId="12018"/>
    <cellStyle name="Note 2 3 2 2 2 4 6" xfId="37492"/>
    <cellStyle name="Note 2 3 2 2 2 4 7" xfId="44681"/>
    <cellStyle name="Note 2 3 2 2 2 4 8" xfId="52805"/>
    <cellStyle name="Note 2 3 2 2 2 5" xfId="3298"/>
    <cellStyle name="Note 2 3 2 2 2 5 2" xfId="12019"/>
    <cellStyle name="Note 2 3 2 2 2 5 3" xfId="12020"/>
    <cellStyle name="Note 2 3 2 2 2 5 4" xfId="12021"/>
    <cellStyle name="Note 2 3 2 2 2 5 5" xfId="12022"/>
    <cellStyle name="Note 2 3 2 2 2 5 6" xfId="38108"/>
    <cellStyle name="Note 2 3 2 2 2 5 7" xfId="44682"/>
    <cellStyle name="Note 2 3 2 2 2 5 8" xfId="52806"/>
    <cellStyle name="Note 2 3 2 2 2 6" xfId="3620"/>
    <cellStyle name="Note 2 3 2 2 2 6 2" xfId="12023"/>
    <cellStyle name="Note 2 3 2 2 2 6 3" xfId="12024"/>
    <cellStyle name="Note 2 3 2 2 2 6 4" xfId="12025"/>
    <cellStyle name="Note 2 3 2 2 2 6 5" xfId="12026"/>
    <cellStyle name="Note 2 3 2 2 2 6 6" xfId="38726"/>
    <cellStyle name="Note 2 3 2 2 2 6 7" xfId="44683"/>
    <cellStyle name="Note 2 3 2 2 2 6 8" xfId="52807"/>
    <cellStyle name="Note 2 3 2 2 2 7" xfId="12027"/>
    <cellStyle name="Note 2 3 2 2 2 7 2" xfId="12028"/>
    <cellStyle name="Note 2 3 2 2 2 7 3" xfId="12029"/>
    <cellStyle name="Note 2 3 2 2 2 7 4" xfId="12030"/>
    <cellStyle name="Note 2 3 2 2 2 7 5" xfId="12031"/>
    <cellStyle name="Note 2 3 2 2 2 7 6" xfId="39346"/>
    <cellStyle name="Note 2 3 2 2 2 7 7" xfId="44684"/>
    <cellStyle name="Note 2 3 2 2 2 7 8" xfId="52808"/>
    <cellStyle name="Note 2 3 2 2 2 8" xfId="12032"/>
    <cellStyle name="Note 2 3 2 2 2 8 2" xfId="12033"/>
    <cellStyle name="Note 2 3 2 2 2 8 3" xfId="12034"/>
    <cellStyle name="Note 2 3 2 2 2 8 4" xfId="12035"/>
    <cellStyle name="Note 2 3 2 2 2 8 5" xfId="12036"/>
    <cellStyle name="Note 2 3 2 2 2 8 6" xfId="39962"/>
    <cellStyle name="Note 2 3 2 2 2 8 7" xfId="44685"/>
    <cellStyle name="Note 2 3 2 2 2 8 8" xfId="52809"/>
    <cellStyle name="Note 2 3 2 2 2 9" xfId="12037"/>
    <cellStyle name="Note 2 3 2 2 2 9 2" xfId="12038"/>
    <cellStyle name="Note 2 3 2 2 2 9 3" xfId="12039"/>
    <cellStyle name="Note 2 3 2 2 2 9 4" xfId="12040"/>
    <cellStyle name="Note 2 3 2 2 2 9 5" xfId="12041"/>
    <cellStyle name="Note 2 3 2 2 2 9 6" xfId="40577"/>
    <cellStyle name="Note 2 3 2 2 2 9 7" xfId="44686"/>
    <cellStyle name="Note 2 3 2 2 2 9 8" xfId="52810"/>
    <cellStyle name="Note 2 3 2 2 20" xfId="34890"/>
    <cellStyle name="Note 2 3 2 2 21" xfId="40876"/>
    <cellStyle name="Note 2 3 2 2 22" xfId="41437"/>
    <cellStyle name="Note 2 3 2 2 23" xfId="50524"/>
    <cellStyle name="Note 2 3 2 2 3" xfId="2152"/>
    <cellStyle name="Note 2 3 2 2 3 10" xfId="34910"/>
    <cellStyle name="Note 2 3 2 2 3 10 2" xfId="44688"/>
    <cellStyle name="Note 2 3 2 2 3 10 3" xfId="52812"/>
    <cellStyle name="Note 2 3 2 2 3 11" xfId="41091"/>
    <cellStyle name="Note 2 3 2 2 3 12" xfId="44687"/>
    <cellStyle name="Note 2 3 2 2 3 13" xfId="52811"/>
    <cellStyle name="Note 2 3 2 2 3 2" xfId="2153"/>
    <cellStyle name="Note 2 3 2 2 3 2 2" xfId="36168"/>
    <cellStyle name="Note 2 3 2 2 3 2 3" xfId="44689"/>
    <cellStyle name="Note 2 3 2 2 3 2 4" xfId="52813"/>
    <cellStyle name="Note 2 3 2 2 3 3" xfId="12042"/>
    <cellStyle name="Note 2 3 2 2 3 3 2" xfId="36665"/>
    <cellStyle name="Note 2 3 2 2 3 3 3" xfId="44690"/>
    <cellStyle name="Note 2 3 2 2 3 3 4" xfId="52814"/>
    <cellStyle name="Note 2 3 2 2 3 4" xfId="12043"/>
    <cellStyle name="Note 2 3 2 2 3 4 2" xfId="37281"/>
    <cellStyle name="Note 2 3 2 2 3 4 3" xfId="44691"/>
    <cellStyle name="Note 2 3 2 2 3 4 4" xfId="52815"/>
    <cellStyle name="Note 2 3 2 2 3 5" xfId="12044"/>
    <cellStyle name="Note 2 3 2 2 3 5 2" xfId="37897"/>
    <cellStyle name="Note 2 3 2 2 3 5 3" xfId="44692"/>
    <cellStyle name="Note 2 3 2 2 3 5 4" xfId="52816"/>
    <cellStyle name="Note 2 3 2 2 3 6" xfId="38514"/>
    <cellStyle name="Note 2 3 2 2 3 6 2" xfId="44693"/>
    <cellStyle name="Note 2 3 2 2 3 6 3" xfId="52817"/>
    <cellStyle name="Note 2 3 2 2 3 7" xfId="39134"/>
    <cellStyle name="Note 2 3 2 2 3 7 2" xfId="44694"/>
    <cellStyle name="Note 2 3 2 2 3 7 3" xfId="52818"/>
    <cellStyle name="Note 2 3 2 2 3 8" xfId="39750"/>
    <cellStyle name="Note 2 3 2 2 3 8 2" xfId="44695"/>
    <cellStyle name="Note 2 3 2 2 3 8 3" xfId="52819"/>
    <cellStyle name="Note 2 3 2 2 3 9" xfId="40365"/>
    <cellStyle name="Note 2 3 2 2 3 9 2" xfId="44696"/>
    <cellStyle name="Note 2 3 2 2 3 9 3" xfId="52820"/>
    <cellStyle name="Note 2 3 2 2 4" xfId="2154"/>
    <cellStyle name="Note 2 3 2 2 4 10" xfId="44697"/>
    <cellStyle name="Note 2 3 2 2 4 11" xfId="52821"/>
    <cellStyle name="Note 2 3 2 2 4 2" xfId="12045"/>
    <cellStyle name="Note 2 3 2 2 4 2 2" xfId="44698"/>
    <cellStyle name="Note 2 3 2 2 4 2 3" xfId="52822"/>
    <cellStyle name="Note 2 3 2 2 4 3" xfId="12046"/>
    <cellStyle name="Note 2 3 2 2 4 3 2" xfId="44699"/>
    <cellStyle name="Note 2 3 2 2 4 3 3" xfId="52823"/>
    <cellStyle name="Note 2 3 2 2 4 4" xfId="12047"/>
    <cellStyle name="Note 2 3 2 2 4 4 2" xfId="44700"/>
    <cellStyle name="Note 2 3 2 2 4 4 3" xfId="52824"/>
    <cellStyle name="Note 2 3 2 2 4 5" xfId="12048"/>
    <cellStyle name="Note 2 3 2 2 4 5 2" xfId="44701"/>
    <cellStyle name="Note 2 3 2 2 4 5 3" xfId="52825"/>
    <cellStyle name="Note 2 3 2 2 4 6" xfId="35691"/>
    <cellStyle name="Note 2 3 2 2 4 6 2" xfId="44702"/>
    <cellStyle name="Note 2 3 2 2 4 6 3" xfId="52826"/>
    <cellStyle name="Note 2 3 2 2 4 7" xfId="44703"/>
    <cellStyle name="Note 2 3 2 2 4 7 2" xfId="52827"/>
    <cellStyle name="Note 2 3 2 2 4 8" xfId="44704"/>
    <cellStyle name="Note 2 3 2 2 4 8 2" xfId="52828"/>
    <cellStyle name="Note 2 3 2 2 4 9" xfId="44705"/>
    <cellStyle name="Note 2 3 2 2 4 9 2" xfId="52829"/>
    <cellStyle name="Note 2 3 2 2 5" xfId="1229"/>
    <cellStyle name="Note 2 3 2 2 5 2" xfId="12049"/>
    <cellStyle name="Note 2 3 2 2 5 3" xfId="12050"/>
    <cellStyle name="Note 2 3 2 2 5 4" xfId="12051"/>
    <cellStyle name="Note 2 3 2 2 5 5" xfId="12052"/>
    <cellStyle name="Note 2 3 2 2 5 6" xfId="35771"/>
    <cellStyle name="Note 2 3 2 2 5 7" xfId="44706"/>
    <cellStyle name="Note 2 3 2 2 5 8" xfId="52830"/>
    <cellStyle name="Note 2 3 2 2 6" xfId="3297"/>
    <cellStyle name="Note 2 3 2 2 6 2" xfId="12053"/>
    <cellStyle name="Note 2 3 2 2 6 3" xfId="12054"/>
    <cellStyle name="Note 2 3 2 2 6 4" xfId="12055"/>
    <cellStyle name="Note 2 3 2 2 6 5" xfId="12056"/>
    <cellStyle name="Note 2 3 2 2 6 6" xfId="37066"/>
    <cellStyle name="Note 2 3 2 2 6 7" xfId="44707"/>
    <cellStyle name="Note 2 3 2 2 6 8" xfId="52831"/>
    <cellStyle name="Note 2 3 2 2 7" xfId="3619"/>
    <cellStyle name="Note 2 3 2 2 7 2" xfId="12057"/>
    <cellStyle name="Note 2 3 2 2 7 3" xfId="12058"/>
    <cellStyle name="Note 2 3 2 2 7 4" xfId="12059"/>
    <cellStyle name="Note 2 3 2 2 7 5" xfId="12060"/>
    <cellStyle name="Note 2 3 2 2 7 6" xfId="37680"/>
    <cellStyle name="Note 2 3 2 2 7 7" xfId="44708"/>
    <cellStyle name="Note 2 3 2 2 7 8" xfId="52832"/>
    <cellStyle name="Note 2 3 2 2 8" xfId="12061"/>
    <cellStyle name="Note 2 3 2 2 8 2" xfId="12062"/>
    <cellStyle name="Note 2 3 2 2 8 3" xfId="12063"/>
    <cellStyle name="Note 2 3 2 2 8 4" xfId="12064"/>
    <cellStyle name="Note 2 3 2 2 8 5" xfId="12065"/>
    <cellStyle name="Note 2 3 2 2 8 6" xfId="38295"/>
    <cellStyle name="Note 2 3 2 2 8 7" xfId="44709"/>
    <cellStyle name="Note 2 3 2 2 8 8" xfId="52833"/>
    <cellStyle name="Note 2 3 2 2 9" xfId="12066"/>
    <cellStyle name="Note 2 3 2 2 9 2" xfId="12067"/>
    <cellStyle name="Note 2 3 2 2 9 3" xfId="12068"/>
    <cellStyle name="Note 2 3 2 2 9 4" xfId="12069"/>
    <cellStyle name="Note 2 3 2 2 9 5" xfId="12070"/>
    <cellStyle name="Note 2 3 2 2 9 6" xfId="38915"/>
    <cellStyle name="Note 2 3 2 2 9 7" xfId="44710"/>
    <cellStyle name="Note 2 3 2 2 9 8" xfId="52834"/>
    <cellStyle name="Note 2 3 2 20" xfId="40812"/>
    <cellStyle name="Note 2 3 2 3" xfId="357"/>
    <cellStyle name="Note 2 3 2 3 10" xfId="12071"/>
    <cellStyle name="Note 2 3 2 3 10 2" xfId="12072"/>
    <cellStyle name="Note 2 3 2 3 10 3" xfId="12073"/>
    <cellStyle name="Note 2 3 2 3 10 4" xfId="12074"/>
    <cellStyle name="Note 2 3 2 3 10 5" xfId="12075"/>
    <cellStyle name="Note 2 3 2 3 10 6" xfId="40151"/>
    <cellStyle name="Note 2 3 2 3 10 7" xfId="44711"/>
    <cellStyle name="Note 2 3 2 3 10 8" xfId="52835"/>
    <cellStyle name="Note 2 3 2 3 11" xfId="12076"/>
    <cellStyle name="Note 2 3 2 3 11 2" xfId="12077"/>
    <cellStyle name="Note 2 3 2 3 11 3" xfId="12078"/>
    <cellStyle name="Note 2 3 2 3 11 4" xfId="12079"/>
    <cellStyle name="Note 2 3 2 3 11 5" xfId="12080"/>
    <cellStyle name="Note 2 3 2 3 11 6" xfId="44712"/>
    <cellStyle name="Note 2 3 2 3 11 7" xfId="52836"/>
    <cellStyle name="Note 2 3 2 3 12" xfId="12081"/>
    <cellStyle name="Note 2 3 2 3 12 2" xfId="12082"/>
    <cellStyle name="Note 2 3 2 3 12 3" xfId="12083"/>
    <cellStyle name="Note 2 3 2 3 12 4" xfId="12084"/>
    <cellStyle name="Note 2 3 2 3 12 5" xfId="12085"/>
    <cellStyle name="Note 2 3 2 3 12 6" xfId="44713"/>
    <cellStyle name="Note 2 3 2 3 12 7" xfId="52837"/>
    <cellStyle name="Note 2 3 2 3 13" xfId="12086"/>
    <cellStyle name="Note 2 3 2 3 13 2" xfId="12087"/>
    <cellStyle name="Note 2 3 2 3 13 3" xfId="12088"/>
    <cellStyle name="Note 2 3 2 3 13 4" xfId="12089"/>
    <cellStyle name="Note 2 3 2 3 13 5" xfId="12090"/>
    <cellStyle name="Note 2 3 2 3 13 6" xfId="44714"/>
    <cellStyle name="Note 2 3 2 3 13 7" xfId="52838"/>
    <cellStyle name="Note 2 3 2 3 14" xfId="12091"/>
    <cellStyle name="Note 2 3 2 3 14 2" xfId="12092"/>
    <cellStyle name="Note 2 3 2 3 14 3" xfId="12093"/>
    <cellStyle name="Note 2 3 2 3 14 4" xfId="12094"/>
    <cellStyle name="Note 2 3 2 3 14 5" xfId="12095"/>
    <cellStyle name="Note 2 3 2 3 15" xfId="12096"/>
    <cellStyle name="Note 2 3 2 3 15 2" xfId="12097"/>
    <cellStyle name="Note 2 3 2 3 15 3" xfId="12098"/>
    <cellStyle name="Note 2 3 2 3 15 4" xfId="12099"/>
    <cellStyle name="Note 2 3 2 3 15 5" xfId="12100"/>
    <cellStyle name="Note 2 3 2 3 16" xfId="12101"/>
    <cellStyle name="Note 2 3 2 3 16 2" xfId="12102"/>
    <cellStyle name="Note 2 3 2 3 16 3" xfId="12103"/>
    <cellStyle name="Note 2 3 2 3 16 4" xfId="12104"/>
    <cellStyle name="Note 2 3 2 3 16 5" xfId="12105"/>
    <cellStyle name="Note 2 3 2 3 17" xfId="12106"/>
    <cellStyle name="Note 2 3 2 3 17 2" xfId="12107"/>
    <cellStyle name="Note 2 3 2 3 17 3" xfId="12108"/>
    <cellStyle name="Note 2 3 2 3 17 4" xfId="12109"/>
    <cellStyle name="Note 2 3 2 3 17 5" xfId="12110"/>
    <cellStyle name="Note 2 3 2 3 18" xfId="12111"/>
    <cellStyle name="Note 2 3 2 3 19" xfId="793"/>
    <cellStyle name="Note 2 3 2 3 2" xfId="576"/>
    <cellStyle name="Note 2 3 2 3 2 10" xfId="12112"/>
    <cellStyle name="Note 2 3 2 3 2 10 2" xfId="12113"/>
    <cellStyle name="Note 2 3 2 3 2 10 3" xfId="12114"/>
    <cellStyle name="Note 2 3 2 3 2 10 4" xfId="12115"/>
    <cellStyle name="Note 2 3 2 3 2 10 5" xfId="12116"/>
    <cellStyle name="Note 2 3 2 3 2 10 6" xfId="44715"/>
    <cellStyle name="Note 2 3 2 3 2 10 7" xfId="52839"/>
    <cellStyle name="Note 2 3 2 3 2 11" xfId="12117"/>
    <cellStyle name="Note 2 3 2 3 2 11 2" xfId="12118"/>
    <cellStyle name="Note 2 3 2 3 2 11 3" xfId="12119"/>
    <cellStyle name="Note 2 3 2 3 2 11 4" xfId="12120"/>
    <cellStyle name="Note 2 3 2 3 2 11 5" xfId="12121"/>
    <cellStyle name="Note 2 3 2 3 2 12" xfId="12122"/>
    <cellStyle name="Note 2 3 2 3 2 12 2" xfId="12123"/>
    <cellStyle name="Note 2 3 2 3 2 12 3" xfId="12124"/>
    <cellStyle name="Note 2 3 2 3 2 12 4" xfId="12125"/>
    <cellStyle name="Note 2 3 2 3 2 12 5" xfId="12126"/>
    <cellStyle name="Note 2 3 2 3 2 13" xfId="12127"/>
    <cellStyle name="Note 2 3 2 3 2 13 2" xfId="12128"/>
    <cellStyle name="Note 2 3 2 3 2 13 3" xfId="12129"/>
    <cellStyle name="Note 2 3 2 3 2 13 4" xfId="12130"/>
    <cellStyle name="Note 2 3 2 3 2 13 5" xfId="12131"/>
    <cellStyle name="Note 2 3 2 3 2 14" xfId="12132"/>
    <cellStyle name="Note 2 3 2 3 2 14 2" xfId="12133"/>
    <cellStyle name="Note 2 3 2 3 2 14 3" xfId="12134"/>
    <cellStyle name="Note 2 3 2 3 2 14 4" xfId="12135"/>
    <cellStyle name="Note 2 3 2 3 2 14 5" xfId="12136"/>
    <cellStyle name="Note 2 3 2 3 2 15" xfId="12137"/>
    <cellStyle name="Note 2 3 2 3 2 15 2" xfId="12138"/>
    <cellStyle name="Note 2 3 2 3 2 15 3" xfId="12139"/>
    <cellStyle name="Note 2 3 2 3 2 15 4" xfId="12140"/>
    <cellStyle name="Note 2 3 2 3 2 15 5" xfId="12141"/>
    <cellStyle name="Note 2 3 2 3 2 16" xfId="12142"/>
    <cellStyle name="Note 2 3 2 3 2 16 2" xfId="12143"/>
    <cellStyle name="Note 2 3 2 3 2 16 3" xfId="12144"/>
    <cellStyle name="Note 2 3 2 3 2 16 4" xfId="12145"/>
    <cellStyle name="Note 2 3 2 3 2 16 5" xfId="12146"/>
    <cellStyle name="Note 2 3 2 3 2 17" xfId="12147"/>
    <cellStyle name="Note 2 3 2 3 2 17 2" xfId="12148"/>
    <cellStyle name="Note 2 3 2 3 2 17 3" xfId="12149"/>
    <cellStyle name="Note 2 3 2 3 2 17 4" xfId="12150"/>
    <cellStyle name="Note 2 3 2 3 2 17 5" xfId="12151"/>
    <cellStyle name="Note 2 3 2 3 2 18" xfId="12152"/>
    <cellStyle name="Note 2 3 2 3 2 19" xfId="1005"/>
    <cellStyle name="Note 2 3 2 3 2 2" xfId="2155"/>
    <cellStyle name="Note 2 3 2 3 2 2 2" xfId="12153"/>
    <cellStyle name="Note 2 3 2 3 2 2 3" xfId="12154"/>
    <cellStyle name="Note 2 3 2 3 2 2 4" xfId="12155"/>
    <cellStyle name="Note 2 3 2 3 2 2 5" xfId="12156"/>
    <cellStyle name="Note 2 3 2 3 2 2 6" xfId="36380"/>
    <cellStyle name="Note 2 3 2 3 2 2 7" xfId="44716"/>
    <cellStyle name="Note 2 3 2 3 2 2 8" xfId="52840"/>
    <cellStyle name="Note 2 3 2 3 2 20" xfId="35085"/>
    <cellStyle name="Note 2 3 2 3 2 21" xfId="41304"/>
    <cellStyle name="Note 2 3 2 3 2 3" xfId="2156"/>
    <cellStyle name="Note 2 3 2 3 2 3 2" xfId="12157"/>
    <cellStyle name="Note 2 3 2 3 2 3 3" xfId="12158"/>
    <cellStyle name="Note 2 3 2 3 2 3 4" xfId="12159"/>
    <cellStyle name="Note 2 3 2 3 2 3 5" xfId="12160"/>
    <cellStyle name="Note 2 3 2 3 2 3 6" xfId="36877"/>
    <cellStyle name="Note 2 3 2 3 2 3 7" xfId="44717"/>
    <cellStyle name="Note 2 3 2 3 2 3 8" xfId="52841"/>
    <cellStyle name="Note 2 3 2 3 2 4" xfId="1232"/>
    <cellStyle name="Note 2 3 2 3 2 4 2" xfId="12161"/>
    <cellStyle name="Note 2 3 2 3 2 4 3" xfId="12162"/>
    <cellStyle name="Note 2 3 2 3 2 4 4" xfId="12163"/>
    <cellStyle name="Note 2 3 2 3 2 4 5" xfId="12164"/>
    <cellStyle name="Note 2 3 2 3 2 4 6" xfId="37493"/>
    <cellStyle name="Note 2 3 2 3 2 4 7" xfId="44718"/>
    <cellStyle name="Note 2 3 2 3 2 4 8" xfId="52842"/>
    <cellStyle name="Note 2 3 2 3 2 5" xfId="3300"/>
    <cellStyle name="Note 2 3 2 3 2 5 2" xfId="12165"/>
    <cellStyle name="Note 2 3 2 3 2 5 3" xfId="12166"/>
    <cellStyle name="Note 2 3 2 3 2 5 4" xfId="12167"/>
    <cellStyle name="Note 2 3 2 3 2 5 5" xfId="12168"/>
    <cellStyle name="Note 2 3 2 3 2 5 6" xfId="38109"/>
    <cellStyle name="Note 2 3 2 3 2 5 7" xfId="44719"/>
    <cellStyle name="Note 2 3 2 3 2 5 8" xfId="52843"/>
    <cellStyle name="Note 2 3 2 3 2 6" xfId="3622"/>
    <cellStyle name="Note 2 3 2 3 2 6 2" xfId="12169"/>
    <cellStyle name="Note 2 3 2 3 2 6 3" xfId="12170"/>
    <cellStyle name="Note 2 3 2 3 2 6 4" xfId="12171"/>
    <cellStyle name="Note 2 3 2 3 2 6 5" xfId="12172"/>
    <cellStyle name="Note 2 3 2 3 2 6 6" xfId="38727"/>
    <cellStyle name="Note 2 3 2 3 2 6 7" xfId="44720"/>
    <cellStyle name="Note 2 3 2 3 2 6 8" xfId="52844"/>
    <cellStyle name="Note 2 3 2 3 2 7" xfId="12173"/>
    <cellStyle name="Note 2 3 2 3 2 7 2" xfId="12174"/>
    <cellStyle name="Note 2 3 2 3 2 7 3" xfId="12175"/>
    <cellStyle name="Note 2 3 2 3 2 7 4" xfId="12176"/>
    <cellStyle name="Note 2 3 2 3 2 7 5" xfId="12177"/>
    <cellStyle name="Note 2 3 2 3 2 7 6" xfId="39347"/>
    <cellStyle name="Note 2 3 2 3 2 7 7" xfId="44721"/>
    <cellStyle name="Note 2 3 2 3 2 7 8" xfId="52845"/>
    <cellStyle name="Note 2 3 2 3 2 8" xfId="12178"/>
    <cellStyle name="Note 2 3 2 3 2 8 2" xfId="12179"/>
    <cellStyle name="Note 2 3 2 3 2 8 3" xfId="12180"/>
    <cellStyle name="Note 2 3 2 3 2 8 4" xfId="12181"/>
    <cellStyle name="Note 2 3 2 3 2 8 5" xfId="12182"/>
    <cellStyle name="Note 2 3 2 3 2 8 6" xfId="39963"/>
    <cellStyle name="Note 2 3 2 3 2 8 7" xfId="44722"/>
    <cellStyle name="Note 2 3 2 3 2 8 8" xfId="52846"/>
    <cellStyle name="Note 2 3 2 3 2 9" xfId="12183"/>
    <cellStyle name="Note 2 3 2 3 2 9 2" xfId="12184"/>
    <cellStyle name="Note 2 3 2 3 2 9 3" xfId="12185"/>
    <cellStyle name="Note 2 3 2 3 2 9 4" xfId="12186"/>
    <cellStyle name="Note 2 3 2 3 2 9 5" xfId="12187"/>
    <cellStyle name="Note 2 3 2 3 2 9 6" xfId="40578"/>
    <cellStyle name="Note 2 3 2 3 2 9 7" xfId="44723"/>
    <cellStyle name="Note 2 3 2 3 2 9 8" xfId="52847"/>
    <cellStyle name="Note 2 3 2 3 20" xfId="34928"/>
    <cellStyle name="Note 2 3 2 3 21" xfId="40877"/>
    <cellStyle name="Note 2 3 2 3 22" xfId="41438"/>
    <cellStyle name="Note 2 3 2 3 23" xfId="50525"/>
    <cellStyle name="Note 2 3 2 3 3" xfId="2157"/>
    <cellStyle name="Note 2 3 2 3 3 10" xfId="34797"/>
    <cellStyle name="Note 2 3 2 3 3 10 2" xfId="44725"/>
    <cellStyle name="Note 2 3 2 3 3 10 3" xfId="52849"/>
    <cellStyle name="Note 2 3 2 3 3 11" xfId="41092"/>
    <cellStyle name="Note 2 3 2 3 3 12" xfId="44724"/>
    <cellStyle name="Note 2 3 2 3 3 13" xfId="52848"/>
    <cellStyle name="Note 2 3 2 3 3 2" xfId="2158"/>
    <cellStyle name="Note 2 3 2 3 3 2 2" xfId="36169"/>
    <cellStyle name="Note 2 3 2 3 3 2 3" xfId="44726"/>
    <cellStyle name="Note 2 3 2 3 3 2 4" xfId="52850"/>
    <cellStyle name="Note 2 3 2 3 3 3" xfId="12188"/>
    <cellStyle name="Note 2 3 2 3 3 3 2" xfId="36666"/>
    <cellStyle name="Note 2 3 2 3 3 3 3" xfId="44727"/>
    <cellStyle name="Note 2 3 2 3 3 3 4" xfId="52851"/>
    <cellStyle name="Note 2 3 2 3 3 4" xfId="12189"/>
    <cellStyle name="Note 2 3 2 3 3 4 2" xfId="37282"/>
    <cellStyle name="Note 2 3 2 3 3 4 3" xfId="44728"/>
    <cellStyle name="Note 2 3 2 3 3 4 4" xfId="52852"/>
    <cellStyle name="Note 2 3 2 3 3 5" xfId="12190"/>
    <cellStyle name="Note 2 3 2 3 3 5 2" xfId="37898"/>
    <cellStyle name="Note 2 3 2 3 3 5 3" xfId="44729"/>
    <cellStyle name="Note 2 3 2 3 3 5 4" xfId="52853"/>
    <cellStyle name="Note 2 3 2 3 3 6" xfId="38515"/>
    <cellStyle name="Note 2 3 2 3 3 6 2" xfId="44730"/>
    <cellStyle name="Note 2 3 2 3 3 6 3" xfId="52854"/>
    <cellStyle name="Note 2 3 2 3 3 7" xfId="39135"/>
    <cellStyle name="Note 2 3 2 3 3 7 2" xfId="44731"/>
    <cellStyle name="Note 2 3 2 3 3 7 3" xfId="52855"/>
    <cellStyle name="Note 2 3 2 3 3 8" xfId="39751"/>
    <cellStyle name="Note 2 3 2 3 3 8 2" xfId="44732"/>
    <cellStyle name="Note 2 3 2 3 3 8 3" xfId="52856"/>
    <cellStyle name="Note 2 3 2 3 3 9" xfId="40366"/>
    <cellStyle name="Note 2 3 2 3 3 9 2" xfId="44733"/>
    <cellStyle name="Note 2 3 2 3 3 9 3" xfId="52857"/>
    <cellStyle name="Note 2 3 2 3 4" xfId="2159"/>
    <cellStyle name="Note 2 3 2 3 4 10" xfId="44734"/>
    <cellStyle name="Note 2 3 2 3 4 11" xfId="52858"/>
    <cellStyle name="Note 2 3 2 3 4 2" xfId="12191"/>
    <cellStyle name="Note 2 3 2 3 4 2 2" xfId="44735"/>
    <cellStyle name="Note 2 3 2 3 4 2 3" xfId="52859"/>
    <cellStyle name="Note 2 3 2 3 4 3" xfId="12192"/>
    <cellStyle name="Note 2 3 2 3 4 3 2" xfId="44736"/>
    <cellStyle name="Note 2 3 2 3 4 3 3" xfId="52860"/>
    <cellStyle name="Note 2 3 2 3 4 4" xfId="12193"/>
    <cellStyle name="Note 2 3 2 3 4 4 2" xfId="44737"/>
    <cellStyle name="Note 2 3 2 3 4 4 3" xfId="52861"/>
    <cellStyle name="Note 2 3 2 3 4 5" xfId="12194"/>
    <cellStyle name="Note 2 3 2 3 4 5 2" xfId="44738"/>
    <cellStyle name="Note 2 3 2 3 4 5 3" xfId="52862"/>
    <cellStyle name="Note 2 3 2 3 4 6" xfId="35770"/>
    <cellStyle name="Note 2 3 2 3 4 6 2" xfId="44739"/>
    <cellStyle name="Note 2 3 2 3 4 6 3" xfId="52863"/>
    <cellStyle name="Note 2 3 2 3 4 7" xfId="44740"/>
    <cellStyle name="Note 2 3 2 3 4 7 2" xfId="52864"/>
    <cellStyle name="Note 2 3 2 3 4 8" xfId="44741"/>
    <cellStyle name="Note 2 3 2 3 4 8 2" xfId="52865"/>
    <cellStyle name="Note 2 3 2 3 4 9" xfId="44742"/>
    <cellStyle name="Note 2 3 2 3 4 9 2" xfId="52866"/>
    <cellStyle name="Note 2 3 2 3 5" xfId="1231"/>
    <cellStyle name="Note 2 3 2 3 5 2" xfId="12195"/>
    <cellStyle name="Note 2 3 2 3 5 3" xfId="12196"/>
    <cellStyle name="Note 2 3 2 3 5 4" xfId="12197"/>
    <cellStyle name="Note 2 3 2 3 5 5" xfId="12198"/>
    <cellStyle name="Note 2 3 2 3 5 6" xfId="37067"/>
    <cellStyle name="Note 2 3 2 3 5 7" xfId="44743"/>
    <cellStyle name="Note 2 3 2 3 5 8" xfId="52867"/>
    <cellStyle name="Note 2 3 2 3 6" xfId="3299"/>
    <cellStyle name="Note 2 3 2 3 6 2" xfId="12199"/>
    <cellStyle name="Note 2 3 2 3 6 3" xfId="12200"/>
    <cellStyle name="Note 2 3 2 3 6 4" xfId="12201"/>
    <cellStyle name="Note 2 3 2 3 6 5" xfId="12202"/>
    <cellStyle name="Note 2 3 2 3 6 6" xfId="37681"/>
    <cellStyle name="Note 2 3 2 3 6 7" xfId="44744"/>
    <cellStyle name="Note 2 3 2 3 6 8" xfId="52868"/>
    <cellStyle name="Note 2 3 2 3 7" xfId="3621"/>
    <cellStyle name="Note 2 3 2 3 7 2" xfId="12203"/>
    <cellStyle name="Note 2 3 2 3 7 3" xfId="12204"/>
    <cellStyle name="Note 2 3 2 3 7 4" xfId="12205"/>
    <cellStyle name="Note 2 3 2 3 7 5" xfId="12206"/>
    <cellStyle name="Note 2 3 2 3 7 6" xfId="38296"/>
    <cellStyle name="Note 2 3 2 3 7 7" xfId="44745"/>
    <cellStyle name="Note 2 3 2 3 7 8" xfId="52869"/>
    <cellStyle name="Note 2 3 2 3 8" xfId="12207"/>
    <cellStyle name="Note 2 3 2 3 8 2" xfId="12208"/>
    <cellStyle name="Note 2 3 2 3 8 3" xfId="12209"/>
    <cellStyle name="Note 2 3 2 3 8 4" xfId="12210"/>
    <cellStyle name="Note 2 3 2 3 8 5" xfId="12211"/>
    <cellStyle name="Note 2 3 2 3 8 6" xfId="38916"/>
    <cellStyle name="Note 2 3 2 3 8 7" xfId="44746"/>
    <cellStyle name="Note 2 3 2 3 8 8" xfId="52870"/>
    <cellStyle name="Note 2 3 2 3 9" xfId="12212"/>
    <cellStyle name="Note 2 3 2 3 9 2" xfId="12213"/>
    <cellStyle name="Note 2 3 2 3 9 3" xfId="12214"/>
    <cellStyle name="Note 2 3 2 3 9 4" xfId="12215"/>
    <cellStyle name="Note 2 3 2 3 9 5" xfId="12216"/>
    <cellStyle name="Note 2 3 2 3 9 6" xfId="39535"/>
    <cellStyle name="Note 2 3 2 3 9 7" xfId="44747"/>
    <cellStyle name="Note 2 3 2 3 9 8" xfId="52871"/>
    <cellStyle name="Note 2 3 2 4" xfId="513"/>
    <cellStyle name="Note 2 3 2 4 10" xfId="12217"/>
    <cellStyle name="Note 2 3 2 4 10 2" xfId="12218"/>
    <cellStyle name="Note 2 3 2 4 10 3" xfId="12219"/>
    <cellStyle name="Note 2 3 2 4 10 4" xfId="12220"/>
    <cellStyle name="Note 2 3 2 4 10 5" xfId="12221"/>
    <cellStyle name="Note 2 3 2 4 10 6" xfId="44748"/>
    <cellStyle name="Note 2 3 2 4 10 7" xfId="52872"/>
    <cellStyle name="Note 2 3 2 4 11" xfId="12222"/>
    <cellStyle name="Note 2 3 2 4 11 2" xfId="12223"/>
    <cellStyle name="Note 2 3 2 4 11 3" xfId="12224"/>
    <cellStyle name="Note 2 3 2 4 11 4" xfId="12225"/>
    <cellStyle name="Note 2 3 2 4 11 5" xfId="12226"/>
    <cellStyle name="Note 2 3 2 4 12" xfId="12227"/>
    <cellStyle name="Note 2 3 2 4 12 2" xfId="12228"/>
    <cellStyle name="Note 2 3 2 4 12 3" xfId="12229"/>
    <cellStyle name="Note 2 3 2 4 12 4" xfId="12230"/>
    <cellStyle name="Note 2 3 2 4 12 5" xfId="12231"/>
    <cellStyle name="Note 2 3 2 4 13" xfId="12232"/>
    <cellStyle name="Note 2 3 2 4 13 2" xfId="12233"/>
    <cellStyle name="Note 2 3 2 4 13 3" xfId="12234"/>
    <cellStyle name="Note 2 3 2 4 13 4" xfId="12235"/>
    <cellStyle name="Note 2 3 2 4 13 5" xfId="12236"/>
    <cellStyle name="Note 2 3 2 4 14" xfId="12237"/>
    <cellStyle name="Note 2 3 2 4 14 2" xfId="12238"/>
    <cellStyle name="Note 2 3 2 4 14 3" xfId="12239"/>
    <cellStyle name="Note 2 3 2 4 14 4" xfId="12240"/>
    <cellStyle name="Note 2 3 2 4 14 5" xfId="12241"/>
    <cellStyle name="Note 2 3 2 4 15" xfId="12242"/>
    <cellStyle name="Note 2 3 2 4 15 2" xfId="12243"/>
    <cellStyle name="Note 2 3 2 4 15 3" xfId="12244"/>
    <cellStyle name="Note 2 3 2 4 15 4" xfId="12245"/>
    <cellStyle name="Note 2 3 2 4 15 5" xfId="12246"/>
    <cellStyle name="Note 2 3 2 4 16" xfId="12247"/>
    <cellStyle name="Note 2 3 2 4 16 2" xfId="12248"/>
    <cellStyle name="Note 2 3 2 4 16 3" xfId="12249"/>
    <cellStyle name="Note 2 3 2 4 16 4" xfId="12250"/>
    <cellStyle name="Note 2 3 2 4 16 5" xfId="12251"/>
    <cellStyle name="Note 2 3 2 4 17" xfId="12252"/>
    <cellStyle name="Note 2 3 2 4 17 2" xfId="12253"/>
    <cellStyle name="Note 2 3 2 4 17 3" xfId="12254"/>
    <cellStyle name="Note 2 3 2 4 17 4" xfId="12255"/>
    <cellStyle name="Note 2 3 2 4 17 5" xfId="12256"/>
    <cellStyle name="Note 2 3 2 4 18" xfId="12257"/>
    <cellStyle name="Note 2 3 2 4 19" xfId="942"/>
    <cellStyle name="Note 2 3 2 4 2" xfId="2160"/>
    <cellStyle name="Note 2 3 2 4 2 2" xfId="12258"/>
    <cellStyle name="Note 2 3 2 4 2 3" xfId="12259"/>
    <cellStyle name="Note 2 3 2 4 2 4" xfId="12260"/>
    <cellStyle name="Note 2 3 2 4 2 5" xfId="12261"/>
    <cellStyle name="Note 2 3 2 4 2 6" xfId="36317"/>
    <cellStyle name="Note 2 3 2 4 2 7" xfId="44749"/>
    <cellStyle name="Note 2 3 2 4 2 8" xfId="52873"/>
    <cellStyle name="Note 2 3 2 4 20" xfId="35022"/>
    <cellStyle name="Note 2 3 2 4 21" xfId="40731"/>
    <cellStyle name="Note 2 3 2 4 22" xfId="41241"/>
    <cellStyle name="Note 2 3 2 4 3" xfId="2161"/>
    <cellStyle name="Note 2 3 2 4 3 2" xfId="12262"/>
    <cellStyle name="Note 2 3 2 4 3 3" xfId="12263"/>
    <cellStyle name="Note 2 3 2 4 3 4" xfId="12264"/>
    <cellStyle name="Note 2 3 2 4 3 5" xfId="12265"/>
    <cellStyle name="Note 2 3 2 4 3 6" xfId="36814"/>
    <cellStyle name="Note 2 3 2 4 3 7" xfId="44750"/>
    <cellStyle name="Note 2 3 2 4 3 8" xfId="52874"/>
    <cellStyle name="Note 2 3 2 4 4" xfId="1233"/>
    <cellStyle name="Note 2 3 2 4 4 2" xfId="12266"/>
    <cellStyle name="Note 2 3 2 4 4 3" xfId="12267"/>
    <cellStyle name="Note 2 3 2 4 4 4" xfId="12268"/>
    <cellStyle name="Note 2 3 2 4 4 5" xfId="12269"/>
    <cellStyle name="Note 2 3 2 4 4 6" xfId="37430"/>
    <cellStyle name="Note 2 3 2 4 4 7" xfId="44751"/>
    <cellStyle name="Note 2 3 2 4 4 8" xfId="52875"/>
    <cellStyle name="Note 2 3 2 4 5" xfId="3301"/>
    <cellStyle name="Note 2 3 2 4 5 2" xfId="12270"/>
    <cellStyle name="Note 2 3 2 4 5 3" xfId="12271"/>
    <cellStyle name="Note 2 3 2 4 5 4" xfId="12272"/>
    <cellStyle name="Note 2 3 2 4 5 5" xfId="12273"/>
    <cellStyle name="Note 2 3 2 4 5 6" xfId="38046"/>
    <cellStyle name="Note 2 3 2 4 5 7" xfId="44752"/>
    <cellStyle name="Note 2 3 2 4 5 8" xfId="52876"/>
    <cellStyle name="Note 2 3 2 4 6" xfId="3623"/>
    <cellStyle name="Note 2 3 2 4 6 2" xfId="12274"/>
    <cellStyle name="Note 2 3 2 4 6 3" xfId="12275"/>
    <cellStyle name="Note 2 3 2 4 6 4" xfId="12276"/>
    <cellStyle name="Note 2 3 2 4 6 5" xfId="12277"/>
    <cellStyle name="Note 2 3 2 4 6 6" xfId="38664"/>
    <cellStyle name="Note 2 3 2 4 6 7" xfId="44753"/>
    <cellStyle name="Note 2 3 2 4 6 8" xfId="52877"/>
    <cellStyle name="Note 2 3 2 4 7" xfId="12278"/>
    <cellStyle name="Note 2 3 2 4 7 2" xfId="12279"/>
    <cellStyle name="Note 2 3 2 4 7 3" xfId="12280"/>
    <cellStyle name="Note 2 3 2 4 7 4" xfId="12281"/>
    <cellStyle name="Note 2 3 2 4 7 5" xfId="12282"/>
    <cellStyle name="Note 2 3 2 4 7 6" xfId="39284"/>
    <cellStyle name="Note 2 3 2 4 7 7" xfId="44754"/>
    <cellStyle name="Note 2 3 2 4 7 8" xfId="52878"/>
    <cellStyle name="Note 2 3 2 4 8" xfId="12283"/>
    <cellStyle name="Note 2 3 2 4 8 2" xfId="12284"/>
    <cellStyle name="Note 2 3 2 4 8 3" xfId="12285"/>
    <cellStyle name="Note 2 3 2 4 8 4" xfId="12286"/>
    <cellStyle name="Note 2 3 2 4 8 5" xfId="12287"/>
    <cellStyle name="Note 2 3 2 4 8 6" xfId="39900"/>
    <cellStyle name="Note 2 3 2 4 8 7" xfId="44755"/>
    <cellStyle name="Note 2 3 2 4 8 8" xfId="52879"/>
    <cellStyle name="Note 2 3 2 4 9" xfId="12288"/>
    <cellStyle name="Note 2 3 2 4 9 2" xfId="12289"/>
    <cellStyle name="Note 2 3 2 4 9 3" xfId="12290"/>
    <cellStyle name="Note 2 3 2 4 9 4" xfId="12291"/>
    <cellStyle name="Note 2 3 2 4 9 5" xfId="12292"/>
    <cellStyle name="Note 2 3 2 4 9 6" xfId="40515"/>
    <cellStyle name="Note 2 3 2 4 9 7" xfId="44756"/>
    <cellStyle name="Note 2 3 2 4 9 8" xfId="52880"/>
    <cellStyle name="Note 2 3 2 5" xfId="2162"/>
    <cellStyle name="Note 2 3 2 5 10" xfId="34882"/>
    <cellStyle name="Note 2 3 2 5 10 2" xfId="44758"/>
    <cellStyle name="Note 2 3 2 5 10 3" xfId="52882"/>
    <cellStyle name="Note 2 3 2 5 11" xfId="41027"/>
    <cellStyle name="Note 2 3 2 5 12" xfId="44757"/>
    <cellStyle name="Note 2 3 2 5 13" xfId="52881"/>
    <cellStyle name="Note 2 3 2 5 2" xfId="2163"/>
    <cellStyle name="Note 2 3 2 5 2 2" xfId="36104"/>
    <cellStyle name="Note 2 3 2 5 2 3" xfId="44759"/>
    <cellStyle name="Note 2 3 2 5 2 4" xfId="52883"/>
    <cellStyle name="Note 2 3 2 5 3" xfId="2164"/>
    <cellStyle name="Note 2 3 2 5 3 2" xfId="36603"/>
    <cellStyle name="Note 2 3 2 5 3 3" xfId="44760"/>
    <cellStyle name="Note 2 3 2 5 3 4" xfId="52884"/>
    <cellStyle name="Note 2 3 2 5 4" xfId="12293"/>
    <cellStyle name="Note 2 3 2 5 4 2" xfId="37219"/>
    <cellStyle name="Note 2 3 2 5 4 3" xfId="44761"/>
    <cellStyle name="Note 2 3 2 5 4 4" xfId="52885"/>
    <cellStyle name="Note 2 3 2 5 5" xfId="12294"/>
    <cellStyle name="Note 2 3 2 5 5 2" xfId="37835"/>
    <cellStyle name="Note 2 3 2 5 5 3" xfId="44762"/>
    <cellStyle name="Note 2 3 2 5 5 4" xfId="52886"/>
    <cellStyle name="Note 2 3 2 5 6" xfId="38450"/>
    <cellStyle name="Note 2 3 2 5 6 2" xfId="44763"/>
    <cellStyle name="Note 2 3 2 5 6 3" xfId="52887"/>
    <cellStyle name="Note 2 3 2 5 7" xfId="39070"/>
    <cellStyle name="Note 2 3 2 5 7 2" xfId="44764"/>
    <cellStyle name="Note 2 3 2 5 7 3" xfId="52888"/>
    <cellStyle name="Note 2 3 2 5 8" xfId="39686"/>
    <cellStyle name="Note 2 3 2 5 8 2" xfId="44765"/>
    <cellStyle name="Note 2 3 2 5 8 3" xfId="52889"/>
    <cellStyle name="Note 2 3 2 5 9" xfId="40301"/>
    <cellStyle name="Note 2 3 2 5 9 2" xfId="44766"/>
    <cellStyle name="Note 2 3 2 5 9 3" xfId="52890"/>
    <cellStyle name="Note 2 3 2 6" xfId="2165"/>
    <cellStyle name="Note 2 3 2 6 10" xfId="44767"/>
    <cellStyle name="Note 2 3 2 6 11" xfId="52891"/>
    <cellStyle name="Note 2 3 2 6 2" xfId="2166"/>
    <cellStyle name="Note 2 3 2 6 2 2" xfId="44768"/>
    <cellStyle name="Note 2 3 2 6 2 3" xfId="52892"/>
    <cellStyle name="Note 2 3 2 6 3" xfId="12295"/>
    <cellStyle name="Note 2 3 2 6 3 2" xfId="44769"/>
    <cellStyle name="Note 2 3 2 6 3 3" xfId="52893"/>
    <cellStyle name="Note 2 3 2 6 4" xfId="12296"/>
    <cellStyle name="Note 2 3 2 6 4 2" xfId="44770"/>
    <cellStyle name="Note 2 3 2 6 4 3" xfId="52894"/>
    <cellStyle name="Note 2 3 2 6 5" xfId="12297"/>
    <cellStyle name="Note 2 3 2 6 5 2" xfId="44771"/>
    <cellStyle name="Note 2 3 2 6 5 3" xfId="52895"/>
    <cellStyle name="Note 2 3 2 6 6" xfId="35422"/>
    <cellStyle name="Note 2 3 2 6 6 2" xfId="44772"/>
    <cellStyle name="Note 2 3 2 6 6 3" xfId="52896"/>
    <cellStyle name="Note 2 3 2 6 7" xfId="44773"/>
    <cellStyle name="Note 2 3 2 6 7 2" xfId="52897"/>
    <cellStyle name="Note 2 3 2 6 8" xfId="44774"/>
    <cellStyle name="Note 2 3 2 6 8 2" xfId="52898"/>
    <cellStyle name="Note 2 3 2 6 9" xfId="44775"/>
    <cellStyle name="Note 2 3 2 6 9 2" xfId="52899"/>
    <cellStyle name="Note 2 3 2 7" xfId="1228"/>
    <cellStyle name="Note 2 3 2 7 2" xfId="12298"/>
    <cellStyle name="Note 2 3 2 7 3" xfId="12299"/>
    <cellStyle name="Note 2 3 2 7 4" xfId="12300"/>
    <cellStyle name="Note 2 3 2 7 5" xfId="12301"/>
    <cellStyle name="Note 2 3 2 7 6" xfId="35954"/>
    <cellStyle name="Note 2 3 2 7 7" xfId="44776"/>
    <cellStyle name="Note 2 3 2 7 8" xfId="52900"/>
    <cellStyle name="Note 2 3 2 8" xfId="3296"/>
    <cellStyle name="Note 2 3 2 8 2" xfId="12302"/>
    <cellStyle name="Note 2 3 2 8 3" xfId="12303"/>
    <cellStyle name="Note 2 3 2 8 4" xfId="12304"/>
    <cellStyle name="Note 2 3 2 8 5" xfId="12305"/>
    <cellStyle name="Note 2 3 2 8 6" xfId="35817"/>
    <cellStyle name="Note 2 3 2 8 7" xfId="44777"/>
    <cellStyle name="Note 2 3 2 8 8" xfId="52901"/>
    <cellStyle name="Note 2 3 2 9" xfId="3618"/>
    <cellStyle name="Note 2 3 2 9 2" xfId="12306"/>
    <cellStyle name="Note 2 3 2 9 3" xfId="12307"/>
    <cellStyle name="Note 2 3 2 9 4" xfId="12308"/>
    <cellStyle name="Note 2 3 2 9 5" xfId="12309"/>
    <cellStyle name="Note 2 3 2 9 6" xfId="36999"/>
    <cellStyle name="Note 2 3 2 9 7" xfId="44778"/>
    <cellStyle name="Note 2 3 2 9 8" xfId="52902"/>
    <cellStyle name="Note 2 3 20" xfId="34960"/>
    <cellStyle name="Note 2 3 21" xfId="40781"/>
    <cellStyle name="Note 2 3 3" xfId="358"/>
    <cellStyle name="Note 2 3 3 10" xfId="12310"/>
    <cellStyle name="Note 2 3 3 10 2" xfId="12311"/>
    <cellStyle name="Note 2 3 3 10 3" xfId="12312"/>
    <cellStyle name="Note 2 3 3 10 4" xfId="12313"/>
    <cellStyle name="Note 2 3 3 10 5" xfId="12314"/>
    <cellStyle name="Note 2 3 3 10 6" xfId="39536"/>
    <cellStyle name="Note 2 3 3 10 7" xfId="44779"/>
    <cellStyle name="Note 2 3 3 10 8" xfId="52903"/>
    <cellStyle name="Note 2 3 3 11" xfId="12315"/>
    <cellStyle name="Note 2 3 3 11 2" xfId="12316"/>
    <cellStyle name="Note 2 3 3 11 3" xfId="12317"/>
    <cellStyle name="Note 2 3 3 11 4" xfId="12318"/>
    <cellStyle name="Note 2 3 3 11 5" xfId="12319"/>
    <cellStyle name="Note 2 3 3 11 6" xfId="40152"/>
    <cellStyle name="Note 2 3 3 11 7" xfId="44780"/>
    <cellStyle name="Note 2 3 3 11 8" xfId="52904"/>
    <cellStyle name="Note 2 3 3 12" xfId="12320"/>
    <cellStyle name="Note 2 3 3 12 2" xfId="12321"/>
    <cellStyle name="Note 2 3 3 12 3" xfId="12322"/>
    <cellStyle name="Note 2 3 3 12 4" xfId="12323"/>
    <cellStyle name="Note 2 3 3 12 5" xfId="12324"/>
    <cellStyle name="Note 2 3 3 12 6" xfId="44781"/>
    <cellStyle name="Note 2 3 3 12 7" xfId="52905"/>
    <cellStyle name="Note 2 3 3 13" xfId="12325"/>
    <cellStyle name="Note 2 3 3 13 2" xfId="12326"/>
    <cellStyle name="Note 2 3 3 13 3" xfId="12327"/>
    <cellStyle name="Note 2 3 3 13 4" xfId="12328"/>
    <cellStyle name="Note 2 3 3 13 5" xfId="12329"/>
    <cellStyle name="Note 2 3 3 13 6" xfId="44782"/>
    <cellStyle name="Note 2 3 3 13 7" xfId="52906"/>
    <cellStyle name="Note 2 3 3 14" xfId="12330"/>
    <cellStyle name="Note 2 3 3 14 2" xfId="12331"/>
    <cellStyle name="Note 2 3 3 14 3" xfId="12332"/>
    <cellStyle name="Note 2 3 3 14 4" xfId="12333"/>
    <cellStyle name="Note 2 3 3 14 5" xfId="12334"/>
    <cellStyle name="Note 2 3 3 15" xfId="12335"/>
    <cellStyle name="Note 2 3 3 15 2" xfId="12336"/>
    <cellStyle name="Note 2 3 3 15 3" xfId="12337"/>
    <cellStyle name="Note 2 3 3 15 4" xfId="12338"/>
    <cellStyle name="Note 2 3 3 15 5" xfId="12339"/>
    <cellStyle name="Note 2 3 3 16" xfId="12340"/>
    <cellStyle name="Note 2 3 3 16 2" xfId="12341"/>
    <cellStyle name="Note 2 3 3 16 3" xfId="12342"/>
    <cellStyle name="Note 2 3 3 16 4" xfId="12343"/>
    <cellStyle name="Note 2 3 3 16 5" xfId="12344"/>
    <cellStyle name="Note 2 3 3 17" xfId="12345"/>
    <cellStyle name="Note 2 3 3 17 2" xfId="12346"/>
    <cellStyle name="Note 2 3 3 17 3" xfId="12347"/>
    <cellStyle name="Note 2 3 3 17 4" xfId="12348"/>
    <cellStyle name="Note 2 3 3 17 5" xfId="12349"/>
    <cellStyle name="Note 2 3 3 18" xfId="12350"/>
    <cellStyle name="Note 2 3 3 19" xfId="794"/>
    <cellStyle name="Note 2 3 3 2" xfId="577"/>
    <cellStyle name="Note 2 3 3 2 10" xfId="12351"/>
    <cellStyle name="Note 2 3 3 2 10 2" xfId="12352"/>
    <cellStyle name="Note 2 3 3 2 10 3" xfId="12353"/>
    <cellStyle name="Note 2 3 3 2 10 4" xfId="12354"/>
    <cellStyle name="Note 2 3 3 2 10 5" xfId="12355"/>
    <cellStyle name="Note 2 3 3 2 10 6" xfId="44783"/>
    <cellStyle name="Note 2 3 3 2 10 7" xfId="52907"/>
    <cellStyle name="Note 2 3 3 2 11" xfId="12356"/>
    <cellStyle name="Note 2 3 3 2 11 2" xfId="12357"/>
    <cellStyle name="Note 2 3 3 2 11 3" xfId="12358"/>
    <cellStyle name="Note 2 3 3 2 11 4" xfId="12359"/>
    <cellStyle name="Note 2 3 3 2 11 5" xfId="12360"/>
    <cellStyle name="Note 2 3 3 2 12" xfId="12361"/>
    <cellStyle name="Note 2 3 3 2 12 2" xfId="12362"/>
    <cellStyle name="Note 2 3 3 2 12 3" xfId="12363"/>
    <cellStyle name="Note 2 3 3 2 12 4" xfId="12364"/>
    <cellStyle name="Note 2 3 3 2 12 5" xfId="12365"/>
    <cellStyle name="Note 2 3 3 2 13" xfId="12366"/>
    <cellStyle name="Note 2 3 3 2 13 2" xfId="12367"/>
    <cellStyle name="Note 2 3 3 2 13 3" xfId="12368"/>
    <cellStyle name="Note 2 3 3 2 13 4" xfId="12369"/>
    <cellStyle name="Note 2 3 3 2 13 5" xfId="12370"/>
    <cellStyle name="Note 2 3 3 2 14" xfId="12371"/>
    <cellStyle name="Note 2 3 3 2 14 2" xfId="12372"/>
    <cellStyle name="Note 2 3 3 2 14 3" xfId="12373"/>
    <cellStyle name="Note 2 3 3 2 14 4" xfId="12374"/>
    <cellStyle name="Note 2 3 3 2 14 5" xfId="12375"/>
    <cellStyle name="Note 2 3 3 2 15" xfId="12376"/>
    <cellStyle name="Note 2 3 3 2 15 2" xfId="12377"/>
    <cellStyle name="Note 2 3 3 2 15 3" xfId="12378"/>
    <cellStyle name="Note 2 3 3 2 15 4" xfId="12379"/>
    <cellStyle name="Note 2 3 3 2 15 5" xfId="12380"/>
    <cellStyle name="Note 2 3 3 2 16" xfId="12381"/>
    <cellStyle name="Note 2 3 3 2 16 2" xfId="12382"/>
    <cellStyle name="Note 2 3 3 2 16 3" xfId="12383"/>
    <cellStyle name="Note 2 3 3 2 16 4" xfId="12384"/>
    <cellStyle name="Note 2 3 3 2 16 5" xfId="12385"/>
    <cellStyle name="Note 2 3 3 2 17" xfId="12386"/>
    <cellStyle name="Note 2 3 3 2 17 2" xfId="12387"/>
    <cellStyle name="Note 2 3 3 2 17 3" xfId="12388"/>
    <cellStyle name="Note 2 3 3 2 17 4" xfId="12389"/>
    <cellStyle name="Note 2 3 3 2 17 5" xfId="12390"/>
    <cellStyle name="Note 2 3 3 2 18" xfId="12391"/>
    <cellStyle name="Note 2 3 3 2 19" xfId="1006"/>
    <cellStyle name="Note 2 3 3 2 2" xfId="2167"/>
    <cellStyle name="Note 2 3 3 2 2 2" xfId="12392"/>
    <cellStyle name="Note 2 3 3 2 2 3" xfId="12393"/>
    <cellStyle name="Note 2 3 3 2 2 4" xfId="12394"/>
    <cellStyle name="Note 2 3 3 2 2 5" xfId="12395"/>
    <cellStyle name="Note 2 3 3 2 2 6" xfId="36381"/>
    <cellStyle name="Note 2 3 3 2 2 7" xfId="44784"/>
    <cellStyle name="Note 2 3 3 2 2 8" xfId="52908"/>
    <cellStyle name="Note 2 3 3 2 20" xfId="35086"/>
    <cellStyle name="Note 2 3 3 2 21" xfId="41305"/>
    <cellStyle name="Note 2 3 3 2 3" xfId="2168"/>
    <cellStyle name="Note 2 3 3 2 3 2" xfId="12396"/>
    <cellStyle name="Note 2 3 3 2 3 3" xfId="12397"/>
    <cellStyle name="Note 2 3 3 2 3 4" xfId="12398"/>
    <cellStyle name="Note 2 3 3 2 3 5" xfId="12399"/>
    <cellStyle name="Note 2 3 3 2 3 6" xfId="36878"/>
    <cellStyle name="Note 2 3 3 2 3 7" xfId="44785"/>
    <cellStyle name="Note 2 3 3 2 3 8" xfId="52909"/>
    <cellStyle name="Note 2 3 3 2 4" xfId="1235"/>
    <cellStyle name="Note 2 3 3 2 4 2" xfId="12400"/>
    <cellStyle name="Note 2 3 3 2 4 3" xfId="12401"/>
    <cellStyle name="Note 2 3 3 2 4 4" xfId="12402"/>
    <cellStyle name="Note 2 3 3 2 4 5" xfId="12403"/>
    <cellStyle name="Note 2 3 3 2 4 6" xfId="37494"/>
    <cellStyle name="Note 2 3 3 2 4 7" xfId="44786"/>
    <cellStyle name="Note 2 3 3 2 4 8" xfId="52910"/>
    <cellStyle name="Note 2 3 3 2 5" xfId="3303"/>
    <cellStyle name="Note 2 3 3 2 5 2" xfId="12404"/>
    <cellStyle name="Note 2 3 3 2 5 3" xfId="12405"/>
    <cellStyle name="Note 2 3 3 2 5 4" xfId="12406"/>
    <cellStyle name="Note 2 3 3 2 5 5" xfId="12407"/>
    <cellStyle name="Note 2 3 3 2 5 6" xfId="38110"/>
    <cellStyle name="Note 2 3 3 2 5 7" xfId="44787"/>
    <cellStyle name="Note 2 3 3 2 5 8" xfId="52911"/>
    <cellStyle name="Note 2 3 3 2 6" xfId="3625"/>
    <cellStyle name="Note 2 3 3 2 6 2" xfId="12408"/>
    <cellStyle name="Note 2 3 3 2 6 3" xfId="12409"/>
    <cellStyle name="Note 2 3 3 2 6 4" xfId="12410"/>
    <cellStyle name="Note 2 3 3 2 6 5" xfId="12411"/>
    <cellStyle name="Note 2 3 3 2 6 6" xfId="38728"/>
    <cellStyle name="Note 2 3 3 2 6 7" xfId="44788"/>
    <cellStyle name="Note 2 3 3 2 6 8" xfId="52912"/>
    <cellStyle name="Note 2 3 3 2 7" xfId="12412"/>
    <cellStyle name="Note 2 3 3 2 7 2" xfId="12413"/>
    <cellStyle name="Note 2 3 3 2 7 3" xfId="12414"/>
    <cellStyle name="Note 2 3 3 2 7 4" xfId="12415"/>
    <cellStyle name="Note 2 3 3 2 7 5" xfId="12416"/>
    <cellStyle name="Note 2 3 3 2 7 6" xfId="39348"/>
    <cellStyle name="Note 2 3 3 2 7 7" xfId="44789"/>
    <cellStyle name="Note 2 3 3 2 7 8" xfId="52913"/>
    <cellStyle name="Note 2 3 3 2 8" xfId="12417"/>
    <cellStyle name="Note 2 3 3 2 8 2" xfId="12418"/>
    <cellStyle name="Note 2 3 3 2 8 3" xfId="12419"/>
    <cellStyle name="Note 2 3 3 2 8 4" xfId="12420"/>
    <cellStyle name="Note 2 3 3 2 8 5" xfId="12421"/>
    <cellStyle name="Note 2 3 3 2 8 6" xfId="39964"/>
    <cellStyle name="Note 2 3 3 2 8 7" xfId="44790"/>
    <cellStyle name="Note 2 3 3 2 8 8" xfId="52914"/>
    <cellStyle name="Note 2 3 3 2 9" xfId="12422"/>
    <cellStyle name="Note 2 3 3 2 9 2" xfId="12423"/>
    <cellStyle name="Note 2 3 3 2 9 3" xfId="12424"/>
    <cellStyle name="Note 2 3 3 2 9 4" xfId="12425"/>
    <cellStyle name="Note 2 3 3 2 9 5" xfId="12426"/>
    <cellStyle name="Note 2 3 3 2 9 6" xfId="40579"/>
    <cellStyle name="Note 2 3 3 2 9 7" xfId="44791"/>
    <cellStyle name="Note 2 3 3 2 9 8" xfId="52915"/>
    <cellStyle name="Note 2 3 3 20" xfId="34817"/>
    <cellStyle name="Note 2 3 3 21" xfId="40878"/>
    <cellStyle name="Note 2 3 3 22" xfId="41439"/>
    <cellStyle name="Note 2 3 3 23" xfId="50526"/>
    <cellStyle name="Note 2 3 3 3" xfId="2169"/>
    <cellStyle name="Note 2 3 3 3 10" xfId="34757"/>
    <cellStyle name="Note 2 3 3 3 10 2" xfId="44793"/>
    <cellStyle name="Note 2 3 3 3 10 3" xfId="52917"/>
    <cellStyle name="Note 2 3 3 3 11" xfId="41093"/>
    <cellStyle name="Note 2 3 3 3 12" xfId="44792"/>
    <cellStyle name="Note 2 3 3 3 13" xfId="52916"/>
    <cellStyle name="Note 2 3 3 3 2" xfId="2170"/>
    <cellStyle name="Note 2 3 3 3 2 2" xfId="36170"/>
    <cellStyle name="Note 2 3 3 3 2 3" xfId="44794"/>
    <cellStyle name="Note 2 3 3 3 2 4" xfId="52918"/>
    <cellStyle name="Note 2 3 3 3 3" xfId="12427"/>
    <cellStyle name="Note 2 3 3 3 3 2" xfId="36667"/>
    <cellStyle name="Note 2 3 3 3 3 3" xfId="44795"/>
    <cellStyle name="Note 2 3 3 3 3 4" xfId="52919"/>
    <cellStyle name="Note 2 3 3 3 4" xfId="12428"/>
    <cellStyle name="Note 2 3 3 3 4 2" xfId="37283"/>
    <cellStyle name="Note 2 3 3 3 4 3" xfId="44796"/>
    <cellStyle name="Note 2 3 3 3 4 4" xfId="52920"/>
    <cellStyle name="Note 2 3 3 3 5" xfId="12429"/>
    <cellStyle name="Note 2 3 3 3 5 2" xfId="37899"/>
    <cellStyle name="Note 2 3 3 3 5 3" xfId="44797"/>
    <cellStyle name="Note 2 3 3 3 5 4" xfId="52921"/>
    <cellStyle name="Note 2 3 3 3 6" xfId="38516"/>
    <cellStyle name="Note 2 3 3 3 6 2" xfId="44798"/>
    <cellStyle name="Note 2 3 3 3 6 3" xfId="52922"/>
    <cellStyle name="Note 2 3 3 3 7" xfId="39136"/>
    <cellStyle name="Note 2 3 3 3 7 2" xfId="44799"/>
    <cellStyle name="Note 2 3 3 3 7 3" xfId="52923"/>
    <cellStyle name="Note 2 3 3 3 8" xfId="39752"/>
    <cellStyle name="Note 2 3 3 3 8 2" xfId="44800"/>
    <cellStyle name="Note 2 3 3 3 8 3" xfId="52924"/>
    <cellStyle name="Note 2 3 3 3 9" xfId="40367"/>
    <cellStyle name="Note 2 3 3 3 9 2" xfId="44801"/>
    <cellStyle name="Note 2 3 3 3 9 3" xfId="52925"/>
    <cellStyle name="Note 2 3 3 4" xfId="2171"/>
    <cellStyle name="Note 2 3 3 4 10" xfId="44802"/>
    <cellStyle name="Note 2 3 3 4 11" xfId="52926"/>
    <cellStyle name="Note 2 3 3 4 2" xfId="12430"/>
    <cellStyle name="Note 2 3 3 4 2 2" xfId="44803"/>
    <cellStyle name="Note 2 3 3 4 2 3" xfId="52927"/>
    <cellStyle name="Note 2 3 3 4 3" xfId="12431"/>
    <cellStyle name="Note 2 3 3 4 3 2" xfId="44804"/>
    <cellStyle name="Note 2 3 3 4 3 3" xfId="52928"/>
    <cellStyle name="Note 2 3 3 4 4" xfId="12432"/>
    <cellStyle name="Note 2 3 3 4 4 2" xfId="44805"/>
    <cellStyle name="Note 2 3 3 4 4 3" xfId="52929"/>
    <cellStyle name="Note 2 3 3 4 5" xfId="12433"/>
    <cellStyle name="Note 2 3 3 4 5 2" xfId="44806"/>
    <cellStyle name="Note 2 3 3 4 5 3" xfId="52930"/>
    <cellStyle name="Note 2 3 3 4 6" xfId="35659"/>
    <cellStyle name="Note 2 3 3 4 6 2" xfId="44807"/>
    <cellStyle name="Note 2 3 3 4 6 3" xfId="52931"/>
    <cellStyle name="Note 2 3 3 4 7" xfId="44808"/>
    <cellStyle name="Note 2 3 3 4 7 2" xfId="52932"/>
    <cellStyle name="Note 2 3 3 4 8" xfId="44809"/>
    <cellStyle name="Note 2 3 3 4 8 2" xfId="52933"/>
    <cellStyle name="Note 2 3 3 4 9" xfId="44810"/>
    <cellStyle name="Note 2 3 3 4 9 2" xfId="52934"/>
    <cellStyle name="Note 2 3 3 5" xfId="1234"/>
    <cellStyle name="Note 2 3 3 5 2" xfId="12434"/>
    <cellStyle name="Note 2 3 3 5 3" xfId="12435"/>
    <cellStyle name="Note 2 3 3 5 4" xfId="12436"/>
    <cellStyle name="Note 2 3 3 5 5" xfId="12437"/>
    <cellStyle name="Note 2 3 3 5 6" xfId="35769"/>
    <cellStyle name="Note 2 3 3 5 7" xfId="44811"/>
    <cellStyle name="Note 2 3 3 5 8" xfId="52935"/>
    <cellStyle name="Note 2 3 3 6" xfId="3302"/>
    <cellStyle name="Note 2 3 3 6 2" xfId="12438"/>
    <cellStyle name="Note 2 3 3 6 3" xfId="12439"/>
    <cellStyle name="Note 2 3 3 6 4" xfId="12440"/>
    <cellStyle name="Note 2 3 3 6 5" xfId="12441"/>
    <cellStyle name="Note 2 3 3 6 6" xfId="37068"/>
    <cellStyle name="Note 2 3 3 6 7" xfId="44812"/>
    <cellStyle name="Note 2 3 3 6 8" xfId="52936"/>
    <cellStyle name="Note 2 3 3 7" xfId="3624"/>
    <cellStyle name="Note 2 3 3 7 2" xfId="12442"/>
    <cellStyle name="Note 2 3 3 7 3" xfId="12443"/>
    <cellStyle name="Note 2 3 3 7 4" xfId="12444"/>
    <cellStyle name="Note 2 3 3 7 5" xfId="12445"/>
    <cellStyle name="Note 2 3 3 7 6" xfId="37682"/>
    <cellStyle name="Note 2 3 3 7 7" xfId="44813"/>
    <cellStyle name="Note 2 3 3 7 8" xfId="52937"/>
    <cellStyle name="Note 2 3 3 8" xfId="12446"/>
    <cellStyle name="Note 2 3 3 8 2" xfId="12447"/>
    <cellStyle name="Note 2 3 3 8 3" xfId="12448"/>
    <cellStyle name="Note 2 3 3 8 4" xfId="12449"/>
    <cellStyle name="Note 2 3 3 8 5" xfId="12450"/>
    <cellStyle name="Note 2 3 3 8 6" xfId="38297"/>
    <cellStyle name="Note 2 3 3 8 7" xfId="44814"/>
    <cellStyle name="Note 2 3 3 8 8" xfId="52938"/>
    <cellStyle name="Note 2 3 3 9" xfId="12451"/>
    <cellStyle name="Note 2 3 3 9 2" xfId="12452"/>
    <cellStyle name="Note 2 3 3 9 3" xfId="12453"/>
    <cellStyle name="Note 2 3 3 9 4" xfId="12454"/>
    <cellStyle name="Note 2 3 3 9 5" xfId="12455"/>
    <cellStyle name="Note 2 3 3 9 6" xfId="38917"/>
    <cellStyle name="Note 2 3 3 9 7" xfId="44815"/>
    <cellStyle name="Note 2 3 3 9 8" xfId="52939"/>
    <cellStyle name="Note 2 3 4" xfId="359"/>
    <cellStyle name="Note 2 3 4 10" xfId="12456"/>
    <cellStyle name="Note 2 3 4 10 2" xfId="12457"/>
    <cellStyle name="Note 2 3 4 10 3" xfId="12458"/>
    <cellStyle name="Note 2 3 4 10 4" xfId="12459"/>
    <cellStyle name="Note 2 3 4 10 5" xfId="12460"/>
    <cellStyle name="Note 2 3 4 10 6" xfId="40153"/>
    <cellStyle name="Note 2 3 4 10 7" xfId="44816"/>
    <cellStyle name="Note 2 3 4 10 8" xfId="52940"/>
    <cellStyle name="Note 2 3 4 11" xfId="12461"/>
    <cellStyle name="Note 2 3 4 11 2" xfId="12462"/>
    <cellStyle name="Note 2 3 4 11 3" xfId="12463"/>
    <cellStyle name="Note 2 3 4 11 4" xfId="12464"/>
    <cellStyle name="Note 2 3 4 11 5" xfId="12465"/>
    <cellStyle name="Note 2 3 4 11 6" xfId="44817"/>
    <cellStyle name="Note 2 3 4 11 7" xfId="52941"/>
    <cellStyle name="Note 2 3 4 12" xfId="12466"/>
    <cellStyle name="Note 2 3 4 12 2" xfId="12467"/>
    <cellStyle name="Note 2 3 4 12 3" xfId="12468"/>
    <cellStyle name="Note 2 3 4 12 4" xfId="12469"/>
    <cellStyle name="Note 2 3 4 12 5" xfId="12470"/>
    <cellStyle name="Note 2 3 4 12 6" xfId="44818"/>
    <cellStyle name="Note 2 3 4 12 7" xfId="52942"/>
    <cellStyle name="Note 2 3 4 13" xfId="12471"/>
    <cellStyle name="Note 2 3 4 13 2" xfId="12472"/>
    <cellStyle name="Note 2 3 4 13 3" xfId="12473"/>
    <cellStyle name="Note 2 3 4 13 4" xfId="12474"/>
    <cellStyle name="Note 2 3 4 13 5" xfId="12475"/>
    <cellStyle name="Note 2 3 4 13 6" xfId="44819"/>
    <cellStyle name="Note 2 3 4 13 7" xfId="52943"/>
    <cellStyle name="Note 2 3 4 14" xfId="12476"/>
    <cellStyle name="Note 2 3 4 14 2" xfId="12477"/>
    <cellStyle name="Note 2 3 4 14 3" xfId="12478"/>
    <cellStyle name="Note 2 3 4 14 4" xfId="12479"/>
    <cellStyle name="Note 2 3 4 14 5" xfId="12480"/>
    <cellStyle name="Note 2 3 4 15" xfId="12481"/>
    <cellStyle name="Note 2 3 4 15 2" xfId="12482"/>
    <cellStyle name="Note 2 3 4 15 3" xfId="12483"/>
    <cellStyle name="Note 2 3 4 15 4" xfId="12484"/>
    <cellStyle name="Note 2 3 4 15 5" xfId="12485"/>
    <cellStyle name="Note 2 3 4 16" xfId="12486"/>
    <cellStyle name="Note 2 3 4 16 2" xfId="12487"/>
    <cellStyle name="Note 2 3 4 16 3" xfId="12488"/>
    <cellStyle name="Note 2 3 4 16 4" xfId="12489"/>
    <cellStyle name="Note 2 3 4 16 5" xfId="12490"/>
    <cellStyle name="Note 2 3 4 17" xfId="12491"/>
    <cellStyle name="Note 2 3 4 17 2" xfId="12492"/>
    <cellStyle name="Note 2 3 4 17 3" xfId="12493"/>
    <cellStyle name="Note 2 3 4 17 4" xfId="12494"/>
    <cellStyle name="Note 2 3 4 17 5" xfId="12495"/>
    <cellStyle name="Note 2 3 4 18" xfId="12496"/>
    <cellStyle name="Note 2 3 4 19" xfId="795"/>
    <cellStyle name="Note 2 3 4 2" xfId="578"/>
    <cellStyle name="Note 2 3 4 2 10" xfId="12497"/>
    <cellStyle name="Note 2 3 4 2 10 2" xfId="12498"/>
    <cellStyle name="Note 2 3 4 2 10 3" xfId="12499"/>
    <cellStyle name="Note 2 3 4 2 10 4" xfId="12500"/>
    <cellStyle name="Note 2 3 4 2 10 5" xfId="12501"/>
    <cellStyle name="Note 2 3 4 2 10 6" xfId="44820"/>
    <cellStyle name="Note 2 3 4 2 10 7" xfId="52944"/>
    <cellStyle name="Note 2 3 4 2 11" xfId="12502"/>
    <cellStyle name="Note 2 3 4 2 11 2" xfId="12503"/>
    <cellStyle name="Note 2 3 4 2 11 3" xfId="12504"/>
    <cellStyle name="Note 2 3 4 2 11 4" xfId="12505"/>
    <cellStyle name="Note 2 3 4 2 11 5" xfId="12506"/>
    <cellStyle name="Note 2 3 4 2 12" xfId="12507"/>
    <cellStyle name="Note 2 3 4 2 12 2" xfId="12508"/>
    <cellStyle name="Note 2 3 4 2 12 3" xfId="12509"/>
    <cellStyle name="Note 2 3 4 2 12 4" xfId="12510"/>
    <cellStyle name="Note 2 3 4 2 12 5" xfId="12511"/>
    <cellStyle name="Note 2 3 4 2 13" xfId="12512"/>
    <cellStyle name="Note 2 3 4 2 13 2" xfId="12513"/>
    <cellStyle name="Note 2 3 4 2 13 3" xfId="12514"/>
    <cellStyle name="Note 2 3 4 2 13 4" xfId="12515"/>
    <cellStyle name="Note 2 3 4 2 13 5" xfId="12516"/>
    <cellStyle name="Note 2 3 4 2 14" xfId="12517"/>
    <cellStyle name="Note 2 3 4 2 14 2" xfId="12518"/>
    <cellStyle name="Note 2 3 4 2 14 3" xfId="12519"/>
    <cellStyle name="Note 2 3 4 2 14 4" xfId="12520"/>
    <cellStyle name="Note 2 3 4 2 14 5" xfId="12521"/>
    <cellStyle name="Note 2 3 4 2 15" xfId="12522"/>
    <cellStyle name="Note 2 3 4 2 15 2" xfId="12523"/>
    <cellStyle name="Note 2 3 4 2 15 3" xfId="12524"/>
    <cellStyle name="Note 2 3 4 2 15 4" xfId="12525"/>
    <cellStyle name="Note 2 3 4 2 15 5" xfId="12526"/>
    <cellStyle name="Note 2 3 4 2 16" xfId="12527"/>
    <cellStyle name="Note 2 3 4 2 16 2" xfId="12528"/>
    <cellStyle name="Note 2 3 4 2 16 3" xfId="12529"/>
    <cellStyle name="Note 2 3 4 2 16 4" xfId="12530"/>
    <cellStyle name="Note 2 3 4 2 16 5" xfId="12531"/>
    <cellStyle name="Note 2 3 4 2 17" xfId="12532"/>
    <cellStyle name="Note 2 3 4 2 17 2" xfId="12533"/>
    <cellStyle name="Note 2 3 4 2 17 3" xfId="12534"/>
    <cellStyle name="Note 2 3 4 2 17 4" xfId="12535"/>
    <cellStyle name="Note 2 3 4 2 17 5" xfId="12536"/>
    <cellStyle name="Note 2 3 4 2 18" xfId="12537"/>
    <cellStyle name="Note 2 3 4 2 19" xfId="1007"/>
    <cellStyle name="Note 2 3 4 2 2" xfId="2172"/>
    <cellStyle name="Note 2 3 4 2 2 2" xfId="12538"/>
    <cellStyle name="Note 2 3 4 2 2 3" xfId="12539"/>
    <cellStyle name="Note 2 3 4 2 2 4" xfId="12540"/>
    <cellStyle name="Note 2 3 4 2 2 5" xfId="12541"/>
    <cellStyle name="Note 2 3 4 2 2 6" xfId="36382"/>
    <cellStyle name="Note 2 3 4 2 2 7" xfId="44821"/>
    <cellStyle name="Note 2 3 4 2 2 8" xfId="52945"/>
    <cellStyle name="Note 2 3 4 2 20" xfId="35087"/>
    <cellStyle name="Note 2 3 4 2 21" xfId="41306"/>
    <cellStyle name="Note 2 3 4 2 3" xfId="2173"/>
    <cellStyle name="Note 2 3 4 2 3 2" xfId="12542"/>
    <cellStyle name="Note 2 3 4 2 3 3" xfId="12543"/>
    <cellStyle name="Note 2 3 4 2 3 4" xfId="12544"/>
    <cellStyle name="Note 2 3 4 2 3 5" xfId="12545"/>
    <cellStyle name="Note 2 3 4 2 3 6" xfId="36879"/>
    <cellStyle name="Note 2 3 4 2 3 7" xfId="44822"/>
    <cellStyle name="Note 2 3 4 2 3 8" xfId="52946"/>
    <cellStyle name="Note 2 3 4 2 4" xfId="1237"/>
    <cellStyle name="Note 2 3 4 2 4 2" xfId="12546"/>
    <cellStyle name="Note 2 3 4 2 4 3" xfId="12547"/>
    <cellStyle name="Note 2 3 4 2 4 4" xfId="12548"/>
    <cellStyle name="Note 2 3 4 2 4 5" xfId="12549"/>
    <cellStyle name="Note 2 3 4 2 4 6" xfId="37495"/>
    <cellStyle name="Note 2 3 4 2 4 7" xfId="44823"/>
    <cellStyle name="Note 2 3 4 2 4 8" xfId="52947"/>
    <cellStyle name="Note 2 3 4 2 5" xfId="3305"/>
    <cellStyle name="Note 2 3 4 2 5 2" xfId="12550"/>
    <cellStyle name="Note 2 3 4 2 5 3" xfId="12551"/>
    <cellStyle name="Note 2 3 4 2 5 4" xfId="12552"/>
    <cellStyle name="Note 2 3 4 2 5 5" xfId="12553"/>
    <cellStyle name="Note 2 3 4 2 5 6" xfId="38111"/>
    <cellStyle name="Note 2 3 4 2 5 7" xfId="44824"/>
    <cellStyle name="Note 2 3 4 2 5 8" xfId="52948"/>
    <cellStyle name="Note 2 3 4 2 6" xfId="3627"/>
    <cellStyle name="Note 2 3 4 2 6 2" xfId="12554"/>
    <cellStyle name="Note 2 3 4 2 6 3" xfId="12555"/>
    <cellStyle name="Note 2 3 4 2 6 4" xfId="12556"/>
    <cellStyle name="Note 2 3 4 2 6 5" xfId="12557"/>
    <cellStyle name="Note 2 3 4 2 6 6" xfId="38729"/>
    <cellStyle name="Note 2 3 4 2 6 7" xfId="44825"/>
    <cellStyle name="Note 2 3 4 2 6 8" xfId="52949"/>
    <cellStyle name="Note 2 3 4 2 7" xfId="12558"/>
    <cellStyle name="Note 2 3 4 2 7 2" xfId="12559"/>
    <cellStyle name="Note 2 3 4 2 7 3" xfId="12560"/>
    <cellStyle name="Note 2 3 4 2 7 4" xfId="12561"/>
    <cellStyle name="Note 2 3 4 2 7 5" xfId="12562"/>
    <cellStyle name="Note 2 3 4 2 7 6" xfId="39349"/>
    <cellStyle name="Note 2 3 4 2 7 7" xfId="44826"/>
    <cellStyle name="Note 2 3 4 2 7 8" xfId="52950"/>
    <cellStyle name="Note 2 3 4 2 8" xfId="12563"/>
    <cellStyle name="Note 2 3 4 2 8 2" xfId="12564"/>
    <cellStyle name="Note 2 3 4 2 8 3" xfId="12565"/>
    <cellStyle name="Note 2 3 4 2 8 4" xfId="12566"/>
    <cellStyle name="Note 2 3 4 2 8 5" xfId="12567"/>
    <cellStyle name="Note 2 3 4 2 8 6" xfId="39965"/>
    <cellStyle name="Note 2 3 4 2 8 7" xfId="44827"/>
    <cellStyle name="Note 2 3 4 2 8 8" xfId="52951"/>
    <cellStyle name="Note 2 3 4 2 9" xfId="12568"/>
    <cellStyle name="Note 2 3 4 2 9 2" xfId="12569"/>
    <cellStyle name="Note 2 3 4 2 9 3" xfId="12570"/>
    <cellStyle name="Note 2 3 4 2 9 4" xfId="12571"/>
    <cellStyle name="Note 2 3 4 2 9 5" xfId="12572"/>
    <cellStyle name="Note 2 3 4 2 9 6" xfId="40580"/>
    <cellStyle name="Note 2 3 4 2 9 7" xfId="44828"/>
    <cellStyle name="Note 2 3 4 2 9 8" xfId="52952"/>
    <cellStyle name="Note 2 3 4 20" xfId="34927"/>
    <cellStyle name="Note 2 3 4 21" xfId="40879"/>
    <cellStyle name="Note 2 3 4 22" xfId="41440"/>
    <cellStyle name="Note 2 3 4 23" xfId="50527"/>
    <cellStyle name="Note 2 3 4 3" xfId="2174"/>
    <cellStyle name="Note 2 3 4 3 10" xfId="34738"/>
    <cellStyle name="Note 2 3 4 3 10 2" xfId="44830"/>
    <cellStyle name="Note 2 3 4 3 10 3" xfId="52954"/>
    <cellStyle name="Note 2 3 4 3 11" xfId="41094"/>
    <cellStyle name="Note 2 3 4 3 12" xfId="44829"/>
    <cellStyle name="Note 2 3 4 3 13" xfId="52953"/>
    <cellStyle name="Note 2 3 4 3 2" xfId="2175"/>
    <cellStyle name="Note 2 3 4 3 2 2" xfId="36171"/>
    <cellStyle name="Note 2 3 4 3 2 3" xfId="44831"/>
    <cellStyle name="Note 2 3 4 3 2 4" xfId="52955"/>
    <cellStyle name="Note 2 3 4 3 3" xfId="12573"/>
    <cellStyle name="Note 2 3 4 3 3 2" xfId="36668"/>
    <cellStyle name="Note 2 3 4 3 3 3" xfId="44832"/>
    <cellStyle name="Note 2 3 4 3 3 4" xfId="52956"/>
    <cellStyle name="Note 2 3 4 3 4" xfId="12574"/>
    <cellStyle name="Note 2 3 4 3 4 2" xfId="37284"/>
    <cellStyle name="Note 2 3 4 3 4 3" xfId="44833"/>
    <cellStyle name="Note 2 3 4 3 4 4" xfId="52957"/>
    <cellStyle name="Note 2 3 4 3 5" xfId="12575"/>
    <cellStyle name="Note 2 3 4 3 5 2" xfId="37900"/>
    <cellStyle name="Note 2 3 4 3 5 3" xfId="44834"/>
    <cellStyle name="Note 2 3 4 3 5 4" xfId="52958"/>
    <cellStyle name="Note 2 3 4 3 6" xfId="38517"/>
    <cellStyle name="Note 2 3 4 3 6 2" xfId="44835"/>
    <cellStyle name="Note 2 3 4 3 6 3" xfId="52959"/>
    <cellStyle name="Note 2 3 4 3 7" xfId="39137"/>
    <cellStyle name="Note 2 3 4 3 7 2" xfId="44836"/>
    <cellStyle name="Note 2 3 4 3 7 3" xfId="52960"/>
    <cellStyle name="Note 2 3 4 3 8" xfId="39753"/>
    <cellStyle name="Note 2 3 4 3 8 2" xfId="44837"/>
    <cellStyle name="Note 2 3 4 3 8 3" xfId="52961"/>
    <cellStyle name="Note 2 3 4 3 9" xfId="40368"/>
    <cellStyle name="Note 2 3 4 3 9 2" xfId="44838"/>
    <cellStyle name="Note 2 3 4 3 9 3" xfId="52962"/>
    <cellStyle name="Note 2 3 4 4" xfId="2176"/>
    <cellStyle name="Note 2 3 4 4 10" xfId="44839"/>
    <cellStyle name="Note 2 3 4 4 11" xfId="52963"/>
    <cellStyle name="Note 2 3 4 4 2" xfId="12576"/>
    <cellStyle name="Note 2 3 4 4 2 2" xfId="44840"/>
    <cellStyle name="Note 2 3 4 4 2 3" xfId="52964"/>
    <cellStyle name="Note 2 3 4 4 3" xfId="12577"/>
    <cellStyle name="Note 2 3 4 4 3 2" xfId="44841"/>
    <cellStyle name="Note 2 3 4 4 3 3" xfId="52965"/>
    <cellStyle name="Note 2 3 4 4 4" xfId="12578"/>
    <cellStyle name="Note 2 3 4 4 4 2" xfId="44842"/>
    <cellStyle name="Note 2 3 4 4 4 3" xfId="52966"/>
    <cellStyle name="Note 2 3 4 4 5" xfId="12579"/>
    <cellStyle name="Note 2 3 4 4 5 2" xfId="44843"/>
    <cellStyle name="Note 2 3 4 4 5 3" xfId="52967"/>
    <cellStyle name="Note 2 3 4 4 6" xfId="35768"/>
    <cellStyle name="Note 2 3 4 4 6 2" xfId="44844"/>
    <cellStyle name="Note 2 3 4 4 6 3" xfId="52968"/>
    <cellStyle name="Note 2 3 4 4 7" xfId="44845"/>
    <cellStyle name="Note 2 3 4 4 7 2" xfId="52969"/>
    <cellStyle name="Note 2 3 4 4 8" xfId="44846"/>
    <cellStyle name="Note 2 3 4 4 8 2" xfId="52970"/>
    <cellStyle name="Note 2 3 4 4 9" xfId="44847"/>
    <cellStyle name="Note 2 3 4 4 9 2" xfId="52971"/>
    <cellStyle name="Note 2 3 4 5" xfId="1236"/>
    <cellStyle name="Note 2 3 4 5 2" xfId="12580"/>
    <cellStyle name="Note 2 3 4 5 3" xfId="12581"/>
    <cellStyle name="Note 2 3 4 5 4" xfId="12582"/>
    <cellStyle name="Note 2 3 4 5 5" xfId="12583"/>
    <cellStyle name="Note 2 3 4 5 6" xfId="37069"/>
    <cellStyle name="Note 2 3 4 5 7" xfId="44848"/>
    <cellStyle name="Note 2 3 4 5 8" xfId="52972"/>
    <cellStyle name="Note 2 3 4 6" xfId="3304"/>
    <cellStyle name="Note 2 3 4 6 2" xfId="12584"/>
    <cellStyle name="Note 2 3 4 6 3" xfId="12585"/>
    <cellStyle name="Note 2 3 4 6 4" xfId="12586"/>
    <cellStyle name="Note 2 3 4 6 5" xfId="12587"/>
    <cellStyle name="Note 2 3 4 6 6" xfId="37683"/>
    <cellStyle name="Note 2 3 4 6 7" xfId="44849"/>
    <cellStyle name="Note 2 3 4 6 8" xfId="52973"/>
    <cellStyle name="Note 2 3 4 7" xfId="3626"/>
    <cellStyle name="Note 2 3 4 7 2" xfId="12588"/>
    <cellStyle name="Note 2 3 4 7 3" xfId="12589"/>
    <cellStyle name="Note 2 3 4 7 4" xfId="12590"/>
    <cellStyle name="Note 2 3 4 7 5" xfId="12591"/>
    <cellStyle name="Note 2 3 4 7 6" xfId="38298"/>
    <cellStyle name="Note 2 3 4 7 7" xfId="44850"/>
    <cellStyle name="Note 2 3 4 7 8" xfId="52974"/>
    <cellStyle name="Note 2 3 4 8" xfId="12592"/>
    <cellStyle name="Note 2 3 4 8 2" xfId="12593"/>
    <cellStyle name="Note 2 3 4 8 3" xfId="12594"/>
    <cellStyle name="Note 2 3 4 8 4" xfId="12595"/>
    <cellStyle name="Note 2 3 4 8 5" xfId="12596"/>
    <cellStyle name="Note 2 3 4 8 6" xfId="38918"/>
    <cellStyle name="Note 2 3 4 8 7" xfId="44851"/>
    <cellStyle name="Note 2 3 4 8 8" xfId="52975"/>
    <cellStyle name="Note 2 3 4 9" xfId="12597"/>
    <cellStyle name="Note 2 3 4 9 2" xfId="12598"/>
    <cellStyle name="Note 2 3 4 9 3" xfId="12599"/>
    <cellStyle name="Note 2 3 4 9 4" xfId="12600"/>
    <cellStyle name="Note 2 3 4 9 5" xfId="12601"/>
    <cellStyle name="Note 2 3 4 9 6" xfId="39537"/>
    <cellStyle name="Note 2 3 4 9 7" xfId="44852"/>
    <cellStyle name="Note 2 3 4 9 8" xfId="52976"/>
    <cellStyle name="Note 2 3 5" xfId="482"/>
    <cellStyle name="Note 2 3 5 10" xfId="12602"/>
    <cellStyle name="Note 2 3 5 10 2" xfId="12603"/>
    <cellStyle name="Note 2 3 5 10 3" xfId="12604"/>
    <cellStyle name="Note 2 3 5 10 4" xfId="12605"/>
    <cellStyle name="Note 2 3 5 10 5" xfId="12606"/>
    <cellStyle name="Note 2 3 5 10 6" xfId="44853"/>
    <cellStyle name="Note 2 3 5 10 7" xfId="52977"/>
    <cellStyle name="Note 2 3 5 11" xfId="12607"/>
    <cellStyle name="Note 2 3 5 11 2" xfId="12608"/>
    <cellStyle name="Note 2 3 5 11 3" xfId="12609"/>
    <cellStyle name="Note 2 3 5 11 4" xfId="12610"/>
    <cellStyle name="Note 2 3 5 11 5" xfId="12611"/>
    <cellStyle name="Note 2 3 5 12" xfId="12612"/>
    <cellStyle name="Note 2 3 5 12 2" xfId="12613"/>
    <cellStyle name="Note 2 3 5 12 3" xfId="12614"/>
    <cellStyle name="Note 2 3 5 12 4" xfId="12615"/>
    <cellStyle name="Note 2 3 5 12 5" xfId="12616"/>
    <cellStyle name="Note 2 3 5 13" xfId="12617"/>
    <cellStyle name="Note 2 3 5 13 2" xfId="12618"/>
    <cellStyle name="Note 2 3 5 13 3" xfId="12619"/>
    <cellStyle name="Note 2 3 5 13 4" xfId="12620"/>
    <cellStyle name="Note 2 3 5 13 5" xfId="12621"/>
    <cellStyle name="Note 2 3 5 14" xfId="12622"/>
    <cellStyle name="Note 2 3 5 14 2" xfId="12623"/>
    <cellStyle name="Note 2 3 5 14 3" xfId="12624"/>
    <cellStyle name="Note 2 3 5 14 4" xfId="12625"/>
    <cellStyle name="Note 2 3 5 14 5" xfId="12626"/>
    <cellStyle name="Note 2 3 5 15" xfId="12627"/>
    <cellStyle name="Note 2 3 5 15 2" xfId="12628"/>
    <cellStyle name="Note 2 3 5 15 3" xfId="12629"/>
    <cellStyle name="Note 2 3 5 15 4" xfId="12630"/>
    <cellStyle name="Note 2 3 5 15 5" xfId="12631"/>
    <cellStyle name="Note 2 3 5 16" xfId="12632"/>
    <cellStyle name="Note 2 3 5 16 2" xfId="12633"/>
    <cellStyle name="Note 2 3 5 16 3" xfId="12634"/>
    <cellStyle name="Note 2 3 5 16 4" xfId="12635"/>
    <cellStyle name="Note 2 3 5 16 5" xfId="12636"/>
    <cellStyle name="Note 2 3 5 17" xfId="12637"/>
    <cellStyle name="Note 2 3 5 17 2" xfId="12638"/>
    <cellStyle name="Note 2 3 5 17 3" xfId="12639"/>
    <cellStyle name="Note 2 3 5 17 4" xfId="12640"/>
    <cellStyle name="Note 2 3 5 17 5" xfId="12641"/>
    <cellStyle name="Note 2 3 5 18" xfId="12642"/>
    <cellStyle name="Note 2 3 5 19" xfId="911"/>
    <cellStyle name="Note 2 3 5 2" xfId="2177"/>
    <cellStyle name="Note 2 3 5 2 2" xfId="12643"/>
    <cellStyle name="Note 2 3 5 2 3" xfId="12644"/>
    <cellStyle name="Note 2 3 5 2 4" xfId="12645"/>
    <cellStyle name="Note 2 3 5 2 5" xfId="12646"/>
    <cellStyle name="Note 2 3 5 2 6" xfId="36286"/>
    <cellStyle name="Note 2 3 5 2 7" xfId="44854"/>
    <cellStyle name="Note 2 3 5 2 8" xfId="52978"/>
    <cellStyle name="Note 2 3 5 20" xfId="34991"/>
    <cellStyle name="Note 2 3 5 21" xfId="40700"/>
    <cellStyle name="Note 2 3 5 22" xfId="41210"/>
    <cellStyle name="Note 2 3 5 3" xfId="2178"/>
    <cellStyle name="Note 2 3 5 3 2" xfId="12647"/>
    <cellStyle name="Note 2 3 5 3 3" xfId="12648"/>
    <cellStyle name="Note 2 3 5 3 4" xfId="12649"/>
    <cellStyle name="Note 2 3 5 3 5" xfId="12650"/>
    <cellStyle name="Note 2 3 5 3 6" xfId="36783"/>
    <cellStyle name="Note 2 3 5 3 7" xfId="44855"/>
    <cellStyle name="Note 2 3 5 3 8" xfId="52979"/>
    <cellStyle name="Note 2 3 5 4" xfId="1238"/>
    <cellStyle name="Note 2 3 5 4 2" xfId="12651"/>
    <cellStyle name="Note 2 3 5 4 3" xfId="12652"/>
    <cellStyle name="Note 2 3 5 4 4" xfId="12653"/>
    <cellStyle name="Note 2 3 5 4 5" xfId="12654"/>
    <cellStyle name="Note 2 3 5 4 6" xfId="37399"/>
    <cellStyle name="Note 2 3 5 4 7" xfId="44856"/>
    <cellStyle name="Note 2 3 5 4 8" xfId="52980"/>
    <cellStyle name="Note 2 3 5 5" xfId="3306"/>
    <cellStyle name="Note 2 3 5 5 2" xfId="12655"/>
    <cellStyle name="Note 2 3 5 5 3" xfId="12656"/>
    <cellStyle name="Note 2 3 5 5 4" xfId="12657"/>
    <cellStyle name="Note 2 3 5 5 5" xfId="12658"/>
    <cellStyle name="Note 2 3 5 5 6" xfId="38015"/>
    <cellStyle name="Note 2 3 5 5 7" xfId="44857"/>
    <cellStyle name="Note 2 3 5 5 8" xfId="52981"/>
    <cellStyle name="Note 2 3 5 6" xfId="3628"/>
    <cellStyle name="Note 2 3 5 6 2" xfId="12659"/>
    <cellStyle name="Note 2 3 5 6 3" xfId="12660"/>
    <cellStyle name="Note 2 3 5 6 4" xfId="12661"/>
    <cellStyle name="Note 2 3 5 6 5" xfId="12662"/>
    <cellStyle name="Note 2 3 5 6 6" xfId="38633"/>
    <cellStyle name="Note 2 3 5 6 7" xfId="44858"/>
    <cellStyle name="Note 2 3 5 6 8" xfId="52982"/>
    <cellStyle name="Note 2 3 5 7" xfId="12663"/>
    <cellStyle name="Note 2 3 5 7 2" xfId="12664"/>
    <cellStyle name="Note 2 3 5 7 3" xfId="12665"/>
    <cellStyle name="Note 2 3 5 7 4" xfId="12666"/>
    <cellStyle name="Note 2 3 5 7 5" xfId="12667"/>
    <cellStyle name="Note 2 3 5 7 6" xfId="39253"/>
    <cellStyle name="Note 2 3 5 7 7" xfId="44859"/>
    <cellStyle name="Note 2 3 5 7 8" xfId="52983"/>
    <cellStyle name="Note 2 3 5 8" xfId="12668"/>
    <cellStyle name="Note 2 3 5 8 2" xfId="12669"/>
    <cellStyle name="Note 2 3 5 8 3" xfId="12670"/>
    <cellStyle name="Note 2 3 5 8 4" xfId="12671"/>
    <cellStyle name="Note 2 3 5 8 5" xfId="12672"/>
    <cellStyle name="Note 2 3 5 8 6" xfId="39869"/>
    <cellStyle name="Note 2 3 5 8 7" xfId="44860"/>
    <cellStyle name="Note 2 3 5 8 8" xfId="52984"/>
    <cellStyle name="Note 2 3 5 9" xfId="12673"/>
    <cellStyle name="Note 2 3 5 9 2" xfId="12674"/>
    <cellStyle name="Note 2 3 5 9 3" xfId="12675"/>
    <cellStyle name="Note 2 3 5 9 4" xfId="12676"/>
    <cellStyle name="Note 2 3 5 9 5" xfId="12677"/>
    <cellStyle name="Note 2 3 5 9 6" xfId="40484"/>
    <cellStyle name="Note 2 3 5 9 7" xfId="44861"/>
    <cellStyle name="Note 2 3 5 9 8" xfId="52985"/>
    <cellStyle name="Note 2 3 6" xfId="2179"/>
    <cellStyle name="Note 2 3 6 10" xfId="34867"/>
    <cellStyle name="Note 2 3 6 10 2" xfId="44863"/>
    <cellStyle name="Note 2 3 6 10 3" xfId="52987"/>
    <cellStyle name="Note 2 3 6 11" xfId="40996"/>
    <cellStyle name="Note 2 3 6 12" xfId="44862"/>
    <cellStyle name="Note 2 3 6 13" xfId="52986"/>
    <cellStyle name="Note 2 3 6 2" xfId="2180"/>
    <cellStyle name="Note 2 3 6 2 2" xfId="36073"/>
    <cellStyle name="Note 2 3 6 2 3" xfId="44864"/>
    <cellStyle name="Note 2 3 6 2 4" xfId="52988"/>
    <cellStyle name="Note 2 3 6 3" xfId="2181"/>
    <cellStyle name="Note 2 3 6 3 2" xfId="36572"/>
    <cellStyle name="Note 2 3 6 3 3" xfId="44865"/>
    <cellStyle name="Note 2 3 6 3 4" xfId="52989"/>
    <cellStyle name="Note 2 3 6 4" xfId="12678"/>
    <cellStyle name="Note 2 3 6 4 2" xfId="37188"/>
    <cellStyle name="Note 2 3 6 4 3" xfId="44866"/>
    <cellStyle name="Note 2 3 6 4 4" xfId="52990"/>
    <cellStyle name="Note 2 3 6 5" xfId="12679"/>
    <cellStyle name="Note 2 3 6 5 2" xfId="37804"/>
    <cellStyle name="Note 2 3 6 5 3" xfId="44867"/>
    <cellStyle name="Note 2 3 6 5 4" xfId="52991"/>
    <cellStyle name="Note 2 3 6 6" xfId="38419"/>
    <cellStyle name="Note 2 3 6 6 2" xfId="44868"/>
    <cellStyle name="Note 2 3 6 6 3" xfId="52992"/>
    <cellStyle name="Note 2 3 6 7" xfId="39039"/>
    <cellStyle name="Note 2 3 6 7 2" xfId="44869"/>
    <cellStyle name="Note 2 3 6 7 3" xfId="52993"/>
    <cellStyle name="Note 2 3 6 8" xfId="39655"/>
    <cellStyle name="Note 2 3 6 8 2" xfId="44870"/>
    <cellStyle name="Note 2 3 6 8 3" xfId="52994"/>
    <cellStyle name="Note 2 3 6 9" xfId="40270"/>
    <cellStyle name="Note 2 3 6 9 2" xfId="44871"/>
    <cellStyle name="Note 2 3 6 9 3" xfId="52995"/>
    <cellStyle name="Note 2 3 7" xfId="2182"/>
    <cellStyle name="Note 2 3 7 10" xfId="44872"/>
    <cellStyle name="Note 2 3 7 11" xfId="52996"/>
    <cellStyle name="Note 2 3 7 2" xfId="2183"/>
    <cellStyle name="Note 2 3 7 2 2" xfId="44873"/>
    <cellStyle name="Note 2 3 7 2 3" xfId="52997"/>
    <cellStyle name="Note 2 3 7 3" xfId="12680"/>
    <cellStyle name="Note 2 3 7 3 2" xfId="44874"/>
    <cellStyle name="Note 2 3 7 3 3" xfId="52998"/>
    <cellStyle name="Note 2 3 7 4" xfId="12681"/>
    <cellStyle name="Note 2 3 7 4 2" xfId="44875"/>
    <cellStyle name="Note 2 3 7 4 3" xfId="52999"/>
    <cellStyle name="Note 2 3 7 5" xfId="12682"/>
    <cellStyle name="Note 2 3 7 5 2" xfId="44876"/>
    <cellStyle name="Note 2 3 7 5 3" xfId="53000"/>
    <cellStyle name="Note 2 3 7 6" xfId="35390"/>
    <cellStyle name="Note 2 3 7 6 2" xfId="44877"/>
    <cellStyle name="Note 2 3 7 6 3" xfId="53001"/>
    <cellStyle name="Note 2 3 7 7" xfId="44878"/>
    <cellStyle name="Note 2 3 7 7 2" xfId="53002"/>
    <cellStyle name="Note 2 3 7 8" xfId="44879"/>
    <cellStyle name="Note 2 3 7 8 2" xfId="53003"/>
    <cellStyle name="Note 2 3 7 9" xfId="44880"/>
    <cellStyle name="Note 2 3 7 9 2" xfId="53004"/>
    <cellStyle name="Note 2 3 8" xfId="1227"/>
    <cellStyle name="Note 2 3 8 2" xfId="12683"/>
    <cellStyle name="Note 2 3 8 3" xfId="12684"/>
    <cellStyle name="Note 2 3 8 4" xfId="12685"/>
    <cellStyle name="Note 2 3 8 5" xfId="12686"/>
    <cellStyle name="Note 2 3 8 6" xfId="35921"/>
    <cellStyle name="Note 2 3 8 7" xfId="44881"/>
    <cellStyle name="Note 2 3 8 8" xfId="53005"/>
    <cellStyle name="Note 2 3 9" xfId="3295"/>
    <cellStyle name="Note 2 3 9 2" xfId="12687"/>
    <cellStyle name="Note 2 3 9 3" xfId="12688"/>
    <cellStyle name="Note 2 3 9 4" xfId="12689"/>
    <cellStyle name="Note 2 3 9 5" xfId="12690"/>
    <cellStyle name="Note 2 3 9 6" xfId="35830"/>
    <cellStyle name="Note 2 3 9 7" xfId="44882"/>
    <cellStyle name="Note 2 3 9 8" xfId="53006"/>
    <cellStyle name="Note 2 4" xfId="250"/>
    <cellStyle name="Note 2 4 10" xfId="3629"/>
    <cellStyle name="Note 2 4 10 2" xfId="12691"/>
    <cellStyle name="Note 2 4 10 3" xfId="12692"/>
    <cellStyle name="Note 2 4 10 4" xfId="12693"/>
    <cellStyle name="Note 2 4 10 5" xfId="12694"/>
    <cellStyle name="Note 2 4 10 6" xfId="36043"/>
    <cellStyle name="Note 2 4 10 7" xfId="44883"/>
    <cellStyle name="Note 2 4 10 8" xfId="53007"/>
    <cellStyle name="Note 2 4 11" xfId="12695"/>
    <cellStyle name="Note 2 4 11 2" xfId="12696"/>
    <cellStyle name="Note 2 4 11 3" xfId="12697"/>
    <cellStyle name="Note 2 4 11 4" xfId="12698"/>
    <cellStyle name="Note 2 4 11 5" xfId="12699"/>
    <cellStyle name="Note 2 4 11 6" xfId="36056"/>
    <cellStyle name="Note 2 4 11 7" xfId="44884"/>
    <cellStyle name="Note 2 4 11 8" xfId="53008"/>
    <cellStyle name="Note 2 4 12" xfId="12700"/>
    <cellStyle name="Note 2 4 12 2" xfId="12701"/>
    <cellStyle name="Note 2 4 12 3" xfId="12702"/>
    <cellStyle name="Note 2 4 12 4" xfId="12703"/>
    <cellStyle name="Note 2 4 12 5" xfId="12704"/>
    <cellStyle name="Note 2 4 12 6" xfId="35891"/>
    <cellStyle name="Note 2 4 12 7" xfId="44885"/>
    <cellStyle name="Note 2 4 12 8" xfId="53009"/>
    <cellStyle name="Note 2 4 13" xfId="12705"/>
    <cellStyle name="Note 2 4 13 2" xfId="12706"/>
    <cellStyle name="Note 2 4 13 3" xfId="12707"/>
    <cellStyle name="Note 2 4 13 4" xfId="12708"/>
    <cellStyle name="Note 2 4 13 5" xfId="12709"/>
    <cellStyle name="Note 2 4 13 6" xfId="36054"/>
    <cellStyle name="Note 2 4 13 7" xfId="44886"/>
    <cellStyle name="Note 2 4 13 8" xfId="53010"/>
    <cellStyle name="Note 2 4 14" xfId="12710"/>
    <cellStyle name="Note 2 4 14 2" xfId="12711"/>
    <cellStyle name="Note 2 4 14 3" xfId="12712"/>
    <cellStyle name="Note 2 4 14 4" xfId="12713"/>
    <cellStyle name="Note 2 4 14 5" xfId="12714"/>
    <cellStyle name="Note 2 4 14 6" xfId="37031"/>
    <cellStyle name="Note 2 4 14 7" xfId="44887"/>
    <cellStyle name="Note 2 4 14 8" xfId="53011"/>
    <cellStyle name="Note 2 4 15" xfId="12715"/>
    <cellStyle name="Note 2 4 15 2" xfId="12716"/>
    <cellStyle name="Note 2 4 15 3" xfId="12717"/>
    <cellStyle name="Note 2 4 15 4" xfId="12718"/>
    <cellStyle name="Note 2 4 15 5" xfId="12719"/>
    <cellStyle name="Note 2 4 15 6" xfId="38977"/>
    <cellStyle name="Note 2 4 15 7" xfId="44888"/>
    <cellStyle name="Note 2 4 15 8" xfId="53012"/>
    <cellStyle name="Note 2 4 16" xfId="12720"/>
    <cellStyle name="Note 2 4 16 2" xfId="12721"/>
    <cellStyle name="Note 2 4 16 3" xfId="12722"/>
    <cellStyle name="Note 2 4 16 4" xfId="12723"/>
    <cellStyle name="Note 2 4 16 5" xfId="12724"/>
    <cellStyle name="Note 2 4 16 6" xfId="44889"/>
    <cellStyle name="Note 2 4 16 7" xfId="53013"/>
    <cellStyle name="Note 2 4 17" xfId="12725"/>
    <cellStyle name="Note 2 4 17 2" xfId="12726"/>
    <cellStyle name="Note 2 4 17 3" xfId="12727"/>
    <cellStyle name="Note 2 4 17 4" xfId="12728"/>
    <cellStyle name="Note 2 4 17 5" xfId="12729"/>
    <cellStyle name="Note 2 4 18" xfId="12730"/>
    <cellStyle name="Note 2 4 19" xfId="698"/>
    <cellStyle name="Note 2 4 2" xfId="284"/>
    <cellStyle name="Note 2 4 2 10" xfId="12731"/>
    <cellStyle name="Note 2 4 2 10 2" xfId="12732"/>
    <cellStyle name="Note 2 4 2 10 3" xfId="12733"/>
    <cellStyle name="Note 2 4 2 10 4" xfId="12734"/>
    <cellStyle name="Note 2 4 2 10 5" xfId="12735"/>
    <cellStyle name="Note 2 4 2 10 6" xfId="37612"/>
    <cellStyle name="Note 2 4 2 10 7" xfId="44890"/>
    <cellStyle name="Note 2 4 2 10 8" xfId="53014"/>
    <cellStyle name="Note 2 4 2 11" xfId="12736"/>
    <cellStyle name="Note 2 4 2 11 2" xfId="12737"/>
    <cellStyle name="Note 2 4 2 11 3" xfId="12738"/>
    <cellStyle name="Note 2 4 2 11 4" xfId="12739"/>
    <cellStyle name="Note 2 4 2 11 5" xfId="12740"/>
    <cellStyle name="Note 2 4 2 11 6" xfId="38229"/>
    <cellStyle name="Note 2 4 2 11 7" xfId="44891"/>
    <cellStyle name="Note 2 4 2 11 8" xfId="53015"/>
    <cellStyle name="Note 2 4 2 12" xfId="12741"/>
    <cellStyle name="Note 2 4 2 12 2" xfId="12742"/>
    <cellStyle name="Note 2 4 2 12 3" xfId="12743"/>
    <cellStyle name="Note 2 4 2 12 4" xfId="12744"/>
    <cellStyle name="Note 2 4 2 12 5" xfId="12745"/>
    <cellStyle name="Note 2 4 2 12 6" xfId="38851"/>
    <cellStyle name="Note 2 4 2 12 7" xfId="44892"/>
    <cellStyle name="Note 2 4 2 12 8" xfId="53016"/>
    <cellStyle name="Note 2 4 2 13" xfId="12746"/>
    <cellStyle name="Note 2 4 2 13 2" xfId="12747"/>
    <cellStyle name="Note 2 4 2 13 3" xfId="12748"/>
    <cellStyle name="Note 2 4 2 13 4" xfId="12749"/>
    <cellStyle name="Note 2 4 2 13 5" xfId="12750"/>
    <cellStyle name="Note 2 4 2 13 6" xfId="39471"/>
    <cellStyle name="Note 2 4 2 13 7" xfId="44893"/>
    <cellStyle name="Note 2 4 2 13 8" xfId="53017"/>
    <cellStyle name="Note 2 4 2 14" xfId="12751"/>
    <cellStyle name="Note 2 4 2 14 2" xfId="12752"/>
    <cellStyle name="Note 2 4 2 14 3" xfId="12753"/>
    <cellStyle name="Note 2 4 2 14 4" xfId="12754"/>
    <cellStyle name="Note 2 4 2 14 5" xfId="12755"/>
    <cellStyle name="Note 2 4 2 14 6" xfId="40089"/>
    <cellStyle name="Note 2 4 2 14 7" xfId="44894"/>
    <cellStyle name="Note 2 4 2 14 8" xfId="53018"/>
    <cellStyle name="Note 2 4 2 15" xfId="12756"/>
    <cellStyle name="Note 2 4 2 15 2" xfId="12757"/>
    <cellStyle name="Note 2 4 2 15 3" xfId="12758"/>
    <cellStyle name="Note 2 4 2 15 4" xfId="12759"/>
    <cellStyle name="Note 2 4 2 15 5" xfId="12760"/>
    <cellStyle name="Note 2 4 2 15 6" xfId="44895"/>
    <cellStyle name="Note 2 4 2 15 7" xfId="53019"/>
    <cellStyle name="Note 2 4 2 16" xfId="12761"/>
    <cellStyle name="Note 2 4 2 16 2" xfId="12762"/>
    <cellStyle name="Note 2 4 2 16 3" xfId="12763"/>
    <cellStyle name="Note 2 4 2 16 4" xfId="12764"/>
    <cellStyle name="Note 2 4 2 16 5" xfId="12765"/>
    <cellStyle name="Note 2 4 2 17" xfId="12766"/>
    <cellStyle name="Note 2 4 2 18" xfId="729"/>
    <cellStyle name="Note 2 4 2 19" xfId="34895"/>
    <cellStyle name="Note 2 4 2 2" xfId="360"/>
    <cellStyle name="Note 2 4 2 2 10" xfId="12767"/>
    <cellStyle name="Note 2 4 2 2 10 2" xfId="12768"/>
    <cellStyle name="Note 2 4 2 2 10 3" xfId="12769"/>
    <cellStyle name="Note 2 4 2 2 10 4" xfId="12770"/>
    <cellStyle name="Note 2 4 2 2 10 5" xfId="12771"/>
    <cellStyle name="Note 2 4 2 2 10 6" xfId="39538"/>
    <cellStyle name="Note 2 4 2 2 10 7" xfId="44896"/>
    <cellStyle name="Note 2 4 2 2 10 8" xfId="53020"/>
    <cellStyle name="Note 2 4 2 2 11" xfId="12772"/>
    <cellStyle name="Note 2 4 2 2 11 2" xfId="12773"/>
    <cellStyle name="Note 2 4 2 2 11 3" xfId="12774"/>
    <cellStyle name="Note 2 4 2 2 11 4" xfId="12775"/>
    <cellStyle name="Note 2 4 2 2 11 5" xfId="12776"/>
    <cellStyle name="Note 2 4 2 2 11 6" xfId="40154"/>
    <cellStyle name="Note 2 4 2 2 11 7" xfId="44897"/>
    <cellStyle name="Note 2 4 2 2 11 8" xfId="53021"/>
    <cellStyle name="Note 2 4 2 2 12" xfId="12777"/>
    <cellStyle name="Note 2 4 2 2 12 2" xfId="12778"/>
    <cellStyle name="Note 2 4 2 2 12 3" xfId="12779"/>
    <cellStyle name="Note 2 4 2 2 12 4" xfId="12780"/>
    <cellStyle name="Note 2 4 2 2 12 5" xfId="12781"/>
    <cellStyle name="Note 2 4 2 2 12 6" xfId="44898"/>
    <cellStyle name="Note 2 4 2 2 12 7" xfId="53022"/>
    <cellStyle name="Note 2 4 2 2 13" xfId="12782"/>
    <cellStyle name="Note 2 4 2 2 13 2" xfId="12783"/>
    <cellStyle name="Note 2 4 2 2 13 3" xfId="12784"/>
    <cellStyle name="Note 2 4 2 2 13 4" xfId="12785"/>
    <cellStyle name="Note 2 4 2 2 13 5" xfId="12786"/>
    <cellStyle name="Note 2 4 2 2 13 6" xfId="44899"/>
    <cellStyle name="Note 2 4 2 2 13 7" xfId="53023"/>
    <cellStyle name="Note 2 4 2 2 14" xfId="12787"/>
    <cellStyle name="Note 2 4 2 2 14 2" xfId="12788"/>
    <cellStyle name="Note 2 4 2 2 14 3" xfId="12789"/>
    <cellStyle name="Note 2 4 2 2 14 4" xfId="12790"/>
    <cellStyle name="Note 2 4 2 2 14 5" xfId="12791"/>
    <cellStyle name="Note 2 4 2 2 15" xfId="12792"/>
    <cellStyle name="Note 2 4 2 2 15 2" xfId="12793"/>
    <cellStyle name="Note 2 4 2 2 15 3" xfId="12794"/>
    <cellStyle name="Note 2 4 2 2 15 4" xfId="12795"/>
    <cellStyle name="Note 2 4 2 2 15 5" xfId="12796"/>
    <cellStyle name="Note 2 4 2 2 16" xfId="12797"/>
    <cellStyle name="Note 2 4 2 2 16 2" xfId="12798"/>
    <cellStyle name="Note 2 4 2 2 16 3" xfId="12799"/>
    <cellStyle name="Note 2 4 2 2 16 4" xfId="12800"/>
    <cellStyle name="Note 2 4 2 2 16 5" xfId="12801"/>
    <cellStyle name="Note 2 4 2 2 17" xfId="12802"/>
    <cellStyle name="Note 2 4 2 2 17 2" xfId="12803"/>
    <cellStyle name="Note 2 4 2 2 17 3" xfId="12804"/>
    <cellStyle name="Note 2 4 2 2 17 4" xfId="12805"/>
    <cellStyle name="Note 2 4 2 2 17 5" xfId="12806"/>
    <cellStyle name="Note 2 4 2 2 18" xfId="12807"/>
    <cellStyle name="Note 2 4 2 2 19" xfId="796"/>
    <cellStyle name="Note 2 4 2 2 2" xfId="579"/>
    <cellStyle name="Note 2 4 2 2 2 10" xfId="12808"/>
    <cellStyle name="Note 2 4 2 2 2 10 2" xfId="12809"/>
    <cellStyle name="Note 2 4 2 2 2 10 3" xfId="12810"/>
    <cellStyle name="Note 2 4 2 2 2 10 4" xfId="12811"/>
    <cellStyle name="Note 2 4 2 2 2 10 5" xfId="12812"/>
    <cellStyle name="Note 2 4 2 2 2 10 6" xfId="44900"/>
    <cellStyle name="Note 2 4 2 2 2 10 7" xfId="53024"/>
    <cellStyle name="Note 2 4 2 2 2 11" xfId="12813"/>
    <cellStyle name="Note 2 4 2 2 2 11 2" xfId="12814"/>
    <cellStyle name="Note 2 4 2 2 2 11 3" xfId="12815"/>
    <cellStyle name="Note 2 4 2 2 2 11 4" xfId="12816"/>
    <cellStyle name="Note 2 4 2 2 2 11 5" xfId="12817"/>
    <cellStyle name="Note 2 4 2 2 2 12" xfId="12818"/>
    <cellStyle name="Note 2 4 2 2 2 12 2" xfId="12819"/>
    <cellStyle name="Note 2 4 2 2 2 12 3" xfId="12820"/>
    <cellStyle name="Note 2 4 2 2 2 12 4" xfId="12821"/>
    <cellStyle name="Note 2 4 2 2 2 12 5" xfId="12822"/>
    <cellStyle name="Note 2 4 2 2 2 13" xfId="12823"/>
    <cellStyle name="Note 2 4 2 2 2 13 2" xfId="12824"/>
    <cellStyle name="Note 2 4 2 2 2 13 3" xfId="12825"/>
    <cellStyle name="Note 2 4 2 2 2 13 4" xfId="12826"/>
    <cellStyle name="Note 2 4 2 2 2 13 5" xfId="12827"/>
    <cellStyle name="Note 2 4 2 2 2 14" xfId="12828"/>
    <cellStyle name="Note 2 4 2 2 2 14 2" xfId="12829"/>
    <cellStyle name="Note 2 4 2 2 2 14 3" xfId="12830"/>
    <cellStyle name="Note 2 4 2 2 2 14 4" xfId="12831"/>
    <cellStyle name="Note 2 4 2 2 2 14 5" xfId="12832"/>
    <cellStyle name="Note 2 4 2 2 2 15" xfId="12833"/>
    <cellStyle name="Note 2 4 2 2 2 15 2" xfId="12834"/>
    <cellStyle name="Note 2 4 2 2 2 15 3" xfId="12835"/>
    <cellStyle name="Note 2 4 2 2 2 15 4" xfId="12836"/>
    <cellStyle name="Note 2 4 2 2 2 15 5" xfId="12837"/>
    <cellStyle name="Note 2 4 2 2 2 16" xfId="12838"/>
    <cellStyle name="Note 2 4 2 2 2 16 2" xfId="12839"/>
    <cellStyle name="Note 2 4 2 2 2 16 3" xfId="12840"/>
    <cellStyle name="Note 2 4 2 2 2 16 4" xfId="12841"/>
    <cellStyle name="Note 2 4 2 2 2 16 5" xfId="12842"/>
    <cellStyle name="Note 2 4 2 2 2 17" xfId="12843"/>
    <cellStyle name="Note 2 4 2 2 2 17 2" xfId="12844"/>
    <cellStyle name="Note 2 4 2 2 2 17 3" xfId="12845"/>
    <cellStyle name="Note 2 4 2 2 2 17 4" xfId="12846"/>
    <cellStyle name="Note 2 4 2 2 2 17 5" xfId="12847"/>
    <cellStyle name="Note 2 4 2 2 2 18" xfId="12848"/>
    <cellStyle name="Note 2 4 2 2 2 19" xfId="1008"/>
    <cellStyle name="Note 2 4 2 2 2 2" xfId="2184"/>
    <cellStyle name="Note 2 4 2 2 2 2 2" xfId="12849"/>
    <cellStyle name="Note 2 4 2 2 2 2 3" xfId="12850"/>
    <cellStyle name="Note 2 4 2 2 2 2 4" xfId="12851"/>
    <cellStyle name="Note 2 4 2 2 2 2 5" xfId="12852"/>
    <cellStyle name="Note 2 4 2 2 2 2 6" xfId="36383"/>
    <cellStyle name="Note 2 4 2 2 2 2 7" xfId="44901"/>
    <cellStyle name="Note 2 4 2 2 2 2 8" xfId="53025"/>
    <cellStyle name="Note 2 4 2 2 2 20" xfId="35088"/>
    <cellStyle name="Note 2 4 2 2 2 21" xfId="41307"/>
    <cellStyle name="Note 2 4 2 2 2 3" xfId="2185"/>
    <cellStyle name="Note 2 4 2 2 2 3 2" xfId="12853"/>
    <cellStyle name="Note 2 4 2 2 2 3 3" xfId="12854"/>
    <cellStyle name="Note 2 4 2 2 2 3 4" xfId="12855"/>
    <cellStyle name="Note 2 4 2 2 2 3 5" xfId="12856"/>
    <cellStyle name="Note 2 4 2 2 2 3 6" xfId="36880"/>
    <cellStyle name="Note 2 4 2 2 2 3 7" xfId="44902"/>
    <cellStyle name="Note 2 4 2 2 2 3 8" xfId="53026"/>
    <cellStyle name="Note 2 4 2 2 2 4" xfId="1242"/>
    <cellStyle name="Note 2 4 2 2 2 4 2" xfId="12857"/>
    <cellStyle name="Note 2 4 2 2 2 4 3" xfId="12858"/>
    <cellStyle name="Note 2 4 2 2 2 4 4" xfId="12859"/>
    <cellStyle name="Note 2 4 2 2 2 4 5" xfId="12860"/>
    <cellStyle name="Note 2 4 2 2 2 4 6" xfId="37496"/>
    <cellStyle name="Note 2 4 2 2 2 4 7" xfId="44903"/>
    <cellStyle name="Note 2 4 2 2 2 4 8" xfId="53027"/>
    <cellStyle name="Note 2 4 2 2 2 5" xfId="3310"/>
    <cellStyle name="Note 2 4 2 2 2 5 2" xfId="12861"/>
    <cellStyle name="Note 2 4 2 2 2 5 3" xfId="12862"/>
    <cellStyle name="Note 2 4 2 2 2 5 4" xfId="12863"/>
    <cellStyle name="Note 2 4 2 2 2 5 5" xfId="12864"/>
    <cellStyle name="Note 2 4 2 2 2 5 6" xfId="38112"/>
    <cellStyle name="Note 2 4 2 2 2 5 7" xfId="44904"/>
    <cellStyle name="Note 2 4 2 2 2 5 8" xfId="53028"/>
    <cellStyle name="Note 2 4 2 2 2 6" xfId="3632"/>
    <cellStyle name="Note 2 4 2 2 2 6 2" xfId="12865"/>
    <cellStyle name="Note 2 4 2 2 2 6 3" xfId="12866"/>
    <cellStyle name="Note 2 4 2 2 2 6 4" xfId="12867"/>
    <cellStyle name="Note 2 4 2 2 2 6 5" xfId="12868"/>
    <cellStyle name="Note 2 4 2 2 2 6 6" xfId="38730"/>
    <cellStyle name="Note 2 4 2 2 2 6 7" xfId="44905"/>
    <cellStyle name="Note 2 4 2 2 2 6 8" xfId="53029"/>
    <cellStyle name="Note 2 4 2 2 2 7" xfId="12869"/>
    <cellStyle name="Note 2 4 2 2 2 7 2" xfId="12870"/>
    <cellStyle name="Note 2 4 2 2 2 7 3" xfId="12871"/>
    <cellStyle name="Note 2 4 2 2 2 7 4" xfId="12872"/>
    <cellStyle name="Note 2 4 2 2 2 7 5" xfId="12873"/>
    <cellStyle name="Note 2 4 2 2 2 7 6" xfId="39350"/>
    <cellStyle name="Note 2 4 2 2 2 7 7" xfId="44906"/>
    <cellStyle name="Note 2 4 2 2 2 7 8" xfId="53030"/>
    <cellStyle name="Note 2 4 2 2 2 8" xfId="12874"/>
    <cellStyle name="Note 2 4 2 2 2 8 2" xfId="12875"/>
    <cellStyle name="Note 2 4 2 2 2 8 3" xfId="12876"/>
    <cellStyle name="Note 2 4 2 2 2 8 4" xfId="12877"/>
    <cellStyle name="Note 2 4 2 2 2 8 5" xfId="12878"/>
    <cellStyle name="Note 2 4 2 2 2 8 6" xfId="39966"/>
    <cellStyle name="Note 2 4 2 2 2 8 7" xfId="44907"/>
    <cellStyle name="Note 2 4 2 2 2 8 8" xfId="53031"/>
    <cellStyle name="Note 2 4 2 2 2 9" xfId="12879"/>
    <cellStyle name="Note 2 4 2 2 2 9 2" xfId="12880"/>
    <cellStyle name="Note 2 4 2 2 2 9 3" xfId="12881"/>
    <cellStyle name="Note 2 4 2 2 2 9 4" xfId="12882"/>
    <cellStyle name="Note 2 4 2 2 2 9 5" xfId="12883"/>
    <cellStyle name="Note 2 4 2 2 2 9 6" xfId="40581"/>
    <cellStyle name="Note 2 4 2 2 2 9 7" xfId="44908"/>
    <cellStyle name="Note 2 4 2 2 2 9 8" xfId="53032"/>
    <cellStyle name="Note 2 4 2 2 20" xfId="34816"/>
    <cellStyle name="Note 2 4 2 2 21" xfId="40880"/>
    <cellStyle name="Note 2 4 2 2 22" xfId="41441"/>
    <cellStyle name="Note 2 4 2 2 23" xfId="50528"/>
    <cellStyle name="Note 2 4 2 2 3" xfId="2186"/>
    <cellStyle name="Note 2 4 2 2 3 10" xfId="34863"/>
    <cellStyle name="Note 2 4 2 2 3 10 2" xfId="44910"/>
    <cellStyle name="Note 2 4 2 2 3 10 3" xfId="53034"/>
    <cellStyle name="Note 2 4 2 2 3 11" xfId="41095"/>
    <cellStyle name="Note 2 4 2 2 3 12" xfId="44909"/>
    <cellStyle name="Note 2 4 2 2 3 13" xfId="53033"/>
    <cellStyle name="Note 2 4 2 2 3 2" xfId="2187"/>
    <cellStyle name="Note 2 4 2 2 3 2 2" xfId="36172"/>
    <cellStyle name="Note 2 4 2 2 3 2 3" xfId="44911"/>
    <cellStyle name="Note 2 4 2 2 3 2 4" xfId="53035"/>
    <cellStyle name="Note 2 4 2 2 3 3" xfId="12884"/>
    <cellStyle name="Note 2 4 2 2 3 3 2" xfId="36669"/>
    <cellStyle name="Note 2 4 2 2 3 3 3" xfId="44912"/>
    <cellStyle name="Note 2 4 2 2 3 3 4" xfId="53036"/>
    <cellStyle name="Note 2 4 2 2 3 4" xfId="12885"/>
    <cellStyle name="Note 2 4 2 2 3 4 2" xfId="37285"/>
    <cellStyle name="Note 2 4 2 2 3 4 3" xfId="44913"/>
    <cellStyle name="Note 2 4 2 2 3 4 4" xfId="53037"/>
    <cellStyle name="Note 2 4 2 2 3 5" xfId="12886"/>
    <cellStyle name="Note 2 4 2 2 3 5 2" xfId="37901"/>
    <cellStyle name="Note 2 4 2 2 3 5 3" xfId="44914"/>
    <cellStyle name="Note 2 4 2 2 3 5 4" xfId="53038"/>
    <cellStyle name="Note 2 4 2 2 3 6" xfId="38518"/>
    <cellStyle name="Note 2 4 2 2 3 6 2" xfId="44915"/>
    <cellStyle name="Note 2 4 2 2 3 6 3" xfId="53039"/>
    <cellStyle name="Note 2 4 2 2 3 7" xfId="39138"/>
    <cellStyle name="Note 2 4 2 2 3 7 2" xfId="44916"/>
    <cellStyle name="Note 2 4 2 2 3 7 3" xfId="53040"/>
    <cellStyle name="Note 2 4 2 2 3 8" xfId="39754"/>
    <cellStyle name="Note 2 4 2 2 3 8 2" xfId="44917"/>
    <cellStyle name="Note 2 4 2 2 3 8 3" xfId="53041"/>
    <cellStyle name="Note 2 4 2 2 3 9" xfId="40369"/>
    <cellStyle name="Note 2 4 2 2 3 9 2" xfId="44918"/>
    <cellStyle name="Note 2 4 2 2 3 9 3" xfId="53042"/>
    <cellStyle name="Note 2 4 2 2 4" xfId="2188"/>
    <cellStyle name="Note 2 4 2 2 4 10" xfId="44919"/>
    <cellStyle name="Note 2 4 2 2 4 11" xfId="53043"/>
    <cellStyle name="Note 2 4 2 2 4 2" xfId="12887"/>
    <cellStyle name="Note 2 4 2 2 4 2 2" xfId="44920"/>
    <cellStyle name="Note 2 4 2 2 4 2 3" xfId="53044"/>
    <cellStyle name="Note 2 4 2 2 4 3" xfId="12888"/>
    <cellStyle name="Note 2 4 2 2 4 3 2" xfId="44921"/>
    <cellStyle name="Note 2 4 2 2 4 3 3" xfId="53045"/>
    <cellStyle name="Note 2 4 2 2 4 4" xfId="12889"/>
    <cellStyle name="Note 2 4 2 2 4 4 2" xfId="44922"/>
    <cellStyle name="Note 2 4 2 2 4 4 3" xfId="53046"/>
    <cellStyle name="Note 2 4 2 2 4 5" xfId="12890"/>
    <cellStyle name="Note 2 4 2 2 4 5 2" xfId="44923"/>
    <cellStyle name="Note 2 4 2 2 4 5 3" xfId="53047"/>
    <cellStyle name="Note 2 4 2 2 4 6" xfId="35692"/>
    <cellStyle name="Note 2 4 2 2 4 6 2" xfId="44924"/>
    <cellStyle name="Note 2 4 2 2 4 6 3" xfId="53048"/>
    <cellStyle name="Note 2 4 2 2 4 7" xfId="44925"/>
    <cellStyle name="Note 2 4 2 2 4 7 2" xfId="53049"/>
    <cellStyle name="Note 2 4 2 2 4 8" xfId="44926"/>
    <cellStyle name="Note 2 4 2 2 4 8 2" xfId="53050"/>
    <cellStyle name="Note 2 4 2 2 4 9" xfId="44927"/>
    <cellStyle name="Note 2 4 2 2 4 9 2" xfId="53051"/>
    <cellStyle name="Note 2 4 2 2 5" xfId="1241"/>
    <cellStyle name="Note 2 4 2 2 5 2" xfId="12891"/>
    <cellStyle name="Note 2 4 2 2 5 3" xfId="12892"/>
    <cellStyle name="Note 2 4 2 2 5 4" xfId="12893"/>
    <cellStyle name="Note 2 4 2 2 5 5" xfId="12894"/>
    <cellStyle name="Note 2 4 2 2 5 6" xfId="35767"/>
    <cellStyle name="Note 2 4 2 2 5 7" xfId="44928"/>
    <cellStyle name="Note 2 4 2 2 5 8" xfId="53052"/>
    <cellStyle name="Note 2 4 2 2 6" xfId="3309"/>
    <cellStyle name="Note 2 4 2 2 6 2" xfId="12895"/>
    <cellStyle name="Note 2 4 2 2 6 3" xfId="12896"/>
    <cellStyle name="Note 2 4 2 2 6 4" xfId="12897"/>
    <cellStyle name="Note 2 4 2 2 6 5" xfId="12898"/>
    <cellStyle name="Note 2 4 2 2 6 6" xfId="37070"/>
    <cellStyle name="Note 2 4 2 2 6 7" xfId="44929"/>
    <cellStyle name="Note 2 4 2 2 6 8" xfId="53053"/>
    <cellStyle name="Note 2 4 2 2 7" xfId="3631"/>
    <cellStyle name="Note 2 4 2 2 7 2" xfId="12899"/>
    <cellStyle name="Note 2 4 2 2 7 3" xfId="12900"/>
    <cellStyle name="Note 2 4 2 2 7 4" xfId="12901"/>
    <cellStyle name="Note 2 4 2 2 7 5" xfId="12902"/>
    <cellStyle name="Note 2 4 2 2 7 6" xfId="37684"/>
    <cellStyle name="Note 2 4 2 2 7 7" xfId="44930"/>
    <cellStyle name="Note 2 4 2 2 7 8" xfId="53054"/>
    <cellStyle name="Note 2 4 2 2 8" xfId="12903"/>
    <cellStyle name="Note 2 4 2 2 8 2" xfId="12904"/>
    <cellStyle name="Note 2 4 2 2 8 3" xfId="12905"/>
    <cellStyle name="Note 2 4 2 2 8 4" xfId="12906"/>
    <cellStyle name="Note 2 4 2 2 8 5" xfId="12907"/>
    <cellStyle name="Note 2 4 2 2 8 6" xfId="38299"/>
    <cellStyle name="Note 2 4 2 2 8 7" xfId="44931"/>
    <cellStyle name="Note 2 4 2 2 8 8" xfId="53055"/>
    <cellStyle name="Note 2 4 2 2 9" xfId="12908"/>
    <cellStyle name="Note 2 4 2 2 9 2" xfId="12909"/>
    <cellStyle name="Note 2 4 2 2 9 3" xfId="12910"/>
    <cellStyle name="Note 2 4 2 2 9 4" xfId="12911"/>
    <cellStyle name="Note 2 4 2 2 9 5" xfId="12912"/>
    <cellStyle name="Note 2 4 2 2 9 6" xfId="38919"/>
    <cellStyle name="Note 2 4 2 2 9 7" xfId="44932"/>
    <cellStyle name="Note 2 4 2 2 9 8" xfId="53056"/>
    <cellStyle name="Note 2 4 2 20" xfId="40813"/>
    <cellStyle name="Note 2 4 2 3" xfId="361"/>
    <cellStyle name="Note 2 4 2 3 10" xfId="12913"/>
    <cellStyle name="Note 2 4 2 3 10 2" xfId="12914"/>
    <cellStyle name="Note 2 4 2 3 10 3" xfId="12915"/>
    <cellStyle name="Note 2 4 2 3 10 4" xfId="12916"/>
    <cellStyle name="Note 2 4 2 3 10 5" xfId="12917"/>
    <cellStyle name="Note 2 4 2 3 10 6" xfId="40155"/>
    <cellStyle name="Note 2 4 2 3 10 7" xfId="44933"/>
    <cellStyle name="Note 2 4 2 3 10 8" xfId="53057"/>
    <cellStyle name="Note 2 4 2 3 11" xfId="12918"/>
    <cellStyle name="Note 2 4 2 3 11 2" xfId="12919"/>
    <cellStyle name="Note 2 4 2 3 11 3" xfId="12920"/>
    <cellStyle name="Note 2 4 2 3 11 4" xfId="12921"/>
    <cellStyle name="Note 2 4 2 3 11 5" xfId="12922"/>
    <cellStyle name="Note 2 4 2 3 11 6" xfId="44934"/>
    <cellStyle name="Note 2 4 2 3 11 7" xfId="53058"/>
    <cellStyle name="Note 2 4 2 3 12" xfId="12923"/>
    <cellStyle name="Note 2 4 2 3 12 2" xfId="12924"/>
    <cellStyle name="Note 2 4 2 3 12 3" xfId="12925"/>
    <cellStyle name="Note 2 4 2 3 12 4" xfId="12926"/>
    <cellStyle name="Note 2 4 2 3 12 5" xfId="12927"/>
    <cellStyle name="Note 2 4 2 3 12 6" xfId="44935"/>
    <cellStyle name="Note 2 4 2 3 12 7" xfId="53059"/>
    <cellStyle name="Note 2 4 2 3 13" xfId="12928"/>
    <cellStyle name="Note 2 4 2 3 13 2" xfId="12929"/>
    <cellStyle name="Note 2 4 2 3 13 3" xfId="12930"/>
    <cellStyle name="Note 2 4 2 3 13 4" xfId="12931"/>
    <cellStyle name="Note 2 4 2 3 13 5" xfId="12932"/>
    <cellStyle name="Note 2 4 2 3 13 6" xfId="44936"/>
    <cellStyle name="Note 2 4 2 3 13 7" xfId="53060"/>
    <cellStyle name="Note 2 4 2 3 14" xfId="12933"/>
    <cellStyle name="Note 2 4 2 3 14 2" xfId="12934"/>
    <cellStyle name="Note 2 4 2 3 14 3" xfId="12935"/>
    <cellStyle name="Note 2 4 2 3 14 4" xfId="12936"/>
    <cellStyle name="Note 2 4 2 3 14 5" xfId="12937"/>
    <cellStyle name="Note 2 4 2 3 15" xfId="12938"/>
    <cellStyle name="Note 2 4 2 3 15 2" xfId="12939"/>
    <cellStyle name="Note 2 4 2 3 15 3" xfId="12940"/>
    <cellStyle name="Note 2 4 2 3 15 4" xfId="12941"/>
    <cellStyle name="Note 2 4 2 3 15 5" xfId="12942"/>
    <cellStyle name="Note 2 4 2 3 16" xfId="12943"/>
    <cellStyle name="Note 2 4 2 3 16 2" xfId="12944"/>
    <cellStyle name="Note 2 4 2 3 16 3" xfId="12945"/>
    <cellStyle name="Note 2 4 2 3 16 4" xfId="12946"/>
    <cellStyle name="Note 2 4 2 3 16 5" xfId="12947"/>
    <cellStyle name="Note 2 4 2 3 17" xfId="12948"/>
    <cellStyle name="Note 2 4 2 3 17 2" xfId="12949"/>
    <cellStyle name="Note 2 4 2 3 17 3" xfId="12950"/>
    <cellStyle name="Note 2 4 2 3 17 4" xfId="12951"/>
    <cellStyle name="Note 2 4 2 3 17 5" xfId="12952"/>
    <cellStyle name="Note 2 4 2 3 18" xfId="12953"/>
    <cellStyle name="Note 2 4 2 3 19" xfId="797"/>
    <cellStyle name="Note 2 4 2 3 2" xfId="580"/>
    <cellStyle name="Note 2 4 2 3 2 10" xfId="12954"/>
    <cellStyle name="Note 2 4 2 3 2 10 2" xfId="12955"/>
    <cellStyle name="Note 2 4 2 3 2 10 3" xfId="12956"/>
    <cellStyle name="Note 2 4 2 3 2 10 4" xfId="12957"/>
    <cellStyle name="Note 2 4 2 3 2 10 5" xfId="12958"/>
    <cellStyle name="Note 2 4 2 3 2 10 6" xfId="44937"/>
    <cellStyle name="Note 2 4 2 3 2 10 7" xfId="53061"/>
    <cellStyle name="Note 2 4 2 3 2 11" xfId="12959"/>
    <cellStyle name="Note 2 4 2 3 2 11 2" xfId="12960"/>
    <cellStyle name="Note 2 4 2 3 2 11 3" xfId="12961"/>
    <cellStyle name="Note 2 4 2 3 2 11 4" xfId="12962"/>
    <cellStyle name="Note 2 4 2 3 2 11 5" xfId="12963"/>
    <cellStyle name="Note 2 4 2 3 2 12" xfId="12964"/>
    <cellStyle name="Note 2 4 2 3 2 12 2" xfId="12965"/>
    <cellStyle name="Note 2 4 2 3 2 12 3" xfId="12966"/>
    <cellStyle name="Note 2 4 2 3 2 12 4" xfId="12967"/>
    <cellStyle name="Note 2 4 2 3 2 12 5" xfId="12968"/>
    <cellStyle name="Note 2 4 2 3 2 13" xfId="12969"/>
    <cellStyle name="Note 2 4 2 3 2 13 2" xfId="12970"/>
    <cellStyle name="Note 2 4 2 3 2 13 3" xfId="12971"/>
    <cellStyle name="Note 2 4 2 3 2 13 4" xfId="12972"/>
    <cellStyle name="Note 2 4 2 3 2 13 5" xfId="12973"/>
    <cellStyle name="Note 2 4 2 3 2 14" xfId="12974"/>
    <cellStyle name="Note 2 4 2 3 2 14 2" xfId="12975"/>
    <cellStyle name="Note 2 4 2 3 2 14 3" xfId="12976"/>
    <cellStyle name="Note 2 4 2 3 2 14 4" xfId="12977"/>
    <cellStyle name="Note 2 4 2 3 2 14 5" xfId="12978"/>
    <cellStyle name="Note 2 4 2 3 2 15" xfId="12979"/>
    <cellStyle name="Note 2 4 2 3 2 15 2" xfId="12980"/>
    <cellStyle name="Note 2 4 2 3 2 15 3" xfId="12981"/>
    <cellStyle name="Note 2 4 2 3 2 15 4" xfId="12982"/>
    <cellStyle name="Note 2 4 2 3 2 15 5" xfId="12983"/>
    <cellStyle name="Note 2 4 2 3 2 16" xfId="12984"/>
    <cellStyle name="Note 2 4 2 3 2 16 2" xfId="12985"/>
    <cellStyle name="Note 2 4 2 3 2 16 3" xfId="12986"/>
    <cellStyle name="Note 2 4 2 3 2 16 4" xfId="12987"/>
    <cellStyle name="Note 2 4 2 3 2 16 5" xfId="12988"/>
    <cellStyle name="Note 2 4 2 3 2 17" xfId="12989"/>
    <cellStyle name="Note 2 4 2 3 2 17 2" xfId="12990"/>
    <cellStyle name="Note 2 4 2 3 2 17 3" xfId="12991"/>
    <cellStyle name="Note 2 4 2 3 2 17 4" xfId="12992"/>
    <cellStyle name="Note 2 4 2 3 2 17 5" xfId="12993"/>
    <cellStyle name="Note 2 4 2 3 2 18" xfId="12994"/>
    <cellStyle name="Note 2 4 2 3 2 19" xfId="1009"/>
    <cellStyle name="Note 2 4 2 3 2 2" xfId="2189"/>
    <cellStyle name="Note 2 4 2 3 2 2 2" xfId="12995"/>
    <cellStyle name="Note 2 4 2 3 2 2 3" xfId="12996"/>
    <cellStyle name="Note 2 4 2 3 2 2 4" xfId="12997"/>
    <cellStyle name="Note 2 4 2 3 2 2 5" xfId="12998"/>
    <cellStyle name="Note 2 4 2 3 2 2 6" xfId="36384"/>
    <cellStyle name="Note 2 4 2 3 2 2 7" xfId="44938"/>
    <cellStyle name="Note 2 4 2 3 2 2 8" xfId="53062"/>
    <cellStyle name="Note 2 4 2 3 2 20" xfId="35089"/>
    <cellStyle name="Note 2 4 2 3 2 21" xfId="41308"/>
    <cellStyle name="Note 2 4 2 3 2 3" xfId="2190"/>
    <cellStyle name="Note 2 4 2 3 2 3 2" xfId="12999"/>
    <cellStyle name="Note 2 4 2 3 2 3 3" xfId="13000"/>
    <cellStyle name="Note 2 4 2 3 2 3 4" xfId="13001"/>
    <cellStyle name="Note 2 4 2 3 2 3 5" xfId="13002"/>
    <cellStyle name="Note 2 4 2 3 2 3 6" xfId="36881"/>
    <cellStyle name="Note 2 4 2 3 2 3 7" xfId="44939"/>
    <cellStyle name="Note 2 4 2 3 2 3 8" xfId="53063"/>
    <cellStyle name="Note 2 4 2 3 2 4" xfId="1244"/>
    <cellStyle name="Note 2 4 2 3 2 4 2" xfId="13003"/>
    <cellStyle name="Note 2 4 2 3 2 4 3" xfId="13004"/>
    <cellStyle name="Note 2 4 2 3 2 4 4" xfId="13005"/>
    <cellStyle name="Note 2 4 2 3 2 4 5" xfId="13006"/>
    <cellStyle name="Note 2 4 2 3 2 4 6" xfId="37497"/>
    <cellStyle name="Note 2 4 2 3 2 4 7" xfId="44940"/>
    <cellStyle name="Note 2 4 2 3 2 4 8" xfId="53064"/>
    <cellStyle name="Note 2 4 2 3 2 5" xfId="3312"/>
    <cellStyle name="Note 2 4 2 3 2 5 2" xfId="13007"/>
    <cellStyle name="Note 2 4 2 3 2 5 3" xfId="13008"/>
    <cellStyle name="Note 2 4 2 3 2 5 4" xfId="13009"/>
    <cellStyle name="Note 2 4 2 3 2 5 5" xfId="13010"/>
    <cellStyle name="Note 2 4 2 3 2 5 6" xfId="38113"/>
    <cellStyle name="Note 2 4 2 3 2 5 7" xfId="44941"/>
    <cellStyle name="Note 2 4 2 3 2 5 8" xfId="53065"/>
    <cellStyle name="Note 2 4 2 3 2 6" xfId="3634"/>
    <cellStyle name="Note 2 4 2 3 2 6 2" xfId="13011"/>
    <cellStyle name="Note 2 4 2 3 2 6 3" xfId="13012"/>
    <cellStyle name="Note 2 4 2 3 2 6 4" xfId="13013"/>
    <cellStyle name="Note 2 4 2 3 2 6 5" xfId="13014"/>
    <cellStyle name="Note 2 4 2 3 2 6 6" xfId="38731"/>
    <cellStyle name="Note 2 4 2 3 2 6 7" xfId="44942"/>
    <cellStyle name="Note 2 4 2 3 2 6 8" xfId="53066"/>
    <cellStyle name="Note 2 4 2 3 2 7" xfId="13015"/>
    <cellStyle name="Note 2 4 2 3 2 7 2" xfId="13016"/>
    <cellStyle name="Note 2 4 2 3 2 7 3" xfId="13017"/>
    <cellStyle name="Note 2 4 2 3 2 7 4" xfId="13018"/>
    <cellStyle name="Note 2 4 2 3 2 7 5" xfId="13019"/>
    <cellStyle name="Note 2 4 2 3 2 7 6" xfId="39351"/>
    <cellStyle name="Note 2 4 2 3 2 7 7" xfId="44943"/>
    <cellStyle name="Note 2 4 2 3 2 7 8" xfId="53067"/>
    <cellStyle name="Note 2 4 2 3 2 8" xfId="13020"/>
    <cellStyle name="Note 2 4 2 3 2 8 2" xfId="13021"/>
    <cellStyle name="Note 2 4 2 3 2 8 3" xfId="13022"/>
    <cellStyle name="Note 2 4 2 3 2 8 4" xfId="13023"/>
    <cellStyle name="Note 2 4 2 3 2 8 5" xfId="13024"/>
    <cellStyle name="Note 2 4 2 3 2 8 6" xfId="39967"/>
    <cellStyle name="Note 2 4 2 3 2 8 7" xfId="44944"/>
    <cellStyle name="Note 2 4 2 3 2 8 8" xfId="53068"/>
    <cellStyle name="Note 2 4 2 3 2 9" xfId="13025"/>
    <cellStyle name="Note 2 4 2 3 2 9 2" xfId="13026"/>
    <cellStyle name="Note 2 4 2 3 2 9 3" xfId="13027"/>
    <cellStyle name="Note 2 4 2 3 2 9 4" xfId="13028"/>
    <cellStyle name="Note 2 4 2 3 2 9 5" xfId="13029"/>
    <cellStyle name="Note 2 4 2 3 2 9 6" xfId="40582"/>
    <cellStyle name="Note 2 4 2 3 2 9 7" xfId="44945"/>
    <cellStyle name="Note 2 4 2 3 2 9 8" xfId="53069"/>
    <cellStyle name="Note 2 4 2 3 20" xfId="34766"/>
    <cellStyle name="Note 2 4 2 3 21" xfId="40881"/>
    <cellStyle name="Note 2 4 2 3 22" xfId="41442"/>
    <cellStyle name="Note 2 4 2 3 23" xfId="50529"/>
    <cellStyle name="Note 2 4 2 3 3" xfId="2191"/>
    <cellStyle name="Note 2 4 2 3 3 10" xfId="34909"/>
    <cellStyle name="Note 2 4 2 3 3 10 2" xfId="44947"/>
    <cellStyle name="Note 2 4 2 3 3 10 3" xfId="53071"/>
    <cellStyle name="Note 2 4 2 3 3 11" xfId="41096"/>
    <cellStyle name="Note 2 4 2 3 3 12" xfId="44946"/>
    <cellStyle name="Note 2 4 2 3 3 13" xfId="53070"/>
    <cellStyle name="Note 2 4 2 3 3 2" xfId="2192"/>
    <cellStyle name="Note 2 4 2 3 3 2 2" xfId="36173"/>
    <cellStyle name="Note 2 4 2 3 3 2 3" xfId="44948"/>
    <cellStyle name="Note 2 4 2 3 3 2 4" xfId="53072"/>
    <cellStyle name="Note 2 4 2 3 3 3" xfId="13030"/>
    <cellStyle name="Note 2 4 2 3 3 3 2" xfId="36670"/>
    <cellStyle name="Note 2 4 2 3 3 3 3" xfId="44949"/>
    <cellStyle name="Note 2 4 2 3 3 3 4" xfId="53073"/>
    <cellStyle name="Note 2 4 2 3 3 4" xfId="13031"/>
    <cellStyle name="Note 2 4 2 3 3 4 2" xfId="37286"/>
    <cellStyle name="Note 2 4 2 3 3 4 3" xfId="44950"/>
    <cellStyle name="Note 2 4 2 3 3 4 4" xfId="53074"/>
    <cellStyle name="Note 2 4 2 3 3 5" xfId="13032"/>
    <cellStyle name="Note 2 4 2 3 3 5 2" xfId="37902"/>
    <cellStyle name="Note 2 4 2 3 3 5 3" xfId="44951"/>
    <cellStyle name="Note 2 4 2 3 3 5 4" xfId="53075"/>
    <cellStyle name="Note 2 4 2 3 3 6" xfId="38519"/>
    <cellStyle name="Note 2 4 2 3 3 6 2" xfId="44952"/>
    <cellStyle name="Note 2 4 2 3 3 6 3" xfId="53076"/>
    <cellStyle name="Note 2 4 2 3 3 7" xfId="39139"/>
    <cellStyle name="Note 2 4 2 3 3 7 2" xfId="44953"/>
    <cellStyle name="Note 2 4 2 3 3 7 3" xfId="53077"/>
    <cellStyle name="Note 2 4 2 3 3 8" xfId="39755"/>
    <cellStyle name="Note 2 4 2 3 3 8 2" xfId="44954"/>
    <cellStyle name="Note 2 4 2 3 3 8 3" xfId="53078"/>
    <cellStyle name="Note 2 4 2 3 3 9" xfId="40370"/>
    <cellStyle name="Note 2 4 2 3 3 9 2" xfId="44955"/>
    <cellStyle name="Note 2 4 2 3 3 9 3" xfId="53079"/>
    <cellStyle name="Note 2 4 2 3 4" xfId="2193"/>
    <cellStyle name="Note 2 4 2 3 4 10" xfId="44956"/>
    <cellStyle name="Note 2 4 2 3 4 11" xfId="53080"/>
    <cellStyle name="Note 2 4 2 3 4 2" xfId="13033"/>
    <cellStyle name="Note 2 4 2 3 4 2 2" xfId="44957"/>
    <cellStyle name="Note 2 4 2 3 4 2 3" xfId="53081"/>
    <cellStyle name="Note 2 4 2 3 4 3" xfId="13034"/>
    <cellStyle name="Note 2 4 2 3 4 3 2" xfId="44958"/>
    <cellStyle name="Note 2 4 2 3 4 3 3" xfId="53082"/>
    <cellStyle name="Note 2 4 2 3 4 4" xfId="13035"/>
    <cellStyle name="Note 2 4 2 3 4 4 2" xfId="44959"/>
    <cellStyle name="Note 2 4 2 3 4 4 3" xfId="53083"/>
    <cellStyle name="Note 2 4 2 3 4 5" xfId="13036"/>
    <cellStyle name="Note 2 4 2 3 4 5 2" xfId="44960"/>
    <cellStyle name="Note 2 4 2 3 4 5 3" xfId="53084"/>
    <cellStyle name="Note 2 4 2 3 4 6" xfId="35766"/>
    <cellStyle name="Note 2 4 2 3 4 6 2" xfId="44961"/>
    <cellStyle name="Note 2 4 2 3 4 6 3" xfId="53085"/>
    <cellStyle name="Note 2 4 2 3 4 7" xfId="44962"/>
    <cellStyle name="Note 2 4 2 3 4 7 2" xfId="53086"/>
    <cellStyle name="Note 2 4 2 3 4 8" xfId="44963"/>
    <cellStyle name="Note 2 4 2 3 4 8 2" xfId="53087"/>
    <cellStyle name="Note 2 4 2 3 4 9" xfId="44964"/>
    <cellStyle name="Note 2 4 2 3 4 9 2" xfId="53088"/>
    <cellStyle name="Note 2 4 2 3 5" xfId="1243"/>
    <cellStyle name="Note 2 4 2 3 5 2" xfId="13037"/>
    <cellStyle name="Note 2 4 2 3 5 3" xfId="13038"/>
    <cellStyle name="Note 2 4 2 3 5 4" xfId="13039"/>
    <cellStyle name="Note 2 4 2 3 5 5" xfId="13040"/>
    <cellStyle name="Note 2 4 2 3 5 6" xfId="37071"/>
    <cellStyle name="Note 2 4 2 3 5 7" xfId="44965"/>
    <cellStyle name="Note 2 4 2 3 5 8" xfId="53089"/>
    <cellStyle name="Note 2 4 2 3 6" xfId="3311"/>
    <cellStyle name="Note 2 4 2 3 6 2" xfId="13041"/>
    <cellStyle name="Note 2 4 2 3 6 3" xfId="13042"/>
    <cellStyle name="Note 2 4 2 3 6 4" xfId="13043"/>
    <cellStyle name="Note 2 4 2 3 6 5" xfId="13044"/>
    <cellStyle name="Note 2 4 2 3 6 6" xfId="37685"/>
    <cellStyle name="Note 2 4 2 3 6 7" xfId="44966"/>
    <cellStyle name="Note 2 4 2 3 6 8" xfId="53090"/>
    <cellStyle name="Note 2 4 2 3 7" xfId="3633"/>
    <cellStyle name="Note 2 4 2 3 7 2" xfId="13045"/>
    <cellStyle name="Note 2 4 2 3 7 3" xfId="13046"/>
    <cellStyle name="Note 2 4 2 3 7 4" xfId="13047"/>
    <cellStyle name="Note 2 4 2 3 7 5" xfId="13048"/>
    <cellStyle name="Note 2 4 2 3 7 6" xfId="38300"/>
    <cellStyle name="Note 2 4 2 3 7 7" xfId="44967"/>
    <cellStyle name="Note 2 4 2 3 7 8" xfId="53091"/>
    <cellStyle name="Note 2 4 2 3 8" xfId="13049"/>
    <cellStyle name="Note 2 4 2 3 8 2" xfId="13050"/>
    <cellStyle name="Note 2 4 2 3 8 3" xfId="13051"/>
    <cellStyle name="Note 2 4 2 3 8 4" xfId="13052"/>
    <cellStyle name="Note 2 4 2 3 8 5" xfId="13053"/>
    <cellStyle name="Note 2 4 2 3 8 6" xfId="38920"/>
    <cellStyle name="Note 2 4 2 3 8 7" xfId="44968"/>
    <cellStyle name="Note 2 4 2 3 8 8" xfId="53092"/>
    <cellStyle name="Note 2 4 2 3 9" xfId="13054"/>
    <cellStyle name="Note 2 4 2 3 9 2" xfId="13055"/>
    <cellStyle name="Note 2 4 2 3 9 3" xfId="13056"/>
    <cellStyle name="Note 2 4 2 3 9 4" xfId="13057"/>
    <cellStyle name="Note 2 4 2 3 9 5" xfId="13058"/>
    <cellStyle name="Note 2 4 2 3 9 6" xfId="39539"/>
    <cellStyle name="Note 2 4 2 3 9 7" xfId="44969"/>
    <cellStyle name="Note 2 4 2 3 9 8" xfId="53093"/>
    <cellStyle name="Note 2 4 2 4" xfId="514"/>
    <cellStyle name="Note 2 4 2 4 10" xfId="13059"/>
    <cellStyle name="Note 2 4 2 4 10 2" xfId="13060"/>
    <cellStyle name="Note 2 4 2 4 10 3" xfId="13061"/>
    <cellStyle name="Note 2 4 2 4 10 4" xfId="13062"/>
    <cellStyle name="Note 2 4 2 4 10 5" xfId="13063"/>
    <cellStyle name="Note 2 4 2 4 10 6" xfId="44970"/>
    <cellStyle name="Note 2 4 2 4 10 7" xfId="53094"/>
    <cellStyle name="Note 2 4 2 4 11" xfId="13064"/>
    <cellStyle name="Note 2 4 2 4 11 2" xfId="13065"/>
    <cellStyle name="Note 2 4 2 4 11 3" xfId="13066"/>
    <cellStyle name="Note 2 4 2 4 11 4" xfId="13067"/>
    <cellStyle name="Note 2 4 2 4 11 5" xfId="13068"/>
    <cellStyle name="Note 2 4 2 4 12" xfId="13069"/>
    <cellStyle name="Note 2 4 2 4 12 2" xfId="13070"/>
    <cellStyle name="Note 2 4 2 4 12 3" xfId="13071"/>
    <cellStyle name="Note 2 4 2 4 12 4" xfId="13072"/>
    <cellStyle name="Note 2 4 2 4 12 5" xfId="13073"/>
    <cellStyle name="Note 2 4 2 4 13" xfId="13074"/>
    <cellStyle name="Note 2 4 2 4 13 2" xfId="13075"/>
    <cellStyle name="Note 2 4 2 4 13 3" xfId="13076"/>
    <cellStyle name="Note 2 4 2 4 13 4" xfId="13077"/>
    <cellStyle name="Note 2 4 2 4 13 5" xfId="13078"/>
    <cellStyle name="Note 2 4 2 4 14" xfId="13079"/>
    <cellStyle name="Note 2 4 2 4 14 2" xfId="13080"/>
    <cellStyle name="Note 2 4 2 4 14 3" xfId="13081"/>
    <cellStyle name="Note 2 4 2 4 14 4" xfId="13082"/>
    <cellStyle name="Note 2 4 2 4 14 5" xfId="13083"/>
    <cellStyle name="Note 2 4 2 4 15" xfId="13084"/>
    <cellStyle name="Note 2 4 2 4 15 2" xfId="13085"/>
    <cellStyle name="Note 2 4 2 4 15 3" xfId="13086"/>
    <cellStyle name="Note 2 4 2 4 15 4" xfId="13087"/>
    <cellStyle name="Note 2 4 2 4 15 5" xfId="13088"/>
    <cellStyle name="Note 2 4 2 4 16" xfId="13089"/>
    <cellStyle name="Note 2 4 2 4 16 2" xfId="13090"/>
    <cellStyle name="Note 2 4 2 4 16 3" xfId="13091"/>
    <cellStyle name="Note 2 4 2 4 16 4" xfId="13092"/>
    <cellStyle name="Note 2 4 2 4 16 5" xfId="13093"/>
    <cellStyle name="Note 2 4 2 4 17" xfId="13094"/>
    <cellStyle name="Note 2 4 2 4 17 2" xfId="13095"/>
    <cellStyle name="Note 2 4 2 4 17 3" xfId="13096"/>
    <cellStyle name="Note 2 4 2 4 17 4" xfId="13097"/>
    <cellStyle name="Note 2 4 2 4 17 5" xfId="13098"/>
    <cellStyle name="Note 2 4 2 4 18" xfId="13099"/>
    <cellStyle name="Note 2 4 2 4 19" xfId="943"/>
    <cellStyle name="Note 2 4 2 4 2" xfId="2194"/>
    <cellStyle name="Note 2 4 2 4 2 2" xfId="13100"/>
    <cellStyle name="Note 2 4 2 4 2 3" xfId="13101"/>
    <cellStyle name="Note 2 4 2 4 2 4" xfId="13102"/>
    <cellStyle name="Note 2 4 2 4 2 5" xfId="13103"/>
    <cellStyle name="Note 2 4 2 4 2 6" xfId="36318"/>
    <cellStyle name="Note 2 4 2 4 2 7" xfId="44971"/>
    <cellStyle name="Note 2 4 2 4 2 8" xfId="53095"/>
    <cellStyle name="Note 2 4 2 4 20" xfId="35023"/>
    <cellStyle name="Note 2 4 2 4 21" xfId="40732"/>
    <cellStyle name="Note 2 4 2 4 22" xfId="41242"/>
    <cellStyle name="Note 2 4 2 4 3" xfId="2195"/>
    <cellStyle name="Note 2 4 2 4 3 2" xfId="13104"/>
    <cellStyle name="Note 2 4 2 4 3 3" xfId="13105"/>
    <cellStyle name="Note 2 4 2 4 3 4" xfId="13106"/>
    <cellStyle name="Note 2 4 2 4 3 5" xfId="13107"/>
    <cellStyle name="Note 2 4 2 4 3 6" xfId="36815"/>
    <cellStyle name="Note 2 4 2 4 3 7" xfId="44972"/>
    <cellStyle name="Note 2 4 2 4 3 8" xfId="53096"/>
    <cellStyle name="Note 2 4 2 4 4" xfId="1245"/>
    <cellStyle name="Note 2 4 2 4 4 2" xfId="13108"/>
    <cellStyle name="Note 2 4 2 4 4 3" xfId="13109"/>
    <cellStyle name="Note 2 4 2 4 4 4" xfId="13110"/>
    <cellStyle name="Note 2 4 2 4 4 5" xfId="13111"/>
    <cellStyle name="Note 2 4 2 4 4 6" xfId="37431"/>
    <cellStyle name="Note 2 4 2 4 4 7" xfId="44973"/>
    <cellStyle name="Note 2 4 2 4 4 8" xfId="53097"/>
    <cellStyle name="Note 2 4 2 4 5" xfId="3313"/>
    <cellStyle name="Note 2 4 2 4 5 2" xfId="13112"/>
    <cellStyle name="Note 2 4 2 4 5 3" xfId="13113"/>
    <cellStyle name="Note 2 4 2 4 5 4" xfId="13114"/>
    <cellStyle name="Note 2 4 2 4 5 5" xfId="13115"/>
    <cellStyle name="Note 2 4 2 4 5 6" xfId="38047"/>
    <cellStyle name="Note 2 4 2 4 5 7" xfId="44974"/>
    <cellStyle name="Note 2 4 2 4 5 8" xfId="53098"/>
    <cellStyle name="Note 2 4 2 4 6" xfId="3635"/>
    <cellStyle name="Note 2 4 2 4 6 2" xfId="13116"/>
    <cellStyle name="Note 2 4 2 4 6 3" xfId="13117"/>
    <cellStyle name="Note 2 4 2 4 6 4" xfId="13118"/>
    <cellStyle name="Note 2 4 2 4 6 5" xfId="13119"/>
    <cellStyle name="Note 2 4 2 4 6 6" xfId="38665"/>
    <cellStyle name="Note 2 4 2 4 6 7" xfId="44975"/>
    <cellStyle name="Note 2 4 2 4 6 8" xfId="53099"/>
    <cellStyle name="Note 2 4 2 4 7" xfId="13120"/>
    <cellStyle name="Note 2 4 2 4 7 2" xfId="13121"/>
    <cellStyle name="Note 2 4 2 4 7 3" xfId="13122"/>
    <cellStyle name="Note 2 4 2 4 7 4" xfId="13123"/>
    <cellStyle name="Note 2 4 2 4 7 5" xfId="13124"/>
    <cellStyle name="Note 2 4 2 4 7 6" xfId="39285"/>
    <cellStyle name="Note 2 4 2 4 7 7" xfId="44976"/>
    <cellStyle name="Note 2 4 2 4 7 8" xfId="53100"/>
    <cellStyle name="Note 2 4 2 4 8" xfId="13125"/>
    <cellStyle name="Note 2 4 2 4 8 2" xfId="13126"/>
    <cellStyle name="Note 2 4 2 4 8 3" xfId="13127"/>
    <cellStyle name="Note 2 4 2 4 8 4" xfId="13128"/>
    <cellStyle name="Note 2 4 2 4 8 5" xfId="13129"/>
    <cellStyle name="Note 2 4 2 4 8 6" xfId="39901"/>
    <cellStyle name="Note 2 4 2 4 8 7" xfId="44977"/>
    <cellStyle name="Note 2 4 2 4 8 8" xfId="53101"/>
    <cellStyle name="Note 2 4 2 4 9" xfId="13130"/>
    <cellStyle name="Note 2 4 2 4 9 2" xfId="13131"/>
    <cellStyle name="Note 2 4 2 4 9 3" xfId="13132"/>
    <cellStyle name="Note 2 4 2 4 9 4" xfId="13133"/>
    <cellStyle name="Note 2 4 2 4 9 5" xfId="13134"/>
    <cellStyle name="Note 2 4 2 4 9 6" xfId="40516"/>
    <cellStyle name="Note 2 4 2 4 9 7" xfId="44978"/>
    <cellStyle name="Note 2 4 2 4 9 8" xfId="53102"/>
    <cellStyle name="Note 2 4 2 5" xfId="2196"/>
    <cellStyle name="Note 2 4 2 5 10" xfId="34914"/>
    <cellStyle name="Note 2 4 2 5 10 2" xfId="44980"/>
    <cellStyle name="Note 2 4 2 5 10 3" xfId="53104"/>
    <cellStyle name="Note 2 4 2 5 11" xfId="41028"/>
    <cellStyle name="Note 2 4 2 5 12" xfId="44979"/>
    <cellStyle name="Note 2 4 2 5 13" xfId="53103"/>
    <cellStyle name="Note 2 4 2 5 2" xfId="2197"/>
    <cellStyle name="Note 2 4 2 5 2 2" xfId="36105"/>
    <cellStyle name="Note 2 4 2 5 2 3" xfId="44981"/>
    <cellStyle name="Note 2 4 2 5 2 4" xfId="53105"/>
    <cellStyle name="Note 2 4 2 5 3" xfId="13135"/>
    <cellStyle name="Note 2 4 2 5 3 2" xfId="36604"/>
    <cellStyle name="Note 2 4 2 5 3 3" xfId="44982"/>
    <cellStyle name="Note 2 4 2 5 3 4" xfId="53106"/>
    <cellStyle name="Note 2 4 2 5 4" xfId="13136"/>
    <cellStyle name="Note 2 4 2 5 4 2" xfId="37220"/>
    <cellStyle name="Note 2 4 2 5 4 3" xfId="44983"/>
    <cellStyle name="Note 2 4 2 5 4 4" xfId="53107"/>
    <cellStyle name="Note 2 4 2 5 5" xfId="13137"/>
    <cellStyle name="Note 2 4 2 5 5 2" xfId="37836"/>
    <cellStyle name="Note 2 4 2 5 5 3" xfId="44984"/>
    <cellStyle name="Note 2 4 2 5 5 4" xfId="53108"/>
    <cellStyle name="Note 2 4 2 5 6" xfId="38451"/>
    <cellStyle name="Note 2 4 2 5 6 2" xfId="44985"/>
    <cellStyle name="Note 2 4 2 5 6 3" xfId="53109"/>
    <cellStyle name="Note 2 4 2 5 7" xfId="39071"/>
    <cellStyle name="Note 2 4 2 5 7 2" xfId="44986"/>
    <cellStyle name="Note 2 4 2 5 7 3" xfId="53110"/>
    <cellStyle name="Note 2 4 2 5 8" xfId="39687"/>
    <cellStyle name="Note 2 4 2 5 8 2" xfId="44987"/>
    <cellStyle name="Note 2 4 2 5 8 3" xfId="53111"/>
    <cellStyle name="Note 2 4 2 5 9" xfId="40302"/>
    <cellStyle name="Note 2 4 2 5 9 2" xfId="44988"/>
    <cellStyle name="Note 2 4 2 5 9 3" xfId="53112"/>
    <cellStyle name="Note 2 4 2 6" xfId="1240"/>
    <cellStyle name="Note 2 4 2 6 10" xfId="44989"/>
    <cellStyle name="Note 2 4 2 6 11" xfId="53113"/>
    <cellStyle name="Note 2 4 2 6 2" xfId="13138"/>
    <cellStyle name="Note 2 4 2 6 2 2" xfId="44990"/>
    <cellStyle name="Note 2 4 2 6 2 3" xfId="53114"/>
    <cellStyle name="Note 2 4 2 6 3" xfId="13139"/>
    <cellStyle name="Note 2 4 2 6 3 2" xfId="44991"/>
    <cellStyle name="Note 2 4 2 6 3 3" xfId="53115"/>
    <cellStyle name="Note 2 4 2 6 4" xfId="13140"/>
    <cellStyle name="Note 2 4 2 6 4 2" xfId="44992"/>
    <cellStyle name="Note 2 4 2 6 4 3" xfId="53116"/>
    <cellStyle name="Note 2 4 2 6 5" xfId="13141"/>
    <cellStyle name="Note 2 4 2 6 5 2" xfId="44993"/>
    <cellStyle name="Note 2 4 2 6 5 3" xfId="53117"/>
    <cellStyle name="Note 2 4 2 6 6" xfId="35423"/>
    <cellStyle name="Note 2 4 2 6 6 2" xfId="44994"/>
    <cellStyle name="Note 2 4 2 6 6 3" xfId="53118"/>
    <cellStyle name="Note 2 4 2 6 7" xfId="44995"/>
    <cellStyle name="Note 2 4 2 6 7 2" xfId="53119"/>
    <cellStyle name="Note 2 4 2 6 8" xfId="44996"/>
    <cellStyle name="Note 2 4 2 6 8 2" xfId="53120"/>
    <cellStyle name="Note 2 4 2 6 9" xfId="44997"/>
    <cellStyle name="Note 2 4 2 6 9 2" xfId="53121"/>
    <cellStyle name="Note 2 4 2 7" xfId="3308"/>
    <cellStyle name="Note 2 4 2 7 2" xfId="13142"/>
    <cellStyle name="Note 2 4 2 7 3" xfId="13143"/>
    <cellStyle name="Note 2 4 2 7 4" xfId="13144"/>
    <cellStyle name="Note 2 4 2 7 5" xfId="13145"/>
    <cellStyle name="Note 2 4 2 7 6" xfId="35955"/>
    <cellStyle name="Note 2 4 2 7 7" xfId="44998"/>
    <cellStyle name="Note 2 4 2 7 8" xfId="53122"/>
    <cellStyle name="Note 2 4 2 8" xfId="3630"/>
    <cellStyle name="Note 2 4 2 8 2" xfId="13146"/>
    <cellStyle name="Note 2 4 2 8 3" xfId="13147"/>
    <cellStyle name="Note 2 4 2 8 4" xfId="13148"/>
    <cellStyle name="Note 2 4 2 8 5" xfId="13149"/>
    <cellStyle name="Note 2 4 2 8 6" xfId="35816"/>
    <cellStyle name="Note 2 4 2 8 7" xfId="44999"/>
    <cellStyle name="Note 2 4 2 8 8" xfId="53123"/>
    <cellStyle name="Note 2 4 2 9" xfId="13150"/>
    <cellStyle name="Note 2 4 2 9 2" xfId="13151"/>
    <cellStyle name="Note 2 4 2 9 3" xfId="13152"/>
    <cellStyle name="Note 2 4 2 9 4" xfId="13153"/>
    <cellStyle name="Note 2 4 2 9 5" xfId="13154"/>
    <cellStyle name="Note 2 4 2 9 6" xfId="37000"/>
    <cellStyle name="Note 2 4 2 9 7" xfId="45000"/>
    <cellStyle name="Note 2 4 2 9 8" xfId="53124"/>
    <cellStyle name="Note 2 4 20" xfId="34848"/>
    <cellStyle name="Note 2 4 21" xfId="40782"/>
    <cellStyle name="Note 2 4 3" xfId="362"/>
    <cellStyle name="Note 2 4 3 10" xfId="13155"/>
    <cellStyle name="Note 2 4 3 10 2" xfId="13156"/>
    <cellStyle name="Note 2 4 3 10 3" xfId="13157"/>
    <cellStyle name="Note 2 4 3 10 4" xfId="13158"/>
    <cellStyle name="Note 2 4 3 10 5" xfId="13159"/>
    <cellStyle name="Note 2 4 3 10 6" xfId="39540"/>
    <cellStyle name="Note 2 4 3 10 7" xfId="45001"/>
    <cellStyle name="Note 2 4 3 10 8" xfId="53125"/>
    <cellStyle name="Note 2 4 3 11" xfId="13160"/>
    <cellStyle name="Note 2 4 3 11 2" xfId="13161"/>
    <cellStyle name="Note 2 4 3 11 3" xfId="13162"/>
    <cellStyle name="Note 2 4 3 11 4" xfId="13163"/>
    <cellStyle name="Note 2 4 3 11 5" xfId="13164"/>
    <cellStyle name="Note 2 4 3 11 6" xfId="40156"/>
    <cellStyle name="Note 2 4 3 11 7" xfId="45002"/>
    <cellStyle name="Note 2 4 3 11 8" xfId="53126"/>
    <cellStyle name="Note 2 4 3 12" xfId="13165"/>
    <cellStyle name="Note 2 4 3 12 2" xfId="13166"/>
    <cellStyle name="Note 2 4 3 12 3" xfId="13167"/>
    <cellStyle name="Note 2 4 3 12 4" xfId="13168"/>
    <cellStyle name="Note 2 4 3 12 5" xfId="13169"/>
    <cellStyle name="Note 2 4 3 12 6" xfId="45003"/>
    <cellStyle name="Note 2 4 3 12 7" xfId="53127"/>
    <cellStyle name="Note 2 4 3 13" xfId="13170"/>
    <cellStyle name="Note 2 4 3 13 2" xfId="13171"/>
    <cellStyle name="Note 2 4 3 13 3" xfId="13172"/>
    <cellStyle name="Note 2 4 3 13 4" xfId="13173"/>
    <cellStyle name="Note 2 4 3 13 5" xfId="13174"/>
    <cellStyle name="Note 2 4 3 13 6" xfId="45004"/>
    <cellStyle name="Note 2 4 3 13 7" xfId="53128"/>
    <cellStyle name="Note 2 4 3 14" xfId="13175"/>
    <cellStyle name="Note 2 4 3 14 2" xfId="13176"/>
    <cellStyle name="Note 2 4 3 14 3" xfId="13177"/>
    <cellStyle name="Note 2 4 3 14 4" xfId="13178"/>
    <cellStyle name="Note 2 4 3 14 5" xfId="13179"/>
    <cellStyle name="Note 2 4 3 15" xfId="13180"/>
    <cellStyle name="Note 2 4 3 15 2" xfId="13181"/>
    <cellStyle name="Note 2 4 3 15 3" xfId="13182"/>
    <cellStyle name="Note 2 4 3 15 4" xfId="13183"/>
    <cellStyle name="Note 2 4 3 15 5" xfId="13184"/>
    <cellStyle name="Note 2 4 3 16" xfId="13185"/>
    <cellStyle name="Note 2 4 3 16 2" xfId="13186"/>
    <cellStyle name="Note 2 4 3 16 3" xfId="13187"/>
    <cellStyle name="Note 2 4 3 16 4" xfId="13188"/>
    <cellStyle name="Note 2 4 3 16 5" xfId="13189"/>
    <cellStyle name="Note 2 4 3 17" xfId="13190"/>
    <cellStyle name="Note 2 4 3 17 2" xfId="13191"/>
    <cellStyle name="Note 2 4 3 17 3" xfId="13192"/>
    <cellStyle name="Note 2 4 3 17 4" xfId="13193"/>
    <cellStyle name="Note 2 4 3 17 5" xfId="13194"/>
    <cellStyle name="Note 2 4 3 18" xfId="13195"/>
    <cellStyle name="Note 2 4 3 19" xfId="798"/>
    <cellStyle name="Note 2 4 3 2" xfId="581"/>
    <cellStyle name="Note 2 4 3 2 10" xfId="13196"/>
    <cellStyle name="Note 2 4 3 2 10 2" xfId="13197"/>
    <cellStyle name="Note 2 4 3 2 10 3" xfId="13198"/>
    <cellStyle name="Note 2 4 3 2 10 4" xfId="13199"/>
    <cellStyle name="Note 2 4 3 2 10 5" xfId="13200"/>
    <cellStyle name="Note 2 4 3 2 10 6" xfId="45005"/>
    <cellStyle name="Note 2 4 3 2 10 7" xfId="53129"/>
    <cellStyle name="Note 2 4 3 2 11" xfId="13201"/>
    <cellStyle name="Note 2 4 3 2 11 2" xfId="13202"/>
    <cellStyle name="Note 2 4 3 2 11 3" xfId="13203"/>
    <cellStyle name="Note 2 4 3 2 11 4" xfId="13204"/>
    <cellStyle name="Note 2 4 3 2 11 5" xfId="13205"/>
    <cellStyle name="Note 2 4 3 2 12" xfId="13206"/>
    <cellStyle name="Note 2 4 3 2 12 2" xfId="13207"/>
    <cellStyle name="Note 2 4 3 2 12 3" xfId="13208"/>
    <cellStyle name="Note 2 4 3 2 12 4" xfId="13209"/>
    <cellStyle name="Note 2 4 3 2 12 5" xfId="13210"/>
    <cellStyle name="Note 2 4 3 2 13" xfId="13211"/>
    <cellStyle name="Note 2 4 3 2 13 2" xfId="13212"/>
    <cellStyle name="Note 2 4 3 2 13 3" xfId="13213"/>
    <cellStyle name="Note 2 4 3 2 13 4" xfId="13214"/>
    <cellStyle name="Note 2 4 3 2 13 5" xfId="13215"/>
    <cellStyle name="Note 2 4 3 2 14" xfId="13216"/>
    <cellStyle name="Note 2 4 3 2 14 2" xfId="13217"/>
    <cellStyle name="Note 2 4 3 2 14 3" xfId="13218"/>
    <cellStyle name="Note 2 4 3 2 14 4" xfId="13219"/>
    <cellStyle name="Note 2 4 3 2 14 5" xfId="13220"/>
    <cellStyle name="Note 2 4 3 2 15" xfId="13221"/>
    <cellStyle name="Note 2 4 3 2 15 2" xfId="13222"/>
    <cellStyle name="Note 2 4 3 2 15 3" xfId="13223"/>
    <cellStyle name="Note 2 4 3 2 15 4" xfId="13224"/>
    <cellStyle name="Note 2 4 3 2 15 5" xfId="13225"/>
    <cellStyle name="Note 2 4 3 2 16" xfId="13226"/>
    <cellStyle name="Note 2 4 3 2 16 2" xfId="13227"/>
    <cellStyle name="Note 2 4 3 2 16 3" xfId="13228"/>
    <cellStyle name="Note 2 4 3 2 16 4" xfId="13229"/>
    <cellStyle name="Note 2 4 3 2 16 5" xfId="13230"/>
    <cellStyle name="Note 2 4 3 2 17" xfId="13231"/>
    <cellStyle name="Note 2 4 3 2 17 2" xfId="13232"/>
    <cellStyle name="Note 2 4 3 2 17 3" xfId="13233"/>
    <cellStyle name="Note 2 4 3 2 17 4" xfId="13234"/>
    <cellStyle name="Note 2 4 3 2 17 5" xfId="13235"/>
    <cellStyle name="Note 2 4 3 2 18" xfId="13236"/>
    <cellStyle name="Note 2 4 3 2 19" xfId="1010"/>
    <cellStyle name="Note 2 4 3 2 2" xfId="2198"/>
    <cellStyle name="Note 2 4 3 2 2 2" xfId="13237"/>
    <cellStyle name="Note 2 4 3 2 2 3" xfId="13238"/>
    <cellStyle name="Note 2 4 3 2 2 4" xfId="13239"/>
    <cellStyle name="Note 2 4 3 2 2 5" xfId="13240"/>
    <cellStyle name="Note 2 4 3 2 2 6" xfId="36385"/>
    <cellStyle name="Note 2 4 3 2 2 7" xfId="45006"/>
    <cellStyle name="Note 2 4 3 2 2 8" xfId="53130"/>
    <cellStyle name="Note 2 4 3 2 20" xfId="35090"/>
    <cellStyle name="Note 2 4 3 2 21" xfId="41309"/>
    <cellStyle name="Note 2 4 3 2 3" xfId="2199"/>
    <cellStyle name="Note 2 4 3 2 3 2" xfId="13241"/>
    <cellStyle name="Note 2 4 3 2 3 3" xfId="13242"/>
    <cellStyle name="Note 2 4 3 2 3 4" xfId="13243"/>
    <cellStyle name="Note 2 4 3 2 3 5" xfId="13244"/>
    <cellStyle name="Note 2 4 3 2 3 6" xfId="36882"/>
    <cellStyle name="Note 2 4 3 2 3 7" xfId="45007"/>
    <cellStyle name="Note 2 4 3 2 3 8" xfId="53131"/>
    <cellStyle name="Note 2 4 3 2 4" xfId="1247"/>
    <cellStyle name="Note 2 4 3 2 4 2" xfId="13245"/>
    <cellStyle name="Note 2 4 3 2 4 3" xfId="13246"/>
    <cellStyle name="Note 2 4 3 2 4 4" xfId="13247"/>
    <cellStyle name="Note 2 4 3 2 4 5" xfId="13248"/>
    <cellStyle name="Note 2 4 3 2 4 6" xfId="37498"/>
    <cellStyle name="Note 2 4 3 2 4 7" xfId="45008"/>
    <cellStyle name="Note 2 4 3 2 4 8" xfId="53132"/>
    <cellStyle name="Note 2 4 3 2 5" xfId="3315"/>
    <cellStyle name="Note 2 4 3 2 5 2" xfId="13249"/>
    <cellStyle name="Note 2 4 3 2 5 3" xfId="13250"/>
    <cellStyle name="Note 2 4 3 2 5 4" xfId="13251"/>
    <cellStyle name="Note 2 4 3 2 5 5" xfId="13252"/>
    <cellStyle name="Note 2 4 3 2 5 6" xfId="38114"/>
    <cellStyle name="Note 2 4 3 2 5 7" xfId="45009"/>
    <cellStyle name="Note 2 4 3 2 5 8" xfId="53133"/>
    <cellStyle name="Note 2 4 3 2 6" xfId="3637"/>
    <cellStyle name="Note 2 4 3 2 6 2" xfId="13253"/>
    <cellStyle name="Note 2 4 3 2 6 3" xfId="13254"/>
    <cellStyle name="Note 2 4 3 2 6 4" xfId="13255"/>
    <cellStyle name="Note 2 4 3 2 6 5" xfId="13256"/>
    <cellStyle name="Note 2 4 3 2 6 6" xfId="38732"/>
    <cellStyle name="Note 2 4 3 2 6 7" xfId="45010"/>
    <cellStyle name="Note 2 4 3 2 6 8" xfId="53134"/>
    <cellStyle name="Note 2 4 3 2 7" xfId="13257"/>
    <cellStyle name="Note 2 4 3 2 7 2" xfId="13258"/>
    <cellStyle name="Note 2 4 3 2 7 3" xfId="13259"/>
    <cellStyle name="Note 2 4 3 2 7 4" xfId="13260"/>
    <cellStyle name="Note 2 4 3 2 7 5" xfId="13261"/>
    <cellStyle name="Note 2 4 3 2 7 6" xfId="39352"/>
    <cellStyle name="Note 2 4 3 2 7 7" xfId="45011"/>
    <cellStyle name="Note 2 4 3 2 7 8" xfId="53135"/>
    <cellStyle name="Note 2 4 3 2 8" xfId="13262"/>
    <cellStyle name="Note 2 4 3 2 8 2" xfId="13263"/>
    <cellStyle name="Note 2 4 3 2 8 3" xfId="13264"/>
    <cellStyle name="Note 2 4 3 2 8 4" xfId="13265"/>
    <cellStyle name="Note 2 4 3 2 8 5" xfId="13266"/>
    <cellStyle name="Note 2 4 3 2 8 6" xfId="39968"/>
    <cellStyle name="Note 2 4 3 2 8 7" xfId="45012"/>
    <cellStyle name="Note 2 4 3 2 8 8" xfId="53136"/>
    <cellStyle name="Note 2 4 3 2 9" xfId="13267"/>
    <cellStyle name="Note 2 4 3 2 9 2" xfId="13268"/>
    <cellStyle name="Note 2 4 3 2 9 3" xfId="13269"/>
    <cellStyle name="Note 2 4 3 2 9 4" xfId="13270"/>
    <cellStyle name="Note 2 4 3 2 9 5" xfId="13271"/>
    <cellStyle name="Note 2 4 3 2 9 6" xfId="40583"/>
    <cellStyle name="Note 2 4 3 2 9 7" xfId="45013"/>
    <cellStyle name="Note 2 4 3 2 9 8" xfId="53137"/>
    <cellStyle name="Note 2 4 3 20" xfId="34744"/>
    <cellStyle name="Note 2 4 3 21" xfId="40882"/>
    <cellStyle name="Note 2 4 3 22" xfId="41443"/>
    <cellStyle name="Note 2 4 3 23" xfId="50530"/>
    <cellStyle name="Note 2 4 3 3" xfId="2200"/>
    <cellStyle name="Note 2 4 3 3 10" xfId="34796"/>
    <cellStyle name="Note 2 4 3 3 10 2" xfId="45015"/>
    <cellStyle name="Note 2 4 3 3 10 3" xfId="53139"/>
    <cellStyle name="Note 2 4 3 3 11" xfId="41097"/>
    <cellStyle name="Note 2 4 3 3 12" xfId="45014"/>
    <cellStyle name="Note 2 4 3 3 13" xfId="53138"/>
    <cellStyle name="Note 2 4 3 3 2" xfId="2201"/>
    <cellStyle name="Note 2 4 3 3 2 2" xfId="36174"/>
    <cellStyle name="Note 2 4 3 3 2 3" xfId="45016"/>
    <cellStyle name="Note 2 4 3 3 2 4" xfId="53140"/>
    <cellStyle name="Note 2 4 3 3 3" xfId="13272"/>
    <cellStyle name="Note 2 4 3 3 3 2" xfId="36671"/>
    <cellStyle name="Note 2 4 3 3 3 3" xfId="45017"/>
    <cellStyle name="Note 2 4 3 3 3 4" xfId="53141"/>
    <cellStyle name="Note 2 4 3 3 4" xfId="13273"/>
    <cellStyle name="Note 2 4 3 3 4 2" xfId="37287"/>
    <cellStyle name="Note 2 4 3 3 4 3" xfId="45018"/>
    <cellStyle name="Note 2 4 3 3 4 4" xfId="53142"/>
    <cellStyle name="Note 2 4 3 3 5" xfId="13274"/>
    <cellStyle name="Note 2 4 3 3 5 2" xfId="37903"/>
    <cellStyle name="Note 2 4 3 3 5 3" xfId="45019"/>
    <cellStyle name="Note 2 4 3 3 5 4" xfId="53143"/>
    <cellStyle name="Note 2 4 3 3 6" xfId="38520"/>
    <cellStyle name="Note 2 4 3 3 6 2" xfId="45020"/>
    <cellStyle name="Note 2 4 3 3 6 3" xfId="53144"/>
    <cellStyle name="Note 2 4 3 3 7" xfId="39140"/>
    <cellStyle name="Note 2 4 3 3 7 2" xfId="45021"/>
    <cellStyle name="Note 2 4 3 3 7 3" xfId="53145"/>
    <cellStyle name="Note 2 4 3 3 8" xfId="39756"/>
    <cellStyle name="Note 2 4 3 3 8 2" xfId="45022"/>
    <cellStyle name="Note 2 4 3 3 8 3" xfId="53146"/>
    <cellStyle name="Note 2 4 3 3 9" xfId="40371"/>
    <cellStyle name="Note 2 4 3 3 9 2" xfId="45023"/>
    <cellStyle name="Note 2 4 3 3 9 3" xfId="53147"/>
    <cellStyle name="Note 2 4 3 4" xfId="2202"/>
    <cellStyle name="Note 2 4 3 4 10" xfId="45024"/>
    <cellStyle name="Note 2 4 3 4 11" xfId="53148"/>
    <cellStyle name="Note 2 4 3 4 2" xfId="13275"/>
    <cellStyle name="Note 2 4 3 4 2 2" xfId="45025"/>
    <cellStyle name="Note 2 4 3 4 2 3" xfId="53149"/>
    <cellStyle name="Note 2 4 3 4 3" xfId="13276"/>
    <cellStyle name="Note 2 4 3 4 3 2" xfId="45026"/>
    <cellStyle name="Note 2 4 3 4 3 3" xfId="53150"/>
    <cellStyle name="Note 2 4 3 4 4" xfId="13277"/>
    <cellStyle name="Note 2 4 3 4 4 2" xfId="45027"/>
    <cellStyle name="Note 2 4 3 4 4 3" xfId="53151"/>
    <cellStyle name="Note 2 4 3 4 5" xfId="13278"/>
    <cellStyle name="Note 2 4 3 4 5 2" xfId="45028"/>
    <cellStyle name="Note 2 4 3 4 5 3" xfId="53152"/>
    <cellStyle name="Note 2 4 3 4 6" xfId="35660"/>
    <cellStyle name="Note 2 4 3 4 6 2" xfId="45029"/>
    <cellStyle name="Note 2 4 3 4 6 3" xfId="53153"/>
    <cellStyle name="Note 2 4 3 4 7" xfId="45030"/>
    <cellStyle name="Note 2 4 3 4 7 2" xfId="53154"/>
    <cellStyle name="Note 2 4 3 4 8" xfId="45031"/>
    <cellStyle name="Note 2 4 3 4 8 2" xfId="53155"/>
    <cellStyle name="Note 2 4 3 4 9" xfId="45032"/>
    <cellStyle name="Note 2 4 3 4 9 2" xfId="53156"/>
    <cellStyle name="Note 2 4 3 5" xfId="1246"/>
    <cellStyle name="Note 2 4 3 5 2" xfId="13279"/>
    <cellStyle name="Note 2 4 3 5 3" xfId="13280"/>
    <cellStyle name="Note 2 4 3 5 4" xfId="13281"/>
    <cellStyle name="Note 2 4 3 5 5" xfId="13282"/>
    <cellStyle name="Note 2 4 3 5 6" xfId="35765"/>
    <cellStyle name="Note 2 4 3 5 7" xfId="45033"/>
    <cellStyle name="Note 2 4 3 5 8" xfId="53157"/>
    <cellStyle name="Note 2 4 3 6" xfId="3314"/>
    <cellStyle name="Note 2 4 3 6 2" xfId="13283"/>
    <cellStyle name="Note 2 4 3 6 3" xfId="13284"/>
    <cellStyle name="Note 2 4 3 6 4" xfId="13285"/>
    <cellStyle name="Note 2 4 3 6 5" xfId="13286"/>
    <cellStyle name="Note 2 4 3 6 6" xfId="37072"/>
    <cellStyle name="Note 2 4 3 6 7" xfId="45034"/>
    <cellStyle name="Note 2 4 3 6 8" xfId="53158"/>
    <cellStyle name="Note 2 4 3 7" xfId="3636"/>
    <cellStyle name="Note 2 4 3 7 2" xfId="13287"/>
    <cellStyle name="Note 2 4 3 7 3" xfId="13288"/>
    <cellStyle name="Note 2 4 3 7 4" xfId="13289"/>
    <cellStyle name="Note 2 4 3 7 5" xfId="13290"/>
    <cellStyle name="Note 2 4 3 7 6" xfId="37686"/>
    <cellStyle name="Note 2 4 3 7 7" xfId="45035"/>
    <cellStyle name="Note 2 4 3 7 8" xfId="53159"/>
    <cellStyle name="Note 2 4 3 8" xfId="13291"/>
    <cellStyle name="Note 2 4 3 8 2" xfId="13292"/>
    <cellStyle name="Note 2 4 3 8 3" xfId="13293"/>
    <cellStyle name="Note 2 4 3 8 4" xfId="13294"/>
    <cellStyle name="Note 2 4 3 8 5" xfId="13295"/>
    <cellStyle name="Note 2 4 3 8 6" xfId="38301"/>
    <cellStyle name="Note 2 4 3 8 7" xfId="45036"/>
    <cellStyle name="Note 2 4 3 8 8" xfId="53160"/>
    <cellStyle name="Note 2 4 3 9" xfId="13296"/>
    <cellStyle name="Note 2 4 3 9 2" xfId="13297"/>
    <cellStyle name="Note 2 4 3 9 3" xfId="13298"/>
    <cellStyle name="Note 2 4 3 9 4" xfId="13299"/>
    <cellStyle name="Note 2 4 3 9 5" xfId="13300"/>
    <cellStyle name="Note 2 4 3 9 6" xfId="38921"/>
    <cellStyle name="Note 2 4 3 9 7" xfId="45037"/>
    <cellStyle name="Note 2 4 3 9 8" xfId="53161"/>
    <cellStyle name="Note 2 4 4" xfId="363"/>
    <cellStyle name="Note 2 4 4 10" xfId="13301"/>
    <cellStyle name="Note 2 4 4 10 2" xfId="13302"/>
    <cellStyle name="Note 2 4 4 10 3" xfId="13303"/>
    <cellStyle name="Note 2 4 4 10 4" xfId="13304"/>
    <cellStyle name="Note 2 4 4 10 5" xfId="13305"/>
    <cellStyle name="Note 2 4 4 10 6" xfId="40157"/>
    <cellStyle name="Note 2 4 4 10 7" xfId="45038"/>
    <cellStyle name="Note 2 4 4 10 8" xfId="53162"/>
    <cellStyle name="Note 2 4 4 11" xfId="13306"/>
    <cellStyle name="Note 2 4 4 11 2" xfId="13307"/>
    <cellStyle name="Note 2 4 4 11 3" xfId="13308"/>
    <cellStyle name="Note 2 4 4 11 4" xfId="13309"/>
    <cellStyle name="Note 2 4 4 11 5" xfId="13310"/>
    <cellStyle name="Note 2 4 4 11 6" xfId="45039"/>
    <cellStyle name="Note 2 4 4 11 7" xfId="53163"/>
    <cellStyle name="Note 2 4 4 12" xfId="13311"/>
    <cellStyle name="Note 2 4 4 12 2" xfId="13312"/>
    <cellStyle name="Note 2 4 4 12 3" xfId="13313"/>
    <cellStyle name="Note 2 4 4 12 4" xfId="13314"/>
    <cellStyle name="Note 2 4 4 12 5" xfId="13315"/>
    <cellStyle name="Note 2 4 4 12 6" xfId="45040"/>
    <cellStyle name="Note 2 4 4 12 7" xfId="53164"/>
    <cellStyle name="Note 2 4 4 13" xfId="13316"/>
    <cellStyle name="Note 2 4 4 13 2" xfId="13317"/>
    <cellStyle name="Note 2 4 4 13 3" xfId="13318"/>
    <cellStyle name="Note 2 4 4 13 4" xfId="13319"/>
    <cellStyle name="Note 2 4 4 13 5" xfId="13320"/>
    <cellStyle name="Note 2 4 4 13 6" xfId="45041"/>
    <cellStyle name="Note 2 4 4 13 7" xfId="53165"/>
    <cellStyle name="Note 2 4 4 14" xfId="13321"/>
    <cellStyle name="Note 2 4 4 14 2" xfId="13322"/>
    <cellStyle name="Note 2 4 4 14 3" xfId="13323"/>
    <cellStyle name="Note 2 4 4 14 4" xfId="13324"/>
    <cellStyle name="Note 2 4 4 14 5" xfId="13325"/>
    <cellStyle name="Note 2 4 4 15" xfId="13326"/>
    <cellStyle name="Note 2 4 4 15 2" xfId="13327"/>
    <cellStyle name="Note 2 4 4 15 3" xfId="13328"/>
    <cellStyle name="Note 2 4 4 15 4" xfId="13329"/>
    <cellStyle name="Note 2 4 4 15 5" xfId="13330"/>
    <cellStyle name="Note 2 4 4 16" xfId="13331"/>
    <cellStyle name="Note 2 4 4 16 2" xfId="13332"/>
    <cellStyle name="Note 2 4 4 16 3" xfId="13333"/>
    <cellStyle name="Note 2 4 4 16 4" xfId="13334"/>
    <cellStyle name="Note 2 4 4 16 5" xfId="13335"/>
    <cellStyle name="Note 2 4 4 17" xfId="13336"/>
    <cellStyle name="Note 2 4 4 17 2" xfId="13337"/>
    <cellStyle name="Note 2 4 4 17 3" xfId="13338"/>
    <cellStyle name="Note 2 4 4 17 4" xfId="13339"/>
    <cellStyle name="Note 2 4 4 17 5" xfId="13340"/>
    <cellStyle name="Note 2 4 4 18" xfId="13341"/>
    <cellStyle name="Note 2 4 4 19" xfId="799"/>
    <cellStyle name="Note 2 4 4 2" xfId="582"/>
    <cellStyle name="Note 2 4 4 2 10" xfId="13342"/>
    <cellStyle name="Note 2 4 4 2 10 2" xfId="13343"/>
    <cellStyle name="Note 2 4 4 2 10 3" xfId="13344"/>
    <cellStyle name="Note 2 4 4 2 10 4" xfId="13345"/>
    <cellStyle name="Note 2 4 4 2 10 5" xfId="13346"/>
    <cellStyle name="Note 2 4 4 2 10 6" xfId="45042"/>
    <cellStyle name="Note 2 4 4 2 10 7" xfId="53166"/>
    <cellStyle name="Note 2 4 4 2 11" xfId="13347"/>
    <cellStyle name="Note 2 4 4 2 11 2" xfId="13348"/>
    <cellStyle name="Note 2 4 4 2 11 3" xfId="13349"/>
    <cellStyle name="Note 2 4 4 2 11 4" xfId="13350"/>
    <cellStyle name="Note 2 4 4 2 11 5" xfId="13351"/>
    <cellStyle name="Note 2 4 4 2 12" xfId="13352"/>
    <cellStyle name="Note 2 4 4 2 12 2" xfId="13353"/>
    <cellStyle name="Note 2 4 4 2 12 3" xfId="13354"/>
    <cellStyle name="Note 2 4 4 2 12 4" xfId="13355"/>
    <cellStyle name="Note 2 4 4 2 12 5" xfId="13356"/>
    <cellStyle name="Note 2 4 4 2 13" xfId="13357"/>
    <cellStyle name="Note 2 4 4 2 13 2" xfId="13358"/>
    <cellStyle name="Note 2 4 4 2 13 3" xfId="13359"/>
    <cellStyle name="Note 2 4 4 2 13 4" xfId="13360"/>
    <cellStyle name="Note 2 4 4 2 13 5" xfId="13361"/>
    <cellStyle name="Note 2 4 4 2 14" xfId="13362"/>
    <cellStyle name="Note 2 4 4 2 14 2" xfId="13363"/>
    <cellStyle name="Note 2 4 4 2 14 3" xfId="13364"/>
    <cellStyle name="Note 2 4 4 2 14 4" xfId="13365"/>
    <cellStyle name="Note 2 4 4 2 14 5" xfId="13366"/>
    <cellStyle name="Note 2 4 4 2 15" xfId="13367"/>
    <cellStyle name="Note 2 4 4 2 15 2" xfId="13368"/>
    <cellStyle name="Note 2 4 4 2 15 3" xfId="13369"/>
    <cellStyle name="Note 2 4 4 2 15 4" xfId="13370"/>
    <cellStyle name="Note 2 4 4 2 15 5" xfId="13371"/>
    <cellStyle name="Note 2 4 4 2 16" xfId="13372"/>
    <cellStyle name="Note 2 4 4 2 16 2" xfId="13373"/>
    <cellStyle name="Note 2 4 4 2 16 3" xfId="13374"/>
    <cellStyle name="Note 2 4 4 2 16 4" xfId="13375"/>
    <cellStyle name="Note 2 4 4 2 16 5" xfId="13376"/>
    <cellStyle name="Note 2 4 4 2 17" xfId="13377"/>
    <cellStyle name="Note 2 4 4 2 17 2" xfId="13378"/>
    <cellStyle name="Note 2 4 4 2 17 3" xfId="13379"/>
    <cellStyle name="Note 2 4 4 2 17 4" xfId="13380"/>
    <cellStyle name="Note 2 4 4 2 17 5" xfId="13381"/>
    <cellStyle name="Note 2 4 4 2 18" xfId="13382"/>
    <cellStyle name="Note 2 4 4 2 19" xfId="1011"/>
    <cellStyle name="Note 2 4 4 2 2" xfId="2203"/>
    <cellStyle name="Note 2 4 4 2 2 2" xfId="13383"/>
    <cellStyle name="Note 2 4 4 2 2 3" xfId="13384"/>
    <cellStyle name="Note 2 4 4 2 2 4" xfId="13385"/>
    <cellStyle name="Note 2 4 4 2 2 5" xfId="13386"/>
    <cellStyle name="Note 2 4 4 2 2 6" xfId="36386"/>
    <cellStyle name="Note 2 4 4 2 2 7" xfId="45043"/>
    <cellStyle name="Note 2 4 4 2 2 8" xfId="53167"/>
    <cellStyle name="Note 2 4 4 2 20" xfId="35091"/>
    <cellStyle name="Note 2 4 4 2 21" xfId="41310"/>
    <cellStyle name="Note 2 4 4 2 3" xfId="2204"/>
    <cellStyle name="Note 2 4 4 2 3 2" xfId="13387"/>
    <cellStyle name="Note 2 4 4 2 3 3" xfId="13388"/>
    <cellStyle name="Note 2 4 4 2 3 4" xfId="13389"/>
    <cellStyle name="Note 2 4 4 2 3 5" xfId="13390"/>
    <cellStyle name="Note 2 4 4 2 3 6" xfId="36883"/>
    <cellStyle name="Note 2 4 4 2 3 7" xfId="45044"/>
    <cellStyle name="Note 2 4 4 2 3 8" xfId="53168"/>
    <cellStyle name="Note 2 4 4 2 4" xfId="1249"/>
    <cellStyle name="Note 2 4 4 2 4 2" xfId="13391"/>
    <cellStyle name="Note 2 4 4 2 4 3" xfId="13392"/>
    <cellStyle name="Note 2 4 4 2 4 4" xfId="13393"/>
    <cellStyle name="Note 2 4 4 2 4 5" xfId="13394"/>
    <cellStyle name="Note 2 4 4 2 4 6" xfId="37499"/>
    <cellStyle name="Note 2 4 4 2 4 7" xfId="45045"/>
    <cellStyle name="Note 2 4 4 2 4 8" xfId="53169"/>
    <cellStyle name="Note 2 4 4 2 5" xfId="3317"/>
    <cellStyle name="Note 2 4 4 2 5 2" xfId="13395"/>
    <cellStyle name="Note 2 4 4 2 5 3" xfId="13396"/>
    <cellStyle name="Note 2 4 4 2 5 4" xfId="13397"/>
    <cellStyle name="Note 2 4 4 2 5 5" xfId="13398"/>
    <cellStyle name="Note 2 4 4 2 5 6" xfId="38115"/>
    <cellStyle name="Note 2 4 4 2 5 7" xfId="45046"/>
    <cellStyle name="Note 2 4 4 2 5 8" xfId="53170"/>
    <cellStyle name="Note 2 4 4 2 6" xfId="3639"/>
    <cellStyle name="Note 2 4 4 2 6 2" xfId="13399"/>
    <cellStyle name="Note 2 4 4 2 6 3" xfId="13400"/>
    <cellStyle name="Note 2 4 4 2 6 4" xfId="13401"/>
    <cellStyle name="Note 2 4 4 2 6 5" xfId="13402"/>
    <cellStyle name="Note 2 4 4 2 6 6" xfId="38733"/>
    <cellStyle name="Note 2 4 4 2 6 7" xfId="45047"/>
    <cellStyle name="Note 2 4 4 2 6 8" xfId="53171"/>
    <cellStyle name="Note 2 4 4 2 7" xfId="13403"/>
    <cellStyle name="Note 2 4 4 2 7 2" xfId="13404"/>
    <cellStyle name="Note 2 4 4 2 7 3" xfId="13405"/>
    <cellStyle name="Note 2 4 4 2 7 4" xfId="13406"/>
    <cellStyle name="Note 2 4 4 2 7 5" xfId="13407"/>
    <cellStyle name="Note 2 4 4 2 7 6" xfId="39353"/>
    <cellStyle name="Note 2 4 4 2 7 7" xfId="45048"/>
    <cellStyle name="Note 2 4 4 2 7 8" xfId="53172"/>
    <cellStyle name="Note 2 4 4 2 8" xfId="13408"/>
    <cellStyle name="Note 2 4 4 2 8 2" xfId="13409"/>
    <cellStyle name="Note 2 4 4 2 8 3" xfId="13410"/>
    <cellStyle name="Note 2 4 4 2 8 4" xfId="13411"/>
    <cellStyle name="Note 2 4 4 2 8 5" xfId="13412"/>
    <cellStyle name="Note 2 4 4 2 8 6" xfId="39969"/>
    <cellStyle name="Note 2 4 4 2 8 7" xfId="45049"/>
    <cellStyle name="Note 2 4 4 2 8 8" xfId="53173"/>
    <cellStyle name="Note 2 4 4 2 9" xfId="13413"/>
    <cellStyle name="Note 2 4 4 2 9 2" xfId="13414"/>
    <cellStyle name="Note 2 4 4 2 9 3" xfId="13415"/>
    <cellStyle name="Note 2 4 4 2 9 4" xfId="13416"/>
    <cellStyle name="Note 2 4 4 2 9 5" xfId="13417"/>
    <cellStyle name="Note 2 4 4 2 9 6" xfId="40584"/>
    <cellStyle name="Note 2 4 4 2 9 7" xfId="45050"/>
    <cellStyle name="Note 2 4 4 2 9 8" xfId="53174"/>
    <cellStyle name="Note 2 4 4 20" xfId="34726"/>
    <cellStyle name="Note 2 4 4 21" xfId="40883"/>
    <cellStyle name="Note 2 4 4 22" xfId="41444"/>
    <cellStyle name="Note 2 4 4 23" xfId="50531"/>
    <cellStyle name="Note 2 4 4 3" xfId="2205"/>
    <cellStyle name="Note 2 4 4 3 10" xfId="34879"/>
    <cellStyle name="Note 2 4 4 3 10 2" xfId="45052"/>
    <cellStyle name="Note 2 4 4 3 10 3" xfId="53176"/>
    <cellStyle name="Note 2 4 4 3 11" xfId="41098"/>
    <cellStyle name="Note 2 4 4 3 12" xfId="45051"/>
    <cellStyle name="Note 2 4 4 3 13" xfId="53175"/>
    <cellStyle name="Note 2 4 4 3 2" xfId="2206"/>
    <cellStyle name="Note 2 4 4 3 2 2" xfId="36175"/>
    <cellStyle name="Note 2 4 4 3 2 3" xfId="45053"/>
    <cellStyle name="Note 2 4 4 3 2 4" xfId="53177"/>
    <cellStyle name="Note 2 4 4 3 3" xfId="13418"/>
    <cellStyle name="Note 2 4 4 3 3 2" xfId="36672"/>
    <cellStyle name="Note 2 4 4 3 3 3" xfId="45054"/>
    <cellStyle name="Note 2 4 4 3 3 4" xfId="53178"/>
    <cellStyle name="Note 2 4 4 3 4" xfId="13419"/>
    <cellStyle name="Note 2 4 4 3 4 2" xfId="37288"/>
    <cellStyle name="Note 2 4 4 3 4 3" xfId="45055"/>
    <cellStyle name="Note 2 4 4 3 4 4" xfId="53179"/>
    <cellStyle name="Note 2 4 4 3 5" xfId="13420"/>
    <cellStyle name="Note 2 4 4 3 5 2" xfId="37904"/>
    <cellStyle name="Note 2 4 4 3 5 3" xfId="45056"/>
    <cellStyle name="Note 2 4 4 3 5 4" xfId="53180"/>
    <cellStyle name="Note 2 4 4 3 6" xfId="38521"/>
    <cellStyle name="Note 2 4 4 3 6 2" xfId="45057"/>
    <cellStyle name="Note 2 4 4 3 6 3" xfId="53181"/>
    <cellStyle name="Note 2 4 4 3 7" xfId="39141"/>
    <cellStyle name="Note 2 4 4 3 7 2" xfId="45058"/>
    <cellStyle name="Note 2 4 4 3 7 3" xfId="53182"/>
    <cellStyle name="Note 2 4 4 3 8" xfId="39757"/>
    <cellStyle name="Note 2 4 4 3 8 2" xfId="45059"/>
    <cellStyle name="Note 2 4 4 3 8 3" xfId="53183"/>
    <cellStyle name="Note 2 4 4 3 9" xfId="40372"/>
    <cellStyle name="Note 2 4 4 3 9 2" xfId="45060"/>
    <cellStyle name="Note 2 4 4 3 9 3" xfId="53184"/>
    <cellStyle name="Note 2 4 4 4" xfId="2207"/>
    <cellStyle name="Note 2 4 4 4 10" xfId="45061"/>
    <cellStyle name="Note 2 4 4 4 11" xfId="53185"/>
    <cellStyle name="Note 2 4 4 4 2" xfId="13421"/>
    <cellStyle name="Note 2 4 4 4 2 2" xfId="45062"/>
    <cellStyle name="Note 2 4 4 4 2 3" xfId="53186"/>
    <cellStyle name="Note 2 4 4 4 3" xfId="13422"/>
    <cellStyle name="Note 2 4 4 4 3 2" xfId="45063"/>
    <cellStyle name="Note 2 4 4 4 3 3" xfId="53187"/>
    <cellStyle name="Note 2 4 4 4 4" xfId="13423"/>
    <cellStyle name="Note 2 4 4 4 4 2" xfId="45064"/>
    <cellStyle name="Note 2 4 4 4 4 3" xfId="53188"/>
    <cellStyle name="Note 2 4 4 4 5" xfId="13424"/>
    <cellStyle name="Note 2 4 4 4 5 2" xfId="45065"/>
    <cellStyle name="Note 2 4 4 4 5 3" xfId="53189"/>
    <cellStyle name="Note 2 4 4 4 6" xfId="35764"/>
    <cellStyle name="Note 2 4 4 4 6 2" xfId="45066"/>
    <cellStyle name="Note 2 4 4 4 6 3" xfId="53190"/>
    <cellStyle name="Note 2 4 4 4 7" xfId="45067"/>
    <cellStyle name="Note 2 4 4 4 7 2" xfId="53191"/>
    <cellStyle name="Note 2 4 4 4 8" xfId="45068"/>
    <cellStyle name="Note 2 4 4 4 8 2" xfId="53192"/>
    <cellStyle name="Note 2 4 4 4 9" xfId="45069"/>
    <cellStyle name="Note 2 4 4 4 9 2" xfId="53193"/>
    <cellStyle name="Note 2 4 4 5" xfId="1248"/>
    <cellStyle name="Note 2 4 4 5 2" xfId="13425"/>
    <cellStyle name="Note 2 4 4 5 3" xfId="13426"/>
    <cellStyle name="Note 2 4 4 5 4" xfId="13427"/>
    <cellStyle name="Note 2 4 4 5 5" xfId="13428"/>
    <cellStyle name="Note 2 4 4 5 6" xfId="37073"/>
    <cellStyle name="Note 2 4 4 5 7" xfId="45070"/>
    <cellStyle name="Note 2 4 4 5 8" xfId="53194"/>
    <cellStyle name="Note 2 4 4 6" xfId="3316"/>
    <cellStyle name="Note 2 4 4 6 2" xfId="13429"/>
    <cellStyle name="Note 2 4 4 6 3" xfId="13430"/>
    <cellStyle name="Note 2 4 4 6 4" xfId="13431"/>
    <cellStyle name="Note 2 4 4 6 5" xfId="13432"/>
    <cellStyle name="Note 2 4 4 6 6" xfId="37687"/>
    <cellStyle name="Note 2 4 4 6 7" xfId="45071"/>
    <cellStyle name="Note 2 4 4 6 8" xfId="53195"/>
    <cellStyle name="Note 2 4 4 7" xfId="3638"/>
    <cellStyle name="Note 2 4 4 7 2" xfId="13433"/>
    <cellStyle name="Note 2 4 4 7 3" xfId="13434"/>
    <cellStyle name="Note 2 4 4 7 4" xfId="13435"/>
    <cellStyle name="Note 2 4 4 7 5" xfId="13436"/>
    <cellStyle name="Note 2 4 4 7 6" xfId="38302"/>
    <cellStyle name="Note 2 4 4 7 7" xfId="45072"/>
    <cellStyle name="Note 2 4 4 7 8" xfId="53196"/>
    <cellStyle name="Note 2 4 4 8" xfId="13437"/>
    <cellStyle name="Note 2 4 4 8 2" xfId="13438"/>
    <cellStyle name="Note 2 4 4 8 3" xfId="13439"/>
    <cellStyle name="Note 2 4 4 8 4" xfId="13440"/>
    <cellStyle name="Note 2 4 4 8 5" xfId="13441"/>
    <cellStyle name="Note 2 4 4 8 6" xfId="38922"/>
    <cellStyle name="Note 2 4 4 8 7" xfId="45073"/>
    <cellStyle name="Note 2 4 4 8 8" xfId="53197"/>
    <cellStyle name="Note 2 4 4 9" xfId="13442"/>
    <cellStyle name="Note 2 4 4 9 2" xfId="13443"/>
    <cellStyle name="Note 2 4 4 9 3" xfId="13444"/>
    <cellStyle name="Note 2 4 4 9 4" xfId="13445"/>
    <cellStyle name="Note 2 4 4 9 5" xfId="13446"/>
    <cellStyle name="Note 2 4 4 9 6" xfId="39541"/>
    <cellStyle name="Note 2 4 4 9 7" xfId="45074"/>
    <cellStyle name="Note 2 4 4 9 8" xfId="53198"/>
    <cellStyle name="Note 2 4 5" xfId="483"/>
    <cellStyle name="Note 2 4 5 10" xfId="13447"/>
    <cellStyle name="Note 2 4 5 10 2" xfId="13448"/>
    <cellStyle name="Note 2 4 5 10 3" xfId="13449"/>
    <cellStyle name="Note 2 4 5 10 4" xfId="13450"/>
    <cellStyle name="Note 2 4 5 10 5" xfId="13451"/>
    <cellStyle name="Note 2 4 5 10 6" xfId="45075"/>
    <cellStyle name="Note 2 4 5 10 7" xfId="53199"/>
    <cellStyle name="Note 2 4 5 11" xfId="13452"/>
    <cellStyle name="Note 2 4 5 11 2" xfId="13453"/>
    <cellStyle name="Note 2 4 5 11 3" xfId="13454"/>
    <cellStyle name="Note 2 4 5 11 4" xfId="13455"/>
    <cellStyle name="Note 2 4 5 11 5" xfId="13456"/>
    <cellStyle name="Note 2 4 5 12" xfId="13457"/>
    <cellStyle name="Note 2 4 5 12 2" xfId="13458"/>
    <cellStyle name="Note 2 4 5 12 3" xfId="13459"/>
    <cellStyle name="Note 2 4 5 12 4" xfId="13460"/>
    <cellStyle name="Note 2 4 5 12 5" xfId="13461"/>
    <cellStyle name="Note 2 4 5 13" xfId="13462"/>
    <cellStyle name="Note 2 4 5 13 2" xfId="13463"/>
    <cellStyle name="Note 2 4 5 13 3" xfId="13464"/>
    <cellStyle name="Note 2 4 5 13 4" xfId="13465"/>
    <cellStyle name="Note 2 4 5 13 5" xfId="13466"/>
    <cellStyle name="Note 2 4 5 14" xfId="13467"/>
    <cellStyle name="Note 2 4 5 14 2" xfId="13468"/>
    <cellStyle name="Note 2 4 5 14 3" xfId="13469"/>
    <cellStyle name="Note 2 4 5 14 4" xfId="13470"/>
    <cellStyle name="Note 2 4 5 14 5" xfId="13471"/>
    <cellStyle name="Note 2 4 5 15" xfId="13472"/>
    <cellStyle name="Note 2 4 5 15 2" xfId="13473"/>
    <cellStyle name="Note 2 4 5 15 3" xfId="13474"/>
    <cellStyle name="Note 2 4 5 15 4" xfId="13475"/>
    <cellStyle name="Note 2 4 5 15 5" xfId="13476"/>
    <cellStyle name="Note 2 4 5 16" xfId="13477"/>
    <cellStyle name="Note 2 4 5 16 2" xfId="13478"/>
    <cellStyle name="Note 2 4 5 16 3" xfId="13479"/>
    <cellStyle name="Note 2 4 5 16 4" xfId="13480"/>
    <cellStyle name="Note 2 4 5 16 5" xfId="13481"/>
    <cellStyle name="Note 2 4 5 17" xfId="13482"/>
    <cellStyle name="Note 2 4 5 17 2" xfId="13483"/>
    <cellStyle name="Note 2 4 5 17 3" xfId="13484"/>
    <cellStyle name="Note 2 4 5 17 4" xfId="13485"/>
    <cellStyle name="Note 2 4 5 17 5" xfId="13486"/>
    <cellStyle name="Note 2 4 5 18" xfId="13487"/>
    <cellStyle name="Note 2 4 5 19" xfId="912"/>
    <cellStyle name="Note 2 4 5 2" xfId="2208"/>
    <cellStyle name="Note 2 4 5 2 2" xfId="13488"/>
    <cellStyle name="Note 2 4 5 2 3" xfId="13489"/>
    <cellStyle name="Note 2 4 5 2 4" xfId="13490"/>
    <cellStyle name="Note 2 4 5 2 5" xfId="13491"/>
    <cellStyle name="Note 2 4 5 2 6" xfId="36287"/>
    <cellStyle name="Note 2 4 5 2 7" xfId="45076"/>
    <cellStyle name="Note 2 4 5 2 8" xfId="53200"/>
    <cellStyle name="Note 2 4 5 20" xfId="34992"/>
    <cellStyle name="Note 2 4 5 21" xfId="40701"/>
    <cellStyle name="Note 2 4 5 22" xfId="41211"/>
    <cellStyle name="Note 2 4 5 3" xfId="2209"/>
    <cellStyle name="Note 2 4 5 3 2" xfId="13492"/>
    <cellStyle name="Note 2 4 5 3 3" xfId="13493"/>
    <cellStyle name="Note 2 4 5 3 4" xfId="13494"/>
    <cellStyle name="Note 2 4 5 3 5" xfId="13495"/>
    <cellStyle name="Note 2 4 5 3 6" xfId="36784"/>
    <cellStyle name="Note 2 4 5 3 7" xfId="45077"/>
    <cellStyle name="Note 2 4 5 3 8" xfId="53201"/>
    <cellStyle name="Note 2 4 5 4" xfId="1250"/>
    <cellStyle name="Note 2 4 5 4 2" xfId="13496"/>
    <cellStyle name="Note 2 4 5 4 3" xfId="13497"/>
    <cellStyle name="Note 2 4 5 4 4" xfId="13498"/>
    <cellStyle name="Note 2 4 5 4 5" xfId="13499"/>
    <cellStyle name="Note 2 4 5 4 6" xfId="37400"/>
    <cellStyle name="Note 2 4 5 4 7" xfId="45078"/>
    <cellStyle name="Note 2 4 5 4 8" xfId="53202"/>
    <cellStyle name="Note 2 4 5 5" xfId="3318"/>
    <cellStyle name="Note 2 4 5 5 2" xfId="13500"/>
    <cellStyle name="Note 2 4 5 5 3" xfId="13501"/>
    <cellStyle name="Note 2 4 5 5 4" xfId="13502"/>
    <cellStyle name="Note 2 4 5 5 5" xfId="13503"/>
    <cellStyle name="Note 2 4 5 5 6" xfId="38016"/>
    <cellStyle name="Note 2 4 5 5 7" xfId="45079"/>
    <cellStyle name="Note 2 4 5 5 8" xfId="53203"/>
    <cellStyle name="Note 2 4 5 6" xfId="3640"/>
    <cellStyle name="Note 2 4 5 6 2" xfId="13504"/>
    <cellStyle name="Note 2 4 5 6 3" xfId="13505"/>
    <cellStyle name="Note 2 4 5 6 4" xfId="13506"/>
    <cellStyle name="Note 2 4 5 6 5" xfId="13507"/>
    <cellStyle name="Note 2 4 5 6 6" xfId="38634"/>
    <cellStyle name="Note 2 4 5 6 7" xfId="45080"/>
    <cellStyle name="Note 2 4 5 6 8" xfId="53204"/>
    <cellStyle name="Note 2 4 5 7" xfId="13508"/>
    <cellStyle name="Note 2 4 5 7 2" xfId="13509"/>
    <cellStyle name="Note 2 4 5 7 3" xfId="13510"/>
    <cellStyle name="Note 2 4 5 7 4" xfId="13511"/>
    <cellStyle name="Note 2 4 5 7 5" xfId="13512"/>
    <cellStyle name="Note 2 4 5 7 6" xfId="39254"/>
    <cellStyle name="Note 2 4 5 7 7" xfId="45081"/>
    <cellStyle name="Note 2 4 5 7 8" xfId="53205"/>
    <cellStyle name="Note 2 4 5 8" xfId="13513"/>
    <cellStyle name="Note 2 4 5 8 2" xfId="13514"/>
    <cellStyle name="Note 2 4 5 8 3" xfId="13515"/>
    <cellStyle name="Note 2 4 5 8 4" xfId="13516"/>
    <cellStyle name="Note 2 4 5 8 5" xfId="13517"/>
    <cellStyle name="Note 2 4 5 8 6" xfId="39870"/>
    <cellStyle name="Note 2 4 5 8 7" xfId="45082"/>
    <cellStyle name="Note 2 4 5 8 8" xfId="53206"/>
    <cellStyle name="Note 2 4 5 9" xfId="13518"/>
    <cellStyle name="Note 2 4 5 9 2" xfId="13519"/>
    <cellStyle name="Note 2 4 5 9 3" xfId="13520"/>
    <cellStyle name="Note 2 4 5 9 4" xfId="13521"/>
    <cellStyle name="Note 2 4 5 9 5" xfId="13522"/>
    <cellStyle name="Note 2 4 5 9 6" xfId="40485"/>
    <cellStyle name="Note 2 4 5 9 7" xfId="45083"/>
    <cellStyle name="Note 2 4 5 9 8" xfId="53207"/>
    <cellStyle name="Note 2 4 6" xfId="2210"/>
    <cellStyle name="Note 2 4 6 10" xfId="34922"/>
    <cellStyle name="Note 2 4 6 10 2" xfId="45085"/>
    <cellStyle name="Note 2 4 6 10 3" xfId="53209"/>
    <cellStyle name="Note 2 4 6 11" xfId="40997"/>
    <cellStyle name="Note 2 4 6 12" xfId="45084"/>
    <cellStyle name="Note 2 4 6 13" xfId="53208"/>
    <cellStyle name="Note 2 4 6 2" xfId="2211"/>
    <cellStyle name="Note 2 4 6 2 2" xfId="36074"/>
    <cellStyle name="Note 2 4 6 2 3" xfId="45086"/>
    <cellStyle name="Note 2 4 6 2 4" xfId="53210"/>
    <cellStyle name="Note 2 4 6 3" xfId="2212"/>
    <cellStyle name="Note 2 4 6 3 2" xfId="36573"/>
    <cellStyle name="Note 2 4 6 3 3" xfId="45087"/>
    <cellStyle name="Note 2 4 6 3 4" xfId="53211"/>
    <cellStyle name="Note 2 4 6 4" xfId="13523"/>
    <cellStyle name="Note 2 4 6 4 2" xfId="37189"/>
    <cellStyle name="Note 2 4 6 4 3" xfId="45088"/>
    <cellStyle name="Note 2 4 6 4 4" xfId="53212"/>
    <cellStyle name="Note 2 4 6 5" xfId="13524"/>
    <cellStyle name="Note 2 4 6 5 2" xfId="37805"/>
    <cellStyle name="Note 2 4 6 5 3" xfId="45089"/>
    <cellStyle name="Note 2 4 6 5 4" xfId="53213"/>
    <cellStyle name="Note 2 4 6 6" xfId="38420"/>
    <cellStyle name="Note 2 4 6 6 2" xfId="45090"/>
    <cellStyle name="Note 2 4 6 6 3" xfId="53214"/>
    <cellStyle name="Note 2 4 6 7" xfId="39040"/>
    <cellStyle name="Note 2 4 6 7 2" xfId="45091"/>
    <cellStyle name="Note 2 4 6 7 3" xfId="53215"/>
    <cellStyle name="Note 2 4 6 8" xfId="39656"/>
    <cellStyle name="Note 2 4 6 8 2" xfId="45092"/>
    <cellStyle name="Note 2 4 6 8 3" xfId="53216"/>
    <cellStyle name="Note 2 4 6 9" xfId="40271"/>
    <cellStyle name="Note 2 4 6 9 2" xfId="45093"/>
    <cellStyle name="Note 2 4 6 9 3" xfId="53217"/>
    <cellStyle name="Note 2 4 7" xfId="2213"/>
    <cellStyle name="Note 2 4 7 10" xfId="45094"/>
    <cellStyle name="Note 2 4 7 11" xfId="53218"/>
    <cellStyle name="Note 2 4 7 2" xfId="2214"/>
    <cellStyle name="Note 2 4 7 2 2" xfId="45095"/>
    <cellStyle name="Note 2 4 7 2 3" xfId="53219"/>
    <cellStyle name="Note 2 4 7 3" xfId="13525"/>
    <cellStyle name="Note 2 4 7 3 2" xfId="45096"/>
    <cellStyle name="Note 2 4 7 3 3" xfId="53220"/>
    <cellStyle name="Note 2 4 7 4" xfId="13526"/>
    <cellStyle name="Note 2 4 7 4 2" xfId="45097"/>
    <cellStyle name="Note 2 4 7 4 3" xfId="53221"/>
    <cellStyle name="Note 2 4 7 5" xfId="13527"/>
    <cellStyle name="Note 2 4 7 5 2" xfId="45098"/>
    <cellStyle name="Note 2 4 7 5 3" xfId="53222"/>
    <cellStyle name="Note 2 4 7 6" xfId="35391"/>
    <cellStyle name="Note 2 4 7 6 2" xfId="45099"/>
    <cellStyle name="Note 2 4 7 6 3" xfId="53223"/>
    <cellStyle name="Note 2 4 7 7" xfId="45100"/>
    <cellStyle name="Note 2 4 7 7 2" xfId="53224"/>
    <cellStyle name="Note 2 4 7 8" xfId="45101"/>
    <cellStyle name="Note 2 4 7 8 2" xfId="53225"/>
    <cellStyle name="Note 2 4 7 9" xfId="45102"/>
    <cellStyle name="Note 2 4 7 9 2" xfId="53226"/>
    <cellStyle name="Note 2 4 8" xfId="1239"/>
    <cellStyle name="Note 2 4 8 2" xfId="13528"/>
    <cellStyle name="Note 2 4 8 3" xfId="13529"/>
    <cellStyle name="Note 2 4 8 4" xfId="13530"/>
    <cellStyle name="Note 2 4 8 5" xfId="13531"/>
    <cellStyle name="Note 2 4 8 6" xfId="35922"/>
    <cellStyle name="Note 2 4 8 7" xfId="45103"/>
    <cellStyle name="Note 2 4 8 8" xfId="53227"/>
    <cellStyle name="Note 2 4 9" xfId="3307"/>
    <cellStyle name="Note 2 4 9 2" xfId="13532"/>
    <cellStyle name="Note 2 4 9 3" xfId="13533"/>
    <cellStyle name="Note 2 4 9 4" xfId="13534"/>
    <cellStyle name="Note 2 4 9 5" xfId="13535"/>
    <cellStyle name="Note 2 4 9 6" xfId="35730"/>
    <cellStyle name="Note 2 4 9 7" xfId="45104"/>
    <cellStyle name="Note 2 4 9 8" xfId="53228"/>
    <cellStyle name="Note 2 5" xfId="251"/>
    <cellStyle name="Note 2 5 10" xfId="13536"/>
    <cellStyle name="Note 2 5 10 2" xfId="13537"/>
    <cellStyle name="Note 2 5 10 3" xfId="13538"/>
    <cellStyle name="Note 2 5 10 4" xfId="13539"/>
    <cellStyle name="Note 2 5 10 5" xfId="13540"/>
    <cellStyle name="Note 2 5 10 6" xfId="36044"/>
    <cellStyle name="Note 2 5 10 7" xfId="45105"/>
    <cellStyle name="Note 2 5 10 8" xfId="53229"/>
    <cellStyle name="Note 2 5 11" xfId="13541"/>
    <cellStyle name="Note 2 5 11 2" xfId="13542"/>
    <cellStyle name="Note 2 5 11 3" xfId="13543"/>
    <cellStyle name="Note 2 5 11 4" xfId="13544"/>
    <cellStyle name="Note 2 5 11 5" xfId="13545"/>
    <cellStyle name="Note 2 5 11 6" xfId="35850"/>
    <cellStyle name="Note 2 5 11 7" xfId="45106"/>
    <cellStyle name="Note 2 5 11 8" xfId="53230"/>
    <cellStyle name="Note 2 5 12" xfId="13546"/>
    <cellStyle name="Note 2 5 12 2" xfId="13547"/>
    <cellStyle name="Note 2 5 12 3" xfId="13548"/>
    <cellStyle name="Note 2 5 12 4" xfId="13549"/>
    <cellStyle name="Note 2 5 12 5" xfId="13550"/>
    <cellStyle name="Note 2 5 12 6" xfId="35892"/>
    <cellStyle name="Note 2 5 12 7" xfId="45107"/>
    <cellStyle name="Note 2 5 12 8" xfId="53231"/>
    <cellStyle name="Note 2 5 13" xfId="13551"/>
    <cellStyle name="Note 2 5 13 2" xfId="13552"/>
    <cellStyle name="Note 2 5 13 3" xfId="13553"/>
    <cellStyle name="Note 2 5 13 4" xfId="13554"/>
    <cellStyle name="Note 2 5 13 5" xfId="13555"/>
    <cellStyle name="Note 2 5 13 6" xfId="36511"/>
    <cellStyle name="Note 2 5 13 7" xfId="45108"/>
    <cellStyle name="Note 2 5 13 8" xfId="53232"/>
    <cellStyle name="Note 2 5 14" xfId="13556"/>
    <cellStyle name="Note 2 5 14 2" xfId="13557"/>
    <cellStyle name="Note 2 5 14 3" xfId="13558"/>
    <cellStyle name="Note 2 5 14 4" xfId="13559"/>
    <cellStyle name="Note 2 5 14 5" xfId="13560"/>
    <cellStyle name="Note 2 5 14 6" xfId="35893"/>
    <cellStyle name="Note 2 5 14 7" xfId="45109"/>
    <cellStyle name="Note 2 5 14 8" xfId="53233"/>
    <cellStyle name="Note 2 5 15" xfId="13561"/>
    <cellStyle name="Note 2 5 15 2" xfId="13562"/>
    <cellStyle name="Note 2 5 15 3" xfId="13563"/>
    <cellStyle name="Note 2 5 15 4" xfId="13564"/>
    <cellStyle name="Note 2 5 15 5" xfId="13565"/>
    <cellStyle name="Note 2 5 15 6" xfId="35731"/>
    <cellStyle name="Note 2 5 15 7" xfId="45110"/>
    <cellStyle name="Note 2 5 15 8" xfId="53234"/>
    <cellStyle name="Note 2 5 16" xfId="13566"/>
    <cellStyle name="Note 2 5 16 2" xfId="13567"/>
    <cellStyle name="Note 2 5 16 3" xfId="13568"/>
    <cellStyle name="Note 2 5 16 4" xfId="13569"/>
    <cellStyle name="Note 2 5 16 5" xfId="13570"/>
    <cellStyle name="Note 2 5 16 6" xfId="45111"/>
    <cellStyle name="Note 2 5 16 7" xfId="53235"/>
    <cellStyle name="Note 2 5 17" xfId="13571"/>
    <cellStyle name="Note 2 5 17 2" xfId="13572"/>
    <cellStyle name="Note 2 5 17 3" xfId="13573"/>
    <cellStyle name="Note 2 5 17 4" xfId="13574"/>
    <cellStyle name="Note 2 5 17 5" xfId="13575"/>
    <cellStyle name="Note 2 5 18" xfId="13576"/>
    <cellStyle name="Note 2 5 19" xfId="699"/>
    <cellStyle name="Note 2 5 2" xfId="285"/>
    <cellStyle name="Note 2 5 2 10" xfId="13577"/>
    <cellStyle name="Note 2 5 2 10 2" xfId="13578"/>
    <cellStyle name="Note 2 5 2 10 3" xfId="13579"/>
    <cellStyle name="Note 2 5 2 10 4" xfId="13580"/>
    <cellStyle name="Note 2 5 2 10 5" xfId="13581"/>
    <cellStyle name="Note 2 5 2 10 6" xfId="37613"/>
    <cellStyle name="Note 2 5 2 10 7" xfId="45112"/>
    <cellStyle name="Note 2 5 2 10 8" xfId="53236"/>
    <cellStyle name="Note 2 5 2 11" xfId="13582"/>
    <cellStyle name="Note 2 5 2 11 2" xfId="13583"/>
    <cellStyle name="Note 2 5 2 11 3" xfId="13584"/>
    <cellStyle name="Note 2 5 2 11 4" xfId="13585"/>
    <cellStyle name="Note 2 5 2 11 5" xfId="13586"/>
    <cellStyle name="Note 2 5 2 11 6" xfId="38230"/>
    <cellStyle name="Note 2 5 2 11 7" xfId="45113"/>
    <cellStyle name="Note 2 5 2 11 8" xfId="53237"/>
    <cellStyle name="Note 2 5 2 12" xfId="13587"/>
    <cellStyle name="Note 2 5 2 12 2" xfId="13588"/>
    <cellStyle name="Note 2 5 2 12 3" xfId="13589"/>
    <cellStyle name="Note 2 5 2 12 4" xfId="13590"/>
    <cellStyle name="Note 2 5 2 12 5" xfId="13591"/>
    <cellStyle name="Note 2 5 2 12 6" xfId="38852"/>
    <cellStyle name="Note 2 5 2 12 7" xfId="45114"/>
    <cellStyle name="Note 2 5 2 12 8" xfId="53238"/>
    <cellStyle name="Note 2 5 2 13" xfId="13592"/>
    <cellStyle name="Note 2 5 2 13 2" xfId="13593"/>
    <cellStyle name="Note 2 5 2 13 3" xfId="13594"/>
    <cellStyle name="Note 2 5 2 13 4" xfId="13595"/>
    <cellStyle name="Note 2 5 2 13 5" xfId="13596"/>
    <cellStyle name="Note 2 5 2 13 6" xfId="39472"/>
    <cellStyle name="Note 2 5 2 13 7" xfId="45115"/>
    <cellStyle name="Note 2 5 2 13 8" xfId="53239"/>
    <cellStyle name="Note 2 5 2 14" xfId="13597"/>
    <cellStyle name="Note 2 5 2 14 2" xfId="13598"/>
    <cellStyle name="Note 2 5 2 14 3" xfId="13599"/>
    <cellStyle name="Note 2 5 2 14 4" xfId="13600"/>
    <cellStyle name="Note 2 5 2 14 5" xfId="13601"/>
    <cellStyle name="Note 2 5 2 14 6" xfId="40090"/>
    <cellStyle name="Note 2 5 2 14 7" xfId="45116"/>
    <cellStyle name="Note 2 5 2 14 8" xfId="53240"/>
    <cellStyle name="Note 2 5 2 15" xfId="13602"/>
    <cellStyle name="Note 2 5 2 15 2" xfId="13603"/>
    <cellStyle name="Note 2 5 2 15 3" xfId="13604"/>
    <cellStyle name="Note 2 5 2 15 4" xfId="13605"/>
    <cellStyle name="Note 2 5 2 15 5" xfId="13606"/>
    <cellStyle name="Note 2 5 2 15 6" xfId="45117"/>
    <cellStyle name="Note 2 5 2 15 7" xfId="53241"/>
    <cellStyle name="Note 2 5 2 16" xfId="13607"/>
    <cellStyle name="Note 2 5 2 16 2" xfId="13608"/>
    <cellStyle name="Note 2 5 2 16 3" xfId="13609"/>
    <cellStyle name="Note 2 5 2 16 4" xfId="13610"/>
    <cellStyle name="Note 2 5 2 16 5" xfId="13611"/>
    <cellStyle name="Note 2 5 2 17" xfId="13612"/>
    <cellStyle name="Note 2 5 2 18" xfId="730"/>
    <cellStyle name="Note 2 5 2 19" xfId="34949"/>
    <cellStyle name="Note 2 5 2 2" xfId="364"/>
    <cellStyle name="Note 2 5 2 2 10" xfId="13613"/>
    <cellStyle name="Note 2 5 2 2 10 2" xfId="13614"/>
    <cellStyle name="Note 2 5 2 2 10 3" xfId="13615"/>
    <cellStyle name="Note 2 5 2 2 10 4" xfId="13616"/>
    <cellStyle name="Note 2 5 2 2 10 5" xfId="13617"/>
    <cellStyle name="Note 2 5 2 2 10 6" xfId="39542"/>
    <cellStyle name="Note 2 5 2 2 10 7" xfId="45118"/>
    <cellStyle name="Note 2 5 2 2 10 8" xfId="53242"/>
    <cellStyle name="Note 2 5 2 2 11" xfId="13618"/>
    <cellStyle name="Note 2 5 2 2 11 2" xfId="13619"/>
    <cellStyle name="Note 2 5 2 2 11 3" xfId="13620"/>
    <cellStyle name="Note 2 5 2 2 11 4" xfId="13621"/>
    <cellStyle name="Note 2 5 2 2 11 5" xfId="13622"/>
    <cellStyle name="Note 2 5 2 2 11 6" xfId="40158"/>
    <cellStyle name="Note 2 5 2 2 11 7" xfId="45119"/>
    <cellStyle name="Note 2 5 2 2 11 8" xfId="53243"/>
    <cellStyle name="Note 2 5 2 2 12" xfId="13623"/>
    <cellStyle name="Note 2 5 2 2 12 2" xfId="13624"/>
    <cellStyle name="Note 2 5 2 2 12 3" xfId="13625"/>
    <cellStyle name="Note 2 5 2 2 12 4" xfId="13626"/>
    <cellStyle name="Note 2 5 2 2 12 5" xfId="13627"/>
    <cellStyle name="Note 2 5 2 2 12 6" xfId="45120"/>
    <cellStyle name="Note 2 5 2 2 12 7" xfId="53244"/>
    <cellStyle name="Note 2 5 2 2 13" xfId="13628"/>
    <cellStyle name="Note 2 5 2 2 13 2" xfId="13629"/>
    <cellStyle name="Note 2 5 2 2 13 3" xfId="13630"/>
    <cellStyle name="Note 2 5 2 2 13 4" xfId="13631"/>
    <cellStyle name="Note 2 5 2 2 13 5" xfId="13632"/>
    <cellStyle name="Note 2 5 2 2 13 6" xfId="45121"/>
    <cellStyle name="Note 2 5 2 2 13 7" xfId="53245"/>
    <cellStyle name="Note 2 5 2 2 14" xfId="13633"/>
    <cellStyle name="Note 2 5 2 2 14 2" xfId="13634"/>
    <cellStyle name="Note 2 5 2 2 14 3" xfId="13635"/>
    <cellStyle name="Note 2 5 2 2 14 4" xfId="13636"/>
    <cellStyle name="Note 2 5 2 2 14 5" xfId="13637"/>
    <cellStyle name="Note 2 5 2 2 15" xfId="13638"/>
    <cellStyle name="Note 2 5 2 2 15 2" xfId="13639"/>
    <cellStyle name="Note 2 5 2 2 15 3" xfId="13640"/>
    <cellStyle name="Note 2 5 2 2 15 4" xfId="13641"/>
    <cellStyle name="Note 2 5 2 2 15 5" xfId="13642"/>
    <cellStyle name="Note 2 5 2 2 16" xfId="13643"/>
    <cellStyle name="Note 2 5 2 2 16 2" xfId="13644"/>
    <cellStyle name="Note 2 5 2 2 16 3" xfId="13645"/>
    <cellStyle name="Note 2 5 2 2 16 4" xfId="13646"/>
    <cellStyle name="Note 2 5 2 2 16 5" xfId="13647"/>
    <cellStyle name="Note 2 5 2 2 17" xfId="13648"/>
    <cellStyle name="Note 2 5 2 2 17 2" xfId="13649"/>
    <cellStyle name="Note 2 5 2 2 17 3" xfId="13650"/>
    <cellStyle name="Note 2 5 2 2 17 4" xfId="13651"/>
    <cellStyle name="Note 2 5 2 2 17 5" xfId="13652"/>
    <cellStyle name="Note 2 5 2 2 18" xfId="13653"/>
    <cellStyle name="Note 2 5 2 2 19" xfId="800"/>
    <cellStyle name="Note 2 5 2 2 2" xfId="583"/>
    <cellStyle name="Note 2 5 2 2 2 10" xfId="13654"/>
    <cellStyle name="Note 2 5 2 2 2 10 2" xfId="13655"/>
    <cellStyle name="Note 2 5 2 2 2 10 3" xfId="13656"/>
    <cellStyle name="Note 2 5 2 2 2 10 4" xfId="13657"/>
    <cellStyle name="Note 2 5 2 2 2 10 5" xfId="13658"/>
    <cellStyle name="Note 2 5 2 2 2 10 6" xfId="45122"/>
    <cellStyle name="Note 2 5 2 2 2 10 7" xfId="53246"/>
    <cellStyle name="Note 2 5 2 2 2 11" xfId="13659"/>
    <cellStyle name="Note 2 5 2 2 2 11 2" xfId="13660"/>
    <cellStyle name="Note 2 5 2 2 2 11 3" xfId="13661"/>
    <cellStyle name="Note 2 5 2 2 2 11 4" xfId="13662"/>
    <cellStyle name="Note 2 5 2 2 2 11 5" xfId="13663"/>
    <cellStyle name="Note 2 5 2 2 2 12" xfId="13664"/>
    <cellStyle name="Note 2 5 2 2 2 12 2" xfId="13665"/>
    <cellStyle name="Note 2 5 2 2 2 12 3" xfId="13666"/>
    <cellStyle name="Note 2 5 2 2 2 12 4" xfId="13667"/>
    <cellStyle name="Note 2 5 2 2 2 12 5" xfId="13668"/>
    <cellStyle name="Note 2 5 2 2 2 13" xfId="13669"/>
    <cellStyle name="Note 2 5 2 2 2 13 2" xfId="13670"/>
    <cellStyle name="Note 2 5 2 2 2 13 3" xfId="13671"/>
    <cellStyle name="Note 2 5 2 2 2 13 4" xfId="13672"/>
    <cellStyle name="Note 2 5 2 2 2 13 5" xfId="13673"/>
    <cellStyle name="Note 2 5 2 2 2 14" xfId="13674"/>
    <cellStyle name="Note 2 5 2 2 2 14 2" xfId="13675"/>
    <cellStyle name="Note 2 5 2 2 2 14 3" xfId="13676"/>
    <cellStyle name="Note 2 5 2 2 2 14 4" xfId="13677"/>
    <cellStyle name="Note 2 5 2 2 2 14 5" xfId="13678"/>
    <cellStyle name="Note 2 5 2 2 2 15" xfId="13679"/>
    <cellStyle name="Note 2 5 2 2 2 15 2" xfId="13680"/>
    <cellStyle name="Note 2 5 2 2 2 15 3" xfId="13681"/>
    <cellStyle name="Note 2 5 2 2 2 15 4" xfId="13682"/>
    <cellStyle name="Note 2 5 2 2 2 15 5" xfId="13683"/>
    <cellStyle name="Note 2 5 2 2 2 16" xfId="13684"/>
    <cellStyle name="Note 2 5 2 2 2 16 2" xfId="13685"/>
    <cellStyle name="Note 2 5 2 2 2 16 3" xfId="13686"/>
    <cellStyle name="Note 2 5 2 2 2 16 4" xfId="13687"/>
    <cellStyle name="Note 2 5 2 2 2 16 5" xfId="13688"/>
    <cellStyle name="Note 2 5 2 2 2 17" xfId="13689"/>
    <cellStyle name="Note 2 5 2 2 2 17 2" xfId="13690"/>
    <cellStyle name="Note 2 5 2 2 2 17 3" xfId="13691"/>
    <cellStyle name="Note 2 5 2 2 2 17 4" xfId="13692"/>
    <cellStyle name="Note 2 5 2 2 2 17 5" xfId="13693"/>
    <cellStyle name="Note 2 5 2 2 2 18" xfId="13694"/>
    <cellStyle name="Note 2 5 2 2 2 19" xfId="1012"/>
    <cellStyle name="Note 2 5 2 2 2 2" xfId="2215"/>
    <cellStyle name="Note 2 5 2 2 2 2 2" xfId="13695"/>
    <cellStyle name="Note 2 5 2 2 2 2 3" xfId="13696"/>
    <cellStyle name="Note 2 5 2 2 2 2 4" xfId="13697"/>
    <cellStyle name="Note 2 5 2 2 2 2 5" xfId="13698"/>
    <cellStyle name="Note 2 5 2 2 2 2 6" xfId="36387"/>
    <cellStyle name="Note 2 5 2 2 2 2 7" xfId="45123"/>
    <cellStyle name="Note 2 5 2 2 2 2 8" xfId="53247"/>
    <cellStyle name="Note 2 5 2 2 2 20" xfId="35092"/>
    <cellStyle name="Note 2 5 2 2 2 21" xfId="41311"/>
    <cellStyle name="Note 2 5 2 2 2 3" xfId="2216"/>
    <cellStyle name="Note 2 5 2 2 2 3 2" xfId="13699"/>
    <cellStyle name="Note 2 5 2 2 2 3 3" xfId="13700"/>
    <cellStyle name="Note 2 5 2 2 2 3 4" xfId="13701"/>
    <cellStyle name="Note 2 5 2 2 2 3 5" xfId="13702"/>
    <cellStyle name="Note 2 5 2 2 2 3 6" xfId="36884"/>
    <cellStyle name="Note 2 5 2 2 2 3 7" xfId="45124"/>
    <cellStyle name="Note 2 5 2 2 2 3 8" xfId="53248"/>
    <cellStyle name="Note 2 5 2 2 2 4" xfId="1254"/>
    <cellStyle name="Note 2 5 2 2 2 4 2" xfId="13703"/>
    <cellStyle name="Note 2 5 2 2 2 4 3" xfId="13704"/>
    <cellStyle name="Note 2 5 2 2 2 4 4" xfId="13705"/>
    <cellStyle name="Note 2 5 2 2 2 4 5" xfId="13706"/>
    <cellStyle name="Note 2 5 2 2 2 4 6" xfId="37500"/>
    <cellStyle name="Note 2 5 2 2 2 4 7" xfId="45125"/>
    <cellStyle name="Note 2 5 2 2 2 4 8" xfId="53249"/>
    <cellStyle name="Note 2 5 2 2 2 5" xfId="3322"/>
    <cellStyle name="Note 2 5 2 2 2 5 2" xfId="13707"/>
    <cellStyle name="Note 2 5 2 2 2 5 3" xfId="13708"/>
    <cellStyle name="Note 2 5 2 2 2 5 4" xfId="13709"/>
    <cellStyle name="Note 2 5 2 2 2 5 5" xfId="13710"/>
    <cellStyle name="Note 2 5 2 2 2 5 6" xfId="38116"/>
    <cellStyle name="Note 2 5 2 2 2 5 7" xfId="45126"/>
    <cellStyle name="Note 2 5 2 2 2 5 8" xfId="53250"/>
    <cellStyle name="Note 2 5 2 2 2 6" xfId="3644"/>
    <cellStyle name="Note 2 5 2 2 2 6 2" xfId="13711"/>
    <cellStyle name="Note 2 5 2 2 2 6 3" xfId="13712"/>
    <cellStyle name="Note 2 5 2 2 2 6 4" xfId="13713"/>
    <cellStyle name="Note 2 5 2 2 2 6 5" xfId="13714"/>
    <cellStyle name="Note 2 5 2 2 2 6 6" xfId="38734"/>
    <cellStyle name="Note 2 5 2 2 2 6 7" xfId="45127"/>
    <cellStyle name="Note 2 5 2 2 2 6 8" xfId="53251"/>
    <cellStyle name="Note 2 5 2 2 2 7" xfId="13715"/>
    <cellStyle name="Note 2 5 2 2 2 7 2" xfId="13716"/>
    <cellStyle name="Note 2 5 2 2 2 7 3" xfId="13717"/>
    <cellStyle name="Note 2 5 2 2 2 7 4" xfId="13718"/>
    <cellStyle name="Note 2 5 2 2 2 7 5" xfId="13719"/>
    <cellStyle name="Note 2 5 2 2 2 7 6" xfId="39354"/>
    <cellStyle name="Note 2 5 2 2 2 7 7" xfId="45128"/>
    <cellStyle name="Note 2 5 2 2 2 7 8" xfId="53252"/>
    <cellStyle name="Note 2 5 2 2 2 8" xfId="13720"/>
    <cellStyle name="Note 2 5 2 2 2 8 2" xfId="13721"/>
    <cellStyle name="Note 2 5 2 2 2 8 3" xfId="13722"/>
    <cellStyle name="Note 2 5 2 2 2 8 4" xfId="13723"/>
    <cellStyle name="Note 2 5 2 2 2 8 5" xfId="13724"/>
    <cellStyle name="Note 2 5 2 2 2 8 6" xfId="39970"/>
    <cellStyle name="Note 2 5 2 2 2 8 7" xfId="45129"/>
    <cellStyle name="Note 2 5 2 2 2 8 8" xfId="53253"/>
    <cellStyle name="Note 2 5 2 2 2 9" xfId="13725"/>
    <cellStyle name="Note 2 5 2 2 2 9 2" xfId="13726"/>
    <cellStyle name="Note 2 5 2 2 2 9 3" xfId="13727"/>
    <cellStyle name="Note 2 5 2 2 2 9 4" xfId="13728"/>
    <cellStyle name="Note 2 5 2 2 2 9 5" xfId="13729"/>
    <cellStyle name="Note 2 5 2 2 2 9 6" xfId="40585"/>
    <cellStyle name="Note 2 5 2 2 2 9 7" xfId="45130"/>
    <cellStyle name="Note 2 5 2 2 2 9 8" xfId="53254"/>
    <cellStyle name="Note 2 5 2 2 20" xfId="34784"/>
    <cellStyle name="Note 2 5 2 2 21" xfId="40884"/>
    <cellStyle name="Note 2 5 2 2 22" xfId="41445"/>
    <cellStyle name="Note 2 5 2 2 23" xfId="50532"/>
    <cellStyle name="Note 2 5 2 2 3" xfId="2217"/>
    <cellStyle name="Note 2 5 2 2 3 10" xfId="34908"/>
    <cellStyle name="Note 2 5 2 2 3 10 2" xfId="45132"/>
    <cellStyle name="Note 2 5 2 2 3 10 3" xfId="53256"/>
    <cellStyle name="Note 2 5 2 2 3 11" xfId="41099"/>
    <cellStyle name="Note 2 5 2 2 3 12" xfId="45131"/>
    <cellStyle name="Note 2 5 2 2 3 13" xfId="53255"/>
    <cellStyle name="Note 2 5 2 2 3 2" xfId="2218"/>
    <cellStyle name="Note 2 5 2 2 3 2 2" xfId="36176"/>
    <cellStyle name="Note 2 5 2 2 3 2 3" xfId="45133"/>
    <cellStyle name="Note 2 5 2 2 3 2 4" xfId="53257"/>
    <cellStyle name="Note 2 5 2 2 3 3" xfId="13730"/>
    <cellStyle name="Note 2 5 2 2 3 3 2" xfId="36673"/>
    <cellStyle name="Note 2 5 2 2 3 3 3" xfId="45134"/>
    <cellStyle name="Note 2 5 2 2 3 3 4" xfId="53258"/>
    <cellStyle name="Note 2 5 2 2 3 4" xfId="13731"/>
    <cellStyle name="Note 2 5 2 2 3 4 2" xfId="37289"/>
    <cellStyle name="Note 2 5 2 2 3 4 3" xfId="45135"/>
    <cellStyle name="Note 2 5 2 2 3 4 4" xfId="53259"/>
    <cellStyle name="Note 2 5 2 2 3 5" xfId="13732"/>
    <cellStyle name="Note 2 5 2 2 3 5 2" xfId="37905"/>
    <cellStyle name="Note 2 5 2 2 3 5 3" xfId="45136"/>
    <cellStyle name="Note 2 5 2 2 3 5 4" xfId="53260"/>
    <cellStyle name="Note 2 5 2 2 3 6" xfId="38522"/>
    <cellStyle name="Note 2 5 2 2 3 6 2" xfId="45137"/>
    <cellStyle name="Note 2 5 2 2 3 6 3" xfId="53261"/>
    <cellStyle name="Note 2 5 2 2 3 7" xfId="39142"/>
    <cellStyle name="Note 2 5 2 2 3 7 2" xfId="45138"/>
    <cellStyle name="Note 2 5 2 2 3 7 3" xfId="53262"/>
    <cellStyle name="Note 2 5 2 2 3 8" xfId="39758"/>
    <cellStyle name="Note 2 5 2 2 3 8 2" xfId="45139"/>
    <cellStyle name="Note 2 5 2 2 3 8 3" xfId="53263"/>
    <cellStyle name="Note 2 5 2 2 3 9" xfId="40373"/>
    <cellStyle name="Note 2 5 2 2 3 9 2" xfId="45140"/>
    <cellStyle name="Note 2 5 2 2 3 9 3" xfId="53264"/>
    <cellStyle name="Note 2 5 2 2 4" xfId="2219"/>
    <cellStyle name="Note 2 5 2 2 4 10" xfId="45141"/>
    <cellStyle name="Note 2 5 2 2 4 11" xfId="53265"/>
    <cellStyle name="Note 2 5 2 2 4 2" xfId="13733"/>
    <cellStyle name="Note 2 5 2 2 4 2 2" xfId="45142"/>
    <cellStyle name="Note 2 5 2 2 4 2 3" xfId="53266"/>
    <cellStyle name="Note 2 5 2 2 4 3" xfId="13734"/>
    <cellStyle name="Note 2 5 2 2 4 3 2" xfId="45143"/>
    <cellStyle name="Note 2 5 2 2 4 3 3" xfId="53267"/>
    <cellStyle name="Note 2 5 2 2 4 4" xfId="13735"/>
    <cellStyle name="Note 2 5 2 2 4 4 2" xfId="45144"/>
    <cellStyle name="Note 2 5 2 2 4 4 3" xfId="53268"/>
    <cellStyle name="Note 2 5 2 2 4 5" xfId="13736"/>
    <cellStyle name="Note 2 5 2 2 4 5 2" xfId="45145"/>
    <cellStyle name="Note 2 5 2 2 4 5 3" xfId="53269"/>
    <cellStyle name="Note 2 5 2 2 4 6" xfId="35693"/>
    <cellStyle name="Note 2 5 2 2 4 6 2" xfId="45146"/>
    <cellStyle name="Note 2 5 2 2 4 6 3" xfId="53270"/>
    <cellStyle name="Note 2 5 2 2 4 7" xfId="45147"/>
    <cellStyle name="Note 2 5 2 2 4 7 2" xfId="53271"/>
    <cellStyle name="Note 2 5 2 2 4 8" xfId="45148"/>
    <cellStyle name="Note 2 5 2 2 4 8 2" xfId="53272"/>
    <cellStyle name="Note 2 5 2 2 4 9" xfId="45149"/>
    <cellStyle name="Note 2 5 2 2 4 9 2" xfId="53273"/>
    <cellStyle name="Note 2 5 2 2 5" xfId="1253"/>
    <cellStyle name="Note 2 5 2 2 5 2" xfId="13737"/>
    <cellStyle name="Note 2 5 2 2 5 3" xfId="13738"/>
    <cellStyle name="Note 2 5 2 2 5 4" xfId="13739"/>
    <cellStyle name="Note 2 5 2 2 5 5" xfId="13740"/>
    <cellStyle name="Note 2 5 2 2 5 6" xfId="35763"/>
    <cellStyle name="Note 2 5 2 2 5 7" xfId="45150"/>
    <cellStyle name="Note 2 5 2 2 5 8" xfId="53274"/>
    <cellStyle name="Note 2 5 2 2 6" xfId="3321"/>
    <cellStyle name="Note 2 5 2 2 6 2" xfId="13741"/>
    <cellStyle name="Note 2 5 2 2 6 3" xfId="13742"/>
    <cellStyle name="Note 2 5 2 2 6 4" xfId="13743"/>
    <cellStyle name="Note 2 5 2 2 6 5" xfId="13744"/>
    <cellStyle name="Note 2 5 2 2 6 6" xfId="37074"/>
    <cellStyle name="Note 2 5 2 2 6 7" xfId="45151"/>
    <cellStyle name="Note 2 5 2 2 6 8" xfId="53275"/>
    <cellStyle name="Note 2 5 2 2 7" xfId="3643"/>
    <cellStyle name="Note 2 5 2 2 7 2" xfId="13745"/>
    <cellStyle name="Note 2 5 2 2 7 3" xfId="13746"/>
    <cellStyle name="Note 2 5 2 2 7 4" xfId="13747"/>
    <cellStyle name="Note 2 5 2 2 7 5" xfId="13748"/>
    <cellStyle name="Note 2 5 2 2 7 6" xfId="37688"/>
    <cellStyle name="Note 2 5 2 2 7 7" xfId="45152"/>
    <cellStyle name="Note 2 5 2 2 7 8" xfId="53276"/>
    <cellStyle name="Note 2 5 2 2 8" xfId="13749"/>
    <cellStyle name="Note 2 5 2 2 8 2" xfId="13750"/>
    <cellStyle name="Note 2 5 2 2 8 3" xfId="13751"/>
    <cellStyle name="Note 2 5 2 2 8 4" xfId="13752"/>
    <cellStyle name="Note 2 5 2 2 8 5" xfId="13753"/>
    <cellStyle name="Note 2 5 2 2 8 6" xfId="38303"/>
    <cellStyle name="Note 2 5 2 2 8 7" xfId="45153"/>
    <cellStyle name="Note 2 5 2 2 8 8" xfId="53277"/>
    <cellStyle name="Note 2 5 2 2 9" xfId="13754"/>
    <cellStyle name="Note 2 5 2 2 9 2" xfId="13755"/>
    <cellStyle name="Note 2 5 2 2 9 3" xfId="13756"/>
    <cellStyle name="Note 2 5 2 2 9 4" xfId="13757"/>
    <cellStyle name="Note 2 5 2 2 9 5" xfId="13758"/>
    <cellStyle name="Note 2 5 2 2 9 6" xfId="38923"/>
    <cellStyle name="Note 2 5 2 2 9 7" xfId="45154"/>
    <cellStyle name="Note 2 5 2 2 9 8" xfId="53278"/>
    <cellStyle name="Note 2 5 2 20" xfId="40814"/>
    <cellStyle name="Note 2 5 2 3" xfId="365"/>
    <cellStyle name="Note 2 5 2 3 10" xfId="13759"/>
    <cellStyle name="Note 2 5 2 3 10 2" xfId="13760"/>
    <cellStyle name="Note 2 5 2 3 10 3" xfId="13761"/>
    <cellStyle name="Note 2 5 2 3 10 4" xfId="13762"/>
    <cellStyle name="Note 2 5 2 3 10 5" xfId="13763"/>
    <cellStyle name="Note 2 5 2 3 10 6" xfId="40159"/>
    <cellStyle name="Note 2 5 2 3 10 7" xfId="45155"/>
    <cellStyle name="Note 2 5 2 3 10 8" xfId="53279"/>
    <cellStyle name="Note 2 5 2 3 11" xfId="13764"/>
    <cellStyle name="Note 2 5 2 3 11 2" xfId="13765"/>
    <cellStyle name="Note 2 5 2 3 11 3" xfId="13766"/>
    <cellStyle name="Note 2 5 2 3 11 4" xfId="13767"/>
    <cellStyle name="Note 2 5 2 3 11 5" xfId="13768"/>
    <cellStyle name="Note 2 5 2 3 11 6" xfId="45156"/>
    <cellStyle name="Note 2 5 2 3 11 7" xfId="53280"/>
    <cellStyle name="Note 2 5 2 3 12" xfId="13769"/>
    <cellStyle name="Note 2 5 2 3 12 2" xfId="13770"/>
    <cellStyle name="Note 2 5 2 3 12 3" xfId="13771"/>
    <cellStyle name="Note 2 5 2 3 12 4" xfId="13772"/>
    <cellStyle name="Note 2 5 2 3 12 5" xfId="13773"/>
    <cellStyle name="Note 2 5 2 3 12 6" xfId="45157"/>
    <cellStyle name="Note 2 5 2 3 12 7" xfId="53281"/>
    <cellStyle name="Note 2 5 2 3 13" xfId="13774"/>
    <cellStyle name="Note 2 5 2 3 13 2" xfId="13775"/>
    <cellStyle name="Note 2 5 2 3 13 3" xfId="13776"/>
    <cellStyle name="Note 2 5 2 3 13 4" xfId="13777"/>
    <cellStyle name="Note 2 5 2 3 13 5" xfId="13778"/>
    <cellStyle name="Note 2 5 2 3 13 6" xfId="45158"/>
    <cellStyle name="Note 2 5 2 3 13 7" xfId="53282"/>
    <cellStyle name="Note 2 5 2 3 14" xfId="13779"/>
    <cellStyle name="Note 2 5 2 3 14 2" xfId="13780"/>
    <cellStyle name="Note 2 5 2 3 14 3" xfId="13781"/>
    <cellStyle name="Note 2 5 2 3 14 4" xfId="13782"/>
    <cellStyle name="Note 2 5 2 3 14 5" xfId="13783"/>
    <cellStyle name="Note 2 5 2 3 15" xfId="13784"/>
    <cellStyle name="Note 2 5 2 3 15 2" xfId="13785"/>
    <cellStyle name="Note 2 5 2 3 15 3" xfId="13786"/>
    <cellStyle name="Note 2 5 2 3 15 4" xfId="13787"/>
    <cellStyle name="Note 2 5 2 3 15 5" xfId="13788"/>
    <cellStyle name="Note 2 5 2 3 16" xfId="13789"/>
    <cellStyle name="Note 2 5 2 3 16 2" xfId="13790"/>
    <cellStyle name="Note 2 5 2 3 16 3" xfId="13791"/>
    <cellStyle name="Note 2 5 2 3 16 4" xfId="13792"/>
    <cellStyle name="Note 2 5 2 3 16 5" xfId="13793"/>
    <cellStyle name="Note 2 5 2 3 17" xfId="13794"/>
    <cellStyle name="Note 2 5 2 3 17 2" xfId="13795"/>
    <cellStyle name="Note 2 5 2 3 17 3" xfId="13796"/>
    <cellStyle name="Note 2 5 2 3 17 4" xfId="13797"/>
    <cellStyle name="Note 2 5 2 3 17 5" xfId="13798"/>
    <cellStyle name="Note 2 5 2 3 18" xfId="13799"/>
    <cellStyle name="Note 2 5 2 3 19" xfId="801"/>
    <cellStyle name="Note 2 5 2 3 2" xfId="584"/>
    <cellStyle name="Note 2 5 2 3 2 10" xfId="13800"/>
    <cellStyle name="Note 2 5 2 3 2 10 2" xfId="13801"/>
    <cellStyle name="Note 2 5 2 3 2 10 3" xfId="13802"/>
    <cellStyle name="Note 2 5 2 3 2 10 4" xfId="13803"/>
    <cellStyle name="Note 2 5 2 3 2 10 5" xfId="13804"/>
    <cellStyle name="Note 2 5 2 3 2 10 6" xfId="45159"/>
    <cellStyle name="Note 2 5 2 3 2 10 7" xfId="53283"/>
    <cellStyle name="Note 2 5 2 3 2 11" xfId="13805"/>
    <cellStyle name="Note 2 5 2 3 2 11 2" xfId="13806"/>
    <cellStyle name="Note 2 5 2 3 2 11 3" xfId="13807"/>
    <cellStyle name="Note 2 5 2 3 2 11 4" xfId="13808"/>
    <cellStyle name="Note 2 5 2 3 2 11 5" xfId="13809"/>
    <cellStyle name="Note 2 5 2 3 2 12" xfId="13810"/>
    <cellStyle name="Note 2 5 2 3 2 12 2" xfId="13811"/>
    <cellStyle name="Note 2 5 2 3 2 12 3" xfId="13812"/>
    <cellStyle name="Note 2 5 2 3 2 12 4" xfId="13813"/>
    <cellStyle name="Note 2 5 2 3 2 12 5" xfId="13814"/>
    <cellStyle name="Note 2 5 2 3 2 13" xfId="13815"/>
    <cellStyle name="Note 2 5 2 3 2 13 2" xfId="13816"/>
    <cellStyle name="Note 2 5 2 3 2 13 3" xfId="13817"/>
    <cellStyle name="Note 2 5 2 3 2 13 4" xfId="13818"/>
    <cellStyle name="Note 2 5 2 3 2 13 5" xfId="13819"/>
    <cellStyle name="Note 2 5 2 3 2 14" xfId="13820"/>
    <cellStyle name="Note 2 5 2 3 2 14 2" xfId="13821"/>
    <cellStyle name="Note 2 5 2 3 2 14 3" xfId="13822"/>
    <cellStyle name="Note 2 5 2 3 2 14 4" xfId="13823"/>
    <cellStyle name="Note 2 5 2 3 2 14 5" xfId="13824"/>
    <cellStyle name="Note 2 5 2 3 2 15" xfId="13825"/>
    <cellStyle name="Note 2 5 2 3 2 15 2" xfId="13826"/>
    <cellStyle name="Note 2 5 2 3 2 15 3" xfId="13827"/>
    <cellStyle name="Note 2 5 2 3 2 15 4" xfId="13828"/>
    <cellStyle name="Note 2 5 2 3 2 15 5" xfId="13829"/>
    <cellStyle name="Note 2 5 2 3 2 16" xfId="13830"/>
    <cellStyle name="Note 2 5 2 3 2 16 2" xfId="13831"/>
    <cellStyle name="Note 2 5 2 3 2 16 3" xfId="13832"/>
    <cellStyle name="Note 2 5 2 3 2 16 4" xfId="13833"/>
    <cellStyle name="Note 2 5 2 3 2 16 5" xfId="13834"/>
    <cellStyle name="Note 2 5 2 3 2 17" xfId="13835"/>
    <cellStyle name="Note 2 5 2 3 2 17 2" xfId="13836"/>
    <cellStyle name="Note 2 5 2 3 2 17 3" xfId="13837"/>
    <cellStyle name="Note 2 5 2 3 2 17 4" xfId="13838"/>
    <cellStyle name="Note 2 5 2 3 2 17 5" xfId="13839"/>
    <cellStyle name="Note 2 5 2 3 2 18" xfId="13840"/>
    <cellStyle name="Note 2 5 2 3 2 19" xfId="1013"/>
    <cellStyle name="Note 2 5 2 3 2 2" xfId="2220"/>
    <cellStyle name="Note 2 5 2 3 2 2 2" xfId="13841"/>
    <cellStyle name="Note 2 5 2 3 2 2 3" xfId="13842"/>
    <cellStyle name="Note 2 5 2 3 2 2 4" xfId="13843"/>
    <cellStyle name="Note 2 5 2 3 2 2 5" xfId="13844"/>
    <cellStyle name="Note 2 5 2 3 2 2 6" xfId="36388"/>
    <cellStyle name="Note 2 5 2 3 2 2 7" xfId="45160"/>
    <cellStyle name="Note 2 5 2 3 2 2 8" xfId="53284"/>
    <cellStyle name="Note 2 5 2 3 2 20" xfId="35093"/>
    <cellStyle name="Note 2 5 2 3 2 21" xfId="41312"/>
    <cellStyle name="Note 2 5 2 3 2 3" xfId="2221"/>
    <cellStyle name="Note 2 5 2 3 2 3 2" xfId="13845"/>
    <cellStyle name="Note 2 5 2 3 2 3 3" xfId="13846"/>
    <cellStyle name="Note 2 5 2 3 2 3 4" xfId="13847"/>
    <cellStyle name="Note 2 5 2 3 2 3 5" xfId="13848"/>
    <cellStyle name="Note 2 5 2 3 2 3 6" xfId="36885"/>
    <cellStyle name="Note 2 5 2 3 2 3 7" xfId="45161"/>
    <cellStyle name="Note 2 5 2 3 2 3 8" xfId="53285"/>
    <cellStyle name="Note 2 5 2 3 2 4" xfId="1256"/>
    <cellStyle name="Note 2 5 2 3 2 4 2" xfId="13849"/>
    <cellStyle name="Note 2 5 2 3 2 4 3" xfId="13850"/>
    <cellStyle name="Note 2 5 2 3 2 4 4" xfId="13851"/>
    <cellStyle name="Note 2 5 2 3 2 4 5" xfId="13852"/>
    <cellStyle name="Note 2 5 2 3 2 4 6" xfId="37501"/>
    <cellStyle name="Note 2 5 2 3 2 4 7" xfId="45162"/>
    <cellStyle name="Note 2 5 2 3 2 4 8" xfId="53286"/>
    <cellStyle name="Note 2 5 2 3 2 5" xfId="3324"/>
    <cellStyle name="Note 2 5 2 3 2 5 2" xfId="13853"/>
    <cellStyle name="Note 2 5 2 3 2 5 3" xfId="13854"/>
    <cellStyle name="Note 2 5 2 3 2 5 4" xfId="13855"/>
    <cellStyle name="Note 2 5 2 3 2 5 5" xfId="13856"/>
    <cellStyle name="Note 2 5 2 3 2 5 6" xfId="38117"/>
    <cellStyle name="Note 2 5 2 3 2 5 7" xfId="45163"/>
    <cellStyle name="Note 2 5 2 3 2 5 8" xfId="53287"/>
    <cellStyle name="Note 2 5 2 3 2 6" xfId="3646"/>
    <cellStyle name="Note 2 5 2 3 2 6 2" xfId="13857"/>
    <cellStyle name="Note 2 5 2 3 2 6 3" xfId="13858"/>
    <cellStyle name="Note 2 5 2 3 2 6 4" xfId="13859"/>
    <cellStyle name="Note 2 5 2 3 2 6 5" xfId="13860"/>
    <cellStyle name="Note 2 5 2 3 2 6 6" xfId="38735"/>
    <cellStyle name="Note 2 5 2 3 2 6 7" xfId="45164"/>
    <cellStyle name="Note 2 5 2 3 2 6 8" xfId="53288"/>
    <cellStyle name="Note 2 5 2 3 2 7" xfId="13861"/>
    <cellStyle name="Note 2 5 2 3 2 7 2" xfId="13862"/>
    <cellStyle name="Note 2 5 2 3 2 7 3" xfId="13863"/>
    <cellStyle name="Note 2 5 2 3 2 7 4" xfId="13864"/>
    <cellStyle name="Note 2 5 2 3 2 7 5" xfId="13865"/>
    <cellStyle name="Note 2 5 2 3 2 7 6" xfId="39355"/>
    <cellStyle name="Note 2 5 2 3 2 7 7" xfId="45165"/>
    <cellStyle name="Note 2 5 2 3 2 7 8" xfId="53289"/>
    <cellStyle name="Note 2 5 2 3 2 8" xfId="13866"/>
    <cellStyle name="Note 2 5 2 3 2 8 2" xfId="13867"/>
    <cellStyle name="Note 2 5 2 3 2 8 3" xfId="13868"/>
    <cellStyle name="Note 2 5 2 3 2 8 4" xfId="13869"/>
    <cellStyle name="Note 2 5 2 3 2 8 5" xfId="13870"/>
    <cellStyle name="Note 2 5 2 3 2 8 6" xfId="39971"/>
    <cellStyle name="Note 2 5 2 3 2 8 7" xfId="45166"/>
    <cellStyle name="Note 2 5 2 3 2 8 8" xfId="53290"/>
    <cellStyle name="Note 2 5 2 3 2 9" xfId="13871"/>
    <cellStyle name="Note 2 5 2 3 2 9 2" xfId="13872"/>
    <cellStyle name="Note 2 5 2 3 2 9 3" xfId="13873"/>
    <cellStyle name="Note 2 5 2 3 2 9 4" xfId="13874"/>
    <cellStyle name="Note 2 5 2 3 2 9 5" xfId="13875"/>
    <cellStyle name="Note 2 5 2 3 2 9 6" xfId="40586"/>
    <cellStyle name="Note 2 5 2 3 2 9 7" xfId="45167"/>
    <cellStyle name="Note 2 5 2 3 2 9 8" xfId="53291"/>
    <cellStyle name="Note 2 5 2 3 20" xfId="34734"/>
    <cellStyle name="Note 2 5 2 3 21" xfId="40885"/>
    <cellStyle name="Note 2 5 2 3 22" xfId="41446"/>
    <cellStyle name="Note 2 5 2 3 23" xfId="50533"/>
    <cellStyle name="Note 2 5 2 3 3" xfId="2222"/>
    <cellStyle name="Note 2 5 2 3 3 10" xfId="34795"/>
    <cellStyle name="Note 2 5 2 3 3 10 2" xfId="45169"/>
    <cellStyle name="Note 2 5 2 3 3 10 3" xfId="53293"/>
    <cellStyle name="Note 2 5 2 3 3 11" xfId="41100"/>
    <cellStyle name="Note 2 5 2 3 3 12" xfId="45168"/>
    <cellStyle name="Note 2 5 2 3 3 13" xfId="53292"/>
    <cellStyle name="Note 2 5 2 3 3 2" xfId="2223"/>
    <cellStyle name="Note 2 5 2 3 3 2 2" xfId="36177"/>
    <cellStyle name="Note 2 5 2 3 3 2 3" xfId="45170"/>
    <cellStyle name="Note 2 5 2 3 3 2 4" xfId="53294"/>
    <cellStyle name="Note 2 5 2 3 3 3" xfId="13876"/>
    <cellStyle name="Note 2 5 2 3 3 3 2" xfId="36674"/>
    <cellStyle name="Note 2 5 2 3 3 3 3" xfId="45171"/>
    <cellStyle name="Note 2 5 2 3 3 3 4" xfId="53295"/>
    <cellStyle name="Note 2 5 2 3 3 4" xfId="13877"/>
    <cellStyle name="Note 2 5 2 3 3 4 2" xfId="37290"/>
    <cellStyle name="Note 2 5 2 3 3 4 3" xfId="45172"/>
    <cellStyle name="Note 2 5 2 3 3 4 4" xfId="53296"/>
    <cellStyle name="Note 2 5 2 3 3 5" xfId="13878"/>
    <cellStyle name="Note 2 5 2 3 3 5 2" xfId="37906"/>
    <cellStyle name="Note 2 5 2 3 3 5 3" xfId="45173"/>
    <cellStyle name="Note 2 5 2 3 3 5 4" xfId="53297"/>
    <cellStyle name="Note 2 5 2 3 3 6" xfId="38523"/>
    <cellStyle name="Note 2 5 2 3 3 6 2" xfId="45174"/>
    <cellStyle name="Note 2 5 2 3 3 6 3" xfId="53298"/>
    <cellStyle name="Note 2 5 2 3 3 7" xfId="39143"/>
    <cellStyle name="Note 2 5 2 3 3 7 2" xfId="45175"/>
    <cellStyle name="Note 2 5 2 3 3 7 3" xfId="53299"/>
    <cellStyle name="Note 2 5 2 3 3 8" xfId="39759"/>
    <cellStyle name="Note 2 5 2 3 3 8 2" xfId="45176"/>
    <cellStyle name="Note 2 5 2 3 3 8 3" xfId="53300"/>
    <cellStyle name="Note 2 5 2 3 3 9" xfId="40374"/>
    <cellStyle name="Note 2 5 2 3 3 9 2" xfId="45177"/>
    <cellStyle name="Note 2 5 2 3 3 9 3" xfId="53301"/>
    <cellStyle name="Note 2 5 2 3 4" xfId="2224"/>
    <cellStyle name="Note 2 5 2 3 4 10" xfId="45178"/>
    <cellStyle name="Note 2 5 2 3 4 11" xfId="53302"/>
    <cellStyle name="Note 2 5 2 3 4 2" xfId="13879"/>
    <cellStyle name="Note 2 5 2 3 4 2 2" xfId="45179"/>
    <cellStyle name="Note 2 5 2 3 4 2 3" xfId="53303"/>
    <cellStyle name="Note 2 5 2 3 4 3" xfId="13880"/>
    <cellStyle name="Note 2 5 2 3 4 3 2" xfId="45180"/>
    <cellStyle name="Note 2 5 2 3 4 3 3" xfId="53304"/>
    <cellStyle name="Note 2 5 2 3 4 4" xfId="13881"/>
    <cellStyle name="Note 2 5 2 3 4 4 2" xfId="45181"/>
    <cellStyle name="Note 2 5 2 3 4 4 3" xfId="53305"/>
    <cellStyle name="Note 2 5 2 3 4 5" xfId="13882"/>
    <cellStyle name="Note 2 5 2 3 4 5 2" xfId="45182"/>
    <cellStyle name="Note 2 5 2 3 4 5 3" xfId="53306"/>
    <cellStyle name="Note 2 5 2 3 4 6" xfId="35762"/>
    <cellStyle name="Note 2 5 2 3 4 6 2" xfId="45183"/>
    <cellStyle name="Note 2 5 2 3 4 6 3" xfId="53307"/>
    <cellStyle name="Note 2 5 2 3 4 7" xfId="45184"/>
    <cellStyle name="Note 2 5 2 3 4 7 2" xfId="53308"/>
    <cellStyle name="Note 2 5 2 3 4 8" xfId="45185"/>
    <cellStyle name="Note 2 5 2 3 4 8 2" xfId="53309"/>
    <cellStyle name="Note 2 5 2 3 4 9" xfId="45186"/>
    <cellStyle name="Note 2 5 2 3 4 9 2" xfId="53310"/>
    <cellStyle name="Note 2 5 2 3 5" xfId="1255"/>
    <cellStyle name="Note 2 5 2 3 5 2" xfId="13883"/>
    <cellStyle name="Note 2 5 2 3 5 3" xfId="13884"/>
    <cellStyle name="Note 2 5 2 3 5 4" xfId="13885"/>
    <cellStyle name="Note 2 5 2 3 5 5" xfId="13886"/>
    <cellStyle name="Note 2 5 2 3 5 6" xfId="37075"/>
    <cellStyle name="Note 2 5 2 3 5 7" xfId="45187"/>
    <cellStyle name="Note 2 5 2 3 5 8" xfId="53311"/>
    <cellStyle name="Note 2 5 2 3 6" xfId="3323"/>
    <cellStyle name="Note 2 5 2 3 6 2" xfId="13887"/>
    <cellStyle name="Note 2 5 2 3 6 3" xfId="13888"/>
    <cellStyle name="Note 2 5 2 3 6 4" xfId="13889"/>
    <cellStyle name="Note 2 5 2 3 6 5" xfId="13890"/>
    <cellStyle name="Note 2 5 2 3 6 6" xfId="37689"/>
    <cellStyle name="Note 2 5 2 3 6 7" xfId="45188"/>
    <cellStyle name="Note 2 5 2 3 6 8" xfId="53312"/>
    <cellStyle name="Note 2 5 2 3 7" xfId="3645"/>
    <cellStyle name="Note 2 5 2 3 7 2" xfId="13891"/>
    <cellStyle name="Note 2 5 2 3 7 3" xfId="13892"/>
    <cellStyle name="Note 2 5 2 3 7 4" xfId="13893"/>
    <cellStyle name="Note 2 5 2 3 7 5" xfId="13894"/>
    <cellStyle name="Note 2 5 2 3 7 6" xfId="38304"/>
    <cellStyle name="Note 2 5 2 3 7 7" xfId="45189"/>
    <cellStyle name="Note 2 5 2 3 7 8" xfId="53313"/>
    <cellStyle name="Note 2 5 2 3 8" xfId="13895"/>
    <cellStyle name="Note 2 5 2 3 8 2" xfId="13896"/>
    <cellStyle name="Note 2 5 2 3 8 3" xfId="13897"/>
    <cellStyle name="Note 2 5 2 3 8 4" xfId="13898"/>
    <cellStyle name="Note 2 5 2 3 8 5" xfId="13899"/>
    <cellStyle name="Note 2 5 2 3 8 6" xfId="38924"/>
    <cellStyle name="Note 2 5 2 3 8 7" xfId="45190"/>
    <cellStyle name="Note 2 5 2 3 8 8" xfId="53314"/>
    <cellStyle name="Note 2 5 2 3 9" xfId="13900"/>
    <cellStyle name="Note 2 5 2 3 9 2" xfId="13901"/>
    <cellStyle name="Note 2 5 2 3 9 3" xfId="13902"/>
    <cellStyle name="Note 2 5 2 3 9 4" xfId="13903"/>
    <cellStyle name="Note 2 5 2 3 9 5" xfId="13904"/>
    <cellStyle name="Note 2 5 2 3 9 6" xfId="39543"/>
    <cellStyle name="Note 2 5 2 3 9 7" xfId="45191"/>
    <cellStyle name="Note 2 5 2 3 9 8" xfId="53315"/>
    <cellStyle name="Note 2 5 2 4" xfId="515"/>
    <cellStyle name="Note 2 5 2 4 10" xfId="13905"/>
    <cellStyle name="Note 2 5 2 4 10 2" xfId="13906"/>
    <cellStyle name="Note 2 5 2 4 10 3" xfId="13907"/>
    <cellStyle name="Note 2 5 2 4 10 4" xfId="13908"/>
    <cellStyle name="Note 2 5 2 4 10 5" xfId="13909"/>
    <cellStyle name="Note 2 5 2 4 10 6" xfId="45192"/>
    <cellStyle name="Note 2 5 2 4 10 7" xfId="53316"/>
    <cellStyle name="Note 2 5 2 4 11" xfId="13910"/>
    <cellStyle name="Note 2 5 2 4 11 2" xfId="13911"/>
    <cellStyle name="Note 2 5 2 4 11 3" xfId="13912"/>
    <cellStyle name="Note 2 5 2 4 11 4" xfId="13913"/>
    <cellStyle name="Note 2 5 2 4 11 5" xfId="13914"/>
    <cellStyle name="Note 2 5 2 4 12" xfId="13915"/>
    <cellStyle name="Note 2 5 2 4 12 2" xfId="13916"/>
    <cellStyle name="Note 2 5 2 4 12 3" xfId="13917"/>
    <cellStyle name="Note 2 5 2 4 12 4" xfId="13918"/>
    <cellStyle name="Note 2 5 2 4 12 5" xfId="13919"/>
    <cellStyle name="Note 2 5 2 4 13" xfId="13920"/>
    <cellStyle name="Note 2 5 2 4 13 2" xfId="13921"/>
    <cellStyle name="Note 2 5 2 4 13 3" xfId="13922"/>
    <cellStyle name="Note 2 5 2 4 13 4" xfId="13923"/>
    <cellStyle name="Note 2 5 2 4 13 5" xfId="13924"/>
    <cellStyle name="Note 2 5 2 4 14" xfId="13925"/>
    <cellStyle name="Note 2 5 2 4 14 2" xfId="13926"/>
    <cellStyle name="Note 2 5 2 4 14 3" xfId="13927"/>
    <cellStyle name="Note 2 5 2 4 14 4" xfId="13928"/>
    <cellStyle name="Note 2 5 2 4 14 5" xfId="13929"/>
    <cellStyle name="Note 2 5 2 4 15" xfId="13930"/>
    <cellStyle name="Note 2 5 2 4 15 2" xfId="13931"/>
    <cellStyle name="Note 2 5 2 4 15 3" xfId="13932"/>
    <cellStyle name="Note 2 5 2 4 15 4" xfId="13933"/>
    <cellStyle name="Note 2 5 2 4 15 5" xfId="13934"/>
    <cellStyle name="Note 2 5 2 4 16" xfId="13935"/>
    <cellStyle name="Note 2 5 2 4 16 2" xfId="13936"/>
    <cellStyle name="Note 2 5 2 4 16 3" xfId="13937"/>
    <cellStyle name="Note 2 5 2 4 16 4" xfId="13938"/>
    <cellStyle name="Note 2 5 2 4 16 5" xfId="13939"/>
    <cellStyle name="Note 2 5 2 4 17" xfId="13940"/>
    <cellStyle name="Note 2 5 2 4 17 2" xfId="13941"/>
    <cellStyle name="Note 2 5 2 4 17 3" xfId="13942"/>
    <cellStyle name="Note 2 5 2 4 17 4" xfId="13943"/>
    <cellStyle name="Note 2 5 2 4 17 5" xfId="13944"/>
    <cellStyle name="Note 2 5 2 4 18" xfId="13945"/>
    <cellStyle name="Note 2 5 2 4 19" xfId="944"/>
    <cellStyle name="Note 2 5 2 4 2" xfId="2225"/>
    <cellStyle name="Note 2 5 2 4 2 2" xfId="13946"/>
    <cellStyle name="Note 2 5 2 4 2 3" xfId="13947"/>
    <cellStyle name="Note 2 5 2 4 2 4" xfId="13948"/>
    <cellStyle name="Note 2 5 2 4 2 5" xfId="13949"/>
    <cellStyle name="Note 2 5 2 4 2 6" xfId="36319"/>
    <cellStyle name="Note 2 5 2 4 2 7" xfId="45193"/>
    <cellStyle name="Note 2 5 2 4 2 8" xfId="53317"/>
    <cellStyle name="Note 2 5 2 4 20" xfId="35024"/>
    <cellStyle name="Note 2 5 2 4 21" xfId="40733"/>
    <cellStyle name="Note 2 5 2 4 22" xfId="41243"/>
    <cellStyle name="Note 2 5 2 4 3" xfId="2226"/>
    <cellStyle name="Note 2 5 2 4 3 2" xfId="13950"/>
    <cellStyle name="Note 2 5 2 4 3 3" xfId="13951"/>
    <cellStyle name="Note 2 5 2 4 3 4" xfId="13952"/>
    <cellStyle name="Note 2 5 2 4 3 5" xfId="13953"/>
    <cellStyle name="Note 2 5 2 4 3 6" xfId="36816"/>
    <cellStyle name="Note 2 5 2 4 3 7" xfId="45194"/>
    <cellStyle name="Note 2 5 2 4 3 8" xfId="53318"/>
    <cellStyle name="Note 2 5 2 4 4" xfId="1257"/>
    <cellStyle name="Note 2 5 2 4 4 2" xfId="13954"/>
    <cellStyle name="Note 2 5 2 4 4 3" xfId="13955"/>
    <cellStyle name="Note 2 5 2 4 4 4" xfId="13956"/>
    <cellStyle name="Note 2 5 2 4 4 5" xfId="13957"/>
    <cellStyle name="Note 2 5 2 4 4 6" xfId="37432"/>
    <cellStyle name="Note 2 5 2 4 4 7" xfId="45195"/>
    <cellStyle name="Note 2 5 2 4 4 8" xfId="53319"/>
    <cellStyle name="Note 2 5 2 4 5" xfId="3325"/>
    <cellStyle name="Note 2 5 2 4 5 2" xfId="13958"/>
    <cellStyle name="Note 2 5 2 4 5 3" xfId="13959"/>
    <cellStyle name="Note 2 5 2 4 5 4" xfId="13960"/>
    <cellStyle name="Note 2 5 2 4 5 5" xfId="13961"/>
    <cellStyle name="Note 2 5 2 4 5 6" xfId="38048"/>
    <cellStyle name="Note 2 5 2 4 5 7" xfId="45196"/>
    <cellStyle name="Note 2 5 2 4 5 8" xfId="53320"/>
    <cellStyle name="Note 2 5 2 4 6" xfId="3647"/>
    <cellStyle name="Note 2 5 2 4 6 2" xfId="13962"/>
    <cellStyle name="Note 2 5 2 4 6 3" xfId="13963"/>
    <cellStyle name="Note 2 5 2 4 6 4" xfId="13964"/>
    <cellStyle name="Note 2 5 2 4 6 5" xfId="13965"/>
    <cellStyle name="Note 2 5 2 4 6 6" xfId="38666"/>
    <cellStyle name="Note 2 5 2 4 6 7" xfId="45197"/>
    <cellStyle name="Note 2 5 2 4 6 8" xfId="53321"/>
    <cellStyle name="Note 2 5 2 4 7" xfId="13966"/>
    <cellStyle name="Note 2 5 2 4 7 2" xfId="13967"/>
    <cellStyle name="Note 2 5 2 4 7 3" xfId="13968"/>
    <cellStyle name="Note 2 5 2 4 7 4" xfId="13969"/>
    <cellStyle name="Note 2 5 2 4 7 5" xfId="13970"/>
    <cellStyle name="Note 2 5 2 4 7 6" xfId="39286"/>
    <cellStyle name="Note 2 5 2 4 7 7" xfId="45198"/>
    <cellStyle name="Note 2 5 2 4 7 8" xfId="53322"/>
    <cellStyle name="Note 2 5 2 4 8" xfId="13971"/>
    <cellStyle name="Note 2 5 2 4 8 2" xfId="13972"/>
    <cellStyle name="Note 2 5 2 4 8 3" xfId="13973"/>
    <cellStyle name="Note 2 5 2 4 8 4" xfId="13974"/>
    <cellStyle name="Note 2 5 2 4 8 5" xfId="13975"/>
    <cellStyle name="Note 2 5 2 4 8 6" xfId="39902"/>
    <cellStyle name="Note 2 5 2 4 8 7" xfId="45199"/>
    <cellStyle name="Note 2 5 2 4 8 8" xfId="53323"/>
    <cellStyle name="Note 2 5 2 4 9" xfId="13976"/>
    <cellStyle name="Note 2 5 2 4 9 2" xfId="13977"/>
    <cellStyle name="Note 2 5 2 4 9 3" xfId="13978"/>
    <cellStyle name="Note 2 5 2 4 9 4" xfId="13979"/>
    <cellStyle name="Note 2 5 2 4 9 5" xfId="13980"/>
    <cellStyle name="Note 2 5 2 4 9 6" xfId="40517"/>
    <cellStyle name="Note 2 5 2 4 9 7" xfId="45200"/>
    <cellStyle name="Note 2 5 2 4 9 8" xfId="53324"/>
    <cellStyle name="Note 2 5 2 5" xfId="2227"/>
    <cellStyle name="Note 2 5 2 5 10" xfId="34803"/>
    <cellStyle name="Note 2 5 2 5 10 2" xfId="45202"/>
    <cellStyle name="Note 2 5 2 5 10 3" xfId="53326"/>
    <cellStyle name="Note 2 5 2 5 11" xfId="41029"/>
    <cellStyle name="Note 2 5 2 5 12" xfId="45201"/>
    <cellStyle name="Note 2 5 2 5 13" xfId="53325"/>
    <cellStyle name="Note 2 5 2 5 2" xfId="2228"/>
    <cellStyle name="Note 2 5 2 5 2 2" xfId="36106"/>
    <cellStyle name="Note 2 5 2 5 2 3" xfId="45203"/>
    <cellStyle name="Note 2 5 2 5 2 4" xfId="53327"/>
    <cellStyle name="Note 2 5 2 5 3" xfId="13981"/>
    <cellStyle name="Note 2 5 2 5 3 2" xfId="36605"/>
    <cellStyle name="Note 2 5 2 5 3 3" xfId="45204"/>
    <cellStyle name="Note 2 5 2 5 3 4" xfId="53328"/>
    <cellStyle name="Note 2 5 2 5 4" xfId="13982"/>
    <cellStyle name="Note 2 5 2 5 4 2" xfId="37221"/>
    <cellStyle name="Note 2 5 2 5 4 3" xfId="45205"/>
    <cellStyle name="Note 2 5 2 5 4 4" xfId="53329"/>
    <cellStyle name="Note 2 5 2 5 5" xfId="13983"/>
    <cellStyle name="Note 2 5 2 5 5 2" xfId="37837"/>
    <cellStyle name="Note 2 5 2 5 5 3" xfId="45206"/>
    <cellStyle name="Note 2 5 2 5 5 4" xfId="53330"/>
    <cellStyle name="Note 2 5 2 5 6" xfId="38452"/>
    <cellStyle name="Note 2 5 2 5 6 2" xfId="45207"/>
    <cellStyle name="Note 2 5 2 5 6 3" xfId="53331"/>
    <cellStyle name="Note 2 5 2 5 7" xfId="39072"/>
    <cellStyle name="Note 2 5 2 5 7 2" xfId="45208"/>
    <cellStyle name="Note 2 5 2 5 7 3" xfId="53332"/>
    <cellStyle name="Note 2 5 2 5 8" xfId="39688"/>
    <cellStyle name="Note 2 5 2 5 8 2" xfId="45209"/>
    <cellStyle name="Note 2 5 2 5 8 3" xfId="53333"/>
    <cellStyle name="Note 2 5 2 5 9" xfId="40303"/>
    <cellStyle name="Note 2 5 2 5 9 2" xfId="45210"/>
    <cellStyle name="Note 2 5 2 5 9 3" xfId="53334"/>
    <cellStyle name="Note 2 5 2 6" xfId="1252"/>
    <cellStyle name="Note 2 5 2 6 10" xfId="45211"/>
    <cellStyle name="Note 2 5 2 6 11" xfId="53335"/>
    <cellStyle name="Note 2 5 2 6 2" xfId="13984"/>
    <cellStyle name="Note 2 5 2 6 2 2" xfId="45212"/>
    <cellStyle name="Note 2 5 2 6 2 3" xfId="53336"/>
    <cellStyle name="Note 2 5 2 6 3" xfId="13985"/>
    <cellStyle name="Note 2 5 2 6 3 2" xfId="45213"/>
    <cellStyle name="Note 2 5 2 6 3 3" xfId="53337"/>
    <cellStyle name="Note 2 5 2 6 4" xfId="13986"/>
    <cellStyle name="Note 2 5 2 6 4 2" xfId="45214"/>
    <cellStyle name="Note 2 5 2 6 4 3" xfId="53338"/>
    <cellStyle name="Note 2 5 2 6 5" xfId="13987"/>
    <cellStyle name="Note 2 5 2 6 5 2" xfId="45215"/>
    <cellStyle name="Note 2 5 2 6 5 3" xfId="53339"/>
    <cellStyle name="Note 2 5 2 6 6" xfId="35424"/>
    <cellStyle name="Note 2 5 2 6 6 2" xfId="45216"/>
    <cellStyle name="Note 2 5 2 6 6 3" xfId="53340"/>
    <cellStyle name="Note 2 5 2 6 7" xfId="45217"/>
    <cellStyle name="Note 2 5 2 6 7 2" xfId="53341"/>
    <cellStyle name="Note 2 5 2 6 8" xfId="45218"/>
    <cellStyle name="Note 2 5 2 6 8 2" xfId="53342"/>
    <cellStyle name="Note 2 5 2 6 9" xfId="45219"/>
    <cellStyle name="Note 2 5 2 6 9 2" xfId="53343"/>
    <cellStyle name="Note 2 5 2 7" xfId="3320"/>
    <cellStyle name="Note 2 5 2 7 2" xfId="13988"/>
    <cellStyle name="Note 2 5 2 7 3" xfId="13989"/>
    <cellStyle name="Note 2 5 2 7 4" xfId="13990"/>
    <cellStyle name="Note 2 5 2 7 5" xfId="13991"/>
    <cellStyle name="Note 2 5 2 7 6" xfId="35956"/>
    <cellStyle name="Note 2 5 2 7 7" xfId="45220"/>
    <cellStyle name="Note 2 5 2 7 8" xfId="53344"/>
    <cellStyle name="Note 2 5 2 8" xfId="3642"/>
    <cellStyle name="Note 2 5 2 8 2" xfId="13992"/>
    <cellStyle name="Note 2 5 2 8 3" xfId="13993"/>
    <cellStyle name="Note 2 5 2 8 4" xfId="13994"/>
    <cellStyle name="Note 2 5 2 8 5" xfId="13995"/>
    <cellStyle name="Note 2 5 2 8 6" xfId="35815"/>
    <cellStyle name="Note 2 5 2 8 7" xfId="45221"/>
    <cellStyle name="Note 2 5 2 8 8" xfId="53345"/>
    <cellStyle name="Note 2 5 2 9" xfId="13996"/>
    <cellStyle name="Note 2 5 2 9 2" xfId="13997"/>
    <cellStyle name="Note 2 5 2 9 3" xfId="13998"/>
    <cellStyle name="Note 2 5 2 9 4" xfId="13999"/>
    <cellStyle name="Note 2 5 2 9 5" xfId="14000"/>
    <cellStyle name="Note 2 5 2 9 6" xfId="37001"/>
    <cellStyle name="Note 2 5 2 9 7" xfId="45222"/>
    <cellStyle name="Note 2 5 2 9 8" xfId="53346"/>
    <cellStyle name="Note 2 5 20" xfId="34959"/>
    <cellStyle name="Note 2 5 21" xfId="40783"/>
    <cellStyle name="Note 2 5 3" xfId="366"/>
    <cellStyle name="Note 2 5 3 10" xfId="14001"/>
    <cellStyle name="Note 2 5 3 10 2" xfId="14002"/>
    <cellStyle name="Note 2 5 3 10 3" xfId="14003"/>
    <cellStyle name="Note 2 5 3 10 4" xfId="14004"/>
    <cellStyle name="Note 2 5 3 10 5" xfId="14005"/>
    <cellStyle name="Note 2 5 3 10 6" xfId="39544"/>
    <cellStyle name="Note 2 5 3 10 7" xfId="45223"/>
    <cellStyle name="Note 2 5 3 10 8" xfId="53347"/>
    <cellStyle name="Note 2 5 3 11" xfId="14006"/>
    <cellStyle name="Note 2 5 3 11 2" xfId="14007"/>
    <cellStyle name="Note 2 5 3 11 3" xfId="14008"/>
    <cellStyle name="Note 2 5 3 11 4" xfId="14009"/>
    <cellStyle name="Note 2 5 3 11 5" xfId="14010"/>
    <cellStyle name="Note 2 5 3 11 6" xfId="40160"/>
    <cellStyle name="Note 2 5 3 11 7" xfId="45224"/>
    <cellStyle name="Note 2 5 3 11 8" xfId="53348"/>
    <cellStyle name="Note 2 5 3 12" xfId="14011"/>
    <cellStyle name="Note 2 5 3 12 2" xfId="14012"/>
    <cellStyle name="Note 2 5 3 12 3" xfId="14013"/>
    <cellStyle name="Note 2 5 3 12 4" xfId="14014"/>
    <cellStyle name="Note 2 5 3 12 5" xfId="14015"/>
    <cellStyle name="Note 2 5 3 12 6" xfId="45225"/>
    <cellStyle name="Note 2 5 3 12 7" xfId="53349"/>
    <cellStyle name="Note 2 5 3 13" xfId="14016"/>
    <cellStyle name="Note 2 5 3 13 2" xfId="14017"/>
    <cellStyle name="Note 2 5 3 13 3" xfId="14018"/>
    <cellStyle name="Note 2 5 3 13 4" xfId="14019"/>
    <cellStyle name="Note 2 5 3 13 5" xfId="14020"/>
    <cellStyle name="Note 2 5 3 13 6" xfId="45226"/>
    <cellStyle name="Note 2 5 3 13 7" xfId="53350"/>
    <cellStyle name="Note 2 5 3 14" xfId="14021"/>
    <cellStyle name="Note 2 5 3 14 2" xfId="14022"/>
    <cellStyle name="Note 2 5 3 14 3" xfId="14023"/>
    <cellStyle name="Note 2 5 3 14 4" xfId="14024"/>
    <cellStyle name="Note 2 5 3 14 5" xfId="14025"/>
    <cellStyle name="Note 2 5 3 15" xfId="14026"/>
    <cellStyle name="Note 2 5 3 15 2" xfId="14027"/>
    <cellStyle name="Note 2 5 3 15 3" xfId="14028"/>
    <cellStyle name="Note 2 5 3 15 4" xfId="14029"/>
    <cellStyle name="Note 2 5 3 15 5" xfId="14030"/>
    <cellStyle name="Note 2 5 3 16" xfId="14031"/>
    <cellStyle name="Note 2 5 3 16 2" xfId="14032"/>
    <cellStyle name="Note 2 5 3 16 3" xfId="14033"/>
    <cellStyle name="Note 2 5 3 16 4" xfId="14034"/>
    <cellStyle name="Note 2 5 3 16 5" xfId="14035"/>
    <cellStyle name="Note 2 5 3 17" xfId="14036"/>
    <cellStyle name="Note 2 5 3 17 2" xfId="14037"/>
    <cellStyle name="Note 2 5 3 17 3" xfId="14038"/>
    <cellStyle name="Note 2 5 3 17 4" xfId="14039"/>
    <cellStyle name="Note 2 5 3 17 5" xfId="14040"/>
    <cellStyle name="Note 2 5 3 18" xfId="14041"/>
    <cellStyle name="Note 2 5 3 19" xfId="802"/>
    <cellStyle name="Note 2 5 3 2" xfId="585"/>
    <cellStyle name="Note 2 5 3 2 10" xfId="14042"/>
    <cellStyle name="Note 2 5 3 2 10 2" xfId="14043"/>
    <cellStyle name="Note 2 5 3 2 10 3" xfId="14044"/>
    <cellStyle name="Note 2 5 3 2 10 4" xfId="14045"/>
    <cellStyle name="Note 2 5 3 2 10 5" xfId="14046"/>
    <cellStyle name="Note 2 5 3 2 10 6" xfId="45227"/>
    <cellStyle name="Note 2 5 3 2 10 7" xfId="53351"/>
    <cellStyle name="Note 2 5 3 2 11" xfId="14047"/>
    <cellStyle name="Note 2 5 3 2 11 2" xfId="14048"/>
    <cellStyle name="Note 2 5 3 2 11 3" xfId="14049"/>
    <cellStyle name="Note 2 5 3 2 11 4" xfId="14050"/>
    <cellStyle name="Note 2 5 3 2 11 5" xfId="14051"/>
    <cellStyle name="Note 2 5 3 2 12" xfId="14052"/>
    <cellStyle name="Note 2 5 3 2 12 2" xfId="14053"/>
    <cellStyle name="Note 2 5 3 2 12 3" xfId="14054"/>
    <cellStyle name="Note 2 5 3 2 12 4" xfId="14055"/>
    <cellStyle name="Note 2 5 3 2 12 5" xfId="14056"/>
    <cellStyle name="Note 2 5 3 2 13" xfId="14057"/>
    <cellStyle name="Note 2 5 3 2 13 2" xfId="14058"/>
    <cellStyle name="Note 2 5 3 2 13 3" xfId="14059"/>
    <cellStyle name="Note 2 5 3 2 13 4" xfId="14060"/>
    <cellStyle name="Note 2 5 3 2 13 5" xfId="14061"/>
    <cellStyle name="Note 2 5 3 2 14" xfId="14062"/>
    <cellStyle name="Note 2 5 3 2 14 2" xfId="14063"/>
    <cellStyle name="Note 2 5 3 2 14 3" xfId="14064"/>
    <cellStyle name="Note 2 5 3 2 14 4" xfId="14065"/>
    <cellStyle name="Note 2 5 3 2 14 5" xfId="14066"/>
    <cellStyle name="Note 2 5 3 2 15" xfId="14067"/>
    <cellStyle name="Note 2 5 3 2 15 2" xfId="14068"/>
    <cellStyle name="Note 2 5 3 2 15 3" xfId="14069"/>
    <cellStyle name="Note 2 5 3 2 15 4" xfId="14070"/>
    <cellStyle name="Note 2 5 3 2 15 5" xfId="14071"/>
    <cellStyle name="Note 2 5 3 2 16" xfId="14072"/>
    <cellStyle name="Note 2 5 3 2 16 2" xfId="14073"/>
    <cellStyle name="Note 2 5 3 2 16 3" xfId="14074"/>
    <cellStyle name="Note 2 5 3 2 16 4" xfId="14075"/>
    <cellStyle name="Note 2 5 3 2 16 5" xfId="14076"/>
    <cellStyle name="Note 2 5 3 2 17" xfId="14077"/>
    <cellStyle name="Note 2 5 3 2 17 2" xfId="14078"/>
    <cellStyle name="Note 2 5 3 2 17 3" xfId="14079"/>
    <cellStyle name="Note 2 5 3 2 17 4" xfId="14080"/>
    <cellStyle name="Note 2 5 3 2 17 5" xfId="14081"/>
    <cellStyle name="Note 2 5 3 2 18" xfId="14082"/>
    <cellStyle name="Note 2 5 3 2 19" xfId="1014"/>
    <cellStyle name="Note 2 5 3 2 2" xfId="2229"/>
    <cellStyle name="Note 2 5 3 2 2 2" xfId="14083"/>
    <cellStyle name="Note 2 5 3 2 2 3" xfId="14084"/>
    <cellStyle name="Note 2 5 3 2 2 4" xfId="14085"/>
    <cellStyle name="Note 2 5 3 2 2 5" xfId="14086"/>
    <cellStyle name="Note 2 5 3 2 2 6" xfId="36389"/>
    <cellStyle name="Note 2 5 3 2 2 7" xfId="45228"/>
    <cellStyle name="Note 2 5 3 2 2 8" xfId="53352"/>
    <cellStyle name="Note 2 5 3 2 20" xfId="35094"/>
    <cellStyle name="Note 2 5 3 2 21" xfId="41313"/>
    <cellStyle name="Note 2 5 3 2 3" xfId="2230"/>
    <cellStyle name="Note 2 5 3 2 3 2" xfId="14087"/>
    <cellStyle name="Note 2 5 3 2 3 3" xfId="14088"/>
    <cellStyle name="Note 2 5 3 2 3 4" xfId="14089"/>
    <cellStyle name="Note 2 5 3 2 3 5" xfId="14090"/>
    <cellStyle name="Note 2 5 3 2 3 6" xfId="36886"/>
    <cellStyle name="Note 2 5 3 2 3 7" xfId="45229"/>
    <cellStyle name="Note 2 5 3 2 3 8" xfId="53353"/>
    <cellStyle name="Note 2 5 3 2 4" xfId="1259"/>
    <cellStyle name="Note 2 5 3 2 4 2" xfId="14091"/>
    <cellStyle name="Note 2 5 3 2 4 3" xfId="14092"/>
    <cellStyle name="Note 2 5 3 2 4 4" xfId="14093"/>
    <cellStyle name="Note 2 5 3 2 4 5" xfId="14094"/>
    <cellStyle name="Note 2 5 3 2 4 6" xfId="37502"/>
    <cellStyle name="Note 2 5 3 2 4 7" xfId="45230"/>
    <cellStyle name="Note 2 5 3 2 4 8" xfId="53354"/>
    <cellStyle name="Note 2 5 3 2 5" xfId="3327"/>
    <cellStyle name="Note 2 5 3 2 5 2" xfId="14095"/>
    <cellStyle name="Note 2 5 3 2 5 3" xfId="14096"/>
    <cellStyle name="Note 2 5 3 2 5 4" xfId="14097"/>
    <cellStyle name="Note 2 5 3 2 5 5" xfId="14098"/>
    <cellStyle name="Note 2 5 3 2 5 6" xfId="38118"/>
    <cellStyle name="Note 2 5 3 2 5 7" xfId="45231"/>
    <cellStyle name="Note 2 5 3 2 5 8" xfId="53355"/>
    <cellStyle name="Note 2 5 3 2 6" xfId="3649"/>
    <cellStyle name="Note 2 5 3 2 6 2" xfId="14099"/>
    <cellStyle name="Note 2 5 3 2 6 3" xfId="14100"/>
    <cellStyle name="Note 2 5 3 2 6 4" xfId="14101"/>
    <cellStyle name="Note 2 5 3 2 6 5" xfId="14102"/>
    <cellStyle name="Note 2 5 3 2 6 6" xfId="38736"/>
    <cellStyle name="Note 2 5 3 2 6 7" xfId="45232"/>
    <cellStyle name="Note 2 5 3 2 6 8" xfId="53356"/>
    <cellStyle name="Note 2 5 3 2 7" xfId="14103"/>
    <cellStyle name="Note 2 5 3 2 7 2" xfId="14104"/>
    <cellStyle name="Note 2 5 3 2 7 3" xfId="14105"/>
    <cellStyle name="Note 2 5 3 2 7 4" xfId="14106"/>
    <cellStyle name="Note 2 5 3 2 7 5" xfId="14107"/>
    <cellStyle name="Note 2 5 3 2 7 6" xfId="39356"/>
    <cellStyle name="Note 2 5 3 2 7 7" xfId="45233"/>
    <cellStyle name="Note 2 5 3 2 7 8" xfId="53357"/>
    <cellStyle name="Note 2 5 3 2 8" xfId="14108"/>
    <cellStyle name="Note 2 5 3 2 8 2" xfId="14109"/>
    <cellStyle name="Note 2 5 3 2 8 3" xfId="14110"/>
    <cellStyle name="Note 2 5 3 2 8 4" xfId="14111"/>
    <cellStyle name="Note 2 5 3 2 8 5" xfId="14112"/>
    <cellStyle name="Note 2 5 3 2 8 6" xfId="39972"/>
    <cellStyle name="Note 2 5 3 2 8 7" xfId="45234"/>
    <cellStyle name="Note 2 5 3 2 8 8" xfId="53358"/>
    <cellStyle name="Note 2 5 3 2 9" xfId="14113"/>
    <cellStyle name="Note 2 5 3 2 9 2" xfId="14114"/>
    <cellStyle name="Note 2 5 3 2 9 3" xfId="14115"/>
    <cellStyle name="Note 2 5 3 2 9 4" xfId="14116"/>
    <cellStyle name="Note 2 5 3 2 9 5" xfId="14117"/>
    <cellStyle name="Note 2 5 3 2 9 6" xfId="40587"/>
    <cellStyle name="Note 2 5 3 2 9 7" xfId="45235"/>
    <cellStyle name="Note 2 5 3 2 9 8" xfId="53359"/>
    <cellStyle name="Note 2 5 3 20" xfId="34733"/>
    <cellStyle name="Note 2 5 3 21" xfId="40886"/>
    <cellStyle name="Note 2 5 3 22" xfId="41447"/>
    <cellStyle name="Note 2 5 3 23" xfId="50534"/>
    <cellStyle name="Note 2 5 3 3" xfId="2231"/>
    <cellStyle name="Note 2 5 3 3 10" xfId="34756"/>
    <cellStyle name="Note 2 5 3 3 10 2" xfId="45237"/>
    <cellStyle name="Note 2 5 3 3 10 3" xfId="53361"/>
    <cellStyle name="Note 2 5 3 3 11" xfId="41101"/>
    <cellStyle name="Note 2 5 3 3 12" xfId="45236"/>
    <cellStyle name="Note 2 5 3 3 13" xfId="53360"/>
    <cellStyle name="Note 2 5 3 3 2" xfId="2232"/>
    <cellStyle name="Note 2 5 3 3 2 2" xfId="36178"/>
    <cellStyle name="Note 2 5 3 3 2 3" xfId="45238"/>
    <cellStyle name="Note 2 5 3 3 2 4" xfId="53362"/>
    <cellStyle name="Note 2 5 3 3 3" xfId="14118"/>
    <cellStyle name="Note 2 5 3 3 3 2" xfId="36675"/>
    <cellStyle name="Note 2 5 3 3 3 3" xfId="45239"/>
    <cellStyle name="Note 2 5 3 3 3 4" xfId="53363"/>
    <cellStyle name="Note 2 5 3 3 4" xfId="14119"/>
    <cellStyle name="Note 2 5 3 3 4 2" xfId="37291"/>
    <cellStyle name="Note 2 5 3 3 4 3" xfId="45240"/>
    <cellStyle name="Note 2 5 3 3 4 4" xfId="53364"/>
    <cellStyle name="Note 2 5 3 3 5" xfId="14120"/>
    <cellStyle name="Note 2 5 3 3 5 2" xfId="37907"/>
    <cellStyle name="Note 2 5 3 3 5 3" xfId="45241"/>
    <cellStyle name="Note 2 5 3 3 5 4" xfId="53365"/>
    <cellStyle name="Note 2 5 3 3 6" xfId="38524"/>
    <cellStyle name="Note 2 5 3 3 6 2" xfId="45242"/>
    <cellStyle name="Note 2 5 3 3 6 3" xfId="53366"/>
    <cellStyle name="Note 2 5 3 3 7" xfId="39144"/>
    <cellStyle name="Note 2 5 3 3 7 2" xfId="45243"/>
    <cellStyle name="Note 2 5 3 3 7 3" xfId="53367"/>
    <cellStyle name="Note 2 5 3 3 8" xfId="39760"/>
    <cellStyle name="Note 2 5 3 3 8 2" xfId="45244"/>
    <cellStyle name="Note 2 5 3 3 8 3" xfId="53368"/>
    <cellStyle name="Note 2 5 3 3 9" xfId="40375"/>
    <cellStyle name="Note 2 5 3 3 9 2" xfId="45245"/>
    <cellStyle name="Note 2 5 3 3 9 3" xfId="53369"/>
    <cellStyle name="Note 2 5 3 4" xfId="2233"/>
    <cellStyle name="Note 2 5 3 4 10" xfId="45246"/>
    <cellStyle name="Note 2 5 3 4 11" xfId="53370"/>
    <cellStyle name="Note 2 5 3 4 2" xfId="14121"/>
    <cellStyle name="Note 2 5 3 4 2 2" xfId="45247"/>
    <cellStyle name="Note 2 5 3 4 2 3" xfId="53371"/>
    <cellStyle name="Note 2 5 3 4 3" xfId="14122"/>
    <cellStyle name="Note 2 5 3 4 3 2" xfId="45248"/>
    <cellStyle name="Note 2 5 3 4 3 3" xfId="53372"/>
    <cellStyle name="Note 2 5 3 4 4" xfId="14123"/>
    <cellStyle name="Note 2 5 3 4 4 2" xfId="45249"/>
    <cellStyle name="Note 2 5 3 4 4 3" xfId="53373"/>
    <cellStyle name="Note 2 5 3 4 5" xfId="14124"/>
    <cellStyle name="Note 2 5 3 4 5 2" xfId="45250"/>
    <cellStyle name="Note 2 5 3 4 5 3" xfId="53374"/>
    <cellStyle name="Note 2 5 3 4 6" xfId="35661"/>
    <cellStyle name="Note 2 5 3 4 6 2" xfId="45251"/>
    <cellStyle name="Note 2 5 3 4 6 3" xfId="53375"/>
    <cellStyle name="Note 2 5 3 4 7" xfId="45252"/>
    <cellStyle name="Note 2 5 3 4 7 2" xfId="53376"/>
    <cellStyle name="Note 2 5 3 4 8" xfId="45253"/>
    <cellStyle name="Note 2 5 3 4 8 2" xfId="53377"/>
    <cellStyle name="Note 2 5 3 4 9" xfId="45254"/>
    <cellStyle name="Note 2 5 3 4 9 2" xfId="53378"/>
    <cellStyle name="Note 2 5 3 5" xfId="1258"/>
    <cellStyle name="Note 2 5 3 5 2" xfId="14125"/>
    <cellStyle name="Note 2 5 3 5 3" xfId="14126"/>
    <cellStyle name="Note 2 5 3 5 4" xfId="14127"/>
    <cellStyle name="Note 2 5 3 5 5" xfId="14128"/>
    <cellStyle name="Note 2 5 3 5 6" xfId="35761"/>
    <cellStyle name="Note 2 5 3 5 7" xfId="45255"/>
    <cellStyle name="Note 2 5 3 5 8" xfId="53379"/>
    <cellStyle name="Note 2 5 3 6" xfId="3326"/>
    <cellStyle name="Note 2 5 3 6 2" xfId="14129"/>
    <cellStyle name="Note 2 5 3 6 3" xfId="14130"/>
    <cellStyle name="Note 2 5 3 6 4" xfId="14131"/>
    <cellStyle name="Note 2 5 3 6 5" xfId="14132"/>
    <cellStyle name="Note 2 5 3 6 6" xfId="37076"/>
    <cellStyle name="Note 2 5 3 6 7" xfId="45256"/>
    <cellStyle name="Note 2 5 3 6 8" xfId="53380"/>
    <cellStyle name="Note 2 5 3 7" xfId="3648"/>
    <cellStyle name="Note 2 5 3 7 2" xfId="14133"/>
    <cellStyle name="Note 2 5 3 7 3" xfId="14134"/>
    <cellStyle name="Note 2 5 3 7 4" xfId="14135"/>
    <cellStyle name="Note 2 5 3 7 5" xfId="14136"/>
    <cellStyle name="Note 2 5 3 7 6" xfId="37690"/>
    <cellStyle name="Note 2 5 3 7 7" xfId="45257"/>
    <cellStyle name="Note 2 5 3 7 8" xfId="53381"/>
    <cellStyle name="Note 2 5 3 8" xfId="14137"/>
    <cellStyle name="Note 2 5 3 8 2" xfId="14138"/>
    <cellStyle name="Note 2 5 3 8 3" xfId="14139"/>
    <cellStyle name="Note 2 5 3 8 4" xfId="14140"/>
    <cellStyle name="Note 2 5 3 8 5" xfId="14141"/>
    <cellStyle name="Note 2 5 3 8 6" xfId="38305"/>
    <cellStyle name="Note 2 5 3 8 7" xfId="45258"/>
    <cellStyle name="Note 2 5 3 8 8" xfId="53382"/>
    <cellStyle name="Note 2 5 3 9" xfId="14142"/>
    <cellStyle name="Note 2 5 3 9 2" xfId="14143"/>
    <cellStyle name="Note 2 5 3 9 3" xfId="14144"/>
    <cellStyle name="Note 2 5 3 9 4" xfId="14145"/>
    <cellStyle name="Note 2 5 3 9 5" xfId="14146"/>
    <cellStyle name="Note 2 5 3 9 6" xfId="38925"/>
    <cellStyle name="Note 2 5 3 9 7" xfId="45259"/>
    <cellStyle name="Note 2 5 3 9 8" xfId="53383"/>
    <cellStyle name="Note 2 5 4" xfId="367"/>
    <cellStyle name="Note 2 5 4 10" xfId="14147"/>
    <cellStyle name="Note 2 5 4 10 2" xfId="14148"/>
    <cellStyle name="Note 2 5 4 10 3" xfId="14149"/>
    <cellStyle name="Note 2 5 4 10 4" xfId="14150"/>
    <cellStyle name="Note 2 5 4 10 5" xfId="14151"/>
    <cellStyle name="Note 2 5 4 10 6" xfId="40161"/>
    <cellStyle name="Note 2 5 4 10 7" xfId="45260"/>
    <cellStyle name="Note 2 5 4 10 8" xfId="53384"/>
    <cellStyle name="Note 2 5 4 11" xfId="14152"/>
    <cellStyle name="Note 2 5 4 11 2" xfId="14153"/>
    <cellStyle name="Note 2 5 4 11 3" xfId="14154"/>
    <cellStyle name="Note 2 5 4 11 4" xfId="14155"/>
    <cellStyle name="Note 2 5 4 11 5" xfId="14156"/>
    <cellStyle name="Note 2 5 4 11 6" xfId="45261"/>
    <cellStyle name="Note 2 5 4 11 7" xfId="53385"/>
    <cellStyle name="Note 2 5 4 12" xfId="14157"/>
    <cellStyle name="Note 2 5 4 12 2" xfId="14158"/>
    <cellStyle name="Note 2 5 4 12 3" xfId="14159"/>
    <cellStyle name="Note 2 5 4 12 4" xfId="14160"/>
    <cellStyle name="Note 2 5 4 12 5" xfId="14161"/>
    <cellStyle name="Note 2 5 4 12 6" xfId="45262"/>
    <cellStyle name="Note 2 5 4 12 7" xfId="53386"/>
    <cellStyle name="Note 2 5 4 13" xfId="14162"/>
    <cellStyle name="Note 2 5 4 13 2" xfId="14163"/>
    <cellStyle name="Note 2 5 4 13 3" xfId="14164"/>
    <cellStyle name="Note 2 5 4 13 4" xfId="14165"/>
    <cellStyle name="Note 2 5 4 13 5" xfId="14166"/>
    <cellStyle name="Note 2 5 4 13 6" xfId="45263"/>
    <cellStyle name="Note 2 5 4 13 7" xfId="53387"/>
    <cellStyle name="Note 2 5 4 14" xfId="14167"/>
    <cellStyle name="Note 2 5 4 14 2" xfId="14168"/>
    <cellStyle name="Note 2 5 4 14 3" xfId="14169"/>
    <cellStyle name="Note 2 5 4 14 4" xfId="14170"/>
    <cellStyle name="Note 2 5 4 14 5" xfId="14171"/>
    <cellStyle name="Note 2 5 4 15" xfId="14172"/>
    <cellStyle name="Note 2 5 4 15 2" xfId="14173"/>
    <cellStyle name="Note 2 5 4 15 3" xfId="14174"/>
    <cellStyle name="Note 2 5 4 15 4" xfId="14175"/>
    <cellStyle name="Note 2 5 4 15 5" xfId="14176"/>
    <cellStyle name="Note 2 5 4 16" xfId="14177"/>
    <cellStyle name="Note 2 5 4 16 2" xfId="14178"/>
    <cellStyle name="Note 2 5 4 16 3" xfId="14179"/>
    <cellStyle name="Note 2 5 4 16 4" xfId="14180"/>
    <cellStyle name="Note 2 5 4 16 5" xfId="14181"/>
    <cellStyle name="Note 2 5 4 17" xfId="14182"/>
    <cellStyle name="Note 2 5 4 17 2" xfId="14183"/>
    <cellStyle name="Note 2 5 4 17 3" xfId="14184"/>
    <cellStyle name="Note 2 5 4 17 4" xfId="14185"/>
    <cellStyle name="Note 2 5 4 17 5" xfId="14186"/>
    <cellStyle name="Note 2 5 4 18" xfId="14187"/>
    <cellStyle name="Note 2 5 4 19" xfId="803"/>
    <cellStyle name="Note 2 5 4 2" xfId="586"/>
    <cellStyle name="Note 2 5 4 2 10" xfId="14188"/>
    <cellStyle name="Note 2 5 4 2 10 2" xfId="14189"/>
    <cellStyle name="Note 2 5 4 2 10 3" xfId="14190"/>
    <cellStyle name="Note 2 5 4 2 10 4" xfId="14191"/>
    <cellStyle name="Note 2 5 4 2 10 5" xfId="14192"/>
    <cellStyle name="Note 2 5 4 2 10 6" xfId="45264"/>
    <cellStyle name="Note 2 5 4 2 10 7" xfId="53388"/>
    <cellStyle name="Note 2 5 4 2 11" xfId="14193"/>
    <cellStyle name="Note 2 5 4 2 11 2" xfId="14194"/>
    <cellStyle name="Note 2 5 4 2 11 3" xfId="14195"/>
    <cellStyle name="Note 2 5 4 2 11 4" xfId="14196"/>
    <cellStyle name="Note 2 5 4 2 11 5" xfId="14197"/>
    <cellStyle name="Note 2 5 4 2 12" xfId="14198"/>
    <cellStyle name="Note 2 5 4 2 12 2" xfId="14199"/>
    <cellStyle name="Note 2 5 4 2 12 3" xfId="14200"/>
    <cellStyle name="Note 2 5 4 2 12 4" xfId="14201"/>
    <cellStyle name="Note 2 5 4 2 12 5" xfId="14202"/>
    <cellStyle name="Note 2 5 4 2 13" xfId="14203"/>
    <cellStyle name="Note 2 5 4 2 13 2" xfId="14204"/>
    <cellStyle name="Note 2 5 4 2 13 3" xfId="14205"/>
    <cellStyle name="Note 2 5 4 2 13 4" xfId="14206"/>
    <cellStyle name="Note 2 5 4 2 13 5" xfId="14207"/>
    <cellStyle name="Note 2 5 4 2 14" xfId="14208"/>
    <cellStyle name="Note 2 5 4 2 14 2" xfId="14209"/>
    <cellStyle name="Note 2 5 4 2 14 3" xfId="14210"/>
    <cellStyle name="Note 2 5 4 2 14 4" xfId="14211"/>
    <cellStyle name="Note 2 5 4 2 14 5" xfId="14212"/>
    <cellStyle name="Note 2 5 4 2 15" xfId="14213"/>
    <cellStyle name="Note 2 5 4 2 15 2" xfId="14214"/>
    <cellStyle name="Note 2 5 4 2 15 3" xfId="14215"/>
    <cellStyle name="Note 2 5 4 2 15 4" xfId="14216"/>
    <cellStyle name="Note 2 5 4 2 15 5" xfId="14217"/>
    <cellStyle name="Note 2 5 4 2 16" xfId="14218"/>
    <cellStyle name="Note 2 5 4 2 16 2" xfId="14219"/>
    <cellStyle name="Note 2 5 4 2 16 3" xfId="14220"/>
    <cellStyle name="Note 2 5 4 2 16 4" xfId="14221"/>
    <cellStyle name="Note 2 5 4 2 16 5" xfId="14222"/>
    <cellStyle name="Note 2 5 4 2 17" xfId="14223"/>
    <cellStyle name="Note 2 5 4 2 17 2" xfId="14224"/>
    <cellStyle name="Note 2 5 4 2 17 3" xfId="14225"/>
    <cellStyle name="Note 2 5 4 2 17 4" xfId="14226"/>
    <cellStyle name="Note 2 5 4 2 17 5" xfId="14227"/>
    <cellStyle name="Note 2 5 4 2 18" xfId="14228"/>
    <cellStyle name="Note 2 5 4 2 19" xfId="1015"/>
    <cellStyle name="Note 2 5 4 2 2" xfId="2234"/>
    <cellStyle name="Note 2 5 4 2 2 2" xfId="14229"/>
    <cellStyle name="Note 2 5 4 2 2 3" xfId="14230"/>
    <cellStyle name="Note 2 5 4 2 2 4" xfId="14231"/>
    <cellStyle name="Note 2 5 4 2 2 5" xfId="14232"/>
    <cellStyle name="Note 2 5 4 2 2 6" xfId="36390"/>
    <cellStyle name="Note 2 5 4 2 2 7" xfId="45265"/>
    <cellStyle name="Note 2 5 4 2 2 8" xfId="53389"/>
    <cellStyle name="Note 2 5 4 2 20" xfId="35095"/>
    <cellStyle name="Note 2 5 4 2 21" xfId="41314"/>
    <cellStyle name="Note 2 5 4 2 3" xfId="2235"/>
    <cellStyle name="Note 2 5 4 2 3 2" xfId="14233"/>
    <cellStyle name="Note 2 5 4 2 3 3" xfId="14234"/>
    <cellStyle name="Note 2 5 4 2 3 4" xfId="14235"/>
    <cellStyle name="Note 2 5 4 2 3 5" xfId="14236"/>
    <cellStyle name="Note 2 5 4 2 3 6" xfId="36887"/>
    <cellStyle name="Note 2 5 4 2 3 7" xfId="45266"/>
    <cellStyle name="Note 2 5 4 2 3 8" xfId="53390"/>
    <cellStyle name="Note 2 5 4 2 4" xfId="1261"/>
    <cellStyle name="Note 2 5 4 2 4 2" xfId="14237"/>
    <cellStyle name="Note 2 5 4 2 4 3" xfId="14238"/>
    <cellStyle name="Note 2 5 4 2 4 4" xfId="14239"/>
    <cellStyle name="Note 2 5 4 2 4 5" xfId="14240"/>
    <cellStyle name="Note 2 5 4 2 4 6" xfId="37503"/>
    <cellStyle name="Note 2 5 4 2 4 7" xfId="45267"/>
    <cellStyle name="Note 2 5 4 2 4 8" xfId="53391"/>
    <cellStyle name="Note 2 5 4 2 5" xfId="3329"/>
    <cellStyle name="Note 2 5 4 2 5 2" xfId="14241"/>
    <cellStyle name="Note 2 5 4 2 5 3" xfId="14242"/>
    <cellStyle name="Note 2 5 4 2 5 4" xfId="14243"/>
    <cellStyle name="Note 2 5 4 2 5 5" xfId="14244"/>
    <cellStyle name="Note 2 5 4 2 5 6" xfId="38119"/>
    <cellStyle name="Note 2 5 4 2 5 7" xfId="45268"/>
    <cellStyle name="Note 2 5 4 2 5 8" xfId="53392"/>
    <cellStyle name="Note 2 5 4 2 6" xfId="3651"/>
    <cellStyle name="Note 2 5 4 2 6 2" xfId="14245"/>
    <cellStyle name="Note 2 5 4 2 6 3" xfId="14246"/>
    <cellStyle name="Note 2 5 4 2 6 4" xfId="14247"/>
    <cellStyle name="Note 2 5 4 2 6 5" xfId="14248"/>
    <cellStyle name="Note 2 5 4 2 6 6" xfId="38737"/>
    <cellStyle name="Note 2 5 4 2 6 7" xfId="45269"/>
    <cellStyle name="Note 2 5 4 2 6 8" xfId="53393"/>
    <cellStyle name="Note 2 5 4 2 7" xfId="14249"/>
    <cellStyle name="Note 2 5 4 2 7 2" xfId="14250"/>
    <cellStyle name="Note 2 5 4 2 7 3" xfId="14251"/>
    <cellStyle name="Note 2 5 4 2 7 4" xfId="14252"/>
    <cellStyle name="Note 2 5 4 2 7 5" xfId="14253"/>
    <cellStyle name="Note 2 5 4 2 7 6" xfId="39357"/>
    <cellStyle name="Note 2 5 4 2 7 7" xfId="45270"/>
    <cellStyle name="Note 2 5 4 2 7 8" xfId="53394"/>
    <cellStyle name="Note 2 5 4 2 8" xfId="14254"/>
    <cellStyle name="Note 2 5 4 2 8 2" xfId="14255"/>
    <cellStyle name="Note 2 5 4 2 8 3" xfId="14256"/>
    <cellStyle name="Note 2 5 4 2 8 4" xfId="14257"/>
    <cellStyle name="Note 2 5 4 2 8 5" xfId="14258"/>
    <cellStyle name="Note 2 5 4 2 8 6" xfId="39973"/>
    <cellStyle name="Note 2 5 4 2 8 7" xfId="45271"/>
    <cellStyle name="Note 2 5 4 2 8 8" xfId="53395"/>
    <cellStyle name="Note 2 5 4 2 9" xfId="14259"/>
    <cellStyle name="Note 2 5 4 2 9 2" xfId="14260"/>
    <cellStyle name="Note 2 5 4 2 9 3" xfId="14261"/>
    <cellStyle name="Note 2 5 4 2 9 4" xfId="14262"/>
    <cellStyle name="Note 2 5 4 2 9 5" xfId="14263"/>
    <cellStyle name="Note 2 5 4 2 9 6" xfId="40588"/>
    <cellStyle name="Note 2 5 4 2 9 7" xfId="45272"/>
    <cellStyle name="Note 2 5 4 2 9 8" xfId="53396"/>
    <cellStyle name="Note 2 5 4 20" xfId="34783"/>
    <cellStyle name="Note 2 5 4 21" xfId="40887"/>
    <cellStyle name="Note 2 5 4 22" xfId="41448"/>
    <cellStyle name="Note 2 5 4 23" xfId="50535"/>
    <cellStyle name="Note 2 5 4 3" xfId="2236"/>
    <cellStyle name="Note 2 5 4 3 10" xfId="34878"/>
    <cellStyle name="Note 2 5 4 3 10 2" xfId="45274"/>
    <cellStyle name="Note 2 5 4 3 10 3" xfId="53398"/>
    <cellStyle name="Note 2 5 4 3 11" xfId="41102"/>
    <cellStyle name="Note 2 5 4 3 12" xfId="45273"/>
    <cellStyle name="Note 2 5 4 3 13" xfId="53397"/>
    <cellStyle name="Note 2 5 4 3 2" xfId="2237"/>
    <cellStyle name="Note 2 5 4 3 2 2" xfId="36179"/>
    <cellStyle name="Note 2 5 4 3 2 3" xfId="45275"/>
    <cellStyle name="Note 2 5 4 3 2 4" xfId="53399"/>
    <cellStyle name="Note 2 5 4 3 3" xfId="14264"/>
    <cellStyle name="Note 2 5 4 3 3 2" xfId="36676"/>
    <cellStyle name="Note 2 5 4 3 3 3" xfId="45276"/>
    <cellStyle name="Note 2 5 4 3 3 4" xfId="53400"/>
    <cellStyle name="Note 2 5 4 3 4" xfId="14265"/>
    <cellStyle name="Note 2 5 4 3 4 2" xfId="37292"/>
    <cellStyle name="Note 2 5 4 3 4 3" xfId="45277"/>
    <cellStyle name="Note 2 5 4 3 4 4" xfId="53401"/>
    <cellStyle name="Note 2 5 4 3 5" xfId="14266"/>
    <cellStyle name="Note 2 5 4 3 5 2" xfId="37908"/>
    <cellStyle name="Note 2 5 4 3 5 3" xfId="45278"/>
    <cellStyle name="Note 2 5 4 3 5 4" xfId="53402"/>
    <cellStyle name="Note 2 5 4 3 6" xfId="38525"/>
    <cellStyle name="Note 2 5 4 3 6 2" xfId="45279"/>
    <cellStyle name="Note 2 5 4 3 6 3" xfId="53403"/>
    <cellStyle name="Note 2 5 4 3 7" xfId="39145"/>
    <cellStyle name="Note 2 5 4 3 7 2" xfId="45280"/>
    <cellStyle name="Note 2 5 4 3 7 3" xfId="53404"/>
    <cellStyle name="Note 2 5 4 3 8" xfId="39761"/>
    <cellStyle name="Note 2 5 4 3 8 2" xfId="45281"/>
    <cellStyle name="Note 2 5 4 3 8 3" xfId="53405"/>
    <cellStyle name="Note 2 5 4 3 9" xfId="40376"/>
    <cellStyle name="Note 2 5 4 3 9 2" xfId="45282"/>
    <cellStyle name="Note 2 5 4 3 9 3" xfId="53406"/>
    <cellStyle name="Note 2 5 4 4" xfId="2238"/>
    <cellStyle name="Note 2 5 4 4 10" xfId="45283"/>
    <cellStyle name="Note 2 5 4 4 11" xfId="53407"/>
    <cellStyle name="Note 2 5 4 4 2" xfId="14267"/>
    <cellStyle name="Note 2 5 4 4 2 2" xfId="45284"/>
    <cellStyle name="Note 2 5 4 4 2 3" xfId="53408"/>
    <cellStyle name="Note 2 5 4 4 3" xfId="14268"/>
    <cellStyle name="Note 2 5 4 4 3 2" xfId="45285"/>
    <cellStyle name="Note 2 5 4 4 3 3" xfId="53409"/>
    <cellStyle name="Note 2 5 4 4 4" xfId="14269"/>
    <cellStyle name="Note 2 5 4 4 4 2" xfId="45286"/>
    <cellStyle name="Note 2 5 4 4 4 3" xfId="53410"/>
    <cellStyle name="Note 2 5 4 4 5" xfId="14270"/>
    <cellStyle name="Note 2 5 4 4 5 2" xfId="45287"/>
    <cellStyle name="Note 2 5 4 4 5 3" xfId="53411"/>
    <cellStyle name="Note 2 5 4 4 6" xfId="35760"/>
    <cellStyle name="Note 2 5 4 4 6 2" xfId="45288"/>
    <cellStyle name="Note 2 5 4 4 6 3" xfId="53412"/>
    <cellStyle name="Note 2 5 4 4 7" xfId="45289"/>
    <cellStyle name="Note 2 5 4 4 7 2" xfId="53413"/>
    <cellStyle name="Note 2 5 4 4 8" xfId="45290"/>
    <cellStyle name="Note 2 5 4 4 8 2" xfId="53414"/>
    <cellStyle name="Note 2 5 4 4 9" xfId="45291"/>
    <cellStyle name="Note 2 5 4 4 9 2" xfId="53415"/>
    <cellStyle name="Note 2 5 4 5" xfId="1260"/>
    <cellStyle name="Note 2 5 4 5 2" xfId="14271"/>
    <cellStyle name="Note 2 5 4 5 3" xfId="14272"/>
    <cellStyle name="Note 2 5 4 5 4" xfId="14273"/>
    <cellStyle name="Note 2 5 4 5 5" xfId="14274"/>
    <cellStyle name="Note 2 5 4 5 6" xfId="37077"/>
    <cellStyle name="Note 2 5 4 5 7" xfId="45292"/>
    <cellStyle name="Note 2 5 4 5 8" xfId="53416"/>
    <cellStyle name="Note 2 5 4 6" xfId="3328"/>
    <cellStyle name="Note 2 5 4 6 2" xfId="14275"/>
    <cellStyle name="Note 2 5 4 6 3" xfId="14276"/>
    <cellStyle name="Note 2 5 4 6 4" xfId="14277"/>
    <cellStyle name="Note 2 5 4 6 5" xfId="14278"/>
    <cellStyle name="Note 2 5 4 6 6" xfId="37691"/>
    <cellStyle name="Note 2 5 4 6 7" xfId="45293"/>
    <cellStyle name="Note 2 5 4 6 8" xfId="53417"/>
    <cellStyle name="Note 2 5 4 7" xfId="3650"/>
    <cellStyle name="Note 2 5 4 7 2" xfId="14279"/>
    <cellStyle name="Note 2 5 4 7 3" xfId="14280"/>
    <cellStyle name="Note 2 5 4 7 4" xfId="14281"/>
    <cellStyle name="Note 2 5 4 7 5" xfId="14282"/>
    <cellStyle name="Note 2 5 4 7 6" xfId="38306"/>
    <cellStyle name="Note 2 5 4 7 7" xfId="45294"/>
    <cellStyle name="Note 2 5 4 7 8" xfId="53418"/>
    <cellStyle name="Note 2 5 4 8" xfId="14283"/>
    <cellStyle name="Note 2 5 4 8 2" xfId="14284"/>
    <cellStyle name="Note 2 5 4 8 3" xfId="14285"/>
    <cellStyle name="Note 2 5 4 8 4" xfId="14286"/>
    <cellStyle name="Note 2 5 4 8 5" xfId="14287"/>
    <cellStyle name="Note 2 5 4 8 6" xfId="38926"/>
    <cellStyle name="Note 2 5 4 8 7" xfId="45295"/>
    <cellStyle name="Note 2 5 4 8 8" xfId="53419"/>
    <cellStyle name="Note 2 5 4 9" xfId="14288"/>
    <cellStyle name="Note 2 5 4 9 2" xfId="14289"/>
    <cellStyle name="Note 2 5 4 9 3" xfId="14290"/>
    <cellStyle name="Note 2 5 4 9 4" xfId="14291"/>
    <cellStyle name="Note 2 5 4 9 5" xfId="14292"/>
    <cellStyle name="Note 2 5 4 9 6" xfId="39545"/>
    <cellStyle name="Note 2 5 4 9 7" xfId="45296"/>
    <cellStyle name="Note 2 5 4 9 8" xfId="53420"/>
    <cellStyle name="Note 2 5 5" xfId="484"/>
    <cellStyle name="Note 2 5 5 10" xfId="14293"/>
    <cellStyle name="Note 2 5 5 10 2" xfId="14294"/>
    <cellStyle name="Note 2 5 5 10 3" xfId="14295"/>
    <cellStyle name="Note 2 5 5 10 4" xfId="14296"/>
    <cellStyle name="Note 2 5 5 10 5" xfId="14297"/>
    <cellStyle name="Note 2 5 5 10 6" xfId="45297"/>
    <cellStyle name="Note 2 5 5 10 7" xfId="53421"/>
    <cellStyle name="Note 2 5 5 11" xfId="14298"/>
    <cellStyle name="Note 2 5 5 11 2" xfId="14299"/>
    <cellStyle name="Note 2 5 5 11 3" xfId="14300"/>
    <cellStyle name="Note 2 5 5 11 4" xfId="14301"/>
    <cellStyle name="Note 2 5 5 11 5" xfId="14302"/>
    <cellStyle name="Note 2 5 5 12" xfId="14303"/>
    <cellStyle name="Note 2 5 5 12 2" xfId="14304"/>
    <cellStyle name="Note 2 5 5 12 3" xfId="14305"/>
    <cellStyle name="Note 2 5 5 12 4" xfId="14306"/>
    <cellStyle name="Note 2 5 5 12 5" xfId="14307"/>
    <cellStyle name="Note 2 5 5 13" xfId="14308"/>
    <cellStyle name="Note 2 5 5 13 2" xfId="14309"/>
    <cellStyle name="Note 2 5 5 13 3" xfId="14310"/>
    <cellStyle name="Note 2 5 5 13 4" xfId="14311"/>
    <cellStyle name="Note 2 5 5 13 5" xfId="14312"/>
    <cellStyle name="Note 2 5 5 14" xfId="14313"/>
    <cellStyle name="Note 2 5 5 14 2" xfId="14314"/>
    <cellStyle name="Note 2 5 5 14 3" xfId="14315"/>
    <cellStyle name="Note 2 5 5 14 4" xfId="14316"/>
    <cellStyle name="Note 2 5 5 14 5" xfId="14317"/>
    <cellStyle name="Note 2 5 5 15" xfId="14318"/>
    <cellStyle name="Note 2 5 5 15 2" xfId="14319"/>
    <cellStyle name="Note 2 5 5 15 3" xfId="14320"/>
    <cellStyle name="Note 2 5 5 15 4" xfId="14321"/>
    <cellStyle name="Note 2 5 5 15 5" xfId="14322"/>
    <cellStyle name="Note 2 5 5 16" xfId="14323"/>
    <cellStyle name="Note 2 5 5 16 2" xfId="14324"/>
    <cellStyle name="Note 2 5 5 16 3" xfId="14325"/>
    <cellStyle name="Note 2 5 5 16 4" xfId="14326"/>
    <cellStyle name="Note 2 5 5 16 5" xfId="14327"/>
    <cellStyle name="Note 2 5 5 17" xfId="14328"/>
    <cellStyle name="Note 2 5 5 17 2" xfId="14329"/>
    <cellStyle name="Note 2 5 5 17 3" xfId="14330"/>
    <cellStyle name="Note 2 5 5 17 4" xfId="14331"/>
    <cellStyle name="Note 2 5 5 17 5" xfId="14332"/>
    <cellStyle name="Note 2 5 5 18" xfId="14333"/>
    <cellStyle name="Note 2 5 5 19" xfId="913"/>
    <cellStyle name="Note 2 5 5 2" xfId="2239"/>
    <cellStyle name="Note 2 5 5 2 2" xfId="14334"/>
    <cellStyle name="Note 2 5 5 2 3" xfId="14335"/>
    <cellStyle name="Note 2 5 5 2 4" xfId="14336"/>
    <cellStyle name="Note 2 5 5 2 5" xfId="14337"/>
    <cellStyle name="Note 2 5 5 2 6" xfId="36288"/>
    <cellStyle name="Note 2 5 5 2 7" xfId="45298"/>
    <cellStyle name="Note 2 5 5 2 8" xfId="53422"/>
    <cellStyle name="Note 2 5 5 20" xfId="34993"/>
    <cellStyle name="Note 2 5 5 21" xfId="40702"/>
    <cellStyle name="Note 2 5 5 22" xfId="41212"/>
    <cellStyle name="Note 2 5 5 3" xfId="2240"/>
    <cellStyle name="Note 2 5 5 3 2" xfId="14338"/>
    <cellStyle name="Note 2 5 5 3 3" xfId="14339"/>
    <cellStyle name="Note 2 5 5 3 4" xfId="14340"/>
    <cellStyle name="Note 2 5 5 3 5" xfId="14341"/>
    <cellStyle name="Note 2 5 5 3 6" xfId="36785"/>
    <cellStyle name="Note 2 5 5 3 7" xfId="45299"/>
    <cellStyle name="Note 2 5 5 3 8" xfId="53423"/>
    <cellStyle name="Note 2 5 5 4" xfId="1262"/>
    <cellStyle name="Note 2 5 5 4 2" xfId="14342"/>
    <cellStyle name="Note 2 5 5 4 3" xfId="14343"/>
    <cellStyle name="Note 2 5 5 4 4" xfId="14344"/>
    <cellStyle name="Note 2 5 5 4 5" xfId="14345"/>
    <cellStyle name="Note 2 5 5 4 6" xfId="37401"/>
    <cellStyle name="Note 2 5 5 4 7" xfId="45300"/>
    <cellStyle name="Note 2 5 5 4 8" xfId="53424"/>
    <cellStyle name="Note 2 5 5 5" xfId="3330"/>
    <cellStyle name="Note 2 5 5 5 2" xfId="14346"/>
    <cellStyle name="Note 2 5 5 5 3" xfId="14347"/>
    <cellStyle name="Note 2 5 5 5 4" xfId="14348"/>
    <cellStyle name="Note 2 5 5 5 5" xfId="14349"/>
    <cellStyle name="Note 2 5 5 5 6" xfId="38017"/>
    <cellStyle name="Note 2 5 5 5 7" xfId="45301"/>
    <cellStyle name="Note 2 5 5 5 8" xfId="53425"/>
    <cellStyle name="Note 2 5 5 6" xfId="3652"/>
    <cellStyle name="Note 2 5 5 6 2" xfId="14350"/>
    <cellStyle name="Note 2 5 5 6 3" xfId="14351"/>
    <cellStyle name="Note 2 5 5 6 4" xfId="14352"/>
    <cellStyle name="Note 2 5 5 6 5" xfId="14353"/>
    <cellStyle name="Note 2 5 5 6 6" xfId="38635"/>
    <cellStyle name="Note 2 5 5 6 7" xfId="45302"/>
    <cellStyle name="Note 2 5 5 6 8" xfId="53426"/>
    <cellStyle name="Note 2 5 5 7" xfId="14354"/>
    <cellStyle name="Note 2 5 5 7 2" xfId="14355"/>
    <cellStyle name="Note 2 5 5 7 3" xfId="14356"/>
    <cellStyle name="Note 2 5 5 7 4" xfId="14357"/>
    <cellStyle name="Note 2 5 5 7 5" xfId="14358"/>
    <cellStyle name="Note 2 5 5 7 6" xfId="39255"/>
    <cellStyle name="Note 2 5 5 7 7" xfId="45303"/>
    <cellStyle name="Note 2 5 5 7 8" xfId="53427"/>
    <cellStyle name="Note 2 5 5 8" xfId="14359"/>
    <cellStyle name="Note 2 5 5 8 2" xfId="14360"/>
    <cellStyle name="Note 2 5 5 8 3" xfId="14361"/>
    <cellStyle name="Note 2 5 5 8 4" xfId="14362"/>
    <cellStyle name="Note 2 5 5 8 5" xfId="14363"/>
    <cellStyle name="Note 2 5 5 8 6" xfId="39871"/>
    <cellStyle name="Note 2 5 5 8 7" xfId="45304"/>
    <cellStyle name="Note 2 5 5 8 8" xfId="53428"/>
    <cellStyle name="Note 2 5 5 9" xfId="14364"/>
    <cellStyle name="Note 2 5 5 9 2" xfId="14365"/>
    <cellStyle name="Note 2 5 5 9 3" xfId="14366"/>
    <cellStyle name="Note 2 5 5 9 4" xfId="14367"/>
    <cellStyle name="Note 2 5 5 9 5" xfId="14368"/>
    <cellStyle name="Note 2 5 5 9 6" xfId="40486"/>
    <cellStyle name="Note 2 5 5 9 7" xfId="45305"/>
    <cellStyle name="Note 2 5 5 9 8" xfId="53429"/>
    <cellStyle name="Note 2 5 6" xfId="2241"/>
    <cellStyle name="Note 2 5 6 10" xfId="34811"/>
    <cellStyle name="Note 2 5 6 10 2" xfId="45307"/>
    <cellStyle name="Note 2 5 6 10 3" xfId="53431"/>
    <cellStyle name="Note 2 5 6 11" xfId="40998"/>
    <cellStyle name="Note 2 5 6 12" xfId="45306"/>
    <cellStyle name="Note 2 5 6 13" xfId="53430"/>
    <cellStyle name="Note 2 5 6 2" xfId="2242"/>
    <cellStyle name="Note 2 5 6 2 2" xfId="36075"/>
    <cellStyle name="Note 2 5 6 2 3" xfId="45308"/>
    <cellStyle name="Note 2 5 6 2 4" xfId="53432"/>
    <cellStyle name="Note 2 5 6 3" xfId="14369"/>
    <cellStyle name="Note 2 5 6 3 2" xfId="36574"/>
    <cellStyle name="Note 2 5 6 3 3" xfId="45309"/>
    <cellStyle name="Note 2 5 6 3 4" xfId="53433"/>
    <cellStyle name="Note 2 5 6 4" xfId="14370"/>
    <cellStyle name="Note 2 5 6 4 2" xfId="37190"/>
    <cellStyle name="Note 2 5 6 4 3" xfId="45310"/>
    <cellStyle name="Note 2 5 6 4 4" xfId="53434"/>
    <cellStyle name="Note 2 5 6 5" xfId="14371"/>
    <cellStyle name="Note 2 5 6 5 2" xfId="37806"/>
    <cellStyle name="Note 2 5 6 5 3" xfId="45311"/>
    <cellStyle name="Note 2 5 6 5 4" xfId="53435"/>
    <cellStyle name="Note 2 5 6 6" xfId="38421"/>
    <cellStyle name="Note 2 5 6 6 2" xfId="45312"/>
    <cellStyle name="Note 2 5 6 6 3" xfId="53436"/>
    <cellStyle name="Note 2 5 6 7" xfId="39041"/>
    <cellStyle name="Note 2 5 6 7 2" xfId="45313"/>
    <cellStyle name="Note 2 5 6 7 3" xfId="53437"/>
    <cellStyle name="Note 2 5 6 8" xfId="39657"/>
    <cellStyle name="Note 2 5 6 8 2" xfId="45314"/>
    <cellStyle name="Note 2 5 6 8 3" xfId="53438"/>
    <cellStyle name="Note 2 5 6 9" xfId="40272"/>
    <cellStyle name="Note 2 5 6 9 2" xfId="45315"/>
    <cellStyle name="Note 2 5 6 9 3" xfId="53439"/>
    <cellStyle name="Note 2 5 7" xfId="1251"/>
    <cellStyle name="Note 2 5 7 10" xfId="45316"/>
    <cellStyle name="Note 2 5 7 11" xfId="53440"/>
    <cellStyle name="Note 2 5 7 2" xfId="14372"/>
    <cellStyle name="Note 2 5 7 2 2" xfId="45317"/>
    <cellStyle name="Note 2 5 7 2 3" xfId="53441"/>
    <cellStyle name="Note 2 5 7 3" xfId="14373"/>
    <cellStyle name="Note 2 5 7 3 2" xfId="45318"/>
    <cellStyle name="Note 2 5 7 3 3" xfId="53442"/>
    <cellStyle name="Note 2 5 7 4" xfId="14374"/>
    <cellStyle name="Note 2 5 7 4 2" xfId="45319"/>
    <cellStyle name="Note 2 5 7 4 3" xfId="53443"/>
    <cellStyle name="Note 2 5 7 5" xfId="14375"/>
    <cellStyle name="Note 2 5 7 5 2" xfId="45320"/>
    <cellStyle name="Note 2 5 7 5 3" xfId="53444"/>
    <cellStyle name="Note 2 5 7 6" xfId="35392"/>
    <cellStyle name="Note 2 5 7 6 2" xfId="45321"/>
    <cellStyle name="Note 2 5 7 6 3" xfId="53445"/>
    <cellStyle name="Note 2 5 7 7" xfId="45322"/>
    <cellStyle name="Note 2 5 7 7 2" xfId="53446"/>
    <cellStyle name="Note 2 5 7 8" xfId="45323"/>
    <cellStyle name="Note 2 5 7 8 2" xfId="53447"/>
    <cellStyle name="Note 2 5 7 9" xfId="45324"/>
    <cellStyle name="Note 2 5 7 9 2" xfId="53448"/>
    <cellStyle name="Note 2 5 8" xfId="3319"/>
    <cellStyle name="Note 2 5 8 2" xfId="14376"/>
    <cellStyle name="Note 2 5 8 3" xfId="14377"/>
    <cellStyle name="Note 2 5 8 4" xfId="14378"/>
    <cellStyle name="Note 2 5 8 5" xfId="14379"/>
    <cellStyle name="Note 2 5 8 6" xfId="35923"/>
    <cellStyle name="Note 2 5 8 7" xfId="45325"/>
    <cellStyle name="Note 2 5 8 8" xfId="53449"/>
    <cellStyle name="Note 2 5 9" xfId="3641"/>
    <cellStyle name="Note 2 5 9 2" xfId="14380"/>
    <cellStyle name="Note 2 5 9 3" xfId="14381"/>
    <cellStyle name="Note 2 5 9 4" xfId="14382"/>
    <cellStyle name="Note 2 5 9 5" xfId="14383"/>
    <cellStyle name="Note 2 5 9 6" xfId="35829"/>
    <cellStyle name="Note 2 5 9 7" xfId="45326"/>
    <cellStyle name="Note 2 5 9 8" xfId="53450"/>
    <cellStyle name="Note 2 6" xfId="252"/>
    <cellStyle name="Note 2 6 10" xfId="14384"/>
    <cellStyle name="Note 2 6 10 2" xfId="14385"/>
    <cellStyle name="Note 2 6 10 3" xfId="14386"/>
    <cellStyle name="Note 2 6 10 4" xfId="14387"/>
    <cellStyle name="Note 2 6 10 5" xfId="14388"/>
    <cellStyle name="Note 2 6 10 6" xfId="36045"/>
    <cellStyle name="Note 2 6 10 7" xfId="45327"/>
    <cellStyle name="Note 2 6 10 8" xfId="53451"/>
    <cellStyle name="Note 2 6 11" xfId="14389"/>
    <cellStyle name="Note 2 6 11 2" xfId="14390"/>
    <cellStyle name="Note 2 6 11 3" xfId="14391"/>
    <cellStyle name="Note 2 6 11 4" xfId="14392"/>
    <cellStyle name="Note 2 6 11 5" xfId="14393"/>
    <cellStyle name="Note 2 6 11 6" xfId="35849"/>
    <cellStyle name="Note 2 6 11 7" xfId="45328"/>
    <cellStyle name="Note 2 6 11 8" xfId="53452"/>
    <cellStyle name="Note 2 6 12" xfId="14394"/>
    <cellStyle name="Note 2 6 12 2" xfId="14395"/>
    <cellStyle name="Note 2 6 12 3" xfId="14396"/>
    <cellStyle name="Note 2 6 12 4" xfId="14397"/>
    <cellStyle name="Note 2 6 12 5" xfId="14398"/>
    <cellStyle name="Note 2 6 12 6" xfId="35930"/>
    <cellStyle name="Note 2 6 12 7" xfId="45329"/>
    <cellStyle name="Note 2 6 12 8" xfId="53453"/>
    <cellStyle name="Note 2 6 13" xfId="14399"/>
    <cellStyle name="Note 2 6 13 2" xfId="14400"/>
    <cellStyle name="Note 2 6 13 3" xfId="14401"/>
    <cellStyle name="Note 2 6 13 4" xfId="14402"/>
    <cellStyle name="Note 2 6 13 5" xfId="14403"/>
    <cellStyle name="Note 2 6 13 6" xfId="37740"/>
    <cellStyle name="Note 2 6 13 7" xfId="45330"/>
    <cellStyle name="Note 2 6 13 8" xfId="53454"/>
    <cellStyle name="Note 2 6 14" xfId="14404"/>
    <cellStyle name="Note 2 6 14 2" xfId="14405"/>
    <cellStyle name="Note 2 6 14 3" xfId="14406"/>
    <cellStyle name="Note 2 6 14 4" xfId="14407"/>
    <cellStyle name="Note 2 6 14 5" xfId="14408"/>
    <cellStyle name="Note 2 6 14 6" xfId="38356"/>
    <cellStyle name="Note 2 6 14 7" xfId="45331"/>
    <cellStyle name="Note 2 6 14 8" xfId="53455"/>
    <cellStyle name="Note 2 6 15" xfId="14409"/>
    <cellStyle name="Note 2 6 15 2" xfId="14410"/>
    <cellStyle name="Note 2 6 15 3" xfId="14411"/>
    <cellStyle name="Note 2 6 15 4" xfId="14412"/>
    <cellStyle name="Note 2 6 15 5" xfId="14413"/>
    <cellStyle name="Note 2 6 15 6" xfId="37645"/>
    <cellStyle name="Note 2 6 15 7" xfId="45332"/>
    <cellStyle name="Note 2 6 15 8" xfId="53456"/>
    <cellStyle name="Note 2 6 16" xfId="14414"/>
    <cellStyle name="Note 2 6 16 2" xfId="14415"/>
    <cellStyle name="Note 2 6 16 3" xfId="14416"/>
    <cellStyle name="Note 2 6 16 4" xfId="14417"/>
    <cellStyle name="Note 2 6 16 5" xfId="14418"/>
    <cellStyle name="Note 2 6 16 6" xfId="45333"/>
    <cellStyle name="Note 2 6 16 7" xfId="53457"/>
    <cellStyle name="Note 2 6 17" xfId="14419"/>
    <cellStyle name="Note 2 6 17 2" xfId="14420"/>
    <cellStyle name="Note 2 6 17 3" xfId="14421"/>
    <cellStyle name="Note 2 6 17 4" xfId="14422"/>
    <cellStyle name="Note 2 6 17 5" xfId="14423"/>
    <cellStyle name="Note 2 6 18" xfId="14424"/>
    <cellStyle name="Note 2 6 19" xfId="700"/>
    <cellStyle name="Note 2 6 2" xfId="286"/>
    <cellStyle name="Note 2 6 2 10" xfId="14425"/>
    <cellStyle name="Note 2 6 2 10 2" xfId="14426"/>
    <cellStyle name="Note 2 6 2 10 3" xfId="14427"/>
    <cellStyle name="Note 2 6 2 10 4" xfId="14428"/>
    <cellStyle name="Note 2 6 2 10 5" xfId="14429"/>
    <cellStyle name="Note 2 6 2 10 6" xfId="37614"/>
    <cellStyle name="Note 2 6 2 10 7" xfId="45334"/>
    <cellStyle name="Note 2 6 2 10 8" xfId="53458"/>
    <cellStyle name="Note 2 6 2 11" xfId="14430"/>
    <cellStyle name="Note 2 6 2 11 2" xfId="14431"/>
    <cellStyle name="Note 2 6 2 11 3" xfId="14432"/>
    <cellStyle name="Note 2 6 2 11 4" xfId="14433"/>
    <cellStyle name="Note 2 6 2 11 5" xfId="14434"/>
    <cellStyle name="Note 2 6 2 11 6" xfId="38231"/>
    <cellStyle name="Note 2 6 2 11 7" xfId="45335"/>
    <cellStyle name="Note 2 6 2 11 8" xfId="53459"/>
    <cellStyle name="Note 2 6 2 12" xfId="14435"/>
    <cellStyle name="Note 2 6 2 12 2" xfId="14436"/>
    <cellStyle name="Note 2 6 2 12 3" xfId="14437"/>
    <cellStyle name="Note 2 6 2 12 4" xfId="14438"/>
    <cellStyle name="Note 2 6 2 12 5" xfId="14439"/>
    <cellStyle name="Note 2 6 2 12 6" xfId="38853"/>
    <cellStyle name="Note 2 6 2 12 7" xfId="45336"/>
    <cellStyle name="Note 2 6 2 12 8" xfId="53460"/>
    <cellStyle name="Note 2 6 2 13" xfId="14440"/>
    <cellStyle name="Note 2 6 2 13 2" xfId="14441"/>
    <cellStyle name="Note 2 6 2 13 3" xfId="14442"/>
    <cellStyle name="Note 2 6 2 13 4" xfId="14443"/>
    <cellStyle name="Note 2 6 2 13 5" xfId="14444"/>
    <cellStyle name="Note 2 6 2 13 6" xfId="39473"/>
    <cellStyle name="Note 2 6 2 13 7" xfId="45337"/>
    <cellStyle name="Note 2 6 2 13 8" xfId="53461"/>
    <cellStyle name="Note 2 6 2 14" xfId="14445"/>
    <cellStyle name="Note 2 6 2 14 2" xfId="14446"/>
    <cellStyle name="Note 2 6 2 14 3" xfId="14447"/>
    <cellStyle name="Note 2 6 2 14 4" xfId="14448"/>
    <cellStyle name="Note 2 6 2 14 5" xfId="14449"/>
    <cellStyle name="Note 2 6 2 14 6" xfId="40091"/>
    <cellStyle name="Note 2 6 2 14 7" xfId="45338"/>
    <cellStyle name="Note 2 6 2 14 8" xfId="53462"/>
    <cellStyle name="Note 2 6 2 15" xfId="14450"/>
    <cellStyle name="Note 2 6 2 15 2" xfId="14451"/>
    <cellStyle name="Note 2 6 2 15 3" xfId="14452"/>
    <cellStyle name="Note 2 6 2 15 4" xfId="14453"/>
    <cellStyle name="Note 2 6 2 15 5" xfId="14454"/>
    <cellStyle name="Note 2 6 2 15 6" xfId="45339"/>
    <cellStyle name="Note 2 6 2 15 7" xfId="53463"/>
    <cellStyle name="Note 2 6 2 16" xfId="14455"/>
    <cellStyle name="Note 2 6 2 16 2" xfId="14456"/>
    <cellStyle name="Note 2 6 2 16 3" xfId="14457"/>
    <cellStyle name="Note 2 6 2 16 4" xfId="14458"/>
    <cellStyle name="Note 2 6 2 16 5" xfId="14459"/>
    <cellStyle name="Note 2 6 2 17" xfId="14460"/>
    <cellStyle name="Note 2 6 2 18" xfId="731"/>
    <cellStyle name="Note 2 6 2 19" xfId="34838"/>
    <cellStyle name="Note 2 6 2 2" xfId="368"/>
    <cellStyle name="Note 2 6 2 2 10" xfId="14461"/>
    <cellStyle name="Note 2 6 2 2 10 2" xfId="14462"/>
    <cellStyle name="Note 2 6 2 2 10 3" xfId="14463"/>
    <cellStyle name="Note 2 6 2 2 10 4" xfId="14464"/>
    <cellStyle name="Note 2 6 2 2 10 5" xfId="14465"/>
    <cellStyle name="Note 2 6 2 2 10 6" xfId="39546"/>
    <cellStyle name="Note 2 6 2 2 10 7" xfId="45340"/>
    <cellStyle name="Note 2 6 2 2 10 8" xfId="53464"/>
    <cellStyle name="Note 2 6 2 2 11" xfId="14466"/>
    <cellStyle name="Note 2 6 2 2 11 2" xfId="14467"/>
    <cellStyle name="Note 2 6 2 2 11 3" xfId="14468"/>
    <cellStyle name="Note 2 6 2 2 11 4" xfId="14469"/>
    <cellStyle name="Note 2 6 2 2 11 5" xfId="14470"/>
    <cellStyle name="Note 2 6 2 2 11 6" xfId="40162"/>
    <cellStyle name="Note 2 6 2 2 11 7" xfId="45341"/>
    <cellStyle name="Note 2 6 2 2 11 8" xfId="53465"/>
    <cellStyle name="Note 2 6 2 2 12" xfId="14471"/>
    <cellStyle name="Note 2 6 2 2 12 2" xfId="14472"/>
    <cellStyle name="Note 2 6 2 2 12 3" xfId="14473"/>
    <cellStyle name="Note 2 6 2 2 12 4" xfId="14474"/>
    <cellStyle name="Note 2 6 2 2 12 5" xfId="14475"/>
    <cellStyle name="Note 2 6 2 2 12 6" xfId="45342"/>
    <cellStyle name="Note 2 6 2 2 12 7" xfId="53466"/>
    <cellStyle name="Note 2 6 2 2 13" xfId="14476"/>
    <cellStyle name="Note 2 6 2 2 13 2" xfId="14477"/>
    <cellStyle name="Note 2 6 2 2 13 3" xfId="14478"/>
    <cellStyle name="Note 2 6 2 2 13 4" xfId="14479"/>
    <cellStyle name="Note 2 6 2 2 13 5" xfId="14480"/>
    <cellStyle name="Note 2 6 2 2 13 6" xfId="45343"/>
    <cellStyle name="Note 2 6 2 2 13 7" xfId="53467"/>
    <cellStyle name="Note 2 6 2 2 14" xfId="14481"/>
    <cellStyle name="Note 2 6 2 2 14 2" xfId="14482"/>
    <cellStyle name="Note 2 6 2 2 14 3" xfId="14483"/>
    <cellStyle name="Note 2 6 2 2 14 4" xfId="14484"/>
    <cellStyle name="Note 2 6 2 2 14 5" xfId="14485"/>
    <cellStyle name="Note 2 6 2 2 15" xfId="14486"/>
    <cellStyle name="Note 2 6 2 2 15 2" xfId="14487"/>
    <cellStyle name="Note 2 6 2 2 15 3" xfId="14488"/>
    <cellStyle name="Note 2 6 2 2 15 4" xfId="14489"/>
    <cellStyle name="Note 2 6 2 2 15 5" xfId="14490"/>
    <cellStyle name="Note 2 6 2 2 16" xfId="14491"/>
    <cellStyle name="Note 2 6 2 2 16 2" xfId="14492"/>
    <cellStyle name="Note 2 6 2 2 16 3" xfId="14493"/>
    <cellStyle name="Note 2 6 2 2 16 4" xfId="14494"/>
    <cellStyle name="Note 2 6 2 2 16 5" xfId="14495"/>
    <cellStyle name="Note 2 6 2 2 17" xfId="14496"/>
    <cellStyle name="Note 2 6 2 2 17 2" xfId="14497"/>
    <cellStyle name="Note 2 6 2 2 17 3" xfId="14498"/>
    <cellStyle name="Note 2 6 2 2 17 4" xfId="14499"/>
    <cellStyle name="Note 2 6 2 2 17 5" xfId="14500"/>
    <cellStyle name="Note 2 6 2 2 18" xfId="14501"/>
    <cellStyle name="Note 2 6 2 2 19" xfId="804"/>
    <cellStyle name="Note 2 6 2 2 2" xfId="587"/>
    <cellStyle name="Note 2 6 2 2 2 10" xfId="14502"/>
    <cellStyle name="Note 2 6 2 2 2 10 2" xfId="14503"/>
    <cellStyle name="Note 2 6 2 2 2 10 3" xfId="14504"/>
    <cellStyle name="Note 2 6 2 2 2 10 4" xfId="14505"/>
    <cellStyle name="Note 2 6 2 2 2 10 5" xfId="14506"/>
    <cellStyle name="Note 2 6 2 2 2 10 6" xfId="45344"/>
    <cellStyle name="Note 2 6 2 2 2 10 7" xfId="53468"/>
    <cellStyle name="Note 2 6 2 2 2 11" xfId="14507"/>
    <cellStyle name="Note 2 6 2 2 2 11 2" xfId="14508"/>
    <cellStyle name="Note 2 6 2 2 2 11 3" xfId="14509"/>
    <cellStyle name="Note 2 6 2 2 2 11 4" xfId="14510"/>
    <cellStyle name="Note 2 6 2 2 2 11 5" xfId="14511"/>
    <cellStyle name="Note 2 6 2 2 2 12" xfId="14512"/>
    <cellStyle name="Note 2 6 2 2 2 12 2" xfId="14513"/>
    <cellStyle name="Note 2 6 2 2 2 12 3" xfId="14514"/>
    <cellStyle name="Note 2 6 2 2 2 12 4" xfId="14515"/>
    <cellStyle name="Note 2 6 2 2 2 12 5" xfId="14516"/>
    <cellStyle name="Note 2 6 2 2 2 13" xfId="14517"/>
    <cellStyle name="Note 2 6 2 2 2 13 2" xfId="14518"/>
    <cellStyle name="Note 2 6 2 2 2 13 3" xfId="14519"/>
    <cellStyle name="Note 2 6 2 2 2 13 4" xfId="14520"/>
    <cellStyle name="Note 2 6 2 2 2 13 5" xfId="14521"/>
    <cellStyle name="Note 2 6 2 2 2 14" xfId="14522"/>
    <cellStyle name="Note 2 6 2 2 2 14 2" xfId="14523"/>
    <cellStyle name="Note 2 6 2 2 2 14 3" xfId="14524"/>
    <cellStyle name="Note 2 6 2 2 2 14 4" xfId="14525"/>
    <cellStyle name="Note 2 6 2 2 2 14 5" xfId="14526"/>
    <cellStyle name="Note 2 6 2 2 2 15" xfId="14527"/>
    <cellStyle name="Note 2 6 2 2 2 15 2" xfId="14528"/>
    <cellStyle name="Note 2 6 2 2 2 15 3" xfId="14529"/>
    <cellStyle name="Note 2 6 2 2 2 15 4" xfId="14530"/>
    <cellStyle name="Note 2 6 2 2 2 15 5" xfId="14531"/>
    <cellStyle name="Note 2 6 2 2 2 16" xfId="14532"/>
    <cellStyle name="Note 2 6 2 2 2 16 2" xfId="14533"/>
    <cellStyle name="Note 2 6 2 2 2 16 3" xfId="14534"/>
    <cellStyle name="Note 2 6 2 2 2 16 4" xfId="14535"/>
    <cellStyle name="Note 2 6 2 2 2 16 5" xfId="14536"/>
    <cellStyle name="Note 2 6 2 2 2 17" xfId="14537"/>
    <cellStyle name="Note 2 6 2 2 2 17 2" xfId="14538"/>
    <cellStyle name="Note 2 6 2 2 2 17 3" xfId="14539"/>
    <cellStyle name="Note 2 6 2 2 2 17 4" xfId="14540"/>
    <cellStyle name="Note 2 6 2 2 2 17 5" xfId="14541"/>
    <cellStyle name="Note 2 6 2 2 2 18" xfId="14542"/>
    <cellStyle name="Note 2 6 2 2 2 19" xfId="1016"/>
    <cellStyle name="Note 2 6 2 2 2 2" xfId="2243"/>
    <cellStyle name="Note 2 6 2 2 2 2 2" xfId="14543"/>
    <cellStyle name="Note 2 6 2 2 2 2 3" xfId="14544"/>
    <cellStyle name="Note 2 6 2 2 2 2 4" xfId="14545"/>
    <cellStyle name="Note 2 6 2 2 2 2 5" xfId="14546"/>
    <cellStyle name="Note 2 6 2 2 2 2 6" xfId="36391"/>
    <cellStyle name="Note 2 6 2 2 2 2 7" xfId="45345"/>
    <cellStyle name="Note 2 6 2 2 2 2 8" xfId="53469"/>
    <cellStyle name="Note 2 6 2 2 2 20" xfId="35096"/>
    <cellStyle name="Note 2 6 2 2 2 21" xfId="41315"/>
    <cellStyle name="Note 2 6 2 2 2 3" xfId="2244"/>
    <cellStyle name="Note 2 6 2 2 2 3 2" xfId="14547"/>
    <cellStyle name="Note 2 6 2 2 2 3 3" xfId="14548"/>
    <cellStyle name="Note 2 6 2 2 2 3 4" xfId="14549"/>
    <cellStyle name="Note 2 6 2 2 2 3 5" xfId="14550"/>
    <cellStyle name="Note 2 6 2 2 2 3 6" xfId="36888"/>
    <cellStyle name="Note 2 6 2 2 2 3 7" xfId="45346"/>
    <cellStyle name="Note 2 6 2 2 2 3 8" xfId="53470"/>
    <cellStyle name="Note 2 6 2 2 2 4" xfId="1266"/>
    <cellStyle name="Note 2 6 2 2 2 4 2" xfId="14551"/>
    <cellStyle name="Note 2 6 2 2 2 4 3" xfId="14552"/>
    <cellStyle name="Note 2 6 2 2 2 4 4" xfId="14553"/>
    <cellStyle name="Note 2 6 2 2 2 4 5" xfId="14554"/>
    <cellStyle name="Note 2 6 2 2 2 4 6" xfId="37504"/>
    <cellStyle name="Note 2 6 2 2 2 4 7" xfId="45347"/>
    <cellStyle name="Note 2 6 2 2 2 4 8" xfId="53471"/>
    <cellStyle name="Note 2 6 2 2 2 5" xfId="3334"/>
    <cellStyle name="Note 2 6 2 2 2 5 2" xfId="14555"/>
    <cellStyle name="Note 2 6 2 2 2 5 3" xfId="14556"/>
    <cellStyle name="Note 2 6 2 2 2 5 4" xfId="14557"/>
    <cellStyle name="Note 2 6 2 2 2 5 5" xfId="14558"/>
    <cellStyle name="Note 2 6 2 2 2 5 6" xfId="38120"/>
    <cellStyle name="Note 2 6 2 2 2 5 7" xfId="45348"/>
    <cellStyle name="Note 2 6 2 2 2 5 8" xfId="53472"/>
    <cellStyle name="Note 2 6 2 2 2 6" xfId="3656"/>
    <cellStyle name="Note 2 6 2 2 2 6 2" xfId="14559"/>
    <cellStyle name="Note 2 6 2 2 2 6 3" xfId="14560"/>
    <cellStyle name="Note 2 6 2 2 2 6 4" xfId="14561"/>
    <cellStyle name="Note 2 6 2 2 2 6 5" xfId="14562"/>
    <cellStyle name="Note 2 6 2 2 2 6 6" xfId="38738"/>
    <cellStyle name="Note 2 6 2 2 2 6 7" xfId="45349"/>
    <cellStyle name="Note 2 6 2 2 2 6 8" xfId="53473"/>
    <cellStyle name="Note 2 6 2 2 2 7" xfId="14563"/>
    <cellStyle name="Note 2 6 2 2 2 7 2" xfId="14564"/>
    <cellStyle name="Note 2 6 2 2 2 7 3" xfId="14565"/>
    <cellStyle name="Note 2 6 2 2 2 7 4" xfId="14566"/>
    <cellStyle name="Note 2 6 2 2 2 7 5" xfId="14567"/>
    <cellStyle name="Note 2 6 2 2 2 7 6" xfId="39358"/>
    <cellStyle name="Note 2 6 2 2 2 7 7" xfId="45350"/>
    <cellStyle name="Note 2 6 2 2 2 7 8" xfId="53474"/>
    <cellStyle name="Note 2 6 2 2 2 8" xfId="14568"/>
    <cellStyle name="Note 2 6 2 2 2 8 2" xfId="14569"/>
    <cellStyle name="Note 2 6 2 2 2 8 3" xfId="14570"/>
    <cellStyle name="Note 2 6 2 2 2 8 4" xfId="14571"/>
    <cellStyle name="Note 2 6 2 2 2 8 5" xfId="14572"/>
    <cellStyle name="Note 2 6 2 2 2 8 6" xfId="39974"/>
    <cellStyle name="Note 2 6 2 2 2 8 7" xfId="45351"/>
    <cellStyle name="Note 2 6 2 2 2 8 8" xfId="53475"/>
    <cellStyle name="Note 2 6 2 2 2 9" xfId="14573"/>
    <cellStyle name="Note 2 6 2 2 2 9 2" xfId="14574"/>
    <cellStyle name="Note 2 6 2 2 2 9 3" xfId="14575"/>
    <cellStyle name="Note 2 6 2 2 2 9 4" xfId="14576"/>
    <cellStyle name="Note 2 6 2 2 2 9 5" xfId="14577"/>
    <cellStyle name="Note 2 6 2 2 2 9 6" xfId="40589"/>
    <cellStyle name="Note 2 6 2 2 2 9 7" xfId="45352"/>
    <cellStyle name="Note 2 6 2 2 2 9 8" xfId="53476"/>
    <cellStyle name="Note 2 6 2 2 20" xfId="34563"/>
    <cellStyle name="Note 2 6 2 2 21" xfId="40888"/>
    <cellStyle name="Note 2 6 2 2 22" xfId="41449"/>
    <cellStyle name="Note 2 6 2 2 23" xfId="50536"/>
    <cellStyle name="Note 2 6 2 2 3" xfId="2245"/>
    <cellStyle name="Note 2 6 2 2 3 10" xfId="34907"/>
    <cellStyle name="Note 2 6 2 2 3 10 2" xfId="45354"/>
    <cellStyle name="Note 2 6 2 2 3 10 3" xfId="53478"/>
    <cellStyle name="Note 2 6 2 2 3 11" xfId="41103"/>
    <cellStyle name="Note 2 6 2 2 3 12" xfId="45353"/>
    <cellStyle name="Note 2 6 2 2 3 13" xfId="53477"/>
    <cellStyle name="Note 2 6 2 2 3 2" xfId="2246"/>
    <cellStyle name="Note 2 6 2 2 3 2 2" xfId="36180"/>
    <cellStyle name="Note 2 6 2 2 3 2 3" xfId="45355"/>
    <cellStyle name="Note 2 6 2 2 3 2 4" xfId="53479"/>
    <cellStyle name="Note 2 6 2 2 3 3" xfId="14578"/>
    <cellStyle name="Note 2 6 2 2 3 3 2" xfId="36677"/>
    <cellStyle name="Note 2 6 2 2 3 3 3" xfId="45356"/>
    <cellStyle name="Note 2 6 2 2 3 3 4" xfId="53480"/>
    <cellStyle name="Note 2 6 2 2 3 4" xfId="14579"/>
    <cellStyle name="Note 2 6 2 2 3 4 2" xfId="37293"/>
    <cellStyle name="Note 2 6 2 2 3 4 3" xfId="45357"/>
    <cellStyle name="Note 2 6 2 2 3 4 4" xfId="53481"/>
    <cellStyle name="Note 2 6 2 2 3 5" xfId="14580"/>
    <cellStyle name="Note 2 6 2 2 3 5 2" xfId="37909"/>
    <cellStyle name="Note 2 6 2 2 3 5 3" xfId="45358"/>
    <cellStyle name="Note 2 6 2 2 3 5 4" xfId="53482"/>
    <cellStyle name="Note 2 6 2 2 3 6" xfId="38526"/>
    <cellStyle name="Note 2 6 2 2 3 6 2" xfId="45359"/>
    <cellStyle name="Note 2 6 2 2 3 6 3" xfId="53483"/>
    <cellStyle name="Note 2 6 2 2 3 7" xfId="39146"/>
    <cellStyle name="Note 2 6 2 2 3 7 2" xfId="45360"/>
    <cellStyle name="Note 2 6 2 2 3 7 3" xfId="53484"/>
    <cellStyle name="Note 2 6 2 2 3 8" xfId="39762"/>
    <cellStyle name="Note 2 6 2 2 3 8 2" xfId="45361"/>
    <cellStyle name="Note 2 6 2 2 3 8 3" xfId="53485"/>
    <cellStyle name="Note 2 6 2 2 3 9" xfId="40377"/>
    <cellStyle name="Note 2 6 2 2 3 9 2" xfId="45362"/>
    <cellStyle name="Note 2 6 2 2 3 9 3" xfId="53486"/>
    <cellStyle name="Note 2 6 2 2 4" xfId="2247"/>
    <cellStyle name="Note 2 6 2 2 4 10" xfId="45363"/>
    <cellStyle name="Note 2 6 2 2 4 11" xfId="53487"/>
    <cellStyle name="Note 2 6 2 2 4 2" xfId="14581"/>
    <cellStyle name="Note 2 6 2 2 4 2 2" xfId="45364"/>
    <cellStyle name="Note 2 6 2 2 4 2 3" xfId="53488"/>
    <cellStyle name="Note 2 6 2 2 4 3" xfId="14582"/>
    <cellStyle name="Note 2 6 2 2 4 3 2" xfId="45365"/>
    <cellStyle name="Note 2 6 2 2 4 3 3" xfId="53489"/>
    <cellStyle name="Note 2 6 2 2 4 4" xfId="14583"/>
    <cellStyle name="Note 2 6 2 2 4 4 2" xfId="45366"/>
    <cellStyle name="Note 2 6 2 2 4 4 3" xfId="53490"/>
    <cellStyle name="Note 2 6 2 2 4 5" xfId="14584"/>
    <cellStyle name="Note 2 6 2 2 4 5 2" xfId="45367"/>
    <cellStyle name="Note 2 6 2 2 4 5 3" xfId="53491"/>
    <cellStyle name="Note 2 6 2 2 4 6" xfId="35694"/>
    <cellStyle name="Note 2 6 2 2 4 6 2" xfId="45368"/>
    <cellStyle name="Note 2 6 2 2 4 6 3" xfId="53492"/>
    <cellStyle name="Note 2 6 2 2 4 7" xfId="45369"/>
    <cellStyle name="Note 2 6 2 2 4 7 2" xfId="53493"/>
    <cellStyle name="Note 2 6 2 2 4 8" xfId="45370"/>
    <cellStyle name="Note 2 6 2 2 4 8 2" xfId="53494"/>
    <cellStyle name="Note 2 6 2 2 4 9" xfId="45371"/>
    <cellStyle name="Note 2 6 2 2 4 9 2" xfId="53495"/>
    <cellStyle name="Note 2 6 2 2 5" xfId="1265"/>
    <cellStyle name="Note 2 6 2 2 5 2" xfId="14585"/>
    <cellStyle name="Note 2 6 2 2 5 3" xfId="14586"/>
    <cellStyle name="Note 2 6 2 2 5 4" xfId="14587"/>
    <cellStyle name="Note 2 6 2 2 5 5" xfId="14588"/>
    <cellStyle name="Note 2 6 2 2 5 6" xfId="35759"/>
    <cellStyle name="Note 2 6 2 2 5 7" xfId="45372"/>
    <cellStyle name="Note 2 6 2 2 5 8" xfId="53496"/>
    <cellStyle name="Note 2 6 2 2 6" xfId="3333"/>
    <cellStyle name="Note 2 6 2 2 6 2" xfId="14589"/>
    <cellStyle name="Note 2 6 2 2 6 3" xfId="14590"/>
    <cellStyle name="Note 2 6 2 2 6 4" xfId="14591"/>
    <cellStyle name="Note 2 6 2 2 6 5" xfId="14592"/>
    <cellStyle name="Note 2 6 2 2 6 6" xfId="37078"/>
    <cellStyle name="Note 2 6 2 2 6 7" xfId="45373"/>
    <cellStyle name="Note 2 6 2 2 6 8" xfId="53497"/>
    <cellStyle name="Note 2 6 2 2 7" xfId="3655"/>
    <cellStyle name="Note 2 6 2 2 7 2" xfId="14593"/>
    <cellStyle name="Note 2 6 2 2 7 3" xfId="14594"/>
    <cellStyle name="Note 2 6 2 2 7 4" xfId="14595"/>
    <cellStyle name="Note 2 6 2 2 7 5" xfId="14596"/>
    <cellStyle name="Note 2 6 2 2 7 6" xfId="37692"/>
    <cellStyle name="Note 2 6 2 2 7 7" xfId="45374"/>
    <cellStyle name="Note 2 6 2 2 7 8" xfId="53498"/>
    <cellStyle name="Note 2 6 2 2 8" xfId="14597"/>
    <cellStyle name="Note 2 6 2 2 8 2" xfId="14598"/>
    <cellStyle name="Note 2 6 2 2 8 3" xfId="14599"/>
    <cellStyle name="Note 2 6 2 2 8 4" xfId="14600"/>
    <cellStyle name="Note 2 6 2 2 8 5" xfId="14601"/>
    <cellStyle name="Note 2 6 2 2 8 6" xfId="38307"/>
    <cellStyle name="Note 2 6 2 2 8 7" xfId="45375"/>
    <cellStyle name="Note 2 6 2 2 8 8" xfId="53499"/>
    <cellStyle name="Note 2 6 2 2 9" xfId="14602"/>
    <cellStyle name="Note 2 6 2 2 9 2" xfId="14603"/>
    <cellStyle name="Note 2 6 2 2 9 3" xfId="14604"/>
    <cellStyle name="Note 2 6 2 2 9 4" xfId="14605"/>
    <cellStyle name="Note 2 6 2 2 9 5" xfId="14606"/>
    <cellStyle name="Note 2 6 2 2 9 6" xfId="38927"/>
    <cellStyle name="Note 2 6 2 2 9 7" xfId="45376"/>
    <cellStyle name="Note 2 6 2 2 9 8" xfId="53500"/>
    <cellStyle name="Note 2 6 2 20" xfId="40815"/>
    <cellStyle name="Note 2 6 2 3" xfId="369"/>
    <cellStyle name="Note 2 6 2 3 10" xfId="14607"/>
    <cellStyle name="Note 2 6 2 3 10 2" xfId="14608"/>
    <cellStyle name="Note 2 6 2 3 10 3" xfId="14609"/>
    <cellStyle name="Note 2 6 2 3 10 4" xfId="14610"/>
    <cellStyle name="Note 2 6 2 3 10 5" xfId="14611"/>
    <cellStyle name="Note 2 6 2 3 10 6" xfId="40163"/>
    <cellStyle name="Note 2 6 2 3 10 7" xfId="45377"/>
    <cellStyle name="Note 2 6 2 3 10 8" xfId="53501"/>
    <cellStyle name="Note 2 6 2 3 11" xfId="14612"/>
    <cellStyle name="Note 2 6 2 3 11 2" xfId="14613"/>
    <cellStyle name="Note 2 6 2 3 11 3" xfId="14614"/>
    <cellStyle name="Note 2 6 2 3 11 4" xfId="14615"/>
    <cellStyle name="Note 2 6 2 3 11 5" xfId="14616"/>
    <cellStyle name="Note 2 6 2 3 11 6" xfId="45378"/>
    <cellStyle name="Note 2 6 2 3 11 7" xfId="53502"/>
    <cellStyle name="Note 2 6 2 3 12" xfId="14617"/>
    <cellStyle name="Note 2 6 2 3 12 2" xfId="14618"/>
    <cellStyle name="Note 2 6 2 3 12 3" xfId="14619"/>
    <cellStyle name="Note 2 6 2 3 12 4" xfId="14620"/>
    <cellStyle name="Note 2 6 2 3 12 5" xfId="14621"/>
    <cellStyle name="Note 2 6 2 3 12 6" xfId="45379"/>
    <cellStyle name="Note 2 6 2 3 12 7" xfId="53503"/>
    <cellStyle name="Note 2 6 2 3 13" xfId="14622"/>
    <cellStyle name="Note 2 6 2 3 13 2" xfId="14623"/>
    <cellStyle name="Note 2 6 2 3 13 3" xfId="14624"/>
    <cellStyle name="Note 2 6 2 3 13 4" xfId="14625"/>
    <cellStyle name="Note 2 6 2 3 13 5" xfId="14626"/>
    <cellStyle name="Note 2 6 2 3 13 6" xfId="45380"/>
    <cellStyle name="Note 2 6 2 3 13 7" xfId="53504"/>
    <cellStyle name="Note 2 6 2 3 14" xfId="14627"/>
    <cellStyle name="Note 2 6 2 3 14 2" xfId="14628"/>
    <cellStyle name="Note 2 6 2 3 14 3" xfId="14629"/>
    <cellStyle name="Note 2 6 2 3 14 4" xfId="14630"/>
    <cellStyle name="Note 2 6 2 3 14 5" xfId="14631"/>
    <cellStyle name="Note 2 6 2 3 15" xfId="14632"/>
    <cellStyle name="Note 2 6 2 3 15 2" xfId="14633"/>
    <cellStyle name="Note 2 6 2 3 15 3" xfId="14634"/>
    <cellStyle name="Note 2 6 2 3 15 4" xfId="14635"/>
    <cellStyle name="Note 2 6 2 3 15 5" xfId="14636"/>
    <cellStyle name="Note 2 6 2 3 16" xfId="14637"/>
    <cellStyle name="Note 2 6 2 3 16 2" xfId="14638"/>
    <cellStyle name="Note 2 6 2 3 16 3" xfId="14639"/>
    <cellStyle name="Note 2 6 2 3 16 4" xfId="14640"/>
    <cellStyle name="Note 2 6 2 3 16 5" xfId="14641"/>
    <cellStyle name="Note 2 6 2 3 17" xfId="14642"/>
    <cellStyle name="Note 2 6 2 3 17 2" xfId="14643"/>
    <cellStyle name="Note 2 6 2 3 17 3" xfId="14644"/>
    <cellStyle name="Note 2 6 2 3 17 4" xfId="14645"/>
    <cellStyle name="Note 2 6 2 3 17 5" xfId="14646"/>
    <cellStyle name="Note 2 6 2 3 18" xfId="14647"/>
    <cellStyle name="Note 2 6 2 3 19" xfId="805"/>
    <cellStyle name="Note 2 6 2 3 2" xfId="588"/>
    <cellStyle name="Note 2 6 2 3 2 10" xfId="14648"/>
    <cellStyle name="Note 2 6 2 3 2 10 2" xfId="14649"/>
    <cellStyle name="Note 2 6 2 3 2 10 3" xfId="14650"/>
    <cellStyle name="Note 2 6 2 3 2 10 4" xfId="14651"/>
    <cellStyle name="Note 2 6 2 3 2 10 5" xfId="14652"/>
    <cellStyle name="Note 2 6 2 3 2 10 6" xfId="45381"/>
    <cellStyle name="Note 2 6 2 3 2 10 7" xfId="53505"/>
    <cellStyle name="Note 2 6 2 3 2 11" xfId="14653"/>
    <cellStyle name="Note 2 6 2 3 2 11 2" xfId="14654"/>
    <cellStyle name="Note 2 6 2 3 2 11 3" xfId="14655"/>
    <cellStyle name="Note 2 6 2 3 2 11 4" xfId="14656"/>
    <cellStyle name="Note 2 6 2 3 2 11 5" xfId="14657"/>
    <cellStyle name="Note 2 6 2 3 2 12" xfId="14658"/>
    <cellStyle name="Note 2 6 2 3 2 12 2" xfId="14659"/>
    <cellStyle name="Note 2 6 2 3 2 12 3" xfId="14660"/>
    <cellStyle name="Note 2 6 2 3 2 12 4" xfId="14661"/>
    <cellStyle name="Note 2 6 2 3 2 12 5" xfId="14662"/>
    <cellStyle name="Note 2 6 2 3 2 13" xfId="14663"/>
    <cellStyle name="Note 2 6 2 3 2 13 2" xfId="14664"/>
    <cellStyle name="Note 2 6 2 3 2 13 3" xfId="14665"/>
    <cellStyle name="Note 2 6 2 3 2 13 4" xfId="14666"/>
    <cellStyle name="Note 2 6 2 3 2 13 5" xfId="14667"/>
    <cellStyle name="Note 2 6 2 3 2 14" xfId="14668"/>
    <cellStyle name="Note 2 6 2 3 2 14 2" xfId="14669"/>
    <cellStyle name="Note 2 6 2 3 2 14 3" xfId="14670"/>
    <cellStyle name="Note 2 6 2 3 2 14 4" xfId="14671"/>
    <cellStyle name="Note 2 6 2 3 2 14 5" xfId="14672"/>
    <cellStyle name="Note 2 6 2 3 2 15" xfId="14673"/>
    <cellStyle name="Note 2 6 2 3 2 15 2" xfId="14674"/>
    <cellStyle name="Note 2 6 2 3 2 15 3" xfId="14675"/>
    <cellStyle name="Note 2 6 2 3 2 15 4" xfId="14676"/>
    <cellStyle name="Note 2 6 2 3 2 15 5" xfId="14677"/>
    <cellStyle name="Note 2 6 2 3 2 16" xfId="14678"/>
    <cellStyle name="Note 2 6 2 3 2 16 2" xfId="14679"/>
    <cellStyle name="Note 2 6 2 3 2 16 3" xfId="14680"/>
    <cellStyle name="Note 2 6 2 3 2 16 4" xfId="14681"/>
    <cellStyle name="Note 2 6 2 3 2 16 5" xfId="14682"/>
    <cellStyle name="Note 2 6 2 3 2 17" xfId="14683"/>
    <cellStyle name="Note 2 6 2 3 2 17 2" xfId="14684"/>
    <cellStyle name="Note 2 6 2 3 2 17 3" xfId="14685"/>
    <cellStyle name="Note 2 6 2 3 2 17 4" xfId="14686"/>
    <cellStyle name="Note 2 6 2 3 2 17 5" xfId="14687"/>
    <cellStyle name="Note 2 6 2 3 2 18" xfId="14688"/>
    <cellStyle name="Note 2 6 2 3 2 19" xfId="1017"/>
    <cellStyle name="Note 2 6 2 3 2 2" xfId="2248"/>
    <cellStyle name="Note 2 6 2 3 2 2 2" xfId="14689"/>
    <cellStyle name="Note 2 6 2 3 2 2 3" xfId="14690"/>
    <cellStyle name="Note 2 6 2 3 2 2 4" xfId="14691"/>
    <cellStyle name="Note 2 6 2 3 2 2 5" xfId="14692"/>
    <cellStyle name="Note 2 6 2 3 2 2 6" xfId="36392"/>
    <cellStyle name="Note 2 6 2 3 2 2 7" xfId="45382"/>
    <cellStyle name="Note 2 6 2 3 2 2 8" xfId="53506"/>
    <cellStyle name="Note 2 6 2 3 2 20" xfId="35097"/>
    <cellStyle name="Note 2 6 2 3 2 21" xfId="41316"/>
    <cellStyle name="Note 2 6 2 3 2 3" xfId="2249"/>
    <cellStyle name="Note 2 6 2 3 2 3 2" xfId="14693"/>
    <cellStyle name="Note 2 6 2 3 2 3 3" xfId="14694"/>
    <cellStyle name="Note 2 6 2 3 2 3 4" xfId="14695"/>
    <cellStyle name="Note 2 6 2 3 2 3 5" xfId="14696"/>
    <cellStyle name="Note 2 6 2 3 2 3 6" xfId="36889"/>
    <cellStyle name="Note 2 6 2 3 2 3 7" xfId="45383"/>
    <cellStyle name="Note 2 6 2 3 2 3 8" xfId="53507"/>
    <cellStyle name="Note 2 6 2 3 2 4" xfId="1268"/>
    <cellStyle name="Note 2 6 2 3 2 4 2" xfId="14697"/>
    <cellStyle name="Note 2 6 2 3 2 4 3" xfId="14698"/>
    <cellStyle name="Note 2 6 2 3 2 4 4" xfId="14699"/>
    <cellStyle name="Note 2 6 2 3 2 4 5" xfId="14700"/>
    <cellStyle name="Note 2 6 2 3 2 4 6" xfId="37505"/>
    <cellStyle name="Note 2 6 2 3 2 4 7" xfId="45384"/>
    <cellStyle name="Note 2 6 2 3 2 4 8" xfId="53508"/>
    <cellStyle name="Note 2 6 2 3 2 5" xfId="3336"/>
    <cellStyle name="Note 2 6 2 3 2 5 2" xfId="14701"/>
    <cellStyle name="Note 2 6 2 3 2 5 3" xfId="14702"/>
    <cellStyle name="Note 2 6 2 3 2 5 4" xfId="14703"/>
    <cellStyle name="Note 2 6 2 3 2 5 5" xfId="14704"/>
    <cellStyle name="Note 2 6 2 3 2 5 6" xfId="38121"/>
    <cellStyle name="Note 2 6 2 3 2 5 7" xfId="45385"/>
    <cellStyle name="Note 2 6 2 3 2 5 8" xfId="53509"/>
    <cellStyle name="Note 2 6 2 3 2 6" xfId="3658"/>
    <cellStyle name="Note 2 6 2 3 2 6 2" xfId="14705"/>
    <cellStyle name="Note 2 6 2 3 2 6 3" xfId="14706"/>
    <cellStyle name="Note 2 6 2 3 2 6 4" xfId="14707"/>
    <cellStyle name="Note 2 6 2 3 2 6 5" xfId="14708"/>
    <cellStyle name="Note 2 6 2 3 2 6 6" xfId="38739"/>
    <cellStyle name="Note 2 6 2 3 2 6 7" xfId="45386"/>
    <cellStyle name="Note 2 6 2 3 2 6 8" xfId="53510"/>
    <cellStyle name="Note 2 6 2 3 2 7" xfId="14709"/>
    <cellStyle name="Note 2 6 2 3 2 7 2" xfId="14710"/>
    <cellStyle name="Note 2 6 2 3 2 7 3" xfId="14711"/>
    <cellStyle name="Note 2 6 2 3 2 7 4" xfId="14712"/>
    <cellStyle name="Note 2 6 2 3 2 7 5" xfId="14713"/>
    <cellStyle name="Note 2 6 2 3 2 7 6" xfId="39359"/>
    <cellStyle name="Note 2 6 2 3 2 7 7" xfId="45387"/>
    <cellStyle name="Note 2 6 2 3 2 7 8" xfId="53511"/>
    <cellStyle name="Note 2 6 2 3 2 8" xfId="14714"/>
    <cellStyle name="Note 2 6 2 3 2 8 2" xfId="14715"/>
    <cellStyle name="Note 2 6 2 3 2 8 3" xfId="14716"/>
    <cellStyle name="Note 2 6 2 3 2 8 4" xfId="14717"/>
    <cellStyle name="Note 2 6 2 3 2 8 5" xfId="14718"/>
    <cellStyle name="Note 2 6 2 3 2 8 6" xfId="39975"/>
    <cellStyle name="Note 2 6 2 3 2 8 7" xfId="45388"/>
    <cellStyle name="Note 2 6 2 3 2 8 8" xfId="53512"/>
    <cellStyle name="Note 2 6 2 3 2 9" xfId="14719"/>
    <cellStyle name="Note 2 6 2 3 2 9 2" xfId="14720"/>
    <cellStyle name="Note 2 6 2 3 2 9 3" xfId="14721"/>
    <cellStyle name="Note 2 6 2 3 2 9 4" xfId="14722"/>
    <cellStyle name="Note 2 6 2 3 2 9 5" xfId="14723"/>
    <cellStyle name="Note 2 6 2 3 2 9 6" xfId="40590"/>
    <cellStyle name="Note 2 6 2 3 2 9 7" xfId="45389"/>
    <cellStyle name="Note 2 6 2 3 2 9 8" xfId="53513"/>
    <cellStyle name="Note 2 6 2 3 20" xfId="34725"/>
    <cellStyle name="Note 2 6 2 3 21" xfId="40889"/>
    <cellStyle name="Note 2 6 2 3 22" xfId="41450"/>
    <cellStyle name="Note 2 6 2 3 23" xfId="50537"/>
    <cellStyle name="Note 2 6 2 3 3" xfId="2250"/>
    <cellStyle name="Note 2 6 2 3 3 10" xfId="34794"/>
    <cellStyle name="Note 2 6 2 3 3 10 2" xfId="45391"/>
    <cellStyle name="Note 2 6 2 3 3 10 3" xfId="53515"/>
    <cellStyle name="Note 2 6 2 3 3 11" xfId="41104"/>
    <cellStyle name="Note 2 6 2 3 3 12" xfId="45390"/>
    <cellStyle name="Note 2 6 2 3 3 13" xfId="53514"/>
    <cellStyle name="Note 2 6 2 3 3 2" xfId="2251"/>
    <cellStyle name="Note 2 6 2 3 3 2 2" xfId="36181"/>
    <cellStyle name="Note 2 6 2 3 3 2 3" xfId="45392"/>
    <cellStyle name="Note 2 6 2 3 3 2 4" xfId="53516"/>
    <cellStyle name="Note 2 6 2 3 3 3" xfId="14724"/>
    <cellStyle name="Note 2 6 2 3 3 3 2" xfId="36678"/>
    <cellStyle name="Note 2 6 2 3 3 3 3" xfId="45393"/>
    <cellStyle name="Note 2 6 2 3 3 3 4" xfId="53517"/>
    <cellStyle name="Note 2 6 2 3 3 4" xfId="14725"/>
    <cellStyle name="Note 2 6 2 3 3 4 2" xfId="37294"/>
    <cellStyle name="Note 2 6 2 3 3 4 3" xfId="45394"/>
    <cellStyle name="Note 2 6 2 3 3 4 4" xfId="53518"/>
    <cellStyle name="Note 2 6 2 3 3 5" xfId="14726"/>
    <cellStyle name="Note 2 6 2 3 3 5 2" xfId="37910"/>
    <cellStyle name="Note 2 6 2 3 3 5 3" xfId="45395"/>
    <cellStyle name="Note 2 6 2 3 3 5 4" xfId="53519"/>
    <cellStyle name="Note 2 6 2 3 3 6" xfId="38527"/>
    <cellStyle name="Note 2 6 2 3 3 6 2" xfId="45396"/>
    <cellStyle name="Note 2 6 2 3 3 6 3" xfId="53520"/>
    <cellStyle name="Note 2 6 2 3 3 7" xfId="39147"/>
    <cellStyle name="Note 2 6 2 3 3 7 2" xfId="45397"/>
    <cellStyle name="Note 2 6 2 3 3 7 3" xfId="53521"/>
    <cellStyle name="Note 2 6 2 3 3 8" xfId="39763"/>
    <cellStyle name="Note 2 6 2 3 3 8 2" xfId="45398"/>
    <cellStyle name="Note 2 6 2 3 3 8 3" xfId="53522"/>
    <cellStyle name="Note 2 6 2 3 3 9" xfId="40378"/>
    <cellStyle name="Note 2 6 2 3 3 9 2" xfId="45399"/>
    <cellStyle name="Note 2 6 2 3 3 9 3" xfId="53523"/>
    <cellStyle name="Note 2 6 2 3 4" xfId="2252"/>
    <cellStyle name="Note 2 6 2 3 4 10" xfId="45400"/>
    <cellStyle name="Note 2 6 2 3 4 11" xfId="53524"/>
    <cellStyle name="Note 2 6 2 3 4 2" xfId="14727"/>
    <cellStyle name="Note 2 6 2 3 4 2 2" xfId="45401"/>
    <cellStyle name="Note 2 6 2 3 4 2 3" xfId="53525"/>
    <cellStyle name="Note 2 6 2 3 4 3" xfId="14728"/>
    <cellStyle name="Note 2 6 2 3 4 3 2" xfId="45402"/>
    <cellStyle name="Note 2 6 2 3 4 3 3" xfId="53526"/>
    <cellStyle name="Note 2 6 2 3 4 4" xfId="14729"/>
    <cellStyle name="Note 2 6 2 3 4 4 2" xfId="45403"/>
    <cellStyle name="Note 2 6 2 3 4 4 3" xfId="53527"/>
    <cellStyle name="Note 2 6 2 3 4 5" xfId="14730"/>
    <cellStyle name="Note 2 6 2 3 4 5 2" xfId="45404"/>
    <cellStyle name="Note 2 6 2 3 4 5 3" xfId="53528"/>
    <cellStyle name="Note 2 6 2 3 4 6" xfId="35758"/>
    <cellStyle name="Note 2 6 2 3 4 6 2" xfId="45405"/>
    <cellStyle name="Note 2 6 2 3 4 6 3" xfId="53529"/>
    <cellStyle name="Note 2 6 2 3 4 7" xfId="45406"/>
    <cellStyle name="Note 2 6 2 3 4 7 2" xfId="53530"/>
    <cellStyle name="Note 2 6 2 3 4 8" xfId="45407"/>
    <cellStyle name="Note 2 6 2 3 4 8 2" xfId="53531"/>
    <cellStyle name="Note 2 6 2 3 4 9" xfId="45408"/>
    <cellStyle name="Note 2 6 2 3 4 9 2" xfId="53532"/>
    <cellStyle name="Note 2 6 2 3 5" xfId="1267"/>
    <cellStyle name="Note 2 6 2 3 5 2" xfId="14731"/>
    <cellStyle name="Note 2 6 2 3 5 3" xfId="14732"/>
    <cellStyle name="Note 2 6 2 3 5 4" xfId="14733"/>
    <cellStyle name="Note 2 6 2 3 5 5" xfId="14734"/>
    <cellStyle name="Note 2 6 2 3 5 6" xfId="37079"/>
    <cellStyle name="Note 2 6 2 3 5 7" xfId="45409"/>
    <cellStyle name="Note 2 6 2 3 5 8" xfId="53533"/>
    <cellStyle name="Note 2 6 2 3 6" xfId="3335"/>
    <cellStyle name="Note 2 6 2 3 6 2" xfId="14735"/>
    <cellStyle name="Note 2 6 2 3 6 3" xfId="14736"/>
    <cellStyle name="Note 2 6 2 3 6 4" xfId="14737"/>
    <cellStyle name="Note 2 6 2 3 6 5" xfId="14738"/>
    <cellStyle name="Note 2 6 2 3 6 6" xfId="37693"/>
    <cellStyle name="Note 2 6 2 3 6 7" xfId="45410"/>
    <cellStyle name="Note 2 6 2 3 6 8" xfId="53534"/>
    <cellStyle name="Note 2 6 2 3 7" xfId="3657"/>
    <cellStyle name="Note 2 6 2 3 7 2" xfId="14739"/>
    <cellStyle name="Note 2 6 2 3 7 3" xfId="14740"/>
    <cellStyle name="Note 2 6 2 3 7 4" xfId="14741"/>
    <cellStyle name="Note 2 6 2 3 7 5" xfId="14742"/>
    <cellStyle name="Note 2 6 2 3 7 6" xfId="38308"/>
    <cellStyle name="Note 2 6 2 3 7 7" xfId="45411"/>
    <cellStyle name="Note 2 6 2 3 7 8" xfId="53535"/>
    <cellStyle name="Note 2 6 2 3 8" xfId="14743"/>
    <cellStyle name="Note 2 6 2 3 8 2" xfId="14744"/>
    <cellStyle name="Note 2 6 2 3 8 3" xfId="14745"/>
    <cellStyle name="Note 2 6 2 3 8 4" xfId="14746"/>
    <cellStyle name="Note 2 6 2 3 8 5" xfId="14747"/>
    <cellStyle name="Note 2 6 2 3 8 6" xfId="38928"/>
    <cellStyle name="Note 2 6 2 3 8 7" xfId="45412"/>
    <cellStyle name="Note 2 6 2 3 8 8" xfId="53536"/>
    <cellStyle name="Note 2 6 2 3 9" xfId="14748"/>
    <cellStyle name="Note 2 6 2 3 9 2" xfId="14749"/>
    <cellStyle name="Note 2 6 2 3 9 3" xfId="14750"/>
    <cellStyle name="Note 2 6 2 3 9 4" xfId="14751"/>
    <cellStyle name="Note 2 6 2 3 9 5" xfId="14752"/>
    <cellStyle name="Note 2 6 2 3 9 6" xfId="39547"/>
    <cellStyle name="Note 2 6 2 3 9 7" xfId="45413"/>
    <cellStyle name="Note 2 6 2 3 9 8" xfId="53537"/>
    <cellStyle name="Note 2 6 2 4" xfId="516"/>
    <cellStyle name="Note 2 6 2 4 10" xfId="14753"/>
    <cellStyle name="Note 2 6 2 4 10 2" xfId="14754"/>
    <cellStyle name="Note 2 6 2 4 10 3" xfId="14755"/>
    <cellStyle name="Note 2 6 2 4 10 4" xfId="14756"/>
    <cellStyle name="Note 2 6 2 4 10 5" xfId="14757"/>
    <cellStyle name="Note 2 6 2 4 10 6" xfId="45414"/>
    <cellStyle name="Note 2 6 2 4 10 7" xfId="53538"/>
    <cellStyle name="Note 2 6 2 4 11" xfId="14758"/>
    <cellStyle name="Note 2 6 2 4 11 2" xfId="14759"/>
    <cellStyle name="Note 2 6 2 4 11 3" xfId="14760"/>
    <cellStyle name="Note 2 6 2 4 11 4" xfId="14761"/>
    <cellStyle name="Note 2 6 2 4 11 5" xfId="14762"/>
    <cellStyle name="Note 2 6 2 4 12" xfId="14763"/>
    <cellStyle name="Note 2 6 2 4 12 2" xfId="14764"/>
    <cellStyle name="Note 2 6 2 4 12 3" xfId="14765"/>
    <cellStyle name="Note 2 6 2 4 12 4" xfId="14766"/>
    <cellStyle name="Note 2 6 2 4 12 5" xfId="14767"/>
    <cellStyle name="Note 2 6 2 4 13" xfId="14768"/>
    <cellStyle name="Note 2 6 2 4 13 2" xfId="14769"/>
    <cellStyle name="Note 2 6 2 4 13 3" xfId="14770"/>
    <cellStyle name="Note 2 6 2 4 13 4" xfId="14771"/>
    <cellStyle name="Note 2 6 2 4 13 5" xfId="14772"/>
    <cellStyle name="Note 2 6 2 4 14" xfId="14773"/>
    <cellStyle name="Note 2 6 2 4 14 2" xfId="14774"/>
    <cellStyle name="Note 2 6 2 4 14 3" xfId="14775"/>
    <cellStyle name="Note 2 6 2 4 14 4" xfId="14776"/>
    <cellStyle name="Note 2 6 2 4 14 5" xfId="14777"/>
    <cellStyle name="Note 2 6 2 4 15" xfId="14778"/>
    <cellStyle name="Note 2 6 2 4 15 2" xfId="14779"/>
    <cellStyle name="Note 2 6 2 4 15 3" xfId="14780"/>
    <cellStyle name="Note 2 6 2 4 15 4" xfId="14781"/>
    <cellStyle name="Note 2 6 2 4 15 5" xfId="14782"/>
    <cellStyle name="Note 2 6 2 4 16" xfId="14783"/>
    <cellStyle name="Note 2 6 2 4 16 2" xfId="14784"/>
    <cellStyle name="Note 2 6 2 4 16 3" xfId="14785"/>
    <cellStyle name="Note 2 6 2 4 16 4" xfId="14786"/>
    <cellStyle name="Note 2 6 2 4 16 5" xfId="14787"/>
    <cellStyle name="Note 2 6 2 4 17" xfId="14788"/>
    <cellStyle name="Note 2 6 2 4 17 2" xfId="14789"/>
    <cellStyle name="Note 2 6 2 4 17 3" xfId="14790"/>
    <cellStyle name="Note 2 6 2 4 17 4" xfId="14791"/>
    <cellStyle name="Note 2 6 2 4 17 5" xfId="14792"/>
    <cellStyle name="Note 2 6 2 4 18" xfId="14793"/>
    <cellStyle name="Note 2 6 2 4 19" xfId="945"/>
    <cellStyle name="Note 2 6 2 4 2" xfId="2253"/>
    <cellStyle name="Note 2 6 2 4 2 2" xfId="14794"/>
    <cellStyle name="Note 2 6 2 4 2 3" xfId="14795"/>
    <cellStyle name="Note 2 6 2 4 2 4" xfId="14796"/>
    <cellStyle name="Note 2 6 2 4 2 5" xfId="14797"/>
    <cellStyle name="Note 2 6 2 4 2 6" xfId="36320"/>
    <cellStyle name="Note 2 6 2 4 2 7" xfId="45415"/>
    <cellStyle name="Note 2 6 2 4 2 8" xfId="53539"/>
    <cellStyle name="Note 2 6 2 4 20" xfId="35025"/>
    <cellStyle name="Note 2 6 2 4 21" xfId="40734"/>
    <cellStyle name="Note 2 6 2 4 22" xfId="41244"/>
    <cellStyle name="Note 2 6 2 4 3" xfId="2254"/>
    <cellStyle name="Note 2 6 2 4 3 2" xfId="14798"/>
    <cellStyle name="Note 2 6 2 4 3 3" xfId="14799"/>
    <cellStyle name="Note 2 6 2 4 3 4" xfId="14800"/>
    <cellStyle name="Note 2 6 2 4 3 5" xfId="14801"/>
    <cellStyle name="Note 2 6 2 4 3 6" xfId="36817"/>
    <cellStyle name="Note 2 6 2 4 3 7" xfId="45416"/>
    <cellStyle name="Note 2 6 2 4 3 8" xfId="53540"/>
    <cellStyle name="Note 2 6 2 4 4" xfId="1269"/>
    <cellStyle name="Note 2 6 2 4 4 2" xfId="14802"/>
    <cellStyle name="Note 2 6 2 4 4 3" xfId="14803"/>
    <cellStyle name="Note 2 6 2 4 4 4" xfId="14804"/>
    <cellStyle name="Note 2 6 2 4 4 5" xfId="14805"/>
    <cellStyle name="Note 2 6 2 4 4 6" xfId="37433"/>
    <cellStyle name="Note 2 6 2 4 4 7" xfId="45417"/>
    <cellStyle name="Note 2 6 2 4 4 8" xfId="53541"/>
    <cellStyle name="Note 2 6 2 4 5" xfId="3337"/>
    <cellStyle name="Note 2 6 2 4 5 2" xfId="14806"/>
    <cellStyle name="Note 2 6 2 4 5 3" xfId="14807"/>
    <cellStyle name="Note 2 6 2 4 5 4" xfId="14808"/>
    <cellStyle name="Note 2 6 2 4 5 5" xfId="14809"/>
    <cellStyle name="Note 2 6 2 4 5 6" xfId="38049"/>
    <cellStyle name="Note 2 6 2 4 5 7" xfId="45418"/>
    <cellStyle name="Note 2 6 2 4 5 8" xfId="53542"/>
    <cellStyle name="Note 2 6 2 4 6" xfId="3659"/>
    <cellStyle name="Note 2 6 2 4 6 2" xfId="14810"/>
    <cellStyle name="Note 2 6 2 4 6 3" xfId="14811"/>
    <cellStyle name="Note 2 6 2 4 6 4" xfId="14812"/>
    <cellStyle name="Note 2 6 2 4 6 5" xfId="14813"/>
    <cellStyle name="Note 2 6 2 4 6 6" xfId="38667"/>
    <cellStyle name="Note 2 6 2 4 6 7" xfId="45419"/>
    <cellStyle name="Note 2 6 2 4 6 8" xfId="53543"/>
    <cellStyle name="Note 2 6 2 4 7" xfId="14814"/>
    <cellStyle name="Note 2 6 2 4 7 2" xfId="14815"/>
    <cellStyle name="Note 2 6 2 4 7 3" xfId="14816"/>
    <cellStyle name="Note 2 6 2 4 7 4" xfId="14817"/>
    <cellStyle name="Note 2 6 2 4 7 5" xfId="14818"/>
    <cellStyle name="Note 2 6 2 4 7 6" xfId="39287"/>
    <cellStyle name="Note 2 6 2 4 7 7" xfId="45420"/>
    <cellStyle name="Note 2 6 2 4 7 8" xfId="53544"/>
    <cellStyle name="Note 2 6 2 4 8" xfId="14819"/>
    <cellStyle name="Note 2 6 2 4 8 2" xfId="14820"/>
    <cellStyle name="Note 2 6 2 4 8 3" xfId="14821"/>
    <cellStyle name="Note 2 6 2 4 8 4" xfId="14822"/>
    <cellStyle name="Note 2 6 2 4 8 5" xfId="14823"/>
    <cellStyle name="Note 2 6 2 4 8 6" xfId="39903"/>
    <cellStyle name="Note 2 6 2 4 8 7" xfId="45421"/>
    <cellStyle name="Note 2 6 2 4 8 8" xfId="53545"/>
    <cellStyle name="Note 2 6 2 4 9" xfId="14824"/>
    <cellStyle name="Note 2 6 2 4 9 2" xfId="14825"/>
    <cellStyle name="Note 2 6 2 4 9 3" xfId="14826"/>
    <cellStyle name="Note 2 6 2 4 9 4" xfId="14827"/>
    <cellStyle name="Note 2 6 2 4 9 5" xfId="14828"/>
    <cellStyle name="Note 2 6 2 4 9 6" xfId="40518"/>
    <cellStyle name="Note 2 6 2 4 9 7" xfId="45422"/>
    <cellStyle name="Note 2 6 2 4 9 8" xfId="53546"/>
    <cellStyle name="Note 2 6 2 5" xfId="2255"/>
    <cellStyle name="Note 2 6 2 5 10" xfId="34759"/>
    <cellStyle name="Note 2 6 2 5 10 2" xfId="45424"/>
    <cellStyle name="Note 2 6 2 5 10 3" xfId="53548"/>
    <cellStyle name="Note 2 6 2 5 11" xfId="41030"/>
    <cellStyle name="Note 2 6 2 5 12" xfId="45423"/>
    <cellStyle name="Note 2 6 2 5 13" xfId="53547"/>
    <cellStyle name="Note 2 6 2 5 2" xfId="2256"/>
    <cellStyle name="Note 2 6 2 5 2 2" xfId="36107"/>
    <cellStyle name="Note 2 6 2 5 2 3" xfId="45425"/>
    <cellStyle name="Note 2 6 2 5 2 4" xfId="53549"/>
    <cellStyle name="Note 2 6 2 5 3" xfId="14829"/>
    <cellStyle name="Note 2 6 2 5 3 2" xfId="36606"/>
    <cellStyle name="Note 2 6 2 5 3 3" xfId="45426"/>
    <cellStyle name="Note 2 6 2 5 3 4" xfId="53550"/>
    <cellStyle name="Note 2 6 2 5 4" xfId="14830"/>
    <cellStyle name="Note 2 6 2 5 4 2" xfId="37222"/>
    <cellStyle name="Note 2 6 2 5 4 3" xfId="45427"/>
    <cellStyle name="Note 2 6 2 5 4 4" xfId="53551"/>
    <cellStyle name="Note 2 6 2 5 5" xfId="14831"/>
    <cellStyle name="Note 2 6 2 5 5 2" xfId="37838"/>
    <cellStyle name="Note 2 6 2 5 5 3" xfId="45428"/>
    <cellStyle name="Note 2 6 2 5 5 4" xfId="53552"/>
    <cellStyle name="Note 2 6 2 5 6" xfId="38453"/>
    <cellStyle name="Note 2 6 2 5 6 2" xfId="45429"/>
    <cellStyle name="Note 2 6 2 5 6 3" xfId="53553"/>
    <cellStyle name="Note 2 6 2 5 7" xfId="39073"/>
    <cellStyle name="Note 2 6 2 5 7 2" xfId="45430"/>
    <cellStyle name="Note 2 6 2 5 7 3" xfId="53554"/>
    <cellStyle name="Note 2 6 2 5 8" xfId="39689"/>
    <cellStyle name="Note 2 6 2 5 8 2" xfId="45431"/>
    <cellStyle name="Note 2 6 2 5 8 3" xfId="53555"/>
    <cellStyle name="Note 2 6 2 5 9" xfId="40304"/>
    <cellStyle name="Note 2 6 2 5 9 2" xfId="45432"/>
    <cellStyle name="Note 2 6 2 5 9 3" xfId="53556"/>
    <cellStyle name="Note 2 6 2 6" xfId="1264"/>
    <cellStyle name="Note 2 6 2 6 10" xfId="45433"/>
    <cellStyle name="Note 2 6 2 6 11" xfId="53557"/>
    <cellStyle name="Note 2 6 2 6 2" xfId="14832"/>
    <cellStyle name="Note 2 6 2 6 2 2" xfId="45434"/>
    <cellStyle name="Note 2 6 2 6 2 3" xfId="53558"/>
    <cellStyle name="Note 2 6 2 6 3" xfId="14833"/>
    <cellStyle name="Note 2 6 2 6 3 2" xfId="45435"/>
    <cellStyle name="Note 2 6 2 6 3 3" xfId="53559"/>
    <cellStyle name="Note 2 6 2 6 4" xfId="14834"/>
    <cellStyle name="Note 2 6 2 6 4 2" xfId="45436"/>
    <cellStyle name="Note 2 6 2 6 4 3" xfId="53560"/>
    <cellStyle name="Note 2 6 2 6 5" xfId="14835"/>
    <cellStyle name="Note 2 6 2 6 5 2" xfId="45437"/>
    <cellStyle name="Note 2 6 2 6 5 3" xfId="53561"/>
    <cellStyle name="Note 2 6 2 6 6" xfId="35425"/>
    <cellStyle name="Note 2 6 2 6 6 2" xfId="45438"/>
    <cellStyle name="Note 2 6 2 6 6 3" xfId="53562"/>
    <cellStyle name="Note 2 6 2 6 7" xfId="45439"/>
    <cellStyle name="Note 2 6 2 6 7 2" xfId="53563"/>
    <cellStyle name="Note 2 6 2 6 8" xfId="45440"/>
    <cellStyle name="Note 2 6 2 6 8 2" xfId="53564"/>
    <cellStyle name="Note 2 6 2 6 9" xfId="45441"/>
    <cellStyle name="Note 2 6 2 6 9 2" xfId="53565"/>
    <cellStyle name="Note 2 6 2 7" xfId="3332"/>
    <cellStyle name="Note 2 6 2 7 2" xfId="14836"/>
    <cellStyle name="Note 2 6 2 7 3" xfId="14837"/>
    <cellStyle name="Note 2 6 2 7 4" xfId="14838"/>
    <cellStyle name="Note 2 6 2 7 5" xfId="14839"/>
    <cellStyle name="Note 2 6 2 7 6" xfId="35957"/>
    <cellStyle name="Note 2 6 2 7 7" xfId="45442"/>
    <cellStyle name="Note 2 6 2 7 8" xfId="53566"/>
    <cellStyle name="Note 2 6 2 8" xfId="3654"/>
    <cellStyle name="Note 2 6 2 8 2" xfId="14840"/>
    <cellStyle name="Note 2 6 2 8 3" xfId="14841"/>
    <cellStyle name="Note 2 6 2 8 4" xfId="14842"/>
    <cellStyle name="Note 2 6 2 8 5" xfId="14843"/>
    <cellStyle name="Note 2 6 2 8 6" xfId="36150"/>
    <cellStyle name="Note 2 6 2 8 7" xfId="45443"/>
    <cellStyle name="Note 2 6 2 8 8" xfId="53567"/>
    <cellStyle name="Note 2 6 2 9" xfId="14844"/>
    <cellStyle name="Note 2 6 2 9 2" xfId="14845"/>
    <cellStyle name="Note 2 6 2 9 3" xfId="14846"/>
    <cellStyle name="Note 2 6 2 9 4" xfId="14847"/>
    <cellStyle name="Note 2 6 2 9 5" xfId="14848"/>
    <cellStyle name="Note 2 6 2 9 6" xfId="37002"/>
    <cellStyle name="Note 2 6 2 9 7" xfId="45444"/>
    <cellStyle name="Note 2 6 2 9 8" xfId="53568"/>
    <cellStyle name="Note 2 6 20" xfId="34847"/>
    <cellStyle name="Note 2 6 21" xfId="40784"/>
    <cellStyle name="Note 2 6 3" xfId="370"/>
    <cellStyle name="Note 2 6 3 10" xfId="14849"/>
    <cellStyle name="Note 2 6 3 10 2" xfId="14850"/>
    <cellStyle name="Note 2 6 3 10 3" xfId="14851"/>
    <cellStyle name="Note 2 6 3 10 4" xfId="14852"/>
    <cellStyle name="Note 2 6 3 10 5" xfId="14853"/>
    <cellStyle name="Note 2 6 3 10 6" xfId="39548"/>
    <cellStyle name="Note 2 6 3 10 7" xfId="45445"/>
    <cellStyle name="Note 2 6 3 10 8" xfId="53569"/>
    <cellStyle name="Note 2 6 3 11" xfId="14854"/>
    <cellStyle name="Note 2 6 3 11 2" xfId="14855"/>
    <cellStyle name="Note 2 6 3 11 3" xfId="14856"/>
    <cellStyle name="Note 2 6 3 11 4" xfId="14857"/>
    <cellStyle name="Note 2 6 3 11 5" xfId="14858"/>
    <cellStyle name="Note 2 6 3 11 6" xfId="40164"/>
    <cellStyle name="Note 2 6 3 11 7" xfId="45446"/>
    <cellStyle name="Note 2 6 3 11 8" xfId="53570"/>
    <cellStyle name="Note 2 6 3 12" xfId="14859"/>
    <cellStyle name="Note 2 6 3 12 2" xfId="14860"/>
    <cellStyle name="Note 2 6 3 12 3" xfId="14861"/>
    <cellStyle name="Note 2 6 3 12 4" xfId="14862"/>
    <cellStyle name="Note 2 6 3 12 5" xfId="14863"/>
    <cellStyle name="Note 2 6 3 12 6" xfId="45447"/>
    <cellStyle name="Note 2 6 3 12 7" xfId="53571"/>
    <cellStyle name="Note 2 6 3 13" xfId="14864"/>
    <cellStyle name="Note 2 6 3 13 2" xfId="14865"/>
    <cellStyle name="Note 2 6 3 13 3" xfId="14866"/>
    <cellStyle name="Note 2 6 3 13 4" xfId="14867"/>
    <cellStyle name="Note 2 6 3 13 5" xfId="14868"/>
    <cellStyle name="Note 2 6 3 13 6" xfId="45448"/>
    <cellStyle name="Note 2 6 3 13 7" xfId="53572"/>
    <cellStyle name="Note 2 6 3 14" xfId="14869"/>
    <cellStyle name="Note 2 6 3 14 2" xfId="14870"/>
    <cellStyle name="Note 2 6 3 14 3" xfId="14871"/>
    <cellStyle name="Note 2 6 3 14 4" xfId="14872"/>
    <cellStyle name="Note 2 6 3 14 5" xfId="14873"/>
    <cellStyle name="Note 2 6 3 15" xfId="14874"/>
    <cellStyle name="Note 2 6 3 15 2" xfId="14875"/>
    <cellStyle name="Note 2 6 3 15 3" xfId="14876"/>
    <cellStyle name="Note 2 6 3 15 4" xfId="14877"/>
    <cellStyle name="Note 2 6 3 15 5" xfId="14878"/>
    <cellStyle name="Note 2 6 3 16" xfId="14879"/>
    <cellStyle name="Note 2 6 3 16 2" xfId="14880"/>
    <cellStyle name="Note 2 6 3 16 3" xfId="14881"/>
    <cellStyle name="Note 2 6 3 16 4" xfId="14882"/>
    <cellStyle name="Note 2 6 3 16 5" xfId="14883"/>
    <cellStyle name="Note 2 6 3 17" xfId="14884"/>
    <cellStyle name="Note 2 6 3 17 2" xfId="14885"/>
    <cellStyle name="Note 2 6 3 17 3" xfId="14886"/>
    <cellStyle name="Note 2 6 3 17 4" xfId="14887"/>
    <cellStyle name="Note 2 6 3 17 5" xfId="14888"/>
    <cellStyle name="Note 2 6 3 18" xfId="14889"/>
    <cellStyle name="Note 2 6 3 19" xfId="806"/>
    <cellStyle name="Note 2 6 3 2" xfId="589"/>
    <cellStyle name="Note 2 6 3 2 10" xfId="14890"/>
    <cellStyle name="Note 2 6 3 2 10 2" xfId="14891"/>
    <cellStyle name="Note 2 6 3 2 10 3" xfId="14892"/>
    <cellStyle name="Note 2 6 3 2 10 4" xfId="14893"/>
    <cellStyle name="Note 2 6 3 2 10 5" xfId="14894"/>
    <cellStyle name="Note 2 6 3 2 10 6" xfId="45449"/>
    <cellStyle name="Note 2 6 3 2 10 7" xfId="53573"/>
    <cellStyle name="Note 2 6 3 2 11" xfId="14895"/>
    <cellStyle name="Note 2 6 3 2 11 2" xfId="14896"/>
    <cellStyle name="Note 2 6 3 2 11 3" xfId="14897"/>
    <cellStyle name="Note 2 6 3 2 11 4" xfId="14898"/>
    <cellStyle name="Note 2 6 3 2 11 5" xfId="14899"/>
    <cellStyle name="Note 2 6 3 2 12" xfId="14900"/>
    <cellStyle name="Note 2 6 3 2 12 2" xfId="14901"/>
    <cellStyle name="Note 2 6 3 2 12 3" xfId="14902"/>
    <cellStyle name="Note 2 6 3 2 12 4" xfId="14903"/>
    <cellStyle name="Note 2 6 3 2 12 5" xfId="14904"/>
    <cellStyle name="Note 2 6 3 2 13" xfId="14905"/>
    <cellStyle name="Note 2 6 3 2 13 2" xfId="14906"/>
    <cellStyle name="Note 2 6 3 2 13 3" xfId="14907"/>
    <cellStyle name="Note 2 6 3 2 13 4" xfId="14908"/>
    <cellStyle name="Note 2 6 3 2 13 5" xfId="14909"/>
    <cellStyle name="Note 2 6 3 2 14" xfId="14910"/>
    <cellStyle name="Note 2 6 3 2 14 2" xfId="14911"/>
    <cellStyle name="Note 2 6 3 2 14 3" xfId="14912"/>
    <cellStyle name="Note 2 6 3 2 14 4" xfId="14913"/>
    <cellStyle name="Note 2 6 3 2 14 5" xfId="14914"/>
    <cellStyle name="Note 2 6 3 2 15" xfId="14915"/>
    <cellStyle name="Note 2 6 3 2 15 2" xfId="14916"/>
    <cellStyle name="Note 2 6 3 2 15 3" xfId="14917"/>
    <cellStyle name="Note 2 6 3 2 15 4" xfId="14918"/>
    <cellStyle name="Note 2 6 3 2 15 5" xfId="14919"/>
    <cellStyle name="Note 2 6 3 2 16" xfId="14920"/>
    <cellStyle name="Note 2 6 3 2 16 2" xfId="14921"/>
    <cellStyle name="Note 2 6 3 2 16 3" xfId="14922"/>
    <cellStyle name="Note 2 6 3 2 16 4" xfId="14923"/>
    <cellStyle name="Note 2 6 3 2 16 5" xfId="14924"/>
    <cellStyle name="Note 2 6 3 2 17" xfId="14925"/>
    <cellStyle name="Note 2 6 3 2 17 2" xfId="14926"/>
    <cellStyle name="Note 2 6 3 2 17 3" xfId="14927"/>
    <cellStyle name="Note 2 6 3 2 17 4" xfId="14928"/>
    <cellStyle name="Note 2 6 3 2 17 5" xfId="14929"/>
    <cellStyle name="Note 2 6 3 2 18" xfId="14930"/>
    <cellStyle name="Note 2 6 3 2 19" xfId="1018"/>
    <cellStyle name="Note 2 6 3 2 2" xfId="2257"/>
    <cellStyle name="Note 2 6 3 2 2 2" xfId="14931"/>
    <cellStyle name="Note 2 6 3 2 2 3" xfId="14932"/>
    <cellStyle name="Note 2 6 3 2 2 4" xfId="14933"/>
    <cellStyle name="Note 2 6 3 2 2 5" xfId="14934"/>
    <cellStyle name="Note 2 6 3 2 2 6" xfId="36393"/>
    <cellStyle name="Note 2 6 3 2 2 7" xfId="45450"/>
    <cellStyle name="Note 2 6 3 2 2 8" xfId="53574"/>
    <cellStyle name="Note 2 6 3 2 20" xfId="35098"/>
    <cellStyle name="Note 2 6 3 2 21" xfId="41317"/>
    <cellStyle name="Note 2 6 3 2 3" xfId="2258"/>
    <cellStyle name="Note 2 6 3 2 3 2" xfId="14935"/>
    <cellStyle name="Note 2 6 3 2 3 3" xfId="14936"/>
    <cellStyle name="Note 2 6 3 2 3 4" xfId="14937"/>
    <cellStyle name="Note 2 6 3 2 3 5" xfId="14938"/>
    <cellStyle name="Note 2 6 3 2 3 6" xfId="36890"/>
    <cellStyle name="Note 2 6 3 2 3 7" xfId="45451"/>
    <cellStyle name="Note 2 6 3 2 3 8" xfId="53575"/>
    <cellStyle name="Note 2 6 3 2 4" xfId="1271"/>
    <cellStyle name="Note 2 6 3 2 4 2" xfId="14939"/>
    <cellStyle name="Note 2 6 3 2 4 3" xfId="14940"/>
    <cellStyle name="Note 2 6 3 2 4 4" xfId="14941"/>
    <cellStyle name="Note 2 6 3 2 4 5" xfId="14942"/>
    <cellStyle name="Note 2 6 3 2 4 6" xfId="37506"/>
    <cellStyle name="Note 2 6 3 2 4 7" xfId="45452"/>
    <cellStyle name="Note 2 6 3 2 4 8" xfId="53576"/>
    <cellStyle name="Note 2 6 3 2 5" xfId="3339"/>
    <cellStyle name="Note 2 6 3 2 5 2" xfId="14943"/>
    <cellStyle name="Note 2 6 3 2 5 3" xfId="14944"/>
    <cellStyle name="Note 2 6 3 2 5 4" xfId="14945"/>
    <cellStyle name="Note 2 6 3 2 5 5" xfId="14946"/>
    <cellStyle name="Note 2 6 3 2 5 6" xfId="38122"/>
    <cellStyle name="Note 2 6 3 2 5 7" xfId="45453"/>
    <cellStyle name="Note 2 6 3 2 5 8" xfId="53577"/>
    <cellStyle name="Note 2 6 3 2 6" xfId="3661"/>
    <cellStyle name="Note 2 6 3 2 6 2" xfId="14947"/>
    <cellStyle name="Note 2 6 3 2 6 3" xfId="14948"/>
    <cellStyle name="Note 2 6 3 2 6 4" xfId="14949"/>
    <cellStyle name="Note 2 6 3 2 6 5" xfId="14950"/>
    <cellStyle name="Note 2 6 3 2 6 6" xfId="38740"/>
    <cellStyle name="Note 2 6 3 2 6 7" xfId="45454"/>
    <cellStyle name="Note 2 6 3 2 6 8" xfId="53578"/>
    <cellStyle name="Note 2 6 3 2 7" xfId="14951"/>
    <cellStyle name="Note 2 6 3 2 7 2" xfId="14952"/>
    <cellStyle name="Note 2 6 3 2 7 3" xfId="14953"/>
    <cellStyle name="Note 2 6 3 2 7 4" xfId="14954"/>
    <cellStyle name="Note 2 6 3 2 7 5" xfId="14955"/>
    <cellStyle name="Note 2 6 3 2 7 6" xfId="39360"/>
    <cellStyle name="Note 2 6 3 2 7 7" xfId="45455"/>
    <cellStyle name="Note 2 6 3 2 7 8" xfId="53579"/>
    <cellStyle name="Note 2 6 3 2 8" xfId="14956"/>
    <cellStyle name="Note 2 6 3 2 8 2" xfId="14957"/>
    <cellStyle name="Note 2 6 3 2 8 3" xfId="14958"/>
    <cellStyle name="Note 2 6 3 2 8 4" xfId="14959"/>
    <cellStyle name="Note 2 6 3 2 8 5" xfId="14960"/>
    <cellStyle name="Note 2 6 3 2 8 6" xfId="39976"/>
    <cellStyle name="Note 2 6 3 2 8 7" xfId="45456"/>
    <cellStyle name="Note 2 6 3 2 8 8" xfId="53580"/>
    <cellStyle name="Note 2 6 3 2 9" xfId="14961"/>
    <cellStyle name="Note 2 6 3 2 9 2" xfId="14962"/>
    <cellStyle name="Note 2 6 3 2 9 3" xfId="14963"/>
    <cellStyle name="Note 2 6 3 2 9 4" xfId="14964"/>
    <cellStyle name="Note 2 6 3 2 9 5" xfId="14965"/>
    <cellStyle name="Note 2 6 3 2 9 6" xfId="40591"/>
    <cellStyle name="Note 2 6 3 2 9 7" xfId="45457"/>
    <cellStyle name="Note 2 6 3 2 9 8" xfId="53581"/>
    <cellStyle name="Note 2 6 3 20" xfId="34559"/>
    <cellStyle name="Note 2 6 3 21" xfId="40890"/>
    <cellStyle name="Note 2 6 3 22" xfId="41451"/>
    <cellStyle name="Note 2 6 3 23" xfId="50538"/>
    <cellStyle name="Note 2 6 3 3" xfId="2259"/>
    <cellStyle name="Note 2 6 3 3 10" xfId="34755"/>
    <cellStyle name="Note 2 6 3 3 10 2" xfId="45459"/>
    <cellStyle name="Note 2 6 3 3 10 3" xfId="53583"/>
    <cellStyle name="Note 2 6 3 3 11" xfId="41105"/>
    <cellStyle name="Note 2 6 3 3 12" xfId="45458"/>
    <cellStyle name="Note 2 6 3 3 13" xfId="53582"/>
    <cellStyle name="Note 2 6 3 3 2" xfId="2260"/>
    <cellStyle name="Note 2 6 3 3 2 2" xfId="36182"/>
    <cellStyle name="Note 2 6 3 3 2 3" xfId="45460"/>
    <cellStyle name="Note 2 6 3 3 2 4" xfId="53584"/>
    <cellStyle name="Note 2 6 3 3 3" xfId="14966"/>
    <cellStyle name="Note 2 6 3 3 3 2" xfId="36679"/>
    <cellStyle name="Note 2 6 3 3 3 3" xfId="45461"/>
    <cellStyle name="Note 2 6 3 3 3 4" xfId="53585"/>
    <cellStyle name="Note 2 6 3 3 4" xfId="14967"/>
    <cellStyle name="Note 2 6 3 3 4 2" xfId="37295"/>
    <cellStyle name="Note 2 6 3 3 4 3" xfId="45462"/>
    <cellStyle name="Note 2 6 3 3 4 4" xfId="53586"/>
    <cellStyle name="Note 2 6 3 3 5" xfId="14968"/>
    <cellStyle name="Note 2 6 3 3 5 2" xfId="37911"/>
    <cellStyle name="Note 2 6 3 3 5 3" xfId="45463"/>
    <cellStyle name="Note 2 6 3 3 5 4" xfId="53587"/>
    <cellStyle name="Note 2 6 3 3 6" xfId="38528"/>
    <cellStyle name="Note 2 6 3 3 6 2" xfId="45464"/>
    <cellStyle name="Note 2 6 3 3 6 3" xfId="53588"/>
    <cellStyle name="Note 2 6 3 3 7" xfId="39148"/>
    <cellStyle name="Note 2 6 3 3 7 2" xfId="45465"/>
    <cellStyle name="Note 2 6 3 3 7 3" xfId="53589"/>
    <cellStyle name="Note 2 6 3 3 8" xfId="39764"/>
    <cellStyle name="Note 2 6 3 3 8 2" xfId="45466"/>
    <cellStyle name="Note 2 6 3 3 8 3" xfId="53590"/>
    <cellStyle name="Note 2 6 3 3 9" xfId="40379"/>
    <cellStyle name="Note 2 6 3 3 9 2" xfId="45467"/>
    <cellStyle name="Note 2 6 3 3 9 3" xfId="53591"/>
    <cellStyle name="Note 2 6 3 4" xfId="2261"/>
    <cellStyle name="Note 2 6 3 4 10" xfId="45468"/>
    <cellStyle name="Note 2 6 3 4 11" xfId="53592"/>
    <cellStyle name="Note 2 6 3 4 2" xfId="14969"/>
    <cellStyle name="Note 2 6 3 4 2 2" xfId="45469"/>
    <cellStyle name="Note 2 6 3 4 2 3" xfId="53593"/>
    <cellStyle name="Note 2 6 3 4 3" xfId="14970"/>
    <cellStyle name="Note 2 6 3 4 3 2" xfId="45470"/>
    <cellStyle name="Note 2 6 3 4 3 3" xfId="53594"/>
    <cellStyle name="Note 2 6 3 4 4" xfId="14971"/>
    <cellStyle name="Note 2 6 3 4 4 2" xfId="45471"/>
    <cellStyle name="Note 2 6 3 4 4 3" xfId="53595"/>
    <cellStyle name="Note 2 6 3 4 5" xfId="14972"/>
    <cellStyle name="Note 2 6 3 4 5 2" xfId="45472"/>
    <cellStyle name="Note 2 6 3 4 5 3" xfId="53596"/>
    <cellStyle name="Note 2 6 3 4 6" xfId="35662"/>
    <cellStyle name="Note 2 6 3 4 6 2" xfId="45473"/>
    <cellStyle name="Note 2 6 3 4 6 3" xfId="53597"/>
    <cellStyle name="Note 2 6 3 4 7" xfId="45474"/>
    <cellStyle name="Note 2 6 3 4 7 2" xfId="53598"/>
    <cellStyle name="Note 2 6 3 4 8" xfId="45475"/>
    <cellStyle name="Note 2 6 3 4 8 2" xfId="53599"/>
    <cellStyle name="Note 2 6 3 4 9" xfId="45476"/>
    <cellStyle name="Note 2 6 3 4 9 2" xfId="53600"/>
    <cellStyle name="Note 2 6 3 5" xfId="1270"/>
    <cellStyle name="Note 2 6 3 5 2" xfId="14973"/>
    <cellStyle name="Note 2 6 3 5 3" xfId="14974"/>
    <cellStyle name="Note 2 6 3 5 4" xfId="14975"/>
    <cellStyle name="Note 2 6 3 5 5" xfId="14976"/>
    <cellStyle name="Note 2 6 3 5 6" xfId="35757"/>
    <cellStyle name="Note 2 6 3 5 7" xfId="45477"/>
    <cellStyle name="Note 2 6 3 5 8" xfId="53601"/>
    <cellStyle name="Note 2 6 3 6" xfId="3338"/>
    <cellStyle name="Note 2 6 3 6 2" xfId="14977"/>
    <cellStyle name="Note 2 6 3 6 3" xfId="14978"/>
    <cellStyle name="Note 2 6 3 6 4" xfId="14979"/>
    <cellStyle name="Note 2 6 3 6 5" xfId="14980"/>
    <cellStyle name="Note 2 6 3 6 6" xfId="37080"/>
    <cellStyle name="Note 2 6 3 6 7" xfId="45478"/>
    <cellStyle name="Note 2 6 3 6 8" xfId="53602"/>
    <cellStyle name="Note 2 6 3 7" xfId="3660"/>
    <cellStyle name="Note 2 6 3 7 2" xfId="14981"/>
    <cellStyle name="Note 2 6 3 7 3" xfId="14982"/>
    <cellStyle name="Note 2 6 3 7 4" xfId="14983"/>
    <cellStyle name="Note 2 6 3 7 5" xfId="14984"/>
    <cellStyle name="Note 2 6 3 7 6" xfId="37694"/>
    <cellStyle name="Note 2 6 3 7 7" xfId="45479"/>
    <cellStyle name="Note 2 6 3 7 8" xfId="53603"/>
    <cellStyle name="Note 2 6 3 8" xfId="14985"/>
    <cellStyle name="Note 2 6 3 8 2" xfId="14986"/>
    <cellStyle name="Note 2 6 3 8 3" xfId="14987"/>
    <cellStyle name="Note 2 6 3 8 4" xfId="14988"/>
    <cellStyle name="Note 2 6 3 8 5" xfId="14989"/>
    <cellStyle name="Note 2 6 3 8 6" xfId="38309"/>
    <cellStyle name="Note 2 6 3 8 7" xfId="45480"/>
    <cellStyle name="Note 2 6 3 8 8" xfId="53604"/>
    <cellStyle name="Note 2 6 3 9" xfId="14990"/>
    <cellStyle name="Note 2 6 3 9 2" xfId="14991"/>
    <cellStyle name="Note 2 6 3 9 3" xfId="14992"/>
    <cellStyle name="Note 2 6 3 9 4" xfId="14993"/>
    <cellStyle name="Note 2 6 3 9 5" xfId="14994"/>
    <cellStyle name="Note 2 6 3 9 6" xfId="38929"/>
    <cellStyle name="Note 2 6 3 9 7" xfId="45481"/>
    <cellStyle name="Note 2 6 3 9 8" xfId="53605"/>
    <cellStyle name="Note 2 6 4" xfId="371"/>
    <cellStyle name="Note 2 6 4 10" xfId="14995"/>
    <cellStyle name="Note 2 6 4 10 2" xfId="14996"/>
    <cellStyle name="Note 2 6 4 10 3" xfId="14997"/>
    <cellStyle name="Note 2 6 4 10 4" xfId="14998"/>
    <cellStyle name="Note 2 6 4 10 5" xfId="14999"/>
    <cellStyle name="Note 2 6 4 10 6" xfId="40165"/>
    <cellStyle name="Note 2 6 4 10 7" xfId="45482"/>
    <cellStyle name="Note 2 6 4 10 8" xfId="53606"/>
    <cellStyle name="Note 2 6 4 11" xfId="15000"/>
    <cellStyle name="Note 2 6 4 11 2" xfId="15001"/>
    <cellStyle name="Note 2 6 4 11 3" xfId="15002"/>
    <cellStyle name="Note 2 6 4 11 4" xfId="15003"/>
    <cellStyle name="Note 2 6 4 11 5" xfId="15004"/>
    <cellStyle name="Note 2 6 4 11 6" xfId="45483"/>
    <cellStyle name="Note 2 6 4 11 7" xfId="53607"/>
    <cellStyle name="Note 2 6 4 12" xfId="15005"/>
    <cellStyle name="Note 2 6 4 12 2" xfId="15006"/>
    <cellStyle name="Note 2 6 4 12 3" xfId="15007"/>
    <cellStyle name="Note 2 6 4 12 4" xfId="15008"/>
    <cellStyle name="Note 2 6 4 12 5" xfId="15009"/>
    <cellStyle name="Note 2 6 4 12 6" xfId="45484"/>
    <cellStyle name="Note 2 6 4 12 7" xfId="53608"/>
    <cellStyle name="Note 2 6 4 13" xfId="15010"/>
    <cellStyle name="Note 2 6 4 13 2" xfId="15011"/>
    <cellStyle name="Note 2 6 4 13 3" xfId="15012"/>
    <cellStyle name="Note 2 6 4 13 4" xfId="15013"/>
    <cellStyle name="Note 2 6 4 13 5" xfId="15014"/>
    <cellStyle name="Note 2 6 4 13 6" xfId="45485"/>
    <cellStyle name="Note 2 6 4 13 7" xfId="53609"/>
    <cellStyle name="Note 2 6 4 14" xfId="15015"/>
    <cellStyle name="Note 2 6 4 14 2" xfId="15016"/>
    <cellStyle name="Note 2 6 4 14 3" xfId="15017"/>
    <cellStyle name="Note 2 6 4 14 4" xfId="15018"/>
    <cellStyle name="Note 2 6 4 14 5" xfId="15019"/>
    <cellStyle name="Note 2 6 4 15" xfId="15020"/>
    <cellStyle name="Note 2 6 4 15 2" xfId="15021"/>
    <cellStyle name="Note 2 6 4 15 3" xfId="15022"/>
    <cellStyle name="Note 2 6 4 15 4" xfId="15023"/>
    <cellStyle name="Note 2 6 4 15 5" xfId="15024"/>
    <cellStyle name="Note 2 6 4 16" xfId="15025"/>
    <cellStyle name="Note 2 6 4 16 2" xfId="15026"/>
    <cellStyle name="Note 2 6 4 16 3" xfId="15027"/>
    <cellStyle name="Note 2 6 4 16 4" xfId="15028"/>
    <cellStyle name="Note 2 6 4 16 5" xfId="15029"/>
    <cellStyle name="Note 2 6 4 17" xfId="15030"/>
    <cellStyle name="Note 2 6 4 17 2" xfId="15031"/>
    <cellStyle name="Note 2 6 4 17 3" xfId="15032"/>
    <cellStyle name="Note 2 6 4 17 4" xfId="15033"/>
    <cellStyle name="Note 2 6 4 17 5" xfId="15034"/>
    <cellStyle name="Note 2 6 4 18" xfId="15035"/>
    <cellStyle name="Note 2 6 4 19" xfId="807"/>
    <cellStyle name="Note 2 6 4 2" xfId="590"/>
    <cellStyle name="Note 2 6 4 2 10" xfId="15036"/>
    <cellStyle name="Note 2 6 4 2 10 2" xfId="15037"/>
    <cellStyle name="Note 2 6 4 2 10 3" xfId="15038"/>
    <cellStyle name="Note 2 6 4 2 10 4" xfId="15039"/>
    <cellStyle name="Note 2 6 4 2 10 5" xfId="15040"/>
    <cellStyle name="Note 2 6 4 2 10 6" xfId="45486"/>
    <cellStyle name="Note 2 6 4 2 10 7" xfId="53610"/>
    <cellStyle name="Note 2 6 4 2 11" xfId="15041"/>
    <cellStyle name="Note 2 6 4 2 11 2" xfId="15042"/>
    <cellStyle name="Note 2 6 4 2 11 3" xfId="15043"/>
    <cellStyle name="Note 2 6 4 2 11 4" xfId="15044"/>
    <cellStyle name="Note 2 6 4 2 11 5" xfId="15045"/>
    <cellStyle name="Note 2 6 4 2 12" xfId="15046"/>
    <cellStyle name="Note 2 6 4 2 12 2" xfId="15047"/>
    <cellStyle name="Note 2 6 4 2 12 3" xfId="15048"/>
    <cellStyle name="Note 2 6 4 2 12 4" xfId="15049"/>
    <cellStyle name="Note 2 6 4 2 12 5" xfId="15050"/>
    <cellStyle name="Note 2 6 4 2 13" xfId="15051"/>
    <cellStyle name="Note 2 6 4 2 13 2" xfId="15052"/>
    <cellStyle name="Note 2 6 4 2 13 3" xfId="15053"/>
    <cellStyle name="Note 2 6 4 2 13 4" xfId="15054"/>
    <cellStyle name="Note 2 6 4 2 13 5" xfId="15055"/>
    <cellStyle name="Note 2 6 4 2 14" xfId="15056"/>
    <cellStyle name="Note 2 6 4 2 14 2" xfId="15057"/>
    <cellStyle name="Note 2 6 4 2 14 3" xfId="15058"/>
    <cellStyle name="Note 2 6 4 2 14 4" xfId="15059"/>
    <cellStyle name="Note 2 6 4 2 14 5" xfId="15060"/>
    <cellStyle name="Note 2 6 4 2 15" xfId="15061"/>
    <cellStyle name="Note 2 6 4 2 15 2" xfId="15062"/>
    <cellStyle name="Note 2 6 4 2 15 3" xfId="15063"/>
    <cellStyle name="Note 2 6 4 2 15 4" xfId="15064"/>
    <cellStyle name="Note 2 6 4 2 15 5" xfId="15065"/>
    <cellStyle name="Note 2 6 4 2 16" xfId="15066"/>
    <cellStyle name="Note 2 6 4 2 16 2" xfId="15067"/>
    <cellStyle name="Note 2 6 4 2 16 3" xfId="15068"/>
    <cellStyle name="Note 2 6 4 2 16 4" xfId="15069"/>
    <cellStyle name="Note 2 6 4 2 16 5" xfId="15070"/>
    <cellStyle name="Note 2 6 4 2 17" xfId="15071"/>
    <cellStyle name="Note 2 6 4 2 17 2" xfId="15072"/>
    <cellStyle name="Note 2 6 4 2 17 3" xfId="15073"/>
    <cellStyle name="Note 2 6 4 2 17 4" xfId="15074"/>
    <cellStyle name="Note 2 6 4 2 17 5" xfId="15075"/>
    <cellStyle name="Note 2 6 4 2 18" xfId="15076"/>
    <cellStyle name="Note 2 6 4 2 19" xfId="1019"/>
    <cellStyle name="Note 2 6 4 2 2" xfId="2262"/>
    <cellStyle name="Note 2 6 4 2 2 2" xfId="15077"/>
    <cellStyle name="Note 2 6 4 2 2 3" xfId="15078"/>
    <cellStyle name="Note 2 6 4 2 2 4" xfId="15079"/>
    <cellStyle name="Note 2 6 4 2 2 5" xfId="15080"/>
    <cellStyle name="Note 2 6 4 2 2 6" xfId="36394"/>
    <cellStyle name="Note 2 6 4 2 2 7" xfId="45487"/>
    <cellStyle name="Note 2 6 4 2 2 8" xfId="53611"/>
    <cellStyle name="Note 2 6 4 2 20" xfId="35099"/>
    <cellStyle name="Note 2 6 4 2 21" xfId="41318"/>
    <cellStyle name="Note 2 6 4 2 3" xfId="2263"/>
    <cellStyle name="Note 2 6 4 2 3 2" xfId="15081"/>
    <cellStyle name="Note 2 6 4 2 3 3" xfId="15082"/>
    <cellStyle name="Note 2 6 4 2 3 4" xfId="15083"/>
    <cellStyle name="Note 2 6 4 2 3 5" xfId="15084"/>
    <cellStyle name="Note 2 6 4 2 3 6" xfId="36891"/>
    <cellStyle name="Note 2 6 4 2 3 7" xfId="45488"/>
    <cellStyle name="Note 2 6 4 2 3 8" xfId="53612"/>
    <cellStyle name="Note 2 6 4 2 4" xfId="1273"/>
    <cellStyle name="Note 2 6 4 2 4 2" xfId="15085"/>
    <cellStyle name="Note 2 6 4 2 4 3" xfId="15086"/>
    <cellStyle name="Note 2 6 4 2 4 4" xfId="15087"/>
    <cellStyle name="Note 2 6 4 2 4 5" xfId="15088"/>
    <cellStyle name="Note 2 6 4 2 4 6" xfId="37507"/>
    <cellStyle name="Note 2 6 4 2 4 7" xfId="45489"/>
    <cellStyle name="Note 2 6 4 2 4 8" xfId="53613"/>
    <cellStyle name="Note 2 6 4 2 5" xfId="3341"/>
    <cellStyle name="Note 2 6 4 2 5 2" xfId="15089"/>
    <cellStyle name="Note 2 6 4 2 5 3" xfId="15090"/>
    <cellStyle name="Note 2 6 4 2 5 4" xfId="15091"/>
    <cellStyle name="Note 2 6 4 2 5 5" xfId="15092"/>
    <cellStyle name="Note 2 6 4 2 5 6" xfId="38123"/>
    <cellStyle name="Note 2 6 4 2 5 7" xfId="45490"/>
    <cellStyle name="Note 2 6 4 2 5 8" xfId="53614"/>
    <cellStyle name="Note 2 6 4 2 6" xfId="3663"/>
    <cellStyle name="Note 2 6 4 2 6 2" xfId="15093"/>
    <cellStyle name="Note 2 6 4 2 6 3" xfId="15094"/>
    <cellStyle name="Note 2 6 4 2 6 4" xfId="15095"/>
    <cellStyle name="Note 2 6 4 2 6 5" xfId="15096"/>
    <cellStyle name="Note 2 6 4 2 6 6" xfId="38741"/>
    <cellStyle name="Note 2 6 4 2 6 7" xfId="45491"/>
    <cellStyle name="Note 2 6 4 2 6 8" xfId="53615"/>
    <cellStyle name="Note 2 6 4 2 7" xfId="15097"/>
    <cellStyle name="Note 2 6 4 2 7 2" xfId="15098"/>
    <cellStyle name="Note 2 6 4 2 7 3" xfId="15099"/>
    <cellStyle name="Note 2 6 4 2 7 4" xfId="15100"/>
    <cellStyle name="Note 2 6 4 2 7 5" xfId="15101"/>
    <cellStyle name="Note 2 6 4 2 7 6" xfId="39361"/>
    <cellStyle name="Note 2 6 4 2 7 7" xfId="45492"/>
    <cellStyle name="Note 2 6 4 2 7 8" xfId="53616"/>
    <cellStyle name="Note 2 6 4 2 8" xfId="15102"/>
    <cellStyle name="Note 2 6 4 2 8 2" xfId="15103"/>
    <cellStyle name="Note 2 6 4 2 8 3" xfId="15104"/>
    <cellStyle name="Note 2 6 4 2 8 4" xfId="15105"/>
    <cellStyle name="Note 2 6 4 2 8 5" xfId="15106"/>
    <cellStyle name="Note 2 6 4 2 8 6" xfId="39977"/>
    <cellStyle name="Note 2 6 4 2 8 7" xfId="45493"/>
    <cellStyle name="Note 2 6 4 2 8 8" xfId="53617"/>
    <cellStyle name="Note 2 6 4 2 9" xfId="15107"/>
    <cellStyle name="Note 2 6 4 2 9 2" xfId="15108"/>
    <cellStyle name="Note 2 6 4 2 9 3" xfId="15109"/>
    <cellStyle name="Note 2 6 4 2 9 4" xfId="15110"/>
    <cellStyle name="Note 2 6 4 2 9 5" xfId="15111"/>
    <cellStyle name="Note 2 6 4 2 9 6" xfId="40592"/>
    <cellStyle name="Note 2 6 4 2 9 7" xfId="45494"/>
    <cellStyle name="Note 2 6 4 2 9 8" xfId="53618"/>
    <cellStyle name="Note 2 6 4 20" xfId="34724"/>
    <cellStyle name="Note 2 6 4 21" xfId="40891"/>
    <cellStyle name="Note 2 6 4 22" xfId="41452"/>
    <cellStyle name="Note 2 6 4 23" xfId="50539"/>
    <cellStyle name="Note 2 6 4 3" xfId="2264"/>
    <cellStyle name="Note 2 6 4 3 10" xfId="34737"/>
    <cellStyle name="Note 2 6 4 3 10 2" xfId="45496"/>
    <cellStyle name="Note 2 6 4 3 10 3" xfId="53620"/>
    <cellStyle name="Note 2 6 4 3 11" xfId="41106"/>
    <cellStyle name="Note 2 6 4 3 12" xfId="45495"/>
    <cellStyle name="Note 2 6 4 3 13" xfId="53619"/>
    <cellStyle name="Note 2 6 4 3 2" xfId="2265"/>
    <cellStyle name="Note 2 6 4 3 2 2" xfId="36183"/>
    <cellStyle name="Note 2 6 4 3 2 3" xfId="45497"/>
    <cellStyle name="Note 2 6 4 3 2 4" xfId="53621"/>
    <cellStyle name="Note 2 6 4 3 3" xfId="15112"/>
    <cellStyle name="Note 2 6 4 3 3 2" xfId="36680"/>
    <cellStyle name="Note 2 6 4 3 3 3" xfId="45498"/>
    <cellStyle name="Note 2 6 4 3 3 4" xfId="53622"/>
    <cellStyle name="Note 2 6 4 3 4" xfId="15113"/>
    <cellStyle name="Note 2 6 4 3 4 2" xfId="37296"/>
    <cellStyle name="Note 2 6 4 3 4 3" xfId="45499"/>
    <cellStyle name="Note 2 6 4 3 4 4" xfId="53623"/>
    <cellStyle name="Note 2 6 4 3 5" xfId="15114"/>
    <cellStyle name="Note 2 6 4 3 5 2" xfId="37912"/>
    <cellStyle name="Note 2 6 4 3 5 3" xfId="45500"/>
    <cellStyle name="Note 2 6 4 3 5 4" xfId="53624"/>
    <cellStyle name="Note 2 6 4 3 6" xfId="38529"/>
    <cellStyle name="Note 2 6 4 3 6 2" xfId="45501"/>
    <cellStyle name="Note 2 6 4 3 6 3" xfId="53625"/>
    <cellStyle name="Note 2 6 4 3 7" xfId="39149"/>
    <cellStyle name="Note 2 6 4 3 7 2" xfId="45502"/>
    <cellStyle name="Note 2 6 4 3 7 3" xfId="53626"/>
    <cellStyle name="Note 2 6 4 3 8" xfId="39765"/>
    <cellStyle name="Note 2 6 4 3 8 2" xfId="45503"/>
    <cellStyle name="Note 2 6 4 3 8 3" xfId="53627"/>
    <cellStyle name="Note 2 6 4 3 9" xfId="40380"/>
    <cellStyle name="Note 2 6 4 3 9 2" xfId="45504"/>
    <cellStyle name="Note 2 6 4 3 9 3" xfId="53628"/>
    <cellStyle name="Note 2 6 4 4" xfId="2266"/>
    <cellStyle name="Note 2 6 4 4 10" xfId="45505"/>
    <cellStyle name="Note 2 6 4 4 11" xfId="53629"/>
    <cellStyle name="Note 2 6 4 4 2" xfId="15115"/>
    <cellStyle name="Note 2 6 4 4 2 2" xfId="45506"/>
    <cellStyle name="Note 2 6 4 4 2 3" xfId="53630"/>
    <cellStyle name="Note 2 6 4 4 3" xfId="15116"/>
    <cellStyle name="Note 2 6 4 4 3 2" xfId="45507"/>
    <cellStyle name="Note 2 6 4 4 3 3" xfId="53631"/>
    <cellStyle name="Note 2 6 4 4 4" xfId="15117"/>
    <cellStyle name="Note 2 6 4 4 4 2" xfId="45508"/>
    <cellStyle name="Note 2 6 4 4 4 3" xfId="53632"/>
    <cellStyle name="Note 2 6 4 4 5" xfId="15118"/>
    <cellStyle name="Note 2 6 4 4 5 2" xfId="45509"/>
    <cellStyle name="Note 2 6 4 4 5 3" xfId="53633"/>
    <cellStyle name="Note 2 6 4 4 6" xfId="35756"/>
    <cellStyle name="Note 2 6 4 4 6 2" xfId="45510"/>
    <cellStyle name="Note 2 6 4 4 6 3" xfId="53634"/>
    <cellStyle name="Note 2 6 4 4 7" xfId="45511"/>
    <cellStyle name="Note 2 6 4 4 7 2" xfId="53635"/>
    <cellStyle name="Note 2 6 4 4 8" xfId="45512"/>
    <cellStyle name="Note 2 6 4 4 8 2" xfId="53636"/>
    <cellStyle name="Note 2 6 4 4 9" xfId="45513"/>
    <cellStyle name="Note 2 6 4 4 9 2" xfId="53637"/>
    <cellStyle name="Note 2 6 4 5" xfId="1272"/>
    <cellStyle name="Note 2 6 4 5 2" xfId="15119"/>
    <cellStyle name="Note 2 6 4 5 3" xfId="15120"/>
    <cellStyle name="Note 2 6 4 5 4" xfId="15121"/>
    <cellStyle name="Note 2 6 4 5 5" xfId="15122"/>
    <cellStyle name="Note 2 6 4 5 6" xfId="37081"/>
    <cellStyle name="Note 2 6 4 5 7" xfId="45514"/>
    <cellStyle name="Note 2 6 4 5 8" xfId="53638"/>
    <cellStyle name="Note 2 6 4 6" xfId="3340"/>
    <cellStyle name="Note 2 6 4 6 2" xfId="15123"/>
    <cellStyle name="Note 2 6 4 6 3" xfId="15124"/>
    <cellStyle name="Note 2 6 4 6 4" xfId="15125"/>
    <cellStyle name="Note 2 6 4 6 5" xfId="15126"/>
    <cellStyle name="Note 2 6 4 6 6" xfId="37695"/>
    <cellStyle name="Note 2 6 4 6 7" xfId="45515"/>
    <cellStyle name="Note 2 6 4 6 8" xfId="53639"/>
    <cellStyle name="Note 2 6 4 7" xfId="3662"/>
    <cellStyle name="Note 2 6 4 7 2" xfId="15127"/>
    <cellStyle name="Note 2 6 4 7 3" xfId="15128"/>
    <cellStyle name="Note 2 6 4 7 4" xfId="15129"/>
    <cellStyle name="Note 2 6 4 7 5" xfId="15130"/>
    <cellStyle name="Note 2 6 4 7 6" xfId="38310"/>
    <cellStyle name="Note 2 6 4 7 7" xfId="45516"/>
    <cellStyle name="Note 2 6 4 7 8" xfId="53640"/>
    <cellStyle name="Note 2 6 4 8" xfId="15131"/>
    <cellStyle name="Note 2 6 4 8 2" xfId="15132"/>
    <cellStyle name="Note 2 6 4 8 3" xfId="15133"/>
    <cellStyle name="Note 2 6 4 8 4" xfId="15134"/>
    <cellStyle name="Note 2 6 4 8 5" xfId="15135"/>
    <cellStyle name="Note 2 6 4 8 6" xfId="38930"/>
    <cellStyle name="Note 2 6 4 8 7" xfId="45517"/>
    <cellStyle name="Note 2 6 4 8 8" xfId="53641"/>
    <cellStyle name="Note 2 6 4 9" xfId="15136"/>
    <cellStyle name="Note 2 6 4 9 2" xfId="15137"/>
    <cellStyle name="Note 2 6 4 9 3" xfId="15138"/>
    <cellStyle name="Note 2 6 4 9 4" xfId="15139"/>
    <cellStyle name="Note 2 6 4 9 5" xfId="15140"/>
    <cellStyle name="Note 2 6 4 9 6" xfId="39549"/>
    <cellStyle name="Note 2 6 4 9 7" xfId="45518"/>
    <cellStyle name="Note 2 6 4 9 8" xfId="53642"/>
    <cellStyle name="Note 2 6 5" xfId="485"/>
    <cellStyle name="Note 2 6 5 10" xfId="15141"/>
    <cellStyle name="Note 2 6 5 10 2" xfId="15142"/>
    <cellStyle name="Note 2 6 5 10 3" xfId="15143"/>
    <cellStyle name="Note 2 6 5 10 4" xfId="15144"/>
    <cellStyle name="Note 2 6 5 10 5" xfId="15145"/>
    <cellStyle name="Note 2 6 5 10 6" xfId="45519"/>
    <cellStyle name="Note 2 6 5 10 7" xfId="53643"/>
    <cellStyle name="Note 2 6 5 11" xfId="15146"/>
    <cellStyle name="Note 2 6 5 11 2" xfId="15147"/>
    <cellStyle name="Note 2 6 5 11 3" xfId="15148"/>
    <cellStyle name="Note 2 6 5 11 4" xfId="15149"/>
    <cellStyle name="Note 2 6 5 11 5" xfId="15150"/>
    <cellStyle name="Note 2 6 5 12" xfId="15151"/>
    <cellStyle name="Note 2 6 5 12 2" xfId="15152"/>
    <cellStyle name="Note 2 6 5 12 3" xfId="15153"/>
    <cellStyle name="Note 2 6 5 12 4" xfId="15154"/>
    <cellStyle name="Note 2 6 5 12 5" xfId="15155"/>
    <cellStyle name="Note 2 6 5 13" xfId="15156"/>
    <cellStyle name="Note 2 6 5 13 2" xfId="15157"/>
    <cellStyle name="Note 2 6 5 13 3" xfId="15158"/>
    <cellStyle name="Note 2 6 5 13 4" xfId="15159"/>
    <cellStyle name="Note 2 6 5 13 5" xfId="15160"/>
    <cellStyle name="Note 2 6 5 14" xfId="15161"/>
    <cellStyle name="Note 2 6 5 14 2" xfId="15162"/>
    <cellStyle name="Note 2 6 5 14 3" xfId="15163"/>
    <cellStyle name="Note 2 6 5 14 4" xfId="15164"/>
    <cellStyle name="Note 2 6 5 14 5" xfId="15165"/>
    <cellStyle name="Note 2 6 5 15" xfId="15166"/>
    <cellStyle name="Note 2 6 5 15 2" xfId="15167"/>
    <cellStyle name="Note 2 6 5 15 3" xfId="15168"/>
    <cellStyle name="Note 2 6 5 15 4" xfId="15169"/>
    <cellStyle name="Note 2 6 5 15 5" xfId="15170"/>
    <cellStyle name="Note 2 6 5 16" xfId="15171"/>
    <cellStyle name="Note 2 6 5 16 2" xfId="15172"/>
    <cellStyle name="Note 2 6 5 16 3" xfId="15173"/>
    <cellStyle name="Note 2 6 5 16 4" xfId="15174"/>
    <cellStyle name="Note 2 6 5 16 5" xfId="15175"/>
    <cellStyle name="Note 2 6 5 17" xfId="15176"/>
    <cellStyle name="Note 2 6 5 17 2" xfId="15177"/>
    <cellStyle name="Note 2 6 5 17 3" xfId="15178"/>
    <cellStyle name="Note 2 6 5 17 4" xfId="15179"/>
    <cellStyle name="Note 2 6 5 17 5" xfId="15180"/>
    <cellStyle name="Note 2 6 5 18" xfId="15181"/>
    <cellStyle name="Note 2 6 5 19" xfId="914"/>
    <cellStyle name="Note 2 6 5 2" xfId="2267"/>
    <cellStyle name="Note 2 6 5 2 2" xfId="15182"/>
    <cellStyle name="Note 2 6 5 2 3" xfId="15183"/>
    <cellStyle name="Note 2 6 5 2 4" xfId="15184"/>
    <cellStyle name="Note 2 6 5 2 5" xfId="15185"/>
    <cellStyle name="Note 2 6 5 2 6" xfId="36289"/>
    <cellStyle name="Note 2 6 5 2 7" xfId="45520"/>
    <cellStyle name="Note 2 6 5 2 8" xfId="53644"/>
    <cellStyle name="Note 2 6 5 20" xfId="34994"/>
    <cellStyle name="Note 2 6 5 21" xfId="40703"/>
    <cellStyle name="Note 2 6 5 22" xfId="41213"/>
    <cellStyle name="Note 2 6 5 3" xfId="2268"/>
    <cellStyle name="Note 2 6 5 3 2" xfId="15186"/>
    <cellStyle name="Note 2 6 5 3 3" xfId="15187"/>
    <cellStyle name="Note 2 6 5 3 4" xfId="15188"/>
    <cellStyle name="Note 2 6 5 3 5" xfId="15189"/>
    <cellStyle name="Note 2 6 5 3 6" xfId="36786"/>
    <cellStyle name="Note 2 6 5 3 7" xfId="45521"/>
    <cellStyle name="Note 2 6 5 3 8" xfId="53645"/>
    <cellStyle name="Note 2 6 5 4" xfId="1274"/>
    <cellStyle name="Note 2 6 5 4 2" xfId="15190"/>
    <cellStyle name="Note 2 6 5 4 3" xfId="15191"/>
    <cellStyle name="Note 2 6 5 4 4" xfId="15192"/>
    <cellStyle name="Note 2 6 5 4 5" xfId="15193"/>
    <cellStyle name="Note 2 6 5 4 6" xfId="37402"/>
    <cellStyle name="Note 2 6 5 4 7" xfId="45522"/>
    <cellStyle name="Note 2 6 5 4 8" xfId="53646"/>
    <cellStyle name="Note 2 6 5 5" xfId="3342"/>
    <cellStyle name="Note 2 6 5 5 2" xfId="15194"/>
    <cellStyle name="Note 2 6 5 5 3" xfId="15195"/>
    <cellStyle name="Note 2 6 5 5 4" xfId="15196"/>
    <cellStyle name="Note 2 6 5 5 5" xfId="15197"/>
    <cellStyle name="Note 2 6 5 5 6" xfId="38018"/>
    <cellStyle name="Note 2 6 5 5 7" xfId="45523"/>
    <cellStyle name="Note 2 6 5 5 8" xfId="53647"/>
    <cellStyle name="Note 2 6 5 6" xfId="3664"/>
    <cellStyle name="Note 2 6 5 6 2" xfId="15198"/>
    <cellStyle name="Note 2 6 5 6 3" xfId="15199"/>
    <cellStyle name="Note 2 6 5 6 4" xfId="15200"/>
    <cellStyle name="Note 2 6 5 6 5" xfId="15201"/>
    <cellStyle name="Note 2 6 5 6 6" xfId="38636"/>
    <cellStyle name="Note 2 6 5 6 7" xfId="45524"/>
    <cellStyle name="Note 2 6 5 6 8" xfId="53648"/>
    <cellStyle name="Note 2 6 5 7" xfId="15202"/>
    <cellStyle name="Note 2 6 5 7 2" xfId="15203"/>
    <cellStyle name="Note 2 6 5 7 3" xfId="15204"/>
    <cellStyle name="Note 2 6 5 7 4" xfId="15205"/>
    <cellStyle name="Note 2 6 5 7 5" xfId="15206"/>
    <cellStyle name="Note 2 6 5 7 6" xfId="39256"/>
    <cellStyle name="Note 2 6 5 7 7" xfId="45525"/>
    <cellStyle name="Note 2 6 5 7 8" xfId="53649"/>
    <cellStyle name="Note 2 6 5 8" xfId="15207"/>
    <cellStyle name="Note 2 6 5 8 2" xfId="15208"/>
    <cellStyle name="Note 2 6 5 8 3" xfId="15209"/>
    <cellStyle name="Note 2 6 5 8 4" xfId="15210"/>
    <cellStyle name="Note 2 6 5 8 5" xfId="15211"/>
    <cellStyle name="Note 2 6 5 8 6" xfId="39872"/>
    <cellStyle name="Note 2 6 5 8 7" xfId="45526"/>
    <cellStyle name="Note 2 6 5 8 8" xfId="53650"/>
    <cellStyle name="Note 2 6 5 9" xfId="15212"/>
    <cellStyle name="Note 2 6 5 9 2" xfId="15213"/>
    <cellStyle name="Note 2 6 5 9 3" xfId="15214"/>
    <cellStyle name="Note 2 6 5 9 4" xfId="15215"/>
    <cellStyle name="Note 2 6 5 9 5" xfId="15216"/>
    <cellStyle name="Note 2 6 5 9 6" xfId="40487"/>
    <cellStyle name="Note 2 6 5 9 7" xfId="45527"/>
    <cellStyle name="Note 2 6 5 9 8" xfId="53651"/>
    <cellStyle name="Note 2 6 6" xfId="2269"/>
    <cellStyle name="Note 2 6 6 10" xfId="34887"/>
    <cellStyle name="Note 2 6 6 10 2" xfId="45529"/>
    <cellStyle name="Note 2 6 6 10 3" xfId="53653"/>
    <cellStyle name="Note 2 6 6 11" xfId="40999"/>
    <cellStyle name="Note 2 6 6 12" xfId="45528"/>
    <cellStyle name="Note 2 6 6 13" xfId="53652"/>
    <cellStyle name="Note 2 6 6 2" xfId="2270"/>
    <cellStyle name="Note 2 6 6 2 2" xfId="36076"/>
    <cellStyle name="Note 2 6 6 2 3" xfId="45530"/>
    <cellStyle name="Note 2 6 6 2 4" xfId="53654"/>
    <cellStyle name="Note 2 6 6 3" xfId="15217"/>
    <cellStyle name="Note 2 6 6 3 2" xfId="36575"/>
    <cellStyle name="Note 2 6 6 3 3" xfId="45531"/>
    <cellStyle name="Note 2 6 6 3 4" xfId="53655"/>
    <cellStyle name="Note 2 6 6 4" xfId="15218"/>
    <cellStyle name="Note 2 6 6 4 2" xfId="37191"/>
    <cellStyle name="Note 2 6 6 4 3" xfId="45532"/>
    <cellStyle name="Note 2 6 6 4 4" xfId="53656"/>
    <cellStyle name="Note 2 6 6 5" xfId="15219"/>
    <cellStyle name="Note 2 6 6 5 2" xfId="37807"/>
    <cellStyle name="Note 2 6 6 5 3" xfId="45533"/>
    <cellStyle name="Note 2 6 6 5 4" xfId="53657"/>
    <cellStyle name="Note 2 6 6 6" xfId="38422"/>
    <cellStyle name="Note 2 6 6 6 2" xfId="45534"/>
    <cellStyle name="Note 2 6 6 6 3" xfId="53658"/>
    <cellStyle name="Note 2 6 6 7" xfId="39042"/>
    <cellStyle name="Note 2 6 6 7 2" xfId="45535"/>
    <cellStyle name="Note 2 6 6 7 3" xfId="53659"/>
    <cellStyle name="Note 2 6 6 8" xfId="39658"/>
    <cellStyle name="Note 2 6 6 8 2" xfId="45536"/>
    <cellStyle name="Note 2 6 6 8 3" xfId="53660"/>
    <cellStyle name="Note 2 6 6 9" xfId="40273"/>
    <cellStyle name="Note 2 6 6 9 2" xfId="45537"/>
    <cellStyle name="Note 2 6 6 9 3" xfId="53661"/>
    <cellStyle name="Note 2 6 7" xfId="1263"/>
    <cellStyle name="Note 2 6 7 10" xfId="45538"/>
    <cellStyle name="Note 2 6 7 11" xfId="53662"/>
    <cellStyle name="Note 2 6 7 2" xfId="15220"/>
    <cellStyle name="Note 2 6 7 2 2" xfId="45539"/>
    <cellStyle name="Note 2 6 7 2 3" xfId="53663"/>
    <cellStyle name="Note 2 6 7 3" xfId="15221"/>
    <cellStyle name="Note 2 6 7 3 2" xfId="45540"/>
    <cellStyle name="Note 2 6 7 3 3" xfId="53664"/>
    <cellStyle name="Note 2 6 7 4" xfId="15222"/>
    <cellStyle name="Note 2 6 7 4 2" xfId="45541"/>
    <cellStyle name="Note 2 6 7 4 3" xfId="53665"/>
    <cellStyle name="Note 2 6 7 5" xfId="15223"/>
    <cellStyle name="Note 2 6 7 5 2" xfId="45542"/>
    <cellStyle name="Note 2 6 7 5 3" xfId="53666"/>
    <cellStyle name="Note 2 6 7 6" xfId="35393"/>
    <cellStyle name="Note 2 6 7 6 2" xfId="45543"/>
    <cellStyle name="Note 2 6 7 6 3" xfId="53667"/>
    <cellStyle name="Note 2 6 7 7" xfId="45544"/>
    <cellStyle name="Note 2 6 7 7 2" xfId="53668"/>
    <cellStyle name="Note 2 6 7 8" xfId="45545"/>
    <cellStyle name="Note 2 6 7 8 2" xfId="53669"/>
    <cellStyle name="Note 2 6 7 9" xfId="45546"/>
    <cellStyle name="Note 2 6 7 9 2" xfId="53670"/>
    <cellStyle name="Note 2 6 8" xfId="3331"/>
    <cellStyle name="Note 2 6 8 2" xfId="15224"/>
    <cellStyle name="Note 2 6 8 3" xfId="15225"/>
    <cellStyle name="Note 2 6 8 4" xfId="15226"/>
    <cellStyle name="Note 2 6 8 5" xfId="15227"/>
    <cellStyle name="Note 2 6 8 6" xfId="35924"/>
    <cellStyle name="Note 2 6 8 7" xfId="45547"/>
    <cellStyle name="Note 2 6 8 8" xfId="53671"/>
    <cellStyle name="Note 2 6 9" xfId="3653"/>
    <cellStyle name="Note 2 6 9 2" xfId="15228"/>
    <cellStyle name="Note 2 6 9 3" xfId="15229"/>
    <cellStyle name="Note 2 6 9 4" xfId="15230"/>
    <cellStyle name="Note 2 6 9 5" xfId="15231"/>
    <cellStyle name="Note 2 6 9 6" xfId="35828"/>
    <cellStyle name="Note 2 6 9 7" xfId="45548"/>
    <cellStyle name="Note 2 6 9 8" xfId="53672"/>
    <cellStyle name="Note 2 7" xfId="372"/>
    <cellStyle name="Note 2 7 10" xfId="15232"/>
    <cellStyle name="Note 2 7 10 2" xfId="15233"/>
    <cellStyle name="Note 2 7 10 3" xfId="15234"/>
    <cellStyle name="Note 2 7 10 4" xfId="15235"/>
    <cellStyle name="Note 2 7 10 5" xfId="15236"/>
    <cellStyle name="Note 2 7 10 6" xfId="39550"/>
    <cellStyle name="Note 2 7 10 7" xfId="45549"/>
    <cellStyle name="Note 2 7 10 8" xfId="53673"/>
    <cellStyle name="Note 2 7 11" xfId="15237"/>
    <cellStyle name="Note 2 7 11 2" xfId="15238"/>
    <cellStyle name="Note 2 7 11 3" xfId="15239"/>
    <cellStyle name="Note 2 7 11 4" xfId="15240"/>
    <cellStyle name="Note 2 7 11 5" xfId="15241"/>
    <cellStyle name="Note 2 7 11 6" xfId="40166"/>
    <cellStyle name="Note 2 7 11 7" xfId="45550"/>
    <cellStyle name="Note 2 7 11 8" xfId="53674"/>
    <cellStyle name="Note 2 7 12" xfId="15242"/>
    <cellStyle name="Note 2 7 12 2" xfId="15243"/>
    <cellStyle name="Note 2 7 12 3" xfId="15244"/>
    <cellStyle name="Note 2 7 12 4" xfId="15245"/>
    <cellStyle name="Note 2 7 12 5" xfId="15246"/>
    <cellStyle name="Note 2 7 12 6" xfId="45551"/>
    <cellStyle name="Note 2 7 12 7" xfId="53675"/>
    <cellStyle name="Note 2 7 13" xfId="15247"/>
    <cellStyle name="Note 2 7 13 2" xfId="15248"/>
    <cellStyle name="Note 2 7 13 3" xfId="15249"/>
    <cellStyle name="Note 2 7 13 4" xfId="15250"/>
    <cellStyle name="Note 2 7 13 5" xfId="15251"/>
    <cellStyle name="Note 2 7 13 6" xfId="45552"/>
    <cellStyle name="Note 2 7 13 7" xfId="53676"/>
    <cellStyle name="Note 2 7 14" xfId="15252"/>
    <cellStyle name="Note 2 7 14 2" xfId="15253"/>
    <cellStyle name="Note 2 7 14 3" xfId="15254"/>
    <cellStyle name="Note 2 7 14 4" xfId="15255"/>
    <cellStyle name="Note 2 7 14 5" xfId="15256"/>
    <cellStyle name="Note 2 7 15" xfId="15257"/>
    <cellStyle name="Note 2 7 15 2" xfId="15258"/>
    <cellStyle name="Note 2 7 15 3" xfId="15259"/>
    <cellStyle name="Note 2 7 15 4" xfId="15260"/>
    <cellStyle name="Note 2 7 15 5" xfId="15261"/>
    <cellStyle name="Note 2 7 16" xfId="15262"/>
    <cellStyle name="Note 2 7 16 2" xfId="15263"/>
    <cellStyle name="Note 2 7 16 3" xfId="15264"/>
    <cellStyle name="Note 2 7 16 4" xfId="15265"/>
    <cellStyle name="Note 2 7 16 5" xfId="15266"/>
    <cellStyle name="Note 2 7 17" xfId="15267"/>
    <cellStyle name="Note 2 7 17 2" xfId="15268"/>
    <cellStyle name="Note 2 7 17 3" xfId="15269"/>
    <cellStyle name="Note 2 7 17 4" xfId="15270"/>
    <cellStyle name="Note 2 7 17 5" xfId="15271"/>
    <cellStyle name="Note 2 7 18" xfId="15272"/>
    <cellStyle name="Note 2 7 19" xfId="808"/>
    <cellStyle name="Note 2 7 2" xfId="591"/>
    <cellStyle name="Note 2 7 2 10" xfId="15273"/>
    <cellStyle name="Note 2 7 2 10 2" xfId="15274"/>
    <cellStyle name="Note 2 7 2 10 3" xfId="15275"/>
    <cellStyle name="Note 2 7 2 10 4" xfId="15276"/>
    <cellStyle name="Note 2 7 2 10 5" xfId="15277"/>
    <cellStyle name="Note 2 7 2 10 6" xfId="45553"/>
    <cellStyle name="Note 2 7 2 10 7" xfId="53677"/>
    <cellStyle name="Note 2 7 2 11" xfId="15278"/>
    <cellStyle name="Note 2 7 2 11 2" xfId="15279"/>
    <cellStyle name="Note 2 7 2 11 3" xfId="15280"/>
    <cellStyle name="Note 2 7 2 11 4" xfId="15281"/>
    <cellStyle name="Note 2 7 2 11 5" xfId="15282"/>
    <cellStyle name="Note 2 7 2 12" xfId="15283"/>
    <cellStyle name="Note 2 7 2 12 2" xfId="15284"/>
    <cellStyle name="Note 2 7 2 12 3" xfId="15285"/>
    <cellStyle name="Note 2 7 2 12 4" xfId="15286"/>
    <cellStyle name="Note 2 7 2 12 5" xfId="15287"/>
    <cellStyle name="Note 2 7 2 13" xfId="15288"/>
    <cellStyle name="Note 2 7 2 13 2" xfId="15289"/>
    <cellStyle name="Note 2 7 2 13 3" xfId="15290"/>
    <cellStyle name="Note 2 7 2 13 4" xfId="15291"/>
    <cellStyle name="Note 2 7 2 13 5" xfId="15292"/>
    <cellStyle name="Note 2 7 2 14" xfId="15293"/>
    <cellStyle name="Note 2 7 2 14 2" xfId="15294"/>
    <cellStyle name="Note 2 7 2 14 3" xfId="15295"/>
    <cellStyle name="Note 2 7 2 14 4" xfId="15296"/>
    <cellStyle name="Note 2 7 2 14 5" xfId="15297"/>
    <cellStyle name="Note 2 7 2 15" xfId="15298"/>
    <cellStyle name="Note 2 7 2 15 2" xfId="15299"/>
    <cellStyle name="Note 2 7 2 15 3" xfId="15300"/>
    <cellStyle name="Note 2 7 2 15 4" xfId="15301"/>
    <cellStyle name="Note 2 7 2 15 5" xfId="15302"/>
    <cellStyle name="Note 2 7 2 16" xfId="15303"/>
    <cellStyle name="Note 2 7 2 16 2" xfId="15304"/>
    <cellStyle name="Note 2 7 2 16 3" xfId="15305"/>
    <cellStyle name="Note 2 7 2 16 4" xfId="15306"/>
    <cellStyle name="Note 2 7 2 16 5" xfId="15307"/>
    <cellStyle name="Note 2 7 2 17" xfId="15308"/>
    <cellStyle name="Note 2 7 2 17 2" xfId="15309"/>
    <cellStyle name="Note 2 7 2 17 3" xfId="15310"/>
    <cellStyle name="Note 2 7 2 17 4" xfId="15311"/>
    <cellStyle name="Note 2 7 2 17 5" xfId="15312"/>
    <cellStyle name="Note 2 7 2 18" xfId="15313"/>
    <cellStyle name="Note 2 7 2 19" xfId="1020"/>
    <cellStyle name="Note 2 7 2 2" xfId="2271"/>
    <cellStyle name="Note 2 7 2 2 2" xfId="15314"/>
    <cellStyle name="Note 2 7 2 2 3" xfId="15315"/>
    <cellStyle name="Note 2 7 2 2 4" xfId="15316"/>
    <cellStyle name="Note 2 7 2 2 5" xfId="15317"/>
    <cellStyle name="Note 2 7 2 2 6" xfId="36395"/>
    <cellStyle name="Note 2 7 2 2 7" xfId="45554"/>
    <cellStyle name="Note 2 7 2 2 8" xfId="53678"/>
    <cellStyle name="Note 2 7 2 20" xfId="35100"/>
    <cellStyle name="Note 2 7 2 21" xfId="41319"/>
    <cellStyle name="Note 2 7 2 3" xfId="2272"/>
    <cellStyle name="Note 2 7 2 3 2" xfId="15318"/>
    <cellStyle name="Note 2 7 2 3 3" xfId="15319"/>
    <cellStyle name="Note 2 7 2 3 4" xfId="15320"/>
    <cellStyle name="Note 2 7 2 3 5" xfId="15321"/>
    <cellStyle name="Note 2 7 2 3 6" xfId="36892"/>
    <cellStyle name="Note 2 7 2 3 7" xfId="45555"/>
    <cellStyle name="Note 2 7 2 3 8" xfId="53679"/>
    <cellStyle name="Note 2 7 2 4" xfId="1276"/>
    <cellStyle name="Note 2 7 2 4 2" xfId="15322"/>
    <cellStyle name="Note 2 7 2 4 3" xfId="15323"/>
    <cellStyle name="Note 2 7 2 4 4" xfId="15324"/>
    <cellStyle name="Note 2 7 2 4 5" xfId="15325"/>
    <cellStyle name="Note 2 7 2 4 6" xfId="37508"/>
    <cellStyle name="Note 2 7 2 4 7" xfId="45556"/>
    <cellStyle name="Note 2 7 2 4 8" xfId="53680"/>
    <cellStyle name="Note 2 7 2 5" xfId="3344"/>
    <cellStyle name="Note 2 7 2 5 2" xfId="15326"/>
    <cellStyle name="Note 2 7 2 5 3" xfId="15327"/>
    <cellStyle name="Note 2 7 2 5 4" xfId="15328"/>
    <cellStyle name="Note 2 7 2 5 5" xfId="15329"/>
    <cellStyle name="Note 2 7 2 5 6" xfId="38124"/>
    <cellStyle name="Note 2 7 2 5 7" xfId="45557"/>
    <cellStyle name="Note 2 7 2 5 8" xfId="53681"/>
    <cellStyle name="Note 2 7 2 6" xfId="3666"/>
    <cellStyle name="Note 2 7 2 6 2" xfId="15330"/>
    <cellStyle name="Note 2 7 2 6 3" xfId="15331"/>
    <cellStyle name="Note 2 7 2 6 4" xfId="15332"/>
    <cellStyle name="Note 2 7 2 6 5" xfId="15333"/>
    <cellStyle name="Note 2 7 2 6 6" xfId="38742"/>
    <cellStyle name="Note 2 7 2 6 7" xfId="45558"/>
    <cellStyle name="Note 2 7 2 6 8" xfId="53682"/>
    <cellStyle name="Note 2 7 2 7" xfId="15334"/>
    <cellStyle name="Note 2 7 2 7 2" xfId="15335"/>
    <cellStyle name="Note 2 7 2 7 3" xfId="15336"/>
    <cellStyle name="Note 2 7 2 7 4" xfId="15337"/>
    <cellStyle name="Note 2 7 2 7 5" xfId="15338"/>
    <cellStyle name="Note 2 7 2 7 6" xfId="39362"/>
    <cellStyle name="Note 2 7 2 7 7" xfId="45559"/>
    <cellStyle name="Note 2 7 2 7 8" xfId="53683"/>
    <cellStyle name="Note 2 7 2 8" xfId="15339"/>
    <cellStyle name="Note 2 7 2 8 2" xfId="15340"/>
    <cellStyle name="Note 2 7 2 8 3" xfId="15341"/>
    <cellStyle name="Note 2 7 2 8 4" xfId="15342"/>
    <cellStyle name="Note 2 7 2 8 5" xfId="15343"/>
    <cellStyle name="Note 2 7 2 8 6" xfId="39978"/>
    <cellStyle name="Note 2 7 2 8 7" xfId="45560"/>
    <cellStyle name="Note 2 7 2 8 8" xfId="53684"/>
    <cellStyle name="Note 2 7 2 9" xfId="15344"/>
    <cellStyle name="Note 2 7 2 9 2" xfId="15345"/>
    <cellStyle name="Note 2 7 2 9 3" xfId="15346"/>
    <cellStyle name="Note 2 7 2 9 4" xfId="15347"/>
    <cellStyle name="Note 2 7 2 9 5" xfId="15348"/>
    <cellStyle name="Note 2 7 2 9 6" xfId="40593"/>
    <cellStyle name="Note 2 7 2 9 7" xfId="45561"/>
    <cellStyle name="Note 2 7 2 9 8" xfId="53685"/>
    <cellStyle name="Note 2 7 20" xfId="34723"/>
    <cellStyle name="Note 2 7 21" xfId="40892"/>
    <cellStyle name="Note 2 7 22" xfId="41453"/>
    <cellStyle name="Note 2 7 23" xfId="50540"/>
    <cellStyle name="Note 2 7 3" xfId="2273"/>
    <cellStyle name="Note 2 7 3 10" xfId="34862"/>
    <cellStyle name="Note 2 7 3 10 2" xfId="45563"/>
    <cellStyle name="Note 2 7 3 10 3" xfId="53687"/>
    <cellStyle name="Note 2 7 3 11" xfId="41107"/>
    <cellStyle name="Note 2 7 3 12" xfId="45562"/>
    <cellStyle name="Note 2 7 3 13" xfId="53686"/>
    <cellStyle name="Note 2 7 3 2" xfId="2274"/>
    <cellStyle name="Note 2 7 3 2 2" xfId="36184"/>
    <cellStyle name="Note 2 7 3 2 3" xfId="45564"/>
    <cellStyle name="Note 2 7 3 2 4" xfId="53688"/>
    <cellStyle name="Note 2 7 3 3" xfId="15349"/>
    <cellStyle name="Note 2 7 3 3 2" xfId="36681"/>
    <cellStyle name="Note 2 7 3 3 3" xfId="45565"/>
    <cellStyle name="Note 2 7 3 3 4" xfId="53689"/>
    <cellStyle name="Note 2 7 3 4" xfId="15350"/>
    <cellStyle name="Note 2 7 3 4 2" xfId="37297"/>
    <cellStyle name="Note 2 7 3 4 3" xfId="45566"/>
    <cellStyle name="Note 2 7 3 4 4" xfId="53690"/>
    <cellStyle name="Note 2 7 3 5" xfId="15351"/>
    <cellStyle name="Note 2 7 3 5 2" xfId="37913"/>
    <cellStyle name="Note 2 7 3 5 3" xfId="45567"/>
    <cellStyle name="Note 2 7 3 5 4" xfId="53691"/>
    <cellStyle name="Note 2 7 3 6" xfId="38530"/>
    <cellStyle name="Note 2 7 3 6 2" xfId="45568"/>
    <cellStyle name="Note 2 7 3 6 3" xfId="53692"/>
    <cellStyle name="Note 2 7 3 7" xfId="39150"/>
    <cellStyle name="Note 2 7 3 7 2" xfId="45569"/>
    <cellStyle name="Note 2 7 3 7 3" xfId="53693"/>
    <cellStyle name="Note 2 7 3 8" xfId="39766"/>
    <cellStyle name="Note 2 7 3 8 2" xfId="45570"/>
    <cellStyle name="Note 2 7 3 8 3" xfId="53694"/>
    <cellStyle name="Note 2 7 3 9" xfId="40381"/>
    <cellStyle name="Note 2 7 3 9 2" xfId="45571"/>
    <cellStyle name="Note 2 7 3 9 3" xfId="53695"/>
    <cellStyle name="Note 2 7 4" xfId="2275"/>
    <cellStyle name="Note 2 7 4 10" xfId="45572"/>
    <cellStyle name="Note 2 7 4 11" xfId="53696"/>
    <cellStyle name="Note 2 7 4 2" xfId="15352"/>
    <cellStyle name="Note 2 7 4 2 2" xfId="45573"/>
    <cellStyle name="Note 2 7 4 2 3" xfId="53697"/>
    <cellStyle name="Note 2 7 4 3" xfId="15353"/>
    <cellStyle name="Note 2 7 4 3 2" xfId="45574"/>
    <cellStyle name="Note 2 7 4 3 3" xfId="53698"/>
    <cellStyle name="Note 2 7 4 4" xfId="15354"/>
    <cellStyle name="Note 2 7 4 4 2" xfId="45575"/>
    <cellStyle name="Note 2 7 4 4 3" xfId="53699"/>
    <cellStyle name="Note 2 7 4 5" xfId="15355"/>
    <cellStyle name="Note 2 7 4 5 2" xfId="45576"/>
    <cellStyle name="Note 2 7 4 5 3" xfId="53700"/>
    <cellStyle name="Note 2 7 4 6" xfId="35613"/>
    <cellStyle name="Note 2 7 4 6 2" xfId="45577"/>
    <cellStyle name="Note 2 7 4 6 3" xfId="53701"/>
    <cellStyle name="Note 2 7 4 7" xfId="45578"/>
    <cellStyle name="Note 2 7 4 7 2" xfId="53702"/>
    <cellStyle name="Note 2 7 4 8" xfId="45579"/>
    <cellStyle name="Note 2 7 4 8 2" xfId="53703"/>
    <cellStyle name="Note 2 7 4 9" xfId="45580"/>
    <cellStyle name="Note 2 7 4 9 2" xfId="53704"/>
    <cellStyle name="Note 2 7 5" xfId="1275"/>
    <cellStyle name="Note 2 7 5 2" xfId="15356"/>
    <cellStyle name="Note 2 7 5 3" xfId="15357"/>
    <cellStyle name="Note 2 7 5 4" xfId="15358"/>
    <cellStyle name="Note 2 7 5 5" xfId="15359"/>
    <cellStyle name="Note 2 7 5 6" xfId="35755"/>
    <cellStyle name="Note 2 7 5 7" xfId="45581"/>
    <cellStyle name="Note 2 7 5 8" xfId="53705"/>
    <cellStyle name="Note 2 7 6" xfId="3343"/>
    <cellStyle name="Note 2 7 6 2" xfId="15360"/>
    <cellStyle name="Note 2 7 6 3" xfId="15361"/>
    <cellStyle name="Note 2 7 6 4" xfId="15362"/>
    <cellStyle name="Note 2 7 6 5" xfId="15363"/>
    <cellStyle name="Note 2 7 6 6" xfId="37082"/>
    <cellStyle name="Note 2 7 6 7" xfId="45582"/>
    <cellStyle name="Note 2 7 6 8" xfId="53706"/>
    <cellStyle name="Note 2 7 7" xfId="3665"/>
    <cellStyle name="Note 2 7 7 2" xfId="15364"/>
    <cellStyle name="Note 2 7 7 3" xfId="15365"/>
    <cellStyle name="Note 2 7 7 4" xfId="15366"/>
    <cellStyle name="Note 2 7 7 5" xfId="15367"/>
    <cellStyle name="Note 2 7 7 6" xfId="37696"/>
    <cellStyle name="Note 2 7 7 7" xfId="45583"/>
    <cellStyle name="Note 2 7 7 8" xfId="53707"/>
    <cellStyle name="Note 2 7 8" xfId="15368"/>
    <cellStyle name="Note 2 7 8 2" xfId="15369"/>
    <cellStyle name="Note 2 7 8 3" xfId="15370"/>
    <cellStyle name="Note 2 7 8 4" xfId="15371"/>
    <cellStyle name="Note 2 7 8 5" xfId="15372"/>
    <cellStyle name="Note 2 7 8 6" xfId="38311"/>
    <cellStyle name="Note 2 7 8 7" xfId="45584"/>
    <cellStyle name="Note 2 7 8 8" xfId="53708"/>
    <cellStyle name="Note 2 7 9" xfId="15373"/>
    <cellStyle name="Note 2 7 9 2" xfId="15374"/>
    <cellStyle name="Note 2 7 9 3" xfId="15375"/>
    <cellStyle name="Note 2 7 9 4" xfId="15376"/>
    <cellStyle name="Note 2 7 9 5" xfId="15377"/>
    <cellStyle name="Note 2 7 9 6" xfId="38931"/>
    <cellStyle name="Note 2 7 9 7" xfId="45585"/>
    <cellStyle name="Note 2 7 9 8" xfId="53709"/>
    <cellStyle name="Note 2 8" xfId="373"/>
    <cellStyle name="Note 2 8 10" xfId="15378"/>
    <cellStyle name="Note 2 8 10 2" xfId="15379"/>
    <cellStyle name="Note 2 8 10 3" xfId="15380"/>
    <cellStyle name="Note 2 8 10 4" xfId="15381"/>
    <cellStyle name="Note 2 8 10 5" xfId="15382"/>
    <cellStyle name="Note 2 8 10 6" xfId="40167"/>
    <cellStyle name="Note 2 8 10 7" xfId="45586"/>
    <cellStyle name="Note 2 8 10 8" xfId="53710"/>
    <cellStyle name="Note 2 8 11" xfId="15383"/>
    <cellStyle name="Note 2 8 11 2" xfId="15384"/>
    <cellStyle name="Note 2 8 11 3" xfId="15385"/>
    <cellStyle name="Note 2 8 11 4" xfId="15386"/>
    <cellStyle name="Note 2 8 11 5" xfId="15387"/>
    <cellStyle name="Note 2 8 11 6" xfId="45587"/>
    <cellStyle name="Note 2 8 11 7" xfId="53711"/>
    <cellStyle name="Note 2 8 12" xfId="15388"/>
    <cellStyle name="Note 2 8 12 2" xfId="15389"/>
    <cellStyle name="Note 2 8 12 3" xfId="15390"/>
    <cellStyle name="Note 2 8 12 4" xfId="15391"/>
    <cellStyle name="Note 2 8 12 5" xfId="15392"/>
    <cellStyle name="Note 2 8 12 6" xfId="45588"/>
    <cellStyle name="Note 2 8 12 7" xfId="53712"/>
    <cellStyle name="Note 2 8 13" xfId="15393"/>
    <cellStyle name="Note 2 8 13 2" xfId="15394"/>
    <cellStyle name="Note 2 8 13 3" xfId="15395"/>
    <cellStyle name="Note 2 8 13 4" xfId="15396"/>
    <cellStyle name="Note 2 8 13 5" xfId="15397"/>
    <cellStyle name="Note 2 8 13 6" xfId="45589"/>
    <cellStyle name="Note 2 8 13 7" xfId="53713"/>
    <cellStyle name="Note 2 8 14" xfId="15398"/>
    <cellStyle name="Note 2 8 14 2" xfId="15399"/>
    <cellStyle name="Note 2 8 14 3" xfId="15400"/>
    <cellStyle name="Note 2 8 14 4" xfId="15401"/>
    <cellStyle name="Note 2 8 14 5" xfId="15402"/>
    <cellStyle name="Note 2 8 15" xfId="15403"/>
    <cellStyle name="Note 2 8 15 2" xfId="15404"/>
    <cellStyle name="Note 2 8 15 3" xfId="15405"/>
    <cellStyle name="Note 2 8 15 4" xfId="15406"/>
    <cellStyle name="Note 2 8 15 5" xfId="15407"/>
    <cellStyle name="Note 2 8 16" xfId="15408"/>
    <cellStyle name="Note 2 8 16 2" xfId="15409"/>
    <cellStyle name="Note 2 8 16 3" xfId="15410"/>
    <cellStyle name="Note 2 8 16 4" xfId="15411"/>
    <cellStyle name="Note 2 8 16 5" xfId="15412"/>
    <cellStyle name="Note 2 8 17" xfId="15413"/>
    <cellStyle name="Note 2 8 17 2" xfId="15414"/>
    <cellStyle name="Note 2 8 17 3" xfId="15415"/>
    <cellStyle name="Note 2 8 17 4" xfId="15416"/>
    <cellStyle name="Note 2 8 17 5" xfId="15417"/>
    <cellStyle name="Note 2 8 18" xfId="15418"/>
    <cellStyle name="Note 2 8 19" xfId="809"/>
    <cellStyle name="Note 2 8 2" xfId="592"/>
    <cellStyle name="Note 2 8 2 10" xfId="15419"/>
    <cellStyle name="Note 2 8 2 10 2" xfId="15420"/>
    <cellStyle name="Note 2 8 2 10 3" xfId="15421"/>
    <cellStyle name="Note 2 8 2 10 4" xfId="15422"/>
    <cellStyle name="Note 2 8 2 10 5" xfId="15423"/>
    <cellStyle name="Note 2 8 2 10 6" xfId="45590"/>
    <cellStyle name="Note 2 8 2 10 7" xfId="53714"/>
    <cellStyle name="Note 2 8 2 11" xfId="15424"/>
    <cellStyle name="Note 2 8 2 11 2" xfId="15425"/>
    <cellStyle name="Note 2 8 2 11 3" xfId="15426"/>
    <cellStyle name="Note 2 8 2 11 4" xfId="15427"/>
    <cellStyle name="Note 2 8 2 11 5" xfId="15428"/>
    <cellStyle name="Note 2 8 2 12" xfId="15429"/>
    <cellStyle name="Note 2 8 2 12 2" xfId="15430"/>
    <cellStyle name="Note 2 8 2 12 3" xfId="15431"/>
    <cellStyle name="Note 2 8 2 12 4" xfId="15432"/>
    <cellStyle name="Note 2 8 2 12 5" xfId="15433"/>
    <cellStyle name="Note 2 8 2 13" xfId="15434"/>
    <cellStyle name="Note 2 8 2 13 2" xfId="15435"/>
    <cellStyle name="Note 2 8 2 13 3" xfId="15436"/>
    <cellStyle name="Note 2 8 2 13 4" xfId="15437"/>
    <cellStyle name="Note 2 8 2 13 5" xfId="15438"/>
    <cellStyle name="Note 2 8 2 14" xfId="15439"/>
    <cellStyle name="Note 2 8 2 14 2" xfId="15440"/>
    <cellStyle name="Note 2 8 2 14 3" xfId="15441"/>
    <cellStyle name="Note 2 8 2 14 4" xfId="15442"/>
    <cellStyle name="Note 2 8 2 14 5" xfId="15443"/>
    <cellStyle name="Note 2 8 2 15" xfId="15444"/>
    <cellStyle name="Note 2 8 2 15 2" xfId="15445"/>
    <cellStyle name="Note 2 8 2 15 3" xfId="15446"/>
    <cellStyle name="Note 2 8 2 15 4" xfId="15447"/>
    <cellStyle name="Note 2 8 2 15 5" xfId="15448"/>
    <cellStyle name="Note 2 8 2 16" xfId="15449"/>
    <cellStyle name="Note 2 8 2 16 2" xfId="15450"/>
    <cellStyle name="Note 2 8 2 16 3" xfId="15451"/>
    <cellStyle name="Note 2 8 2 16 4" xfId="15452"/>
    <cellStyle name="Note 2 8 2 16 5" xfId="15453"/>
    <cellStyle name="Note 2 8 2 17" xfId="15454"/>
    <cellStyle name="Note 2 8 2 17 2" xfId="15455"/>
    <cellStyle name="Note 2 8 2 17 3" xfId="15456"/>
    <cellStyle name="Note 2 8 2 17 4" xfId="15457"/>
    <cellStyle name="Note 2 8 2 17 5" xfId="15458"/>
    <cellStyle name="Note 2 8 2 18" xfId="15459"/>
    <cellStyle name="Note 2 8 2 19" xfId="1021"/>
    <cellStyle name="Note 2 8 2 2" xfId="1278"/>
    <cellStyle name="Note 2 8 2 2 2" xfId="15460"/>
    <cellStyle name="Note 2 8 2 2 3" xfId="15461"/>
    <cellStyle name="Note 2 8 2 2 4" xfId="15462"/>
    <cellStyle name="Note 2 8 2 2 5" xfId="15463"/>
    <cellStyle name="Note 2 8 2 2 6" xfId="36396"/>
    <cellStyle name="Note 2 8 2 2 7" xfId="45591"/>
    <cellStyle name="Note 2 8 2 2 8" xfId="53715"/>
    <cellStyle name="Note 2 8 2 20" xfId="35101"/>
    <cellStyle name="Note 2 8 2 21" xfId="41320"/>
    <cellStyle name="Note 2 8 2 3" xfId="3346"/>
    <cellStyle name="Note 2 8 2 3 2" xfId="15464"/>
    <cellStyle name="Note 2 8 2 3 3" xfId="15465"/>
    <cellStyle name="Note 2 8 2 3 4" xfId="15466"/>
    <cellStyle name="Note 2 8 2 3 5" xfId="15467"/>
    <cellStyle name="Note 2 8 2 3 6" xfId="36893"/>
    <cellStyle name="Note 2 8 2 3 7" xfId="45592"/>
    <cellStyle name="Note 2 8 2 3 8" xfId="53716"/>
    <cellStyle name="Note 2 8 2 4" xfId="3668"/>
    <cellStyle name="Note 2 8 2 4 2" xfId="15468"/>
    <cellStyle name="Note 2 8 2 4 3" xfId="15469"/>
    <cellStyle name="Note 2 8 2 4 4" xfId="15470"/>
    <cellStyle name="Note 2 8 2 4 5" xfId="15471"/>
    <cellStyle name="Note 2 8 2 4 6" xfId="37509"/>
    <cellStyle name="Note 2 8 2 4 7" xfId="45593"/>
    <cellStyle name="Note 2 8 2 4 8" xfId="53717"/>
    <cellStyle name="Note 2 8 2 5" xfId="15472"/>
    <cellStyle name="Note 2 8 2 5 2" xfId="15473"/>
    <cellStyle name="Note 2 8 2 5 3" xfId="15474"/>
    <cellStyle name="Note 2 8 2 5 4" xfId="15475"/>
    <cellStyle name="Note 2 8 2 5 5" xfId="15476"/>
    <cellStyle name="Note 2 8 2 5 6" xfId="38125"/>
    <cellStyle name="Note 2 8 2 5 7" xfId="45594"/>
    <cellStyle name="Note 2 8 2 5 8" xfId="53718"/>
    <cellStyle name="Note 2 8 2 6" xfId="15477"/>
    <cellStyle name="Note 2 8 2 6 2" xfId="15478"/>
    <cellStyle name="Note 2 8 2 6 3" xfId="15479"/>
    <cellStyle name="Note 2 8 2 6 4" xfId="15480"/>
    <cellStyle name="Note 2 8 2 6 5" xfId="15481"/>
    <cellStyle name="Note 2 8 2 6 6" xfId="38743"/>
    <cellStyle name="Note 2 8 2 6 7" xfId="45595"/>
    <cellStyle name="Note 2 8 2 6 8" xfId="53719"/>
    <cellStyle name="Note 2 8 2 7" xfId="15482"/>
    <cellStyle name="Note 2 8 2 7 2" xfId="15483"/>
    <cellStyle name="Note 2 8 2 7 3" xfId="15484"/>
    <cellStyle name="Note 2 8 2 7 4" xfId="15485"/>
    <cellStyle name="Note 2 8 2 7 5" xfId="15486"/>
    <cellStyle name="Note 2 8 2 7 6" xfId="39363"/>
    <cellStyle name="Note 2 8 2 7 7" xfId="45596"/>
    <cellStyle name="Note 2 8 2 7 8" xfId="53720"/>
    <cellStyle name="Note 2 8 2 8" xfId="15487"/>
    <cellStyle name="Note 2 8 2 8 2" xfId="15488"/>
    <cellStyle name="Note 2 8 2 8 3" xfId="15489"/>
    <cellStyle name="Note 2 8 2 8 4" xfId="15490"/>
    <cellStyle name="Note 2 8 2 8 5" xfId="15491"/>
    <cellStyle name="Note 2 8 2 8 6" xfId="39979"/>
    <cellStyle name="Note 2 8 2 8 7" xfId="45597"/>
    <cellStyle name="Note 2 8 2 8 8" xfId="53721"/>
    <cellStyle name="Note 2 8 2 9" xfId="15492"/>
    <cellStyle name="Note 2 8 2 9 2" xfId="15493"/>
    <cellStyle name="Note 2 8 2 9 3" xfId="15494"/>
    <cellStyle name="Note 2 8 2 9 4" xfId="15495"/>
    <cellStyle name="Note 2 8 2 9 5" xfId="15496"/>
    <cellStyle name="Note 2 8 2 9 6" xfId="40594"/>
    <cellStyle name="Note 2 8 2 9 7" xfId="45598"/>
    <cellStyle name="Note 2 8 2 9 8" xfId="53722"/>
    <cellStyle name="Note 2 8 20" xfId="34722"/>
    <cellStyle name="Note 2 8 21" xfId="40893"/>
    <cellStyle name="Note 2 8 22" xfId="41454"/>
    <cellStyle name="Note 2 8 23" xfId="50541"/>
    <cellStyle name="Note 2 8 3" xfId="1277"/>
    <cellStyle name="Note 2 8 3 10" xfId="34906"/>
    <cellStyle name="Note 2 8 3 10 2" xfId="45600"/>
    <cellStyle name="Note 2 8 3 10 3" xfId="53724"/>
    <cellStyle name="Note 2 8 3 11" xfId="41108"/>
    <cellStyle name="Note 2 8 3 12" xfId="45599"/>
    <cellStyle name="Note 2 8 3 13" xfId="53723"/>
    <cellStyle name="Note 2 8 3 2" xfId="15497"/>
    <cellStyle name="Note 2 8 3 2 2" xfId="36185"/>
    <cellStyle name="Note 2 8 3 2 3" xfId="45601"/>
    <cellStyle name="Note 2 8 3 2 4" xfId="53725"/>
    <cellStyle name="Note 2 8 3 3" xfId="15498"/>
    <cellStyle name="Note 2 8 3 3 2" xfId="36682"/>
    <cellStyle name="Note 2 8 3 3 3" xfId="45602"/>
    <cellStyle name="Note 2 8 3 3 4" xfId="53726"/>
    <cellStyle name="Note 2 8 3 4" xfId="15499"/>
    <cellStyle name="Note 2 8 3 4 2" xfId="37298"/>
    <cellStyle name="Note 2 8 3 4 3" xfId="45603"/>
    <cellStyle name="Note 2 8 3 4 4" xfId="53727"/>
    <cellStyle name="Note 2 8 3 5" xfId="15500"/>
    <cellStyle name="Note 2 8 3 5 2" xfId="37914"/>
    <cellStyle name="Note 2 8 3 5 3" xfId="45604"/>
    <cellStyle name="Note 2 8 3 5 4" xfId="53728"/>
    <cellStyle name="Note 2 8 3 6" xfId="38531"/>
    <cellStyle name="Note 2 8 3 6 2" xfId="45605"/>
    <cellStyle name="Note 2 8 3 6 3" xfId="53729"/>
    <cellStyle name="Note 2 8 3 7" xfId="39151"/>
    <cellStyle name="Note 2 8 3 7 2" xfId="45606"/>
    <cellStyle name="Note 2 8 3 7 3" xfId="53730"/>
    <cellStyle name="Note 2 8 3 8" xfId="39767"/>
    <cellStyle name="Note 2 8 3 8 2" xfId="45607"/>
    <cellStyle name="Note 2 8 3 8 3" xfId="53731"/>
    <cellStyle name="Note 2 8 3 9" xfId="40382"/>
    <cellStyle name="Note 2 8 3 9 2" xfId="45608"/>
    <cellStyle name="Note 2 8 3 9 3" xfId="53732"/>
    <cellStyle name="Note 2 8 4" xfId="3345"/>
    <cellStyle name="Note 2 8 4 10" xfId="45609"/>
    <cellStyle name="Note 2 8 4 11" xfId="53733"/>
    <cellStyle name="Note 2 8 4 2" xfId="15501"/>
    <cellStyle name="Note 2 8 4 2 2" xfId="45610"/>
    <cellStyle name="Note 2 8 4 2 3" xfId="53734"/>
    <cellStyle name="Note 2 8 4 3" xfId="15502"/>
    <cellStyle name="Note 2 8 4 3 2" xfId="45611"/>
    <cellStyle name="Note 2 8 4 3 3" xfId="53735"/>
    <cellStyle name="Note 2 8 4 4" xfId="15503"/>
    <cellStyle name="Note 2 8 4 4 2" xfId="45612"/>
    <cellStyle name="Note 2 8 4 4 3" xfId="53736"/>
    <cellStyle name="Note 2 8 4 5" xfId="15504"/>
    <cellStyle name="Note 2 8 4 5 2" xfId="45613"/>
    <cellStyle name="Note 2 8 4 5 3" xfId="53737"/>
    <cellStyle name="Note 2 8 4 6" xfId="35754"/>
    <cellStyle name="Note 2 8 4 6 2" xfId="45614"/>
    <cellStyle name="Note 2 8 4 6 3" xfId="53738"/>
    <cellStyle name="Note 2 8 4 7" xfId="45615"/>
    <cellStyle name="Note 2 8 4 7 2" xfId="53739"/>
    <cellStyle name="Note 2 8 4 8" xfId="45616"/>
    <cellStyle name="Note 2 8 4 8 2" xfId="53740"/>
    <cellStyle name="Note 2 8 4 9" xfId="45617"/>
    <cellStyle name="Note 2 8 4 9 2" xfId="53741"/>
    <cellStyle name="Note 2 8 5" xfId="3667"/>
    <cellStyle name="Note 2 8 5 2" xfId="15505"/>
    <cellStyle name="Note 2 8 5 3" xfId="15506"/>
    <cellStyle name="Note 2 8 5 4" xfId="15507"/>
    <cellStyle name="Note 2 8 5 5" xfId="15508"/>
    <cellStyle name="Note 2 8 5 6" xfId="37083"/>
    <cellStyle name="Note 2 8 5 7" xfId="45618"/>
    <cellStyle name="Note 2 8 5 8" xfId="53742"/>
    <cellStyle name="Note 2 8 6" xfId="15509"/>
    <cellStyle name="Note 2 8 6 2" xfId="15510"/>
    <cellStyle name="Note 2 8 6 3" xfId="15511"/>
    <cellStyle name="Note 2 8 6 4" xfId="15512"/>
    <cellStyle name="Note 2 8 6 5" xfId="15513"/>
    <cellStyle name="Note 2 8 6 6" xfId="37697"/>
    <cellStyle name="Note 2 8 6 7" xfId="45619"/>
    <cellStyle name="Note 2 8 6 8" xfId="53743"/>
    <cellStyle name="Note 2 8 7" xfId="15514"/>
    <cellStyle name="Note 2 8 7 2" xfId="15515"/>
    <cellStyle name="Note 2 8 7 3" xfId="15516"/>
    <cellStyle name="Note 2 8 7 4" xfId="15517"/>
    <cellStyle name="Note 2 8 7 5" xfId="15518"/>
    <cellStyle name="Note 2 8 7 6" xfId="38312"/>
    <cellStyle name="Note 2 8 7 7" xfId="45620"/>
    <cellStyle name="Note 2 8 7 8" xfId="53744"/>
    <cellStyle name="Note 2 8 8" xfId="15519"/>
    <cellStyle name="Note 2 8 8 2" xfId="15520"/>
    <cellStyle name="Note 2 8 8 3" xfId="15521"/>
    <cellStyle name="Note 2 8 8 4" xfId="15522"/>
    <cellStyle name="Note 2 8 8 5" xfId="15523"/>
    <cellStyle name="Note 2 8 8 6" xfId="38932"/>
    <cellStyle name="Note 2 8 8 7" xfId="45621"/>
    <cellStyle name="Note 2 8 8 8" xfId="53745"/>
    <cellStyle name="Note 2 8 9" xfId="15524"/>
    <cellStyle name="Note 2 8 9 2" xfId="15525"/>
    <cellStyle name="Note 2 8 9 3" xfId="15526"/>
    <cellStyle name="Note 2 8 9 4" xfId="15527"/>
    <cellStyle name="Note 2 8 9 5" xfId="15528"/>
    <cellStyle name="Note 2 8 9 6" xfId="39551"/>
    <cellStyle name="Note 2 8 9 7" xfId="45622"/>
    <cellStyle name="Note 2 8 9 8" xfId="53746"/>
    <cellStyle name="Note 2 9" xfId="467"/>
    <cellStyle name="Note 2 9 10" xfId="15529"/>
    <cellStyle name="Note 2 9 10 2" xfId="15530"/>
    <cellStyle name="Note 2 9 10 3" xfId="15531"/>
    <cellStyle name="Note 2 9 10 4" xfId="15532"/>
    <cellStyle name="Note 2 9 10 5" xfId="15533"/>
    <cellStyle name="Note 2 9 10 6" xfId="45623"/>
    <cellStyle name="Note 2 9 10 7" xfId="53747"/>
    <cellStyle name="Note 2 9 11" xfId="15534"/>
    <cellStyle name="Note 2 9 11 2" xfId="15535"/>
    <cellStyle name="Note 2 9 11 3" xfId="15536"/>
    <cellStyle name="Note 2 9 11 4" xfId="15537"/>
    <cellStyle name="Note 2 9 11 5" xfId="15538"/>
    <cellStyle name="Note 2 9 12" xfId="15539"/>
    <cellStyle name="Note 2 9 12 2" xfId="15540"/>
    <cellStyle name="Note 2 9 12 3" xfId="15541"/>
    <cellStyle name="Note 2 9 12 4" xfId="15542"/>
    <cellStyle name="Note 2 9 12 5" xfId="15543"/>
    <cellStyle name="Note 2 9 13" xfId="15544"/>
    <cellStyle name="Note 2 9 13 2" xfId="15545"/>
    <cellStyle name="Note 2 9 13 3" xfId="15546"/>
    <cellStyle name="Note 2 9 13 4" xfId="15547"/>
    <cellStyle name="Note 2 9 13 5" xfId="15548"/>
    <cellStyle name="Note 2 9 14" xfId="15549"/>
    <cellStyle name="Note 2 9 14 2" xfId="15550"/>
    <cellStyle name="Note 2 9 14 3" xfId="15551"/>
    <cellStyle name="Note 2 9 14 4" xfId="15552"/>
    <cellStyle name="Note 2 9 14 5" xfId="15553"/>
    <cellStyle name="Note 2 9 15" xfId="15554"/>
    <cellStyle name="Note 2 9 15 2" xfId="15555"/>
    <cellStyle name="Note 2 9 15 3" xfId="15556"/>
    <cellStyle name="Note 2 9 15 4" xfId="15557"/>
    <cellStyle name="Note 2 9 15 5" xfId="15558"/>
    <cellStyle name="Note 2 9 16" xfId="15559"/>
    <cellStyle name="Note 2 9 16 2" xfId="15560"/>
    <cellStyle name="Note 2 9 16 3" xfId="15561"/>
    <cellStyle name="Note 2 9 16 4" xfId="15562"/>
    <cellStyle name="Note 2 9 16 5" xfId="15563"/>
    <cellStyle name="Note 2 9 17" xfId="15564"/>
    <cellStyle name="Note 2 9 17 2" xfId="15565"/>
    <cellStyle name="Note 2 9 17 3" xfId="15566"/>
    <cellStyle name="Note 2 9 17 4" xfId="15567"/>
    <cellStyle name="Note 2 9 17 5" xfId="15568"/>
    <cellStyle name="Note 2 9 18" xfId="15569"/>
    <cellStyle name="Note 2 9 19" xfId="896"/>
    <cellStyle name="Note 2 9 2" xfId="2276"/>
    <cellStyle name="Note 2 9 2 2" xfId="15570"/>
    <cellStyle name="Note 2 9 2 3" xfId="15571"/>
    <cellStyle name="Note 2 9 2 4" xfId="15572"/>
    <cellStyle name="Note 2 9 2 5" xfId="15573"/>
    <cellStyle name="Note 2 9 2 6" xfId="36272"/>
    <cellStyle name="Note 2 9 2 7" xfId="45624"/>
    <cellStyle name="Note 2 9 2 8" xfId="53748"/>
    <cellStyle name="Note 2 9 20" xfId="34977"/>
    <cellStyle name="Note 2 9 21" xfId="40686"/>
    <cellStyle name="Note 2 9 22" xfId="41195"/>
    <cellStyle name="Note 2 9 3" xfId="2277"/>
    <cellStyle name="Note 2 9 3 2" xfId="15574"/>
    <cellStyle name="Note 2 9 3 3" xfId="15575"/>
    <cellStyle name="Note 2 9 3 4" xfId="15576"/>
    <cellStyle name="Note 2 9 3 5" xfId="15577"/>
    <cellStyle name="Note 2 9 3 6" xfId="36769"/>
    <cellStyle name="Note 2 9 3 7" xfId="45625"/>
    <cellStyle name="Note 2 9 3 8" xfId="53749"/>
    <cellStyle name="Note 2 9 4" xfId="1279"/>
    <cellStyle name="Note 2 9 4 2" xfId="15578"/>
    <cellStyle name="Note 2 9 4 3" xfId="15579"/>
    <cellStyle name="Note 2 9 4 4" xfId="15580"/>
    <cellStyle name="Note 2 9 4 5" xfId="15581"/>
    <cellStyle name="Note 2 9 4 6" xfId="37385"/>
    <cellStyle name="Note 2 9 4 7" xfId="45626"/>
    <cellStyle name="Note 2 9 4 8" xfId="53750"/>
    <cellStyle name="Note 2 9 5" xfId="3347"/>
    <cellStyle name="Note 2 9 5 2" xfId="15582"/>
    <cellStyle name="Note 2 9 5 3" xfId="15583"/>
    <cellStyle name="Note 2 9 5 4" xfId="15584"/>
    <cellStyle name="Note 2 9 5 5" xfId="15585"/>
    <cellStyle name="Note 2 9 5 6" xfId="38001"/>
    <cellStyle name="Note 2 9 5 7" xfId="45627"/>
    <cellStyle name="Note 2 9 5 8" xfId="53751"/>
    <cellStyle name="Note 2 9 6" xfId="3669"/>
    <cellStyle name="Note 2 9 6 2" xfId="15586"/>
    <cellStyle name="Note 2 9 6 3" xfId="15587"/>
    <cellStyle name="Note 2 9 6 4" xfId="15588"/>
    <cellStyle name="Note 2 9 6 5" xfId="15589"/>
    <cellStyle name="Note 2 9 6 6" xfId="38618"/>
    <cellStyle name="Note 2 9 6 7" xfId="45628"/>
    <cellStyle name="Note 2 9 6 8" xfId="53752"/>
    <cellStyle name="Note 2 9 7" xfId="15590"/>
    <cellStyle name="Note 2 9 7 2" xfId="15591"/>
    <cellStyle name="Note 2 9 7 3" xfId="15592"/>
    <cellStyle name="Note 2 9 7 4" xfId="15593"/>
    <cellStyle name="Note 2 9 7 5" xfId="15594"/>
    <cellStyle name="Note 2 9 7 6" xfId="39238"/>
    <cellStyle name="Note 2 9 7 7" xfId="45629"/>
    <cellStyle name="Note 2 9 7 8" xfId="53753"/>
    <cellStyle name="Note 2 9 8" xfId="15595"/>
    <cellStyle name="Note 2 9 8 2" xfId="15596"/>
    <cellStyle name="Note 2 9 8 3" xfId="15597"/>
    <cellStyle name="Note 2 9 8 4" xfId="15598"/>
    <cellStyle name="Note 2 9 8 5" xfId="15599"/>
    <cellStyle name="Note 2 9 8 6" xfId="39854"/>
    <cellStyle name="Note 2 9 8 7" xfId="45630"/>
    <cellStyle name="Note 2 9 8 8" xfId="53754"/>
    <cellStyle name="Note 2 9 9" xfId="15600"/>
    <cellStyle name="Note 2 9 9 2" xfId="15601"/>
    <cellStyle name="Note 2 9 9 3" xfId="15602"/>
    <cellStyle name="Note 2 9 9 4" xfId="15603"/>
    <cellStyle name="Note 2 9 9 5" xfId="15604"/>
    <cellStyle name="Note 2 9 9 6" xfId="40469"/>
    <cellStyle name="Note 2 9 9 7" xfId="45631"/>
    <cellStyle name="Note 2 9 9 8" xfId="53755"/>
    <cellStyle name="Note 20" xfId="45632"/>
    <cellStyle name="Note 20 2" xfId="45633"/>
    <cellStyle name="Note 20 2 2" xfId="53757"/>
    <cellStyle name="Note 20 3" xfId="53756"/>
    <cellStyle name="Note 21" xfId="45634"/>
    <cellStyle name="Note 21 2" xfId="45635"/>
    <cellStyle name="Note 21 2 2" xfId="53759"/>
    <cellStyle name="Note 21 3" xfId="53758"/>
    <cellStyle name="Note 3" xfId="2278"/>
    <cellStyle name="Note 3 2" xfId="2279"/>
    <cellStyle name="Note 3 2 2" xfId="2280"/>
    <cellStyle name="Note 3 2 2 2" xfId="2281"/>
    <cellStyle name="Note 3 2 2 3" xfId="2282"/>
    <cellStyle name="Note 3 2 2 4" xfId="45638"/>
    <cellStyle name="Note 3 2 2 5" xfId="53761"/>
    <cellStyle name="Note 3 2 3" xfId="2283"/>
    <cellStyle name="Note 3 2 3 2" xfId="2284"/>
    <cellStyle name="Note 3 2 3 3" xfId="2285"/>
    <cellStyle name="Note 3 2 4" xfId="2286"/>
    <cellStyle name="Note 3 2 4 2" xfId="2287"/>
    <cellStyle name="Note 3 2 5" xfId="2288"/>
    <cellStyle name="Note 3 2 6" xfId="45637"/>
    <cellStyle name="Note 3 2 7" xfId="53760"/>
    <cellStyle name="Note 3 3" xfId="2289"/>
    <cellStyle name="Note 3 3 2" xfId="2290"/>
    <cellStyle name="Note 3 3 3" xfId="2291"/>
    <cellStyle name="Note 3 3 4" xfId="45639"/>
    <cellStyle name="Note 3 3 5" xfId="53762"/>
    <cellStyle name="Note 3 4" xfId="2292"/>
    <cellStyle name="Note 3 4 2" xfId="2293"/>
    <cellStyle name="Note 3 4 3" xfId="2294"/>
    <cellStyle name="Note 3 5" xfId="2295"/>
    <cellStyle name="Note 3 5 2" xfId="2296"/>
    <cellStyle name="Note 3 6" xfId="2297"/>
    <cellStyle name="Note 3 7" xfId="45636"/>
    <cellStyle name="Note 4" xfId="2298"/>
    <cellStyle name="Note 4 2" xfId="2299"/>
    <cellStyle name="Note 4 2 2" xfId="2300"/>
    <cellStyle name="Note 4 2 2 2" xfId="45642"/>
    <cellStyle name="Note 4 2 2 3" xfId="53765"/>
    <cellStyle name="Note 4 2 3" xfId="2301"/>
    <cellStyle name="Note 4 2 4" xfId="45641"/>
    <cellStyle name="Note 4 2 5" xfId="53764"/>
    <cellStyle name="Note 4 3" xfId="2302"/>
    <cellStyle name="Note 4 3 2" xfId="2303"/>
    <cellStyle name="Note 4 3 3" xfId="2304"/>
    <cellStyle name="Note 4 3 4" xfId="45643"/>
    <cellStyle name="Note 4 3 5" xfId="53766"/>
    <cellStyle name="Note 4 4" xfId="2305"/>
    <cellStyle name="Note 4 4 2" xfId="2306"/>
    <cellStyle name="Note 4 5" xfId="2307"/>
    <cellStyle name="Note 4 6" xfId="45640"/>
    <cellStyle name="Note 4 7" xfId="53763"/>
    <cellStyle name="Note 5" xfId="2308"/>
    <cellStyle name="Note 5 2" xfId="2309"/>
    <cellStyle name="Note 5 2 2" xfId="2310"/>
    <cellStyle name="Note 5 2 2 2" xfId="45646"/>
    <cellStyle name="Note 5 2 2 3" xfId="53769"/>
    <cellStyle name="Note 5 2 3" xfId="2311"/>
    <cellStyle name="Note 5 2 4" xfId="45645"/>
    <cellStyle name="Note 5 2 5" xfId="53768"/>
    <cellStyle name="Note 5 3" xfId="2312"/>
    <cellStyle name="Note 5 3 2" xfId="2313"/>
    <cellStyle name="Note 5 3 2 2" xfId="45648"/>
    <cellStyle name="Note 5 3 2 3" xfId="53771"/>
    <cellStyle name="Note 5 3 3" xfId="45647"/>
    <cellStyle name="Note 5 3 4" xfId="53770"/>
    <cellStyle name="Note 5 4" xfId="2314"/>
    <cellStyle name="Note 5 4 2" xfId="45649"/>
    <cellStyle name="Note 5 4 3" xfId="53772"/>
    <cellStyle name="Note 5 5" xfId="45644"/>
    <cellStyle name="Note 5 6" xfId="53767"/>
    <cellStyle name="Note 6" xfId="45650"/>
    <cellStyle name="Note 6 2" xfId="45651"/>
    <cellStyle name="Note 6 2 2" xfId="45652"/>
    <cellStyle name="Note 6 2 2 2" xfId="53775"/>
    <cellStyle name="Note 6 2 3" xfId="53774"/>
    <cellStyle name="Note 6 3" xfId="45653"/>
    <cellStyle name="Note 6 3 2" xfId="53776"/>
    <cellStyle name="Note 6 4" xfId="53773"/>
    <cellStyle name="Note 7" xfId="45654"/>
    <cellStyle name="Note 7 2" xfId="45655"/>
    <cellStyle name="Note 7 2 2" xfId="45656"/>
    <cellStyle name="Note 7 2 2 2" xfId="53779"/>
    <cellStyle name="Note 7 2 3" xfId="53778"/>
    <cellStyle name="Note 7 3" xfId="45657"/>
    <cellStyle name="Note 7 3 2" xfId="53780"/>
    <cellStyle name="Note 7 4" xfId="53777"/>
    <cellStyle name="Note 8" xfId="45658"/>
    <cellStyle name="Note 8 2" xfId="45659"/>
    <cellStyle name="Note 8 2 2" xfId="45660"/>
    <cellStyle name="Note 8 2 2 2" xfId="53783"/>
    <cellStyle name="Note 8 2 3" xfId="53782"/>
    <cellStyle name="Note 8 3" xfId="45661"/>
    <cellStyle name="Note 8 3 2" xfId="53784"/>
    <cellStyle name="Note 8 4" xfId="53781"/>
    <cellStyle name="Note 9" xfId="45662"/>
    <cellStyle name="Note 9 2" xfId="45663"/>
    <cellStyle name="Note 9 2 2" xfId="45664"/>
    <cellStyle name="Note 9 2 2 2" xfId="53787"/>
    <cellStyle name="Note 9 2 3" xfId="53786"/>
    <cellStyle name="Note 9 3" xfId="45665"/>
    <cellStyle name="Note 9 3 2" xfId="53788"/>
    <cellStyle name="Note 9 4" xfId="53785"/>
    <cellStyle name="Output 2" xfId="187"/>
    <cellStyle name="Output 2 10" xfId="374"/>
    <cellStyle name="Output 2 10 10" xfId="15605"/>
    <cellStyle name="Output 2 10 10 2" xfId="15606"/>
    <cellStyle name="Output 2 10 10 3" xfId="15607"/>
    <cellStyle name="Output 2 10 10 4" xfId="15608"/>
    <cellStyle name="Output 2 10 10 5" xfId="15609"/>
    <cellStyle name="Output 2 10 10 6" xfId="39552"/>
    <cellStyle name="Output 2 10 10 7" xfId="45666"/>
    <cellStyle name="Output 2 10 10 8" xfId="53789"/>
    <cellStyle name="Output 2 10 11" xfId="15610"/>
    <cellStyle name="Output 2 10 11 2" xfId="15611"/>
    <cellStyle name="Output 2 10 11 3" xfId="15612"/>
    <cellStyle name="Output 2 10 11 4" xfId="15613"/>
    <cellStyle name="Output 2 10 11 5" xfId="15614"/>
    <cellStyle name="Output 2 10 11 6" xfId="40168"/>
    <cellStyle name="Output 2 10 11 7" xfId="45667"/>
    <cellStyle name="Output 2 10 11 8" xfId="53790"/>
    <cellStyle name="Output 2 10 12" xfId="15615"/>
    <cellStyle name="Output 2 10 12 2" xfId="15616"/>
    <cellStyle name="Output 2 10 12 3" xfId="15617"/>
    <cellStyle name="Output 2 10 12 4" xfId="15618"/>
    <cellStyle name="Output 2 10 12 5" xfId="15619"/>
    <cellStyle name="Output 2 10 12 6" xfId="45668"/>
    <cellStyle name="Output 2 10 12 7" xfId="53791"/>
    <cellStyle name="Output 2 10 13" xfId="15620"/>
    <cellStyle name="Output 2 10 13 2" xfId="15621"/>
    <cellStyle name="Output 2 10 13 3" xfId="15622"/>
    <cellStyle name="Output 2 10 13 4" xfId="15623"/>
    <cellStyle name="Output 2 10 13 5" xfId="15624"/>
    <cellStyle name="Output 2 10 13 6" xfId="45669"/>
    <cellStyle name="Output 2 10 13 7" xfId="53792"/>
    <cellStyle name="Output 2 10 14" xfId="15625"/>
    <cellStyle name="Output 2 10 14 2" xfId="15626"/>
    <cellStyle name="Output 2 10 14 3" xfId="15627"/>
    <cellStyle name="Output 2 10 14 4" xfId="15628"/>
    <cellStyle name="Output 2 10 14 5" xfId="15629"/>
    <cellStyle name="Output 2 10 15" xfId="15630"/>
    <cellStyle name="Output 2 10 15 2" xfId="15631"/>
    <cellStyle name="Output 2 10 15 3" xfId="15632"/>
    <cellStyle name="Output 2 10 15 4" xfId="15633"/>
    <cellStyle name="Output 2 10 15 5" xfId="15634"/>
    <cellStyle name="Output 2 10 16" xfId="15635"/>
    <cellStyle name="Output 2 10 16 2" xfId="15636"/>
    <cellStyle name="Output 2 10 16 3" xfId="15637"/>
    <cellStyle name="Output 2 10 16 4" xfId="15638"/>
    <cellStyle name="Output 2 10 16 5" xfId="15639"/>
    <cellStyle name="Output 2 10 17" xfId="15640"/>
    <cellStyle name="Output 2 10 17 2" xfId="15641"/>
    <cellStyle name="Output 2 10 17 3" xfId="15642"/>
    <cellStyle name="Output 2 10 17 4" xfId="15643"/>
    <cellStyle name="Output 2 10 17 5" xfId="15644"/>
    <cellStyle name="Output 2 10 18" xfId="15645"/>
    <cellStyle name="Output 2 10 18 2" xfId="15646"/>
    <cellStyle name="Output 2 10 18 3" xfId="15647"/>
    <cellStyle name="Output 2 10 18 4" xfId="15648"/>
    <cellStyle name="Output 2 10 18 5" xfId="15649"/>
    <cellStyle name="Output 2 10 19" xfId="15650"/>
    <cellStyle name="Output 2 10 2" xfId="593"/>
    <cellStyle name="Output 2 10 2 10" xfId="15651"/>
    <cellStyle name="Output 2 10 2 10 2" xfId="15652"/>
    <cellStyle name="Output 2 10 2 10 3" xfId="15653"/>
    <cellStyle name="Output 2 10 2 10 4" xfId="15654"/>
    <cellStyle name="Output 2 10 2 10 5" xfId="15655"/>
    <cellStyle name="Output 2 10 2 10 6" xfId="45670"/>
    <cellStyle name="Output 2 10 2 10 7" xfId="53793"/>
    <cellStyle name="Output 2 10 2 11" xfId="15656"/>
    <cellStyle name="Output 2 10 2 11 2" xfId="15657"/>
    <cellStyle name="Output 2 10 2 11 3" xfId="15658"/>
    <cellStyle name="Output 2 10 2 11 4" xfId="15659"/>
    <cellStyle name="Output 2 10 2 11 5" xfId="15660"/>
    <cellStyle name="Output 2 10 2 12" xfId="15661"/>
    <cellStyle name="Output 2 10 2 12 2" xfId="15662"/>
    <cellStyle name="Output 2 10 2 12 3" xfId="15663"/>
    <cellStyle name="Output 2 10 2 12 4" xfId="15664"/>
    <cellStyle name="Output 2 10 2 12 5" xfId="15665"/>
    <cellStyle name="Output 2 10 2 13" xfId="15666"/>
    <cellStyle name="Output 2 10 2 13 2" xfId="15667"/>
    <cellStyle name="Output 2 10 2 13 3" xfId="15668"/>
    <cellStyle name="Output 2 10 2 13 4" xfId="15669"/>
    <cellStyle name="Output 2 10 2 13 5" xfId="15670"/>
    <cellStyle name="Output 2 10 2 14" xfId="15671"/>
    <cellStyle name="Output 2 10 2 14 2" xfId="15672"/>
    <cellStyle name="Output 2 10 2 14 3" xfId="15673"/>
    <cellStyle name="Output 2 10 2 14 4" xfId="15674"/>
    <cellStyle name="Output 2 10 2 14 5" xfId="15675"/>
    <cellStyle name="Output 2 10 2 15" xfId="15676"/>
    <cellStyle name="Output 2 10 2 15 2" xfId="15677"/>
    <cellStyle name="Output 2 10 2 15 3" xfId="15678"/>
    <cellStyle name="Output 2 10 2 15 4" xfId="15679"/>
    <cellStyle name="Output 2 10 2 15 5" xfId="15680"/>
    <cellStyle name="Output 2 10 2 16" xfId="15681"/>
    <cellStyle name="Output 2 10 2 16 2" xfId="15682"/>
    <cellStyle name="Output 2 10 2 16 3" xfId="15683"/>
    <cellStyle name="Output 2 10 2 16 4" xfId="15684"/>
    <cellStyle name="Output 2 10 2 16 5" xfId="15685"/>
    <cellStyle name="Output 2 10 2 17" xfId="15686"/>
    <cellStyle name="Output 2 10 2 17 2" xfId="15687"/>
    <cellStyle name="Output 2 10 2 17 3" xfId="15688"/>
    <cellStyle name="Output 2 10 2 17 4" xfId="15689"/>
    <cellStyle name="Output 2 10 2 17 5" xfId="15690"/>
    <cellStyle name="Output 2 10 2 18" xfId="15691"/>
    <cellStyle name="Output 2 10 2 18 2" xfId="15692"/>
    <cellStyle name="Output 2 10 2 18 3" xfId="15693"/>
    <cellStyle name="Output 2 10 2 18 4" xfId="15694"/>
    <cellStyle name="Output 2 10 2 18 5" xfId="15695"/>
    <cellStyle name="Output 2 10 2 19" xfId="15696"/>
    <cellStyle name="Output 2 10 2 2" xfId="2315"/>
    <cellStyle name="Output 2 10 2 2 2" xfId="15697"/>
    <cellStyle name="Output 2 10 2 2 3" xfId="15698"/>
    <cellStyle name="Output 2 10 2 2 4" xfId="15699"/>
    <cellStyle name="Output 2 10 2 2 5" xfId="15700"/>
    <cellStyle name="Output 2 10 2 2 6" xfId="36397"/>
    <cellStyle name="Output 2 10 2 2 7" xfId="45671"/>
    <cellStyle name="Output 2 10 2 2 8" xfId="53794"/>
    <cellStyle name="Output 2 10 2 20" xfId="1022"/>
    <cellStyle name="Output 2 10 2 21" xfId="35102"/>
    <cellStyle name="Output 2 10 2 22" xfId="41321"/>
    <cellStyle name="Output 2 10 2 3" xfId="2316"/>
    <cellStyle name="Output 2 10 2 3 2" xfId="15701"/>
    <cellStyle name="Output 2 10 2 3 3" xfId="15702"/>
    <cellStyle name="Output 2 10 2 3 4" xfId="15703"/>
    <cellStyle name="Output 2 10 2 3 5" xfId="15704"/>
    <cellStyle name="Output 2 10 2 3 6" xfId="36894"/>
    <cellStyle name="Output 2 10 2 3 7" xfId="45672"/>
    <cellStyle name="Output 2 10 2 3 8" xfId="53795"/>
    <cellStyle name="Output 2 10 2 4" xfId="1282"/>
    <cellStyle name="Output 2 10 2 4 2" xfId="15705"/>
    <cellStyle name="Output 2 10 2 4 3" xfId="15706"/>
    <cellStyle name="Output 2 10 2 4 4" xfId="15707"/>
    <cellStyle name="Output 2 10 2 4 5" xfId="15708"/>
    <cellStyle name="Output 2 10 2 4 6" xfId="37510"/>
    <cellStyle name="Output 2 10 2 4 7" xfId="45673"/>
    <cellStyle name="Output 2 10 2 4 8" xfId="53796"/>
    <cellStyle name="Output 2 10 2 5" xfId="3350"/>
    <cellStyle name="Output 2 10 2 5 2" xfId="15709"/>
    <cellStyle name="Output 2 10 2 5 3" xfId="15710"/>
    <cellStyle name="Output 2 10 2 5 4" xfId="15711"/>
    <cellStyle name="Output 2 10 2 5 5" xfId="15712"/>
    <cellStyle name="Output 2 10 2 5 6" xfId="38126"/>
    <cellStyle name="Output 2 10 2 5 7" xfId="45674"/>
    <cellStyle name="Output 2 10 2 5 8" xfId="53797"/>
    <cellStyle name="Output 2 10 2 6" xfId="3672"/>
    <cellStyle name="Output 2 10 2 6 2" xfId="15713"/>
    <cellStyle name="Output 2 10 2 6 3" xfId="15714"/>
    <cellStyle name="Output 2 10 2 6 4" xfId="15715"/>
    <cellStyle name="Output 2 10 2 6 5" xfId="15716"/>
    <cellStyle name="Output 2 10 2 6 6" xfId="38744"/>
    <cellStyle name="Output 2 10 2 6 7" xfId="45675"/>
    <cellStyle name="Output 2 10 2 6 8" xfId="53798"/>
    <cellStyle name="Output 2 10 2 7" xfId="15717"/>
    <cellStyle name="Output 2 10 2 7 2" xfId="15718"/>
    <cellStyle name="Output 2 10 2 7 3" xfId="15719"/>
    <cellStyle name="Output 2 10 2 7 4" xfId="15720"/>
    <cellStyle name="Output 2 10 2 7 5" xfId="15721"/>
    <cellStyle name="Output 2 10 2 7 6" xfId="39364"/>
    <cellStyle name="Output 2 10 2 7 7" xfId="45676"/>
    <cellStyle name="Output 2 10 2 7 8" xfId="53799"/>
    <cellStyle name="Output 2 10 2 8" xfId="15722"/>
    <cellStyle name="Output 2 10 2 8 2" xfId="15723"/>
    <cellStyle name="Output 2 10 2 8 3" xfId="15724"/>
    <cellStyle name="Output 2 10 2 8 4" xfId="15725"/>
    <cellStyle name="Output 2 10 2 8 5" xfId="15726"/>
    <cellStyle name="Output 2 10 2 8 6" xfId="39980"/>
    <cellStyle name="Output 2 10 2 8 7" xfId="45677"/>
    <cellStyle name="Output 2 10 2 8 8" xfId="53800"/>
    <cellStyle name="Output 2 10 2 9" xfId="15727"/>
    <cellStyle name="Output 2 10 2 9 2" xfId="15728"/>
    <cellStyle name="Output 2 10 2 9 3" xfId="15729"/>
    <cellStyle name="Output 2 10 2 9 4" xfId="15730"/>
    <cellStyle name="Output 2 10 2 9 5" xfId="15731"/>
    <cellStyle name="Output 2 10 2 9 6" xfId="40595"/>
    <cellStyle name="Output 2 10 2 9 7" xfId="45678"/>
    <cellStyle name="Output 2 10 2 9 8" xfId="53801"/>
    <cellStyle name="Output 2 10 20" xfId="810"/>
    <cellStyle name="Output 2 10 21" xfId="34721"/>
    <cellStyle name="Output 2 10 22" xfId="40894"/>
    <cellStyle name="Output 2 10 23" xfId="41455"/>
    <cellStyle name="Output 2 10 24" xfId="50542"/>
    <cellStyle name="Output 2 10 3" xfId="2317"/>
    <cellStyle name="Output 2 10 3 10" xfId="34793"/>
    <cellStyle name="Output 2 10 3 10 2" xfId="45680"/>
    <cellStyle name="Output 2 10 3 10 3" xfId="53803"/>
    <cellStyle name="Output 2 10 3 11" xfId="41109"/>
    <cellStyle name="Output 2 10 3 12" xfId="45679"/>
    <cellStyle name="Output 2 10 3 13" xfId="53802"/>
    <cellStyle name="Output 2 10 3 2" xfId="2318"/>
    <cellStyle name="Output 2 10 3 2 2" xfId="36186"/>
    <cellStyle name="Output 2 10 3 2 3" xfId="45681"/>
    <cellStyle name="Output 2 10 3 2 4" xfId="53804"/>
    <cellStyle name="Output 2 10 3 3" xfId="2319"/>
    <cellStyle name="Output 2 10 3 3 2" xfId="36683"/>
    <cellStyle name="Output 2 10 3 3 3" xfId="45682"/>
    <cellStyle name="Output 2 10 3 3 4" xfId="53805"/>
    <cellStyle name="Output 2 10 3 4" xfId="15732"/>
    <cellStyle name="Output 2 10 3 4 2" xfId="37299"/>
    <cellStyle name="Output 2 10 3 4 3" xfId="45683"/>
    <cellStyle name="Output 2 10 3 4 4" xfId="53806"/>
    <cellStyle name="Output 2 10 3 5" xfId="15733"/>
    <cellStyle name="Output 2 10 3 5 2" xfId="37915"/>
    <cellStyle name="Output 2 10 3 5 3" xfId="45684"/>
    <cellStyle name="Output 2 10 3 5 4" xfId="53807"/>
    <cellStyle name="Output 2 10 3 6" xfId="38532"/>
    <cellStyle name="Output 2 10 3 6 2" xfId="45685"/>
    <cellStyle name="Output 2 10 3 6 3" xfId="53808"/>
    <cellStyle name="Output 2 10 3 7" xfId="39152"/>
    <cellStyle name="Output 2 10 3 7 2" xfId="45686"/>
    <cellStyle name="Output 2 10 3 7 3" xfId="53809"/>
    <cellStyle name="Output 2 10 3 8" xfId="39768"/>
    <cellStyle name="Output 2 10 3 8 2" xfId="45687"/>
    <cellStyle name="Output 2 10 3 8 3" xfId="53810"/>
    <cellStyle name="Output 2 10 3 9" xfId="40383"/>
    <cellStyle name="Output 2 10 3 9 2" xfId="45688"/>
    <cellStyle name="Output 2 10 3 9 3" xfId="53811"/>
    <cellStyle name="Output 2 10 4" xfId="2320"/>
    <cellStyle name="Output 2 10 4 10" xfId="45689"/>
    <cellStyle name="Output 2 10 4 11" xfId="53812"/>
    <cellStyle name="Output 2 10 4 2" xfId="15734"/>
    <cellStyle name="Output 2 10 4 2 2" xfId="45690"/>
    <cellStyle name="Output 2 10 4 2 3" xfId="53813"/>
    <cellStyle name="Output 2 10 4 3" xfId="15735"/>
    <cellStyle name="Output 2 10 4 3 2" xfId="45691"/>
    <cellStyle name="Output 2 10 4 3 3" xfId="53814"/>
    <cellStyle name="Output 2 10 4 4" xfId="15736"/>
    <cellStyle name="Output 2 10 4 4 2" xfId="45692"/>
    <cellStyle name="Output 2 10 4 4 3" xfId="53815"/>
    <cellStyle name="Output 2 10 4 5" xfId="15737"/>
    <cellStyle name="Output 2 10 4 5 2" xfId="45693"/>
    <cellStyle name="Output 2 10 4 5 3" xfId="53816"/>
    <cellStyle name="Output 2 10 4 6" xfId="35614"/>
    <cellStyle name="Output 2 10 4 6 2" xfId="45694"/>
    <cellStyle name="Output 2 10 4 6 3" xfId="53817"/>
    <cellStyle name="Output 2 10 4 7" xfId="45695"/>
    <cellStyle name="Output 2 10 4 7 2" xfId="53818"/>
    <cellStyle name="Output 2 10 4 8" xfId="45696"/>
    <cellStyle name="Output 2 10 4 8 2" xfId="53819"/>
    <cellStyle name="Output 2 10 4 9" xfId="45697"/>
    <cellStyle name="Output 2 10 4 9 2" xfId="53820"/>
    <cellStyle name="Output 2 10 5" xfId="1281"/>
    <cellStyle name="Output 2 10 5 2" xfId="15738"/>
    <cellStyle name="Output 2 10 5 3" xfId="15739"/>
    <cellStyle name="Output 2 10 5 4" xfId="15740"/>
    <cellStyle name="Output 2 10 5 5" xfId="15741"/>
    <cellStyle name="Output 2 10 5 6" xfId="35753"/>
    <cellStyle name="Output 2 10 5 7" xfId="45698"/>
    <cellStyle name="Output 2 10 5 8" xfId="53821"/>
    <cellStyle name="Output 2 10 6" xfId="3349"/>
    <cellStyle name="Output 2 10 6 2" xfId="15742"/>
    <cellStyle name="Output 2 10 6 3" xfId="15743"/>
    <cellStyle name="Output 2 10 6 4" xfId="15744"/>
    <cellStyle name="Output 2 10 6 5" xfId="15745"/>
    <cellStyle name="Output 2 10 6 6" xfId="37084"/>
    <cellStyle name="Output 2 10 6 7" xfId="45699"/>
    <cellStyle name="Output 2 10 6 8" xfId="53822"/>
    <cellStyle name="Output 2 10 7" xfId="3671"/>
    <cellStyle name="Output 2 10 7 2" xfId="15746"/>
    <cellStyle name="Output 2 10 7 3" xfId="15747"/>
    <cellStyle name="Output 2 10 7 4" xfId="15748"/>
    <cellStyle name="Output 2 10 7 5" xfId="15749"/>
    <cellStyle name="Output 2 10 7 6" xfId="37698"/>
    <cellStyle name="Output 2 10 7 7" xfId="45700"/>
    <cellStyle name="Output 2 10 7 8" xfId="53823"/>
    <cellStyle name="Output 2 10 8" xfId="15750"/>
    <cellStyle name="Output 2 10 8 2" xfId="15751"/>
    <cellStyle name="Output 2 10 8 3" xfId="15752"/>
    <cellStyle name="Output 2 10 8 4" xfId="15753"/>
    <cellStyle name="Output 2 10 8 5" xfId="15754"/>
    <cellStyle name="Output 2 10 8 6" xfId="38313"/>
    <cellStyle name="Output 2 10 8 7" xfId="45701"/>
    <cellStyle name="Output 2 10 8 8" xfId="53824"/>
    <cellStyle name="Output 2 10 9" xfId="15755"/>
    <cellStyle name="Output 2 10 9 2" xfId="15756"/>
    <cellStyle name="Output 2 10 9 3" xfId="15757"/>
    <cellStyle name="Output 2 10 9 4" xfId="15758"/>
    <cellStyle name="Output 2 10 9 5" xfId="15759"/>
    <cellStyle name="Output 2 10 9 6" xfId="38933"/>
    <cellStyle name="Output 2 10 9 7" xfId="45702"/>
    <cellStyle name="Output 2 10 9 8" xfId="53825"/>
    <cellStyle name="Output 2 11" xfId="375"/>
    <cellStyle name="Output 2 11 10" xfId="15760"/>
    <cellStyle name="Output 2 11 10 2" xfId="15761"/>
    <cellStyle name="Output 2 11 10 3" xfId="15762"/>
    <cellStyle name="Output 2 11 10 4" xfId="15763"/>
    <cellStyle name="Output 2 11 10 5" xfId="15764"/>
    <cellStyle name="Output 2 11 10 6" xfId="40169"/>
    <cellStyle name="Output 2 11 10 7" xfId="45703"/>
    <cellStyle name="Output 2 11 10 8" xfId="53826"/>
    <cellStyle name="Output 2 11 11" xfId="15765"/>
    <cellStyle name="Output 2 11 11 2" xfId="15766"/>
    <cellStyle name="Output 2 11 11 3" xfId="15767"/>
    <cellStyle name="Output 2 11 11 4" xfId="15768"/>
    <cellStyle name="Output 2 11 11 5" xfId="15769"/>
    <cellStyle name="Output 2 11 11 6" xfId="45704"/>
    <cellStyle name="Output 2 11 11 7" xfId="53827"/>
    <cellStyle name="Output 2 11 12" xfId="15770"/>
    <cellStyle name="Output 2 11 12 2" xfId="15771"/>
    <cellStyle name="Output 2 11 12 3" xfId="15772"/>
    <cellStyle name="Output 2 11 12 4" xfId="15773"/>
    <cellStyle name="Output 2 11 12 5" xfId="15774"/>
    <cellStyle name="Output 2 11 12 6" xfId="45705"/>
    <cellStyle name="Output 2 11 12 7" xfId="53828"/>
    <cellStyle name="Output 2 11 13" xfId="15775"/>
    <cellStyle name="Output 2 11 13 2" xfId="15776"/>
    <cellStyle name="Output 2 11 13 3" xfId="15777"/>
    <cellStyle name="Output 2 11 13 4" xfId="15778"/>
    <cellStyle name="Output 2 11 13 5" xfId="15779"/>
    <cellStyle name="Output 2 11 13 6" xfId="45706"/>
    <cellStyle name="Output 2 11 13 7" xfId="53829"/>
    <cellStyle name="Output 2 11 14" xfId="15780"/>
    <cellStyle name="Output 2 11 14 2" xfId="15781"/>
    <cellStyle name="Output 2 11 14 3" xfId="15782"/>
    <cellStyle name="Output 2 11 14 4" xfId="15783"/>
    <cellStyle name="Output 2 11 14 5" xfId="15784"/>
    <cellStyle name="Output 2 11 15" xfId="15785"/>
    <cellStyle name="Output 2 11 15 2" xfId="15786"/>
    <cellStyle name="Output 2 11 15 3" xfId="15787"/>
    <cellStyle name="Output 2 11 15 4" xfId="15788"/>
    <cellStyle name="Output 2 11 15 5" xfId="15789"/>
    <cellStyle name="Output 2 11 16" xfId="15790"/>
    <cellStyle name="Output 2 11 16 2" xfId="15791"/>
    <cellStyle name="Output 2 11 16 3" xfId="15792"/>
    <cellStyle name="Output 2 11 16 4" xfId="15793"/>
    <cellStyle name="Output 2 11 16 5" xfId="15794"/>
    <cellStyle name="Output 2 11 17" xfId="15795"/>
    <cellStyle name="Output 2 11 17 2" xfId="15796"/>
    <cellStyle name="Output 2 11 17 3" xfId="15797"/>
    <cellStyle name="Output 2 11 17 4" xfId="15798"/>
    <cellStyle name="Output 2 11 17 5" xfId="15799"/>
    <cellStyle name="Output 2 11 18" xfId="15800"/>
    <cellStyle name="Output 2 11 18 2" xfId="15801"/>
    <cellStyle name="Output 2 11 18 3" xfId="15802"/>
    <cellStyle name="Output 2 11 18 4" xfId="15803"/>
    <cellStyle name="Output 2 11 18 5" xfId="15804"/>
    <cellStyle name="Output 2 11 19" xfId="15805"/>
    <cellStyle name="Output 2 11 2" xfId="594"/>
    <cellStyle name="Output 2 11 2 10" xfId="15806"/>
    <cellStyle name="Output 2 11 2 10 2" xfId="15807"/>
    <cellStyle name="Output 2 11 2 10 3" xfId="15808"/>
    <cellStyle name="Output 2 11 2 10 4" xfId="15809"/>
    <cellStyle name="Output 2 11 2 10 5" xfId="15810"/>
    <cellStyle name="Output 2 11 2 10 6" xfId="45707"/>
    <cellStyle name="Output 2 11 2 10 7" xfId="53830"/>
    <cellStyle name="Output 2 11 2 11" xfId="15811"/>
    <cellStyle name="Output 2 11 2 11 2" xfId="15812"/>
    <cellStyle name="Output 2 11 2 11 3" xfId="15813"/>
    <cellStyle name="Output 2 11 2 11 4" xfId="15814"/>
    <cellStyle name="Output 2 11 2 11 5" xfId="15815"/>
    <cellStyle name="Output 2 11 2 12" xfId="15816"/>
    <cellStyle name="Output 2 11 2 12 2" xfId="15817"/>
    <cellStyle name="Output 2 11 2 12 3" xfId="15818"/>
    <cellStyle name="Output 2 11 2 12 4" xfId="15819"/>
    <cellStyle name="Output 2 11 2 12 5" xfId="15820"/>
    <cellStyle name="Output 2 11 2 13" xfId="15821"/>
    <cellStyle name="Output 2 11 2 13 2" xfId="15822"/>
    <cellStyle name="Output 2 11 2 13 3" xfId="15823"/>
    <cellStyle name="Output 2 11 2 13 4" xfId="15824"/>
    <cellStyle name="Output 2 11 2 13 5" xfId="15825"/>
    <cellStyle name="Output 2 11 2 14" xfId="15826"/>
    <cellStyle name="Output 2 11 2 14 2" xfId="15827"/>
    <cellStyle name="Output 2 11 2 14 3" xfId="15828"/>
    <cellStyle name="Output 2 11 2 14 4" xfId="15829"/>
    <cellStyle name="Output 2 11 2 14 5" xfId="15830"/>
    <cellStyle name="Output 2 11 2 15" xfId="15831"/>
    <cellStyle name="Output 2 11 2 15 2" xfId="15832"/>
    <cellStyle name="Output 2 11 2 15 3" xfId="15833"/>
    <cellStyle name="Output 2 11 2 15 4" xfId="15834"/>
    <cellStyle name="Output 2 11 2 15 5" xfId="15835"/>
    <cellStyle name="Output 2 11 2 16" xfId="15836"/>
    <cellStyle name="Output 2 11 2 16 2" xfId="15837"/>
    <cellStyle name="Output 2 11 2 16 3" xfId="15838"/>
    <cellStyle name="Output 2 11 2 16 4" xfId="15839"/>
    <cellStyle name="Output 2 11 2 16 5" xfId="15840"/>
    <cellStyle name="Output 2 11 2 17" xfId="15841"/>
    <cellStyle name="Output 2 11 2 17 2" xfId="15842"/>
    <cellStyle name="Output 2 11 2 17 3" xfId="15843"/>
    <cellStyle name="Output 2 11 2 17 4" xfId="15844"/>
    <cellStyle name="Output 2 11 2 17 5" xfId="15845"/>
    <cellStyle name="Output 2 11 2 18" xfId="15846"/>
    <cellStyle name="Output 2 11 2 18 2" xfId="15847"/>
    <cellStyle name="Output 2 11 2 18 3" xfId="15848"/>
    <cellStyle name="Output 2 11 2 18 4" xfId="15849"/>
    <cellStyle name="Output 2 11 2 18 5" xfId="15850"/>
    <cellStyle name="Output 2 11 2 19" xfId="15851"/>
    <cellStyle name="Output 2 11 2 2" xfId="2321"/>
    <cellStyle name="Output 2 11 2 2 2" xfId="15852"/>
    <cellStyle name="Output 2 11 2 2 3" xfId="15853"/>
    <cellStyle name="Output 2 11 2 2 4" xfId="15854"/>
    <cellStyle name="Output 2 11 2 2 5" xfId="15855"/>
    <cellStyle name="Output 2 11 2 2 6" xfId="36398"/>
    <cellStyle name="Output 2 11 2 2 7" xfId="45708"/>
    <cellStyle name="Output 2 11 2 2 8" xfId="53831"/>
    <cellStyle name="Output 2 11 2 20" xfId="1023"/>
    <cellStyle name="Output 2 11 2 21" xfId="35103"/>
    <cellStyle name="Output 2 11 2 22" xfId="41322"/>
    <cellStyle name="Output 2 11 2 3" xfId="2322"/>
    <cellStyle name="Output 2 11 2 3 2" xfId="15856"/>
    <cellStyle name="Output 2 11 2 3 3" xfId="15857"/>
    <cellStyle name="Output 2 11 2 3 4" xfId="15858"/>
    <cellStyle name="Output 2 11 2 3 5" xfId="15859"/>
    <cellStyle name="Output 2 11 2 3 6" xfId="36895"/>
    <cellStyle name="Output 2 11 2 3 7" xfId="45709"/>
    <cellStyle name="Output 2 11 2 3 8" xfId="53832"/>
    <cellStyle name="Output 2 11 2 4" xfId="1284"/>
    <cellStyle name="Output 2 11 2 4 2" xfId="15860"/>
    <cellStyle name="Output 2 11 2 4 3" xfId="15861"/>
    <cellStyle name="Output 2 11 2 4 4" xfId="15862"/>
    <cellStyle name="Output 2 11 2 4 5" xfId="15863"/>
    <cellStyle name="Output 2 11 2 4 6" xfId="37511"/>
    <cellStyle name="Output 2 11 2 4 7" xfId="45710"/>
    <cellStyle name="Output 2 11 2 4 8" xfId="53833"/>
    <cellStyle name="Output 2 11 2 5" xfId="3352"/>
    <cellStyle name="Output 2 11 2 5 2" xfId="15864"/>
    <cellStyle name="Output 2 11 2 5 3" xfId="15865"/>
    <cellStyle name="Output 2 11 2 5 4" xfId="15866"/>
    <cellStyle name="Output 2 11 2 5 5" xfId="15867"/>
    <cellStyle name="Output 2 11 2 5 6" xfId="38127"/>
    <cellStyle name="Output 2 11 2 5 7" xfId="45711"/>
    <cellStyle name="Output 2 11 2 5 8" xfId="53834"/>
    <cellStyle name="Output 2 11 2 6" xfId="3674"/>
    <cellStyle name="Output 2 11 2 6 2" xfId="15868"/>
    <cellStyle name="Output 2 11 2 6 3" xfId="15869"/>
    <cellStyle name="Output 2 11 2 6 4" xfId="15870"/>
    <cellStyle name="Output 2 11 2 6 5" xfId="15871"/>
    <cellStyle name="Output 2 11 2 6 6" xfId="38745"/>
    <cellStyle name="Output 2 11 2 6 7" xfId="45712"/>
    <cellStyle name="Output 2 11 2 6 8" xfId="53835"/>
    <cellStyle name="Output 2 11 2 7" xfId="15872"/>
    <cellStyle name="Output 2 11 2 7 2" xfId="15873"/>
    <cellStyle name="Output 2 11 2 7 3" xfId="15874"/>
    <cellStyle name="Output 2 11 2 7 4" xfId="15875"/>
    <cellStyle name="Output 2 11 2 7 5" xfId="15876"/>
    <cellStyle name="Output 2 11 2 7 6" xfId="39365"/>
    <cellStyle name="Output 2 11 2 7 7" xfId="45713"/>
    <cellStyle name="Output 2 11 2 7 8" xfId="53836"/>
    <cellStyle name="Output 2 11 2 8" xfId="15877"/>
    <cellStyle name="Output 2 11 2 8 2" xfId="15878"/>
    <cellStyle name="Output 2 11 2 8 3" xfId="15879"/>
    <cellStyle name="Output 2 11 2 8 4" xfId="15880"/>
    <cellStyle name="Output 2 11 2 8 5" xfId="15881"/>
    <cellStyle name="Output 2 11 2 8 6" xfId="39981"/>
    <cellStyle name="Output 2 11 2 8 7" xfId="45714"/>
    <cellStyle name="Output 2 11 2 8 8" xfId="53837"/>
    <cellStyle name="Output 2 11 2 9" xfId="15882"/>
    <cellStyle name="Output 2 11 2 9 2" xfId="15883"/>
    <cellStyle name="Output 2 11 2 9 3" xfId="15884"/>
    <cellStyle name="Output 2 11 2 9 4" xfId="15885"/>
    <cellStyle name="Output 2 11 2 9 5" xfId="15886"/>
    <cellStyle name="Output 2 11 2 9 6" xfId="40596"/>
    <cellStyle name="Output 2 11 2 9 7" xfId="45715"/>
    <cellStyle name="Output 2 11 2 9 8" xfId="53838"/>
    <cellStyle name="Output 2 11 20" xfId="811"/>
    <cellStyle name="Output 2 11 21" xfId="34720"/>
    <cellStyle name="Output 2 11 22" xfId="40895"/>
    <cellStyle name="Output 2 11 23" xfId="41456"/>
    <cellStyle name="Output 2 11 24" xfId="50543"/>
    <cellStyle name="Output 2 11 3" xfId="2323"/>
    <cellStyle name="Output 2 11 3 10" xfId="34877"/>
    <cellStyle name="Output 2 11 3 10 2" xfId="45717"/>
    <cellStyle name="Output 2 11 3 10 3" xfId="53840"/>
    <cellStyle name="Output 2 11 3 11" xfId="41110"/>
    <cellStyle name="Output 2 11 3 12" xfId="45716"/>
    <cellStyle name="Output 2 11 3 13" xfId="53839"/>
    <cellStyle name="Output 2 11 3 2" xfId="2324"/>
    <cellStyle name="Output 2 11 3 2 2" xfId="36187"/>
    <cellStyle name="Output 2 11 3 2 3" xfId="45718"/>
    <cellStyle name="Output 2 11 3 2 4" xfId="53841"/>
    <cellStyle name="Output 2 11 3 3" xfId="2325"/>
    <cellStyle name="Output 2 11 3 3 2" xfId="36684"/>
    <cellStyle name="Output 2 11 3 3 3" xfId="45719"/>
    <cellStyle name="Output 2 11 3 3 4" xfId="53842"/>
    <cellStyle name="Output 2 11 3 4" xfId="15887"/>
    <cellStyle name="Output 2 11 3 4 2" xfId="37300"/>
    <cellStyle name="Output 2 11 3 4 3" xfId="45720"/>
    <cellStyle name="Output 2 11 3 4 4" xfId="53843"/>
    <cellStyle name="Output 2 11 3 5" xfId="15888"/>
    <cellStyle name="Output 2 11 3 5 2" xfId="37916"/>
    <cellStyle name="Output 2 11 3 5 3" xfId="45721"/>
    <cellStyle name="Output 2 11 3 5 4" xfId="53844"/>
    <cellStyle name="Output 2 11 3 6" xfId="38533"/>
    <cellStyle name="Output 2 11 3 6 2" xfId="45722"/>
    <cellStyle name="Output 2 11 3 6 3" xfId="53845"/>
    <cellStyle name="Output 2 11 3 7" xfId="39153"/>
    <cellStyle name="Output 2 11 3 7 2" xfId="45723"/>
    <cellStyle name="Output 2 11 3 7 3" xfId="53846"/>
    <cellStyle name="Output 2 11 3 8" xfId="39769"/>
    <cellStyle name="Output 2 11 3 8 2" xfId="45724"/>
    <cellStyle name="Output 2 11 3 8 3" xfId="53847"/>
    <cellStyle name="Output 2 11 3 9" xfId="40384"/>
    <cellStyle name="Output 2 11 3 9 2" xfId="45725"/>
    <cellStyle name="Output 2 11 3 9 3" xfId="53848"/>
    <cellStyle name="Output 2 11 4" xfId="2326"/>
    <cellStyle name="Output 2 11 4 10" xfId="45726"/>
    <cellStyle name="Output 2 11 4 11" xfId="53849"/>
    <cellStyle name="Output 2 11 4 2" xfId="15889"/>
    <cellStyle name="Output 2 11 4 2 2" xfId="45727"/>
    <cellStyle name="Output 2 11 4 2 3" xfId="53850"/>
    <cellStyle name="Output 2 11 4 3" xfId="15890"/>
    <cellStyle name="Output 2 11 4 3 2" xfId="45728"/>
    <cellStyle name="Output 2 11 4 3 3" xfId="53851"/>
    <cellStyle name="Output 2 11 4 4" xfId="15891"/>
    <cellStyle name="Output 2 11 4 4 2" xfId="45729"/>
    <cellStyle name="Output 2 11 4 4 3" xfId="53852"/>
    <cellStyle name="Output 2 11 4 5" xfId="15892"/>
    <cellStyle name="Output 2 11 4 5 2" xfId="45730"/>
    <cellStyle name="Output 2 11 4 5 3" xfId="53853"/>
    <cellStyle name="Output 2 11 4 6" xfId="35752"/>
    <cellStyle name="Output 2 11 4 6 2" xfId="45731"/>
    <cellStyle name="Output 2 11 4 6 3" xfId="53854"/>
    <cellStyle name="Output 2 11 4 7" xfId="45732"/>
    <cellStyle name="Output 2 11 4 7 2" xfId="53855"/>
    <cellStyle name="Output 2 11 4 8" xfId="45733"/>
    <cellStyle name="Output 2 11 4 8 2" xfId="53856"/>
    <cellStyle name="Output 2 11 4 9" xfId="45734"/>
    <cellStyle name="Output 2 11 4 9 2" xfId="53857"/>
    <cellStyle name="Output 2 11 5" xfId="1283"/>
    <cellStyle name="Output 2 11 5 2" xfId="15893"/>
    <cellStyle name="Output 2 11 5 3" xfId="15894"/>
    <cellStyle name="Output 2 11 5 4" xfId="15895"/>
    <cellStyle name="Output 2 11 5 5" xfId="15896"/>
    <cellStyle name="Output 2 11 5 6" xfId="37085"/>
    <cellStyle name="Output 2 11 5 7" xfId="45735"/>
    <cellStyle name="Output 2 11 5 8" xfId="53858"/>
    <cellStyle name="Output 2 11 6" xfId="3351"/>
    <cellStyle name="Output 2 11 6 2" xfId="15897"/>
    <cellStyle name="Output 2 11 6 3" xfId="15898"/>
    <cellStyle name="Output 2 11 6 4" xfId="15899"/>
    <cellStyle name="Output 2 11 6 5" xfId="15900"/>
    <cellStyle name="Output 2 11 6 6" xfId="37699"/>
    <cellStyle name="Output 2 11 6 7" xfId="45736"/>
    <cellStyle name="Output 2 11 6 8" xfId="53859"/>
    <cellStyle name="Output 2 11 7" xfId="3673"/>
    <cellStyle name="Output 2 11 7 2" xfId="15901"/>
    <cellStyle name="Output 2 11 7 3" xfId="15902"/>
    <cellStyle name="Output 2 11 7 4" xfId="15903"/>
    <cellStyle name="Output 2 11 7 5" xfId="15904"/>
    <cellStyle name="Output 2 11 7 6" xfId="38314"/>
    <cellStyle name="Output 2 11 7 7" xfId="45737"/>
    <cellStyle name="Output 2 11 7 8" xfId="53860"/>
    <cellStyle name="Output 2 11 8" xfId="15905"/>
    <cellStyle name="Output 2 11 8 2" xfId="15906"/>
    <cellStyle name="Output 2 11 8 3" xfId="15907"/>
    <cellStyle name="Output 2 11 8 4" xfId="15908"/>
    <cellStyle name="Output 2 11 8 5" xfId="15909"/>
    <cellStyle name="Output 2 11 8 6" xfId="38934"/>
    <cellStyle name="Output 2 11 8 7" xfId="45738"/>
    <cellStyle name="Output 2 11 8 8" xfId="53861"/>
    <cellStyle name="Output 2 11 9" xfId="15910"/>
    <cellStyle name="Output 2 11 9 2" xfId="15911"/>
    <cellStyle name="Output 2 11 9 3" xfId="15912"/>
    <cellStyle name="Output 2 11 9 4" xfId="15913"/>
    <cellStyle name="Output 2 11 9 5" xfId="15914"/>
    <cellStyle name="Output 2 11 9 6" xfId="39553"/>
    <cellStyle name="Output 2 11 9 7" xfId="45739"/>
    <cellStyle name="Output 2 11 9 8" xfId="53862"/>
    <cellStyle name="Output 2 12" xfId="468"/>
    <cellStyle name="Output 2 12 10" xfId="15915"/>
    <cellStyle name="Output 2 12 10 2" xfId="15916"/>
    <cellStyle name="Output 2 12 10 3" xfId="15917"/>
    <cellStyle name="Output 2 12 10 4" xfId="15918"/>
    <cellStyle name="Output 2 12 10 5" xfId="15919"/>
    <cellStyle name="Output 2 12 10 6" xfId="45740"/>
    <cellStyle name="Output 2 12 10 7" xfId="53863"/>
    <cellStyle name="Output 2 12 11" xfId="15920"/>
    <cellStyle name="Output 2 12 11 2" xfId="15921"/>
    <cellStyle name="Output 2 12 11 3" xfId="15922"/>
    <cellStyle name="Output 2 12 11 4" xfId="15923"/>
    <cellStyle name="Output 2 12 11 5" xfId="15924"/>
    <cellStyle name="Output 2 12 12" xfId="15925"/>
    <cellStyle name="Output 2 12 12 2" xfId="15926"/>
    <cellStyle name="Output 2 12 12 3" xfId="15927"/>
    <cellStyle name="Output 2 12 12 4" xfId="15928"/>
    <cellStyle name="Output 2 12 12 5" xfId="15929"/>
    <cellStyle name="Output 2 12 13" xfId="15930"/>
    <cellStyle name="Output 2 12 13 2" xfId="15931"/>
    <cellStyle name="Output 2 12 13 3" xfId="15932"/>
    <cellStyle name="Output 2 12 13 4" xfId="15933"/>
    <cellStyle name="Output 2 12 13 5" xfId="15934"/>
    <cellStyle name="Output 2 12 14" xfId="15935"/>
    <cellStyle name="Output 2 12 14 2" xfId="15936"/>
    <cellStyle name="Output 2 12 14 3" xfId="15937"/>
    <cellStyle name="Output 2 12 14 4" xfId="15938"/>
    <cellStyle name="Output 2 12 14 5" xfId="15939"/>
    <cellStyle name="Output 2 12 15" xfId="15940"/>
    <cellStyle name="Output 2 12 15 2" xfId="15941"/>
    <cellStyle name="Output 2 12 15 3" xfId="15942"/>
    <cellStyle name="Output 2 12 15 4" xfId="15943"/>
    <cellStyle name="Output 2 12 15 5" xfId="15944"/>
    <cellStyle name="Output 2 12 16" xfId="15945"/>
    <cellStyle name="Output 2 12 16 2" xfId="15946"/>
    <cellStyle name="Output 2 12 16 3" xfId="15947"/>
    <cellStyle name="Output 2 12 16 4" xfId="15948"/>
    <cellStyle name="Output 2 12 16 5" xfId="15949"/>
    <cellStyle name="Output 2 12 17" xfId="15950"/>
    <cellStyle name="Output 2 12 17 2" xfId="15951"/>
    <cellStyle name="Output 2 12 17 3" xfId="15952"/>
    <cellStyle name="Output 2 12 17 4" xfId="15953"/>
    <cellStyle name="Output 2 12 17 5" xfId="15954"/>
    <cellStyle name="Output 2 12 18" xfId="15955"/>
    <cellStyle name="Output 2 12 18 2" xfId="15956"/>
    <cellStyle name="Output 2 12 18 3" xfId="15957"/>
    <cellStyle name="Output 2 12 18 4" xfId="15958"/>
    <cellStyle name="Output 2 12 18 5" xfId="15959"/>
    <cellStyle name="Output 2 12 19" xfId="15960"/>
    <cellStyle name="Output 2 12 2" xfId="2327"/>
    <cellStyle name="Output 2 12 2 2" xfId="2328"/>
    <cellStyle name="Output 2 12 2 3" xfId="15961"/>
    <cellStyle name="Output 2 12 2 4" xfId="15962"/>
    <cellStyle name="Output 2 12 2 5" xfId="15963"/>
    <cellStyle name="Output 2 12 2 6" xfId="36273"/>
    <cellStyle name="Output 2 12 2 7" xfId="45741"/>
    <cellStyle name="Output 2 12 2 8" xfId="53864"/>
    <cellStyle name="Output 2 12 20" xfId="897"/>
    <cellStyle name="Output 2 12 21" xfId="34978"/>
    <cellStyle name="Output 2 12 22" xfId="40687"/>
    <cellStyle name="Output 2 12 23" xfId="41196"/>
    <cellStyle name="Output 2 12 3" xfId="2329"/>
    <cellStyle name="Output 2 12 3 2" xfId="15964"/>
    <cellStyle name="Output 2 12 3 3" xfId="15965"/>
    <cellStyle name="Output 2 12 3 4" xfId="15966"/>
    <cellStyle name="Output 2 12 3 5" xfId="15967"/>
    <cellStyle name="Output 2 12 3 6" xfId="36770"/>
    <cellStyle name="Output 2 12 3 7" xfId="45742"/>
    <cellStyle name="Output 2 12 3 8" xfId="53865"/>
    <cellStyle name="Output 2 12 4" xfId="1285"/>
    <cellStyle name="Output 2 12 4 2" xfId="15968"/>
    <cellStyle name="Output 2 12 4 3" xfId="15969"/>
    <cellStyle name="Output 2 12 4 4" xfId="15970"/>
    <cellStyle name="Output 2 12 4 5" xfId="15971"/>
    <cellStyle name="Output 2 12 4 6" xfId="37386"/>
    <cellStyle name="Output 2 12 4 7" xfId="45743"/>
    <cellStyle name="Output 2 12 4 8" xfId="53866"/>
    <cellStyle name="Output 2 12 5" xfId="3353"/>
    <cellStyle name="Output 2 12 5 2" xfId="15972"/>
    <cellStyle name="Output 2 12 5 3" xfId="15973"/>
    <cellStyle name="Output 2 12 5 4" xfId="15974"/>
    <cellStyle name="Output 2 12 5 5" xfId="15975"/>
    <cellStyle name="Output 2 12 5 6" xfId="38002"/>
    <cellStyle name="Output 2 12 5 7" xfId="45744"/>
    <cellStyle name="Output 2 12 5 8" xfId="53867"/>
    <cellStyle name="Output 2 12 6" xfId="3675"/>
    <cellStyle name="Output 2 12 6 2" xfId="15976"/>
    <cellStyle name="Output 2 12 6 3" xfId="15977"/>
    <cellStyle name="Output 2 12 6 4" xfId="15978"/>
    <cellStyle name="Output 2 12 6 5" xfId="15979"/>
    <cellStyle name="Output 2 12 6 6" xfId="38619"/>
    <cellStyle name="Output 2 12 6 7" xfId="45745"/>
    <cellStyle name="Output 2 12 6 8" xfId="53868"/>
    <cellStyle name="Output 2 12 7" xfId="15980"/>
    <cellStyle name="Output 2 12 7 2" xfId="15981"/>
    <cellStyle name="Output 2 12 7 3" xfId="15982"/>
    <cellStyle name="Output 2 12 7 4" xfId="15983"/>
    <cellStyle name="Output 2 12 7 5" xfId="15984"/>
    <cellStyle name="Output 2 12 7 6" xfId="39239"/>
    <cellStyle name="Output 2 12 7 7" xfId="45746"/>
    <cellStyle name="Output 2 12 7 8" xfId="53869"/>
    <cellStyle name="Output 2 12 8" xfId="15985"/>
    <cellStyle name="Output 2 12 8 2" xfId="15986"/>
    <cellStyle name="Output 2 12 8 3" xfId="15987"/>
    <cellStyle name="Output 2 12 8 4" xfId="15988"/>
    <cellStyle name="Output 2 12 8 5" xfId="15989"/>
    <cellStyle name="Output 2 12 8 6" xfId="39855"/>
    <cellStyle name="Output 2 12 8 7" xfId="45747"/>
    <cellStyle name="Output 2 12 8 8" xfId="53870"/>
    <cellStyle name="Output 2 12 9" xfId="15990"/>
    <cellStyle name="Output 2 12 9 2" xfId="15991"/>
    <cellStyle name="Output 2 12 9 3" xfId="15992"/>
    <cellStyle name="Output 2 12 9 4" xfId="15993"/>
    <cellStyle name="Output 2 12 9 5" xfId="15994"/>
    <cellStyle name="Output 2 12 9 6" xfId="40470"/>
    <cellStyle name="Output 2 12 9 7" xfId="45748"/>
    <cellStyle name="Output 2 12 9 8" xfId="53871"/>
    <cellStyle name="Output 2 13" xfId="2330"/>
    <cellStyle name="Output 2 13 10" xfId="34926"/>
    <cellStyle name="Output 2 13 10 2" xfId="45750"/>
    <cellStyle name="Output 2 13 10 3" xfId="53873"/>
    <cellStyle name="Output 2 13 11" xfId="40982"/>
    <cellStyle name="Output 2 13 12" xfId="45749"/>
    <cellStyle name="Output 2 13 13" xfId="53872"/>
    <cellStyle name="Output 2 13 2" xfId="2331"/>
    <cellStyle name="Output 2 13 2 2" xfId="2332"/>
    <cellStyle name="Output 2 13 2 3" xfId="36060"/>
    <cellStyle name="Output 2 13 2 4" xfId="45751"/>
    <cellStyle name="Output 2 13 2 5" xfId="53874"/>
    <cellStyle name="Output 2 13 3" xfId="2333"/>
    <cellStyle name="Output 2 13 3 2" xfId="36559"/>
    <cellStyle name="Output 2 13 3 3" xfId="45752"/>
    <cellStyle name="Output 2 13 3 4" xfId="53875"/>
    <cellStyle name="Output 2 13 4" xfId="2334"/>
    <cellStyle name="Output 2 13 4 2" xfId="37175"/>
    <cellStyle name="Output 2 13 4 3" xfId="45753"/>
    <cellStyle name="Output 2 13 4 4" xfId="53876"/>
    <cellStyle name="Output 2 13 5" xfId="15995"/>
    <cellStyle name="Output 2 13 5 2" xfId="37790"/>
    <cellStyle name="Output 2 13 5 3" xfId="45754"/>
    <cellStyle name="Output 2 13 5 4" xfId="53877"/>
    <cellStyle name="Output 2 13 6" xfId="38405"/>
    <cellStyle name="Output 2 13 6 2" xfId="45755"/>
    <cellStyle name="Output 2 13 6 3" xfId="53878"/>
    <cellStyle name="Output 2 13 7" xfId="39025"/>
    <cellStyle name="Output 2 13 7 2" xfId="45756"/>
    <cellStyle name="Output 2 13 7 3" xfId="53879"/>
    <cellStyle name="Output 2 13 8" xfId="39641"/>
    <cellStyle name="Output 2 13 8 2" xfId="45757"/>
    <cellStyle name="Output 2 13 8 3" xfId="53880"/>
    <cellStyle name="Output 2 13 9" xfId="40256"/>
    <cellStyle name="Output 2 13 9 2" xfId="45758"/>
    <cellStyle name="Output 2 13 9 3" xfId="53881"/>
    <cellStyle name="Output 2 14" xfId="2335"/>
    <cellStyle name="Output 2 14 10" xfId="45759"/>
    <cellStyle name="Output 2 14 11" xfId="53882"/>
    <cellStyle name="Output 2 14 2" xfId="2336"/>
    <cellStyle name="Output 2 14 2 2" xfId="45760"/>
    <cellStyle name="Output 2 14 2 3" xfId="53883"/>
    <cellStyle name="Output 2 14 3" xfId="2337"/>
    <cellStyle name="Output 2 14 3 2" xfId="45761"/>
    <cellStyle name="Output 2 14 3 3" xfId="53884"/>
    <cellStyle name="Output 2 14 4" xfId="15996"/>
    <cellStyle name="Output 2 14 4 2" xfId="45762"/>
    <cellStyle name="Output 2 14 4 3" xfId="53885"/>
    <cellStyle name="Output 2 14 5" xfId="15997"/>
    <cellStyle name="Output 2 14 5 2" xfId="45763"/>
    <cellStyle name="Output 2 14 5 3" xfId="53886"/>
    <cellStyle name="Output 2 14 6" xfId="35346"/>
    <cellStyle name="Output 2 14 6 2" xfId="45764"/>
    <cellStyle name="Output 2 14 6 3" xfId="53887"/>
    <cellStyle name="Output 2 14 7" xfId="45765"/>
    <cellStyle name="Output 2 14 7 2" xfId="53888"/>
    <cellStyle name="Output 2 14 8" xfId="45766"/>
    <cellStyle name="Output 2 14 8 2" xfId="53889"/>
    <cellStyle name="Output 2 14 9" xfId="45767"/>
    <cellStyle name="Output 2 14 9 2" xfId="53890"/>
    <cellStyle name="Output 2 15" xfId="2338"/>
    <cellStyle name="Output 2 15 2" xfId="2339"/>
    <cellStyle name="Output 2 15 3" xfId="2340"/>
    <cellStyle name="Output 2 15 4" xfId="15998"/>
    <cellStyle name="Output 2 15 5" xfId="15999"/>
    <cellStyle name="Output 2 15 6" xfId="35874"/>
    <cellStyle name="Output 2 15 7" xfId="45768"/>
    <cellStyle name="Output 2 15 8" xfId="53891"/>
    <cellStyle name="Output 2 16" xfId="1280"/>
    <cellStyle name="Output 2 16 2" xfId="16000"/>
    <cellStyle name="Output 2 16 3" xfId="16001"/>
    <cellStyle name="Output 2 16 4" xfId="16002"/>
    <cellStyle name="Output 2 16 5" xfId="16003"/>
    <cellStyle name="Output 2 16 6" xfId="35865"/>
    <cellStyle name="Output 2 16 7" xfId="45769"/>
    <cellStyle name="Output 2 16 8" xfId="53892"/>
    <cellStyle name="Output 2 17" xfId="3348"/>
    <cellStyle name="Output 2 17 2" xfId="16004"/>
    <cellStyle name="Output 2 17 3" xfId="16005"/>
    <cellStyle name="Output 2 17 4" xfId="16006"/>
    <cellStyle name="Output 2 17 5" xfId="16007"/>
    <cellStyle name="Output 2 17 6" xfId="36023"/>
    <cellStyle name="Output 2 17 7" xfId="45770"/>
    <cellStyle name="Output 2 17 8" xfId="53893"/>
    <cellStyle name="Output 2 18" xfId="3670"/>
    <cellStyle name="Output 2 18 2" xfId="16008"/>
    <cellStyle name="Output 2 18 3" xfId="16009"/>
    <cellStyle name="Output 2 18 4" xfId="16010"/>
    <cellStyle name="Output 2 18 5" xfId="16011"/>
    <cellStyle name="Output 2 18 6" xfId="45771"/>
    <cellStyle name="Output 2 18 7" xfId="53894"/>
    <cellStyle name="Output 2 19" xfId="16012"/>
    <cellStyle name="Output 2 19 2" xfId="16013"/>
    <cellStyle name="Output 2 19 3" xfId="16014"/>
    <cellStyle name="Output 2 19 4" xfId="16015"/>
    <cellStyle name="Output 2 19 5" xfId="16016"/>
    <cellStyle name="Output 2 19 6" xfId="45772"/>
    <cellStyle name="Output 2 19 7" xfId="53895"/>
    <cellStyle name="Output 2 2" xfId="237"/>
    <cellStyle name="Output 2 2 10" xfId="3676"/>
    <cellStyle name="Output 2 2 10 2" xfId="16017"/>
    <cellStyle name="Output 2 2 10 3" xfId="16018"/>
    <cellStyle name="Output 2 2 10 4" xfId="16019"/>
    <cellStyle name="Output 2 2 10 5" xfId="16020"/>
    <cellStyle name="Output 2 2 10 6" xfId="35836"/>
    <cellStyle name="Output 2 2 10 7" xfId="45773"/>
    <cellStyle name="Output 2 2 10 8" xfId="53896"/>
    <cellStyle name="Output 2 2 11" xfId="16021"/>
    <cellStyle name="Output 2 2 11 2" xfId="16022"/>
    <cellStyle name="Output 2 2 11 3" xfId="16023"/>
    <cellStyle name="Output 2 2 11 4" xfId="16024"/>
    <cellStyle name="Output 2 2 11 5" xfId="16025"/>
    <cellStyle name="Output 2 2 11 6" xfId="36029"/>
    <cellStyle name="Output 2 2 11 7" xfId="45774"/>
    <cellStyle name="Output 2 2 11 8" xfId="53897"/>
    <cellStyle name="Output 2 2 12" xfId="16026"/>
    <cellStyle name="Output 2 2 12 2" xfId="16027"/>
    <cellStyle name="Output 2 2 12 3" xfId="16028"/>
    <cellStyle name="Output 2 2 12 4" xfId="16029"/>
    <cellStyle name="Output 2 2 12 5" xfId="16030"/>
    <cellStyle name="Output 2 2 12 6" xfId="35733"/>
    <cellStyle name="Output 2 2 12 7" xfId="45775"/>
    <cellStyle name="Output 2 2 12 8" xfId="53898"/>
    <cellStyle name="Output 2 2 13" xfId="16031"/>
    <cellStyle name="Output 2 2 13 2" xfId="16032"/>
    <cellStyle name="Output 2 2 13 3" xfId="16033"/>
    <cellStyle name="Output 2 2 13 4" xfId="16034"/>
    <cellStyle name="Output 2 2 13 5" xfId="16035"/>
    <cellStyle name="Output 2 2 13 6" xfId="35883"/>
    <cellStyle name="Output 2 2 13 7" xfId="45776"/>
    <cellStyle name="Output 2 2 13 8" xfId="53899"/>
    <cellStyle name="Output 2 2 14" xfId="16036"/>
    <cellStyle name="Output 2 2 14 2" xfId="16037"/>
    <cellStyle name="Output 2 2 14 3" xfId="16038"/>
    <cellStyle name="Output 2 2 14 4" xfId="16039"/>
    <cellStyle name="Output 2 2 14 5" xfId="16040"/>
    <cellStyle name="Output 2 2 14 6" xfId="35738"/>
    <cellStyle name="Output 2 2 14 7" xfId="45777"/>
    <cellStyle name="Output 2 2 14 8" xfId="53900"/>
    <cellStyle name="Output 2 2 15" xfId="16041"/>
    <cellStyle name="Output 2 2 15 2" xfId="16042"/>
    <cellStyle name="Output 2 2 15 3" xfId="16043"/>
    <cellStyle name="Output 2 2 15 4" xfId="16044"/>
    <cellStyle name="Output 2 2 15 5" xfId="16045"/>
    <cellStyle name="Output 2 2 15 6" xfId="35840"/>
    <cellStyle name="Output 2 2 15 7" xfId="45778"/>
    <cellStyle name="Output 2 2 15 8" xfId="53901"/>
    <cellStyle name="Output 2 2 16" xfId="16046"/>
    <cellStyle name="Output 2 2 16 2" xfId="16047"/>
    <cellStyle name="Output 2 2 16 3" xfId="16048"/>
    <cellStyle name="Output 2 2 16 4" xfId="16049"/>
    <cellStyle name="Output 2 2 16 5" xfId="16050"/>
    <cellStyle name="Output 2 2 16 6" xfId="38261"/>
    <cellStyle name="Output 2 2 16 7" xfId="45779"/>
    <cellStyle name="Output 2 2 16 8" xfId="53902"/>
    <cellStyle name="Output 2 2 17" xfId="16051"/>
    <cellStyle name="Output 2 2 17 2" xfId="16052"/>
    <cellStyle name="Output 2 2 17 3" xfId="16053"/>
    <cellStyle name="Output 2 2 17 4" xfId="16054"/>
    <cellStyle name="Output 2 2 17 5" xfId="16055"/>
    <cellStyle name="Output 2 2 17 6" xfId="45780"/>
    <cellStyle name="Output 2 2 17 7" xfId="53903"/>
    <cellStyle name="Output 2 2 18" xfId="16056"/>
    <cellStyle name="Output 2 2 18 2" xfId="16057"/>
    <cellStyle name="Output 2 2 18 3" xfId="16058"/>
    <cellStyle name="Output 2 2 18 4" xfId="16059"/>
    <cellStyle name="Output 2 2 18 5" xfId="16060"/>
    <cellStyle name="Output 2 2 19" xfId="16061"/>
    <cellStyle name="Output 2 2 19 2" xfId="16062"/>
    <cellStyle name="Output 2 2 19 3" xfId="16063"/>
    <cellStyle name="Output 2 2 19 4" xfId="16064"/>
    <cellStyle name="Output 2 2 19 5" xfId="16065"/>
    <cellStyle name="Output 2 2 2" xfId="287"/>
    <cellStyle name="Output 2 2 2 10" xfId="16066"/>
    <cellStyle name="Output 2 2 2 10 2" xfId="16067"/>
    <cellStyle name="Output 2 2 2 10 3" xfId="16068"/>
    <cellStyle name="Output 2 2 2 10 4" xfId="16069"/>
    <cellStyle name="Output 2 2 2 10 5" xfId="16070"/>
    <cellStyle name="Output 2 2 2 10 6" xfId="37615"/>
    <cellStyle name="Output 2 2 2 10 7" xfId="45781"/>
    <cellStyle name="Output 2 2 2 10 8" xfId="53904"/>
    <cellStyle name="Output 2 2 2 11" xfId="16071"/>
    <cellStyle name="Output 2 2 2 11 2" xfId="16072"/>
    <cellStyle name="Output 2 2 2 11 3" xfId="16073"/>
    <cellStyle name="Output 2 2 2 11 4" xfId="16074"/>
    <cellStyle name="Output 2 2 2 11 5" xfId="16075"/>
    <cellStyle name="Output 2 2 2 11 6" xfId="38232"/>
    <cellStyle name="Output 2 2 2 11 7" xfId="45782"/>
    <cellStyle name="Output 2 2 2 11 8" xfId="53905"/>
    <cellStyle name="Output 2 2 2 12" xfId="16076"/>
    <cellStyle name="Output 2 2 2 12 2" xfId="16077"/>
    <cellStyle name="Output 2 2 2 12 3" xfId="16078"/>
    <cellStyle name="Output 2 2 2 12 4" xfId="16079"/>
    <cellStyle name="Output 2 2 2 12 5" xfId="16080"/>
    <cellStyle name="Output 2 2 2 12 6" xfId="38854"/>
    <cellStyle name="Output 2 2 2 12 7" xfId="45783"/>
    <cellStyle name="Output 2 2 2 12 8" xfId="53906"/>
    <cellStyle name="Output 2 2 2 13" xfId="16081"/>
    <cellStyle name="Output 2 2 2 13 2" xfId="16082"/>
    <cellStyle name="Output 2 2 2 13 3" xfId="16083"/>
    <cellStyle name="Output 2 2 2 13 4" xfId="16084"/>
    <cellStyle name="Output 2 2 2 13 5" xfId="16085"/>
    <cellStyle name="Output 2 2 2 13 6" xfId="39474"/>
    <cellStyle name="Output 2 2 2 13 7" xfId="45784"/>
    <cellStyle name="Output 2 2 2 13 8" xfId="53907"/>
    <cellStyle name="Output 2 2 2 14" xfId="16086"/>
    <cellStyle name="Output 2 2 2 14 2" xfId="16087"/>
    <cellStyle name="Output 2 2 2 14 3" xfId="16088"/>
    <cellStyle name="Output 2 2 2 14 4" xfId="16089"/>
    <cellStyle name="Output 2 2 2 14 5" xfId="16090"/>
    <cellStyle name="Output 2 2 2 14 6" xfId="40092"/>
    <cellStyle name="Output 2 2 2 14 7" xfId="45785"/>
    <cellStyle name="Output 2 2 2 14 8" xfId="53908"/>
    <cellStyle name="Output 2 2 2 15" xfId="16091"/>
    <cellStyle name="Output 2 2 2 15 2" xfId="16092"/>
    <cellStyle name="Output 2 2 2 15 3" xfId="16093"/>
    <cellStyle name="Output 2 2 2 15 4" xfId="16094"/>
    <cellStyle name="Output 2 2 2 15 5" xfId="16095"/>
    <cellStyle name="Output 2 2 2 15 6" xfId="45786"/>
    <cellStyle name="Output 2 2 2 15 7" xfId="53909"/>
    <cellStyle name="Output 2 2 2 16" xfId="16096"/>
    <cellStyle name="Output 2 2 2 16 2" xfId="16097"/>
    <cellStyle name="Output 2 2 2 16 3" xfId="16098"/>
    <cellStyle name="Output 2 2 2 16 4" xfId="16099"/>
    <cellStyle name="Output 2 2 2 16 5" xfId="16100"/>
    <cellStyle name="Output 2 2 2 17" xfId="16101"/>
    <cellStyle name="Output 2 2 2 17 2" xfId="16102"/>
    <cellStyle name="Output 2 2 2 17 3" xfId="16103"/>
    <cellStyle name="Output 2 2 2 17 4" xfId="16104"/>
    <cellStyle name="Output 2 2 2 17 5" xfId="16105"/>
    <cellStyle name="Output 2 2 2 18" xfId="16106"/>
    <cellStyle name="Output 2 2 2 19" xfId="732"/>
    <cellStyle name="Output 2 2 2 2" xfId="376"/>
    <cellStyle name="Output 2 2 2 2 10" xfId="16107"/>
    <cellStyle name="Output 2 2 2 2 10 2" xfId="16108"/>
    <cellStyle name="Output 2 2 2 2 10 3" xfId="16109"/>
    <cellStyle name="Output 2 2 2 2 10 4" xfId="16110"/>
    <cellStyle name="Output 2 2 2 2 10 5" xfId="16111"/>
    <cellStyle name="Output 2 2 2 2 10 6" xfId="39554"/>
    <cellStyle name="Output 2 2 2 2 10 7" xfId="45787"/>
    <cellStyle name="Output 2 2 2 2 10 8" xfId="53910"/>
    <cellStyle name="Output 2 2 2 2 11" xfId="16112"/>
    <cellStyle name="Output 2 2 2 2 11 2" xfId="16113"/>
    <cellStyle name="Output 2 2 2 2 11 3" xfId="16114"/>
    <cellStyle name="Output 2 2 2 2 11 4" xfId="16115"/>
    <cellStyle name="Output 2 2 2 2 11 5" xfId="16116"/>
    <cellStyle name="Output 2 2 2 2 11 6" xfId="40170"/>
    <cellStyle name="Output 2 2 2 2 11 7" xfId="45788"/>
    <cellStyle name="Output 2 2 2 2 11 8" xfId="53911"/>
    <cellStyle name="Output 2 2 2 2 12" xfId="16117"/>
    <cellStyle name="Output 2 2 2 2 12 2" xfId="16118"/>
    <cellStyle name="Output 2 2 2 2 12 3" xfId="16119"/>
    <cellStyle name="Output 2 2 2 2 12 4" xfId="16120"/>
    <cellStyle name="Output 2 2 2 2 12 5" xfId="16121"/>
    <cellStyle name="Output 2 2 2 2 12 6" xfId="45789"/>
    <cellStyle name="Output 2 2 2 2 12 7" xfId="53912"/>
    <cellStyle name="Output 2 2 2 2 13" xfId="16122"/>
    <cellStyle name="Output 2 2 2 2 13 2" xfId="16123"/>
    <cellStyle name="Output 2 2 2 2 13 3" xfId="16124"/>
    <cellStyle name="Output 2 2 2 2 13 4" xfId="16125"/>
    <cellStyle name="Output 2 2 2 2 13 5" xfId="16126"/>
    <cellStyle name="Output 2 2 2 2 13 6" xfId="45790"/>
    <cellStyle name="Output 2 2 2 2 13 7" xfId="53913"/>
    <cellStyle name="Output 2 2 2 2 14" xfId="16127"/>
    <cellStyle name="Output 2 2 2 2 14 2" xfId="16128"/>
    <cellStyle name="Output 2 2 2 2 14 3" xfId="16129"/>
    <cellStyle name="Output 2 2 2 2 14 4" xfId="16130"/>
    <cellStyle name="Output 2 2 2 2 14 5" xfId="16131"/>
    <cellStyle name="Output 2 2 2 2 15" xfId="16132"/>
    <cellStyle name="Output 2 2 2 2 15 2" xfId="16133"/>
    <cellStyle name="Output 2 2 2 2 15 3" xfId="16134"/>
    <cellStyle name="Output 2 2 2 2 15 4" xfId="16135"/>
    <cellStyle name="Output 2 2 2 2 15 5" xfId="16136"/>
    <cellStyle name="Output 2 2 2 2 16" xfId="16137"/>
    <cellStyle name="Output 2 2 2 2 16 2" xfId="16138"/>
    <cellStyle name="Output 2 2 2 2 16 3" xfId="16139"/>
    <cellStyle name="Output 2 2 2 2 16 4" xfId="16140"/>
    <cellStyle name="Output 2 2 2 2 16 5" xfId="16141"/>
    <cellStyle name="Output 2 2 2 2 17" xfId="16142"/>
    <cellStyle name="Output 2 2 2 2 17 2" xfId="16143"/>
    <cellStyle name="Output 2 2 2 2 17 3" xfId="16144"/>
    <cellStyle name="Output 2 2 2 2 17 4" xfId="16145"/>
    <cellStyle name="Output 2 2 2 2 17 5" xfId="16146"/>
    <cellStyle name="Output 2 2 2 2 18" xfId="16147"/>
    <cellStyle name="Output 2 2 2 2 18 2" xfId="16148"/>
    <cellStyle name="Output 2 2 2 2 18 3" xfId="16149"/>
    <cellStyle name="Output 2 2 2 2 18 4" xfId="16150"/>
    <cellStyle name="Output 2 2 2 2 18 5" xfId="16151"/>
    <cellStyle name="Output 2 2 2 2 19" xfId="16152"/>
    <cellStyle name="Output 2 2 2 2 2" xfId="595"/>
    <cellStyle name="Output 2 2 2 2 2 10" xfId="16153"/>
    <cellStyle name="Output 2 2 2 2 2 10 2" xfId="16154"/>
    <cellStyle name="Output 2 2 2 2 2 10 3" xfId="16155"/>
    <cellStyle name="Output 2 2 2 2 2 10 4" xfId="16156"/>
    <cellStyle name="Output 2 2 2 2 2 10 5" xfId="16157"/>
    <cellStyle name="Output 2 2 2 2 2 10 6" xfId="45791"/>
    <cellStyle name="Output 2 2 2 2 2 10 7" xfId="53914"/>
    <cellStyle name="Output 2 2 2 2 2 11" xfId="16158"/>
    <cellStyle name="Output 2 2 2 2 2 11 2" xfId="16159"/>
    <cellStyle name="Output 2 2 2 2 2 11 3" xfId="16160"/>
    <cellStyle name="Output 2 2 2 2 2 11 4" xfId="16161"/>
    <cellStyle name="Output 2 2 2 2 2 11 5" xfId="16162"/>
    <cellStyle name="Output 2 2 2 2 2 12" xfId="16163"/>
    <cellStyle name="Output 2 2 2 2 2 12 2" xfId="16164"/>
    <cellStyle name="Output 2 2 2 2 2 12 3" xfId="16165"/>
    <cellStyle name="Output 2 2 2 2 2 12 4" xfId="16166"/>
    <cellStyle name="Output 2 2 2 2 2 12 5" xfId="16167"/>
    <cellStyle name="Output 2 2 2 2 2 13" xfId="16168"/>
    <cellStyle name="Output 2 2 2 2 2 13 2" xfId="16169"/>
    <cellStyle name="Output 2 2 2 2 2 13 3" xfId="16170"/>
    <cellStyle name="Output 2 2 2 2 2 13 4" xfId="16171"/>
    <cellStyle name="Output 2 2 2 2 2 13 5" xfId="16172"/>
    <cellStyle name="Output 2 2 2 2 2 14" xfId="16173"/>
    <cellStyle name="Output 2 2 2 2 2 14 2" xfId="16174"/>
    <cellStyle name="Output 2 2 2 2 2 14 3" xfId="16175"/>
    <cellStyle name="Output 2 2 2 2 2 14 4" xfId="16176"/>
    <cellStyle name="Output 2 2 2 2 2 14 5" xfId="16177"/>
    <cellStyle name="Output 2 2 2 2 2 15" xfId="16178"/>
    <cellStyle name="Output 2 2 2 2 2 15 2" xfId="16179"/>
    <cellStyle name="Output 2 2 2 2 2 15 3" xfId="16180"/>
    <cellStyle name="Output 2 2 2 2 2 15 4" xfId="16181"/>
    <cellStyle name="Output 2 2 2 2 2 15 5" xfId="16182"/>
    <cellStyle name="Output 2 2 2 2 2 16" xfId="16183"/>
    <cellStyle name="Output 2 2 2 2 2 16 2" xfId="16184"/>
    <cellStyle name="Output 2 2 2 2 2 16 3" xfId="16185"/>
    <cellStyle name="Output 2 2 2 2 2 16 4" xfId="16186"/>
    <cellStyle name="Output 2 2 2 2 2 16 5" xfId="16187"/>
    <cellStyle name="Output 2 2 2 2 2 17" xfId="16188"/>
    <cellStyle name="Output 2 2 2 2 2 17 2" xfId="16189"/>
    <cellStyle name="Output 2 2 2 2 2 17 3" xfId="16190"/>
    <cellStyle name="Output 2 2 2 2 2 17 4" xfId="16191"/>
    <cellStyle name="Output 2 2 2 2 2 17 5" xfId="16192"/>
    <cellStyle name="Output 2 2 2 2 2 18" xfId="16193"/>
    <cellStyle name="Output 2 2 2 2 2 18 2" xfId="16194"/>
    <cellStyle name="Output 2 2 2 2 2 18 3" xfId="16195"/>
    <cellStyle name="Output 2 2 2 2 2 18 4" xfId="16196"/>
    <cellStyle name="Output 2 2 2 2 2 18 5" xfId="16197"/>
    <cellStyle name="Output 2 2 2 2 2 19" xfId="16198"/>
    <cellStyle name="Output 2 2 2 2 2 2" xfId="2341"/>
    <cellStyle name="Output 2 2 2 2 2 2 2" xfId="16199"/>
    <cellStyle name="Output 2 2 2 2 2 2 3" xfId="16200"/>
    <cellStyle name="Output 2 2 2 2 2 2 4" xfId="16201"/>
    <cellStyle name="Output 2 2 2 2 2 2 5" xfId="16202"/>
    <cellStyle name="Output 2 2 2 2 2 2 6" xfId="36399"/>
    <cellStyle name="Output 2 2 2 2 2 2 7" xfId="45792"/>
    <cellStyle name="Output 2 2 2 2 2 2 8" xfId="53915"/>
    <cellStyle name="Output 2 2 2 2 2 20" xfId="1024"/>
    <cellStyle name="Output 2 2 2 2 2 21" xfId="35104"/>
    <cellStyle name="Output 2 2 2 2 2 22" xfId="41323"/>
    <cellStyle name="Output 2 2 2 2 2 3" xfId="2342"/>
    <cellStyle name="Output 2 2 2 2 2 3 2" xfId="16203"/>
    <cellStyle name="Output 2 2 2 2 2 3 3" xfId="16204"/>
    <cellStyle name="Output 2 2 2 2 2 3 4" xfId="16205"/>
    <cellStyle name="Output 2 2 2 2 2 3 5" xfId="16206"/>
    <cellStyle name="Output 2 2 2 2 2 3 6" xfId="36896"/>
    <cellStyle name="Output 2 2 2 2 2 3 7" xfId="45793"/>
    <cellStyle name="Output 2 2 2 2 2 3 8" xfId="53916"/>
    <cellStyle name="Output 2 2 2 2 2 4" xfId="1289"/>
    <cellStyle name="Output 2 2 2 2 2 4 2" xfId="16207"/>
    <cellStyle name="Output 2 2 2 2 2 4 3" xfId="16208"/>
    <cellStyle name="Output 2 2 2 2 2 4 4" xfId="16209"/>
    <cellStyle name="Output 2 2 2 2 2 4 5" xfId="16210"/>
    <cellStyle name="Output 2 2 2 2 2 4 6" xfId="37512"/>
    <cellStyle name="Output 2 2 2 2 2 4 7" xfId="45794"/>
    <cellStyle name="Output 2 2 2 2 2 4 8" xfId="53917"/>
    <cellStyle name="Output 2 2 2 2 2 5" xfId="3357"/>
    <cellStyle name="Output 2 2 2 2 2 5 2" xfId="16211"/>
    <cellStyle name="Output 2 2 2 2 2 5 3" xfId="16212"/>
    <cellStyle name="Output 2 2 2 2 2 5 4" xfId="16213"/>
    <cellStyle name="Output 2 2 2 2 2 5 5" xfId="16214"/>
    <cellStyle name="Output 2 2 2 2 2 5 6" xfId="38128"/>
    <cellStyle name="Output 2 2 2 2 2 5 7" xfId="45795"/>
    <cellStyle name="Output 2 2 2 2 2 5 8" xfId="53918"/>
    <cellStyle name="Output 2 2 2 2 2 6" xfId="3679"/>
    <cellStyle name="Output 2 2 2 2 2 6 2" xfId="16215"/>
    <cellStyle name="Output 2 2 2 2 2 6 3" xfId="16216"/>
    <cellStyle name="Output 2 2 2 2 2 6 4" xfId="16217"/>
    <cellStyle name="Output 2 2 2 2 2 6 5" xfId="16218"/>
    <cellStyle name="Output 2 2 2 2 2 6 6" xfId="38746"/>
    <cellStyle name="Output 2 2 2 2 2 6 7" xfId="45796"/>
    <cellStyle name="Output 2 2 2 2 2 6 8" xfId="53919"/>
    <cellStyle name="Output 2 2 2 2 2 7" xfId="16219"/>
    <cellStyle name="Output 2 2 2 2 2 7 2" xfId="16220"/>
    <cellStyle name="Output 2 2 2 2 2 7 3" xfId="16221"/>
    <cellStyle name="Output 2 2 2 2 2 7 4" xfId="16222"/>
    <cellStyle name="Output 2 2 2 2 2 7 5" xfId="16223"/>
    <cellStyle name="Output 2 2 2 2 2 7 6" xfId="39366"/>
    <cellStyle name="Output 2 2 2 2 2 7 7" xfId="45797"/>
    <cellStyle name="Output 2 2 2 2 2 7 8" xfId="53920"/>
    <cellStyle name="Output 2 2 2 2 2 8" xfId="16224"/>
    <cellStyle name="Output 2 2 2 2 2 8 2" xfId="16225"/>
    <cellStyle name="Output 2 2 2 2 2 8 3" xfId="16226"/>
    <cellStyle name="Output 2 2 2 2 2 8 4" xfId="16227"/>
    <cellStyle name="Output 2 2 2 2 2 8 5" xfId="16228"/>
    <cellStyle name="Output 2 2 2 2 2 8 6" xfId="39982"/>
    <cellStyle name="Output 2 2 2 2 2 8 7" xfId="45798"/>
    <cellStyle name="Output 2 2 2 2 2 8 8" xfId="53921"/>
    <cellStyle name="Output 2 2 2 2 2 9" xfId="16229"/>
    <cellStyle name="Output 2 2 2 2 2 9 2" xfId="16230"/>
    <cellStyle name="Output 2 2 2 2 2 9 3" xfId="16231"/>
    <cellStyle name="Output 2 2 2 2 2 9 4" xfId="16232"/>
    <cellStyle name="Output 2 2 2 2 2 9 5" xfId="16233"/>
    <cellStyle name="Output 2 2 2 2 2 9 6" xfId="40597"/>
    <cellStyle name="Output 2 2 2 2 2 9 7" xfId="45799"/>
    <cellStyle name="Output 2 2 2 2 2 9 8" xfId="53922"/>
    <cellStyle name="Output 2 2 2 2 20" xfId="812"/>
    <cellStyle name="Output 2 2 2 2 21" xfId="34556"/>
    <cellStyle name="Output 2 2 2 2 22" xfId="40896"/>
    <cellStyle name="Output 2 2 2 2 23" xfId="41457"/>
    <cellStyle name="Output 2 2 2 2 24" xfId="50544"/>
    <cellStyle name="Output 2 2 2 2 3" xfId="2343"/>
    <cellStyle name="Output 2 2 2 2 3 10" xfId="34905"/>
    <cellStyle name="Output 2 2 2 2 3 10 2" xfId="45801"/>
    <cellStyle name="Output 2 2 2 2 3 10 3" xfId="53924"/>
    <cellStyle name="Output 2 2 2 2 3 11" xfId="41111"/>
    <cellStyle name="Output 2 2 2 2 3 12" xfId="45800"/>
    <cellStyle name="Output 2 2 2 2 3 13" xfId="53923"/>
    <cellStyle name="Output 2 2 2 2 3 2" xfId="2344"/>
    <cellStyle name="Output 2 2 2 2 3 2 2" xfId="36188"/>
    <cellStyle name="Output 2 2 2 2 3 2 3" xfId="45802"/>
    <cellStyle name="Output 2 2 2 2 3 2 4" xfId="53925"/>
    <cellStyle name="Output 2 2 2 2 3 3" xfId="2345"/>
    <cellStyle name="Output 2 2 2 2 3 3 2" xfId="36685"/>
    <cellStyle name="Output 2 2 2 2 3 3 3" xfId="45803"/>
    <cellStyle name="Output 2 2 2 2 3 3 4" xfId="53926"/>
    <cellStyle name="Output 2 2 2 2 3 4" xfId="16234"/>
    <cellStyle name="Output 2 2 2 2 3 4 2" xfId="37301"/>
    <cellStyle name="Output 2 2 2 2 3 4 3" xfId="45804"/>
    <cellStyle name="Output 2 2 2 2 3 4 4" xfId="53927"/>
    <cellStyle name="Output 2 2 2 2 3 5" xfId="16235"/>
    <cellStyle name="Output 2 2 2 2 3 5 2" xfId="37917"/>
    <cellStyle name="Output 2 2 2 2 3 5 3" xfId="45805"/>
    <cellStyle name="Output 2 2 2 2 3 5 4" xfId="53928"/>
    <cellStyle name="Output 2 2 2 2 3 6" xfId="38534"/>
    <cellStyle name="Output 2 2 2 2 3 6 2" xfId="45806"/>
    <cellStyle name="Output 2 2 2 2 3 6 3" xfId="53929"/>
    <cellStyle name="Output 2 2 2 2 3 7" xfId="39154"/>
    <cellStyle name="Output 2 2 2 2 3 7 2" xfId="45807"/>
    <cellStyle name="Output 2 2 2 2 3 7 3" xfId="53930"/>
    <cellStyle name="Output 2 2 2 2 3 8" xfId="39770"/>
    <cellStyle name="Output 2 2 2 2 3 8 2" xfId="45808"/>
    <cellStyle name="Output 2 2 2 2 3 8 3" xfId="53931"/>
    <cellStyle name="Output 2 2 2 2 3 9" xfId="40385"/>
    <cellStyle name="Output 2 2 2 2 3 9 2" xfId="45809"/>
    <cellStyle name="Output 2 2 2 2 3 9 3" xfId="53932"/>
    <cellStyle name="Output 2 2 2 2 4" xfId="2346"/>
    <cellStyle name="Output 2 2 2 2 4 10" xfId="45810"/>
    <cellStyle name="Output 2 2 2 2 4 11" xfId="53933"/>
    <cellStyle name="Output 2 2 2 2 4 2" xfId="16236"/>
    <cellStyle name="Output 2 2 2 2 4 2 2" xfId="45811"/>
    <cellStyle name="Output 2 2 2 2 4 2 3" xfId="53934"/>
    <cellStyle name="Output 2 2 2 2 4 3" xfId="16237"/>
    <cellStyle name="Output 2 2 2 2 4 3 2" xfId="45812"/>
    <cellStyle name="Output 2 2 2 2 4 3 3" xfId="53935"/>
    <cellStyle name="Output 2 2 2 2 4 4" xfId="16238"/>
    <cellStyle name="Output 2 2 2 2 4 4 2" xfId="45813"/>
    <cellStyle name="Output 2 2 2 2 4 4 3" xfId="53936"/>
    <cellStyle name="Output 2 2 2 2 4 5" xfId="16239"/>
    <cellStyle name="Output 2 2 2 2 4 5 2" xfId="45814"/>
    <cellStyle name="Output 2 2 2 2 4 5 3" xfId="53937"/>
    <cellStyle name="Output 2 2 2 2 4 6" xfId="35695"/>
    <cellStyle name="Output 2 2 2 2 4 6 2" xfId="45815"/>
    <cellStyle name="Output 2 2 2 2 4 6 3" xfId="53938"/>
    <cellStyle name="Output 2 2 2 2 4 7" xfId="45816"/>
    <cellStyle name="Output 2 2 2 2 4 7 2" xfId="53939"/>
    <cellStyle name="Output 2 2 2 2 4 8" xfId="45817"/>
    <cellStyle name="Output 2 2 2 2 4 8 2" xfId="53940"/>
    <cellStyle name="Output 2 2 2 2 4 9" xfId="45818"/>
    <cellStyle name="Output 2 2 2 2 4 9 2" xfId="53941"/>
    <cellStyle name="Output 2 2 2 2 5" xfId="1288"/>
    <cellStyle name="Output 2 2 2 2 5 2" xfId="16240"/>
    <cellStyle name="Output 2 2 2 2 5 3" xfId="16241"/>
    <cellStyle name="Output 2 2 2 2 5 4" xfId="16242"/>
    <cellStyle name="Output 2 2 2 2 5 5" xfId="16243"/>
    <cellStyle name="Output 2 2 2 2 5 6" xfId="35751"/>
    <cellStyle name="Output 2 2 2 2 5 7" xfId="45819"/>
    <cellStyle name="Output 2 2 2 2 5 8" xfId="53942"/>
    <cellStyle name="Output 2 2 2 2 6" xfId="3356"/>
    <cellStyle name="Output 2 2 2 2 6 2" xfId="16244"/>
    <cellStyle name="Output 2 2 2 2 6 3" xfId="16245"/>
    <cellStyle name="Output 2 2 2 2 6 4" xfId="16246"/>
    <cellStyle name="Output 2 2 2 2 6 5" xfId="16247"/>
    <cellStyle name="Output 2 2 2 2 6 6" xfId="37086"/>
    <cellStyle name="Output 2 2 2 2 6 7" xfId="45820"/>
    <cellStyle name="Output 2 2 2 2 6 8" xfId="53943"/>
    <cellStyle name="Output 2 2 2 2 7" xfId="3678"/>
    <cellStyle name="Output 2 2 2 2 7 2" xfId="16248"/>
    <cellStyle name="Output 2 2 2 2 7 3" xfId="16249"/>
    <cellStyle name="Output 2 2 2 2 7 4" xfId="16250"/>
    <cellStyle name="Output 2 2 2 2 7 5" xfId="16251"/>
    <cellStyle name="Output 2 2 2 2 7 6" xfId="37700"/>
    <cellStyle name="Output 2 2 2 2 7 7" xfId="45821"/>
    <cellStyle name="Output 2 2 2 2 7 8" xfId="53944"/>
    <cellStyle name="Output 2 2 2 2 8" xfId="16252"/>
    <cellStyle name="Output 2 2 2 2 8 2" xfId="16253"/>
    <cellStyle name="Output 2 2 2 2 8 3" xfId="16254"/>
    <cellStyle name="Output 2 2 2 2 8 4" xfId="16255"/>
    <cellStyle name="Output 2 2 2 2 8 5" xfId="16256"/>
    <cellStyle name="Output 2 2 2 2 8 6" xfId="38315"/>
    <cellStyle name="Output 2 2 2 2 8 7" xfId="45822"/>
    <cellStyle name="Output 2 2 2 2 8 8" xfId="53945"/>
    <cellStyle name="Output 2 2 2 2 9" xfId="16257"/>
    <cellStyle name="Output 2 2 2 2 9 2" xfId="16258"/>
    <cellStyle name="Output 2 2 2 2 9 3" xfId="16259"/>
    <cellStyle name="Output 2 2 2 2 9 4" xfId="16260"/>
    <cellStyle name="Output 2 2 2 2 9 5" xfId="16261"/>
    <cellStyle name="Output 2 2 2 2 9 6" xfId="38935"/>
    <cellStyle name="Output 2 2 2 2 9 7" xfId="45823"/>
    <cellStyle name="Output 2 2 2 2 9 8" xfId="53946"/>
    <cellStyle name="Output 2 2 2 20" xfId="34948"/>
    <cellStyle name="Output 2 2 2 21" xfId="40816"/>
    <cellStyle name="Output 2 2 2 3" xfId="377"/>
    <cellStyle name="Output 2 2 2 3 10" xfId="16262"/>
    <cellStyle name="Output 2 2 2 3 10 2" xfId="16263"/>
    <cellStyle name="Output 2 2 2 3 10 3" xfId="16264"/>
    <cellStyle name="Output 2 2 2 3 10 4" xfId="16265"/>
    <cellStyle name="Output 2 2 2 3 10 5" xfId="16266"/>
    <cellStyle name="Output 2 2 2 3 10 6" xfId="40171"/>
    <cellStyle name="Output 2 2 2 3 10 7" xfId="45824"/>
    <cellStyle name="Output 2 2 2 3 10 8" xfId="53947"/>
    <cellStyle name="Output 2 2 2 3 11" xfId="16267"/>
    <cellStyle name="Output 2 2 2 3 11 2" xfId="16268"/>
    <cellStyle name="Output 2 2 2 3 11 3" xfId="16269"/>
    <cellStyle name="Output 2 2 2 3 11 4" xfId="16270"/>
    <cellStyle name="Output 2 2 2 3 11 5" xfId="16271"/>
    <cellStyle name="Output 2 2 2 3 11 6" xfId="45825"/>
    <cellStyle name="Output 2 2 2 3 11 7" xfId="53948"/>
    <cellStyle name="Output 2 2 2 3 12" xfId="16272"/>
    <cellStyle name="Output 2 2 2 3 12 2" xfId="16273"/>
    <cellStyle name="Output 2 2 2 3 12 3" xfId="16274"/>
    <cellStyle name="Output 2 2 2 3 12 4" xfId="16275"/>
    <cellStyle name="Output 2 2 2 3 12 5" xfId="16276"/>
    <cellStyle name="Output 2 2 2 3 12 6" xfId="45826"/>
    <cellStyle name="Output 2 2 2 3 12 7" xfId="53949"/>
    <cellStyle name="Output 2 2 2 3 13" xfId="16277"/>
    <cellStyle name="Output 2 2 2 3 13 2" xfId="16278"/>
    <cellStyle name="Output 2 2 2 3 13 3" xfId="16279"/>
    <cellStyle name="Output 2 2 2 3 13 4" xfId="16280"/>
    <cellStyle name="Output 2 2 2 3 13 5" xfId="16281"/>
    <cellStyle name="Output 2 2 2 3 13 6" xfId="45827"/>
    <cellStyle name="Output 2 2 2 3 13 7" xfId="53950"/>
    <cellStyle name="Output 2 2 2 3 14" xfId="16282"/>
    <cellStyle name="Output 2 2 2 3 14 2" xfId="16283"/>
    <cellStyle name="Output 2 2 2 3 14 3" xfId="16284"/>
    <cellStyle name="Output 2 2 2 3 14 4" xfId="16285"/>
    <cellStyle name="Output 2 2 2 3 14 5" xfId="16286"/>
    <cellStyle name="Output 2 2 2 3 15" xfId="16287"/>
    <cellStyle name="Output 2 2 2 3 15 2" xfId="16288"/>
    <cellStyle name="Output 2 2 2 3 15 3" xfId="16289"/>
    <cellStyle name="Output 2 2 2 3 15 4" xfId="16290"/>
    <cellStyle name="Output 2 2 2 3 15 5" xfId="16291"/>
    <cellStyle name="Output 2 2 2 3 16" xfId="16292"/>
    <cellStyle name="Output 2 2 2 3 16 2" xfId="16293"/>
    <cellStyle name="Output 2 2 2 3 16 3" xfId="16294"/>
    <cellStyle name="Output 2 2 2 3 16 4" xfId="16295"/>
    <cellStyle name="Output 2 2 2 3 16 5" xfId="16296"/>
    <cellStyle name="Output 2 2 2 3 17" xfId="16297"/>
    <cellStyle name="Output 2 2 2 3 17 2" xfId="16298"/>
    <cellStyle name="Output 2 2 2 3 17 3" xfId="16299"/>
    <cellStyle name="Output 2 2 2 3 17 4" xfId="16300"/>
    <cellStyle name="Output 2 2 2 3 17 5" xfId="16301"/>
    <cellStyle name="Output 2 2 2 3 18" xfId="16302"/>
    <cellStyle name="Output 2 2 2 3 18 2" xfId="16303"/>
    <cellStyle name="Output 2 2 2 3 18 3" xfId="16304"/>
    <cellStyle name="Output 2 2 2 3 18 4" xfId="16305"/>
    <cellStyle name="Output 2 2 2 3 18 5" xfId="16306"/>
    <cellStyle name="Output 2 2 2 3 19" xfId="16307"/>
    <cellStyle name="Output 2 2 2 3 2" xfId="596"/>
    <cellStyle name="Output 2 2 2 3 2 10" xfId="16308"/>
    <cellStyle name="Output 2 2 2 3 2 10 2" xfId="16309"/>
    <cellStyle name="Output 2 2 2 3 2 10 3" xfId="16310"/>
    <cellStyle name="Output 2 2 2 3 2 10 4" xfId="16311"/>
    <cellStyle name="Output 2 2 2 3 2 10 5" xfId="16312"/>
    <cellStyle name="Output 2 2 2 3 2 10 6" xfId="45828"/>
    <cellStyle name="Output 2 2 2 3 2 10 7" xfId="53951"/>
    <cellStyle name="Output 2 2 2 3 2 11" xfId="16313"/>
    <cellStyle name="Output 2 2 2 3 2 11 2" xfId="16314"/>
    <cellStyle name="Output 2 2 2 3 2 11 3" xfId="16315"/>
    <cellStyle name="Output 2 2 2 3 2 11 4" xfId="16316"/>
    <cellStyle name="Output 2 2 2 3 2 11 5" xfId="16317"/>
    <cellStyle name="Output 2 2 2 3 2 12" xfId="16318"/>
    <cellStyle name="Output 2 2 2 3 2 12 2" xfId="16319"/>
    <cellStyle name="Output 2 2 2 3 2 12 3" xfId="16320"/>
    <cellStyle name="Output 2 2 2 3 2 12 4" xfId="16321"/>
    <cellStyle name="Output 2 2 2 3 2 12 5" xfId="16322"/>
    <cellStyle name="Output 2 2 2 3 2 13" xfId="16323"/>
    <cellStyle name="Output 2 2 2 3 2 13 2" xfId="16324"/>
    <cellStyle name="Output 2 2 2 3 2 13 3" xfId="16325"/>
    <cellStyle name="Output 2 2 2 3 2 13 4" xfId="16326"/>
    <cellStyle name="Output 2 2 2 3 2 13 5" xfId="16327"/>
    <cellStyle name="Output 2 2 2 3 2 14" xfId="16328"/>
    <cellStyle name="Output 2 2 2 3 2 14 2" xfId="16329"/>
    <cellStyle name="Output 2 2 2 3 2 14 3" xfId="16330"/>
    <cellStyle name="Output 2 2 2 3 2 14 4" xfId="16331"/>
    <cellStyle name="Output 2 2 2 3 2 14 5" xfId="16332"/>
    <cellStyle name="Output 2 2 2 3 2 15" xfId="16333"/>
    <cellStyle name="Output 2 2 2 3 2 15 2" xfId="16334"/>
    <cellStyle name="Output 2 2 2 3 2 15 3" xfId="16335"/>
    <cellStyle name="Output 2 2 2 3 2 15 4" xfId="16336"/>
    <cellStyle name="Output 2 2 2 3 2 15 5" xfId="16337"/>
    <cellStyle name="Output 2 2 2 3 2 16" xfId="16338"/>
    <cellStyle name="Output 2 2 2 3 2 16 2" xfId="16339"/>
    <cellStyle name="Output 2 2 2 3 2 16 3" xfId="16340"/>
    <cellStyle name="Output 2 2 2 3 2 16 4" xfId="16341"/>
    <cellStyle name="Output 2 2 2 3 2 16 5" xfId="16342"/>
    <cellStyle name="Output 2 2 2 3 2 17" xfId="16343"/>
    <cellStyle name="Output 2 2 2 3 2 17 2" xfId="16344"/>
    <cellStyle name="Output 2 2 2 3 2 17 3" xfId="16345"/>
    <cellStyle name="Output 2 2 2 3 2 17 4" xfId="16346"/>
    <cellStyle name="Output 2 2 2 3 2 17 5" xfId="16347"/>
    <cellStyle name="Output 2 2 2 3 2 18" xfId="16348"/>
    <cellStyle name="Output 2 2 2 3 2 18 2" xfId="16349"/>
    <cellStyle name="Output 2 2 2 3 2 18 3" xfId="16350"/>
    <cellStyle name="Output 2 2 2 3 2 18 4" xfId="16351"/>
    <cellStyle name="Output 2 2 2 3 2 18 5" xfId="16352"/>
    <cellStyle name="Output 2 2 2 3 2 19" xfId="16353"/>
    <cellStyle name="Output 2 2 2 3 2 2" xfId="2347"/>
    <cellStyle name="Output 2 2 2 3 2 2 2" xfId="16354"/>
    <cellStyle name="Output 2 2 2 3 2 2 3" xfId="16355"/>
    <cellStyle name="Output 2 2 2 3 2 2 4" xfId="16356"/>
    <cellStyle name="Output 2 2 2 3 2 2 5" xfId="16357"/>
    <cellStyle name="Output 2 2 2 3 2 2 6" xfId="36400"/>
    <cellStyle name="Output 2 2 2 3 2 2 7" xfId="45829"/>
    <cellStyle name="Output 2 2 2 3 2 2 8" xfId="53952"/>
    <cellStyle name="Output 2 2 2 3 2 20" xfId="1025"/>
    <cellStyle name="Output 2 2 2 3 2 21" xfId="35105"/>
    <cellStyle name="Output 2 2 2 3 2 22" xfId="41324"/>
    <cellStyle name="Output 2 2 2 3 2 3" xfId="2348"/>
    <cellStyle name="Output 2 2 2 3 2 3 2" xfId="16358"/>
    <cellStyle name="Output 2 2 2 3 2 3 3" xfId="16359"/>
    <cellStyle name="Output 2 2 2 3 2 3 4" xfId="16360"/>
    <cellStyle name="Output 2 2 2 3 2 3 5" xfId="16361"/>
    <cellStyle name="Output 2 2 2 3 2 3 6" xfId="36897"/>
    <cellStyle name="Output 2 2 2 3 2 3 7" xfId="45830"/>
    <cellStyle name="Output 2 2 2 3 2 3 8" xfId="53953"/>
    <cellStyle name="Output 2 2 2 3 2 4" xfId="1291"/>
    <cellStyle name="Output 2 2 2 3 2 4 2" xfId="16362"/>
    <cellStyle name="Output 2 2 2 3 2 4 3" xfId="16363"/>
    <cellStyle name="Output 2 2 2 3 2 4 4" xfId="16364"/>
    <cellStyle name="Output 2 2 2 3 2 4 5" xfId="16365"/>
    <cellStyle name="Output 2 2 2 3 2 4 6" xfId="37513"/>
    <cellStyle name="Output 2 2 2 3 2 4 7" xfId="45831"/>
    <cellStyle name="Output 2 2 2 3 2 4 8" xfId="53954"/>
    <cellStyle name="Output 2 2 2 3 2 5" xfId="3359"/>
    <cellStyle name="Output 2 2 2 3 2 5 2" xfId="16366"/>
    <cellStyle name="Output 2 2 2 3 2 5 3" xfId="16367"/>
    <cellStyle name="Output 2 2 2 3 2 5 4" xfId="16368"/>
    <cellStyle name="Output 2 2 2 3 2 5 5" xfId="16369"/>
    <cellStyle name="Output 2 2 2 3 2 5 6" xfId="38129"/>
    <cellStyle name="Output 2 2 2 3 2 5 7" xfId="45832"/>
    <cellStyle name="Output 2 2 2 3 2 5 8" xfId="53955"/>
    <cellStyle name="Output 2 2 2 3 2 6" xfId="3681"/>
    <cellStyle name="Output 2 2 2 3 2 6 2" xfId="16370"/>
    <cellStyle name="Output 2 2 2 3 2 6 3" xfId="16371"/>
    <cellStyle name="Output 2 2 2 3 2 6 4" xfId="16372"/>
    <cellStyle name="Output 2 2 2 3 2 6 5" xfId="16373"/>
    <cellStyle name="Output 2 2 2 3 2 6 6" xfId="38747"/>
    <cellStyle name="Output 2 2 2 3 2 6 7" xfId="45833"/>
    <cellStyle name="Output 2 2 2 3 2 6 8" xfId="53956"/>
    <cellStyle name="Output 2 2 2 3 2 7" xfId="16374"/>
    <cellStyle name="Output 2 2 2 3 2 7 2" xfId="16375"/>
    <cellStyle name="Output 2 2 2 3 2 7 3" xfId="16376"/>
    <cellStyle name="Output 2 2 2 3 2 7 4" xfId="16377"/>
    <cellStyle name="Output 2 2 2 3 2 7 5" xfId="16378"/>
    <cellStyle name="Output 2 2 2 3 2 7 6" xfId="39367"/>
    <cellStyle name="Output 2 2 2 3 2 7 7" xfId="45834"/>
    <cellStyle name="Output 2 2 2 3 2 7 8" xfId="53957"/>
    <cellStyle name="Output 2 2 2 3 2 8" xfId="16379"/>
    <cellStyle name="Output 2 2 2 3 2 8 2" xfId="16380"/>
    <cellStyle name="Output 2 2 2 3 2 8 3" xfId="16381"/>
    <cellStyle name="Output 2 2 2 3 2 8 4" xfId="16382"/>
    <cellStyle name="Output 2 2 2 3 2 8 5" xfId="16383"/>
    <cellStyle name="Output 2 2 2 3 2 8 6" xfId="39983"/>
    <cellStyle name="Output 2 2 2 3 2 8 7" xfId="45835"/>
    <cellStyle name="Output 2 2 2 3 2 8 8" xfId="53958"/>
    <cellStyle name="Output 2 2 2 3 2 9" xfId="16384"/>
    <cellStyle name="Output 2 2 2 3 2 9 2" xfId="16385"/>
    <cellStyle name="Output 2 2 2 3 2 9 3" xfId="16386"/>
    <cellStyle name="Output 2 2 2 3 2 9 4" xfId="16387"/>
    <cellStyle name="Output 2 2 2 3 2 9 5" xfId="16388"/>
    <cellStyle name="Output 2 2 2 3 2 9 6" xfId="40598"/>
    <cellStyle name="Output 2 2 2 3 2 9 7" xfId="45836"/>
    <cellStyle name="Output 2 2 2 3 2 9 8" xfId="53959"/>
    <cellStyle name="Output 2 2 2 3 20" xfId="813"/>
    <cellStyle name="Output 2 2 2 3 21" xfId="34719"/>
    <cellStyle name="Output 2 2 2 3 22" xfId="40897"/>
    <cellStyle name="Output 2 2 2 3 23" xfId="41458"/>
    <cellStyle name="Output 2 2 2 3 24" xfId="50545"/>
    <cellStyle name="Output 2 2 2 3 3" xfId="2349"/>
    <cellStyle name="Output 2 2 2 3 3 10" xfId="34792"/>
    <cellStyle name="Output 2 2 2 3 3 10 2" xfId="45838"/>
    <cellStyle name="Output 2 2 2 3 3 10 3" xfId="53961"/>
    <cellStyle name="Output 2 2 2 3 3 11" xfId="41112"/>
    <cellStyle name="Output 2 2 2 3 3 12" xfId="45837"/>
    <cellStyle name="Output 2 2 2 3 3 13" xfId="53960"/>
    <cellStyle name="Output 2 2 2 3 3 2" xfId="2350"/>
    <cellStyle name="Output 2 2 2 3 3 2 2" xfId="36189"/>
    <cellStyle name="Output 2 2 2 3 3 2 3" xfId="45839"/>
    <cellStyle name="Output 2 2 2 3 3 2 4" xfId="53962"/>
    <cellStyle name="Output 2 2 2 3 3 3" xfId="2351"/>
    <cellStyle name="Output 2 2 2 3 3 3 2" xfId="36686"/>
    <cellStyle name="Output 2 2 2 3 3 3 3" xfId="45840"/>
    <cellStyle name="Output 2 2 2 3 3 3 4" xfId="53963"/>
    <cellStyle name="Output 2 2 2 3 3 4" xfId="16389"/>
    <cellStyle name="Output 2 2 2 3 3 4 2" xfId="37302"/>
    <cellStyle name="Output 2 2 2 3 3 4 3" xfId="45841"/>
    <cellStyle name="Output 2 2 2 3 3 4 4" xfId="53964"/>
    <cellStyle name="Output 2 2 2 3 3 5" xfId="16390"/>
    <cellStyle name="Output 2 2 2 3 3 5 2" xfId="37918"/>
    <cellStyle name="Output 2 2 2 3 3 5 3" xfId="45842"/>
    <cellStyle name="Output 2 2 2 3 3 5 4" xfId="53965"/>
    <cellStyle name="Output 2 2 2 3 3 6" xfId="38535"/>
    <cellStyle name="Output 2 2 2 3 3 6 2" xfId="45843"/>
    <cellStyle name="Output 2 2 2 3 3 6 3" xfId="53966"/>
    <cellStyle name="Output 2 2 2 3 3 7" xfId="39155"/>
    <cellStyle name="Output 2 2 2 3 3 7 2" xfId="45844"/>
    <cellStyle name="Output 2 2 2 3 3 7 3" xfId="53967"/>
    <cellStyle name="Output 2 2 2 3 3 8" xfId="39771"/>
    <cellStyle name="Output 2 2 2 3 3 8 2" xfId="45845"/>
    <cellStyle name="Output 2 2 2 3 3 8 3" xfId="53968"/>
    <cellStyle name="Output 2 2 2 3 3 9" xfId="40386"/>
    <cellStyle name="Output 2 2 2 3 3 9 2" xfId="45846"/>
    <cellStyle name="Output 2 2 2 3 3 9 3" xfId="53969"/>
    <cellStyle name="Output 2 2 2 3 4" xfId="2352"/>
    <cellStyle name="Output 2 2 2 3 4 10" xfId="45847"/>
    <cellStyle name="Output 2 2 2 3 4 11" xfId="53970"/>
    <cellStyle name="Output 2 2 2 3 4 2" xfId="16391"/>
    <cellStyle name="Output 2 2 2 3 4 2 2" xfId="45848"/>
    <cellStyle name="Output 2 2 2 3 4 2 3" xfId="53971"/>
    <cellStyle name="Output 2 2 2 3 4 3" xfId="16392"/>
    <cellStyle name="Output 2 2 2 3 4 3 2" xfId="45849"/>
    <cellStyle name="Output 2 2 2 3 4 3 3" xfId="53972"/>
    <cellStyle name="Output 2 2 2 3 4 4" xfId="16393"/>
    <cellStyle name="Output 2 2 2 3 4 4 2" xfId="45850"/>
    <cellStyle name="Output 2 2 2 3 4 4 3" xfId="53973"/>
    <cellStyle name="Output 2 2 2 3 4 5" xfId="16394"/>
    <cellStyle name="Output 2 2 2 3 4 5 2" xfId="45851"/>
    <cellStyle name="Output 2 2 2 3 4 5 3" xfId="53974"/>
    <cellStyle name="Output 2 2 2 3 4 6" xfId="35750"/>
    <cellStyle name="Output 2 2 2 3 4 6 2" xfId="45852"/>
    <cellStyle name="Output 2 2 2 3 4 6 3" xfId="53975"/>
    <cellStyle name="Output 2 2 2 3 4 7" xfId="45853"/>
    <cellStyle name="Output 2 2 2 3 4 7 2" xfId="53976"/>
    <cellStyle name="Output 2 2 2 3 4 8" xfId="45854"/>
    <cellStyle name="Output 2 2 2 3 4 8 2" xfId="53977"/>
    <cellStyle name="Output 2 2 2 3 4 9" xfId="45855"/>
    <cellStyle name="Output 2 2 2 3 4 9 2" xfId="53978"/>
    <cellStyle name="Output 2 2 2 3 5" xfId="1290"/>
    <cellStyle name="Output 2 2 2 3 5 2" xfId="16395"/>
    <cellStyle name="Output 2 2 2 3 5 3" xfId="16396"/>
    <cellStyle name="Output 2 2 2 3 5 4" xfId="16397"/>
    <cellStyle name="Output 2 2 2 3 5 5" xfId="16398"/>
    <cellStyle name="Output 2 2 2 3 5 6" xfId="37087"/>
    <cellStyle name="Output 2 2 2 3 5 7" xfId="45856"/>
    <cellStyle name="Output 2 2 2 3 5 8" xfId="53979"/>
    <cellStyle name="Output 2 2 2 3 6" xfId="3358"/>
    <cellStyle name="Output 2 2 2 3 6 2" xfId="16399"/>
    <cellStyle name="Output 2 2 2 3 6 3" xfId="16400"/>
    <cellStyle name="Output 2 2 2 3 6 4" xfId="16401"/>
    <cellStyle name="Output 2 2 2 3 6 5" xfId="16402"/>
    <cellStyle name="Output 2 2 2 3 6 6" xfId="37701"/>
    <cellStyle name="Output 2 2 2 3 6 7" xfId="45857"/>
    <cellStyle name="Output 2 2 2 3 6 8" xfId="53980"/>
    <cellStyle name="Output 2 2 2 3 7" xfId="3680"/>
    <cellStyle name="Output 2 2 2 3 7 2" xfId="16403"/>
    <cellStyle name="Output 2 2 2 3 7 3" xfId="16404"/>
    <cellStyle name="Output 2 2 2 3 7 4" xfId="16405"/>
    <cellStyle name="Output 2 2 2 3 7 5" xfId="16406"/>
    <cellStyle name="Output 2 2 2 3 7 6" xfId="38316"/>
    <cellStyle name="Output 2 2 2 3 7 7" xfId="45858"/>
    <cellStyle name="Output 2 2 2 3 7 8" xfId="53981"/>
    <cellStyle name="Output 2 2 2 3 8" xfId="16407"/>
    <cellStyle name="Output 2 2 2 3 8 2" xfId="16408"/>
    <cellStyle name="Output 2 2 2 3 8 3" xfId="16409"/>
    <cellStyle name="Output 2 2 2 3 8 4" xfId="16410"/>
    <cellStyle name="Output 2 2 2 3 8 5" xfId="16411"/>
    <cellStyle name="Output 2 2 2 3 8 6" xfId="38936"/>
    <cellStyle name="Output 2 2 2 3 8 7" xfId="45859"/>
    <cellStyle name="Output 2 2 2 3 8 8" xfId="53982"/>
    <cellStyle name="Output 2 2 2 3 9" xfId="16412"/>
    <cellStyle name="Output 2 2 2 3 9 2" xfId="16413"/>
    <cellStyle name="Output 2 2 2 3 9 3" xfId="16414"/>
    <cellStyle name="Output 2 2 2 3 9 4" xfId="16415"/>
    <cellStyle name="Output 2 2 2 3 9 5" xfId="16416"/>
    <cellStyle name="Output 2 2 2 3 9 6" xfId="39555"/>
    <cellStyle name="Output 2 2 2 3 9 7" xfId="45860"/>
    <cellStyle name="Output 2 2 2 3 9 8" xfId="53983"/>
    <cellStyle name="Output 2 2 2 4" xfId="517"/>
    <cellStyle name="Output 2 2 2 4 10" xfId="16417"/>
    <cellStyle name="Output 2 2 2 4 10 2" xfId="16418"/>
    <cellStyle name="Output 2 2 2 4 10 3" xfId="16419"/>
    <cellStyle name="Output 2 2 2 4 10 4" xfId="16420"/>
    <cellStyle name="Output 2 2 2 4 10 5" xfId="16421"/>
    <cellStyle name="Output 2 2 2 4 10 6" xfId="45861"/>
    <cellStyle name="Output 2 2 2 4 10 7" xfId="53984"/>
    <cellStyle name="Output 2 2 2 4 11" xfId="16422"/>
    <cellStyle name="Output 2 2 2 4 11 2" xfId="16423"/>
    <cellStyle name="Output 2 2 2 4 11 3" xfId="16424"/>
    <cellStyle name="Output 2 2 2 4 11 4" xfId="16425"/>
    <cellStyle name="Output 2 2 2 4 11 5" xfId="16426"/>
    <cellStyle name="Output 2 2 2 4 12" xfId="16427"/>
    <cellStyle name="Output 2 2 2 4 12 2" xfId="16428"/>
    <cellStyle name="Output 2 2 2 4 12 3" xfId="16429"/>
    <cellStyle name="Output 2 2 2 4 12 4" xfId="16430"/>
    <cellStyle name="Output 2 2 2 4 12 5" xfId="16431"/>
    <cellStyle name="Output 2 2 2 4 13" xfId="16432"/>
    <cellStyle name="Output 2 2 2 4 13 2" xfId="16433"/>
    <cellStyle name="Output 2 2 2 4 13 3" xfId="16434"/>
    <cellStyle name="Output 2 2 2 4 13 4" xfId="16435"/>
    <cellStyle name="Output 2 2 2 4 13 5" xfId="16436"/>
    <cellStyle name="Output 2 2 2 4 14" xfId="16437"/>
    <cellStyle name="Output 2 2 2 4 14 2" xfId="16438"/>
    <cellStyle name="Output 2 2 2 4 14 3" xfId="16439"/>
    <cellStyle name="Output 2 2 2 4 14 4" xfId="16440"/>
    <cellStyle name="Output 2 2 2 4 14 5" xfId="16441"/>
    <cellStyle name="Output 2 2 2 4 15" xfId="16442"/>
    <cellStyle name="Output 2 2 2 4 15 2" xfId="16443"/>
    <cellStyle name="Output 2 2 2 4 15 3" xfId="16444"/>
    <cellStyle name="Output 2 2 2 4 15 4" xfId="16445"/>
    <cellStyle name="Output 2 2 2 4 15 5" xfId="16446"/>
    <cellStyle name="Output 2 2 2 4 16" xfId="16447"/>
    <cellStyle name="Output 2 2 2 4 16 2" xfId="16448"/>
    <cellStyle name="Output 2 2 2 4 16 3" xfId="16449"/>
    <cellStyle name="Output 2 2 2 4 16 4" xfId="16450"/>
    <cellStyle name="Output 2 2 2 4 16 5" xfId="16451"/>
    <cellStyle name="Output 2 2 2 4 17" xfId="16452"/>
    <cellStyle name="Output 2 2 2 4 17 2" xfId="16453"/>
    <cellStyle name="Output 2 2 2 4 17 3" xfId="16454"/>
    <cellStyle name="Output 2 2 2 4 17 4" xfId="16455"/>
    <cellStyle name="Output 2 2 2 4 17 5" xfId="16456"/>
    <cellStyle name="Output 2 2 2 4 18" xfId="16457"/>
    <cellStyle name="Output 2 2 2 4 18 2" xfId="16458"/>
    <cellStyle name="Output 2 2 2 4 18 3" xfId="16459"/>
    <cellStyle name="Output 2 2 2 4 18 4" xfId="16460"/>
    <cellStyle name="Output 2 2 2 4 18 5" xfId="16461"/>
    <cellStyle name="Output 2 2 2 4 19" xfId="16462"/>
    <cellStyle name="Output 2 2 2 4 2" xfId="2353"/>
    <cellStyle name="Output 2 2 2 4 2 2" xfId="16463"/>
    <cellStyle name="Output 2 2 2 4 2 3" xfId="16464"/>
    <cellStyle name="Output 2 2 2 4 2 4" xfId="16465"/>
    <cellStyle name="Output 2 2 2 4 2 5" xfId="16466"/>
    <cellStyle name="Output 2 2 2 4 2 6" xfId="36321"/>
    <cellStyle name="Output 2 2 2 4 2 7" xfId="45862"/>
    <cellStyle name="Output 2 2 2 4 2 8" xfId="53985"/>
    <cellStyle name="Output 2 2 2 4 20" xfId="946"/>
    <cellStyle name="Output 2 2 2 4 21" xfId="35026"/>
    <cellStyle name="Output 2 2 2 4 22" xfId="40735"/>
    <cellStyle name="Output 2 2 2 4 23" xfId="41245"/>
    <cellStyle name="Output 2 2 2 4 3" xfId="2354"/>
    <cellStyle name="Output 2 2 2 4 3 2" xfId="16467"/>
    <cellStyle name="Output 2 2 2 4 3 3" xfId="16468"/>
    <cellStyle name="Output 2 2 2 4 3 4" xfId="16469"/>
    <cellStyle name="Output 2 2 2 4 3 5" xfId="16470"/>
    <cellStyle name="Output 2 2 2 4 3 6" xfId="36818"/>
    <cellStyle name="Output 2 2 2 4 3 7" xfId="45863"/>
    <cellStyle name="Output 2 2 2 4 3 8" xfId="53986"/>
    <cellStyle name="Output 2 2 2 4 4" xfId="1292"/>
    <cellStyle name="Output 2 2 2 4 4 2" xfId="16471"/>
    <cellStyle name="Output 2 2 2 4 4 3" xfId="16472"/>
    <cellStyle name="Output 2 2 2 4 4 4" xfId="16473"/>
    <cellStyle name="Output 2 2 2 4 4 5" xfId="16474"/>
    <cellStyle name="Output 2 2 2 4 4 6" xfId="37434"/>
    <cellStyle name="Output 2 2 2 4 4 7" xfId="45864"/>
    <cellStyle name="Output 2 2 2 4 4 8" xfId="53987"/>
    <cellStyle name="Output 2 2 2 4 5" xfId="3360"/>
    <cellStyle name="Output 2 2 2 4 5 2" xfId="16475"/>
    <cellStyle name="Output 2 2 2 4 5 3" xfId="16476"/>
    <cellStyle name="Output 2 2 2 4 5 4" xfId="16477"/>
    <cellStyle name="Output 2 2 2 4 5 5" xfId="16478"/>
    <cellStyle name="Output 2 2 2 4 5 6" xfId="38050"/>
    <cellStyle name="Output 2 2 2 4 5 7" xfId="45865"/>
    <cellStyle name="Output 2 2 2 4 5 8" xfId="53988"/>
    <cellStyle name="Output 2 2 2 4 6" xfId="3682"/>
    <cellStyle name="Output 2 2 2 4 6 2" xfId="16479"/>
    <cellStyle name="Output 2 2 2 4 6 3" xfId="16480"/>
    <cellStyle name="Output 2 2 2 4 6 4" xfId="16481"/>
    <cellStyle name="Output 2 2 2 4 6 5" xfId="16482"/>
    <cellStyle name="Output 2 2 2 4 6 6" xfId="38668"/>
    <cellStyle name="Output 2 2 2 4 6 7" xfId="45866"/>
    <cellStyle name="Output 2 2 2 4 6 8" xfId="53989"/>
    <cellStyle name="Output 2 2 2 4 7" xfId="16483"/>
    <cellStyle name="Output 2 2 2 4 7 2" xfId="16484"/>
    <cellStyle name="Output 2 2 2 4 7 3" xfId="16485"/>
    <cellStyle name="Output 2 2 2 4 7 4" xfId="16486"/>
    <cellStyle name="Output 2 2 2 4 7 5" xfId="16487"/>
    <cellStyle name="Output 2 2 2 4 7 6" xfId="39288"/>
    <cellStyle name="Output 2 2 2 4 7 7" xfId="45867"/>
    <cellStyle name="Output 2 2 2 4 7 8" xfId="53990"/>
    <cellStyle name="Output 2 2 2 4 8" xfId="16488"/>
    <cellStyle name="Output 2 2 2 4 8 2" xfId="16489"/>
    <cellStyle name="Output 2 2 2 4 8 3" xfId="16490"/>
    <cellStyle name="Output 2 2 2 4 8 4" xfId="16491"/>
    <cellStyle name="Output 2 2 2 4 8 5" xfId="16492"/>
    <cellStyle name="Output 2 2 2 4 8 6" xfId="39904"/>
    <cellStyle name="Output 2 2 2 4 8 7" xfId="45868"/>
    <cellStyle name="Output 2 2 2 4 8 8" xfId="53991"/>
    <cellStyle name="Output 2 2 2 4 9" xfId="16493"/>
    <cellStyle name="Output 2 2 2 4 9 2" xfId="16494"/>
    <cellStyle name="Output 2 2 2 4 9 3" xfId="16495"/>
    <cellStyle name="Output 2 2 2 4 9 4" xfId="16496"/>
    <cellStyle name="Output 2 2 2 4 9 5" xfId="16497"/>
    <cellStyle name="Output 2 2 2 4 9 6" xfId="40519"/>
    <cellStyle name="Output 2 2 2 4 9 7" xfId="45869"/>
    <cellStyle name="Output 2 2 2 4 9 8" xfId="53992"/>
    <cellStyle name="Output 2 2 2 5" xfId="2355"/>
    <cellStyle name="Output 2 2 2 5 10" xfId="34740"/>
    <cellStyle name="Output 2 2 2 5 10 2" xfId="45871"/>
    <cellStyle name="Output 2 2 2 5 10 3" xfId="53994"/>
    <cellStyle name="Output 2 2 2 5 11" xfId="41031"/>
    <cellStyle name="Output 2 2 2 5 12" xfId="45870"/>
    <cellStyle name="Output 2 2 2 5 13" xfId="53993"/>
    <cellStyle name="Output 2 2 2 5 2" xfId="2356"/>
    <cellStyle name="Output 2 2 2 5 2 2" xfId="36108"/>
    <cellStyle name="Output 2 2 2 5 2 3" xfId="45872"/>
    <cellStyle name="Output 2 2 2 5 2 4" xfId="53995"/>
    <cellStyle name="Output 2 2 2 5 3" xfId="2357"/>
    <cellStyle name="Output 2 2 2 5 3 2" xfId="36607"/>
    <cellStyle name="Output 2 2 2 5 3 3" xfId="45873"/>
    <cellStyle name="Output 2 2 2 5 3 4" xfId="53996"/>
    <cellStyle name="Output 2 2 2 5 4" xfId="16498"/>
    <cellStyle name="Output 2 2 2 5 4 2" xfId="37223"/>
    <cellStyle name="Output 2 2 2 5 4 3" xfId="45874"/>
    <cellStyle name="Output 2 2 2 5 4 4" xfId="53997"/>
    <cellStyle name="Output 2 2 2 5 5" xfId="16499"/>
    <cellStyle name="Output 2 2 2 5 5 2" xfId="37839"/>
    <cellStyle name="Output 2 2 2 5 5 3" xfId="45875"/>
    <cellStyle name="Output 2 2 2 5 5 4" xfId="53998"/>
    <cellStyle name="Output 2 2 2 5 6" xfId="38454"/>
    <cellStyle name="Output 2 2 2 5 6 2" xfId="45876"/>
    <cellStyle name="Output 2 2 2 5 6 3" xfId="53999"/>
    <cellStyle name="Output 2 2 2 5 7" xfId="39074"/>
    <cellStyle name="Output 2 2 2 5 7 2" xfId="45877"/>
    <cellStyle name="Output 2 2 2 5 7 3" xfId="54000"/>
    <cellStyle name="Output 2 2 2 5 8" xfId="39690"/>
    <cellStyle name="Output 2 2 2 5 8 2" xfId="45878"/>
    <cellStyle name="Output 2 2 2 5 8 3" xfId="54001"/>
    <cellStyle name="Output 2 2 2 5 9" xfId="40305"/>
    <cellStyle name="Output 2 2 2 5 9 2" xfId="45879"/>
    <cellStyle name="Output 2 2 2 5 9 3" xfId="54002"/>
    <cellStyle name="Output 2 2 2 6" xfId="1287"/>
    <cellStyle name="Output 2 2 2 6 10" xfId="45880"/>
    <cellStyle name="Output 2 2 2 6 11" xfId="54003"/>
    <cellStyle name="Output 2 2 2 6 2" xfId="16500"/>
    <cellStyle name="Output 2 2 2 6 2 2" xfId="45881"/>
    <cellStyle name="Output 2 2 2 6 2 3" xfId="54004"/>
    <cellStyle name="Output 2 2 2 6 3" xfId="16501"/>
    <cellStyle name="Output 2 2 2 6 3 2" xfId="45882"/>
    <cellStyle name="Output 2 2 2 6 3 3" xfId="54005"/>
    <cellStyle name="Output 2 2 2 6 4" xfId="16502"/>
    <cellStyle name="Output 2 2 2 6 4 2" xfId="45883"/>
    <cellStyle name="Output 2 2 2 6 4 3" xfId="54006"/>
    <cellStyle name="Output 2 2 2 6 5" xfId="16503"/>
    <cellStyle name="Output 2 2 2 6 5 2" xfId="45884"/>
    <cellStyle name="Output 2 2 2 6 5 3" xfId="54007"/>
    <cellStyle name="Output 2 2 2 6 6" xfId="35426"/>
    <cellStyle name="Output 2 2 2 6 6 2" xfId="45885"/>
    <cellStyle name="Output 2 2 2 6 6 3" xfId="54008"/>
    <cellStyle name="Output 2 2 2 6 7" xfId="45886"/>
    <cellStyle name="Output 2 2 2 6 7 2" xfId="54009"/>
    <cellStyle name="Output 2 2 2 6 8" xfId="45887"/>
    <cellStyle name="Output 2 2 2 6 8 2" xfId="54010"/>
    <cellStyle name="Output 2 2 2 6 9" xfId="45888"/>
    <cellStyle name="Output 2 2 2 6 9 2" xfId="54011"/>
    <cellStyle name="Output 2 2 2 7" xfId="3355"/>
    <cellStyle name="Output 2 2 2 7 2" xfId="16504"/>
    <cellStyle name="Output 2 2 2 7 3" xfId="16505"/>
    <cellStyle name="Output 2 2 2 7 4" xfId="16506"/>
    <cellStyle name="Output 2 2 2 7 5" xfId="16507"/>
    <cellStyle name="Output 2 2 2 7 6" xfId="35958"/>
    <cellStyle name="Output 2 2 2 7 7" xfId="45889"/>
    <cellStyle name="Output 2 2 2 7 8" xfId="54012"/>
    <cellStyle name="Output 2 2 2 8" xfId="3677"/>
    <cellStyle name="Output 2 2 2 8 2" xfId="16508"/>
    <cellStyle name="Output 2 2 2 8 3" xfId="16509"/>
    <cellStyle name="Output 2 2 2 8 4" xfId="16510"/>
    <cellStyle name="Output 2 2 2 8 5" xfId="16511"/>
    <cellStyle name="Output 2 2 2 8 6" xfId="36009"/>
    <cellStyle name="Output 2 2 2 8 7" xfId="45890"/>
    <cellStyle name="Output 2 2 2 8 8" xfId="54013"/>
    <cellStyle name="Output 2 2 2 9" xfId="16512"/>
    <cellStyle name="Output 2 2 2 9 2" xfId="16513"/>
    <cellStyle name="Output 2 2 2 9 3" xfId="16514"/>
    <cellStyle name="Output 2 2 2 9 4" xfId="16515"/>
    <cellStyle name="Output 2 2 2 9 5" xfId="16516"/>
    <cellStyle name="Output 2 2 2 9 6" xfId="37003"/>
    <cellStyle name="Output 2 2 2 9 7" xfId="45891"/>
    <cellStyle name="Output 2 2 2 9 8" xfId="54014"/>
    <cellStyle name="Output 2 2 20" xfId="16517"/>
    <cellStyle name="Output 2 2 21" xfId="685"/>
    <cellStyle name="Output 2 2 22" xfId="34776"/>
    <cellStyle name="Output 2 2 23" xfId="40770"/>
    <cellStyle name="Output 2 2 3" xfId="288"/>
    <cellStyle name="Output 2 2 3 10" xfId="16518"/>
    <cellStyle name="Output 2 2 3 10 2" xfId="16519"/>
    <cellStyle name="Output 2 2 3 10 3" xfId="16520"/>
    <cellStyle name="Output 2 2 3 10 4" xfId="16521"/>
    <cellStyle name="Output 2 2 3 10 5" xfId="16522"/>
    <cellStyle name="Output 2 2 3 10 6" xfId="37616"/>
    <cellStyle name="Output 2 2 3 10 7" xfId="45892"/>
    <cellStyle name="Output 2 2 3 10 8" xfId="54015"/>
    <cellStyle name="Output 2 2 3 11" xfId="16523"/>
    <cellStyle name="Output 2 2 3 11 2" xfId="16524"/>
    <cellStyle name="Output 2 2 3 11 3" xfId="16525"/>
    <cellStyle name="Output 2 2 3 11 4" xfId="16526"/>
    <cellStyle name="Output 2 2 3 11 5" xfId="16527"/>
    <cellStyle name="Output 2 2 3 11 6" xfId="38233"/>
    <cellStyle name="Output 2 2 3 11 7" xfId="45893"/>
    <cellStyle name="Output 2 2 3 11 8" xfId="54016"/>
    <cellStyle name="Output 2 2 3 12" xfId="16528"/>
    <cellStyle name="Output 2 2 3 12 2" xfId="16529"/>
    <cellStyle name="Output 2 2 3 12 3" xfId="16530"/>
    <cellStyle name="Output 2 2 3 12 4" xfId="16531"/>
    <cellStyle name="Output 2 2 3 12 5" xfId="16532"/>
    <cellStyle name="Output 2 2 3 12 6" xfId="38855"/>
    <cellStyle name="Output 2 2 3 12 7" xfId="45894"/>
    <cellStyle name="Output 2 2 3 12 8" xfId="54017"/>
    <cellStyle name="Output 2 2 3 13" xfId="16533"/>
    <cellStyle name="Output 2 2 3 13 2" xfId="16534"/>
    <cellStyle name="Output 2 2 3 13 3" xfId="16535"/>
    <cellStyle name="Output 2 2 3 13 4" xfId="16536"/>
    <cellStyle name="Output 2 2 3 13 5" xfId="16537"/>
    <cellStyle name="Output 2 2 3 13 6" xfId="39475"/>
    <cellStyle name="Output 2 2 3 13 7" xfId="45895"/>
    <cellStyle name="Output 2 2 3 13 8" xfId="54018"/>
    <cellStyle name="Output 2 2 3 14" xfId="16538"/>
    <cellStyle name="Output 2 2 3 14 2" xfId="16539"/>
    <cellStyle name="Output 2 2 3 14 3" xfId="16540"/>
    <cellStyle name="Output 2 2 3 14 4" xfId="16541"/>
    <cellStyle name="Output 2 2 3 14 5" xfId="16542"/>
    <cellStyle name="Output 2 2 3 14 6" xfId="40093"/>
    <cellStyle name="Output 2 2 3 14 7" xfId="45896"/>
    <cellStyle name="Output 2 2 3 14 8" xfId="54019"/>
    <cellStyle name="Output 2 2 3 15" xfId="16543"/>
    <cellStyle name="Output 2 2 3 15 2" xfId="16544"/>
    <cellStyle name="Output 2 2 3 15 3" xfId="16545"/>
    <cellStyle name="Output 2 2 3 15 4" xfId="16546"/>
    <cellStyle name="Output 2 2 3 15 5" xfId="16547"/>
    <cellStyle name="Output 2 2 3 15 6" xfId="45897"/>
    <cellStyle name="Output 2 2 3 15 7" xfId="54020"/>
    <cellStyle name="Output 2 2 3 16" xfId="16548"/>
    <cellStyle name="Output 2 2 3 16 2" xfId="16549"/>
    <cellStyle name="Output 2 2 3 16 3" xfId="16550"/>
    <cellStyle name="Output 2 2 3 16 4" xfId="16551"/>
    <cellStyle name="Output 2 2 3 16 5" xfId="16552"/>
    <cellStyle name="Output 2 2 3 17" xfId="16553"/>
    <cellStyle name="Output 2 2 3 17 2" xfId="16554"/>
    <cellStyle name="Output 2 2 3 17 3" xfId="16555"/>
    <cellStyle name="Output 2 2 3 17 4" xfId="16556"/>
    <cellStyle name="Output 2 2 3 17 5" xfId="16557"/>
    <cellStyle name="Output 2 2 3 18" xfId="16558"/>
    <cellStyle name="Output 2 2 3 19" xfId="733"/>
    <cellStyle name="Output 2 2 3 2" xfId="378"/>
    <cellStyle name="Output 2 2 3 2 10" xfId="16559"/>
    <cellStyle name="Output 2 2 3 2 10 2" xfId="16560"/>
    <cellStyle name="Output 2 2 3 2 10 3" xfId="16561"/>
    <cellStyle name="Output 2 2 3 2 10 4" xfId="16562"/>
    <cellStyle name="Output 2 2 3 2 10 5" xfId="16563"/>
    <cellStyle name="Output 2 2 3 2 10 6" xfId="39556"/>
    <cellStyle name="Output 2 2 3 2 10 7" xfId="45898"/>
    <cellStyle name="Output 2 2 3 2 10 8" xfId="54021"/>
    <cellStyle name="Output 2 2 3 2 11" xfId="16564"/>
    <cellStyle name="Output 2 2 3 2 11 2" xfId="16565"/>
    <cellStyle name="Output 2 2 3 2 11 3" xfId="16566"/>
    <cellStyle name="Output 2 2 3 2 11 4" xfId="16567"/>
    <cellStyle name="Output 2 2 3 2 11 5" xfId="16568"/>
    <cellStyle name="Output 2 2 3 2 11 6" xfId="40172"/>
    <cellStyle name="Output 2 2 3 2 11 7" xfId="45899"/>
    <cellStyle name="Output 2 2 3 2 11 8" xfId="54022"/>
    <cellStyle name="Output 2 2 3 2 12" xfId="16569"/>
    <cellStyle name="Output 2 2 3 2 12 2" xfId="16570"/>
    <cellStyle name="Output 2 2 3 2 12 3" xfId="16571"/>
    <cellStyle name="Output 2 2 3 2 12 4" xfId="16572"/>
    <cellStyle name="Output 2 2 3 2 12 5" xfId="16573"/>
    <cellStyle name="Output 2 2 3 2 12 6" xfId="45900"/>
    <cellStyle name="Output 2 2 3 2 12 7" xfId="54023"/>
    <cellStyle name="Output 2 2 3 2 13" xfId="16574"/>
    <cellStyle name="Output 2 2 3 2 13 2" xfId="16575"/>
    <cellStyle name="Output 2 2 3 2 13 3" xfId="16576"/>
    <cellStyle name="Output 2 2 3 2 13 4" xfId="16577"/>
    <cellStyle name="Output 2 2 3 2 13 5" xfId="16578"/>
    <cellStyle name="Output 2 2 3 2 13 6" xfId="45901"/>
    <cellStyle name="Output 2 2 3 2 13 7" xfId="54024"/>
    <cellStyle name="Output 2 2 3 2 14" xfId="16579"/>
    <cellStyle name="Output 2 2 3 2 14 2" xfId="16580"/>
    <cellStyle name="Output 2 2 3 2 14 3" xfId="16581"/>
    <cellStyle name="Output 2 2 3 2 14 4" xfId="16582"/>
    <cellStyle name="Output 2 2 3 2 14 5" xfId="16583"/>
    <cellStyle name="Output 2 2 3 2 15" xfId="16584"/>
    <cellStyle name="Output 2 2 3 2 15 2" xfId="16585"/>
    <cellStyle name="Output 2 2 3 2 15 3" xfId="16586"/>
    <cellStyle name="Output 2 2 3 2 15 4" xfId="16587"/>
    <cellStyle name="Output 2 2 3 2 15 5" xfId="16588"/>
    <cellStyle name="Output 2 2 3 2 16" xfId="16589"/>
    <cellStyle name="Output 2 2 3 2 16 2" xfId="16590"/>
    <cellStyle name="Output 2 2 3 2 16 3" xfId="16591"/>
    <cellStyle name="Output 2 2 3 2 16 4" xfId="16592"/>
    <cellStyle name="Output 2 2 3 2 16 5" xfId="16593"/>
    <cellStyle name="Output 2 2 3 2 17" xfId="16594"/>
    <cellStyle name="Output 2 2 3 2 17 2" xfId="16595"/>
    <cellStyle name="Output 2 2 3 2 17 3" xfId="16596"/>
    <cellStyle name="Output 2 2 3 2 17 4" xfId="16597"/>
    <cellStyle name="Output 2 2 3 2 17 5" xfId="16598"/>
    <cellStyle name="Output 2 2 3 2 18" xfId="16599"/>
    <cellStyle name="Output 2 2 3 2 18 2" xfId="16600"/>
    <cellStyle name="Output 2 2 3 2 18 3" xfId="16601"/>
    <cellStyle name="Output 2 2 3 2 18 4" xfId="16602"/>
    <cellStyle name="Output 2 2 3 2 18 5" xfId="16603"/>
    <cellStyle name="Output 2 2 3 2 19" xfId="16604"/>
    <cellStyle name="Output 2 2 3 2 2" xfId="597"/>
    <cellStyle name="Output 2 2 3 2 2 10" xfId="16605"/>
    <cellStyle name="Output 2 2 3 2 2 10 2" xfId="16606"/>
    <cellStyle name="Output 2 2 3 2 2 10 3" xfId="16607"/>
    <cellStyle name="Output 2 2 3 2 2 10 4" xfId="16608"/>
    <cellStyle name="Output 2 2 3 2 2 10 5" xfId="16609"/>
    <cellStyle name="Output 2 2 3 2 2 10 6" xfId="45902"/>
    <cellStyle name="Output 2 2 3 2 2 10 7" xfId="54025"/>
    <cellStyle name="Output 2 2 3 2 2 11" xfId="16610"/>
    <cellStyle name="Output 2 2 3 2 2 11 2" xfId="16611"/>
    <cellStyle name="Output 2 2 3 2 2 11 3" xfId="16612"/>
    <cellStyle name="Output 2 2 3 2 2 11 4" xfId="16613"/>
    <cellStyle name="Output 2 2 3 2 2 11 5" xfId="16614"/>
    <cellStyle name="Output 2 2 3 2 2 12" xfId="16615"/>
    <cellStyle name="Output 2 2 3 2 2 12 2" xfId="16616"/>
    <cellStyle name="Output 2 2 3 2 2 12 3" xfId="16617"/>
    <cellStyle name="Output 2 2 3 2 2 12 4" xfId="16618"/>
    <cellStyle name="Output 2 2 3 2 2 12 5" xfId="16619"/>
    <cellStyle name="Output 2 2 3 2 2 13" xfId="16620"/>
    <cellStyle name="Output 2 2 3 2 2 13 2" xfId="16621"/>
    <cellStyle name="Output 2 2 3 2 2 13 3" xfId="16622"/>
    <cellStyle name="Output 2 2 3 2 2 13 4" xfId="16623"/>
    <cellStyle name="Output 2 2 3 2 2 13 5" xfId="16624"/>
    <cellStyle name="Output 2 2 3 2 2 14" xfId="16625"/>
    <cellStyle name="Output 2 2 3 2 2 14 2" xfId="16626"/>
    <cellStyle name="Output 2 2 3 2 2 14 3" xfId="16627"/>
    <cellStyle name="Output 2 2 3 2 2 14 4" xfId="16628"/>
    <cellStyle name="Output 2 2 3 2 2 14 5" xfId="16629"/>
    <cellStyle name="Output 2 2 3 2 2 15" xfId="16630"/>
    <cellStyle name="Output 2 2 3 2 2 15 2" xfId="16631"/>
    <cellStyle name="Output 2 2 3 2 2 15 3" xfId="16632"/>
    <cellStyle name="Output 2 2 3 2 2 15 4" xfId="16633"/>
    <cellStyle name="Output 2 2 3 2 2 15 5" xfId="16634"/>
    <cellStyle name="Output 2 2 3 2 2 16" xfId="16635"/>
    <cellStyle name="Output 2 2 3 2 2 16 2" xfId="16636"/>
    <cellStyle name="Output 2 2 3 2 2 16 3" xfId="16637"/>
    <cellStyle name="Output 2 2 3 2 2 16 4" xfId="16638"/>
    <cellStyle name="Output 2 2 3 2 2 16 5" xfId="16639"/>
    <cellStyle name="Output 2 2 3 2 2 17" xfId="16640"/>
    <cellStyle name="Output 2 2 3 2 2 17 2" xfId="16641"/>
    <cellStyle name="Output 2 2 3 2 2 17 3" xfId="16642"/>
    <cellStyle name="Output 2 2 3 2 2 17 4" xfId="16643"/>
    <cellStyle name="Output 2 2 3 2 2 17 5" xfId="16644"/>
    <cellStyle name="Output 2 2 3 2 2 18" xfId="16645"/>
    <cellStyle name="Output 2 2 3 2 2 18 2" xfId="16646"/>
    <cellStyle name="Output 2 2 3 2 2 18 3" xfId="16647"/>
    <cellStyle name="Output 2 2 3 2 2 18 4" xfId="16648"/>
    <cellStyle name="Output 2 2 3 2 2 18 5" xfId="16649"/>
    <cellStyle name="Output 2 2 3 2 2 19" xfId="16650"/>
    <cellStyle name="Output 2 2 3 2 2 2" xfId="2358"/>
    <cellStyle name="Output 2 2 3 2 2 2 2" xfId="16651"/>
    <cellStyle name="Output 2 2 3 2 2 2 3" xfId="16652"/>
    <cellStyle name="Output 2 2 3 2 2 2 4" xfId="16653"/>
    <cellStyle name="Output 2 2 3 2 2 2 5" xfId="16654"/>
    <cellStyle name="Output 2 2 3 2 2 2 6" xfId="36401"/>
    <cellStyle name="Output 2 2 3 2 2 2 7" xfId="45903"/>
    <cellStyle name="Output 2 2 3 2 2 2 8" xfId="54026"/>
    <cellStyle name="Output 2 2 3 2 2 20" xfId="1026"/>
    <cellStyle name="Output 2 2 3 2 2 21" xfId="35106"/>
    <cellStyle name="Output 2 2 3 2 2 22" xfId="41325"/>
    <cellStyle name="Output 2 2 3 2 2 3" xfId="2359"/>
    <cellStyle name="Output 2 2 3 2 2 3 2" xfId="16655"/>
    <cellStyle name="Output 2 2 3 2 2 3 3" xfId="16656"/>
    <cellStyle name="Output 2 2 3 2 2 3 4" xfId="16657"/>
    <cellStyle name="Output 2 2 3 2 2 3 5" xfId="16658"/>
    <cellStyle name="Output 2 2 3 2 2 3 6" xfId="36898"/>
    <cellStyle name="Output 2 2 3 2 2 3 7" xfId="45904"/>
    <cellStyle name="Output 2 2 3 2 2 3 8" xfId="54027"/>
    <cellStyle name="Output 2 2 3 2 2 4" xfId="1295"/>
    <cellStyle name="Output 2 2 3 2 2 4 2" xfId="16659"/>
    <cellStyle name="Output 2 2 3 2 2 4 3" xfId="16660"/>
    <cellStyle name="Output 2 2 3 2 2 4 4" xfId="16661"/>
    <cellStyle name="Output 2 2 3 2 2 4 5" xfId="16662"/>
    <cellStyle name="Output 2 2 3 2 2 4 6" xfId="37514"/>
    <cellStyle name="Output 2 2 3 2 2 4 7" xfId="45905"/>
    <cellStyle name="Output 2 2 3 2 2 4 8" xfId="54028"/>
    <cellStyle name="Output 2 2 3 2 2 5" xfId="3363"/>
    <cellStyle name="Output 2 2 3 2 2 5 2" xfId="16663"/>
    <cellStyle name="Output 2 2 3 2 2 5 3" xfId="16664"/>
    <cellStyle name="Output 2 2 3 2 2 5 4" xfId="16665"/>
    <cellStyle name="Output 2 2 3 2 2 5 5" xfId="16666"/>
    <cellStyle name="Output 2 2 3 2 2 5 6" xfId="38130"/>
    <cellStyle name="Output 2 2 3 2 2 5 7" xfId="45906"/>
    <cellStyle name="Output 2 2 3 2 2 5 8" xfId="54029"/>
    <cellStyle name="Output 2 2 3 2 2 6" xfId="3685"/>
    <cellStyle name="Output 2 2 3 2 2 6 2" xfId="16667"/>
    <cellStyle name="Output 2 2 3 2 2 6 3" xfId="16668"/>
    <cellStyle name="Output 2 2 3 2 2 6 4" xfId="16669"/>
    <cellStyle name="Output 2 2 3 2 2 6 5" xfId="16670"/>
    <cellStyle name="Output 2 2 3 2 2 6 6" xfId="38748"/>
    <cellStyle name="Output 2 2 3 2 2 6 7" xfId="45907"/>
    <cellStyle name="Output 2 2 3 2 2 6 8" xfId="54030"/>
    <cellStyle name="Output 2 2 3 2 2 7" xfId="16671"/>
    <cellStyle name="Output 2 2 3 2 2 7 2" xfId="16672"/>
    <cellStyle name="Output 2 2 3 2 2 7 3" xfId="16673"/>
    <cellStyle name="Output 2 2 3 2 2 7 4" xfId="16674"/>
    <cellStyle name="Output 2 2 3 2 2 7 5" xfId="16675"/>
    <cellStyle name="Output 2 2 3 2 2 7 6" xfId="39368"/>
    <cellStyle name="Output 2 2 3 2 2 7 7" xfId="45908"/>
    <cellStyle name="Output 2 2 3 2 2 7 8" xfId="54031"/>
    <cellStyle name="Output 2 2 3 2 2 8" xfId="16676"/>
    <cellStyle name="Output 2 2 3 2 2 8 2" xfId="16677"/>
    <cellStyle name="Output 2 2 3 2 2 8 3" xfId="16678"/>
    <cellStyle name="Output 2 2 3 2 2 8 4" xfId="16679"/>
    <cellStyle name="Output 2 2 3 2 2 8 5" xfId="16680"/>
    <cellStyle name="Output 2 2 3 2 2 8 6" xfId="39984"/>
    <cellStyle name="Output 2 2 3 2 2 8 7" xfId="45909"/>
    <cellStyle name="Output 2 2 3 2 2 8 8" xfId="54032"/>
    <cellStyle name="Output 2 2 3 2 2 9" xfId="16681"/>
    <cellStyle name="Output 2 2 3 2 2 9 2" xfId="16682"/>
    <cellStyle name="Output 2 2 3 2 2 9 3" xfId="16683"/>
    <cellStyle name="Output 2 2 3 2 2 9 4" xfId="16684"/>
    <cellStyle name="Output 2 2 3 2 2 9 5" xfId="16685"/>
    <cellStyle name="Output 2 2 3 2 2 9 6" xfId="40599"/>
    <cellStyle name="Output 2 2 3 2 2 9 7" xfId="45910"/>
    <cellStyle name="Output 2 2 3 2 2 9 8" xfId="54033"/>
    <cellStyle name="Output 2 2 3 2 20" xfId="814"/>
    <cellStyle name="Output 2 2 3 2 21" xfId="34561"/>
    <cellStyle name="Output 2 2 3 2 22" xfId="40898"/>
    <cellStyle name="Output 2 2 3 2 23" xfId="41459"/>
    <cellStyle name="Output 2 2 3 2 24" xfId="50546"/>
    <cellStyle name="Output 2 2 3 2 3" xfId="2360"/>
    <cellStyle name="Output 2 2 3 2 3 10" xfId="34754"/>
    <cellStyle name="Output 2 2 3 2 3 10 2" xfId="45912"/>
    <cellStyle name="Output 2 2 3 2 3 10 3" xfId="54035"/>
    <cellStyle name="Output 2 2 3 2 3 11" xfId="41113"/>
    <cellStyle name="Output 2 2 3 2 3 12" xfId="45911"/>
    <cellStyle name="Output 2 2 3 2 3 13" xfId="54034"/>
    <cellStyle name="Output 2 2 3 2 3 2" xfId="2361"/>
    <cellStyle name="Output 2 2 3 2 3 2 2" xfId="36190"/>
    <cellStyle name="Output 2 2 3 2 3 2 3" xfId="45913"/>
    <cellStyle name="Output 2 2 3 2 3 2 4" xfId="54036"/>
    <cellStyle name="Output 2 2 3 2 3 3" xfId="2362"/>
    <cellStyle name="Output 2 2 3 2 3 3 2" xfId="36687"/>
    <cellStyle name="Output 2 2 3 2 3 3 3" xfId="45914"/>
    <cellStyle name="Output 2 2 3 2 3 3 4" xfId="54037"/>
    <cellStyle name="Output 2 2 3 2 3 4" xfId="16686"/>
    <cellStyle name="Output 2 2 3 2 3 4 2" xfId="37303"/>
    <cellStyle name="Output 2 2 3 2 3 4 3" xfId="45915"/>
    <cellStyle name="Output 2 2 3 2 3 4 4" xfId="54038"/>
    <cellStyle name="Output 2 2 3 2 3 5" xfId="16687"/>
    <cellStyle name="Output 2 2 3 2 3 5 2" xfId="37919"/>
    <cellStyle name="Output 2 2 3 2 3 5 3" xfId="45916"/>
    <cellStyle name="Output 2 2 3 2 3 5 4" xfId="54039"/>
    <cellStyle name="Output 2 2 3 2 3 6" xfId="38536"/>
    <cellStyle name="Output 2 2 3 2 3 6 2" xfId="45917"/>
    <cellStyle name="Output 2 2 3 2 3 6 3" xfId="54040"/>
    <cellStyle name="Output 2 2 3 2 3 7" xfId="39156"/>
    <cellStyle name="Output 2 2 3 2 3 7 2" xfId="45918"/>
    <cellStyle name="Output 2 2 3 2 3 7 3" xfId="54041"/>
    <cellStyle name="Output 2 2 3 2 3 8" xfId="39772"/>
    <cellStyle name="Output 2 2 3 2 3 8 2" xfId="45919"/>
    <cellStyle name="Output 2 2 3 2 3 8 3" xfId="54042"/>
    <cellStyle name="Output 2 2 3 2 3 9" xfId="40387"/>
    <cellStyle name="Output 2 2 3 2 3 9 2" xfId="45920"/>
    <cellStyle name="Output 2 2 3 2 3 9 3" xfId="54043"/>
    <cellStyle name="Output 2 2 3 2 4" xfId="2363"/>
    <cellStyle name="Output 2 2 3 2 4 10" xfId="45921"/>
    <cellStyle name="Output 2 2 3 2 4 11" xfId="54044"/>
    <cellStyle name="Output 2 2 3 2 4 2" xfId="16688"/>
    <cellStyle name="Output 2 2 3 2 4 2 2" xfId="45922"/>
    <cellStyle name="Output 2 2 3 2 4 2 3" xfId="54045"/>
    <cellStyle name="Output 2 2 3 2 4 3" xfId="16689"/>
    <cellStyle name="Output 2 2 3 2 4 3 2" xfId="45923"/>
    <cellStyle name="Output 2 2 3 2 4 3 3" xfId="54046"/>
    <cellStyle name="Output 2 2 3 2 4 4" xfId="16690"/>
    <cellStyle name="Output 2 2 3 2 4 4 2" xfId="45924"/>
    <cellStyle name="Output 2 2 3 2 4 4 3" xfId="54047"/>
    <cellStyle name="Output 2 2 3 2 4 5" xfId="16691"/>
    <cellStyle name="Output 2 2 3 2 4 5 2" xfId="45925"/>
    <cellStyle name="Output 2 2 3 2 4 5 3" xfId="54048"/>
    <cellStyle name="Output 2 2 3 2 4 6" xfId="35696"/>
    <cellStyle name="Output 2 2 3 2 4 6 2" xfId="45926"/>
    <cellStyle name="Output 2 2 3 2 4 6 3" xfId="54049"/>
    <cellStyle name="Output 2 2 3 2 4 7" xfId="45927"/>
    <cellStyle name="Output 2 2 3 2 4 7 2" xfId="54050"/>
    <cellStyle name="Output 2 2 3 2 4 8" xfId="45928"/>
    <cellStyle name="Output 2 2 3 2 4 8 2" xfId="54051"/>
    <cellStyle name="Output 2 2 3 2 4 9" xfId="45929"/>
    <cellStyle name="Output 2 2 3 2 4 9 2" xfId="54052"/>
    <cellStyle name="Output 2 2 3 2 5" xfId="1294"/>
    <cellStyle name="Output 2 2 3 2 5 2" xfId="16692"/>
    <cellStyle name="Output 2 2 3 2 5 3" xfId="16693"/>
    <cellStyle name="Output 2 2 3 2 5 4" xfId="16694"/>
    <cellStyle name="Output 2 2 3 2 5 5" xfId="16695"/>
    <cellStyle name="Output 2 2 3 2 5 6" xfId="35749"/>
    <cellStyle name="Output 2 2 3 2 5 7" xfId="45930"/>
    <cellStyle name="Output 2 2 3 2 5 8" xfId="54053"/>
    <cellStyle name="Output 2 2 3 2 6" xfId="3362"/>
    <cellStyle name="Output 2 2 3 2 6 2" xfId="16696"/>
    <cellStyle name="Output 2 2 3 2 6 3" xfId="16697"/>
    <cellStyle name="Output 2 2 3 2 6 4" xfId="16698"/>
    <cellStyle name="Output 2 2 3 2 6 5" xfId="16699"/>
    <cellStyle name="Output 2 2 3 2 6 6" xfId="37088"/>
    <cellStyle name="Output 2 2 3 2 6 7" xfId="45931"/>
    <cellStyle name="Output 2 2 3 2 6 8" xfId="54054"/>
    <cellStyle name="Output 2 2 3 2 7" xfId="3684"/>
    <cellStyle name="Output 2 2 3 2 7 2" xfId="16700"/>
    <cellStyle name="Output 2 2 3 2 7 3" xfId="16701"/>
    <cellStyle name="Output 2 2 3 2 7 4" xfId="16702"/>
    <cellStyle name="Output 2 2 3 2 7 5" xfId="16703"/>
    <cellStyle name="Output 2 2 3 2 7 6" xfId="37702"/>
    <cellStyle name="Output 2 2 3 2 7 7" xfId="45932"/>
    <cellStyle name="Output 2 2 3 2 7 8" xfId="54055"/>
    <cellStyle name="Output 2 2 3 2 8" xfId="16704"/>
    <cellStyle name="Output 2 2 3 2 8 2" xfId="16705"/>
    <cellStyle name="Output 2 2 3 2 8 3" xfId="16706"/>
    <cellStyle name="Output 2 2 3 2 8 4" xfId="16707"/>
    <cellStyle name="Output 2 2 3 2 8 5" xfId="16708"/>
    <cellStyle name="Output 2 2 3 2 8 6" xfId="38317"/>
    <cellStyle name="Output 2 2 3 2 8 7" xfId="45933"/>
    <cellStyle name="Output 2 2 3 2 8 8" xfId="54056"/>
    <cellStyle name="Output 2 2 3 2 9" xfId="16709"/>
    <cellStyle name="Output 2 2 3 2 9 2" xfId="16710"/>
    <cellStyle name="Output 2 2 3 2 9 3" xfId="16711"/>
    <cellStyle name="Output 2 2 3 2 9 4" xfId="16712"/>
    <cellStyle name="Output 2 2 3 2 9 5" xfId="16713"/>
    <cellStyle name="Output 2 2 3 2 9 6" xfId="38937"/>
    <cellStyle name="Output 2 2 3 2 9 7" xfId="45934"/>
    <cellStyle name="Output 2 2 3 2 9 8" xfId="54057"/>
    <cellStyle name="Output 2 2 3 20" xfId="34837"/>
    <cellStyle name="Output 2 2 3 21" xfId="40817"/>
    <cellStyle name="Output 2 2 3 3" xfId="379"/>
    <cellStyle name="Output 2 2 3 3 10" xfId="16714"/>
    <cellStyle name="Output 2 2 3 3 10 2" xfId="16715"/>
    <cellStyle name="Output 2 2 3 3 10 3" xfId="16716"/>
    <cellStyle name="Output 2 2 3 3 10 4" xfId="16717"/>
    <cellStyle name="Output 2 2 3 3 10 5" xfId="16718"/>
    <cellStyle name="Output 2 2 3 3 10 6" xfId="40173"/>
    <cellStyle name="Output 2 2 3 3 10 7" xfId="45935"/>
    <cellStyle name="Output 2 2 3 3 10 8" xfId="54058"/>
    <cellStyle name="Output 2 2 3 3 11" xfId="16719"/>
    <cellStyle name="Output 2 2 3 3 11 2" xfId="16720"/>
    <cellStyle name="Output 2 2 3 3 11 3" xfId="16721"/>
    <cellStyle name="Output 2 2 3 3 11 4" xfId="16722"/>
    <cellStyle name="Output 2 2 3 3 11 5" xfId="16723"/>
    <cellStyle name="Output 2 2 3 3 11 6" xfId="45936"/>
    <cellStyle name="Output 2 2 3 3 11 7" xfId="54059"/>
    <cellStyle name="Output 2 2 3 3 12" xfId="16724"/>
    <cellStyle name="Output 2 2 3 3 12 2" xfId="16725"/>
    <cellStyle name="Output 2 2 3 3 12 3" xfId="16726"/>
    <cellStyle name="Output 2 2 3 3 12 4" xfId="16727"/>
    <cellStyle name="Output 2 2 3 3 12 5" xfId="16728"/>
    <cellStyle name="Output 2 2 3 3 12 6" xfId="45937"/>
    <cellStyle name="Output 2 2 3 3 12 7" xfId="54060"/>
    <cellStyle name="Output 2 2 3 3 13" xfId="16729"/>
    <cellStyle name="Output 2 2 3 3 13 2" xfId="16730"/>
    <cellStyle name="Output 2 2 3 3 13 3" xfId="16731"/>
    <cellStyle name="Output 2 2 3 3 13 4" xfId="16732"/>
    <cellStyle name="Output 2 2 3 3 13 5" xfId="16733"/>
    <cellStyle name="Output 2 2 3 3 13 6" xfId="45938"/>
    <cellStyle name="Output 2 2 3 3 13 7" xfId="54061"/>
    <cellStyle name="Output 2 2 3 3 14" xfId="16734"/>
    <cellStyle name="Output 2 2 3 3 14 2" xfId="16735"/>
    <cellStyle name="Output 2 2 3 3 14 3" xfId="16736"/>
    <cellStyle name="Output 2 2 3 3 14 4" xfId="16737"/>
    <cellStyle name="Output 2 2 3 3 14 5" xfId="16738"/>
    <cellStyle name="Output 2 2 3 3 15" xfId="16739"/>
    <cellStyle name="Output 2 2 3 3 15 2" xfId="16740"/>
    <cellStyle name="Output 2 2 3 3 15 3" xfId="16741"/>
    <cellStyle name="Output 2 2 3 3 15 4" xfId="16742"/>
    <cellStyle name="Output 2 2 3 3 15 5" xfId="16743"/>
    <cellStyle name="Output 2 2 3 3 16" xfId="16744"/>
    <cellStyle name="Output 2 2 3 3 16 2" xfId="16745"/>
    <cellStyle name="Output 2 2 3 3 16 3" xfId="16746"/>
    <cellStyle name="Output 2 2 3 3 16 4" xfId="16747"/>
    <cellStyle name="Output 2 2 3 3 16 5" xfId="16748"/>
    <cellStyle name="Output 2 2 3 3 17" xfId="16749"/>
    <cellStyle name="Output 2 2 3 3 17 2" xfId="16750"/>
    <cellStyle name="Output 2 2 3 3 17 3" xfId="16751"/>
    <cellStyle name="Output 2 2 3 3 17 4" xfId="16752"/>
    <cellStyle name="Output 2 2 3 3 17 5" xfId="16753"/>
    <cellStyle name="Output 2 2 3 3 18" xfId="16754"/>
    <cellStyle name="Output 2 2 3 3 18 2" xfId="16755"/>
    <cellStyle name="Output 2 2 3 3 18 3" xfId="16756"/>
    <cellStyle name="Output 2 2 3 3 18 4" xfId="16757"/>
    <cellStyle name="Output 2 2 3 3 18 5" xfId="16758"/>
    <cellStyle name="Output 2 2 3 3 19" xfId="16759"/>
    <cellStyle name="Output 2 2 3 3 2" xfId="598"/>
    <cellStyle name="Output 2 2 3 3 2 10" xfId="16760"/>
    <cellStyle name="Output 2 2 3 3 2 10 2" xfId="16761"/>
    <cellStyle name="Output 2 2 3 3 2 10 3" xfId="16762"/>
    <cellStyle name="Output 2 2 3 3 2 10 4" xfId="16763"/>
    <cellStyle name="Output 2 2 3 3 2 10 5" xfId="16764"/>
    <cellStyle name="Output 2 2 3 3 2 10 6" xfId="45939"/>
    <cellStyle name="Output 2 2 3 3 2 10 7" xfId="54062"/>
    <cellStyle name="Output 2 2 3 3 2 11" xfId="16765"/>
    <cellStyle name="Output 2 2 3 3 2 11 2" xfId="16766"/>
    <cellStyle name="Output 2 2 3 3 2 11 3" xfId="16767"/>
    <cellStyle name="Output 2 2 3 3 2 11 4" xfId="16768"/>
    <cellStyle name="Output 2 2 3 3 2 11 5" xfId="16769"/>
    <cellStyle name="Output 2 2 3 3 2 12" xfId="16770"/>
    <cellStyle name="Output 2 2 3 3 2 12 2" xfId="16771"/>
    <cellStyle name="Output 2 2 3 3 2 12 3" xfId="16772"/>
    <cellStyle name="Output 2 2 3 3 2 12 4" xfId="16773"/>
    <cellStyle name="Output 2 2 3 3 2 12 5" xfId="16774"/>
    <cellStyle name="Output 2 2 3 3 2 13" xfId="16775"/>
    <cellStyle name="Output 2 2 3 3 2 13 2" xfId="16776"/>
    <cellStyle name="Output 2 2 3 3 2 13 3" xfId="16777"/>
    <cellStyle name="Output 2 2 3 3 2 13 4" xfId="16778"/>
    <cellStyle name="Output 2 2 3 3 2 13 5" xfId="16779"/>
    <cellStyle name="Output 2 2 3 3 2 14" xfId="16780"/>
    <cellStyle name="Output 2 2 3 3 2 14 2" xfId="16781"/>
    <cellStyle name="Output 2 2 3 3 2 14 3" xfId="16782"/>
    <cellStyle name="Output 2 2 3 3 2 14 4" xfId="16783"/>
    <cellStyle name="Output 2 2 3 3 2 14 5" xfId="16784"/>
    <cellStyle name="Output 2 2 3 3 2 15" xfId="16785"/>
    <cellStyle name="Output 2 2 3 3 2 15 2" xfId="16786"/>
    <cellStyle name="Output 2 2 3 3 2 15 3" xfId="16787"/>
    <cellStyle name="Output 2 2 3 3 2 15 4" xfId="16788"/>
    <cellStyle name="Output 2 2 3 3 2 15 5" xfId="16789"/>
    <cellStyle name="Output 2 2 3 3 2 16" xfId="16790"/>
    <cellStyle name="Output 2 2 3 3 2 16 2" xfId="16791"/>
    <cellStyle name="Output 2 2 3 3 2 16 3" xfId="16792"/>
    <cellStyle name="Output 2 2 3 3 2 16 4" xfId="16793"/>
    <cellStyle name="Output 2 2 3 3 2 16 5" xfId="16794"/>
    <cellStyle name="Output 2 2 3 3 2 17" xfId="16795"/>
    <cellStyle name="Output 2 2 3 3 2 17 2" xfId="16796"/>
    <cellStyle name="Output 2 2 3 3 2 17 3" xfId="16797"/>
    <cellStyle name="Output 2 2 3 3 2 17 4" xfId="16798"/>
    <cellStyle name="Output 2 2 3 3 2 17 5" xfId="16799"/>
    <cellStyle name="Output 2 2 3 3 2 18" xfId="16800"/>
    <cellStyle name="Output 2 2 3 3 2 18 2" xfId="16801"/>
    <cellStyle name="Output 2 2 3 3 2 18 3" xfId="16802"/>
    <cellStyle name="Output 2 2 3 3 2 18 4" xfId="16803"/>
    <cellStyle name="Output 2 2 3 3 2 18 5" xfId="16804"/>
    <cellStyle name="Output 2 2 3 3 2 19" xfId="16805"/>
    <cellStyle name="Output 2 2 3 3 2 2" xfId="2364"/>
    <cellStyle name="Output 2 2 3 3 2 2 2" xfId="16806"/>
    <cellStyle name="Output 2 2 3 3 2 2 3" xfId="16807"/>
    <cellStyle name="Output 2 2 3 3 2 2 4" xfId="16808"/>
    <cellStyle name="Output 2 2 3 3 2 2 5" xfId="16809"/>
    <cellStyle name="Output 2 2 3 3 2 2 6" xfId="36402"/>
    <cellStyle name="Output 2 2 3 3 2 2 7" xfId="45940"/>
    <cellStyle name="Output 2 2 3 3 2 2 8" xfId="54063"/>
    <cellStyle name="Output 2 2 3 3 2 20" xfId="1027"/>
    <cellStyle name="Output 2 2 3 3 2 21" xfId="35107"/>
    <cellStyle name="Output 2 2 3 3 2 22" xfId="41326"/>
    <cellStyle name="Output 2 2 3 3 2 3" xfId="2365"/>
    <cellStyle name="Output 2 2 3 3 2 3 2" xfId="16810"/>
    <cellStyle name="Output 2 2 3 3 2 3 3" xfId="16811"/>
    <cellStyle name="Output 2 2 3 3 2 3 4" xfId="16812"/>
    <cellStyle name="Output 2 2 3 3 2 3 5" xfId="16813"/>
    <cellStyle name="Output 2 2 3 3 2 3 6" xfId="36899"/>
    <cellStyle name="Output 2 2 3 3 2 3 7" xfId="45941"/>
    <cellStyle name="Output 2 2 3 3 2 3 8" xfId="54064"/>
    <cellStyle name="Output 2 2 3 3 2 4" xfId="1297"/>
    <cellStyle name="Output 2 2 3 3 2 4 2" xfId="16814"/>
    <cellStyle name="Output 2 2 3 3 2 4 3" xfId="16815"/>
    <cellStyle name="Output 2 2 3 3 2 4 4" xfId="16816"/>
    <cellStyle name="Output 2 2 3 3 2 4 5" xfId="16817"/>
    <cellStyle name="Output 2 2 3 3 2 4 6" xfId="37515"/>
    <cellStyle name="Output 2 2 3 3 2 4 7" xfId="45942"/>
    <cellStyle name="Output 2 2 3 3 2 4 8" xfId="54065"/>
    <cellStyle name="Output 2 2 3 3 2 5" xfId="3365"/>
    <cellStyle name="Output 2 2 3 3 2 5 2" xfId="16818"/>
    <cellStyle name="Output 2 2 3 3 2 5 3" xfId="16819"/>
    <cellStyle name="Output 2 2 3 3 2 5 4" xfId="16820"/>
    <cellStyle name="Output 2 2 3 3 2 5 5" xfId="16821"/>
    <cellStyle name="Output 2 2 3 3 2 5 6" xfId="38131"/>
    <cellStyle name="Output 2 2 3 3 2 5 7" xfId="45943"/>
    <cellStyle name="Output 2 2 3 3 2 5 8" xfId="54066"/>
    <cellStyle name="Output 2 2 3 3 2 6" xfId="3687"/>
    <cellStyle name="Output 2 2 3 3 2 6 2" xfId="16822"/>
    <cellStyle name="Output 2 2 3 3 2 6 3" xfId="16823"/>
    <cellStyle name="Output 2 2 3 3 2 6 4" xfId="16824"/>
    <cellStyle name="Output 2 2 3 3 2 6 5" xfId="16825"/>
    <cellStyle name="Output 2 2 3 3 2 6 6" xfId="38749"/>
    <cellStyle name="Output 2 2 3 3 2 6 7" xfId="45944"/>
    <cellStyle name="Output 2 2 3 3 2 6 8" xfId="54067"/>
    <cellStyle name="Output 2 2 3 3 2 7" xfId="16826"/>
    <cellStyle name="Output 2 2 3 3 2 7 2" xfId="16827"/>
    <cellStyle name="Output 2 2 3 3 2 7 3" xfId="16828"/>
    <cellStyle name="Output 2 2 3 3 2 7 4" xfId="16829"/>
    <cellStyle name="Output 2 2 3 3 2 7 5" xfId="16830"/>
    <cellStyle name="Output 2 2 3 3 2 7 6" xfId="39369"/>
    <cellStyle name="Output 2 2 3 3 2 7 7" xfId="45945"/>
    <cellStyle name="Output 2 2 3 3 2 7 8" xfId="54068"/>
    <cellStyle name="Output 2 2 3 3 2 8" xfId="16831"/>
    <cellStyle name="Output 2 2 3 3 2 8 2" xfId="16832"/>
    <cellStyle name="Output 2 2 3 3 2 8 3" xfId="16833"/>
    <cellStyle name="Output 2 2 3 3 2 8 4" xfId="16834"/>
    <cellStyle name="Output 2 2 3 3 2 8 5" xfId="16835"/>
    <cellStyle name="Output 2 2 3 3 2 8 6" xfId="39985"/>
    <cellStyle name="Output 2 2 3 3 2 8 7" xfId="45946"/>
    <cellStyle name="Output 2 2 3 3 2 8 8" xfId="54069"/>
    <cellStyle name="Output 2 2 3 3 2 9" xfId="16836"/>
    <cellStyle name="Output 2 2 3 3 2 9 2" xfId="16837"/>
    <cellStyle name="Output 2 2 3 3 2 9 3" xfId="16838"/>
    <cellStyle name="Output 2 2 3 3 2 9 4" xfId="16839"/>
    <cellStyle name="Output 2 2 3 3 2 9 5" xfId="16840"/>
    <cellStyle name="Output 2 2 3 3 2 9 6" xfId="40600"/>
    <cellStyle name="Output 2 2 3 3 2 9 7" xfId="45947"/>
    <cellStyle name="Output 2 2 3 3 2 9 8" xfId="54070"/>
    <cellStyle name="Output 2 2 3 3 20" xfId="815"/>
    <cellStyle name="Output 2 2 3 3 21" xfId="34718"/>
    <cellStyle name="Output 2 2 3 3 22" xfId="40899"/>
    <cellStyle name="Output 2 2 3 3 23" xfId="41460"/>
    <cellStyle name="Output 2 2 3 3 24" xfId="50547"/>
    <cellStyle name="Output 2 2 3 3 3" xfId="2366"/>
    <cellStyle name="Output 2 2 3 3 3 10" xfId="34876"/>
    <cellStyle name="Output 2 2 3 3 3 10 2" xfId="45949"/>
    <cellStyle name="Output 2 2 3 3 3 10 3" xfId="54072"/>
    <cellStyle name="Output 2 2 3 3 3 11" xfId="41114"/>
    <cellStyle name="Output 2 2 3 3 3 12" xfId="45948"/>
    <cellStyle name="Output 2 2 3 3 3 13" xfId="54071"/>
    <cellStyle name="Output 2 2 3 3 3 2" xfId="2367"/>
    <cellStyle name="Output 2 2 3 3 3 2 2" xfId="36191"/>
    <cellStyle name="Output 2 2 3 3 3 2 3" xfId="45950"/>
    <cellStyle name="Output 2 2 3 3 3 2 4" xfId="54073"/>
    <cellStyle name="Output 2 2 3 3 3 3" xfId="2368"/>
    <cellStyle name="Output 2 2 3 3 3 3 2" xfId="36688"/>
    <cellStyle name="Output 2 2 3 3 3 3 3" xfId="45951"/>
    <cellStyle name="Output 2 2 3 3 3 3 4" xfId="54074"/>
    <cellStyle name="Output 2 2 3 3 3 4" xfId="16841"/>
    <cellStyle name="Output 2 2 3 3 3 4 2" xfId="37304"/>
    <cellStyle name="Output 2 2 3 3 3 4 3" xfId="45952"/>
    <cellStyle name="Output 2 2 3 3 3 4 4" xfId="54075"/>
    <cellStyle name="Output 2 2 3 3 3 5" xfId="16842"/>
    <cellStyle name="Output 2 2 3 3 3 5 2" xfId="37920"/>
    <cellStyle name="Output 2 2 3 3 3 5 3" xfId="45953"/>
    <cellStyle name="Output 2 2 3 3 3 5 4" xfId="54076"/>
    <cellStyle name="Output 2 2 3 3 3 6" xfId="38537"/>
    <cellStyle name="Output 2 2 3 3 3 6 2" xfId="45954"/>
    <cellStyle name="Output 2 2 3 3 3 6 3" xfId="54077"/>
    <cellStyle name="Output 2 2 3 3 3 7" xfId="39157"/>
    <cellStyle name="Output 2 2 3 3 3 7 2" xfId="45955"/>
    <cellStyle name="Output 2 2 3 3 3 7 3" xfId="54078"/>
    <cellStyle name="Output 2 2 3 3 3 8" xfId="39773"/>
    <cellStyle name="Output 2 2 3 3 3 8 2" xfId="45956"/>
    <cellStyle name="Output 2 2 3 3 3 8 3" xfId="54079"/>
    <cellStyle name="Output 2 2 3 3 3 9" xfId="40388"/>
    <cellStyle name="Output 2 2 3 3 3 9 2" xfId="45957"/>
    <cellStyle name="Output 2 2 3 3 3 9 3" xfId="54080"/>
    <cellStyle name="Output 2 2 3 3 4" xfId="2369"/>
    <cellStyle name="Output 2 2 3 3 4 10" xfId="45958"/>
    <cellStyle name="Output 2 2 3 3 4 11" xfId="54081"/>
    <cellStyle name="Output 2 2 3 3 4 2" xfId="16843"/>
    <cellStyle name="Output 2 2 3 3 4 2 2" xfId="45959"/>
    <cellStyle name="Output 2 2 3 3 4 2 3" xfId="54082"/>
    <cellStyle name="Output 2 2 3 3 4 3" xfId="16844"/>
    <cellStyle name="Output 2 2 3 3 4 3 2" xfId="45960"/>
    <cellStyle name="Output 2 2 3 3 4 3 3" xfId="54083"/>
    <cellStyle name="Output 2 2 3 3 4 4" xfId="16845"/>
    <cellStyle name="Output 2 2 3 3 4 4 2" xfId="45961"/>
    <cellStyle name="Output 2 2 3 3 4 4 3" xfId="54084"/>
    <cellStyle name="Output 2 2 3 3 4 5" xfId="16846"/>
    <cellStyle name="Output 2 2 3 3 4 5 2" xfId="45962"/>
    <cellStyle name="Output 2 2 3 3 4 5 3" xfId="54085"/>
    <cellStyle name="Output 2 2 3 3 4 6" xfId="35748"/>
    <cellStyle name="Output 2 2 3 3 4 6 2" xfId="45963"/>
    <cellStyle name="Output 2 2 3 3 4 6 3" xfId="54086"/>
    <cellStyle name="Output 2 2 3 3 4 7" xfId="45964"/>
    <cellStyle name="Output 2 2 3 3 4 7 2" xfId="54087"/>
    <cellStyle name="Output 2 2 3 3 4 8" xfId="45965"/>
    <cellStyle name="Output 2 2 3 3 4 8 2" xfId="54088"/>
    <cellStyle name="Output 2 2 3 3 4 9" xfId="45966"/>
    <cellStyle name="Output 2 2 3 3 4 9 2" xfId="54089"/>
    <cellStyle name="Output 2 2 3 3 5" xfId="1296"/>
    <cellStyle name="Output 2 2 3 3 5 2" xfId="16847"/>
    <cellStyle name="Output 2 2 3 3 5 3" xfId="16848"/>
    <cellStyle name="Output 2 2 3 3 5 4" xfId="16849"/>
    <cellStyle name="Output 2 2 3 3 5 5" xfId="16850"/>
    <cellStyle name="Output 2 2 3 3 5 6" xfId="37089"/>
    <cellStyle name="Output 2 2 3 3 5 7" xfId="45967"/>
    <cellStyle name="Output 2 2 3 3 5 8" xfId="54090"/>
    <cellStyle name="Output 2 2 3 3 6" xfId="3364"/>
    <cellStyle name="Output 2 2 3 3 6 2" xfId="16851"/>
    <cellStyle name="Output 2 2 3 3 6 3" xfId="16852"/>
    <cellStyle name="Output 2 2 3 3 6 4" xfId="16853"/>
    <cellStyle name="Output 2 2 3 3 6 5" xfId="16854"/>
    <cellStyle name="Output 2 2 3 3 6 6" xfId="37703"/>
    <cellStyle name="Output 2 2 3 3 6 7" xfId="45968"/>
    <cellStyle name="Output 2 2 3 3 6 8" xfId="54091"/>
    <cellStyle name="Output 2 2 3 3 7" xfId="3686"/>
    <cellStyle name="Output 2 2 3 3 7 2" xfId="16855"/>
    <cellStyle name="Output 2 2 3 3 7 3" xfId="16856"/>
    <cellStyle name="Output 2 2 3 3 7 4" xfId="16857"/>
    <cellStyle name="Output 2 2 3 3 7 5" xfId="16858"/>
    <cellStyle name="Output 2 2 3 3 7 6" xfId="38318"/>
    <cellStyle name="Output 2 2 3 3 7 7" xfId="45969"/>
    <cellStyle name="Output 2 2 3 3 7 8" xfId="54092"/>
    <cellStyle name="Output 2 2 3 3 8" xfId="16859"/>
    <cellStyle name="Output 2 2 3 3 8 2" xfId="16860"/>
    <cellStyle name="Output 2 2 3 3 8 3" xfId="16861"/>
    <cellStyle name="Output 2 2 3 3 8 4" xfId="16862"/>
    <cellStyle name="Output 2 2 3 3 8 5" xfId="16863"/>
    <cellStyle name="Output 2 2 3 3 8 6" xfId="38938"/>
    <cellStyle name="Output 2 2 3 3 8 7" xfId="45970"/>
    <cellStyle name="Output 2 2 3 3 8 8" xfId="54093"/>
    <cellStyle name="Output 2 2 3 3 9" xfId="16864"/>
    <cellStyle name="Output 2 2 3 3 9 2" xfId="16865"/>
    <cellStyle name="Output 2 2 3 3 9 3" xfId="16866"/>
    <cellStyle name="Output 2 2 3 3 9 4" xfId="16867"/>
    <cellStyle name="Output 2 2 3 3 9 5" xfId="16868"/>
    <cellStyle name="Output 2 2 3 3 9 6" xfId="39557"/>
    <cellStyle name="Output 2 2 3 3 9 7" xfId="45971"/>
    <cellStyle name="Output 2 2 3 3 9 8" xfId="54094"/>
    <cellStyle name="Output 2 2 3 4" xfId="518"/>
    <cellStyle name="Output 2 2 3 4 10" xfId="16869"/>
    <cellStyle name="Output 2 2 3 4 10 2" xfId="16870"/>
    <cellStyle name="Output 2 2 3 4 10 3" xfId="16871"/>
    <cellStyle name="Output 2 2 3 4 10 4" xfId="16872"/>
    <cellStyle name="Output 2 2 3 4 10 5" xfId="16873"/>
    <cellStyle name="Output 2 2 3 4 10 6" xfId="45972"/>
    <cellStyle name="Output 2 2 3 4 10 7" xfId="54095"/>
    <cellStyle name="Output 2 2 3 4 11" xfId="16874"/>
    <cellStyle name="Output 2 2 3 4 11 2" xfId="16875"/>
    <cellStyle name="Output 2 2 3 4 11 3" xfId="16876"/>
    <cellStyle name="Output 2 2 3 4 11 4" xfId="16877"/>
    <cellStyle name="Output 2 2 3 4 11 5" xfId="16878"/>
    <cellStyle name="Output 2 2 3 4 12" xfId="16879"/>
    <cellStyle name="Output 2 2 3 4 12 2" xfId="16880"/>
    <cellStyle name="Output 2 2 3 4 12 3" xfId="16881"/>
    <cellStyle name="Output 2 2 3 4 12 4" xfId="16882"/>
    <cellStyle name="Output 2 2 3 4 12 5" xfId="16883"/>
    <cellStyle name="Output 2 2 3 4 13" xfId="16884"/>
    <cellStyle name="Output 2 2 3 4 13 2" xfId="16885"/>
    <cellStyle name="Output 2 2 3 4 13 3" xfId="16886"/>
    <cellStyle name="Output 2 2 3 4 13 4" xfId="16887"/>
    <cellStyle name="Output 2 2 3 4 13 5" xfId="16888"/>
    <cellStyle name="Output 2 2 3 4 14" xfId="16889"/>
    <cellStyle name="Output 2 2 3 4 14 2" xfId="16890"/>
    <cellStyle name="Output 2 2 3 4 14 3" xfId="16891"/>
    <cellStyle name="Output 2 2 3 4 14 4" xfId="16892"/>
    <cellStyle name="Output 2 2 3 4 14 5" xfId="16893"/>
    <cellStyle name="Output 2 2 3 4 15" xfId="16894"/>
    <cellStyle name="Output 2 2 3 4 15 2" xfId="16895"/>
    <cellStyle name="Output 2 2 3 4 15 3" xfId="16896"/>
    <cellStyle name="Output 2 2 3 4 15 4" xfId="16897"/>
    <cellStyle name="Output 2 2 3 4 15 5" xfId="16898"/>
    <cellStyle name="Output 2 2 3 4 16" xfId="16899"/>
    <cellStyle name="Output 2 2 3 4 16 2" xfId="16900"/>
    <cellStyle name="Output 2 2 3 4 16 3" xfId="16901"/>
    <cellStyle name="Output 2 2 3 4 16 4" xfId="16902"/>
    <cellStyle name="Output 2 2 3 4 16 5" xfId="16903"/>
    <cellStyle name="Output 2 2 3 4 17" xfId="16904"/>
    <cellStyle name="Output 2 2 3 4 17 2" xfId="16905"/>
    <cellStyle name="Output 2 2 3 4 17 3" xfId="16906"/>
    <cellStyle name="Output 2 2 3 4 17 4" xfId="16907"/>
    <cellStyle name="Output 2 2 3 4 17 5" xfId="16908"/>
    <cellStyle name="Output 2 2 3 4 18" xfId="16909"/>
    <cellStyle name="Output 2 2 3 4 18 2" xfId="16910"/>
    <cellStyle name="Output 2 2 3 4 18 3" xfId="16911"/>
    <cellStyle name="Output 2 2 3 4 18 4" xfId="16912"/>
    <cellStyle name="Output 2 2 3 4 18 5" xfId="16913"/>
    <cellStyle name="Output 2 2 3 4 19" xfId="16914"/>
    <cellStyle name="Output 2 2 3 4 2" xfId="2370"/>
    <cellStyle name="Output 2 2 3 4 2 2" xfId="16915"/>
    <cellStyle name="Output 2 2 3 4 2 3" xfId="16916"/>
    <cellStyle name="Output 2 2 3 4 2 4" xfId="16917"/>
    <cellStyle name="Output 2 2 3 4 2 5" xfId="16918"/>
    <cellStyle name="Output 2 2 3 4 2 6" xfId="36322"/>
    <cellStyle name="Output 2 2 3 4 2 7" xfId="45973"/>
    <cellStyle name="Output 2 2 3 4 2 8" xfId="54096"/>
    <cellStyle name="Output 2 2 3 4 20" xfId="947"/>
    <cellStyle name="Output 2 2 3 4 21" xfId="35027"/>
    <cellStyle name="Output 2 2 3 4 22" xfId="40736"/>
    <cellStyle name="Output 2 2 3 4 23" xfId="41246"/>
    <cellStyle name="Output 2 2 3 4 3" xfId="2371"/>
    <cellStyle name="Output 2 2 3 4 3 2" xfId="16919"/>
    <cellStyle name="Output 2 2 3 4 3 3" xfId="16920"/>
    <cellStyle name="Output 2 2 3 4 3 4" xfId="16921"/>
    <cellStyle name="Output 2 2 3 4 3 5" xfId="16922"/>
    <cellStyle name="Output 2 2 3 4 3 6" xfId="36819"/>
    <cellStyle name="Output 2 2 3 4 3 7" xfId="45974"/>
    <cellStyle name="Output 2 2 3 4 3 8" xfId="54097"/>
    <cellStyle name="Output 2 2 3 4 4" xfId="1298"/>
    <cellStyle name="Output 2 2 3 4 4 2" xfId="16923"/>
    <cellStyle name="Output 2 2 3 4 4 3" xfId="16924"/>
    <cellStyle name="Output 2 2 3 4 4 4" xfId="16925"/>
    <cellStyle name="Output 2 2 3 4 4 5" xfId="16926"/>
    <cellStyle name="Output 2 2 3 4 4 6" xfId="37435"/>
    <cellStyle name="Output 2 2 3 4 4 7" xfId="45975"/>
    <cellStyle name="Output 2 2 3 4 4 8" xfId="54098"/>
    <cellStyle name="Output 2 2 3 4 5" xfId="3366"/>
    <cellStyle name="Output 2 2 3 4 5 2" xfId="16927"/>
    <cellStyle name="Output 2 2 3 4 5 3" xfId="16928"/>
    <cellStyle name="Output 2 2 3 4 5 4" xfId="16929"/>
    <cellStyle name="Output 2 2 3 4 5 5" xfId="16930"/>
    <cellStyle name="Output 2 2 3 4 5 6" xfId="38051"/>
    <cellStyle name="Output 2 2 3 4 5 7" xfId="45976"/>
    <cellStyle name="Output 2 2 3 4 5 8" xfId="54099"/>
    <cellStyle name="Output 2 2 3 4 6" xfId="3688"/>
    <cellStyle name="Output 2 2 3 4 6 2" xfId="16931"/>
    <cellStyle name="Output 2 2 3 4 6 3" xfId="16932"/>
    <cellStyle name="Output 2 2 3 4 6 4" xfId="16933"/>
    <cellStyle name="Output 2 2 3 4 6 5" xfId="16934"/>
    <cellStyle name="Output 2 2 3 4 6 6" xfId="38669"/>
    <cellStyle name="Output 2 2 3 4 6 7" xfId="45977"/>
    <cellStyle name="Output 2 2 3 4 6 8" xfId="54100"/>
    <cellStyle name="Output 2 2 3 4 7" xfId="16935"/>
    <cellStyle name="Output 2 2 3 4 7 2" xfId="16936"/>
    <cellStyle name="Output 2 2 3 4 7 3" xfId="16937"/>
    <cellStyle name="Output 2 2 3 4 7 4" xfId="16938"/>
    <cellStyle name="Output 2 2 3 4 7 5" xfId="16939"/>
    <cellStyle name="Output 2 2 3 4 7 6" xfId="39289"/>
    <cellStyle name="Output 2 2 3 4 7 7" xfId="45978"/>
    <cellStyle name="Output 2 2 3 4 7 8" xfId="54101"/>
    <cellStyle name="Output 2 2 3 4 8" xfId="16940"/>
    <cellStyle name="Output 2 2 3 4 8 2" xfId="16941"/>
    <cellStyle name="Output 2 2 3 4 8 3" xfId="16942"/>
    <cellStyle name="Output 2 2 3 4 8 4" xfId="16943"/>
    <cellStyle name="Output 2 2 3 4 8 5" xfId="16944"/>
    <cellStyle name="Output 2 2 3 4 8 6" xfId="39905"/>
    <cellStyle name="Output 2 2 3 4 8 7" xfId="45979"/>
    <cellStyle name="Output 2 2 3 4 8 8" xfId="54102"/>
    <cellStyle name="Output 2 2 3 4 9" xfId="16945"/>
    <cellStyle name="Output 2 2 3 4 9 2" xfId="16946"/>
    <cellStyle name="Output 2 2 3 4 9 3" xfId="16947"/>
    <cellStyle name="Output 2 2 3 4 9 4" xfId="16948"/>
    <cellStyle name="Output 2 2 3 4 9 5" xfId="16949"/>
    <cellStyle name="Output 2 2 3 4 9 6" xfId="40520"/>
    <cellStyle name="Output 2 2 3 4 9 7" xfId="45980"/>
    <cellStyle name="Output 2 2 3 4 9 8" xfId="54103"/>
    <cellStyle name="Output 2 2 3 5" xfId="2372"/>
    <cellStyle name="Output 2 2 3 5 10" xfId="34651"/>
    <cellStyle name="Output 2 2 3 5 10 2" xfId="45982"/>
    <cellStyle name="Output 2 2 3 5 10 3" xfId="54105"/>
    <cellStyle name="Output 2 2 3 5 11" xfId="41032"/>
    <cellStyle name="Output 2 2 3 5 12" xfId="45981"/>
    <cellStyle name="Output 2 2 3 5 13" xfId="54104"/>
    <cellStyle name="Output 2 2 3 5 2" xfId="2373"/>
    <cellStyle name="Output 2 2 3 5 2 2" xfId="36109"/>
    <cellStyle name="Output 2 2 3 5 2 3" xfId="45983"/>
    <cellStyle name="Output 2 2 3 5 2 4" xfId="54106"/>
    <cellStyle name="Output 2 2 3 5 3" xfId="2374"/>
    <cellStyle name="Output 2 2 3 5 3 2" xfId="36608"/>
    <cellStyle name="Output 2 2 3 5 3 3" xfId="45984"/>
    <cellStyle name="Output 2 2 3 5 3 4" xfId="54107"/>
    <cellStyle name="Output 2 2 3 5 4" xfId="16950"/>
    <cellStyle name="Output 2 2 3 5 4 2" xfId="37224"/>
    <cellStyle name="Output 2 2 3 5 4 3" xfId="45985"/>
    <cellStyle name="Output 2 2 3 5 4 4" xfId="54108"/>
    <cellStyle name="Output 2 2 3 5 5" xfId="16951"/>
    <cellStyle name="Output 2 2 3 5 5 2" xfId="37840"/>
    <cellStyle name="Output 2 2 3 5 5 3" xfId="45986"/>
    <cellStyle name="Output 2 2 3 5 5 4" xfId="54109"/>
    <cellStyle name="Output 2 2 3 5 6" xfId="38455"/>
    <cellStyle name="Output 2 2 3 5 6 2" xfId="45987"/>
    <cellStyle name="Output 2 2 3 5 6 3" xfId="54110"/>
    <cellStyle name="Output 2 2 3 5 7" xfId="39075"/>
    <cellStyle name="Output 2 2 3 5 7 2" xfId="45988"/>
    <cellStyle name="Output 2 2 3 5 7 3" xfId="54111"/>
    <cellStyle name="Output 2 2 3 5 8" xfId="39691"/>
    <cellStyle name="Output 2 2 3 5 8 2" xfId="45989"/>
    <cellStyle name="Output 2 2 3 5 8 3" xfId="54112"/>
    <cellStyle name="Output 2 2 3 5 9" xfId="40306"/>
    <cellStyle name="Output 2 2 3 5 9 2" xfId="45990"/>
    <cellStyle name="Output 2 2 3 5 9 3" xfId="54113"/>
    <cellStyle name="Output 2 2 3 6" xfId="1293"/>
    <cellStyle name="Output 2 2 3 6 10" xfId="45991"/>
    <cellStyle name="Output 2 2 3 6 11" xfId="54114"/>
    <cellStyle name="Output 2 2 3 6 2" xfId="16952"/>
    <cellStyle name="Output 2 2 3 6 2 2" xfId="45992"/>
    <cellStyle name="Output 2 2 3 6 2 3" xfId="54115"/>
    <cellStyle name="Output 2 2 3 6 3" xfId="16953"/>
    <cellStyle name="Output 2 2 3 6 3 2" xfId="45993"/>
    <cellStyle name="Output 2 2 3 6 3 3" xfId="54116"/>
    <cellStyle name="Output 2 2 3 6 4" xfId="16954"/>
    <cellStyle name="Output 2 2 3 6 4 2" xfId="45994"/>
    <cellStyle name="Output 2 2 3 6 4 3" xfId="54117"/>
    <cellStyle name="Output 2 2 3 6 5" xfId="16955"/>
    <cellStyle name="Output 2 2 3 6 5 2" xfId="45995"/>
    <cellStyle name="Output 2 2 3 6 5 3" xfId="54118"/>
    <cellStyle name="Output 2 2 3 6 6" xfId="35427"/>
    <cellStyle name="Output 2 2 3 6 6 2" xfId="45996"/>
    <cellStyle name="Output 2 2 3 6 6 3" xfId="54119"/>
    <cellStyle name="Output 2 2 3 6 7" xfId="45997"/>
    <cellStyle name="Output 2 2 3 6 7 2" xfId="54120"/>
    <cellStyle name="Output 2 2 3 6 8" xfId="45998"/>
    <cellStyle name="Output 2 2 3 6 8 2" xfId="54121"/>
    <cellStyle name="Output 2 2 3 6 9" xfId="45999"/>
    <cellStyle name="Output 2 2 3 6 9 2" xfId="54122"/>
    <cellStyle name="Output 2 2 3 7" xfId="3361"/>
    <cellStyle name="Output 2 2 3 7 2" xfId="16956"/>
    <cellStyle name="Output 2 2 3 7 3" xfId="16957"/>
    <cellStyle name="Output 2 2 3 7 4" xfId="16958"/>
    <cellStyle name="Output 2 2 3 7 5" xfId="16959"/>
    <cellStyle name="Output 2 2 3 7 6" xfId="35959"/>
    <cellStyle name="Output 2 2 3 7 7" xfId="46000"/>
    <cellStyle name="Output 2 2 3 7 8" xfId="54123"/>
    <cellStyle name="Output 2 2 3 8" xfId="3683"/>
    <cellStyle name="Output 2 2 3 8 2" xfId="16960"/>
    <cellStyle name="Output 2 2 3 8 3" xfId="16961"/>
    <cellStyle name="Output 2 2 3 8 4" xfId="16962"/>
    <cellStyle name="Output 2 2 3 8 5" xfId="16963"/>
    <cellStyle name="Output 2 2 3 8 6" xfId="36149"/>
    <cellStyle name="Output 2 2 3 8 7" xfId="46001"/>
    <cellStyle name="Output 2 2 3 8 8" xfId="54124"/>
    <cellStyle name="Output 2 2 3 9" xfId="16964"/>
    <cellStyle name="Output 2 2 3 9 2" xfId="16965"/>
    <cellStyle name="Output 2 2 3 9 3" xfId="16966"/>
    <cellStyle name="Output 2 2 3 9 4" xfId="16967"/>
    <cellStyle name="Output 2 2 3 9 5" xfId="16968"/>
    <cellStyle name="Output 2 2 3 9 6" xfId="37004"/>
    <cellStyle name="Output 2 2 3 9 7" xfId="46002"/>
    <cellStyle name="Output 2 2 3 9 8" xfId="54125"/>
    <cellStyle name="Output 2 2 4" xfId="380"/>
    <cellStyle name="Output 2 2 4 10" xfId="16969"/>
    <cellStyle name="Output 2 2 4 10 2" xfId="16970"/>
    <cellStyle name="Output 2 2 4 10 3" xfId="16971"/>
    <cellStyle name="Output 2 2 4 10 4" xfId="16972"/>
    <cellStyle name="Output 2 2 4 10 5" xfId="16973"/>
    <cellStyle name="Output 2 2 4 10 6" xfId="39558"/>
    <cellStyle name="Output 2 2 4 10 7" xfId="46003"/>
    <cellStyle name="Output 2 2 4 10 8" xfId="54126"/>
    <cellStyle name="Output 2 2 4 11" xfId="16974"/>
    <cellStyle name="Output 2 2 4 11 2" xfId="16975"/>
    <cellStyle name="Output 2 2 4 11 3" xfId="16976"/>
    <cellStyle name="Output 2 2 4 11 4" xfId="16977"/>
    <cellStyle name="Output 2 2 4 11 5" xfId="16978"/>
    <cellStyle name="Output 2 2 4 11 6" xfId="40174"/>
    <cellStyle name="Output 2 2 4 11 7" xfId="46004"/>
    <cellStyle name="Output 2 2 4 11 8" xfId="54127"/>
    <cellStyle name="Output 2 2 4 12" xfId="16979"/>
    <cellStyle name="Output 2 2 4 12 2" xfId="16980"/>
    <cellStyle name="Output 2 2 4 12 3" xfId="16981"/>
    <cellStyle name="Output 2 2 4 12 4" xfId="16982"/>
    <cellStyle name="Output 2 2 4 12 5" xfId="16983"/>
    <cellStyle name="Output 2 2 4 12 6" xfId="46005"/>
    <cellStyle name="Output 2 2 4 12 7" xfId="54128"/>
    <cellStyle name="Output 2 2 4 13" xfId="16984"/>
    <cellStyle name="Output 2 2 4 13 2" xfId="16985"/>
    <cellStyle name="Output 2 2 4 13 3" xfId="16986"/>
    <cellStyle name="Output 2 2 4 13 4" xfId="16987"/>
    <cellStyle name="Output 2 2 4 13 5" xfId="16988"/>
    <cellStyle name="Output 2 2 4 13 6" xfId="46006"/>
    <cellStyle name="Output 2 2 4 13 7" xfId="54129"/>
    <cellStyle name="Output 2 2 4 14" xfId="16989"/>
    <cellStyle name="Output 2 2 4 14 2" xfId="16990"/>
    <cellStyle name="Output 2 2 4 14 3" xfId="16991"/>
    <cellStyle name="Output 2 2 4 14 4" xfId="16992"/>
    <cellStyle name="Output 2 2 4 14 5" xfId="16993"/>
    <cellStyle name="Output 2 2 4 15" xfId="16994"/>
    <cellStyle name="Output 2 2 4 15 2" xfId="16995"/>
    <cellStyle name="Output 2 2 4 15 3" xfId="16996"/>
    <cellStyle name="Output 2 2 4 15 4" xfId="16997"/>
    <cellStyle name="Output 2 2 4 15 5" xfId="16998"/>
    <cellStyle name="Output 2 2 4 16" xfId="16999"/>
    <cellStyle name="Output 2 2 4 16 2" xfId="17000"/>
    <cellStyle name="Output 2 2 4 16 3" xfId="17001"/>
    <cellStyle name="Output 2 2 4 16 4" xfId="17002"/>
    <cellStyle name="Output 2 2 4 16 5" xfId="17003"/>
    <cellStyle name="Output 2 2 4 17" xfId="17004"/>
    <cellStyle name="Output 2 2 4 17 2" xfId="17005"/>
    <cellStyle name="Output 2 2 4 17 3" xfId="17006"/>
    <cellStyle name="Output 2 2 4 17 4" xfId="17007"/>
    <cellStyle name="Output 2 2 4 17 5" xfId="17008"/>
    <cellStyle name="Output 2 2 4 18" xfId="17009"/>
    <cellStyle name="Output 2 2 4 18 2" xfId="17010"/>
    <cellStyle name="Output 2 2 4 18 3" xfId="17011"/>
    <cellStyle name="Output 2 2 4 18 4" xfId="17012"/>
    <cellStyle name="Output 2 2 4 18 5" xfId="17013"/>
    <cellStyle name="Output 2 2 4 19" xfId="17014"/>
    <cellStyle name="Output 2 2 4 2" xfId="599"/>
    <cellStyle name="Output 2 2 4 2 10" xfId="17015"/>
    <cellStyle name="Output 2 2 4 2 10 2" xfId="17016"/>
    <cellStyle name="Output 2 2 4 2 10 3" xfId="17017"/>
    <cellStyle name="Output 2 2 4 2 10 4" xfId="17018"/>
    <cellStyle name="Output 2 2 4 2 10 5" xfId="17019"/>
    <cellStyle name="Output 2 2 4 2 10 6" xfId="46007"/>
    <cellStyle name="Output 2 2 4 2 10 7" xfId="54130"/>
    <cellStyle name="Output 2 2 4 2 11" xfId="17020"/>
    <cellStyle name="Output 2 2 4 2 11 2" xfId="17021"/>
    <cellStyle name="Output 2 2 4 2 11 3" xfId="17022"/>
    <cellStyle name="Output 2 2 4 2 11 4" xfId="17023"/>
    <cellStyle name="Output 2 2 4 2 11 5" xfId="17024"/>
    <cellStyle name="Output 2 2 4 2 12" xfId="17025"/>
    <cellStyle name="Output 2 2 4 2 12 2" xfId="17026"/>
    <cellStyle name="Output 2 2 4 2 12 3" xfId="17027"/>
    <cellStyle name="Output 2 2 4 2 12 4" xfId="17028"/>
    <cellStyle name="Output 2 2 4 2 12 5" xfId="17029"/>
    <cellStyle name="Output 2 2 4 2 13" xfId="17030"/>
    <cellStyle name="Output 2 2 4 2 13 2" xfId="17031"/>
    <cellStyle name="Output 2 2 4 2 13 3" xfId="17032"/>
    <cellStyle name="Output 2 2 4 2 13 4" xfId="17033"/>
    <cellStyle name="Output 2 2 4 2 13 5" xfId="17034"/>
    <cellStyle name="Output 2 2 4 2 14" xfId="17035"/>
    <cellStyle name="Output 2 2 4 2 14 2" xfId="17036"/>
    <cellStyle name="Output 2 2 4 2 14 3" xfId="17037"/>
    <cellStyle name="Output 2 2 4 2 14 4" xfId="17038"/>
    <cellStyle name="Output 2 2 4 2 14 5" xfId="17039"/>
    <cellStyle name="Output 2 2 4 2 15" xfId="17040"/>
    <cellStyle name="Output 2 2 4 2 15 2" xfId="17041"/>
    <cellStyle name="Output 2 2 4 2 15 3" xfId="17042"/>
    <cellStyle name="Output 2 2 4 2 15 4" xfId="17043"/>
    <cellStyle name="Output 2 2 4 2 15 5" xfId="17044"/>
    <cellStyle name="Output 2 2 4 2 16" xfId="17045"/>
    <cellStyle name="Output 2 2 4 2 16 2" xfId="17046"/>
    <cellStyle name="Output 2 2 4 2 16 3" xfId="17047"/>
    <cellStyle name="Output 2 2 4 2 16 4" xfId="17048"/>
    <cellStyle name="Output 2 2 4 2 16 5" xfId="17049"/>
    <cellStyle name="Output 2 2 4 2 17" xfId="17050"/>
    <cellStyle name="Output 2 2 4 2 17 2" xfId="17051"/>
    <cellStyle name="Output 2 2 4 2 17 3" xfId="17052"/>
    <cellStyle name="Output 2 2 4 2 17 4" xfId="17053"/>
    <cellStyle name="Output 2 2 4 2 17 5" xfId="17054"/>
    <cellStyle name="Output 2 2 4 2 18" xfId="17055"/>
    <cellStyle name="Output 2 2 4 2 18 2" xfId="17056"/>
    <cellStyle name="Output 2 2 4 2 18 3" xfId="17057"/>
    <cellStyle name="Output 2 2 4 2 18 4" xfId="17058"/>
    <cellStyle name="Output 2 2 4 2 18 5" xfId="17059"/>
    <cellStyle name="Output 2 2 4 2 19" xfId="17060"/>
    <cellStyle name="Output 2 2 4 2 2" xfId="2375"/>
    <cellStyle name="Output 2 2 4 2 2 2" xfId="17061"/>
    <cellStyle name="Output 2 2 4 2 2 3" xfId="17062"/>
    <cellStyle name="Output 2 2 4 2 2 4" xfId="17063"/>
    <cellStyle name="Output 2 2 4 2 2 5" xfId="17064"/>
    <cellStyle name="Output 2 2 4 2 2 6" xfId="36403"/>
    <cellStyle name="Output 2 2 4 2 2 7" xfId="46008"/>
    <cellStyle name="Output 2 2 4 2 2 8" xfId="54131"/>
    <cellStyle name="Output 2 2 4 2 20" xfId="1028"/>
    <cellStyle name="Output 2 2 4 2 21" xfId="35108"/>
    <cellStyle name="Output 2 2 4 2 22" xfId="41327"/>
    <cellStyle name="Output 2 2 4 2 3" xfId="2376"/>
    <cellStyle name="Output 2 2 4 2 3 2" xfId="17065"/>
    <cellStyle name="Output 2 2 4 2 3 3" xfId="17066"/>
    <cellStyle name="Output 2 2 4 2 3 4" xfId="17067"/>
    <cellStyle name="Output 2 2 4 2 3 5" xfId="17068"/>
    <cellStyle name="Output 2 2 4 2 3 6" xfId="36900"/>
    <cellStyle name="Output 2 2 4 2 3 7" xfId="46009"/>
    <cellStyle name="Output 2 2 4 2 3 8" xfId="54132"/>
    <cellStyle name="Output 2 2 4 2 4" xfId="1300"/>
    <cellStyle name="Output 2 2 4 2 4 2" xfId="17069"/>
    <cellStyle name="Output 2 2 4 2 4 3" xfId="17070"/>
    <cellStyle name="Output 2 2 4 2 4 4" xfId="17071"/>
    <cellStyle name="Output 2 2 4 2 4 5" xfId="17072"/>
    <cellStyle name="Output 2 2 4 2 4 6" xfId="37516"/>
    <cellStyle name="Output 2 2 4 2 4 7" xfId="46010"/>
    <cellStyle name="Output 2 2 4 2 4 8" xfId="54133"/>
    <cellStyle name="Output 2 2 4 2 5" xfId="3368"/>
    <cellStyle name="Output 2 2 4 2 5 2" xfId="17073"/>
    <cellStyle name="Output 2 2 4 2 5 3" xfId="17074"/>
    <cellStyle name="Output 2 2 4 2 5 4" xfId="17075"/>
    <cellStyle name="Output 2 2 4 2 5 5" xfId="17076"/>
    <cellStyle name="Output 2 2 4 2 5 6" xfId="38132"/>
    <cellStyle name="Output 2 2 4 2 5 7" xfId="46011"/>
    <cellStyle name="Output 2 2 4 2 5 8" xfId="54134"/>
    <cellStyle name="Output 2 2 4 2 6" xfId="3690"/>
    <cellStyle name="Output 2 2 4 2 6 2" xfId="17077"/>
    <cellStyle name="Output 2 2 4 2 6 3" xfId="17078"/>
    <cellStyle name="Output 2 2 4 2 6 4" xfId="17079"/>
    <cellStyle name="Output 2 2 4 2 6 5" xfId="17080"/>
    <cellStyle name="Output 2 2 4 2 6 6" xfId="38750"/>
    <cellStyle name="Output 2 2 4 2 6 7" xfId="46012"/>
    <cellStyle name="Output 2 2 4 2 6 8" xfId="54135"/>
    <cellStyle name="Output 2 2 4 2 7" xfId="17081"/>
    <cellStyle name="Output 2 2 4 2 7 2" xfId="17082"/>
    <cellStyle name="Output 2 2 4 2 7 3" xfId="17083"/>
    <cellStyle name="Output 2 2 4 2 7 4" xfId="17084"/>
    <cellStyle name="Output 2 2 4 2 7 5" xfId="17085"/>
    <cellStyle name="Output 2 2 4 2 7 6" xfId="39370"/>
    <cellStyle name="Output 2 2 4 2 7 7" xfId="46013"/>
    <cellStyle name="Output 2 2 4 2 7 8" xfId="54136"/>
    <cellStyle name="Output 2 2 4 2 8" xfId="17086"/>
    <cellStyle name="Output 2 2 4 2 8 2" xfId="17087"/>
    <cellStyle name="Output 2 2 4 2 8 3" xfId="17088"/>
    <cellStyle name="Output 2 2 4 2 8 4" xfId="17089"/>
    <cellStyle name="Output 2 2 4 2 8 5" xfId="17090"/>
    <cellStyle name="Output 2 2 4 2 8 6" xfId="39986"/>
    <cellStyle name="Output 2 2 4 2 8 7" xfId="46014"/>
    <cellStyle name="Output 2 2 4 2 8 8" xfId="54137"/>
    <cellStyle name="Output 2 2 4 2 9" xfId="17091"/>
    <cellStyle name="Output 2 2 4 2 9 2" xfId="17092"/>
    <cellStyle name="Output 2 2 4 2 9 3" xfId="17093"/>
    <cellStyle name="Output 2 2 4 2 9 4" xfId="17094"/>
    <cellStyle name="Output 2 2 4 2 9 5" xfId="17095"/>
    <cellStyle name="Output 2 2 4 2 9 6" xfId="40601"/>
    <cellStyle name="Output 2 2 4 2 9 7" xfId="46015"/>
    <cellStyle name="Output 2 2 4 2 9 8" xfId="54138"/>
    <cellStyle name="Output 2 2 4 20" xfId="816"/>
    <cellStyle name="Output 2 2 4 21" xfId="34717"/>
    <cellStyle name="Output 2 2 4 22" xfId="40900"/>
    <cellStyle name="Output 2 2 4 23" xfId="41461"/>
    <cellStyle name="Output 2 2 4 24" xfId="50548"/>
    <cellStyle name="Output 2 2 4 3" xfId="2377"/>
    <cellStyle name="Output 2 2 4 3 10" xfId="34904"/>
    <cellStyle name="Output 2 2 4 3 10 2" xfId="46017"/>
    <cellStyle name="Output 2 2 4 3 10 3" xfId="54140"/>
    <cellStyle name="Output 2 2 4 3 11" xfId="41115"/>
    <cellStyle name="Output 2 2 4 3 12" xfId="46016"/>
    <cellStyle name="Output 2 2 4 3 13" xfId="54139"/>
    <cellStyle name="Output 2 2 4 3 2" xfId="2378"/>
    <cellStyle name="Output 2 2 4 3 2 2" xfId="36192"/>
    <cellStyle name="Output 2 2 4 3 2 3" xfId="46018"/>
    <cellStyle name="Output 2 2 4 3 2 4" xfId="54141"/>
    <cellStyle name="Output 2 2 4 3 3" xfId="2379"/>
    <cellStyle name="Output 2 2 4 3 3 2" xfId="36689"/>
    <cellStyle name="Output 2 2 4 3 3 3" xfId="46019"/>
    <cellStyle name="Output 2 2 4 3 3 4" xfId="54142"/>
    <cellStyle name="Output 2 2 4 3 4" xfId="17096"/>
    <cellStyle name="Output 2 2 4 3 4 2" xfId="37305"/>
    <cellStyle name="Output 2 2 4 3 4 3" xfId="46020"/>
    <cellStyle name="Output 2 2 4 3 4 4" xfId="54143"/>
    <cellStyle name="Output 2 2 4 3 5" xfId="17097"/>
    <cellStyle name="Output 2 2 4 3 5 2" xfId="37921"/>
    <cellStyle name="Output 2 2 4 3 5 3" xfId="46021"/>
    <cellStyle name="Output 2 2 4 3 5 4" xfId="54144"/>
    <cellStyle name="Output 2 2 4 3 6" xfId="38538"/>
    <cellStyle name="Output 2 2 4 3 6 2" xfId="46022"/>
    <cellStyle name="Output 2 2 4 3 6 3" xfId="54145"/>
    <cellStyle name="Output 2 2 4 3 7" xfId="39158"/>
    <cellStyle name="Output 2 2 4 3 7 2" xfId="46023"/>
    <cellStyle name="Output 2 2 4 3 7 3" xfId="54146"/>
    <cellStyle name="Output 2 2 4 3 8" xfId="39774"/>
    <cellStyle name="Output 2 2 4 3 8 2" xfId="46024"/>
    <cellStyle name="Output 2 2 4 3 8 3" xfId="54147"/>
    <cellStyle name="Output 2 2 4 3 9" xfId="40389"/>
    <cellStyle name="Output 2 2 4 3 9 2" xfId="46025"/>
    <cellStyle name="Output 2 2 4 3 9 3" xfId="54148"/>
    <cellStyle name="Output 2 2 4 4" xfId="2380"/>
    <cellStyle name="Output 2 2 4 4 10" xfId="46026"/>
    <cellStyle name="Output 2 2 4 4 11" xfId="54149"/>
    <cellStyle name="Output 2 2 4 4 2" xfId="17098"/>
    <cellStyle name="Output 2 2 4 4 2 2" xfId="46027"/>
    <cellStyle name="Output 2 2 4 4 2 3" xfId="54150"/>
    <cellStyle name="Output 2 2 4 4 3" xfId="17099"/>
    <cellStyle name="Output 2 2 4 4 3 2" xfId="46028"/>
    <cellStyle name="Output 2 2 4 4 3 3" xfId="54151"/>
    <cellStyle name="Output 2 2 4 4 4" xfId="17100"/>
    <cellStyle name="Output 2 2 4 4 4 2" xfId="46029"/>
    <cellStyle name="Output 2 2 4 4 4 3" xfId="54152"/>
    <cellStyle name="Output 2 2 4 4 5" xfId="17101"/>
    <cellStyle name="Output 2 2 4 4 5 2" xfId="46030"/>
    <cellStyle name="Output 2 2 4 4 5 3" xfId="54153"/>
    <cellStyle name="Output 2 2 4 4 6" xfId="35647"/>
    <cellStyle name="Output 2 2 4 4 6 2" xfId="46031"/>
    <cellStyle name="Output 2 2 4 4 6 3" xfId="54154"/>
    <cellStyle name="Output 2 2 4 4 7" xfId="46032"/>
    <cellStyle name="Output 2 2 4 4 7 2" xfId="54155"/>
    <cellStyle name="Output 2 2 4 4 8" xfId="46033"/>
    <cellStyle name="Output 2 2 4 4 8 2" xfId="54156"/>
    <cellStyle name="Output 2 2 4 4 9" xfId="46034"/>
    <cellStyle name="Output 2 2 4 4 9 2" xfId="54157"/>
    <cellStyle name="Output 2 2 4 5" xfId="1299"/>
    <cellStyle name="Output 2 2 4 5 2" xfId="17102"/>
    <cellStyle name="Output 2 2 4 5 3" xfId="17103"/>
    <cellStyle name="Output 2 2 4 5 4" xfId="17104"/>
    <cellStyle name="Output 2 2 4 5 5" xfId="17105"/>
    <cellStyle name="Output 2 2 4 5 6" xfId="35747"/>
    <cellStyle name="Output 2 2 4 5 7" xfId="46035"/>
    <cellStyle name="Output 2 2 4 5 8" xfId="54158"/>
    <cellStyle name="Output 2 2 4 6" xfId="3367"/>
    <cellStyle name="Output 2 2 4 6 2" xfId="17106"/>
    <cellStyle name="Output 2 2 4 6 3" xfId="17107"/>
    <cellStyle name="Output 2 2 4 6 4" xfId="17108"/>
    <cellStyle name="Output 2 2 4 6 5" xfId="17109"/>
    <cellStyle name="Output 2 2 4 6 6" xfId="37090"/>
    <cellStyle name="Output 2 2 4 6 7" xfId="46036"/>
    <cellStyle name="Output 2 2 4 6 8" xfId="54159"/>
    <cellStyle name="Output 2 2 4 7" xfId="3689"/>
    <cellStyle name="Output 2 2 4 7 2" xfId="17110"/>
    <cellStyle name="Output 2 2 4 7 3" xfId="17111"/>
    <cellStyle name="Output 2 2 4 7 4" xfId="17112"/>
    <cellStyle name="Output 2 2 4 7 5" xfId="17113"/>
    <cellStyle name="Output 2 2 4 7 6" xfId="37704"/>
    <cellStyle name="Output 2 2 4 7 7" xfId="46037"/>
    <cellStyle name="Output 2 2 4 7 8" xfId="54160"/>
    <cellStyle name="Output 2 2 4 8" xfId="17114"/>
    <cellStyle name="Output 2 2 4 8 2" xfId="17115"/>
    <cellStyle name="Output 2 2 4 8 3" xfId="17116"/>
    <cellStyle name="Output 2 2 4 8 4" xfId="17117"/>
    <cellStyle name="Output 2 2 4 8 5" xfId="17118"/>
    <cellStyle name="Output 2 2 4 8 6" xfId="38319"/>
    <cellStyle name="Output 2 2 4 8 7" xfId="46038"/>
    <cellStyle name="Output 2 2 4 8 8" xfId="54161"/>
    <cellStyle name="Output 2 2 4 9" xfId="17119"/>
    <cellStyle name="Output 2 2 4 9 2" xfId="17120"/>
    <cellStyle name="Output 2 2 4 9 3" xfId="17121"/>
    <cellStyle name="Output 2 2 4 9 4" xfId="17122"/>
    <cellStyle name="Output 2 2 4 9 5" xfId="17123"/>
    <cellStyle name="Output 2 2 4 9 6" xfId="38939"/>
    <cellStyle name="Output 2 2 4 9 7" xfId="46039"/>
    <cellStyle name="Output 2 2 4 9 8" xfId="54162"/>
    <cellStyle name="Output 2 2 5" xfId="381"/>
    <cellStyle name="Output 2 2 5 10" xfId="17124"/>
    <cellStyle name="Output 2 2 5 10 2" xfId="17125"/>
    <cellStyle name="Output 2 2 5 10 3" xfId="17126"/>
    <cellStyle name="Output 2 2 5 10 4" xfId="17127"/>
    <cellStyle name="Output 2 2 5 10 5" xfId="17128"/>
    <cellStyle name="Output 2 2 5 10 6" xfId="40175"/>
    <cellStyle name="Output 2 2 5 10 7" xfId="46040"/>
    <cellStyle name="Output 2 2 5 10 8" xfId="54163"/>
    <cellStyle name="Output 2 2 5 11" xfId="17129"/>
    <cellStyle name="Output 2 2 5 11 2" xfId="17130"/>
    <cellStyle name="Output 2 2 5 11 3" xfId="17131"/>
    <cellStyle name="Output 2 2 5 11 4" xfId="17132"/>
    <cellStyle name="Output 2 2 5 11 5" xfId="17133"/>
    <cellStyle name="Output 2 2 5 11 6" xfId="46041"/>
    <cellStyle name="Output 2 2 5 11 7" xfId="54164"/>
    <cellStyle name="Output 2 2 5 12" xfId="17134"/>
    <cellStyle name="Output 2 2 5 12 2" xfId="17135"/>
    <cellStyle name="Output 2 2 5 12 3" xfId="17136"/>
    <cellStyle name="Output 2 2 5 12 4" xfId="17137"/>
    <cellStyle name="Output 2 2 5 12 5" xfId="17138"/>
    <cellStyle name="Output 2 2 5 12 6" xfId="46042"/>
    <cellStyle name="Output 2 2 5 12 7" xfId="54165"/>
    <cellStyle name="Output 2 2 5 13" xfId="17139"/>
    <cellStyle name="Output 2 2 5 13 2" xfId="17140"/>
    <cellStyle name="Output 2 2 5 13 3" xfId="17141"/>
    <cellStyle name="Output 2 2 5 13 4" xfId="17142"/>
    <cellStyle name="Output 2 2 5 13 5" xfId="17143"/>
    <cellStyle name="Output 2 2 5 13 6" xfId="46043"/>
    <cellStyle name="Output 2 2 5 13 7" xfId="54166"/>
    <cellStyle name="Output 2 2 5 14" xfId="17144"/>
    <cellStyle name="Output 2 2 5 14 2" xfId="17145"/>
    <cellStyle name="Output 2 2 5 14 3" xfId="17146"/>
    <cellStyle name="Output 2 2 5 14 4" xfId="17147"/>
    <cellStyle name="Output 2 2 5 14 5" xfId="17148"/>
    <cellStyle name="Output 2 2 5 15" xfId="17149"/>
    <cellStyle name="Output 2 2 5 15 2" xfId="17150"/>
    <cellStyle name="Output 2 2 5 15 3" xfId="17151"/>
    <cellStyle name="Output 2 2 5 15 4" xfId="17152"/>
    <cellStyle name="Output 2 2 5 15 5" xfId="17153"/>
    <cellStyle name="Output 2 2 5 16" xfId="17154"/>
    <cellStyle name="Output 2 2 5 16 2" xfId="17155"/>
    <cellStyle name="Output 2 2 5 16 3" xfId="17156"/>
    <cellStyle name="Output 2 2 5 16 4" xfId="17157"/>
    <cellStyle name="Output 2 2 5 16 5" xfId="17158"/>
    <cellStyle name="Output 2 2 5 17" xfId="17159"/>
    <cellStyle name="Output 2 2 5 17 2" xfId="17160"/>
    <cellStyle name="Output 2 2 5 17 3" xfId="17161"/>
    <cellStyle name="Output 2 2 5 17 4" xfId="17162"/>
    <cellStyle name="Output 2 2 5 17 5" xfId="17163"/>
    <cellStyle name="Output 2 2 5 18" xfId="17164"/>
    <cellStyle name="Output 2 2 5 18 2" xfId="17165"/>
    <cellStyle name="Output 2 2 5 18 3" xfId="17166"/>
    <cellStyle name="Output 2 2 5 18 4" xfId="17167"/>
    <cellStyle name="Output 2 2 5 18 5" xfId="17168"/>
    <cellStyle name="Output 2 2 5 19" xfId="17169"/>
    <cellStyle name="Output 2 2 5 2" xfId="600"/>
    <cellStyle name="Output 2 2 5 2 10" xfId="17170"/>
    <cellStyle name="Output 2 2 5 2 10 2" xfId="17171"/>
    <cellStyle name="Output 2 2 5 2 10 3" xfId="17172"/>
    <cellStyle name="Output 2 2 5 2 10 4" xfId="17173"/>
    <cellStyle name="Output 2 2 5 2 10 5" xfId="17174"/>
    <cellStyle name="Output 2 2 5 2 10 6" xfId="46044"/>
    <cellStyle name="Output 2 2 5 2 10 7" xfId="54167"/>
    <cellStyle name="Output 2 2 5 2 11" xfId="17175"/>
    <cellStyle name="Output 2 2 5 2 11 2" xfId="17176"/>
    <cellStyle name="Output 2 2 5 2 11 3" xfId="17177"/>
    <cellStyle name="Output 2 2 5 2 11 4" xfId="17178"/>
    <cellStyle name="Output 2 2 5 2 11 5" xfId="17179"/>
    <cellStyle name="Output 2 2 5 2 12" xfId="17180"/>
    <cellStyle name="Output 2 2 5 2 12 2" xfId="17181"/>
    <cellStyle name="Output 2 2 5 2 12 3" xfId="17182"/>
    <cellStyle name="Output 2 2 5 2 12 4" xfId="17183"/>
    <cellStyle name="Output 2 2 5 2 12 5" xfId="17184"/>
    <cellStyle name="Output 2 2 5 2 13" xfId="17185"/>
    <cellStyle name="Output 2 2 5 2 13 2" xfId="17186"/>
    <cellStyle name="Output 2 2 5 2 13 3" xfId="17187"/>
    <cellStyle name="Output 2 2 5 2 13 4" xfId="17188"/>
    <cellStyle name="Output 2 2 5 2 13 5" xfId="17189"/>
    <cellStyle name="Output 2 2 5 2 14" xfId="17190"/>
    <cellStyle name="Output 2 2 5 2 14 2" xfId="17191"/>
    <cellStyle name="Output 2 2 5 2 14 3" xfId="17192"/>
    <cellStyle name="Output 2 2 5 2 14 4" xfId="17193"/>
    <cellStyle name="Output 2 2 5 2 14 5" xfId="17194"/>
    <cellStyle name="Output 2 2 5 2 15" xfId="17195"/>
    <cellStyle name="Output 2 2 5 2 15 2" xfId="17196"/>
    <cellStyle name="Output 2 2 5 2 15 3" xfId="17197"/>
    <cellStyle name="Output 2 2 5 2 15 4" xfId="17198"/>
    <cellStyle name="Output 2 2 5 2 15 5" xfId="17199"/>
    <cellStyle name="Output 2 2 5 2 16" xfId="17200"/>
    <cellStyle name="Output 2 2 5 2 16 2" xfId="17201"/>
    <cellStyle name="Output 2 2 5 2 16 3" xfId="17202"/>
    <cellStyle name="Output 2 2 5 2 16 4" xfId="17203"/>
    <cellStyle name="Output 2 2 5 2 16 5" xfId="17204"/>
    <cellStyle name="Output 2 2 5 2 17" xfId="17205"/>
    <cellStyle name="Output 2 2 5 2 17 2" xfId="17206"/>
    <cellStyle name="Output 2 2 5 2 17 3" xfId="17207"/>
    <cellStyle name="Output 2 2 5 2 17 4" xfId="17208"/>
    <cellStyle name="Output 2 2 5 2 17 5" xfId="17209"/>
    <cellStyle name="Output 2 2 5 2 18" xfId="17210"/>
    <cellStyle name="Output 2 2 5 2 18 2" xfId="17211"/>
    <cellStyle name="Output 2 2 5 2 18 3" xfId="17212"/>
    <cellStyle name="Output 2 2 5 2 18 4" xfId="17213"/>
    <cellStyle name="Output 2 2 5 2 18 5" xfId="17214"/>
    <cellStyle name="Output 2 2 5 2 19" xfId="17215"/>
    <cellStyle name="Output 2 2 5 2 2" xfId="2381"/>
    <cellStyle name="Output 2 2 5 2 2 2" xfId="17216"/>
    <cellStyle name="Output 2 2 5 2 2 3" xfId="17217"/>
    <cellStyle name="Output 2 2 5 2 2 4" xfId="17218"/>
    <cellStyle name="Output 2 2 5 2 2 5" xfId="17219"/>
    <cellStyle name="Output 2 2 5 2 2 6" xfId="36404"/>
    <cellStyle name="Output 2 2 5 2 2 7" xfId="46045"/>
    <cellStyle name="Output 2 2 5 2 2 8" xfId="54168"/>
    <cellStyle name="Output 2 2 5 2 20" xfId="1029"/>
    <cellStyle name="Output 2 2 5 2 21" xfId="35109"/>
    <cellStyle name="Output 2 2 5 2 22" xfId="41328"/>
    <cellStyle name="Output 2 2 5 2 3" xfId="2382"/>
    <cellStyle name="Output 2 2 5 2 3 2" xfId="17220"/>
    <cellStyle name="Output 2 2 5 2 3 3" xfId="17221"/>
    <cellStyle name="Output 2 2 5 2 3 4" xfId="17222"/>
    <cellStyle name="Output 2 2 5 2 3 5" xfId="17223"/>
    <cellStyle name="Output 2 2 5 2 3 6" xfId="36901"/>
    <cellStyle name="Output 2 2 5 2 3 7" xfId="46046"/>
    <cellStyle name="Output 2 2 5 2 3 8" xfId="54169"/>
    <cellStyle name="Output 2 2 5 2 4" xfId="1302"/>
    <cellStyle name="Output 2 2 5 2 4 2" xfId="17224"/>
    <cellStyle name="Output 2 2 5 2 4 3" xfId="17225"/>
    <cellStyle name="Output 2 2 5 2 4 4" xfId="17226"/>
    <cellStyle name="Output 2 2 5 2 4 5" xfId="17227"/>
    <cellStyle name="Output 2 2 5 2 4 6" xfId="37517"/>
    <cellStyle name="Output 2 2 5 2 4 7" xfId="46047"/>
    <cellStyle name="Output 2 2 5 2 4 8" xfId="54170"/>
    <cellStyle name="Output 2 2 5 2 5" xfId="3370"/>
    <cellStyle name="Output 2 2 5 2 5 2" xfId="17228"/>
    <cellStyle name="Output 2 2 5 2 5 3" xfId="17229"/>
    <cellStyle name="Output 2 2 5 2 5 4" xfId="17230"/>
    <cellStyle name="Output 2 2 5 2 5 5" xfId="17231"/>
    <cellStyle name="Output 2 2 5 2 5 6" xfId="38133"/>
    <cellStyle name="Output 2 2 5 2 5 7" xfId="46048"/>
    <cellStyle name="Output 2 2 5 2 5 8" xfId="54171"/>
    <cellStyle name="Output 2 2 5 2 6" xfId="3692"/>
    <cellStyle name="Output 2 2 5 2 6 2" xfId="17232"/>
    <cellStyle name="Output 2 2 5 2 6 3" xfId="17233"/>
    <cellStyle name="Output 2 2 5 2 6 4" xfId="17234"/>
    <cellStyle name="Output 2 2 5 2 6 5" xfId="17235"/>
    <cellStyle name="Output 2 2 5 2 6 6" xfId="38751"/>
    <cellStyle name="Output 2 2 5 2 6 7" xfId="46049"/>
    <cellStyle name="Output 2 2 5 2 6 8" xfId="54172"/>
    <cellStyle name="Output 2 2 5 2 7" xfId="17236"/>
    <cellStyle name="Output 2 2 5 2 7 2" xfId="17237"/>
    <cellStyle name="Output 2 2 5 2 7 3" xfId="17238"/>
    <cellStyle name="Output 2 2 5 2 7 4" xfId="17239"/>
    <cellStyle name="Output 2 2 5 2 7 5" xfId="17240"/>
    <cellStyle name="Output 2 2 5 2 7 6" xfId="39371"/>
    <cellStyle name="Output 2 2 5 2 7 7" xfId="46050"/>
    <cellStyle name="Output 2 2 5 2 7 8" xfId="54173"/>
    <cellStyle name="Output 2 2 5 2 8" xfId="17241"/>
    <cellStyle name="Output 2 2 5 2 8 2" xfId="17242"/>
    <cellStyle name="Output 2 2 5 2 8 3" xfId="17243"/>
    <cellStyle name="Output 2 2 5 2 8 4" xfId="17244"/>
    <cellStyle name="Output 2 2 5 2 8 5" xfId="17245"/>
    <cellStyle name="Output 2 2 5 2 8 6" xfId="39987"/>
    <cellStyle name="Output 2 2 5 2 8 7" xfId="46051"/>
    <cellStyle name="Output 2 2 5 2 8 8" xfId="54174"/>
    <cellStyle name="Output 2 2 5 2 9" xfId="17246"/>
    <cellStyle name="Output 2 2 5 2 9 2" xfId="17247"/>
    <cellStyle name="Output 2 2 5 2 9 3" xfId="17248"/>
    <cellStyle name="Output 2 2 5 2 9 4" xfId="17249"/>
    <cellStyle name="Output 2 2 5 2 9 5" xfId="17250"/>
    <cellStyle name="Output 2 2 5 2 9 6" xfId="40602"/>
    <cellStyle name="Output 2 2 5 2 9 7" xfId="46052"/>
    <cellStyle name="Output 2 2 5 2 9 8" xfId="54175"/>
    <cellStyle name="Output 2 2 5 20" xfId="817"/>
    <cellStyle name="Output 2 2 5 21" xfId="34716"/>
    <cellStyle name="Output 2 2 5 22" xfId="40901"/>
    <cellStyle name="Output 2 2 5 23" xfId="41462"/>
    <cellStyle name="Output 2 2 5 24" xfId="50549"/>
    <cellStyle name="Output 2 2 5 3" xfId="2383"/>
    <cellStyle name="Output 2 2 5 3 10" xfId="34791"/>
    <cellStyle name="Output 2 2 5 3 10 2" xfId="46054"/>
    <cellStyle name="Output 2 2 5 3 10 3" xfId="54177"/>
    <cellStyle name="Output 2 2 5 3 11" xfId="41116"/>
    <cellStyle name="Output 2 2 5 3 12" xfId="46053"/>
    <cellStyle name="Output 2 2 5 3 13" xfId="54176"/>
    <cellStyle name="Output 2 2 5 3 2" xfId="2384"/>
    <cellStyle name="Output 2 2 5 3 2 2" xfId="36193"/>
    <cellStyle name="Output 2 2 5 3 2 3" xfId="46055"/>
    <cellStyle name="Output 2 2 5 3 2 4" xfId="54178"/>
    <cellStyle name="Output 2 2 5 3 3" xfId="2385"/>
    <cellStyle name="Output 2 2 5 3 3 2" xfId="36690"/>
    <cellStyle name="Output 2 2 5 3 3 3" xfId="46056"/>
    <cellStyle name="Output 2 2 5 3 3 4" xfId="54179"/>
    <cellStyle name="Output 2 2 5 3 4" xfId="17251"/>
    <cellStyle name="Output 2 2 5 3 4 2" xfId="37306"/>
    <cellStyle name="Output 2 2 5 3 4 3" xfId="46057"/>
    <cellStyle name="Output 2 2 5 3 4 4" xfId="54180"/>
    <cellStyle name="Output 2 2 5 3 5" xfId="17252"/>
    <cellStyle name="Output 2 2 5 3 5 2" xfId="37922"/>
    <cellStyle name="Output 2 2 5 3 5 3" xfId="46058"/>
    <cellStyle name="Output 2 2 5 3 5 4" xfId="54181"/>
    <cellStyle name="Output 2 2 5 3 6" xfId="38539"/>
    <cellStyle name="Output 2 2 5 3 6 2" xfId="46059"/>
    <cellStyle name="Output 2 2 5 3 6 3" xfId="54182"/>
    <cellStyle name="Output 2 2 5 3 7" xfId="39159"/>
    <cellStyle name="Output 2 2 5 3 7 2" xfId="46060"/>
    <cellStyle name="Output 2 2 5 3 7 3" xfId="54183"/>
    <cellStyle name="Output 2 2 5 3 8" xfId="39775"/>
    <cellStyle name="Output 2 2 5 3 8 2" xfId="46061"/>
    <cellStyle name="Output 2 2 5 3 8 3" xfId="54184"/>
    <cellStyle name="Output 2 2 5 3 9" xfId="40390"/>
    <cellStyle name="Output 2 2 5 3 9 2" xfId="46062"/>
    <cellStyle name="Output 2 2 5 3 9 3" xfId="54185"/>
    <cellStyle name="Output 2 2 5 4" xfId="2386"/>
    <cellStyle name="Output 2 2 5 4 10" xfId="46063"/>
    <cellStyle name="Output 2 2 5 4 11" xfId="54186"/>
    <cellStyle name="Output 2 2 5 4 2" xfId="17253"/>
    <cellStyle name="Output 2 2 5 4 2 2" xfId="46064"/>
    <cellStyle name="Output 2 2 5 4 2 3" xfId="54187"/>
    <cellStyle name="Output 2 2 5 4 3" xfId="17254"/>
    <cellStyle name="Output 2 2 5 4 3 2" xfId="46065"/>
    <cellStyle name="Output 2 2 5 4 3 3" xfId="54188"/>
    <cellStyle name="Output 2 2 5 4 4" xfId="17255"/>
    <cellStyle name="Output 2 2 5 4 4 2" xfId="46066"/>
    <cellStyle name="Output 2 2 5 4 4 3" xfId="54189"/>
    <cellStyle name="Output 2 2 5 4 5" xfId="17256"/>
    <cellStyle name="Output 2 2 5 4 5 2" xfId="46067"/>
    <cellStyle name="Output 2 2 5 4 5 3" xfId="54190"/>
    <cellStyle name="Output 2 2 5 4 6" xfId="35746"/>
    <cellStyle name="Output 2 2 5 4 6 2" xfId="46068"/>
    <cellStyle name="Output 2 2 5 4 6 3" xfId="54191"/>
    <cellStyle name="Output 2 2 5 4 7" xfId="46069"/>
    <cellStyle name="Output 2 2 5 4 7 2" xfId="54192"/>
    <cellStyle name="Output 2 2 5 4 8" xfId="46070"/>
    <cellStyle name="Output 2 2 5 4 8 2" xfId="54193"/>
    <cellStyle name="Output 2 2 5 4 9" xfId="46071"/>
    <cellStyle name="Output 2 2 5 4 9 2" xfId="54194"/>
    <cellStyle name="Output 2 2 5 5" xfId="1301"/>
    <cellStyle name="Output 2 2 5 5 2" xfId="17257"/>
    <cellStyle name="Output 2 2 5 5 3" xfId="17258"/>
    <cellStyle name="Output 2 2 5 5 4" xfId="17259"/>
    <cellStyle name="Output 2 2 5 5 5" xfId="17260"/>
    <cellStyle name="Output 2 2 5 5 6" xfId="37091"/>
    <cellStyle name="Output 2 2 5 5 7" xfId="46072"/>
    <cellStyle name="Output 2 2 5 5 8" xfId="54195"/>
    <cellStyle name="Output 2 2 5 6" xfId="3369"/>
    <cellStyle name="Output 2 2 5 6 2" xfId="17261"/>
    <cellStyle name="Output 2 2 5 6 3" xfId="17262"/>
    <cellStyle name="Output 2 2 5 6 4" xfId="17263"/>
    <cellStyle name="Output 2 2 5 6 5" xfId="17264"/>
    <cellStyle name="Output 2 2 5 6 6" xfId="37705"/>
    <cellStyle name="Output 2 2 5 6 7" xfId="46073"/>
    <cellStyle name="Output 2 2 5 6 8" xfId="54196"/>
    <cellStyle name="Output 2 2 5 7" xfId="3691"/>
    <cellStyle name="Output 2 2 5 7 2" xfId="17265"/>
    <cellStyle name="Output 2 2 5 7 3" xfId="17266"/>
    <cellStyle name="Output 2 2 5 7 4" xfId="17267"/>
    <cellStyle name="Output 2 2 5 7 5" xfId="17268"/>
    <cellStyle name="Output 2 2 5 7 6" xfId="38320"/>
    <cellStyle name="Output 2 2 5 7 7" xfId="46074"/>
    <cellStyle name="Output 2 2 5 7 8" xfId="54197"/>
    <cellStyle name="Output 2 2 5 8" xfId="17269"/>
    <cellStyle name="Output 2 2 5 8 2" xfId="17270"/>
    <cellStyle name="Output 2 2 5 8 3" xfId="17271"/>
    <cellStyle name="Output 2 2 5 8 4" xfId="17272"/>
    <cellStyle name="Output 2 2 5 8 5" xfId="17273"/>
    <cellStyle name="Output 2 2 5 8 6" xfId="38940"/>
    <cellStyle name="Output 2 2 5 8 7" xfId="46075"/>
    <cellStyle name="Output 2 2 5 8 8" xfId="54198"/>
    <cellStyle name="Output 2 2 5 9" xfId="17274"/>
    <cellStyle name="Output 2 2 5 9 2" xfId="17275"/>
    <cellStyle name="Output 2 2 5 9 3" xfId="17276"/>
    <cellStyle name="Output 2 2 5 9 4" xfId="17277"/>
    <cellStyle name="Output 2 2 5 9 5" xfId="17278"/>
    <cellStyle name="Output 2 2 5 9 6" xfId="39559"/>
    <cellStyle name="Output 2 2 5 9 7" xfId="46076"/>
    <cellStyle name="Output 2 2 5 9 8" xfId="54199"/>
    <cellStyle name="Output 2 2 6" xfId="471"/>
    <cellStyle name="Output 2 2 6 10" xfId="17279"/>
    <cellStyle name="Output 2 2 6 10 2" xfId="17280"/>
    <cellStyle name="Output 2 2 6 10 3" xfId="17281"/>
    <cellStyle name="Output 2 2 6 10 4" xfId="17282"/>
    <cellStyle name="Output 2 2 6 10 5" xfId="17283"/>
    <cellStyle name="Output 2 2 6 10 6" xfId="46077"/>
    <cellStyle name="Output 2 2 6 10 7" xfId="54200"/>
    <cellStyle name="Output 2 2 6 11" xfId="17284"/>
    <cellStyle name="Output 2 2 6 11 2" xfId="17285"/>
    <cellStyle name="Output 2 2 6 11 3" xfId="17286"/>
    <cellStyle name="Output 2 2 6 11 4" xfId="17287"/>
    <cellStyle name="Output 2 2 6 11 5" xfId="17288"/>
    <cellStyle name="Output 2 2 6 12" xfId="17289"/>
    <cellStyle name="Output 2 2 6 12 2" xfId="17290"/>
    <cellStyle name="Output 2 2 6 12 3" xfId="17291"/>
    <cellStyle name="Output 2 2 6 12 4" xfId="17292"/>
    <cellStyle name="Output 2 2 6 12 5" xfId="17293"/>
    <cellStyle name="Output 2 2 6 13" xfId="17294"/>
    <cellStyle name="Output 2 2 6 13 2" xfId="17295"/>
    <cellStyle name="Output 2 2 6 13 3" xfId="17296"/>
    <cellStyle name="Output 2 2 6 13 4" xfId="17297"/>
    <cellStyle name="Output 2 2 6 13 5" xfId="17298"/>
    <cellStyle name="Output 2 2 6 14" xfId="17299"/>
    <cellStyle name="Output 2 2 6 14 2" xfId="17300"/>
    <cellStyle name="Output 2 2 6 14 3" xfId="17301"/>
    <cellStyle name="Output 2 2 6 14 4" xfId="17302"/>
    <cellStyle name="Output 2 2 6 14 5" xfId="17303"/>
    <cellStyle name="Output 2 2 6 15" xfId="17304"/>
    <cellStyle name="Output 2 2 6 15 2" xfId="17305"/>
    <cellStyle name="Output 2 2 6 15 3" xfId="17306"/>
    <cellStyle name="Output 2 2 6 15 4" xfId="17307"/>
    <cellStyle name="Output 2 2 6 15 5" xfId="17308"/>
    <cellStyle name="Output 2 2 6 16" xfId="17309"/>
    <cellStyle name="Output 2 2 6 16 2" xfId="17310"/>
    <cellStyle name="Output 2 2 6 16 3" xfId="17311"/>
    <cellStyle name="Output 2 2 6 16 4" xfId="17312"/>
    <cellStyle name="Output 2 2 6 16 5" xfId="17313"/>
    <cellStyle name="Output 2 2 6 17" xfId="17314"/>
    <cellStyle name="Output 2 2 6 17 2" xfId="17315"/>
    <cellStyle name="Output 2 2 6 17 3" xfId="17316"/>
    <cellStyle name="Output 2 2 6 17 4" xfId="17317"/>
    <cellStyle name="Output 2 2 6 17 5" xfId="17318"/>
    <cellStyle name="Output 2 2 6 18" xfId="17319"/>
    <cellStyle name="Output 2 2 6 18 2" xfId="17320"/>
    <cellStyle name="Output 2 2 6 18 3" xfId="17321"/>
    <cellStyle name="Output 2 2 6 18 4" xfId="17322"/>
    <cellStyle name="Output 2 2 6 18 5" xfId="17323"/>
    <cellStyle name="Output 2 2 6 19" xfId="17324"/>
    <cellStyle name="Output 2 2 6 2" xfId="2387"/>
    <cellStyle name="Output 2 2 6 2 2" xfId="17325"/>
    <cellStyle name="Output 2 2 6 2 3" xfId="17326"/>
    <cellStyle name="Output 2 2 6 2 4" xfId="17327"/>
    <cellStyle name="Output 2 2 6 2 5" xfId="17328"/>
    <cellStyle name="Output 2 2 6 2 6" xfId="36275"/>
    <cellStyle name="Output 2 2 6 2 7" xfId="46078"/>
    <cellStyle name="Output 2 2 6 2 8" xfId="54201"/>
    <cellStyle name="Output 2 2 6 20" xfId="900"/>
    <cellStyle name="Output 2 2 6 21" xfId="34980"/>
    <cellStyle name="Output 2 2 6 22" xfId="40689"/>
    <cellStyle name="Output 2 2 6 23" xfId="41199"/>
    <cellStyle name="Output 2 2 6 3" xfId="2388"/>
    <cellStyle name="Output 2 2 6 3 2" xfId="17329"/>
    <cellStyle name="Output 2 2 6 3 3" xfId="17330"/>
    <cellStyle name="Output 2 2 6 3 4" xfId="17331"/>
    <cellStyle name="Output 2 2 6 3 5" xfId="17332"/>
    <cellStyle name="Output 2 2 6 3 6" xfId="36772"/>
    <cellStyle name="Output 2 2 6 3 7" xfId="46079"/>
    <cellStyle name="Output 2 2 6 3 8" xfId="54202"/>
    <cellStyle name="Output 2 2 6 4" xfId="1303"/>
    <cellStyle name="Output 2 2 6 4 2" xfId="17333"/>
    <cellStyle name="Output 2 2 6 4 3" xfId="17334"/>
    <cellStyle name="Output 2 2 6 4 4" xfId="17335"/>
    <cellStyle name="Output 2 2 6 4 5" xfId="17336"/>
    <cellStyle name="Output 2 2 6 4 6" xfId="37388"/>
    <cellStyle name="Output 2 2 6 4 7" xfId="46080"/>
    <cellStyle name="Output 2 2 6 4 8" xfId="54203"/>
    <cellStyle name="Output 2 2 6 5" xfId="3371"/>
    <cellStyle name="Output 2 2 6 5 2" xfId="17337"/>
    <cellStyle name="Output 2 2 6 5 3" xfId="17338"/>
    <cellStyle name="Output 2 2 6 5 4" xfId="17339"/>
    <cellStyle name="Output 2 2 6 5 5" xfId="17340"/>
    <cellStyle name="Output 2 2 6 5 6" xfId="38004"/>
    <cellStyle name="Output 2 2 6 5 7" xfId="46081"/>
    <cellStyle name="Output 2 2 6 5 8" xfId="54204"/>
    <cellStyle name="Output 2 2 6 6" xfId="3693"/>
    <cellStyle name="Output 2 2 6 6 2" xfId="17341"/>
    <cellStyle name="Output 2 2 6 6 3" xfId="17342"/>
    <cellStyle name="Output 2 2 6 6 4" xfId="17343"/>
    <cellStyle name="Output 2 2 6 6 5" xfId="17344"/>
    <cellStyle name="Output 2 2 6 6 6" xfId="38622"/>
    <cellStyle name="Output 2 2 6 6 7" xfId="46082"/>
    <cellStyle name="Output 2 2 6 6 8" xfId="54205"/>
    <cellStyle name="Output 2 2 6 7" xfId="17345"/>
    <cellStyle name="Output 2 2 6 7 2" xfId="17346"/>
    <cellStyle name="Output 2 2 6 7 3" xfId="17347"/>
    <cellStyle name="Output 2 2 6 7 4" xfId="17348"/>
    <cellStyle name="Output 2 2 6 7 5" xfId="17349"/>
    <cellStyle name="Output 2 2 6 7 6" xfId="39242"/>
    <cellStyle name="Output 2 2 6 7 7" xfId="46083"/>
    <cellStyle name="Output 2 2 6 7 8" xfId="54206"/>
    <cellStyle name="Output 2 2 6 8" xfId="17350"/>
    <cellStyle name="Output 2 2 6 8 2" xfId="17351"/>
    <cellStyle name="Output 2 2 6 8 3" xfId="17352"/>
    <cellStyle name="Output 2 2 6 8 4" xfId="17353"/>
    <cellStyle name="Output 2 2 6 8 5" xfId="17354"/>
    <cellStyle name="Output 2 2 6 8 6" xfId="39858"/>
    <cellStyle name="Output 2 2 6 8 7" xfId="46084"/>
    <cellStyle name="Output 2 2 6 8 8" xfId="54207"/>
    <cellStyle name="Output 2 2 6 9" xfId="17355"/>
    <cellStyle name="Output 2 2 6 9 2" xfId="17356"/>
    <cellStyle name="Output 2 2 6 9 3" xfId="17357"/>
    <cellStyle name="Output 2 2 6 9 4" xfId="17358"/>
    <cellStyle name="Output 2 2 6 9 5" xfId="17359"/>
    <cellStyle name="Output 2 2 6 9 6" xfId="40473"/>
    <cellStyle name="Output 2 2 6 9 7" xfId="46085"/>
    <cellStyle name="Output 2 2 6 9 8" xfId="54208"/>
    <cellStyle name="Output 2 2 7" xfId="2389"/>
    <cellStyle name="Output 2 2 7 10" xfId="34868"/>
    <cellStyle name="Output 2 2 7 10 2" xfId="46087"/>
    <cellStyle name="Output 2 2 7 10 3" xfId="54210"/>
    <cellStyle name="Output 2 2 7 11" xfId="40984"/>
    <cellStyle name="Output 2 2 7 12" xfId="46086"/>
    <cellStyle name="Output 2 2 7 13" xfId="54209"/>
    <cellStyle name="Output 2 2 7 2" xfId="2390"/>
    <cellStyle name="Output 2 2 7 2 2" xfId="36062"/>
    <cellStyle name="Output 2 2 7 2 3" xfId="46088"/>
    <cellStyle name="Output 2 2 7 2 4" xfId="54211"/>
    <cellStyle name="Output 2 2 7 3" xfId="2391"/>
    <cellStyle name="Output 2 2 7 3 2" xfId="36561"/>
    <cellStyle name="Output 2 2 7 3 3" xfId="46089"/>
    <cellStyle name="Output 2 2 7 3 4" xfId="54212"/>
    <cellStyle name="Output 2 2 7 4" xfId="17360"/>
    <cellStyle name="Output 2 2 7 4 2" xfId="37177"/>
    <cellStyle name="Output 2 2 7 4 3" xfId="46090"/>
    <cellStyle name="Output 2 2 7 4 4" xfId="54213"/>
    <cellStyle name="Output 2 2 7 5" xfId="17361"/>
    <cellStyle name="Output 2 2 7 5 2" xfId="37792"/>
    <cellStyle name="Output 2 2 7 5 3" xfId="46091"/>
    <cellStyle name="Output 2 2 7 5 4" xfId="54214"/>
    <cellStyle name="Output 2 2 7 6" xfId="38407"/>
    <cellStyle name="Output 2 2 7 6 2" xfId="46092"/>
    <cellStyle name="Output 2 2 7 6 3" xfId="54215"/>
    <cellStyle name="Output 2 2 7 7" xfId="39027"/>
    <cellStyle name="Output 2 2 7 7 2" xfId="46093"/>
    <cellStyle name="Output 2 2 7 7 3" xfId="54216"/>
    <cellStyle name="Output 2 2 7 8" xfId="39643"/>
    <cellStyle name="Output 2 2 7 8 2" xfId="46094"/>
    <cellStyle name="Output 2 2 7 8 3" xfId="54217"/>
    <cellStyle name="Output 2 2 7 9" xfId="40258"/>
    <cellStyle name="Output 2 2 7 9 2" xfId="46095"/>
    <cellStyle name="Output 2 2 7 9 3" xfId="54218"/>
    <cellStyle name="Output 2 2 8" xfId="1286"/>
    <cellStyle name="Output 2 2 8 10" xfId="46096"/>
    <cellStyle name="Output 2 2 8 11" xfId="54219"/>
    <cellStyle name="Output 2 2 8 2" xfId="17362"/>
    <cellStyle name="Output 2 2 8 2 2" xfId="46097"/>
    <cellStyle name="Output 2 2 8 2 3" xfId="54220"/>
    <cellStyle name="Output 2 2 8 3" xfId="17363"/>
    <cellStyle name="Output 2 2 8 3 2" xfId="46098"/>
    <cellStyle name="Output 2 2 8 3 3" xfId="54221"/>
    <cellStyle name="Output 2 2 8 4" xfId="17364"/>
    <cellStyle name="Output 2 2 8 4 2" xfId="46099"/>
    <cellStyle name="Output 2 2 8 4 3" xfId="54222"/>
    <cellStyle name="Output 2 2 8 5" xfId="17365"/>
    <cellStyle name="Output 2 2 8 5 2" xfId="46100"/>
    <cellStyle name="Output 2 2 8 5 3" xfId="54223"/>
    <cellStyle name="Output 2 2 8 6" xfId="35378"/>
    <cellStyle name="Output 2 2 8 6 2" xfId="46101"/>
    <cellStyle name="Output 2 2 8 6 3" xfId="54224"/>
    <cellStyle name="Output 2 2 8 7" xfId="46102"/>
    <cellStyle name="Output 2 2 8 7 2" xfId="54225"/>
    <cellStyle name="Output 2 2 8 8" xfId="46103"/>
    <cellStyle name="Output 2 2 8 8 2" xfId="54226"/>
    <cellStyle name="Output 2 2 8 9" xfId="46104"/>
    <cellStyle name="Output 2 2 8 9 2" xfId="54227"/>
    <cellStyle name="Output 2 2 9" xfId="3354"/>
    <cellStyle name="Output 2 2 9 2" xfId="17366"/>
    <cellStyle name="Output 2 2 9 3" xfId="17367"/>
    <cellStyle name="Output 2 2 9 4" xfId="17368"/>
    <cellStyle name="Output 2 2 9 5" xfId="17369"/>
    <cellStyle name="Output 2 2 9 6" xfId="35907"/>
    <cellStyle name="Output 2 2 9 7" xfId="46105"/>
    <cellStyle name="Output 2 2 9 8" xfId="54228"/>
    <cellStyle name="Output 2 20" xfId="17370"/>
    <cellStyle name="Output 2 20 2" xfId="17371"/>
    <cellStyle name="Output 2 20 3" xfId="17372"/>
    <cellStyle name="Output 2 20 4" xfId="17373"/>
    <cellStyle name="Output 2 20 5" xfId="17374"/>
    <cellStyle name="Output 2 20 6" xfId="46106"/>
    <cellStyle name="Output 2 20 7" xfId="54229"/>
    <cellStyle name="Output 2 21" xfId="17375"/>
    <cellStyle name="Output 2 21 2" xfId="17376"/>
    <cellStyle name="Output 2 21 3" xfId="17377"/>
    <cellStyle name="Output 2 21 4" xfId="17378"/>
    <cellStyle name="Output 2 21 5" xfId="17379"/>
    <cellStyle name="Output 2 21 6" xfId="46107"/>
    <cellStyle name="Output 2 21 7" xfId="54230"/>
    <cellStyle name="Output 2 22" xfId="17380"/>
    <cellStyle name="Output 2 22 2" xfId="17381"/>
    <cellStyle name="Output 2 22 3" xfId="17382"/>
    <cellStyle name="Output 2 22 4" xfId="17383"/>
    <cellStyle name="Output 2 22 5" xfId="17384"/>
    <cellStyle name="Output 2 22 6" xfId="46108"/>
    <cellStyle name="Output 2 22 7" xfId="54231"/>
    <cellStyle name="Output 2 23" xfId="17385"/>
    <cellStyle name="Output 2 23 2" xfId="17386"/>
    <cellStyle name="Output 2 23 3" xfId="17387"/>
    <cellStyle name="Output 2 23 4" xfId="17388"/>
    <cellStyle name="Output 2 23 5" xfId="17389"/>
    <cellStyle name="Output 2 23 6" xfId="46109"/>
    <cellStyle name="Output 2 23 7" xfId="54232"/>
    <cellStyle name="Output 2 24" xfId="17390"/>
    <cellStyle name="Output 2 24 2" xfId="17391"/>
    <cellStyle name="Output 2 24 3" xfId="17392"/>
    <cellStyle name="Output 2 24 4" xfId="17393"/>
    <cellStyle name="Output 2 24 5" xfId="17394"/>
    <cellStyle name="Output 2 25" xfId="17395"/>
    <cellStyle name="Output 2 25 2" xfId="17396"/>
    <cellStyle name="Output 2 25 3" xfId="17397"/>
    <cellStyle name="Output 2 25 4" xfId="17398"/>
    <cellStyle name="Output 2 25 5" xfId="17399"/>
    <cellStyle name="Output 2 26" xfId="17400"/>
    <cellStyle name="Output 2 27" xfId="683"/>
    <cellStyle name="Output 2 28" xfId="34777"/>
    <cellStyle name="Output 2 29" xfId="40768"/>
    <cellStyle name="Output 2 3" xfId="253"/>
    <cellStyle name="Output 2 3 10" xfId="3694"/>
    <cellStyle name="Output 2 3 10 2" xfId="17401"/>
    <cellStyle name="Output 2 3 10 3" xfId="17402"/>
    <cellStyle name="Output 2 3 10 4" xfId="17403"/>
    <cellStyle name="Output 2 3 10 5" xfId="17404"/>
    <cellStyle name="Output 2 3 10 6" xfId="35827"/>
    <cellStyle name="Output 2 3 10 7" xfId="46110"/>
    <cellStyle name="Output 2 3 10 8" xfId="54233"/>
    <cellStyle name="Output 2 3 11" xfId="17405"/>
    <cellStyle name="Output 2 3 11 2" xfId="17406"/>
    <cellStyle name="Output 2 3 11 3" xfId="17407"/>
    <cellStyle name="Output 2 3 11 4" xfId="17408"/>
    <cellStyle name="Output 2 3 11 5" xfId="17409"/>
    <cellStyle name="Output 2 3 11 6" xfId="36046"/>
    <cellStyle name="Output 2 3 11 7" xfId="46111"/>
    <cellStyle name="Output 2 3 11 8" xfId="54234"/>
    <cellStyle name="Output 2 3 12" xfId="17410"/>
    <cellStyle name="Output 2 3 12 2" xfId="17411"/>
    <cellStyle name="Output 2 3 12 3" xfId="17412"/>
    <cellStyle name="Output 2 3 12 4" xfId="17413"/>
    <cellStyle name="Output 2 3 12 5" xfId="17414"/>
    <cellStyle name="Output 2 3 12 6" xfId="35848"/>
    <cellStyle name="Output 2 3 12 7" xfId="46112"/>
    <cellStyle name="Output 2 3 12 8" xfId="54235"/>
    <cellStyle name="Output 2 3 13" xfId="17415"/>
    <cellStyle name="Output 2 3 13 2" xfId="17416"/>
    <cellStyle name="Output 2 3 13 3" xfId="17417"/>
    <cellStyle name="Output 2 3 13 4" xfId="17418"/>
    <cellStyle name="Output 2 3 13 5" xfId="17419"/>
    <cellStyle name="Output 2 3 13 6" xfId="36026"/>
    <cellStyle name="Output 2 3 13 7" xfId="46113"/>
    <cellStyle name="Output 2 3 13 8" xfId="54236"/>
    <cellStyle name="Output 2 3 14" xfId="17420"/>
    <cellStyle name="Output 2 3 14 2" xfId="17421"/>
    <cellStyle name="Output 2 3 14 3" xfId="17422"/>
    <cellStyle name="Output 2 3 14 4" xfId="17423"/>
    <cellStyle name="Output 2 3 14 5" xfId="17424"/>
    <cellStyle name="Output 2 3 14 6" xfId="37741"/>
    <cellStyle name="Output 2 3 14 7" xfId="46114"/>
    <cellStyle name="Output 2 3 14 8" xfId="54237"/>
    <cellStyle name="Output 2 3 15" xfId="17425"/>
    <cellStyle name="Output 2 3 15 2" xfId="17426"/>
    <cellStyle name="Output 2 3 15 3" xfId="17427"/>
    <cellStyle name="Output 2 3 15 4" xfId="17428"/>
    <cellStyle name="Output 2 3 15 5" xfId="17429"/>
    <cellStyle name="Output 2 3 15 6" xfId="38357"/>
    <cellStyle name="Output 2 3 15 7" xfId="46115"/>
    <cellStyle name="Output 2 3 15 8" xfId="54238"/>
    <cellStyle name="Output 2 3 16" xfId="17430"/>
    <cellStyle name="Output 2 3 16 2" xfId="17431"/>
    <cellStyle name="Output 2 3 16 3" xfId="17432"/>
    <cellStyle name="Output 2 3 16 4" xfId="17433"/>
    <cellStyle name="Output 2 3 16 5" xfId="17434"/>
    <cellStyle name="Output 2 3 16 6" xfId="35905"/>
    <cellStyle name="Output 2 3 16 7" xfId="46116"/>
    <cellStyle name="Output 2 3 16 8" xfId="54239"/>
    <cellStyle name="Output 2 3 17" xfId="17435"/>
    <cellStyle name="Output 2 3 17 2" xfId="17436"/>
    <cellStyle name="Output 2 3 17 3" xfId="17437"/>
    <cellStyle name="Output 2 3 17 4" xfId="17438"/>
    <cellStyle name="Output 2 3 17 5" xfId="17439"/>
    <cellStyle name="Output 2 3 17 6" xfId="46117"/>
    <cellStyle name="Output 2 3 17 7" xfId="54240"/>
    <cellStyle name="Output 2 3 18" xfId="17440"/>
    <cellStyle name="Output 2 3 18 2" xfId="17441"/>
    <cellStyle name="Output 2 3 18 3" xfId="17442"/>
    <cellStyle name="Output 2 3 18 4" xfId="17443"/>
    <cellStyle name="Output 2 3 18 5" xfId="17444"/>
    <cellStyle name="Output 2 3 19" xfId="17445"/>
    <cellStyle name="Output 2 3 19 2" xfId="17446"/>
    <cellStyle name="Output 2 3 19 3" xfId="17447"/>
    <cellStyle name="Output 2 3 19 4" xfId="17448"/>
    <cellStyle name="Output 2 3 19 5" xfId="17449"/>
    <cellStyle name="Output 2 3 2" xfId="289"/>
    <cellStyle name="Output 2 3 2 10" xfId="17450"/>
    <cellStyle name="Output 2 3 2 10 2" xfId="17451"/>
    <cellStyle name="Output 2 3 2 10 3" xfId="17452"/>
    <cellStyle name="Output 2 3 2 10 4" xfId="17453"/>
    <cellStyle name="Output 2 3 2 10 5" xfId="17454"/>
    <cellStyle name="Output 2 3 2 10 6" xfId="37617"/>
    <cellStyle name="Output 2 3 2 10 7" xfId="46118"/>
    <cellStyle name="Output 2 3 2 10 8" xfId="54241"/>
    <cellStyle name="Output 2 3 2 11" xfId="17455"/>
    <cellStyle name="Output 2 3 2 11 2" xfId="17456"/>
    <cellStyle name="Output 2 3 2 11 3" xfId="17457"/>
    <cellStyle name="Output 2 3 2 11 4" xfId="17458"/>
    <cellStyle name="Output 2 3 2 11 5" xfId="17459"/>
    <cellStyle name="Output 2 3 2 11 6" xfId="38234"/>
    <cellStyle name="Output 2 3 2 11 7" xfId="46119"/>
    <cellStyle name="Output 2 3 2 11 8" xfId="54242"/>
    <cellStyle name="Output 2 3 2 12" xfId="17460"/>
    <cellStyle name="Output 2 3 2 12 2" xfId="17461"/>
    <cellStyle name="Output 2 3 2 12 3" xfId="17462"/>
    <cellStyle name="Output 2 3 2 12 4" xfId="17463"/>
    <cellStyle name="Output 2 3 2 12 5" xfId="17464"/>
    <cellStyle name="Output 2 3 2 12 6" xfId="38856"/>
    <cellStyle name="Output 2 3 2 12 7" xfId="46120"/>
    <cellStyle name="Output 2 3 2 12 8" xfId="54243"/>
    <cellStyle name="Output 2 3 2 13" xfId="17465"/>
    <cellStyle name="Output 2 3 2 13 2" xfId="17466"/>
    <cellStyle name="Output 2 3 2 13 3" xfId="17467"/>
    <cellStyle name="Output 2 3 2 13 4" xfId="17468"/>
    <cellStyle name="Output 2 3 2 13 5" xfId="17469"/>
    <cellStyle name="Output 2 3 2 13 6" xfId="39476"/>
    <cellStyle name="Output 2 3 2 13 7" xfId="46121"/>
    <cellStyle name="Output 2 3 2 13 8" xfId="54244"/>
    <cellStyle name="Output 2 3 2 14" xfId="17470"/>
    <cellStyle name="Output 2 3 2 14 2" xfId="17471"/>
    <cellStyle name="Output 2 3 2 14 3" xfId="17472"/>
    <cellStyle name="Output 2 3 2 14 4" xfId="17473"/>
    <cellStyle name="Output 2 3 2 14 5" xfId="17474"/>
    <cellStyle name="Output 2 3 2 14 6" xfId="40094"/>
    <cellStyle name="Output 2 3 2 14 7" xfId="46122"/>
    <cellStyle name="Output 2 3 2 14 8" xfId="54245"/>
    <cellStyle name="Output 2 3 2 15" xfId="17475"/>
    <cellStyle name="Output 2 3 2 15 2" xfId="17476"/>
    <cellStyle name="Output 2 3 2 15 3" xfId="17477"/>
    <cellStyle name="Output 2 3 2 15 4" xfId="17478"/>
    <cellStyle name="Output 2 3 2 15 5" xfId="17479"/>
    <cellStyle name="Output 2 3 2 15 6" xfId="46123"/>
    <cellStyle name="Output 2 3 2 15 7" xfId="54246"/>
    <cellStyle name="Output 2 3 2 16" xfId="17480"/>
    <cellStyle name="Output 2 3 2 16 2" xfId="17481"/>
    <cellStyle name="Output 2 3 2 16 3" xfId="17482"/>
    <cellStyle name="Output 2 3 2 16 4" xfId="17483"/>
    <cellStyle name="Output 2 3 2 16 5" xfId="17484"/>
    <cellStyle name="Output 2 3 2 17" xfId="17485"/>
    <cellStyle name="Output 2 3 2 17 2" xfId="17486"/>
    <cellStyle name="Output 2 3 2 17 3" xfId="17487"/>
    <cellStyle name="Output 2 3 2 17 4" xfId="17488"/>
    <cellStyle name="Output 2 3 2 17 5" xfId="17489"/>
    <cellStyle name="Output 2 3 2 18" xfId="17490"/>
    <cellStyle name="Output 2 3 2 19" xfId="734"/>
    <cellStyle name="Output 2 3 2 2" xfId="382"/>
    <cellStyle name="Output 2 3 2 2 10" xfId="17491"/>
    <cellStyle name="Output 2 3 2 2 10 2" xfId="17492"/>
    <cellStyle name="Output 2 3 2 2 10 3" xfId="17493"/>
    <cellStyle name="Output 2 3 2 2 10 4" xfId="17494"/>
    <cellStyle name="Output 2 3 2 2 10 5" xfId="17495"/>
    <cellStyle name="Output 2 3 2 2 10 6" xfId="39560"/>
    <cellStyle name="Output 2 3 2 2 10 7" xfId="46124"/>
    <cellStyle name="Output 2 3 2 2 10 8" xfId="54247"/>
    <cellStyle name="Output 2 3 2 2 11" xfId="17496"/>
    <cellStyle name="Output 2 3 2 2 11 2" xfId="17497"/>
    <cellStyle name="Output 2 3 2 2 11 3" xfId="17498"/>
    <cellStyle name="Output 2 3 2 2 11 4" xfId="17499"/>
    <cellStyle name="Output 2 3 2 2 11 5" xfId="17500"/>
    <cellStyle name="Output 2 3 2 2 11 6" xfId="40176"/>
    <cellStyle name="Output 2 3 2 2 11 7" xfId="46125"/>
    <cellStyle name="Output 2 3 2 2 11 8" xfId="54248"/>
    <cellStyle name="Output 2 3 2 2 12" xfId="17501"/>
    <cellStyle name="Output 2 3 2 2 12 2" xfId="17502"/>
    <cellStyle name="Output 2 3 2 2 12 3" xfId="17503"/>
    <cellStyle name="Output 2 3 2 2 12 4" xfId="17504"/>
    <cellStyle name="Output 2 3 2 2 12 5" xfId="17505"/>
    <cellStyle name="Output 2 3 2 2 12 6" xfId="46126"/>
    <cellStyle name="Output 2 3 2 2 12 7" xfId="54249"/>
    <cellStyle name="Output 2 3 2 2 13" xfId="17506"/>
    <cellStyle name="Output 2 3 2 2 13 2" xfId="17507"/>
    <cellStyle name="Output 2 3 2 2 13 3" xfId="17508"/>
    <cellStyle name="Output 2 3 2 2 13 4" xfId="17509"/>
    <cellStyle name="Output 2 3 2 2 13 5" xfId="17510"/>
    <cellStyle name="Output 2 3 2 2 13 6" xfId="46127"/>
    <cellStyle name="Output 2 3 2 2 13 7" xfId="54250"/>
    <cellStyle name="Output 2 3 2 2 14" xfId="17511"/>
    <cellStyle name="Output 2 3 2 2 14 2" xfId="17512"/>
    <cellStyle name="Output 2 3 2 2 14 3" xfId="17513"/>
    <cellStyle name="Output 2 3 2 2 14 4" xfId="17514"/>
    <cellStyle name="Output 2 3 2 2 14 5" xfId="17515"/>
    <cellStyle name="Output 2 3 2 2 15" xfId="17516"/>
    <cellStyle name="Output 2 3 2 2 15 2" xfId="17517"/>
    <cellStyle name="Output 2 3 2 2 15 3" xfId="17518"/>
    <cellStyle name="Output 2 3 2 2 15 4" xfId="17519"/>
    <cellStyle name="Output 2 3 2 2 15 5" xfId="17520"/>
    <cellStyle name="Output 2 3 2 2 16" xfId="17521"/>
    <cellStyle name="Output 2 3 2 2 16 2" xfId="17522"/>
    <cellStyle name="Output 2 3 2 2 16 3" xfId="17523"/>
    <cellStyle name="Output 2 3 2 2 16 4" xfId="17524"/>
    <cellStyle name="Output 2 3 2 2 16 5" xfId="17525"/>
    <cellStyle name="Output 2 3 2 2 17" xfId="17526"/>
    <cellStyle name="Output 2 3 2 2 17 2" xfId="17527"/>
    <cellStyle name="Output 2 3 2 2 17 3" xfId="17528"/>
    <cellStyle name="Output 2 3 2 2 17 4" xfId="17529"/>
    <cellStyle name="Output 2 3 2 2 17 5" xfId="17530"/>
    <cellStyle name="Output 2 3 2 2 18" xfId="17531"/>
    <cellStyle name="Output 2 3 2 2 18 2" xfId="17532"/>
    <cellStyle name="Output 2 3 2 2 18 3" xfId="17533"/>
    <cellStyle name="Output 2 3 2 2 18 4" xfId="17534"/>
    <cellStyle name="Output 2 3 2 2 18 5" xfId="17535"/>
    <cellStyle name="Output 2 3 2 2 19" xfId="17536"/>
    <cellStyle name="Output 2 3 2 2 2" xfId="601"/>
    <cellStyle name="Output 2 3 2 2 2 10" xfId="17537"/>
    <cellStyle name="Output 2 3 2 2 2 10 2" xfId="17538"/>
    <cellStyle name="Output 2 3 2 2 2 10 3" xfId="17539"/>
    <cellStyle name="Output 2 3 2 2 2 10 4" xfId="17540"/>
    <cellStyle name="Output 2 3 2 2 2 10 5" xfId="17541"/>
    <cellStyle name="Output 2 3 2 2 2 10 6" xfId="46128"/>
    <cellStyle name="Output 2 3 2 2 2 10 7" xfId="54251"/>
    <cellStyle name="Output 2 3 2 2 2 11" xfId="17542"/>
    <cellStyle name="Output 2 3 2 2 2 11 2" xfId="17543"/>
    <cellStyle name="Output 2 3 2 2 2 11 3" xfId="17544"/>
    <cellStyle name="Output 2 3 2 2 2 11 4" xfId="17545"/>
    <cellStyle name="Output 2 3 2 2 2 11 5" xfId="17546"/>
    <cellStyle name="Output 2 3 2 2 2 12" xfId="17547"/>
    <cellStyle name="Output 2 3 2 2 2 12 2" xfId="17548"/>
    <cellStyle name="Output 2 3 2 2 2 12 3" xfId="17549"/>
    <cellStyle name="Output 2 3 2 2 2 12 4" xfId="17550"/>
    <cellStyle name="Output 2 3 2 2 2 12 5" xfId="17551"/>
    <cellStyle name="Output 2 3 2 2 2 13" xfId="17552"/>
    <cellStyle name="Output 2 3 2 2 2 13 2" xfId="17553"/>
    <cellStyle name="Output 2 3 2 2 2 13 3" xfId="17554"/>
    <cellStyle name="Output 2 3 2 2 2 13 4" xfId="17555"/>
    <cellStyle name="Output 2 3 2 2 2 13 5" xfId="17556"/>
    <cellStyle name="Output 2 3 2 2 2 14" xfId="17557"/>
    <cellStyle name="Output 2 3 2 2 2 14 2" xfId="17558"/>
    <cellStyle name="Output 2 3 2 2 2 14 3" xfId="17559"/>
    <cellStyle name="Output 2 3 2 2 2 14 4" xfId="17560"/>
    <cellStyle name="Output 2 3 2 2 2 14 5" xfId="17561"/>
    <cellStyle name="Output 2 3 2 2 2 15" xfId="17562"/>
    <cellStyle name="Output 2 3 2 2 2 15 2" xfId="17563"/>
    <cellStyle name="Output 2 3 2 2 2 15 3" xfId="17564"/>
    <cellStyle name="Output 2 3 2 2 2 15 4" xfId="17565"/>
    <cellStyle name="Output 2 3 2 2 2 15 5" xfId="17566"/>
    <cellStyle name="Output 2 3 2 2 2 16" xfId="17567"/>
    <cellStyle name="Output 2 3 2 2 2 16 2" xfId="17568"/>
    <cellStyle name="Output 2 3 2 2 2 16 3" xfId="17569"/>
    <cellStyle name="Output 2 3 2 2 2 16 4" xfId="17570"/>
    <cellStyle name="Output 2 3 2 2 2 16 5" xfId="17571"/>
    <cellStyle name="Output 2 3 2 2 2 17" xfId="17572"/>
    <cellStyle name="Output 2 3 2 2 2 17 2" xfId="17573"/>
    <cellStyle name="Output 2 3 2 2 2 17 3" xfId="17574"/>
    <cellStyle name="Output 2 3 2 2 2 17 4" xfId="17575"/>
    <cellStyle name="Output 2 3 2 2 2 17 5" xfId="17576"/>
    <cellStyle name="Output 2 3 2 2 2 18" xfId="17577"/>
    <cellStyle name="Output 2 3 2 2 2 18 2" xfId="17578"/>
    <cellStyle name="Output 2 3 2 2 2 18 3" xfId="17579"/>
    <cellStyle name="Output 2 3 2 2 2 18 4" xfId="17580"/>
    <cellStyle name="Output 2 3 2 2 2 18 5" xfId="17581"/>
    <cellStyle name="Output 2 3 2 2 2 19" xfId="17582"/>
    <cellStyle name="Output 2 3 2 2 2 2" xfId="2392"/>
    <cellStyle name="Output 2 3 2 2 2 2 2" xfId="17583"/>
    <cellStyle name="Output 2 3 2 2 2 2 3" xfId="17584"/>
    <cellStyle name="Output 2 3 2 2 2 2 4" xfId="17585"/>
    <cellStyle name="Output 2 3 2 2 2 2 5" xfId="17586"/>
    <cellStyle name="Output 2 3 2 2 2 2 6" xfId="36405"/>
    <cellStyle name="Output 2 3 2 2 2 2 7" xfId="46129"/>
    <cellStyle name="Output 2 3 2 2 2 2 8" xfId="54252"/>
    <cellStyle name="Output 2 3 2 2 2 20" xfId="1030"/>
    <cellStyle name="Output 2 3 2 2 2 21" xfId="35110"/>
    <cellStyle name="Output 2 3 2 2 2 22" xfId="41329"/>
    <cellStyle name="Output 2 3 2 2 2 3" xfId="2393"/>
    <cellStyle name="Output 2 3 2 2 2 3 2" xfId="17587"/>
    <cellStyle name="Output 2 3 2 2 2 3 3" xfId="17588"/>
    <cellStyle name="Output 2 3 2 2 2 3 4" xfId="17589"/>
    <cellStyle name="Output 2 3 2 2 2 3 5" xfId="17590"/>
    <cellStyle name="Output 2 3 2 2 2 3 6" xfId="36902"/>
    <cellStyle name="Output 2 3 2 2 2 3 7" xfId="46130"/>
    <cellStyle name="Output 2 3 2 2 2 3 8" xfId="54253"/>
    <cellStyle name="Output 2 3 2 2 2 4" xfId="1307"/>
    <cellStyle name="Output 2 3 2 2 2 4 2" xfId="17591"/>
    <cellStyle name="Output 2 3 2 2 2 4 3" xfId="17592"/>
    <cellStyle name="Output 2 3 2 2 2 4 4" xfId="17593"/>
    <cellStyle name="Output 2 3 2 2 2 4 5" xfId="17594"/>
    <cellStyle name="Output 2 3 2 2 2 4 6" xfId="37518"/>
    <cellStyle name="Output 2 3 2 2 2 4 7" xfId="46131"/>
    <cellStyle name="Output 2 3 2 2 2 4 8" xfId="54254"/>
    <cellStyle name="Output 2 3 2 2 2 5" xfId="3375"/>
    <cellStyle name="Output 2 3 2 2 2 5 2" xfId="17595"/>
    <cellStyle name="Output 2 3 2 2 2 5 3" xfId="17596"/>
    <cellStyle name="Output 2 3 2 2 2 5 4" xfId="17597"/>
    <cellStyle name="Output 2 3 2 2 2 5 5" xfId="17598"/>
    <cellStyle name="Output 2 3 2 2 2 5 6" xfId="38134"/>
    <cellStyle name="Output 2 3 2 2 2 5 7" xfId="46132"/>
    <cellStyle name="Output 2 3 2 2 2 5 8" xfId="54255"/>
    <cellStyle name="Output 2 3 2 2 2 6" xfId="3697"/>
    <cellStyle name="Output 2 3 2 2 2 6 2" xfId="17599"/>
    <cellStyle name="Output 2 3 2 2 2 6 3" xfId="17600"/>
    <cellStyle name="Output 2 3 2 2 2 6 4" xfId="17601"/>
    <cellStyle name="Output 2 3 2 2 2 6 5" xfId="17602"/>
    <cellStyle name="Output 2 3 2 2 2 6 6" xfId="38752"/>
    <cellStyle name="Output 2 3 2 2 2 6 7" xfId="46133"/>
    <cellStyle name="Output 2 3 2 2 2 6 8" xfId="54256"/>
    <cellStyle name="Output 2 3 2 2 2 7" xfId="17603"/>
    <cellStyle name="Output 2 3 2 2 2 7 2" xfId="17604"/>
    <cellStyle name="Output 2 3 2 2 2 7 3" xfId="17605"/>
    <cellStyle name="Output 2 3 2 2 2 7 4" xfId="17606"/>
    <cellStyle name="Output 2 3 2 2 2 7 5" xfId="17607"/>
    <cellStyle name="Output 2 3 2 2 2 7 6" xfId="39372"/>
    <cellStyle name="Output 2 3 2 2 2 7 7" xfId="46134"/>
    <cellStyle name="Output 2 3 2 2 2 7 8" xfId="54257"/>
    <cellStyle name="Output 2 3 2 2 2 8" xfId="17608"/>
    <cellStyle name="Output 2 3 2 2 2 8 2" xfId="17609"/>
    <cellStyle name="Output 2 3 2 2 2 8 3" xfId="17610"/>
    <cellStyle name="Output 2 3 2 2 2 8 4" xfId="17611"/>
    <cellStyle name="Output 2 3 2 2 2 8 5" xfId="17612"/>
    <cellStyle name="Output 2 3 2 2 2 8 6" xfId="39988"/>
    <cellStyle name="Output 2 3 2 2 2 8 7" xfId="46135"/>
    <cellStyle name="Output 2 3 2 2 2 8 8" xfId="54258"/>
    <cellStyle name="Output 2 3 2 2 2 9" xfId="17613"/>
    <cellStyle name="Output 2 3 2 2 2 9 2" xfId="17614"/>
    <cellStyle name="Output 2 3 2 2 2 9 3" xfId="17615"/>
    <cellStyle name="Output 2 3 2 2 2 9 4" xfId="17616"/>
    <cellStyle name="Output 2 3 2 2 2 9 5" xfId="17617"/>
    <cellStyle name="Output 2 3 2 2 2 9 6" xfId="40603"/>
    <cellStyle name="Output 2 3 2 2 2 9 7" xfId="46136"/>
    <cellStyle name="Output 2 3 2 2 2 9 8" xfId="54259"/>
    <cellStyle name="Output 2 3 2 2 20" xfId="818"/>
    <cellStyle name="Output 2 3 2 2 21" xfId="34715"/>
    <cellStyle name="Output 2 3 2 2 22" xfId="40902"/>
    <cellStyle name="Output 2 3 2 2 23" xfId="41463"/>
    <cellStyle name="Output 2 3 2 2 24" xfId="50550"/>
    <cellStyle name="Output 2 3 2 2 3" xfId="2394"/>
    <cellStyle name="Output 2 3 2 2 3 10" xfId="34753"/>
    <cellStyle name="Output 2 3 2 2 3 10 2" xfId="46138"/>
    <cellStyle name="Output 2 3 2 2 3 10 3" xfId="54261"/>
    <cellStyle name="Output 2 3 2 2 3 11" xfId="41117"/>
    <cellStyle name="Output 2 3 2 2 3 12" xfId="46137"/>
    <cellStyle name="Output 2 3 2 2 3 13" xfId="54260"/>
    <cellStyle name="Output 2 3 2 2 3 2" xfId="2395"/>
    <cellStyle name="Output 2 3 2 2 3 2 2" xfId="36194"/>
    <cellStyle name="Output 2 3 2 2 3 2 3" xfId="46139"/>
    <cellStyle name="Output 2 3 2 2 3 2 4" xfId="54262"/>
    <cellStyle name="Output 2 3 2 2 3 3" xfId="2396"/>
    <cellStyle name="Output 2 3 2 2 3 3 2" xfId="36691"/>
    <cellStyle name="Output 2 3 2 2 3 3 3" xfId="46140"/>
    <cellStyle name="Output 2 3 2 2 3 3 4" xfId="54263"/>
    <cellStyle name="Output 2 3 2 2 3 4" xfId="17618"/>
    <cellStyle name="Output 2 3 2 2 3 4 2" xfId="37307"/>
    <cellStyle name="Output 2 3 2 2 3 4 3" xfId="46141"/>
    <cellStyle name="Output 2 3 2 2 3 4 4" xfId="54264"/>
    <cellStyle name="Output 2 3 2 2 3 5" xfId="17619"/>
    <cellStyle name="Output 2 3 2 2 3 5 2" xfId="37923"/>
    <cellStyle name="Output 2 3 2 2 3 5 3" xfId="46142"/>
    <cellStyle name="Output 2 3 2 2 3 5 4" xfId="54265"/>
    <cellStyle name="Output 2 3 2 2 3 6" xfId="38540"/>
    <cellStyle name="Output 2 3 2 2 3 6 2" xfId="46143"/>
    <cellStyle name="Output 2 3 2 2 3 6 3" xfId="54266"/>
    <cellStyle name="Output 2 3 2 2 3 7" xfId="39160"/>
    <cellStyle name="Output 2 3 2 2 3 7 2" xfId="46144"/>
    <cellStyle name="Output 2 3 2 2 3 7 3" xfId="54267"/>
    <cellStyle name="Output 2 3 2 2 3 8" xfId="39776"/>
    <cellStyle name="Output 2 3 2 2 3 8 2" xfId="46145"/>
    <cellStyle name="Output 2 3 2 2 3 8 3" xfId="54268"/>
    <cellStyle name="Output 2 3 2 2 3 9" xfId="40391"/>
    <cellStyle name="Output 2 3 2 2 3 9 2" xfId="46146"/>
    <cellStyle name="Output 2 3 2 2 3 9 3" xfId="54269"/>
    <cellStyle name="Output 2 3 2 2 4" xfId="2397"/>
    <cellStyle name="Output 2 3 2 2 4 10" xfId="46147"/>
    <cellStyle name="Output 2 3 2 2 4 11" xfId="54270"/>
    <cellStyle name="Output 2 3 2 2 4 2" xfId="17620"/>
    <cellStyle name="Output 2 3 2 2 4 2 2" xfId="46148"/>
    <cellStyle name="Output 2 3 2 2 4 2 3" xfId="54271"/>
    <cellStyle name="Output 2 3 2 2 4 3" xfId="17621"/>
    <cellStyle name="Output 2 3 2 2 4 3 2" xfId="46149"/>
    <cellStyle name="Output 2 3 2 2 4 3 3" xfId="54272"/>
    <cellStyle name="Output 2 3 2 2 4 4" xfId="17622"/>
    <cellStyle name="Output 2 3 2 2 4 4 2" xfId="46150"/>
    <cellStyle name="Output 2 3 2 2 4 4 3" xfId="54273"/>
    <cellStyle name="Output 2 3 2 2 4 5" xfId="17623"/>
    <cellStyle name="Output 2 3 2 2 4 5 2" xfId="46151"/>
    <cellStyle name="Output 2 3 2 2 4 5 3" xfId="54274"/>
    <cellStyle name="Output 2 3 2 2 4 6" xfId="35697"/>
    <cellStyle name="Output 2 3 2 2 4 6 2" xfId="46152"/>
    <cellStyle name="Output 2 3 2 2 4 6 3" xfId="54275"/>
    <cellStyle name="Output 2 3 2 2 4 7" xfId="46153"/>
    <cellStyle name="Output 2 3 2 2 4 7 2" xfId="54276"/>
    <cellStyle name="Output 2 3 2 2 4 8" xfId="46154"/>
    <cellStyle name="Output 2 3 2 2 4 8 2" xfId="54277"/>
    <cellStyle name="Output 2 3 2 2 4 9" xfId="46155"/>
    <cellStyle name="Output 2 3 2 2 4 9 2" xfId="54278"/>
    <cellStyle name="Output 2 3 2 2 5" xfId="1306"/>
    <cellStyle name="Output 2 3 2 2 5 2" xfId="17624"/>
    <cellStyle name="Output 2 3 2 2 5 3" xfId="17625"/>
    <cellStyle name="Output 2 3 2 2 5 4" xfId="17626"/>
    <cellStyle name="Output 2 3 2 2 5 5" xfId="17627"/>
    <cellStyle name="Output 2 3 2 2 5 6" xfId="35745"/>
    <cellStyle name="Output 2 3 2 2 5 7" xfId="46156"/>
    <cellStyle name="Output 2 3 2 2 5 8" xfId="54279"/>
    <cellStyle name="Output 2 3 2 2 6" xfId="3374"/>
    <cellStyle name="Output 2 3 2 2 6 2" xfId="17628"/>
    <cellStyle name="Output 2 3 2 2 6 3" xfId="17629"/>
    <cellStyle name="Output 2 3 2 2 6 4" xfId="17630"/>
    <cellStyle name="Output 2 3 2 2 6 5" xfId="17631"/>
    <cellStyle name="Output 2 3 2 2 6 6" xfId="37092"/>
    <cellStyle name="Output 2 3 2 2 6 7" xfId="46157"/>
    <cellStyle name="Output 2 3 2 2 6 8" xfId="54280"/>
    <cellStyle name="Output 2 3 2 2 7" xfId="3696"/>
    <cellStyle name="Output 2 3 2 2 7 2" xfId="17632"/>
    <cellStyle name="Output 2 3 2 2 7 3" xfId="17633"/>
    <cellStyle name="Output 2 3 2 2 7 4" xfId="17634"/>
    <cellStyle name="Output 2 3 2 2 7 5" xfId="17635"/>
    <cellStyle name="Output 2 3 2 2 7 6" xfId="37706"/>
    <cellStyle name="Output 2 3 2 2 7 7" xfId="46158"/>
    <cellStyle name="Output 2 3 2 2 7 8" xfId="54281"/>
    <cellStyle name="Output 2 3 2 2 8" xfId="17636"/>
    <cellStyle name="Output 2 3 2 2 8 2" xfId="17637"/>
    <cellStyle name="Output 2 3 2 2 8 3" xfId="17638"/>
    <cellStyle name="Output 2 3 2 2 8 4" xfId="17639"/>
    <cellStyle name="Output 2 3 2 2 8 5" xfId="17640"/>
    <cellStyle name="Output 2 3 2 2 8 6" xfId="38321"/>
    <cellStyle name="Output 2 3 2 2 8 7" xfId="46159"/>
    <cellStyle name="Output 2 3 2 2 8 8" xfId="54282"/>
    <cellStyle name="Output 2 3 2 2 9" xfId="17641"/>
    <cellStyle name="Output 2 3 2 2 9 2" xfId="17642"/>
    <cellStyle name="Output 2 3 2 2 9 3" xfId="17643"/>
    <cellStyle name="Output 2 3 2 2 9 4" xfId="17644"/>
    <cellStyle name="Output 2 3 2 2 9 5" xfId="17645"/>
    <cellStyle name="Output 2 3 2 2 9 6" xfId="38941"/>
    <cellStyle name="Output 2 3 2 2 9 7" xfId="46160"/>
    <cellStyle name="Output 2 3 2 2 9 8" xfId="54283"/>
    <cellStyle name="Output 2 3 2 20" xfId="34770"/>
    <cellStyle name="Output 2 3 2 21" xfId="40818"/>
    <cellStyle name="Output 2 3 2 3" xfId="383"/>
    <cellStyle name="Output 2 3 2 3 10" xfId="17646"/>
    <cellStyle name="Output 2 3 2 3 10 2" xfId="17647"/>
    <cellStyle name="Output 2 3 2 3 10 3" xfId="17648"/>
    <cellStyle name="Output 2 3 2 3 10 4" xfId="17649"/>
    <cellStyle name="Output 2 3 2 3 10 5" xfId="17650"/>
    <cellStyle name="Output 2 3 2 3 10 6" xfId="40177"/>
    <cellStyle name="Output 2 3 2 3 10 7" xfId="46161"/>
    <cellStyle name="Output 2 3 2 3 10 8" xfId="54284"/>
    <cellStyle name="Output 2 3 2 3 11" xfId="17651"/>
    <cellStyle name="Output 2 3 2 3 11 2" xfId="17652"/>
    <cellStyle name="Output 2 3 2 3 11 3" xfId="17653"/>
    <cellStyle name="Output 2 3 2 3 11 4" xfId="17654"/>
    <cellStyle name="Output 2 3 2 3 11 5" xfId="17655"/>
    <cellStyle name="Output 2 3 2 3 11 6" xfId="46162"/>
    <cellStyle name="Output 2 3 2 3 11 7" xfId="54285"/>
    <cellStyle name="Output 2 3 2 3 12" xfId="17656"/>
    <cellStyle name="Output 2 3 2 3 12 2" xfId="17657"/>
    <cellStyle name="Output 2 3 2 3 12 3" xfId="17658"/>
    <cellStyle name="Output 2 3 2 3 12 4" xfId="17659"/>
    <cellStyle name="Output 2 3 2 3 12 5" xfId="17660"/>
    <cellStyle name="Output 2 3 2 3 12 6" xfId="46163"/>
    <cellStyle name="Output 2 3 2 3 12 7" xfId="54286"/>
    <cellStyle name="Output 2 3 2 3 13" xfId="17661"/>
    <cellStyle name="Output 2 3 2 3 13 2" xfId="17662"/>
    <cellStyle name="Output 2 3 2 3 13 3" xfId="17663"/>
    <cellStyle name="Output 2 3 2 3 13 4" xfId="17664"/>
    <cellStyle name="Output 2 3 2 3 13 5" xfId="17665"/>
    <cellStyle name="Output 2 3 2 3 13 6" xfId="46164"/>
    <cellStyle name="Output 2 3 2 3 13 7" xfId="54287"/>
    <cellStyle name="Output 2 3 2 3 14" xfId="17666"/>
    <cellStyle name="Output 2 3 2 3 14 2" xfId="17667"/>
    <cellStyle name="Output 2 3 2 3 14 3" xfId="17668"/>
    <cellStyle name="Output 2 3 2 3 14 4" xfId="17669"/>
    <cellStyle name="Output 2 3 2 3 14 5" xfId="17670"/>
    <cellStyle name="Output 2 3 2 3 15" xfId="17671"/>
    <cellStyle name="Output 2 3 2 3 15 2" xfId="17672"/>
    <cellStyle name="Output 2 3 2 3 15 3" xfId="17673"/>
    <cellStyle name="Output 2 3 2 3 15 4" xfId="17674"/>
    <cellStyle name="Output 2 3 2 3 15 5" xfId="17675"/>
    <cellStyle name="Output 2 3 2 3 16" xfId="17676"/>
    <cellStyle name="Output 2 3 2 3 16 2" xfId="17677"/>
    <cellStyle name="Output 2 3 2 3 16 3" xfId="17678"/>
    <cellStyle name="Output 2 3 2 3 16 4" xfId="17679"/>
    <cellStyle name="Output 2 3 2 3 16 5" xfId="17680"/>
    <cellStyle name="Output 2 3 2 3 17" xfId="17681"/>
    <cellStyle name="Output 2 3 2 3 17 2" xfId="17682"/>
    <cellStyle name="Output 2 3 2 3 17 3" xfId="17683"/>
    <cellStyle name="Output 2 3 2 3 17 4" xfId="17684"/>
    <cellStyle name="Output 2 3 2 3 17 5" xfId="17685"/>
    <cellStyle name="Output 2 3 2 3 18" xfId="17686"/>
    <cellStyle name="Output 2 3 2 3 18 2" xfId="17687"/>
    <cellStyle name="Output 2 3 2 3 18 3" xfId="17688"/>
    <cellStyle name="Output 2 3 2 3 18 4" xfId="17689"/>
    <cellStyle name="Output 2 3 2 3 18 5" xfId="17690"/>
    <cellStyle name="Output 2 3 2 3 19" xfId="17691"/>
    <cellStyle name="Output 2 3 2 3 2" xfId="602"/>
    <cellStyle name="Output 2 3 2 3 2 10" xfId="17692"/>
    <cellStyle name="Output 2 3 2 3 2 10 2" xfId="17693"/>
    <cellStyle name="Output 2 3 2 3 2 10 3" xfId="17694"/>
    <cellStyle name="Output 2 3 2 3 2 10 4" xfId="17695"/>
    <cellStyle name="Output 2 3 2 3 2 10 5" xfId="17696"/>
    <cellStyle name="Output 2 3 2 3 2 10 6" xfId="46165"/>
    <cellStyle name="Output 2 3 2 3 2 10 7" xfId="54288"/>
    <cellStyle name="Output 2 3 2 3 2 11" xfId="17697"/>
    <cellStyle name="Output 2 3 2 3 2 11 2" xfId="17698"/>
    <cellStyle name="Output 2 3 2 3 2 11 3" xfId="17699"/>
    <cellStyle name="Output 2 3 2 3 2 11 4" xfId="17700"/>
    <cellStyle name="Output 2 3 2 3 2 11 5" xfId="17701"/>
    <cellStyle name="Output 2 3 2 3 2 12" xfId="17702"/>
    <cellStyle name="Output 2 3 2 3 2 12 2" xfId="17703"/>
    <cellStyle name="Output 2 3 2 3 2 12 3" xfId="17704"/>
    <cellStyle name="Output 2 3 2 3 2 12 4" xfId="17705"/>
    <cellStyle name="Output 2 3 2 3 2 12 5" xfId="17706"/>
    <cellStyle name="Output 2 3 2 3 2 13" xfId="17707"/>
    <cellStyle name="Output 2 3 2 3 2 13 2" xfId="17708"/>
    <cellStyle name="Output 2 3 2 3 2 13 3" xfId="17709"/>
    <cellStyle name="Output 2 3 2 3 2 13 4" xfId="17710"/>
    <cellStyle name="Output 2 3 2 3 2 13 5" xfId="17711"/>
    <cellStyle name="Output 2 3 2 3 2 14" xfId="17712"/>
    <cellStyle name="Output 2 3 2 3 2 14 2" xfId="17713"/>
    <cellStyle name="Output 2 3 2 3 2 14 3" xfId="17714"/>
    <cellStyle name="Output 2 3 2 3 2 14 4" xfId="17715"/>
    <cellStyle name="Output 2 3 2 3 2 14 5" xfId="17716"/>
    <cellStyle name="Output 2 3 2 3 2 15" xfId="17717"/>
    <cellStyle name="Output 2 3 2 3 2 15 2" xfId="17718"/>
    <cellStyle name="Output 2 3 2 3 2 15 3" xfId="17719"/>
    <cellStyle name="Output 2 3 2 3 2 15 4" xfId="17720"/>
    <cellStyle name="Output 2 3 2 3 2 15 5" xfId="17721"/>
    <cellStyle name="Output 2 3 2 3 2 16" xfId="17722"/>
    <cellStyle name="Output 2 3 2 3 2 16 2" xfId="17723"/>
    <cellStyle name="Output 2 3 2 3 2 16 3" xfId="17724"/>
    <cellStyle name="Output 2 3 2 3 2 16 4" xfId="17725"/>
    <cellStyle name="Output 2 3 2 3 2 16 5" xfId="17726"/>
    <cellStyle name="Output 2 3 2 3 2 17" xfId="17727"/>
    <cellStyle name="Output 2 3 2 3 2 17 2" xfId="17728"/>
    <cellStyle name="Output 2 3 2 3 2 17 3" xfId="17729"/>
    <cellStyle name="Output 2 3 2 3 2 17 4" xfId="17730"/>
    <cellStyle name="Output 2 3 2 3 2 17 5" xfId="17731"/>
    <cellStyle name="Output 2 3 2 3 2 18" xfId="17732"/>
    <cellStyle name="Output 2 3 2 3 2 18 2" xfId="17733"/>
    <cellStyle name="Output 2 3 2 3 2 18 3" xfId="17734"/>
    <cellStyle name="Output 2 3 2 3 2 18 4" xfId="17735"/>
    <cellStyle name="Output 2 3 2 3 2 18 5" xfId="17736"/>
    <cellStyle name="Output 2 3 2 3 2 19" xfId="17737"/>
    <cellStyle name="Output 2 3 2 3 2 2" xfId="2398"/>
    <cellStyle name="Output 2 3 2 3 2 2 2" xfId="17738"/>
    <cellStyle name="Output 2 3 2 3 2 2 3" xfId="17739"/>
    <cellStyle name="Output 2 3 2 3 2 2 4" xfId="17740"/>
    <cellStyle name="Output 2 3 2 3 2 2 5" xfId="17741"/>
    <cellStyle name="Output 2 3 2 3 2 2 6" xfId="36406"/>
    <cellStyle name="Output 2 3 2 3 2 2 7" xfId="46166"/>
    <cellStyle name="Output 2 3 2 3 2 2 8" xfId="54289"/>
    <cellStyle name="Output 2 3 2 3 2 20" xfId="1031"/>
    <cellStyle name="Output 2 3 2 3 2 21" xfId="35111"/>
    <cellStyle name="Output 2 3 2 3 2 22" xfId="41330"/>
    <cellStyle name="Output 2 3 2 3 2 3" xfId="2399"/>
    <cellStyle name="Output 2 3 2 3 2 3 2" xfId="17742"/>
    <cellStyle name="Output 2 3 2 3 2 3 3" xfId="17743"/>
    <cellStyle name="Output 2 3 2 3 2 3 4" xfId="17744"/>
    <cellStyle name="Output 2 3 2 3 2 3 5" xfId="17745"/>
    <cellStyle name="Output 2 3 2 3 2 3 6" xfId="36903"/>
    <cellStyle name="Output 2 3 2 3 2 3 7" xfId="46167"/>
    <cellStyle name="Output 2 3 2 3 2 3 8" xfId="54290"/>
    <cellStyle name="Output 2 3 2 3 2 4" xfId="1309"/>
    <cellStyle name="Output 2 3 2 3 2 4 2" xfId="17746"/>
    <cellStyle name="Output 2 3 2 3 2 4 3" xfId="17747"/>
    <cellStyle name="Output 2 3 2 3 2 4 4" xfId="17748"/>
    <cellStyle name="Output 2 3 2 3 2 4 5" xfId="17749"/>
    <cellStyle name="Output 2 3 2 3 2 4 6" xfId="37519"/>
    <cellStyle name="Output 2 3 2 3 2 4 7" xfId="46168"/>
    <cellStyle name="Output 2 3 2 3 2 4 8" xfId="54291"/>
    <cellStyle name="Output 2 3 2 3 2 5" xfId="3377"/>
    <cellStyle name="Output 2 3 2 3 2 5 2" xfId="17750"/>
    <cellStyle name="Output 2 3 2 3 2 5 3" xfId="17751"/>
    <cellStyle name="Output 2 3 2 3 2 5 4" xfId="17752"/>
    <cellStyle name="Output 2 3 2 3 2 5 5" xfId="17753"/>
    <cellStyle name="Output 2 3 2 3 2 5 6" xfId="38135"/>
    <cellStyle name="Output 2 3 2 3 2 5 7" xfId="46169"/>
    <cellStyle name="Output 2 3 2 3 2 5 8" xfId="54292"/>
    <cellStyle name="Output 2 3 2 3 2 6" xfId="3699"/>
    <cellStyle name="Output 2 3 2 3 2 6 2" xfId="17754"/>
    <cellStyle name="Output 2 3 2 3 2 6 3" xfId="17755"/>
    <cellStyle name="Output 2 3 2 3 2 6 4" xfId="17756"/>
    <cellStyle name="Output 2 3 2 3 2 6 5" xfId="17757"/>
    <cellStyle name="Output 2 3 2 3 2 6 6" xfId="38753"/>
    <cellStyle name="Output 2 3 2 3 2 6 7" xfId="46170"/>
    <cellStyle name="Output 2 3 2 3 2 6 8" xfId="54293"/>
    <cellStyle name="Output 2 3 2 3 2 7" xfId="17758"/>
    <cellStyle name="Output 2 3 2 3 2 7 2" xfId="17759"/>
    <cellStyle name="Output 2 3 2 3 2 7 3" xfId="17760"/>
    <cellStyle name="Output 2 3 2 3 2 7 4" xfId="17761"/>
    <cellStyle name="Output 2 3 2 3 2 7 5" xfId="17762"/>
    <cellStyle name="Output 2 3 2 3 2 7 6" xfId="39373"/>
    <cellStyle name="Output 2 3 2 3 2 7 7" xfId="46171"/>
    <cellStyle name="Output 2 3 2 3 2 7 8" xfId="54294"/>
    <cellStyle name="Output 2 3 2 3 2 8" xfId="17763"/>
    <cellStyle name="Output 2 3 2 3 2 8 2" xfId="17764"/>
    <cellStyle name="Output 2 3 2 3 2 8 3" xfId="17765"/>
    <cellStyle name="Output 2 3 2 3 2 8 4" xfId="17766"/>
    <cellStyle name="Output 2 3 2 3 2 8 5" xfId="17767"/>
    <cellStyle name="Output 2 3 2 3 2 8 6" xfId="39989"/>
    <cellStyle name="Output 2 3 2 3 2 8 7" xfId="46172"/>
    <cellStyle name="Output 2 3 2 3 2 8 8" xfId="54295"/>
    <cellStyle name="Output 2 3 2 3 2 9" xfId="17768"/>
    <cellStyle name="Output 2 3 2 3 2 9 2" xfId="17769"/>
    <cellStyle name="Output 2 3 2 3 2 9 3" xfId="17770"/>
    <cellStyle name="Output 2 3 2 3 2 9 4" xfId="17771"/>
    <cellStyle name="Output 2 3 2 3 2 9 5" xfId="17772"/>
    <cellStyle name="Output 2 3 2 3 2 9 6" xfId="40604"/>
    <cellStyle name="Output 2 3 2 3 2 9 7" xfId="46173"/>
    <cellStyle name="Output 2 3 2 3 2 9 8" xfId="54296"/>
    <cellStyle name="Output 2 3 2 3 20" xfId="819"/>
    <cellStyle name="Output 2 3 2 3 21" xfId="34714"/>
    <cellStyle name="Output 2 3 2 3 22" xfId="40903"/>
    <cellStyle name="Output 2 3 2 3 23" xfId="41464"/>
    <cellStyle name="Output 2 3 2 3 24" xfId="50551"/>
    <cellStyle name="Output 2 3 2 3 3" xfId="2400"/>
    <cellStyle name="Output 2 3 2 3 3 10" xfId="34736"/>
    <cellStyle name="Output 2 3 2 3 3 10 2" xfId="46175"/>
    <cellStyle name="Output 2 3 2 3 3 10 3" xfId="54298"/>
    <cellStyle name="Output 2 3 2 3 3 11" xfId="41118"/>
    <cellStyle name="Output 2 3 2 3 3 12" xfId="46174"/>
    <cellStyle name="Output 2 3 2 3 3 13" xfId="54297"/>
    <cellStyle name="Output 2 3 2 3 3 2" xfId="2401"/>
    <cellStyle name="Output 2 3 2 3 3 2 2" xfId="36195"/>
    <cellStyle name="Output 2 3 2 3 3 2 3" xfId="46176"/>
    <cellStyle name="Output 2 3 2 3 3 2 4" xfId="54299"/>
    <cellStyle name="Output 2 3 2 3 3 3" xfId="2402"/>
    <cellStyle name="Output 2 3 2 3 3 3 2" xfId="36692"/>
    <cellStyle name="Output 2 3 2 3 3 3 3" xfId="46177"/>
    <cellStyle name="Output 2 3 2 3 3 3 4" xfId="54300"/>
    <cellStyle name="Output 2 3 2 3 3 4" xfId="17773"/>
    <cellStyle name="Output 2 3 2 3 3 4 2" xfId="37308"/>
    <cellStyle name="Output 2 3 2 3 3 4 3" xfId="46178"/>
    <cellStyle name="Output 2 3 2 3 3 4 4" xfId="54301"/>
    <cellStyle name="Output 2 3 2 3 3 5" xfId="17774"/>
    <cellStyle name="Output 2 3 2 3 3 5 2" xfId="37924"/>
    <cellStyle name="Output 2 3 2 3 3 5 3" xfId="46179"/>
    <cellStyle name="Output 2 3 2 3 3 5 4" xfId="54302"/>
    <cellStyle name="Output 2 3 2 3 3 6" xfId="38541"/>
    <cellStyle name="Output 2 3 2 3 3 6 2" xfId="46180"/>
    <cellStyle name="Output 2 3 2 3 3 6 3" xfId="54303"/>
    <cellStyle name="Output 2 3 2 3 3 7" xfId="39161"/>
    <cellStyle name="Output 2 3 2 3 3 7 2" xfId="46181"/>
    <cellStyle name="Output 2 3 2 3 3 7 3" xfId="54304"/>
    <cellStyle name="Output 2 3 2 3 3 8" xfId="39777"/>
    <cellStyle name="Output 2 3 2 3 3 8 2" xfId="46182"/>
    <cellStyle name="Output 2 3 2 3 3 8 3" xfId="54305"/>
    <cellStyle name="Output 2 3 2 3 3 9" xfId="40392"/>
    <cellStyle name="Output 2 3 2 3 3 9 2" xfId="46183"/>
    <cellStyle name="Output 2 3 2 3 3 9 3" xfId="54306"/>
    <cellStyle name="Output 2 3 2 3 4" xfId="2403"/>
    <cellStyle name="Output 2 3 2 3 4 10" xfId="46184"/>
    <cellStyle name="Output 2 3 2 3 4 11" xfId="54307"/>
    <cellStyle name="Output 2 3 2 3 4 2" xfId="17775"/>
    <cellStyle name="Output 2 3 2 3 4 2 2" xfId="46185"/>
    <cellStyle name="Output 2 3 2 3 4 2 3" xfId="54308"/>
    <cellStyle name="Output 2 3 2 3 4 3" xfId="17776"/>
    <cellStyle name="Output 2 3 2 3 4 3 2" xfId="46186"/>
    <cellStyle name="Output 2 3 2 3 4 3 3" xfId="54309"/>
    <cellStyle name="Output 2 3 2 3 4 4" xfId="17777"/>
    <cellStyle name="Output 2 3 2 3 4 4 2" xfId="46187"/>
    <cellStyle name="Output 2 3 2 3 4 4 3" xfId="54310"/>
    <cellStyle name="Output 2 3 2 3 4 5" xfId="17778"/>
    <cellStyle name="Output 2 3 2 3 4 5 2" xfId="46188"/>
    <cellStyle name="Output 2 3 2 3 4 5 3" xfId="54311"/>
    <cellStyle name="Output 2 3 2 3 4 6" xfId="35744"/>
    <cellStyle name="Output 2 3 2 3 4 6 2" xfId="46189"/>
    <cellStyle name="Output 2 3 2 3 4 6 3" xfId="54312"/>
    <cellStyle name="Output 2 3 2 3 4 7" xfId="46190"/>
    <cellStyle name="Output 2 3 2 3 4 7 2" xfId="54313"/>
    <cellStyle name="Output 2 3 2 3 4 8" xfId="46191"/>
    <cellStyle name="Output 2 3 2 3 4 8 2" xfId="54314"/>
    <cellStyle name="Output 2 3 2 3 4 9" xfId="46192"/>
    <cellStyle name="Output 2 3 2 3 4 9 2" xfId="54315"/>
    <cellStyle name="Output 2 3 2 3 5" xfId="1308"/>
    <cellStyle name="Output 2 3 2 3 5 2" xfId="17779"/>
    <cellStyle name="Output 2 3 2 3 5 3" xfId="17780"/>
    <cellStyle name="Output 2 3 2 3 5 4" xfId="17781"/>
    <cellStyle name="Output 2 3 2 3 5 5" xfId="17782"/>
    <cellStyle name="Output 2 3 2 3 5 6" xfId="37093"/>
    <cellStyle name="Output 2 3 2 3 5 7" xfId="46193"/>
    <cellStyle name="Output 2 3 2 3 5 8" xfId="54316"/>
    <cellStyle name="Output 2 3 2 3 6" xfId="3376"/>
    <cellStyle name="Output 2 3 2 3 6 2" xfId="17783"/>
    <cellStyle name="Output 2 3 2 3 6 3" xfId="17784"/>
    <cellStyle name="Output 2 3 2 3 6 4" xfId="17785"/>
    <cellStyle name="Output 2 3 2 3 6 5" xfId="17786"/>
    <cellStyle name="Output 2 3 2 3 6 6" xfId="37707"/>
    <cellStyle name="Output 2 3 2 3 6 7" xfId="46194"/>
    <cellStyle name="Output 2 3 2 3 6 8" xfId="54317"/>
    <cellStyle name="Output 2 3 2 3 7" xfId="3698"/>
    <cellStyle name="Output 2 3 2 3 7 2" xfId="17787"/>
    <cellStyle name="Output 2 3 2 3 7 3" xfId="17788"/>
    <cellStyle name="Output 2 3 2 3 7 4" xfId="17789"/>
    <cellStyle name="Output 2 3 2 3 7 5" xfId="17790"/>
    <cellStyle name="Output 2 3 2 3 7 6" xfId="38322"/>
    <cellStyle name="Output 2 3 2 3 7 7" xfId="46195"/>
    <cellStyle name="Output 2 3 2 3 7 8" xfId="54318"/>
    <cellStyle name="Output 2 3 2 3 8" xfId="17791"/>
    <cellStyle name="Output 2 3 2 3 8 2" xfId="17792"/>
    <cellStyle name="Output 2 3 2 3 8 3" xfId="17793"/>
    <cellStyle name="Output 2 3 2 3 8 4" xfId="17794"/>
    <cellStyle name="Output 2 3 2 3 8 5" xfId="17795"/>
    <cellStyle name="Output 2 3 2 3 8 6" xfId="38942"/>
    <cellStyle name="Output 2 3 2 3 8 7" xfId="46196"/>
    <cellStyle name="Output 2 3 2 3 8 8" xfId="54319"/>
    <cellStyle name="Output 2 3 2 3 9" xfId="17796"/>
    <cellStyle name="Output 2 3 2 3 9 2" xfId="17797"/>
    <cellStyle name="Output 2 3 2 3 9 3" xfId="17798"/>
    <cellStyle name="Output 2 3 2 3 9 4" xfId="17799"/>
    <cellStyle name="Output 2 3 2 3 9 5" xfId="17800"/>
    <cellStyle name="Output 2 3 2 3 9 6" xfId="39561"/>
    <cellStyle name="Output 2 3 2 3 9 7" xfId="46197"/>
    <cellStyle name="Output 2 3 2 3 9 8" xfId="54320"/>
    <cellStyle name="Output 2 3 2 4" xfId="519"/>
    <cellStyle name="Output 2 3 2 4 10" xfId="17801"/>
    <cellStyle name="Output 2 3 2 4 10 2" xfId="17802"/>
    <cellStyle name="Output 2 3 2 4 10 3" xfId="17803"/>
    <cellStyle name="Output 2 3 2 4 10 4" xfId="17804"/>
    <cellStyle name="Output 2 3 2 4 10 5" xfId="17805"/>
    <cellStyle name="Output 2 3 2 4 10 6" xfId="46198"/>
    <cellStyle name="Output 2 3 2 4 10 7" xfId="54321"/>
    <cellStyle name="Output 2 3 2 4 11" xfId="17806"/>
    <cellStyle name="Output 2 3 2 4 11 2" xfId="17807"/>
    <cellStyle name="Output 2 3 2 4 11 3" xfId="17808"/>
    <cellStyle name="Output 2 3 2 4 11 4" xfId="17809"/>
    <cellStyle name="Output 2 3 2 4 11 5" xfId="17810"/>
    <cellStyle name="Output 2 3 2 4 12" xfId="17811"/>
    <cellStyle name="Output 2 3 2 4 12 2" xfId="17812"/>
    <cellStyle name="Output 2 3 2 4 12 3" xfId="17813"/>
    <cellStyle name="Output 2 3 2 4 12 4" xfId="17814"/>
    <cellStyle name="Output 2 3 2 4 12 5" xfId="17815"/>
    <cellStyle name="Output 2 3 2 4 13" xfId="17816"/>
    <cellStyle name="Output 2 3 2 4 13 2" xfId="17817"/>
    <cellStyle name="Output 2 3 2 4 13 3" xfId="17818"/>
    <cellStyle name="Output 2 3 2 4 13 4" xfId="17819"/>
    <cellStyle name="Output 2 3 2 4 13 5" xfId="17820"/>
    <cellStyle name="Output 2 3 2 4 14" xfId="17821"/>
    <cellStyle name="Output 2 3 2 4 14 2" xfId="17822"/>
    <cellStyle name="Output 2 3 2 4 14 3" xfId="17823"/>
    <cellStyle name="Output 2 3 2 4 14 4" xfId="17824"/>
    <cellStyle name="Output 2 3 2 4 14 5" xfId="17825"/>
    <cellStyle name="Output 2 3 2 4 15" xfId="17826"/>
    <cellStyle name="Output 2 3 2 4 15 2" xfId="17827"/>
    <cellStyle name="Output 2 3 2 4 15 3" xfId="17828"/>
    <cellStyle name="Output 2 3 2 4 15 4" xfId="17829"/>
    <cellStyle name="Output 2 3 2 4 15 5" xfId="17830"/>
    <cellStyle name="Output 2 3 2 4 16" xfId="17831"/>
    <cellStyle name="Output 2 3 2 4 16 2" xfId="17832"/>
    <cellStyle name="Output 2 3 2 4 16 3" xfId="17833"/>
    <cellStyle name="Output 2 3 2 4 16 4" xfId="17834"/>
    <cellStyle name="Output 2 3 2 4 16 5" xfId="17835"/>
    <cellStyle name="Output 2 3 2 4 17" xfId="17836"/>
    <cellStyle name="Output 2 3 2 4 17 2" xfId="17837"/>
    <cellStyle name="Output 2 3 2 4 17 3" xfId="17838"/>
    <cellStyle name="Output 2 3 2 4 17 4" xfId="17839"/>
    <cellStyle name="Output 2 3 2 4 17 5" xfId="17840"/>
    <cellStyle name="Output 2 3 2 4 18" xfId="17841"/>
    <cellStyle name="Output 2 3 2 4 18 2" xfId="17842"/>
    <cellStyle name="Output 2 3 2 4 18 3" xfId="17843"/>
    <cellStyle name="Output 2 3 2 4 18 4" xfId="17844"/>
    <cellStyle name="Output 2 3 2 4 18 5" xfId="17845"/>
    <cellStyle name="Output 2 3 2 4 19" xfId="17846"/>
    <cellStyle name="Output 2 3 2 4 2" xfId="2404"/>
    <cellStyle name="Output 2 3 2 4 2 2" xfId="17847"/>
    <cellStyle name="Output 2 3 2 4 2 3" xfId="17848"/>
    <cellStyle name="Output 2 3 2 4 2 4" xfId="17849"/>
    <cellStyle name="Output 2 3 2 4 2 5" xfId="17850"/>
    <cellStyle name="Output 2 3 2 4 2 6" xfId="36323"/>
    <cellStyle name="Output 2 3 2 4 2 7" xfId="46199"/>
    <cellStyle name="Output 2 3 2 4 2 8" xfId="54322"/>
    <cellStyle name="Output 2 3 2 4 20" xfId="948"/>
    <cellStyle name="Output 2 3 2 4 21" xfId="35028"/>
    <cellStyle name="Output 2 3 2 4 22" xfId="40737"/>
    <cellStyle name="Output 2 3 2 4 23" xfId="41247"/>
    <cellStyle name="Output 2 3 2 4 3" xfId="2405"/>
    <cellStyle name="Output 2 3 2 4 3 2" xfId="17851"/>
    <cellStyle name="Output 2 3 2 4 3 3" xfId="17852"/>
    <cellStyle name="Output 2 3 2 4 3 4" xfId="17853"/>
    <cellStyle name="Output 2 3 2 4 3 5" xfId="17854"/>
    <cellStyle name="Output 2 3 2 4 3 6" xfId="36820"/>
    <cellStyle name="Output 2 3 2 4 3 7" xfId="46200"/>
    <cellStyle name="Output 2 3 2 4 3 8" xfId="54323"/>
    <cellStyle name="Output 2 3 2 4 4" xfId="1310"/>
    <cellStyle name="Output 2 3 2 4 4 2" xfId="17855"/>
    <cellStyle name="Output 2 3 2 4 4 3" xfId="17856"/>
    <cellStyle name="Output 2 3 2 4 4 4" xfId="17857"/>
    <cellStyle name="Output 2 3 2 4 4 5" xfId="17858"/>
    <cellStyle name="Output 2 3 2 4 4 6" xfId="37436"/>
    <cellStyle name="Output 2 3 2 4 4 7" xfId="46201"/>
    <cellStyle name="Output 2 3 2 4 4 8" xfId="54324"/>
    <cellStyle name="Output 2 3 2 4 5" xfId="3378"/>
    <cellStyle name="Output 2 3 2 4 5 2" xfId="17859"/>
    <cellStyle name="Output 2 3 2 4 5 3" xfId="17860"/>
    <cellStyle name="Output 2 3 2 4 5 4" xfId="17861"/>
    <cellStyle name="Output 2 3 2 4 5 5" xfId="17862"/>
    <cellStyle name="Output 2 3 2 4 5 6" xfId="38052"/>
    <cellStyle name="Output 2 3 2 4 5 7" xfId="46202"/>
    <cellStyle name="Output 2 3 2 4 5 8" xfId="54325"/>
    <cellStyle name="Output 2 3 2 4 6" xfId="3700"/>
    <cellStyle name="Output 2 3 2 4 6 2" xfId="17863"/>
    <cellStyle name="Output 2 3 2 4 6 3" xfId="17864"/>
    <cellStyle name="Output 2 3 2 4 6 4" xfId="17865"/>
    <cellStyle name="Output 2 3 2 4 6 5" xfId="17866"/>
    <cellStyle name="Output 2 3 2 4 6 6" xfId="38670"/>
    <cellStyle name="Output 2 3 2 4 6 7" xfId="46203"/>
    <cellStyle name="Output 2 3 2 4 6 8" xfId="54326"/>
    <cellStyle name="Output 2 3 2 4 7" xfId="17867"/>
    <cellStyle name="Output 2 3 2 4 7 2" xfId="17868"/>
    <cellStyle name="Output 2 3 2 4 7 3" xfId="17869"/>
    <cellStyle name="Output 2 3 2 4 7 4" xfId="17870"/>
    <cellStyle name="Output 2 3 2 4 7 5" xfId="17871"/>
    <cellStyle name="Output 2 3 2 4 7 6" xfId="39290"/>
    <cellStyle name="Output 2 3 2 4 7 7" xfId="46204"/>
    <cellStyle name="Output 2 3 2 4 7 8" xfId="54327"/>
    <cellStyle name="Output 2 3 2 4 8" xfId="17872"/>
    <cellStyle name="Output 2 3 2 4 8 2" xfId="17873"/>
    <cellStyle name="Output 2 3 2 4 8 3" xfId="17874"/>
    <cellStyle name="Output 2 3 2 4 8 4" xfId="17875"/>
    <cellStyle name="Output 2 3 2 4 8 5" xfId="17876"/>
    <cellStyle name="Output 2 3 2 4 8 6" xfId="39906"/>
    <cellStyle name="Output 2 3 2 4 8 7" xfId="46205"/>
    <cellStyle name="Output 2 3 2 4 8 8" xfId="54328"/>
    <cellStyle name="Output 2 3 2 4 9" xfId="17877"/>
    <cellStyle name="Output 2 3 2 4 9 2" xfId="17878"/>
    <cellStyle name="Output 2 3 2 4 9 3" xfId="17879"/>
    <cellStyle name="Output 2 3 2 4 9 4" xfId="17880"/>
    <cellStyle name="Output 2 3 2 4 9 5" xfId="17881"/>
    <cellStyle name="Output 2 3 2 4 9 6" xfId="40521"/>
    <cellStyle name="Output 2 3 2 4 9 7" xfId="46206"/>
    <cellStyle name="Output 2 3 2 4 9 8" xfId="54329"/>
    <cellStyle name="Output 2 3 2 5" xfId="2406"/>
    <cellStyle name="Output 2 3 2 5 10" xfId="34650"/>
    <cellStyle name="Output 2 3 2 5 10 2" xfId="46208"/>
    <cellStyle name="Output 2 3 2 5 10 3" xfId="54331"/>
    <cellStyle name="Output 2 3 2 5 11" xfId="41033"/>
    <cellStyle name="Output 2 3 2 5 12" xfId="46207"/>
    <cellStyle name="Output 2 3 2 5 13" xfId="54330"/>
    <cellStyle name="Output 2 3 2 5 2" xfId="2407"/>
    <cellStyle name="Output 2 3 2 5 2 2" xfId="36110"/>
    <cellStyle name="Output 2 3 2 5 2 3" xfId="46209"/>
    <cellStyle name="Output 2 3 2 5 2 4" xfId="54332"/>
    <cellStyle name="Output 2 3 2 5 3" xfId="2408"/>
    <cellStyle name="Output 2 3 2 5 3 2" xfId="36609"/>
    <cellStyle name="Output 2 3 2 5 3 3" xfId="46210"/>
    <cellStyle name="Output 2 3 2 5 3 4" xfId="54333"/>
    <cellStyle name="Output 2 3 2 5 4" xfId="17882"/>
    <cellStyle name="Output 2 3 2 5 4 2" xfId="37225"/>
    <cellStyle name="Output 2 3 2 5 4 3" xfId="46211"/>
    <cellStyle name="Output 2 3 2 5 4 4" xfId="54334"/>
    <cellStyle name="Output 2 3 2 5 5" xfId="17883"/>
    <cellStyle name="Output 2 3 2 5 5 2" xfId="37841"/>
    <cellStyle name="Output 2 3 2 5 5 3" xfId="46212"/>
    <cellStyle name="Output 2 3 2 5 5 4" xfId="54335"/>
    <cellStyle name="Output 2 3 2 5 6" xfId="38456"/>
    <cellStyle name="Output 2 3 2 5 6 2" xfId="46213"/>
    <cellStyle name="Output 2 3 2 5 6 3" xfId="54336"/>
    <cellStyle name="Output 2 3 2 5 7" xfId="39076"/>
    <cellStyle name="Output 2 3 2 5 7 2" xfId="46214"/>
    <cellStyle name="Output 2 3 2 5 7 3" xfId="54337"/>
    <cellStyle name="Output 2 3 2 5 8" xfId="39692"/>
    <cellStyle name="Output 2 3 2 5 8 2" xfId="46215"/>
    <cellStyle name="Output 2 3 2 5 8 3" xfId="54338"/>
    <cellStyle name="Output 2 3 2 5 9" xfId="40307"/>
    <cellStyle name="Output 2 3 2 5 9 2" xfId="46216"/>
    <cellStyle name="Output 2 3 2 5 9 3" xfId="54339"/>
    <cellStyle name="Output 2 3 2 6" xfId="1305"/>
    <cellStyle name="Output 2 3 2 6 10" xfId="46217"/>
    <cellStyle name="Output 2 3 2 6 11" xfId="54340"/>
    <cellStyle name="Output 2 3 2 6 2" xfId="17884"/>
    <cellStyle name="Output 2 3 2 6 2 2" xfId="46218"/>
    <cellStyle name="Output 2 3 2 6 2 3" xfId="54341"/>
    <cellStyle name="Output 2 3 2 6 3" xfId="17885"/>
    <cellStyle name="Output 2 3 2 6 3 2" xfId="46219"/>
    <cellStyle name="Output 2 3 2 6 3 3" xfId="54342"/>
    <cellStyle name="Output 2 3 2 6 4" xfId="17886"/>
    <cellStyle name="Output 2 3 2 6 4 2" xfId="46220"/>
    <cellStyle name="Output 2 3 2 6 4 3" xfId="54343"/>
    <cellStyle name="Output 2 3 2 6 5" xfId="17887"/>
    <cellStyle name="Output 2 3 2 6 5 2" xfId="46221"/>
    <cellStyle name="Output 2 3 2 6 5 3" xfId="54344"/>
    <cellStyle name="Output 2 3 2 6 6" xfId="35428"/>
    <cellStyle name="Output 2 3 2 6 6 2" xfId="46222"/>
    <cellStyle name="Output 2 3 2 6 6 3" xfId="54345"/>
    <cellStyle name="Output 2 3 2 6 7" xfId="46223"/>
    <cellStyle name="Output 2 3 2 6 7 2" xfId="54346"/>
    <cellStyle name="Output 2 3 2 6 8" xfId="46224"/>
    <cellStyle name="Output 2 3 2 6 8 2" xfId="54347"/>
    <cellStyle name="Output 2 3 2 6 9" xfId="46225"/>
    <cellStyle name="Output 2 3 2 6 9 2" xfId="54348"/>
    <cellStyle name="Output 2 3 2 7" xfId="3373"/>
    <cellStyle name="Output 2 3 2 7 2" xfId="17888"/>
    <cellStyle name="Output 2 3 2 7 3" xfId="17889"/>
    <cellStyle name="Output 2 3 2 7 4" xfId="17890"/>
    <cellStyle name="Output 2 3 2 7 5" xfId="17891"/>
    <cellStyle name="Output 2 3 2 7 6" xfId="35960"/>
    <cellStyle name="Output 2 3 2 7 7" xfId="46226"/>
    <cellStyle name="Output 2 3 2 7 8" xfId="54349"/>
    <cellStyle name="Output 2 3 2 8" xfId="3695"/>
    <cellStyle name="Output 2 3 2 8 2" xfId="17892"/>
    <cellStyle name="Output 2 3 2 8 3" xfId="17893"/>
    <cellStyle name="Output 2 3 2 8 4" xfId="17894"/>
    <cellStyle name="Output 2 3 2 8 5" xfId="17895"/>
    <cellStyle name="Output 2 3 2 8 6" xfId="36008"/>
    <cellStyle name="Output 2 3 2 8 7" xfId="46227"/>
    <cellStyle name="Output 2 3 2 8 8" xfId="54350"/>
    <cellStyle name="Output 2 3 2 9" xfId="17896"/>
    <cellStyle name="Output 2 3 2 9 2" xfId="17897"/>
    <cellStyle name="Output 2 3 2 9 3" xfId="17898"/>
    <cellStyle name="Output 2 3 2 9 4" xfId="17899"/>
    <cellStyle name="Output 2 3 2 9 5" xfId="17900"/>
    <cellStyle name="Output 2 3 2 9 6" xfId="37005"/>
    <cellStyle name="Output 2 3 2 9 7" xfId="46228"/>
    <cellStyle name="Output 2 3 2 9 8" xfId="54351"/>
    <cellStyle name="Output 2 3 20" xfId="17901"/>
    <cellStyle name="Output 2 3 21" xfId="701"/>
    <cellStyle name="Output 2 3 22" xfId="34774"/>
    <cellStyle name="Output 2 3 23" xfId="40785"/>
    <cellStyle name="Output 2 3 3" xfId="290"/>
    <cellStyle name="Output 2 3 3 10" xfId="17902"/>
    <cellStyle name="Output 2 3 3 10 2" xfId="17903"/>
    <cellStyle name="Output 2 3 3 10 3" xfId="17904"/>
    <cellStyle name="Output 2 3 3 10 4" xfId="17905"/>
    <cellStyle name="Output 2 3 3 10 5" xfId="17906"/>
    <cellStyle name="Output 2 3 3 10 6" xfId="37618"/>
    <cellStyle name="Output 2 3 3 10 7" xfId="46229"/>
    <cellStyle name="Output 2 3 3 10 8" xfId="54352"/>
    <cellStyle name="Output 2 3 3 11" xfId="17907"/>
    <cellStyle name="Output 2 3 3 11 2" xfId="17908"/>
    <cellStyle name="Output 2 3 3 11 3" xfId="17909"/>
    <cellStyle name="Output 2 3 3 11 4" xfId="17910"/>
    <cellStyle name="Output 2 3 3 11 5" xfId="17911"/>
    <cellStyle name="Output 2 3 3 11 6" xfId="38235"/>
    <cellStyle name="Output 2 3 3 11 7" xfId="46230"/>
    <cellStyle name="Output 2 3 3 11 8" xfId="54353"/>
    <cellStyle name="Output 2 3 3 12" xfId="17912"/>
    <cellStyle name="Output 2 3 3 12 2" xfId="17913"/>
    <cellStyle name="Output 2 3 3 12 3" xfId="17914"/>
    <cellStyle name="Output 2 3 3 12 4" xfId="17915"/>
    <cellStyle name="Output 2 3 3 12 5" xfId="17916"/>
    <cellStyle name="Output 2 3 3 12 6" xfId="38857"/>
    <cellStyle name="Output 2 3 3 12 7" xfId="46231"/>
    <cellStyle name="Output 2 3 3 12 8" xfId="54354"/>
    <cellStyle name="Output 2 3 3 13" xfId="17917"/>
    <cellStyle name="Output 2 3 3 13 2" xfId="17918"/>
    <cellStyle name="Output 2 3 3 13 3" xfId="17919"/>
    <cellStyle name="Output 2 3 3 13 4" xfId="17920"/>
    <cellStyle name="Output 2 3 3 13 5" xfId="17921"/>
    <cellStyle name="Output 2 3 3 13 6" xfId="39477"/>
    <cellStyle name="Output 2 3 3 13 7" xfId="46232"/>
    <cellStyle name="Output 2 3 3 13 8" xfId="54355"/>
    <cellStyle name="Output 2 3 3 14" xfId="17922"/>
    <cellStyle name="Output 2 3 3 14 2" xfId="17923"/>
    <cellStyle name="Output 2 3 3 14 3" xfId="17924"/>
    <cellStyle name="Output 2 3 3 14 4" xfId="17925"/>
    <cellStyle name="Output 2 3 3 14 5" xfId="17926"/>
    <cellStyle name="Output 2 3 3 14 6" xfId="40095"/>
    <cellStyle name="Output 2 3 3 14 7" xfId="46233"/>
    <cellStyle name="Output 2 3 3 14 8" xfId="54356"/>
    <cellStyle name="Output 2 3 3 15" xfId="17927"/>
    <cellStyle name="Output 2 3 3 15 2" xfId="17928"/>
    <cellStyle name="Output 2 3 3 15 3" xfId="17929"/>
    <cellStyle name="Output 2 3 3 15 4" xfId="17930"/>
    <cellStyle name="Output 2 3 3 15 5" xfId="17931"/>
    <cellStyle name="Output 2 3 3 15 6" xfId="46234"/>
    <cellStyle name="Output 2 3 3 15 7" xfId="54357"/>
    <cellStyle name="Output 2 3 3 16" xfId="17932"/>
    <cellStyle name="Output 2 3 3 16 2" xfId="17933"/>
    <cellStyle name="Output 2 3 3 16 3" xfId="17934"/>
    <cellStyle name="Output 2 3 3 16 4" xfId="17935"/>
    <cellStyle name="Output 2 3 3 16 5" xfId="17936"/>
    <cellStyle name="Output 2 3 3 17" xfId="17937"/>
    <cellStyle name="Output 2 3 3 17 2" xfId="17938"/>
    <cellStyle name="Output 2 3 3 17 3" xfId="17939"/>
    <cellStyle name="Output 2 3 3 17 4" xfId="17940"/>
    <cellStyle name="Output 2 3 3 17 5" xfId="17941"/>
    <cellStyle name="Output 2 3 3 18" xfId="17942"/>
    <cellStyle name="Output 2 3 3 19" xfId="735"/>
    <cellStyle name="Output 2 3 3 2" xfId="384"/>
    <cellStyle name="Output 2 3 3 2 10" xfId="17943"/>
    <cellStyle name="Output 2 3 3 2 10 2" xfId="17944"/>
    <cellStyle name="Output 2 3 3 2 10 3" xfId="17945"/>
    <cellStyle name="Output 2 3 3 2 10 4" xfId="17946"/>
    <cellStyle name="Output 2 3 3 2 10 5" xfId="17947"/>
    <cellStyle name="Output 2 3 3 2 10 6" xfId="39562"/>
    <cellStyle name="Output 2 3 3 2 10 7" xfId="46235"/>
    <cellStyle name="Output 2 3 3 2 10 8" xfId="54358"/>
    <cellStyle name="Output 2 3 3 2 11" xfId="17948"/>
    <cellStyle name="Output 2 3 3 2 11 2" xfId="17949"/>
    <cellStyle name="Output 2 3 3 2 11 3" xfId="17950"/>
    <cellStyle name="Output 2 3 3 2 11 4" xfId="17951"/>
    <cellStyle name="Output 2 3 3 2 11 5" xfId="17952"/>
    <cellStyle name="Output 2 3 3 2 11 6" xfId="40178"/>
    <cellStyle name="Output 2 3 3 2 11 7" xfId="46236"/>
    <cellStyle name="Output 2 3 3 2 11 8" xfId="54359"/>
    <cellStyle name="Output 2 3 3 2 12" xfId="17953"/>
    <cellStyle name="Output 2 3 3 2 12 2" xfId="17954"/>
    <cellStyle name="Output 2 3 3 2 12 3" xfId="17955"/>
    <cellStyle name="Output 2 3 3 2 12 4" xfId="17956"/>
    <cellStyle name="Output 2 3 3 2 12 5" xfId="17957"/>
    <cellStyle name="Output 2 3 3 2 12 6" xfId="46237"/>
    <cellStyle name="Output 2 3 3 2 12 7" xfId="54360"/>
    <cellStyle name="Output 2 3 3 2 13" xfId="17958"/>
    <cellStyle name="Output 2 3 3 2 13 2" xfId="17959"/>
    <cellStyle name="Output 2 3 3 2 13 3" xfId="17960"/>
    <cellStyle name="Output 2 3 3 2 13 4" xfId="17961"/>
    <cellStyle name="Output 2 3 3 2 13 5" xfId="17962"/>
    <cellStyle name="Output 2 3 3 2 13 6" xfId="46238"/>
    <cellStyle name="Output 2 3 3 2 13 7" xfId="54361"/>
    <cellStyle name="Output 2 3 3 2 14" xfId="17963"/>
    <cellStyle name="Output 2 3 3 2 14 2" xfId="17964"/>
    <cellStyle name="Output 2 3 3 2 14 3" xfId="17965"/>
    <cellStyle name="Output 2 3 3 2 14 4" xfId="17966"/>
    <cellStyle name="Output 2 3 3 2 14 5" xfId="17967"/>
    <cellStyle name="Output 2 3 3 2 15" xfId="17968"/>
    <cellStyle name="Output 2 3 3 2 15 2" xfId="17969"/>
    <cellStyle name="Output 2 3 3 2 15 3" xfId="17970"/>
    <cellStyle name="Output 2 3 3 2 15 4" xfId="17971"/>
    <cellStyle name="Output 2 3 3 2 15 5" xfId="17972"/>
    <cellStyle name="Output 2 3 3 2 16" xfId="17973"/>
    <cellStyle name="Output 2 3 3 2 16 2" xfId="17974"/>
    <cellStyle name="Output 2 3 3 2 16 3" xfId="17975"/>
    <cellStyle name="Output 2 3 3 2 16 4" xfId="17976"/>
    <cellStyle name="Output 2 3 3 2 16 5" xfId="17977"/>
    <cellStyle name="Output 2 3 3 2 17" xfId="17978"/>
    <cellStyle name="Output 2 3 3 2 17 2" xfId="17979"/>
    <cellStyle name="Output 2 3 3 2 17 3" xfId="17980"/>
    <cellStyle name="Output 2 3 3 2 17 4" xfId="17981"/>
    <cellStyle name="Output 2 3 3 2 17 5" xfId="17982"/>
    <cellStyle name="Output 2 3 3 2 18" xfId="17983"/>
    <cellStyle name="Output 2 3 3 2 18 2" xfId="17984"/>
    <cellStyle name="Output 2 3 3 2 18 3" xfId="17985"/>
    <cellStyle name="Output 2 3 3 2 18 4" xfId="17986"/>
    <cellStyle name="Output 2 3 3 2 18 5" xfId="17987"/>
    <cellStyle name="Output 2 3 3 2 19" xfId="17988"/>
    <cellStyle name="Output 2 3 3 2 2" xfId="603"/>
    <cellStyle name="Output 2 3 3 2 2 10" xfId="17989"/>
    <cellStyle name="Output 2 3 3 2 2 10 2" xfId="17990"/>
    <cellStyle name="Output 2 3 3 2 2 10 3" xfId="17991"/>
    <cellStyle name="Output 2 3 3 2 2 10 4" xfId="17992"/>
    <cellStyle name="Output 2 3 3 2 2 10 5" xfId="17993"/>
    <cellStyle name="Output 2 3 3 2 2 10 6" xfId="46239"/>
    <cellStyle name="Output 2 3 3 2 2 10 7" xfId="54362"/>
    <cellStyle name="Output 2 3 3 2 2 11" xfId="17994"/>
    <cellStyle name="Output 2 3 3 2 2 11 2" xfId="17995"/>
    <cellStyle name="Output 2 3 3 2 2 11 3" xfId="17996"/>
    <cellStyle name="Output 2 3 3 2 2 11 4" xfId="17997"/>
    <cellStyle name="Output 2 3 3 2 2 11 5" xfId="17998"/>
    <cellStyle name="Output 2 3 3 2 2 12" xfId="17999"/>
    <cellStyle name="Output 2 3 3 2 2 12 2" xfId="18000"/>
    <cellStyle name="Output 2 3 3 2 2 12 3" xfId="18001"/>
    <cellStyle name="Output 2 3 3 2 2 12 4" xfId="18002"/>
    <cellStyle name="Output 2 3 3 2 2 12 5" xfId="18003"/>
    <cellStyle name="Output 2 3 3 2 2 13" xfId="18004"/>
    <cellStyle name="Output 2 3 3 2 2 13 2" xfId="18005"/>
    <cellStyle name="Output 2 3 3 2 2 13 3" xfId="18006"/>
    <cellStyle name="Output 2 3 3 2 2 13 4" xfId="18007"/>
    <cellStyle name="Output 2 3 3 2 2 13 5" xfId="18008"/>
    <cellStyle name="Output 2 3 3 2 2 14" xfId="18009"/>
    <cellStyle name="Output 2 3 3 2 2 14 2" xfId="18010"/>
    <cellStyle name="Output 2 3 3 2 2 14 3" xfId="18011"/>
    <cellStyle name="Output 2 3 3 2 2 14 4" xfId="18012"/>
    <cellStyle name="Output 2 3 3 2 2 14 5" xfId="18013"/>
    <cellStyle name="Output 2 3 3 2 2 15" xfId="18014"/>
    <cellStyle name="Output 2 3 3 2 2 15 2" xfId="18015"/>
    <cellStyle name="Output 2 3 3 2 2 15 3" xfId="18016"/>
    <cellStyle name="Output 2 3 3 2 2 15 4" xfId="18017"/>
    <cellStyle name="Output 2 3 3 2 2 15 5" xfId="18018"/>
    <cellStyle name="Output 2 3 3 2 2 16" xfId="18019"/>
    <cellStyle name="Output 2 3 3 2 2 16 2" xfId="18020"/>
    <cellStyle name="Output 2 3 3 2 2 16 3" xfId="18021"/>
    <cellStyle name="Output 2 3 3 2 2 16 4" xfId="18022"/>
    <cellStyle name="Output 2 3 3 2 2 16 5" xfId="18023"/>
    <cellStyle name="Output 2 3 3 2 2 17" xfId="18024"/>
    <cellStyle name="Output 2 3 3 2 2 17 2" xfId="18025"/>
    <cellStyle name="Output 2 3 3 2 2 17 3" xfId="18026"/>
    <cellStyle name="Output 2 3 3 2 2 17 4" xfId="18027"/>
    <cellStyle name="Output 2 3 3 2 2 17 5" xfId="18028"/>
    <cellStyle name="Output 2 3 3 2 2 18" xfId="18029"/>
    <cellStyle name="Output 2 3 3 2 2 18 2" xfId="18030"/>
    <cellStyle name="Output 2 3 3 2 2 18 3" xfId="18031"/>
    <cellStyle name="Output 2 3 3 2 2 18 4" xfId="18032"/>
    <cellStyle name="Output 2 3 3 2 2 18 5" xfId="18033"/>
    <cellStyle name="Output 2 3 3 2 2 19" xfId="18034"/>
    <cellStyle name="Output 2 3 3 2 2 2" xfId="2409"/>
    <cellStyle name="Output 2 3 3 2 2 2 2" xfId="18035"/>
    <cellStyle name="Output 2 3 3 2 2 2 3" xfId="18036"/>
    <cellStyle name="Output 2 3 3 2 2 2 4" xfId="18037"/>
    <cellStyle name="Output 2 3 3 2 2 2 5" xfId="18038"/>
    <cellStyle name="Output 2 3 3 2 2 2 6" xfId="36407"/>
    <cellStyle name="Output 2 3 3 2 2 2 7" xfId="46240"/>
    <cellStyle name="Output 2 3 3 2 2 2 8" xfId="54363"/>
    <cellStyle name="Output 2 3 3 2 2 20" xfId="1032"/>
    <cellStyle name="Output 2 3 3 2 2 21" xfId="35112"/>
    <cellStyle name="Output 2 3 3 2 2 22" xfId="41331"/>
    <cellStyle name="Output 2 3 3 2 2 3" xfId="2410"/>
    <cellStyle name="Output 2 3 3 2 2 3 2" xfId="18039"/>
    <cellStyle name="Output 2 3 3 2 2 3 3" xfId="18040"/>
    <cellStyle name="Output 2 3 3 2 2 3 4" xfId="18041"/>
    <cellStyle name="Output 2 3 3 2 2 3 5" xfId="18042"/>
    <cellStyle name="Output 2 3 3 2 2 3 6" xfId="36904"/>
    <cellStyle name="Output 2 3 3 2 2 3 7" xfId="46241"/>
    <cellStyle name="Output 2 3 3 2 2 3 8" xfId="54364"/>
    <cellStyle name="Output 2 3 3 2 2 4" xfId="1313"/>
    <cellStyle name="Output 2 3 3 2 2 4 2" xfId="18043"/>
    <cellStyle name="Output 2 3 3 2 2 4 3" xfId="18044"/>
    <cellStyle name="Output 2 3 3 2 2 4 4" xfId="18045"/>
    <cellStyle name="Output 2 3 3 2 2 4 5" xfId="18046"/>
    <cellStyle name="Output 2 3 3 2 2 4 6" xfId="37520"/>
    <cellStyle name="Output 2 3 3 2 2 4 7" xfId="46242"/>
    <cellStyle name="Output 2 3 3 2 2 4 8" xfId="54365"/>
    <cellStyle name="Output 2 3 3 2 2 5" xfId="3381"/>
    <cellStyle name="Output 2 3 3 2 2 5 2" xfId="18047"/>
    <cellStyle name="Output 2 3 3 2 2 5 3" xfId="18048"/>
    <cellStyle name="Output 2 3 3 2 2 5 4" xfId="18049"/>
    <cellStyle name="Output 2 3 3 2 2 5 5" xfId="18050"/>
    <cellStyle name="Output 2 3 3 2 2 5 6" xfId="38136"/>
    <cellStyle name="Output 2 3 3 2 2 5 7" xfId="46243"/>
    <cellStyle name="Output 2 3 3 2 2 5 8" xfId="54366"/>
    <cellStyle name="Output 2 3 3 2 2 6" xfId="3703"/>
    <cellStyle name="Output 2 3 3 2 2 6 2" xfId="18051"/>
    <cellStyle name="Output 2 3 3 2 2 6 3" xfId="18052"/>
    <cellStyle name="Output 2 3 3 2 2 6 4" xfId="18053"/>
    <cellStyle name="Output 2 3 3 2 2 6 5" xfId="18054"/>
    <cellStyle name="Output 2 3 3 2 2 6 6" xfId="38754"/>
    <cellStyle name="Output 2 3 3 2 2 6 7" xfId="46244"/>
    <cellStyle name="Output 2 3 3 2 2 6 8" xfId="54367"/>
    <cellStyle name="Output 2 3 3 2 2 7" xfId="18055"/>
    <cellStyle name="Output 2 3 3 2 2 7 2" xfId="18056"/>
    <cellStyle name="Output 2 3 3 2 2 7 3" xfId="18057"/>
    <cellStyle name="Output 2 3 3 2 2 7 4" xfId="18058"/>
    <cellStyle name="Output 2 3 3 2 2 7 5" xfId="18059"/>
    <cellStyle name="Output 2 3 3 2 2 7 6" xfId="39374"/>
    <cellStyle name="Output 2 3 3 2 2 7 7" xfId="46245"/>
    <cellStyle name="Output 2 3 3 2 2 7 8" xfId="54368"/>
    <cellStyle name="Output 2 3 3 2 2 8" xfId="18060"/>
    <cellStyle name="Output 2 3 3 2 2 8 2" xfId="18061"/>
    <cellStyle name="Output 2 3 3 2 2 8 3" xfId="18062"/>
    <cellStyle name="Output 2 3 3 2 2 8 4" xfId="18063"/>
    <cellStyle name="Output 2 3 3 2 2 8 5" xfId="18064"/>
    <cellStyle name="Output 2 3 3 2 2 8 6" xfId="39990"/>
    <cellStyle name="Output 2 3 3 2 2 8 7" xfId="46246"/>
    <cellStyle name="Output 2 3 3 2 2 8 8" xfId="54369"/>
    <cellStyle name="Output 2 3 3 2 2 9" xfId="18065"/>
    <cellStyle name="Output 2 3 3 2 2 9 2" xfId="18066"/>
    <cellStyle name="Output 2 3 3 2 2 9 3" xfId="18067"/>
    <cellStyle name="Output 2 3 3 2 2 9 4" xfId="18068"/>
    <cellStyle name="Output 2 3 3 2 2 9 5" xfId="18069"/>
    <cellStyle name="Output 2 3 3 2 2 9 6" xfId="40605"/>
    <cellStyle name="Output 2 3 3 2 2 9 7" xfId="46247"/>
    <cellStyle name="Output 2 3 3 2 2 9 8" xfId="54370"/>
    <cellStyle name="Output 2 3 3 2 20" xfId="820"/>
    <cellStyle name="Output 2 3 3 2 21" xfId="34713"/>
    <cellStyle name="Output 2 3 3 2 22" xfId="40904"/>
    <cellStyle name="Output 2 3 3 2 23" xfId="41465"/>
    <cellStyle name="Output 2 3 3 2 24" xfId="50552"/>
    <cellStyle name="Output 2 3 3 2 3" xfId="2411"/>
    <cellStyle name="Output 2 3 3 2 3 10" xfId="34861"/>
    <cellStyle name="Output 2 3 3 2 3 10 2" xfId="46249"/>
    <cellStyle name="Output 2 3 3 2 3 10 3" xfId="54372"/>
    <cellStyle name="Output 2 3 3 2 3 11" xfId="41119"/>
    <cellStyle name="Output 2 3 3 2 3 12" xfId="46248"/>
    <cellStyle name="Output 2 3 3 2 3 13" xfId="54371"/>
    <cellStyle name="Output 2 3 3 2 3 2" xfId="2412"/>
    <cellStyle name="Output 2 3 3 2 3 2 2" xfId="36196"/>
    <cellStyle name="Output 2 3 3 2 3 2 3" xfId="46250"/>
    <cellStyle name="Output 2 3 3 2 3 2 4" xfId="54373"/>
    <cellStyle name="Output 2 3 3 2 3 3" xfId="2413"/>
    <cellStyle name="Output 2 3 3 2 3 3 2" xfId="36693"/>
    <cellStyle name="Output 2 3 3 2 3 3 3" xfId="46251"/>
    <cellStyle name="Output 2 3 3 2 3 3 4" xfId="54374"/>
    <cellStyle name="Output 2 3 3 2 3 4" xfId="18070"/>
    <cellStyle name="Output 2 3 3 2 3 4 2" xfId="37309"/>
    <cellStyle name="Output 2 3 3 2 3 4 3" xfId="46252"/>
    <cellStyle name="Output 2 3 3 2 3 4 4" xfId="54375"/>
    <cellStyle name="Output 2 3 3 2 3 5" xfId="18071"/>
    <cellStyle name="Output 2 3 3 2 3 5 2" xfId="37925"/>
    <cellStyle name="Output 2 3 3 2 3 5 3" xfId="46253"/>
    <cellStyle name="Output 2 3 3 2 3 5 4" xfId="54376"/>
    <cellStyle name="Output 2 3 3 2 3 6" xfId="38542"/>
    <cellStyle name="Output 2 3 3 2 3 6 2" xfId="46254"/>
    <cellStyle name="Output 2 3 3 2 3 6 3" xfId="54377"/>
    <cellStyle name="Output 2 3 3 2 3 7" xfId="39162"/>
    <cellStyle name="Output 2 3 3 2 3 7 2" xfId="46255"/>
    <cellStyle name="Output 2 3 3 2 3 7 3" xfId="54378"/>
    <cellStyle name="Output 2 3 3 2 3 8" xfId="39778"/>
    <cellStyle name="Output 2 3 3 2 3 8 2" xfId="46256"/>
    <cellStyle name="Output 2 3 3 2 3 8 3" xfId="54379"/>
    <cellStyle name="Output 2 3 3 2 3 9" xfId="40393"/>
    <cellStyle name="Output 2 3 3 2 3 9 2" xfId="46257"/>
    <cellStyle name="Output 2 3 3 2 3 9 3" xfId="54380"/>
    <cellStyle name="Output 2 3 3 2 4" xfId="2414"/>
    <cellStyle name="Output 2 3 3 2 4 10" xfId="46258"/>
    <cellStyle name="Output 2 3 3 2 4 11" xfId="54381"/>
    <cellStyle name="Output 2 3 3 2 4 2" xfId="18072"/>
    <cellStyle name="Output 2 3 3 2 4 2 2" xfId="46259"/>
    <cellStyle name="Output 2 3 3 2 4 2 3" xfId="54382"/>
    <cellStyle name="Output 2 3 3 2 4 3" xfId="18073"/>
    <cellStyle name="Output 2 3 3 2 4 3 2" xfId="46260"/>
    <cellStyle name="Output 2 3 3 2 4 3 3" xfId="54383"/>
    <cellStyle name="Output 2 3 3 2 4 4" xfId="18074"/>
    <cellStyle name="Output 2 3 3 2 4 4 2" xfId="46261"/>
    <cellStyle name="Output 2 3 3 2 4 4 3" xfId="54384"/>
    <cellStyle name="Output 2 3 3 2 4 5" xfId="18075"/>
    <cellStyle name="Output 2 3 3 2 4 5 2" xfId="46262"/>
    <cellStyle name="Output 2 3 3 2 4 5 3" xfId="54385"/>
    <cellStyle name="Output 2 3 3 2 4 6" xfId="35698"/>
    <cellStyle name="Output 2 3 3 2 4 6 2" xfId="46263"/>
    <cellStyle name="Output 2 3 3 2 4 6 3" xfId="54386"/>
    <cellStyle name="Output 2 3 3 2 4 7" xfId="46264"/>
    <cellStyle name="Output 2 3 3 2 4 7 2" xfId="54387"/>
    <cellStyle name="Output 2 3 3 2 4 8" xfId="46265"/>
    <cellStyle name="Output 2 3 3 2 4 8 2" xfId="54388"/>
    <cellStyle name="Output 2 3 3 2 4 9" xfId="46266"/>
    <cellStyle name="Output 2 3 3 2 4 9 2" xfId="54389"/>
    <cellStyle name="Output 2 3 3 2 5" xfId="1312"/>
    <cellStyle name="Output 2 3 3 2 5 2" xfId="18076"/>
    <cellStyle name="Output 2 3 3 2 5 3" xfId="18077"/>
    <cellStyle name="Output 2 3 3 2 5 4" xfId="18078"/>
    <cellStyle name="Output 2 3 3 2 5 5" xfId="18079"/>
    <cellStyle name="Output 2 3 3 2 5 6" xfId="35743"/>
    <cellStyle name="Output 2 3 3 2 5 7" xfId="46267"/>
    <cellStyle name="Output 2 3 3 2 5 8" xfId="54390"/>
    <cellStyle name="Output 2 3 3 2 6" xfId="3380"/>
    <cellStyle name="Output 2 3 3 2 6 2" xfId="18080"/>
    <cellStyle name="Output 2 3 3 2 6 3" xfId="18081"/>
    <cellStyle name="Output 2 3 3 2 6 4" xfId="18082"/>
    <cellStyle name="Output 2 3 3 2 6 5" xfId="18083"/>
    <cellStyle name="Output 2 3 3 2 6 6" xfId="37094"/>
    <cellStyle name="Output 2 3 3 2 6 7" xfId="46268"/>
    <cellStyle name="Output 2 3 3 2 6 8" xfId="54391"/>
    <cellStyle name="Output 2 3 3 2 7" xfId="3702"/>
    <cellStyle name="Output 2 3 3 2 7 2" xfId="18084"/>
    <cellStyle name="Output 2 3 3 2 7 3" xfId="18085"/>
    <cellStyle name="Output 2 3 3 2 7 4" xfId="18086"/>
    <cellStyle name="Output 2 3 3 2 7 5" xfId="18087"/>
    <cellStyle name="Output 2 3 3 2 7 6" xfId="37708"/>
    <cellStyle name="Output 2 3 3 2 7 7" xfId="46269"/>
    <cellStyle name="Output 2 3 3 2 7 8" xfId="54392"/>
    <cellStyle name="Output 2 3 3 2 8" xfId="18088"/>
    <cellStyle name="Output 2 3 3 2 8 2" xfId="18089"/>
    <cellStyle name="Output 2 3 3 2 8 3" xfId="18090"/>
    <cellStyle name="Output 2 3 3 2 8 4" xfId="18091"/>
    <cellStyle name="Output 2 3 3 2 8 5" xfId="18092"/>
    <cellStyle name="Output 2 3 3 2 8 6" xfId="38323"/>
    <cellStyle name="Output 2 3 3 2 8 7" xfId="46270"/>
    <cellStyle name="Output 2 3 3 2 8 8" xfId="54393"/>
    <cellStyle name="Output 2 3 3 2 9" xfId="18093"/>
    <cellStyle name="Output 2 3 3 2 9 2" xfId="18094"/>
    <cellStyle name="Output 2 3 3 2 9 3" xfId="18095"/>
    <cellStyle name="Output 2 3 3 2 9 4" xfId="18096"/>
    <cellStyle name="Output 2 3 3 2 9 5" xfId="18097"/>
    <cellStyle name="Output 2 3 3 2 9 6" xfId="38943"/>
    <cellStyle name="Output 2 3 3 2 9 7" xfId="46271"/>
    <cellStyle name="Output 2 3 3 2 9 8" xfId="54394"/>
    <cellStyle name="Output 2 3 3 20" xfId="34894"/>
    <cellStyle name="Output 2 3 3 21" xfId="40819"/>
    <cellStyle name="Output 2 3 3 3" xfId="385"/>
    <cellStyle name="Output 2 3 3 3 10" xfId="18098"/>
    <cellStyle name="Output 2 3 3 3 10 2" xfId="18099"/>
    <cellStyle name="Output 2 3 3 3 10 3" xfId="18100"/>
    <cellStyle name="Output 2 3 3 3 10 4" xfId="18101"/>
    <cellStyle name="Output 2 3 3 3 10 5" xfId="18102"/>
    <cellStyle name="Output 2 3 3 3 10 6" xfId="40179"/>
    <cellStyle name="Output 2 3 3 3 10 7" xfId="46272"/>
    <cellStyle name="Output 2 3 3 3 10 8" xfId="54395"/>
    <cellStyle name="Output 2 3 3 3 11" xfId="18103"/>
    <cellStyle name="Output 2 3 3 3 11 2" xfId="18104"/>
    <cellStyle name="Output 2 3 3 3 11 3" xfId="18105"/>
    <cellStyle name="Output 2 3 3 3 11 4" xfId="18106"/>
    <cellStyle name="Output 2 3 3 3 11 5" xfId="18107"/>
    <cellStyle name="Output 2 3 3 3 11 6" xfId="46273"/>
    <cellStyle name="Output 2 3 3 3 11 7" xfId="54396"/>
    <cellStyle name="Output 2 3 3 3 12" xfId="18108"/>
    <cellStyle name="Output 2 3 3 3 12 2" xfId="18109"/>
    <cellStyle name="Output 2 3 3 3 12 3" xfId="18110"/>
    <cellStyle name="Output 2 3 3 3 12 4" xfId="18111"/>
    <cellStyle name="Output 2 3 3 3 12 5" xfId="18112"/>
    <cellStyle name="Output 2 3 3 3 12 6" xfId="46274"/>
    <cellStyle name="Output 2 3 3 3 12 7" xfId="54397"/>
    <cellStyle name="Output 2 3 3 3 13" xfId="18113"/>
    <cellStyle name="Output 2 3 3 3 13 2" xfId="18114"/>
    <cellStyle name="Output 2 3 3 3 13 3" xfId="18115"/>
    <cellStyle name="Output 2 3 3 3 13 4" xfId="18116"/>
    <cellStyle name="Output 2 3 3 3 13 5" xfId="18117"/>
    <cellStyle name="Output 2 3 3 3 13 6" xfId="46275"/>
    <cellStyle name="Output 2 3 3 3 13 7" xfId="54398"/>
    <cellStyle name="Output 2 3 3 3 14" xfId="18118"/>
    <cellStyle name="Output 2 3 3 3 14 2" xfId="18119"/>
    <cellStyle name="Output 2 3 3 3 14 3" xfId="18120"/>
    <cellStyle name="Output 2 3 3 3 14 4" xfId="18121"/>
    <cellStyle name="Output 2 3 3 3 14 5" xfId="18122"/>
    <cellStyle name="Output 2 3 3 3 15" xfId="18123"/>
    <cellStyle name="Output 2 3 3 3 15 2" xfId="18124"/>
    <cellStyle name="Output 2 3 3 3 15 3" xfId="18125"/>
    <cellStyle name="Output 2 3 3 3 15 4" xfId="18126"/>
    <cellStyle name="Output 2 3 3 3 15 5" xfId="18127"/>
    <cellStyle name="Output 2 3 3 3 16" xfId="18128"/>
    <cellStyle name="Output 2 3 3 3 16 2" xfId="18129"/>
    <cellStyle name="Output 2 3 3 3 16 3" xfId="18130"/>
    <cellStyle name="Output 2 3 3 3 16 4" xfId="18131"/>
    <cellStyle name="Output 2 3 3 3 16 5" xfId="18132"/>
    <cellStyle name="Output 2 3 3 3 17" xfId="18133"/>
    <cellStyle name="Output 2 3 3 3 17 2" xfId="18134"/>
    <cellStyle name="Output 2 3 3 3 17 3" xfId="18135"/>
    <cellStyle name="Output 2 3 3 3 17 4" xfId="18136"/>
    <cellStyle name="Output 2 3 3 3 17 5" xfId="18137"/>
    <cellStyle name="Output 2 3 3 3 18" xfId="18138"/>
    <cellStyle name="Output 2 3 3 3 18 2" xfId="18139"/>
    <cellStyle name="Output 2 3 3 3 18 3" xfId="18140"/>
    <cellStyle name="Output 2 3 3 3 18 4" xfId="18141"/>
    <cellStyle name="Output 2 3 3 3 18 5" xfId="18142"/>
    <cellStyle name="Output 2 3 3 3 19" xfId="18143"/>
    <cellStyle name="Output 2 3 3 3 2" xfId="604"/>
    <cellStyle name="Output 2 3 3 3 2 10" xfId="18144"/>
    <cellStyle name="Output 2 3 3 3 2 10 2" xfId="18145"/>
    <cellStyle name="Output 2 3 3 3 2 10 3" xfId="18146"/>
    <cellStyle name="Output 2 3 3 3 2 10 4" xfId="18147"/>
    <cellStyle name="Output 2 3 3 3 2 10 5" xfId="18148"/>
    <cellStyle name="Output 2 3 3 3 2 10 6" xfId="46276"/>
    <cellStyle name="Output 2 3 3 3 2 10 7" xfId="54399"/>
    <cellStyle name="Output 2 3 3 3 2 11" xfId="18149"/>
    <cellStyle name="Output 2 3 3 3 2 11 2" xfId="18150"/>
    <cellStyle name="Output 2 3 3 3 2 11 3" xfId="18151"/>
    <cellStyle name="Output 2 3 3 3 2 11 4" xfId="18152"/>
    <cellStyle name="Output 2 3 3 3 2 11 5" xfId="18153"/>
    <cellStyle name="Output 2 3 3 3 2 12" xfId="18154"/>
    <cellStyle name="Output 2 3 3 3 2 12 2" xfId="18155"/>
    <cellStyle name="Output 2 3 3 3 2 12 3" xfId="18156"/>
    <cellStyle name="Output 2 3 3 3 2 12 4" xfId="18157"/>
    <cellStyle name="Output 2 3 3 3 2 12 5" xfId="18158"/>
    <cellStyle name="Output 2 3 3 3 2 13" xfId="18159"/>
    <cellStyle name="Output 2 3 3 3 2 13 2" xfId="18160"/>
    <cellStyle name="Output 2 3 3 3 2 13 3" xfId="18161"/>
    <cellStyle name="Output 2 3 3 3 2 13 4" xfId="18162"/>
    <cellStyle name="Output 2 3 3 3 2 13 5" xfId="18163"/>
    <cellStyle name="Output 2 3 3 3 2 14" xfId="18164"/>
    <cellStyle name="Output 2 3 3 3 2 14 2" xfId="18165"/>
    <cellStyle name="Output 2 3 3 3 2 14 3" xfId="18166"/>
    <cellStyle name="Output 2 3 3 3 2 14 4" xfId="18167"/>
    <cellStyle name="Output 2 3 3 3 2 14 5" xfId="18168"/>
    <cellStyle name="Output 2 3 3 3 2 15" xfId="18169"/>
    <cellStyle name="Output 2 3 3 3 2 15 2" xfId="18170"/>
    <cellStyle name="Output 2 3 3 3 2 15 3" xfId="18171"/>
    <cellStyle name="Output 2 3 3 3 2 15 4" xfId="18172"/>
    <cellStyle name="Output 2 3 3 3 2 15 5" xfId="18173"/>
    <cellStyle name="Output 2 3 3 3 2 16" xfId="18174"/>
    <cellStyle name="Output 2 3 3 3 2 16 2" xfId="18175"/>
    <cellStyle name="Output 2 3 3 3 2 16 3" xfId="18176"/>
    <cellStyle name="Output 2 3 3 3 2 16 4" xfId="18177"/>
    <cellStyle name="Output 2 3 3 3 2 16 5" xfId="18178"/>
    <cellStyle name="Output 2 3 3 3 2 17" xfId="18179"/>
    <cellStyle name="Output 2 3 3 3 2 17 2" xfId="18180"/>
    <cellStyle name="Output 2 3 3 3 2 17 3" xfId="18181"/>
    <cellStyle name="Output 2 3 3 3 2 17 4" xfId="18182"/>
    <cellStyle name="Output 2 3 3 3 2 17 5" xfId="18183"/>
    <cellStyle name="Output 2 3 3 3 2 18" xfId="18184"/>
    <cellStyle name="Output 2 3 3 3 2 18 2" xfId="18185"/>
    <cellStyle name="Output 2 3 3 3 2 18 3" xfId="18186"/>
    <cellStyle name="Output 2 3 3 3 2 18 4" xfId="18187"/>
    <cellStyle name="Output 2 3 3 3 2 18 5" xfId="18188"/>
    <cellStyle name="Output 2 3 3 3 2 19" xfId="18189"/>
    <cellStyle name="Output 2 3 3 3 2 2" xfId="2415"/>
    <cellStyle name="Output 2 3 3 3 2 2 2" xfId="18190"/>
    <cellStyle name="Output 2 3 3 3 2 2 3" xfId="18191"/>
    <cellStyle name="Output 2 3 3 3 2 2 4" xfId="18192"/>
    <cellStyle name="Output 2 3 3 3 2 2 5" xfId="18193"/>
    <cellStyle name="Output 2 3 3 3 2 2 6" xfId="36408"/>
    <cellStyle name="Output 2 3 3 3 2 2 7" xfId="46277"/>
    <cellStyle name="Output 2 3 3 3 2 2 8" xfId="54400"/>
    <cellStyle name="Output 2 3 3 3 2 20" xfId="1033"/>
    <cellStyle name="Output 2 3 3 3 2 21" xfId="35113"/>
    <cellStyle name="Output 2 3 3 3 2 22" xfId="41332"/>
    <cellStyle name="Output 2 3 3 3 2 3" xfId="2416"/>
    <cellStyle name="Output 2 3 3 3 2 3 2" xfId="18194"/>
    <cellStyle name="Output 2 3 3 3 2 3 3" xfId="18195"/>
    <cellStyle name="Output 2 3 3 3 2 3 4" xfId="18196"/>
    <cellStyle name="Output 2 3 3 3 2 3 5" xfId="18197"/>
    <cellStyle name="Output 2 3 3 3 2 3 6" xfId="36905"/>
    <cellStyle name="Output 2 3 3 3 2 3 7" xfId="46278"/>
    <cellStyle name="Output 2 3 3 3 2 3 8" xfId="54401"/>
    <cellStyle name="Output 2 3 3 3 2 4" xfId="1315"/>
    <cellStyle name="Output 2 3 3 3 2 4 2" xfId="18198"/>
    <cellStyle name="Output 2 3 3 3 2 4 3" xfId="18199"/>
    <cellStyle name="Output 2 3 3 3 2 4 4" xfId="18200"/>
    <cellStyle name="Output 2 3 3 3 2 4 5" xfId="18201"/>
    <cellStyle name="Output 2 3 3 3 2 4 6" xfId="37521"/>
    <cellStyle name="Output 2 3 3 3 2 4 7" xfId="46279"/>
    <cellStyle name="Output 2 3 3 3 2 4 8" xfId="54402"/>
    <cellStyle name="Output 2 3 3 3 2 5" xfId="3383"/>
    <cellStyle name="Output 2 3 3 3 2 5 2" xfId="18202"/>
    <cellStyle name="Output 2 3 3 3 2 5 3" xfId="18203"/>
    <cellStyle name="Output 2 3 3 3 2 5 4" xfId="18204"/>
    <cellStyle name="Output 2 3 3 3 2 5 5" xfId="18205"/>
    <cellStyle name="Output 2 3 3 3 2 5 6" xfId="38137"/>
    <cellStyle name="Output 2 3 3 3 2 5 7" xfId="46280"/>
    <cellStyle name="Output 2 3 3 3 2 5 8" xfId="54403"/>
    <cellStyle name="Output 2 3 3 3 2 6" xfId="3705"/>
    <cellStyle name="Output 2 3 3 3 2 6 2" xfId="18206"/>
    <cellStyle name="Output 2 3 3 3 2 6 3" xfId="18207"/>
    <cellStyle name="Output 2 3 3 3 2 6 4" xfId="18208"/>
    <cellStyle name="Output 2 3 3 3 2 6 5" xfId="18209"/>
    <cellStyle name="Output 2 3 3 3 2 6 6" xfId="38755"/>
    <cellStyle name="Output 2 3 3 3 2 6 7" xfId="46281"/>
    <cellStyle name="Output 2 3 3 3 2 6 8" xfId="54404"/>
    <cellStyle name="Output 2 3 3 3 2 7" xfId="18210"/>
    <cellStyle name="Output 2 3 3 3 2 7 2" xfId="18211"/>
    <cellStyle name="Output 2 3 3 3 2 7 3" xfId="18212"/>
    <cellStyle name="Output 2 3 3 3 2 7 4" xfId="18213"/>
    <cellStyle name="Output 2 3 3 3 2 7 5" xfId="18214"/>
    <cellStyle name="Output 2 3 3 3 2 7 6" xfId="39375"/>
    <cellStyle name="Output 2 3 3 3 2 7 7" xfId="46282"/>
    <cellStyle name="Output 2 3 3 3 2 7 8" xfId="54405"/>
    <cellStyle name="Output 2 3 3 3 2 8" xfId="18215"/>
    <cellStyle name="Output 2 3 3 3 2 8 2" xfId="18216"/>
    <cellStyle name="Output 2 3 3 3 2 8 3" xfId="18217"/>
    <cellStyle name="Output 2 3 3 3 2 8 4" xfId="18218"/>
    <cellStyle name="Output 2 3 3 3 2 8 5" xfId="18219"/>
    <cellStyle name="Output 2 3 3 3 2 8 6" xfId="39991"/>
    <cellStyle name="Output 2 3 3 3 2 8 7" xfId="46283"/>
    <cellStyle name="Output 2 3 3 3 2 8 8" xfId="54406"/>
    <cellStyle name="Output 2 3 3 3 2 9" xfId="18220"/>
    <cellStyle name="Output 2 3 3 3 2 9 2" xfId="18221"/>
    <cellStyle name="Output 2 3 3 3 2 9 3" xfId="18222"/>
    <cellStyle name="Output 2 3 3 3 2 9 4" xfId="18223"/>
    <cellStyle name="Output 2 3 3 3 2 9 5" xfId="18224"/>
    <cellStyle name="Output 2 3 3 3 2 9 6" xfId="40606"/>
    <cellStyle name="Output 2 3 3 3 2 9 7" xfId="46284"/>
    <cellStyle name="Output 2 3 3 3 2 9 8" xfId="54407"/>
    <cellStyle name="Output 2 3 3 3 20" xfId="821"/>
    <cellStyle name="Output 2 3 3 3 21" xfId="34712"/>
    <cellStyle name="Output 2 3 3 3 22" xfId="40905"/>
    <cellStyle name="Output 2 3 3 3 23" xfId="41466"/>
    <cellStyle name="Output 2 3 3 3 24" xfId="50553"/>
    <cellStyle name="Output 2 3 3 3 3" xfId="2417"/>
    <cellStyle name="Output 2 3 3 3 3 10" xfId="34903"/>
    <cellStyle name="Output 2 3 3 3 3 10 2" xfId="46286"/>
    <cellStyle name="Output 2 3 3 3 3 10 3" xfId="54409"/>
    <cellStyle name="Output 2 3 3 3 3 11" xfId="41120"/>
    <cellStyle name="Output 2 3 3 3 3 12" xfId="46285"/>
    <cellStyle name="Output 2 3 3 3 3 13" xfId="54408"/>
    <cellStyle name="Output 2 3 3 3 3 2" xfId="2418"/>
    <cellStyle name="Output 2 3 3 3 3 2 2" xfId="36197"/>
    <cellStyle name="Output 2 3 3 3 3 2 3" xfId="46287"/>
    <cellStyle name="Output 2 3 3 3 3 2 4" xfId="54410"/>
    <cellStyle name="Output 2 3 3 3 3 3" xfId="2419"/>
    <cellStyle name="Output 2 3 3 3 3 3 2" xfId="36694"/>
    <cellStyle name="Output 2 3 3 3 3 3 3" xfId="46288"/>
    <cellStyle name="Output 2 3 3 3 3 3 4" xfId="54411"/>
    <cellStyle name="Output 2 3 3 3 3 4" xfId="18225"/>
    <cellStyle name="Output 2 3 3 3 3 4 2" xfId="37310"/>
    <cellStyle name="Output 2 3 3 3 3 4 3" xfId="46289"/>
    <cellStyle name="Output 2 3 3 3 3 4 4" xfId="54412"/>
    <cellStyle name="Output 2 3 3 3 3 5" xfId="18226"/>
    <cellStyle name="Output 2 3 3 3 3 5 2" xfId="37926"/>
    <cellStyle name="Output 2 3 3 3 3 5 3" xfId="46290"/>
    <cellStyle name="Output 2 3 3 3 3 5 4" xfId="54413"/>
    <cellStyle name="Output 2 3 3 3 3 6" xfId="38543"/>
    <cellStyle name="Output 2 3 3 3 3 6 2" xfId="46291"/>
    <cellStyle name="Output 2 3 3 3 3 6 3" xfId="54414"/>
    <cellStyle name="Output 2 3 3 3 3 7" xfId="39163"/>
    <cellStyle name="Output 2 3 3 3 3 7 2" xfId="46292"/>
    <cellStyle name="Output 2 3 3 3 3 7 3" xfId="54415"/>
    <cellStyle name="Output 2 3 3 3 3 8" xfId="39779"/>
    <cellStyle name="Output 2 3 3 3 3 8 2" xfId="46293"/>
    <cellStyle name="Output 2 3 3 3 3 8 3" xfId="54416"/>
    <cellStyle name="Output 2 3 3 3 3 9" xfId="40394"/>
    <cellStyle name="Output 2 3 3 3 3 9 2" xfId="46294"/>
    <cellStyle name="Output 2 3 3 3 3 9 3" xfId="54417"/>
    <cellStyle name="Output 2 3 3 3 4" xfId="2420"/>
    <cellStyle name="Output 2 3 3 3 4 10" xfId="46295"/>
    <cellStyle name="Output 2 3 3 3 4 11" xfId="54418"/>
    <cellStyle name="Output 2 3 3 3 4 2" xfId="18227"/>
    <cellStyle name="Output 2 3 3 3 4 2 2" xfId="46296"/>
    <cellStyle name="Output 2 3 3 3 4 2 3" xfId="54419"/>
    <cellStyle name="Output 2 3 3 3 4 3" xfId="18228"/>
    <cellStyle name="Output 2 3 3 3 4 3 2" xfId="46297"/>
    <cellStyle name="Output 2 3 3 3 4 3 3" xfId="54420"/>
    <cellStyle name="Output 2 3 3 3 4 4" xfId="18229"/>
    <cellStyle name="Output 2 3 3 3 4 4 2" xfId="46298"/>
    <cellStyle name="Output 2 3 3 3 4 4 3" xfId="54421"/>
    <cellStyle name="Output 2 3 3 3 4 5" xfId="18230"/>
    <cellStyle name="Output 2 3 3 3 4 5 2" xfId="46299"/>
    <cellStyle name="Output 2 3 3 3 4 5 3" xfId="54422"/>
    <cellStyle name="Output 2 3 3 3 4 6" xfId="35742"/>
    <cellStyle name="Output 2 3 3 3 4 6 2" xfId="46300"/>
    <cellStyle name="Output 2 3 3 3 4 6 3" xfId="54423"/>
    <cellStyle name="Output 2 3 3 3 4 7" xfId="46301"/>
    <cellStyle name="Output 2 3 3 3 4 7 2" xfId="54424"/>
    <cellStyle name="Output 2 3 3 3 4 8" xfId="46302"/>
    <cellStyle name="Output 2 3 3 3 4 8 2" xfId="54425"/>
    <cellStyle name="Output 2 3 3 3 4 9" xfId="46303"/>
    <cellStyle name="Output 2 3 3 3 4 9 2" xfId="54426"/>
    <cellStyle name="Output 2 3 3 3 5" xfId="1314"/>
    <cellStyle name="Output 2 3 3 3 5 2" xfId="18231"/>
    <cellStyle name="Output 2 3 3 3 5 3" xfId="18232"/>
    <cellStyle name="Output 2 3 3 3 5 4" xfId="18233"/>
    <cellStyle name="Output 2 3 3 3 5 5" xfId="18234"/>
    <cellStyle name="Output 2 3 3 3 5 6" xfId="37095"/>
    <cellStyle name="Output 2 3 3 3 5 7" xfId="46304"/>
    <cellStyle name="Output 2 3 3 3 5 8" xfId="54427"/>
    <cellStyle name="Output 2 3 3 3 6" xfId="3382"/>
    <cellStyle name="Output 2 3 3 3 6 2" xfId="18235"/>
    <cellStyle name="Output 2 3 3 3 6 3" xfId="18236"/>
    <cellStyle name="Output 2 3 3 3 6 4" xfId="18237"/>
    <cellStyle name="Output 2 3 3 3 6 5" xfId="18238"/>
    <cellStyle name="Output 2 3 3 3 6 6" xfId="37709"/>
    <cellStyle name="Output 2 3 3 3 6 7" xfId="46305"/>
    <cellStyle name="Output 2 3 3 3 6 8" xfId="54428"/>
    <cellStyle name="Output 2 3 3 3 7" xfId="3704"/>
    <cellStyle name="Output 2 3 3 3 7 2" xfId="18239"/>
    <cellStyle name="Output 2 3 3 3 7 3" xfId="18240"/>
    <cellStyle name="Output 2 3 3 3 7 4" xfId="18241"/>
    <cellStyle name="Output 2 3 3 3 7 5" xfId="18242"/>
    <cellStyle name="Output 2 3 3 3 7 6" xfId="38324"/>
    <cellStyle name="Output 2 3 3 3 7 7" xfId="46306"/>
    <cellStyle name="Output 2 3 3 3 7 8" xfId="54429"/>
    <cellStyle name="Output 2 3 3 3 8" xfId="18243"/>
    <cellStyle name="Output 2 3 3 3 8 2" xfId="18244"/>
    <cellStyle name="Output 2 3 3 3 8 3" xfId="18245"/>
    <cellStyle name="Output 2 3 3 3 8 4" xfId="18246"/>
    <cellStyle name="Output 2 3 3 3 8 5" xfId="18247"/>
    <cellStyle name="Output 2 3 3 3 8 6" xfId="38944"/>
    <cellStyle name="Output 2 3 3 3 8 7" xfId="46307"/>
    <cellStyle name="Output 2 3 3 3 8 8" xfId="54430"/>
    <cellStyle name="Output 2 3 3 3 9" xfId="18248"/>
    <cellStyle name="Output 2 3 3 3 9 2" xfId="18249"/>
    <cellStyle name="Output 2 3 3 3 9 3" xfId="18250"/>
    <cellStyle name="Output 2 3 3 3 9 4" xfId="18251"/>
    <cellStyle name="Output 2 3 3 3 9 5" xfId="18252"/>
    <cellStyle name="Output 2 3 3 3 9 6" xfId="39563"/>
    <cellStyle name="Output 2 3 3 3 9 7" xfId="46308"/>
    <cellStyle name="Output 2 3 3 3 9 8" xfId="54431"/>
    <cellStyle name="Output 2 3 3 4" xfId="520"/>
    <cellStyle name="Output 2 3 3 4 10" xfId="18253"/>
    <cellStyle name="Output 2 3 3 4 10 2" xfId="18254"/>
    <cellStyle name="Output 2 3 3 4 10 3" xfId="18255"/>
    <cellStyle name="Output 2 3 3 4 10 4" xfId="18256"/>
    <cellStyle name="Output 2 3 3 4 10 5" xfId="18257"/>
    <cellStyle name="Output 2 3 3 4 10 6" xfId="46309"/>
    <cellStyle name="Output 2 3 3 4 10 7" xfId="54432"/>
    <cellStyle name="Output 2 3 3 4 11" xfId="18258"/>
    <cellStyle name="Output 2 3 3 4 11 2" xfId="18259"/>
    <cellStyle name="Output 2 3 3 4 11 3" xfId="18260"/>
    <cellStyle name="Output 2 3 3 4 11 4" xfId="18261"/>
    <cellStyle name="Output 2 3 3 4 11 5" xfId="18262"/>
    <cellStyle name="Output 2 3 3 4 12" xfId="18263"/>
    <cellStyle name="Output 2 3 3 4 12 2" xfId="18264"/>
    <cellStyle name="Output 2 3 3 4 12 3" xfId="18265"/>
    <cellStyle name="Output 2 3 3 4 12 4" xfId="18266"/>
    <cellStyle name="Output 2 3 3 4 12 5" xfId="18267"/>
    <cellStyle name="Output 2 3 3 4 13" xfId="18268"/>
    <cellStyle name="Output 2 3 3 4 13 2" xfId="18269"/>
    <cellStyle name="Output 2 3 3 4 13 3" xfId="18270"/>
    <cellStyle name="Output 2 3 3 4 13 4" xfId="18271"/>
    <cellStyle name="Output 2 3 3 4 13 5" xfId="18272"/>
    <cellStyle name="Output 2 3 3 4 14" xfId="18273"/>
    <cellStyle name="Output 2 3 3 4 14 2" xfId="18274"/>
    <cellStyle name="Output 2 3 3 4 14 3" xfId="18275"/>
    <cellStyle name="Output 2 3 3 4 14 4" xfId="18276"/>
    <cellStyle name="Output 2 3 3 4 14 5" xfId="18277"/>
    <cellStyle name="Output 2 3 3 4 15" xfId="18278"/>
    <cellStyle name="Output 2 3 3 4 15 2" xfId="18279"/>
    <cellStyle name="Output 2 3 3 4 15 3" xfId="18280"/>
    <cellStyle name="Output 2 3 3 4 15 4" xfId="18281"/>
    <cellStyle name="Output 2 3 3 4 15 5" xfId="18282"/>
    <cellStyle name="Output 2 3 3 4 16" xfId="18283"/>
    <cellStyle name="Output 2 3 3 4 16 2" xfId="18284"/>
    <cellStyle name="Output 2 3 3 4 16 3" xfId="18285"/>
    <cellStyle name="Output 2 3 3 4 16 4" xfId="18286"/>
    <cellStyle name="Output 2 3 3 4 16 5" xfId="18287"/>
    <cellStyle name="Output 2 3 3 4 17" xfId="18288"/>
    <cellStyle name="Output 2 3 3 4 17 2" xfId="18289"/>
    <cellStyle name="Output 2 3 3 4 17 3" xfId="18290"/>
    <cellStyle name="Output 2 3 3 4 17 4" xfId="18291"/>
    <cellStyle name="Output 2 3 3 4 17 5" xfId="18292"/>
    <cellStyle name="Output 2 3 3 4 18" xfId="18293"/>
    <cellStyle name="Output 2 3 3 4 18 2" xfId="18294"/>
    <cellStyle name="Output 2 3 3 4 18 3" xfId="18295"/>
    <cellStyle name="Output 2 3 3 4 18 4" xfId="18296"/>
    <cellStyle name="Output 2 3 3 4 18 5" xfId="18297"/>
    <cellStyle name="Output 2 3 3 4 19" xfId="18298"/>
    <cellStyle name="Output 2 3 3 4 2" xfId="2421"/>
    <cellStyle name="Output 2 3 3 4 2 2" xfId="18299"/>
    <cellStyle name="Output 2 3 3 4 2 3" xfId="18300"/>
    <cellStyle name="Output 2 3 3 4 2 4" xfId="18301"/>
    <cellStyle name="Output 2 3 3 4 2 5" xfId="18302"/>
    <cellStyle name="Output 2 3 3 4 2 6" xfId="36324"/>
    <cellStyle name="Output 2 3 3 4 2 7" xfId="46310"/>
    <cellStyle name="Output 2 3 3 4 2 8" xfId="54433"/>
    <cellStyle name="Output 2 3 3 4 20" xfId="949"/>
    <cellStyle name="Output 2 3 3 4 21" xfId="35029"/>
    <cellStyle name="Output 2 3 3 4 22" xfId="40738"/>
    <cellStyle name="Output 2 3 3 4 23" xfId="41248"/>
    <cellStyle name="Output 2 3 3 4 3" xfId="2422"/>
    <cellStyle name="Output 2 3 3 4 3 2" xfId="18303"/>
    <cellStyle name="Output 2 3 3 4 3 3" xfId="18304"/>
    <cellStyle name="Output 2 3 3 4 3 4" xfId="18305"/>
    <cellStyle name="Output 2 3 3 4 3 5" xfId="18306"/>
    <cellStyle name="Output 2 3 3 4 3 6" xfId="36821"/>
    <cellStyle name="Output 2 3 3 4 3 7" xfId="46311"/>
    <cellStyle name="Output 2 3 3 4 3 8" xfId="54434"/>
    <cellStyle name="Output 2 3 3 4 4" xfId="1316"/>
    <cellStyle name="Output 2 3 3 4 4 2" xfId="18307"/>
    <cellStyle name="Output 2 3 3 4 4 3" xfId="18308"/>
    <cellStyle name="Output 2 3 3 4 4 4" xfId="18309"/>
    <cellStyle name="Output 2 3 3 4 4 5" xfId="18310"/>
    <cellStyle name="Output 2 3 3 4 4 6" xfId="37437"/>
    <cellStyle name="Output 2 3 3 4 4 7" xfId="46312"/>
    <cellStyle name="Output 2 3 3 4 4 8" xfId="54435"/>
    <cellStyle name="Output 2 3 3 4 5" xfId="3384"/>
    <cellStyle name="Output 2 3 3 4 5 2" xfId="18311"/>
    <cellStyle name="Output 2 3 3 4 5 3" xfId="18312"/>
    <cellStyle name="Output 2 3 3 4 5 4" xfId="18313"/>
    <cellStyle name="Output 2 3 3 4 5 5" xfId="18314"/>
    <cellStyle name="Output 2 3 3 4 5 6" xfId="38053"/>
    <cellStyle name="Output 2 3 3 4 5 7" xfId="46313"/>
    <cellStyle name="Output 2 3 3 4 5 8" xfId="54436"/>
    <cellStyle name="Output 2 3 3 4 6" xfId="3706"/>
    <cellStyle name="Output 2 3 3 4 6 2" xfId="18315"/>
    <cellStyle name="Output 2 3 3 4 6 3" xfId="18316"/>
    <cellStyle name="Output 2 3 3 4 6 4" xfId="18317"/>
    <cellStyle name="Output 2 3 3 4 6 5" xfId="18318"/>
    <cellStyle name="Output 2 3 3 4 6 6" xfId="38671"/>
    <cellStyle name="Output 2 3 3 4 6 7" xfId="46314"/>
    <cellStyle name="Output 2 3 3 4 6 8" xfId="54437"/>
    <cellStyle name="Output 2 3 3 4 7" xfId="18319"/>
    <cellStyle name="Output 2 3 3 4 7 2" xfId="18320"/>
    <cellStyle name="Output 2 3 3 4 7 3" xfId="18321"/>
    <cellStyle name="Output 2 3 3 4 7 4" xfId="18322"/>
    <cellStyle name="Output 2 3 3 4 7 5" xfId="18323"/>
    <cellStyle name="Output 2 3 3 4 7 6" xfId="39291"/>
    <cellStyle name="Output 2 3 3 4 7 7" xfId="46315"/>
    <cellStyle name="Output 2 3 3 4 7 8" xfId="54438"/>
    <cellStyle name="Output 2 3 3 4 8" xfId="18324"/>
    <cellStyle name="Output 2 3 3 4 8 2" xfId="18325"/>
    <cellStyle name="Output 2 3 3 4 8 3" xfId="18326"/>
    <cellStyle name="Output 2 3 3 4 8 4" xfId="18327"/>
    <cellStyle name="Output 2 3 3 4 8 5" xfId="18328"/>
    <cellStyle name="Output 2 3 3 4 8 6" xfId="39907"/>
    <cellStyle name="Output 2 3 3 4 8 7" xfId="46316"/>
    <cellStyle name="Output 2 3 3 4 8 8" xfId="54439"/>
    <cellStyle name="Output 2 3 3 4 9" xfId="18329"/>
    <cellStyle name="Output 2 3 3 4 9 2" xfId="18330"/>
    <cellStyle name="Output 2 3 3 4 9 3" xfId="18331"/>
    <cellStyle name="Output 2 3 3 4 9 4" xfId="18332"/>
    <cellStyle name="Output 2 3 3 4 9 5" xfId="18333"/>
    <cellStyle name="Output 2 3 3 4 9 6" xfId="40522"/>
    <cellStyle name="Output 2 3 3 4 9 7" xfId="46317"/>
    <cellStyle name="Output 2 3 3 4 9 8" xfId="54440"/>
    <cellStyle name="Output 2 3 3 5" xfId="2423"/>
    <cellStyle name="Output 2 3 3 5 10" xfId="34649"/>
    <cellStyle name="Output 2 3 3 5 10 2" xfId="46319"/>
    <cellStyle name="Output 2 3 3 5 10 3" xfId="54442"/>
    <cellStyle name="Output 2 3 3 5 11" xfId="41034"/>
    <cellStyle name="Output 2 3 3 5 12" xfId="46318"/>
    <cellStyle name="Output 2 3 3 5 13" xfId="54441"/>
    <cellStyle name="Output 2 3 3 5 2" xfId="2424"/>
    <cellStyle name="Output 2 3 3 5 2 2" xfId="36111"/>
    <cellStyle name="Output 2 3 3 5 2 3" xfId="46320"/>
    <cellStyle name="Output 2 3 3 5 2 4" xfId="54443"/>
    <cellStyle name="Output 2 3 3 5 3" xfId="2425"/>
    <cellStyle name="Output 2 3 3 5 3 2" xfId="36610"/>
    <cellStyle name="Output 2 3 3 5 3 3" xfId="46321"/>
    <cellStyle name="Output 2 3 3 5 3 4" xfId="54444"/>
    <cellStyle name="Output 2 3 3 5 4" xfId="18334"/>
    <cellStyle name="Output 2 3 3 5 4 2" xfId="37226"/>
    <cellStyle name="Output 2 3 3 5 4 3" xfId="46322"/>
    <cellStyle name="Output 2 3 3 5 4 4" xfId="54445"/>
    <cellStyle name="Output 2 3 3 5 5" xfId="18335"/>
    <cellStyle name="Output 2 3 3 5 5 2" xfId="37842"/>
    <cellStyle name="Output 2 3 3 5 5 3" xfId="46323"/>
    <cellStyle name="Output 2 3 3 5 5 4" xfId="54446"/>
    <cellStyle name="Output 2 3 3 5 6" xfId="38457"/>
    <cellStyle name="Output 2 3 3 5 6 2" xfId="46324"/>
    <cellStyle name="Output 2 3 3 5 6 3" xfId="54447"/>
    <cellStyle name="Output 2 3 3 5 7" xfId="39077"/>
    <cellStyle name="Output 2 3 3 5 7 2" xfId="46325"/>
    <cellStyle name="Output 2 3 3 5 7 3" xfId="54448"/>
    <cellStyle name="Output 2 3 3 5 8" xfId="39693"/>
    <cellStyle name="Output 2 3 3 5 8 2" xfId="46326"/>
    <cellStyle name="Output 2 3 3 5 8 3" xfId="54449"/>
    <cellStyle name="Output 2 3 3 5 9" xfId="40308"/>
    <cellStyle name="Output 2 3 3 5 9 2" xfId="46327"/>
    <cellStyle name="Output 2 3 3 5 9 3" xfId="54450"/>
    <cellStyle name="Output 2 3 3 6" xfId="1311"/>
    <cellStyle name="Output 2 3 3 6 10" xfId="46328"/>
    <cellStyle name="Output 2 3 3 6 11" xfId="54451"/>
    <cellStyle name="Output 2 3 3 6 2" xfId="18336"/>
    <cellStyle name="Output 2 3 3 6 2 2" xfId="46329"/>
    <cellStyle name="Output 2 3 3 6 2 3" xfId="54452"/>
    <cellStyle name="Output 2 3 3 6 3" xfId="18337"/>
    <cellStyle name="Output 2 3 3 6 3 2" xfId="46330"/>
    <cellStyle name="Output 2 3 3 6 3 3" xfId="54453"/>
    <cellStyle name="Output 2 3 3 6 4" xfId="18338"/>
    <cellStyle name="Output 2 3 3 6 4 2" xfId="46331"/>
    <cellStyle name="Output 2 3 3 6 4 3" xfId="54454"/>
    <cellStyle name="Output 2 3 3 6 5" xfId="18339"/>
    <cellStyle name="Output 2 3 3 6 5 2" xfId="46332"/>
    <cellStyle name="Output 2 3 3 6 5 3" xfId="54455"/>
    <cellStyle name="Output 2 3 3 6 6" xfId="35429"/>
    <cellStyle name="Output 2 3 3 6 6 2" xfId="46333"/>
    <cellStyle name="Output 2 3 3 6 6 3" xfId="54456"/>
    <cellStyle name="Output 2 3 3 6 7" xfId="46334"/>
    <cellStyle name="Output 2 3 3 6 7 2" xfId="54457"/>
    <cellStyle name="Output 2 3 3 6 8" xfId="46335"/>
    <cellStyle name="Output 2 3 3 6 8 2" xfId="54458"/>
    <cellStyle name="Output 2 3 3 6 9" xfId="46336"/>
    <cellStyle name="Output 2 3 3 6 9 2" xfId="54459"/>
    <cellStyle name="Output 2 3 3 7" xfId="3379"/>
    <cellStyle name="Output 2 3 3 7 2" xfId="18340"/>
    <cellStyle name="Output 2 3 3 7 3" xfId="18341"/>
    <cellStyle name="Output 2 3 3 7 4" xfId="18342"/>
    <cellStyle name="Output 2 3 3 7 5" xfId="18343"/>
    <cellStyle name="Output 2 3 3 7 6" xfId="35961"/>
    <cellStyle name="Output 2 3 3 7 7" xfId="46337"/>
    <cellStyle name="Output 2 3 3 7 8" xfId="54460"/>
    <cellStyle name="Output 2 3 3 8" xfId="3701"/>
    <cellStyle name="Output 2 3 3 8 2" xfId="18344"/>
    <cellStyle name="Output 2 3 3 8 3" xfId="18345"/>
    <cellStyle name="Output 2 3 3 8 4" xfId="18346"/>
    <cellStyle name="Output 2 3 3 8 5" xfId="18347"/>
    <cellStyle name="Output 2 3 3 8 6" xfId="35915"/>
    <cellStyle name="Output 2 3 3 8 7" xfId="46338"/>
    <cellStyle name="Output 2 3 3 8 8" xfId="54461"/>
    <cellStyle name="Output 2 3 3 9" xfId="18348"/>
    <cellStyle name="Output 2 3 3 9 2" xfId="18349"/>
    <cellStyle name="Output 2 3 3 9 3" xfId="18350"/>
    <cellStyle name="Output 2 3 3 9 4" xfId="18351"/>
    <cellStyle name="Output 2 3 3 9 5" xfId="18352"/>
    <cellStyle name="Output 2 3 3 9 6" xfId="37006"/>
    <cellStyle name="Output 2 3 3 9 7" xfId="46339"/>
    <cellStyle name="Output 2 3 3 9 8" xfId="54462"/>
    <cellStyle name="Output 2 3 4" xfId="386"/>
    <cellStyle name="Output 2 3 4 10" xfId="18353"/>
    <cellStyle name="Output 2 3 4 10 2" xfId="18354"/>
    <cellStyle name="Output 2 3 4 10 3" xfId="18355"/>
    <cellStyle name="Output 2 3 4 10 4" xfId="18356"/>
    <cellStyle name="Output 2 3 4 10 5" xfId="18357"/>
    <cellStyle name="Output 2 3 4 10 6" xfId="39564"/>
    <cellStyle name="Output 2 3 4 10 7" xfId="46340"/>
    <cellStyle name="Output 2 3 4 10 8" xfId="54463"/>
    <cellStyle name="Output 2 3 4 11" xfId="18358"/>
    <cellStyle name="Output 2 3 4 11 2" xfId="18359"/>
    <cellStyle name="Output 2 3 4 11 3" xfId="18360"/>
    <cellStyle name="Output 2 3 4 11 4" xfId="18361"/>
    <cellStyle name="Output 2 3 4 11 5" xfId="18362"/>
    <cellStyle name="Output 2 3 4 11 6" xfId="40180"/>
    <cellStyle name="Output 2 3 4 11 7" xfId="46341"/>
    <cellStyle name="Output 2 3 4 11 8" xfId="54464"/>
    <cellStyle name="Output 2 3 4 12" xfId="18363"/>
    <cellStyle name="Output 2 3 4 12 2" xfId="18364"/>
    <cellStyle name="Output 2 3 4 12 3" xfId="18365"/>
    <cellStyle name="Output 2 3 4 12 4" xfId="18366"/>
    <cellStyle name="Output 2 3 4 12 5" xfId="18367"/>
    <cellStyle name="Output 2 3 4 12 6" xfId="46342"/>
    <cellStyle name="Output 2 3 4 12 7" xfId="54465"/>
    <cellStyle name="Output 2 3 4 13" xfId="18368"/>
    <cellStyle name="Output 2 3 4 13 2" xfId="18369"/>
    <cellStyle name="Output 2 3 4 13 3" xfId="18370"/>
    <cellStyle name="Output 2 3 4 13 4" xfId="18371"/>
    <cellStyle name="Output 2 3 4 13 5" xfId="18372"/>
    <cellStyle name="Output 2 3 4 13 6" xfId="46343"/>
    <cellStyle name="Output 2 3 4 13 7" xfId="54466"/>
    <cellStyle name="Output 2 3 4 14" xfId="18373"/>
    <cellStyle name="Output 2 3 4 14 2" xfId="18374"/>
    <cellStyle name="Output 2 3 4 14 3" xfId="18375"/>
    <cellStyle name="Output 2 3 4 14 4" xfId="18376"/>
    <cellStyle name="Output 2 3 4 14 5" xfId="18377"/>
    <cellStyle name="Output 2 3 4 15" xfId="18378"/>
    <cellStyle name="Output 2 3 4 15 2" xfId="18379"/>
    <cellStyle name="Output 2 3 4 15 3" xfId="18380"/>
    <cellStyle name="Output 2 3 4 15 4" xfId="18381"/>
    <cellStyle name="Output 2 3 4 15 5" xfId="18382"/>
    <cellStyle name="Output 2 3 4 16" xfId="18383"/>
    <cellStyle name="Output 2 3 4 16 2" xfId="18384"/>
    <cellStyle name="Output 2 3 4 16 3" xfId="18385"/>
    <cellStyle name="Output 2 3 4 16 4" xfId="18386"/>
    <cellStyle name="Output 2 3 4 16 5" xfId="18387"/>
    <cellStyle name="Output 2 3 4 17" xfId="18388"/>
    <cellStyle name="Output 2 3 4 17 2" xfId="18389"/>
    <cellStyle name="Output 2 3 4 17 3" xfId="18390"/>
    <cellStyle name="Output 2 3 4 17 4" xfId="18391"/>
    <cellStyle name="Output 2 3 4 17 5" xfId="18392"/>
    <cellStyle name="Output 2 3 4 18" xfId="18393"/>
    <cellStyle name="Output 2 3 4 18 2" xfId="18394"/>
    <cellStyle name="Output 2 3 4 18 3" xfId="18395"/>
    <cellStyle name="Output 2 3 4 18 4" xfId="18396"/>
    <cellStyle name="Output 2 3 4 18 5" xfId="18397"/>
    <cellStyle name="Output 2 3 4 19" xfId="18398"/>
    <cellStyle name="Output 2 3 4 2" xfId="605"/>
    <cellStyle name="Output 2 3 4 2 10" xfId="18399"/>
    <cellStyle name="Output 2 3 4 2 10 2" xfId="18400"/>
    <cellStyle name="Output 2 3 4 2 10 3" xfId="18401"/>
    <cellStyle name="Output 2 3 4 2 10 4" xfId="18402"/>
    <cellStyle name="Output 2 3 4 2 10 5" xfId="18403"/>
    <cellStyle name="Output 2 3 4 2 10 6" xfId="46344"/>
    <cellStyle name="Output 2 3 4 2 10 7" xfId="54467"/>
    <cellStyle name="Output 2 3 4 2 11" xfId="18404"/>
    <cellStyle name="Output 2 3 4 2 11 2" xfId="18405"/>
    <cellStyle name="Output 2 3 4 2 11 3" xfId="18406"/>
    <cellStyle name="Output 2 3 4 2 11 4" xfId="18407"/>
    <cellStyle name="Output 2 3 4 2 11 5" xfId="18408"/>
    <cellStyle name="Output 2 3 4 2 12" xfId="18409"/>
    <cellStyle name="Output 2 3 4 2 12 2" xfId="18410"/>
    <cellStyle name="Output 2 3 4 2 12 3" xfId="18411"/>
    <cellStyle name="Output 2 3 4 2 12 4" xfId="18412"/>
    <cellStyle name="Output 2 3 4 2 12 5" xfId="18413"/>
    <cellStyle name="Output 2 3 4 2 13" xfId="18414"/>
    <cellStyle name="Output 2 3 4 2 13 2" xfId="18415"/>
    <cellStyle name="Output 2 3 4 2 13 3" xfId="18416"/>
    <cellStyle name="Output 2 3 4 2 13 4" xfId="18417"/>
    <cellStyle name="Output 2 3 4 2 13 5" xfId="18418"/>
    <cellStyle name="Output 2 3 4 2 14" xfId="18419"/>
    <cellStyle name="Output 2 3 4 2 14 2" xfId="18420"/>
    <cellStyle name="Output 2 3 4 2 14 3" xfId="18421"/>
    <cellStyle name="Output 2 3 4 2 14 4" xfId="18422"/>
    <cellStyle name="Output 2 3 4 2 14 5" xfId="18423"/>
    <cellStyle name="Output 2 3 4 2 15" xfId="18424"/>
    <cellStyle name="Output 2 3 4 2 15 2" xfId="18425"/>
    <cellStyle name="Output 2 3 4 2 15 3" xfId="18426"/>
    <cellStyle name="Output 2 3 4 2 15 4" xfId="18427"/>
    <cellStyle name="Output 2 3 4 2 15 5" xfId="18428"/>
    <cellStyle name="Output 2 3 4 2 16" xfId="18429"/>
    <cellStyle name="Output 2 3 4 2 16 2" xfId="18430"/>
    <cellStyle name="Output 2 3 4 2 16 3" xfId="18431"/>
    <cellStyle name="Output 2 3 4 2 16 4" xfId="18432"/>
    <cellStyle name="Output 2 3 4 2 16 5" xfId="18433"/>
    <cellStyle name="Output 2 3 4 2 17" xfId="18434"/>
    <cellStyle name="Output 2 3 4 2 17 2" xfId="18435"/>
    <cellStyle name="Output 2 3 4 2 17 3" xfId="18436"/>
    <cellStyle name="Output 2 3 4 2 17 4" xfId="18437"/>
    <cellStyle name="Output 2 3 4 2 17 5" xfId="18438"/>
    <cellStyle name="Output 2 3 4 2 18" xfId="18439"/>
    <cellStyle name="Output 2 3 4 2 18 2" xfId="18440"/>
    <cellStyle name="Output 2 3 4 2 18 3" xfId="18441"/>
    <cellStyle name="Output 2 3 4 2 18 4" xfId="18442"/>
    <cellStyle name="Output 2 3 4 2 18 5" xfId="18443"/>
    <cellStyle name="Output 2 3 4 2 19" xfId="18444"/>
    <cellStyle name="Output 2 3 4 2 2" xfId="2426"/>
    <cellStyle name="Output 2 3 4 2 2 2" xfId="18445"/>
    <cellStyle name="Output 2 3 4 2 2 3" xfId="18446"/>
    <cellStyle name="Output 2 3 4 2 2 4" xfId="18447"/>
    <cellStyle name="Output 2 3 4 2 2 5" xfId="18448"/>
    <cellStyle name="Output 2 3 4 2 2 6" xfId="36409"/>
    <cellStyle name="Output 2 3 4 2 2 7" xfId="46345"/>
    <cellStyle name="Output 2 3 4 2 2 8" xfId="54468"/>
    <cellStyle name="Output 2 3 4 2 20" xfId="1034"/>
    <cellStyle name="Output 2 3 4 2 21" xfId="35114"/>
    <cellStyle name="Output 2 3 4 2 22" xfId="41333"/>
    <cellStyle name="Output 2 3 4 2 3" xfId="2427"/>
    <cellStyle name="Output 2 3 4 2 3 2" xfId="18449"/>
    <cellStyle name="Output 2 3 4 2 3 3" xfId="18450"/>
    <cellStyle name="Output 2 3 4 2 3 4" xfId="18451"/>
    <cellStyle name="Output 2 3 4 2 3 5" xfId="18452"/>
    <cellStyle name="Output 2 3 4 2 3 6" xfId="36906"/>
    <cellStyle name="Output 2 3 4 2 3 7" xfId="46346"/>
    <cellStyle name="Output 2 3 4 2 3 8" xfId="54469"/>
    <cellStyle name="Output 2 3 4 2 4" xfId="1318"/>
    <cellStyle name="Output 2 3 4 2 4 2" xfId="18453"/>
    <cellStyle name="Output 2 3 4 2 4 3" xfId="18454"/>
    <cellStyle name="Output 2 3 4 2 4 4" xfId="18455"/>
    <cellStyle name="Output 2 3 4 2 4 5" xfId="18456"/>
    <cellStyle name="Output 2 3 4 2 4 6" xfId="37522"/>
    <cellStyle name="Output 2 3 4 2 4 7" xfId="46347"/>
    <cellStyle name="Output 2 3 4 2 4 8" xfId="54470"/>
    <cellStyle name="Output 2 3 4 2 5" xfId="3386"/>
    <cellStyle name="Output 2 3 4 2 5 2" xfId="18457"/>
    <cellStyle name="Output 2 3 4 2 5 3" xfId="18458"/>
    <cellStyle name="Output 2 3 4 2 5 4" xfId="18459"/>
    <cellStyle name="Output 2 3 4 2 5 5" xfId="18460"/>
    <cellStyle name="Output 2 3 4 2 5 6" xfId="38138"/>
    <cellStyle name="Output 2 3 4 2 5 7" xfId="46348"/>
    <cellStyle name="Output 2 3 4 2 5 8" xfId="54471"/>
    <cellStyle name="Output 2 3 4 2 6" xfId="3708"/>
    <cellStyle name="Output 2 3 4 2 6 2" xfId="18461"/>
    <cellStyle name="Output 2 3 4 2 6 3" xfId="18462"/>
    <cellStyle name="Output 2 3 4 2 6 4" xfId="18463"/>
    <cellStyle name="Output 2 3 4 2 6 5" xfId="18464"/>
    <cellStyle name="Output 2 3 4 2 6 6" xfId="38756"/>
    <cellStyle name="Output 2 3 4 2 6 7" xfId="46349"/>
    <cellStyle name="Output 2 3 4 2 6 8" xfId="54472"/>
    <cellStyle name="Output 2 3 4 2 7" xfId="18465"/>
    <cellStyle name="Output 2 3 4 2 7 2" xfId="18466"/>
    <cellStyle name="Output 2 3 4 2 7 3" xfId="18467"/>
    <cellStyle name="Output 2 3 4 2 7 4" xfId="18468"/>
    <cellStyle name="Output 2 3 4 2 7 5" xfId="18469"/>
    <cellStyle name="Output 2 3 4 2 7 6" xfId="39376"/>
    <cellStyle name="Output 2 3 4 2 7 7" xfId="46350"/>
    <cellStyle name="Output 2 3 4 2 7 8" xfId="54473"/>
    <cellStyle name="Output 2 3 4 2 8" xfId="18470"/>
    <cellStyle name="Output 2 3 4 2 8 2" xfId="18471"/>
    <cellStyle name="Output 2 3 4 2 8 3" xfId="18472"/>
    <cellStyle name="Output 2 3 4 2 8 4" xfId="18473"/>
    <cellStyle name="Output 2 3 4 2 8 5" xfId="18474"/>
    <cellStyle name="Output 2 3 4 2 8 6" xfId="39992"/>
    <cellStyle name="Output 2 3 4 2 8 7" xfId="46351"/>
    <cellStyle name="Output 2 3 4 2 8 8" xfId="54474"/>
    <cellStyle name="Output 2 3 4 2 9" xfId="18475"/>
    <cellStyle name="Output 2 3 4 2 9 2" xfId="18476"/>
    <cellStyle name="Output 2 3 4 2 9 3" xfId="18477"/>
    <cellStyle name="Output 2 3 4 2 9 4" xfId="18478"/>
    <cellStyle name="Output 2 3 4 2 9 5" xfId="18479"/>
    <cellStyle name="Output 2 3 4 2 9 6" xfId="40607"/>
    <cellStyle name="Output 2 3 4 2 9 7" xfId="46352"/>
    <cellStyle name="Output 2 3 4 2 9 8" xfId="54475"/>
    <cellStyle name="Output 2 3 4 20" xfId="822"/>
    <cellStyle name="Output 2 3 4 21" xfId="34711"/>
    <cellStyle name="Output 2 3 4 22" xfId="40906"/>
    <cellStyle name="Output 2 3 4 23" xfId="41467"/>
    <cellStyle name="Output 2 3 4 24" xfId="50554"/>
    <cellStyle name="Output 2 3 4 3" xfId="2428"/>
    <cellStyle name="Output 2 3 4 3 10" xfId="34790"/>
    <cellStyle name="Output 2 3 4 3 10 2" xfId="46354"/>
    <cellStyle name="Output 2 3 4 3 10 3" xfId="54477"/>
    <cellStyle name="Output 2 3 4 3 11" xfId="41121"/>
    <cellStyle name="Output 2 3 4 3 12" xfId="46353"/>
    <cellStyle name="Output 2 3 4 3 13" xfId="54476"/>
    <cellStyle name="Output 2 3 4 3 2" xfId="2429"/>
    <cellStyle name="Output 2 3 4 3 2 2" xfId="36198"/>
    <cellStyle name="Output 2 3 4 3 2 3" xfId="46355"/>
    <cellStyle name="Output 2 3 4 3 2 4" xfId="54478"/>
    <cellStyle name="Output 2 3 4 3 3" xfId="2430"/>
    <cellStyle name="Output 2 3 4 3 3 2" xfId="36695"/>
    <cellStyle name="Output 2 3 4 3 3 3" xfId="46356"/>
    <cellStyle name="Output 2 3 4 3 3 4" xfId="54479"/>
    <cellStyle name="Output 2 3 4 3 4" xfId="18480"/>
    <cellStyle name="Output 2 3 4 3 4 2" xfId="37311"/>
    <cellStyle name="Output 2 3 4 3 4 3" xfId="46357"/>
    <cellStyle name="Output 2 3 4 3 4 4" xfId="54480"/>
    <cellStyle name="Output 2 3 4 3 5" xfId="18481"/>
    <cellStyle name="Output 2 3 4 3 5 2" xfId="37927"/>
    <cellStyle name="Output 2 3 4 3 5 3" xfId="46358"/>
    <cellStyle name="Output 2 3 4 3 5 4" xfId="54481"/>
    <cellStyle name="Output 2 3 4 3 6" xfId="38544"/>
    <cellStyle name="Output 2 3 4 3 6 2" xfId="46359"/>
    <cellStyle name="Output 2 3 4 3 6 3" xfId="54482"/>
    <cellStyle name="Output 2 3 4 3 7" xfId="39164"/>
    <cellStyle name="Output 2 3 4 3 7 2" xfId="46360"/>
    <cellStyle name="Output 2 3 4 3 7 3" xfId="54483"/>
    <cellStyle name="Output 2 3 4 3 8" xfId="39780"/>
    <cellStyle name="Output 2 3 4 3 8 2" xfId="46361"/>
    <cellStyle name="Output 2 3 4 3 8 3" xfId="54484"/>
    <cellStyle name="Output 2 3 4 3 9" xfId="40395"/>
    <cellStyle name="Output 2 3 4 3 9 2" xfId="46362"/>
    <cellStyle name="Output 2 3 4 3 9 3" xfId="54485"/>
    <cellStyle name="Output 2 3 4 4" xfId="2431"/>
    <cellStyle name="Output 2 3 4 4 10" xfId="46363"/>
    <cellStyle name="Output 2 3 4 4 11" xfId="54486"/>
    <cellStyle name="Output 2 3 4 4 2" xfId="18482"/>
    <cellStyle name="Output 2 3 4 4 2 2" xfId="46364"/>
    <cellStyle name="Output 2 3 4 4 2 3" xfId="54487"/>
    <cellStyle name="Output 2 3 4 4 3" xfId="18483"/>
    <cellStyle name="Output 2 3 4 4 3 2" xfId="46365"/>
    <cellStyle name="Output 2 3 4 4 3 3" xfId="54488"/>
    <cellStyle name="Output 2 3 4 4 4" xfId="18484"/>
    <cellStyle name="Output 2 3 4 4 4 2" xfId="46366"/>
    <cellStyle name="Output 2 3 4 4 4 3" xfId="54489"/>
    <cellStyle name="Output 2 3 4 4 5" xfId="18485"/>
    <cellStyle name="Output 2 3 4 4 5 2" xfId="46367"/>
    <cellStyle name="Output 2 3 4 4 5 3" xfId="54490"/>
    <cellStyle name="Output 2 3 4 4 6" xfId="35663"/>
    <cellStyle name="Output 2 3 4 4 6 2" xfId="46368"/>
    <cellStyle name="Output 2 3 4 4 6 3" xfId="54491"/>
    <cellStyle name="Output 2 3 4 4 7" xfId="46369"/>
    <cellStyle name="Output 2 3 4 4 7 2" xfId="54492"/>
    <cellStyle name="Output 2 3 4 4 8" xfId="46370"/>
    <cellStyle name="Output 2 3 4 4 8 2" xfId="54493"/>
    <cellStyle name="Output 2 3 4 4 9" xfId="46371"/>
    <cellStyle name="Output 2 3 4 4 9 2" xfId="54494"/>
    <cellStyle name="Output 2 3 4 5" xfId="1317"/>
    <cellStyle name="Output 2 3 4 5 2" xfId="18486"/>
    <cellStyle name="Output 2 3 4 5 3" xfId="18487"/>
    <cellStyle name="Output 2 3 4 5 4" xfId="18488"/>
    <cellStyle name="Output 2 3 4 5 5" xfId="18489"/>
    <cellStyle name="Output 2 3 4 5 6" xfId="35741"/>
    <cellStyle name="Output 2 3 4 5 7" xfId="46372"/>
    <cellStyle name="Output 2 3 4 5 8" xfId="54495"/>
    <cellStyle name="Output 2 3 4 6" xfId="3385"/>
    <cellStyle name="Output 2 3 4 6 2" xfId="18490"/>
    <cellStyle name="Output 2 3 4 6 3" xfId="18491"/>
    <cellStyle name="Output 2 3 4 6 4" xfId="18492"/>
    <cellStyle name="Output 2 3 4 6 5" xfId="18493"/>
    <cellStyle name="Output 2 3 4 6 6" xfId="37096"/>
    <cellStyle name="Output 2 3 4 6 7" xfId="46373"/>
    <cellStyle name="Output 2 3 4 6 8" xfId="54496"/>
    <cellStyle name="Output 2 3 4 7" xfId="3707"/>
    <cellStyle name="Output 2 3 4 7 2" xfId="18494"/>
    <cellStyle name="Output 2 3 4 7 3" xfId="18495"/>
    <cellStyle name="Output 2 3 4 7 4" xfId="18496"/>
    <cellStyle name="Output 2 3 4 7 5" xfId="18497"/>
    <cellStyle name="Output 2 3 4 7 6" xfId="37710"/>
    <cellStyle name="Output 2 3 4 7 7" xfId="46374"/>
    <cellStyle name="Output 2 3 4 7 8" xfId="54497"/>
    <cellStyle name="Output 2 3 4 8" xfId="18498"/>
    <cellStyle name="Output 2 3 4 8 2" xfId="18499"/>
    <cellStyle name="Output 2 3 4 8 3" xfId="18500"/>
    <cellStyle name="Output 2 3 4 8 4" xfId="18501"/>
    <cellStyle name="Output 2 3 4 8 5" xfId="18502"/>
    <cellStyle name="Output 2 3 4 8 6" xfId="38325"/>
    <cellStyle name="Output 2 3 4 8 7" xfId="46375"/>
    <cellStyle name="Output 2 3 4 8 8" xfId="54498"/>
    <cellStyle name="Output 2 3 4 9" xfId="18503"/>
    <cellStyle name="Output 2 3 4 9 2" xfId="18504"/>
    <cellStyle name="Output 2 3 4 9 3" xfId="18505"/>
    <cellStyle name="Output 2 3 4 9 4" xfId="18506"/>
    <cellStyle name="Output 2 3 4 9 5" xfId="18507"/>
    <cellStyle name="Output 2 3 4 9 6" xfId="38945"/>
    <cellStyle name="Output 2 3 4 9 7" xfId="46376"/>
    <cellStyle name="Output 2 3 4 9 8" xfId="54499"/>
    <cellStyle name="Output 2 3 5" xfId="387"/>
    <cellStyle name="Output 2 3 5 10" xfId="18508"/>
    <cellStyle name="Output 2 3 5 10 2" xfId="18509"/>
    <cellStyle name="Output 2 3 5 10 3" xfId="18510"/>
    <cellStyle name="Output 2 3 5 10 4" xfId="18511"/>
    <cellStyle name="Output 2 3 5 10 5" xfId="18512"/>
    <cellStyle name="Output 2 3 5 10 6" xfId="40181"/>
    <cellStyle name="Output 2 3 5 10 7" xfId="46377"/>
    <cellStyle name="Output 2 3 5 10 8" xfId="54500"/>
    <cellStyle name="Output 2 3 5 11" xfId="18513"/>
    <cellStyle name="Output 2 3 5 11 2" xfId="18514"/>
    <cellStyle name="Output 2 3 5 11 3" xfId="18515"/>
    <cellStyle name="Output 2 3 5 11 4" xfId="18516"/>
    <cellStyle name="Output 2 3 5 11 5" xfId="18517"/>
    <cellStyle name="Output 2 3 5 11 6" xfId="46378"/>
    <cellStyle name="Output 2 3 5 11 7" xfId="54501"/>
    <cellStyle name="Output 2 3 5 12" xfId="18518"/>
    <cellStyle name="Output 2 3 5 12 2" xfId="18519"/>
    <cellStyle name="Output 2 3 5 12 3" xfId="18520"/>
    <cellStyle name="Output 2 3 5 12 4" xfId="18521"/>
    <cellStyle name="Output 2 3 5 12 5" xfId="18522"/>
    <cellStyle name="Output 2 3 5 12 6" xfId="46379"/>
    <cellStyle name="Output 2 3 5 12 7" xfId="54502"/>
    <cellStyle name="Output 2 3 5 13" xfId="18523"/>
    <cellStyle name="Output 2 3 5 13 2" xfId="18524"/>
    <cellStyle name="Output 2 3 5 13 3" xfId="18525"/>
    <cellStyle name="Output 2 3 5 13 4" xfId="18526"/>
    <cellStyle name="Output 2 3 5 13 5" xfId="18527"/>
    <cellStyle name="Output 2 3 5 13 6" xfId="46380"/>
    <cellStyle name="Output 2 3 5 13 7" xfId="54503"/>
    <cellStyle name="Output 2 3 5 14" xfId="18528"/>
    <cellStyle name="Output 2 3 5 14 2" xfId="18529"/>
    <cellStyle name="Output 2 3 5 14 3" xfId="18530"/>
    <cellStyle name="Output 2 3 5 14 4" xfId="18531"/>
    <cellStyle name="Output 2 3 5 14 5" xfId="18532"/>
    <cellStyle name="Output 2 3 5 15" xfId="18533"/>
    <cellStyle name="Output 2 3 5 15 2" xfId="18534"/>
    <cellStyle name="Output 2 3 5 15 3" xfId="18535"/>
    <cellStyle name="Output 2 3 5 15 4" xfId="18536"/>
    <cellStyle name="Output 2 3 5 15 5" xfId="18537"/>
    <cellStyle name="Output 2 3 5 16" xfId="18538"/>
    <cellStyle name="Output 2 3 5 16 2" xfId="18539"/>
    <cellStyle name="Output 2 3 5 16 3" xfId="18540"/>
    <cellStyle name="Output 2 3 5 16 4" xfId="18541"/>
    <cellStyle name="Output 2 3 5 16 5" xfId="18542"/>
    <cellStyle name="Output 2 3 5 17" xfId="18543"/>
    <cellStyle name="Output 2 3 5 17 2" xfId="18544"/>
    <cellStyle name="Output 2 3 5 17 3" xfId="18545"/>
    <cellStyle name="Output 2 3 5 17 4" xfId="18546"/>
    <cellStyle name="Output 2 3 5 17 5" xfId="18547"/>
    <cellStyle name="Output 2 3 5 18" xfId="18548"/>
    <cellStyle name="Output 2 3 5 18 2" xfId="18549"/>
    <cellStyle name="Output 2 3 5 18 3" xfId="18550"/>
    <cellStyle name="Output 2 3 5 18 4" xfId="18551"/>
    <cellStyle name="Output 2 3 5 18 5" xfId="18552"/>
    <cellStyle name="Output 2 3 5 19" xfId="18553"/>
    <cellStyle name="Output 2 3 5 2" xfId="606"/>
    <cellStyle name="Output 2 3 5 2 10" xfId="18554"/>
    <cellStyle name="Output 2 3 5 2 10 2" xfId="18555"/>
    <cellStyle name="Output 2 3 5 2 10 3" xfId="18556"/>
    <cellStyle name="Output 2 3 5 2 10 4" xfId="18557"/>
    <cellStyle name="Output 2 3 5 2 10 5" xfId="18558"/>
    <cellStyle name="Output 2 3 5 2 10 6" xfId="46381"/>
    <cellStyle name="Output 2 3 5 2 10 7" xfId="54504"/>
    <cellStyle name="Output 2 3 5 2 11" xfId="18559"/>
    <cellStyle name="Output 2 3 5 2 11 2" xfId="18560"/>
    <cellStyle name="Output 2 3 5 2 11 3" xfId="18561"/>
    <cellStyle name="Output 2 3 5 2 11 4" xfId="18562"/>
    <cellStyle name="Output 2 3 5 2 11 5" xfId="18563"/>
    <cellStyle name="Output 2 3 5 2 12" xfId="18564"/>
    <cellStyle name="Output 2 3 5 2 12 2" xfId="18565"/>
    <cellStyle name="Output 2 3 5 2 12 3" xfId="18566"/>
    <cellStyle name="Output 2 3 5 2 12 4" xfId="18567"/>
    <cellStyle name="Output 2 3 5 2 12 5" xfId="18568"/>
    <cellStyle name="Output 2 3 5 2 13" xfId="18569"/>
    <cellStyle name="Output 2 3 5 2 13 2" xfId="18570"/>
    <cellStyle name="Output 2 3 5 2 13 3" xfId="18571"/>
    <cellStyle name="Output 2 3 5 2 13 4" xfId="18572"/>
    <cellStyle name="Output 2 3 5 2 13 5" xfId="18573"/>
    <cellStyle name="Output 2 3 5 2 14" xfId="18574"/>
    <cellStyle name="Output 2 3 5 2 14 2" xfId="18575"/>
    <cellStyle name="Output 2 3 5 2 14 3" xfId="18576"/>
    <cellStyle name="Output 2 3 5 2 14 4" xfId="18577"/>
    <cellStyle name="Output 2 3 5 2 14 5" xfId="18578"/>
    <cellStyle name="Output 2 3 5 2 15" xfId="18579"/>
    <cellStyle name="Output 2 3 5 2 15 2" xfId="18580"/>
    <cellStyle name="Output 2 3 5 2 15 3" xfId="18581"/>
    <cellStyle name="Output 2 3 5 2 15 4" xfId="18582"/>
    <cellStyle name="Output 2 3 5 2 15 5" xfId="18583"/>
    <cellStyle name="Output 2 3 5 2 16" xfId="18584"/>
    <cellStyle name="Output 2 3 5 2 16 2" xfId="18585"/>
    <cellStyle name="Output 2 3 5 2 16 3" xfId="18586"/>
    <cellStyle name="Output 2 3 5 2 16 4" xfId="18587"/>
    <cellStyle name="Output 2 3 5 2 16 5" xfId="18588"/>
    <cellStyle name="Output 2 3 5 2 17" xfId="18589"/>
    <cellStyle name="Output 2 3 5 2 17 2" xfId="18590"/>
    <cellStyle name="Output 2 3 5 2 17 3" xfId="18591"/>
    <cellStyle name="Output 2 3 5 2 17 4" xfId="18592"/>
    <cellStyle name="Output 2 3 5 2 17 5" xfId="18593"/>
    <cellStyle name="Output 2 3 5 2 18" xfId="18594"/>
    <cellStyle name="Output 2 3 5 2 18 2" xfId="18595"/>
    <cellStyle name="Output 2 3 5 2 18 3" xfId="18596"/>
    <cellStyle name="Output 2 3 5 2 18 4" xfId="18597"/>
    <cellStyle name="Output 2 3 5 2 18 5" xfId="18598"/>
    <cellStyle name="Output 2 3 5 2 19" xfId="18599"/>
    <cellStyle name="Output 2 3 5 2 2" xfId="2432"/>
    <cellStyle name="Output 2 3 5 2 2 2" xfId="18600"/>
    <cellStyle name="Output 2 3 5 2 2 3" xfId="18601"/>
    <cellStyle name="Output 2 3 5 2 2 4" xfId="18602"/>
    <cellStyle name="Output 2 3 5 2 2 5" xfId="18603"/>
    <cellStyle name="Output 2 3 5 2 2 6" xfId="36410"/>
    <cellStyle name="Output 2 3 5 2 2 7" xfId="46382"/>
    <cellStyle name="Output 2 3 5 2 2 8" xfId="54505"/>
    <cellStyle name="Output 2 3 5 2 20" xfId="1035"/>
    <cellStyle name="Output 2 3 5 2 21" xfId="35115"/>
    <cellStyle name="Output 2 3 5 2 22" xfId="41334"/>
    <cellStyle name="Output 2 3 5 2 3" xfId="2433"/>
    <cellStyle name="Output 2 3 5 2 3 2" xfId="18604"/>
    <cellStyle name="Output 2 3 5 2 3 3" xfId="18605"/>
    <cellStyle name="Output 2 3 5 2 3 4" xfId="18606"/>
    <cellStyle name="Output 2 3 5 2 3 5" xfId="18607"/>
    <cellStyle name="Output 2 3 5 2 3 6" xfId="36907"/>
    <cellStyle name="Output 2 3 5 2 3 7" xfId="46383"/>
    <cellStyle name="Output 2 3 5 2 3 8" xfId="54506"/>
    <cellStyle name="Output 2 3 5 2 4" xfId="1320"/>
    <cellStyle name="Output 2 3 5 2 4 2" xfId="18608"/>
    <cellStyle name="Output 2 3 5 2 4 3" xfId="18609"/>
    <cellStyle name="Output 2 3 5 2 4 4" xfId="18610"/>
    <cellStyle name="Output 2 3 5 2 4 5" xfId="18611"/>
    <cellStyle name="Output 2 3 5 2 4 6" xfId="37523"/>
    <cellStyle name="Output 2 3 5 2 4 7" xfId="46384"/>
    <cellStyle name="Output 2 3 5 2 4 8" xfId="54507"/>
    <cellStyle name="Output 2 3 5 2 5" xfId="3388"/>
    <cellStyle name="Output 2 3 5 2 5 2" xfId="18612"/>
    <cellStyle name="Output 2 3 5 2 5 3" xfId="18613"/>
    <cellStyle name="Output 2 3 5 2 5 4" xfId="18614"/>
    <cellStyle name="Output 2 3 5 2 5 5" xfId="18615"/>
    <cellStyle name="Output 2 3 5 2 5 6" xfId="38139"/>
    <cellStyle name="Output 2 3 5 2 5 7" xfId="46385"/>
    <cellStyle name="Output 2 3 5 2 5 8" xfId="54508"/>
    <cellStyle name="Output 2 3 5 2 6" xfId="3710"/>
    <cellStyle name="Output 2 3 5 2 6 2" xfId="18616"/>
    <cellStyle name="Output 2 3 5 2 6 3" xfId="18617"/>
    <cellStyle name="Output 2 3 5 2 6 4" xfId="18618"/>
    <cellStyle name="Output 2 3 5 2 6 5" xfId="18619"/>
    <cellStyle name="Output 2 3 5 2 6 6" xfId="38757"/>
    <cellStyle name="Output 2 3 5 2 6 7" xfId="46386"/>
    <cellStyle name="Output 2 3 5 2 6 8" xfId="54509"/>
    <cellStyle name="Output 2 3 5 2 7" xfId="18620"/>
    <cellStyle name="Output 2 3 5 2 7 2" xfId="18621"/>
    <cellStyle name="Output 2 3 5 2 7 3" xfId="18622"/>
    <cellStyle name="Output 2 3 5 2 7 4" xfId="18623"/>
    <cellStyle name="Output 2 3 5 2 7 5" xfId="18624"/>
    <cellStyle name="Output 2 3 5 2 7 6" xfId="39377"/>
    <cellStyle name="Output 2 3 5 2 7 7" xfId="46387"/>
    <cellStyle name="Output 2 3 5 2 7 8" xfId="54510"/>
    <cellStyle name="Output 2 3 5 2 8" xfId="18625"/>
    <cellStyle name="Output 2 3 5 2 8 2" xfId="18626"/>
    <cellStyle name="Output 2 3 5 2 8 3" xfId="18627"/>
    <cellStyle name="Output 2 3 5 2 8 4" xfId="18628"/>
    <cellStyle name="Output 2 3 5 2 8 5" xfId="18629"/>
    <cellStyle name="Output 2 3 5 2 8 6" xfId="39993"/>
    <cellStyle name="Output 2 3 5 2 8 7" xfId="46388"/>
    <cellStyle name="Output 2 3 5 2 8 8" xfId="54511"/>
    <cellStyle name="Output 2 3 5 2 9" xfId="18630"/>
    <cellStyle name="Output 2 3 5 2 9 2" xfId="18631"/>
    <cellStyle name="Output 2 3 5 2 9 3" xfId="18632"/>
    <cellStyle name="Output 2 3 5 2 9 4" xfId="18633"/>
    <cellStyle name="Output 2 3 5 2 9 5" xfId="18634"/>
    <cellStyle name="Output 2 3 5 2 9 6" xfId="40608"/>
    <cellStyle name="Output 2 3 5 2 9 7" xfId="46389"/>
    <cellStyle name="Output 2 3 5 2 9 8" xfId="54512"/>
    <cellStyle name="Output 2 3 5 20" xfId="823"/>
    <cellStyle name="Output 2 3 5 21" xfId="34710"/>
    <cellStyle name="Output 2 3 5 22" xfId="40907"/>
    <cellStyle name="Output 2 3 5 23" xfId="41468"/>
    <cellStyle name="Output 2 3 5 24" xfId="50555"/>
    <cellStyle name="Output 2 3 5 3" xfId="2434"/>
    <cellStyle name="Output 2 3 5 3 10" xfId="34875"/>
    <cellStyle name="Output 2 3 5 3 10 2" xfId="46391"/>
    <cellStyle name="Output 2 3 5 3 10 3" xfId="54514"/>
    <cellStyle name="Output 2 3 5 3 11" xfId="41122"/>
    <cellStyle name="Output 2 3 5 3 12" xfId="46390"/>
    <cellStyle name="Output 2 3 5 3 13" xfId="54513"/>
    <cellStyle name="Output 2 3 5 3 2" xfId="2435"/>
    <cellStyle name="Output 2 3 5 3 2 2" xfId="36199"/>
    <cellStyle name="Output 2 3 5 3 2 3" xfId="46392"/>
    <cellStyle name="Output 2 3 5 3 2 4" xfId="54515"/>
    <cellStyle name="Output 2 3 5 3 3" xfId="2436"/>
    <cellStyle name="Output 2 3 5 3 3 2" xfId="36696"/>
    <cellStyle name="Output 2 3 5 3 3 3" xfId="46393"/>
    <cellStyle name="Output 2 3 5 3 3 4" xfId="54516"/>
    <cellStyle name="Output 2 3 5 3 4" xfId="18635"/>
    <cellStyle name="Output 2 3 5 3 4 2" xfId="37312"/>
    <cellStyle name="Output 2 3 5 3 4 3" xfId="46394"/>
    <cellStyle name="Output 2 3 5 3 4 4" xfId="54517"/>
    <cellStyle name="Output 2 3 5 3 5" xfId="18636"/>
    <cellStyle name="Output 2 3 5 3 5 2" xfId="37928"/>
    <cellStyle name="Output 2 3 5 3 5 3" xfId="46395"/>
    <cellStyle name="Output 2 3 5 3 5 4" xfId="54518"/>
    <cellStyle name="Output 2 3 5 3 6" xfId="38545"/>
    <cellStyle name="Output 2 3 5 3 6 2" xfId="46396"/>
    <cellStyle name="Output 2 3 5 3 6 3" xfId="54519"/>
    <cellStyle name="Output 2 3 5 3 7" xfId="39165"/>
    <cellStyle name="Output 2 3 5 3 7 2" xfId="46397"/>
    <cellStyle name="Output 2 3 5 3 7 3" xfId="54520"/>
    <cellStyle name="Output 2 3 5 3 8" xfId="39781"/>
    <cellStyle name="Output 2 3 5 3 8 2" xfId="46398"/>
    <cellStyle name="Output 2 3 5 3 8 3" xfId="54521"/>
    <cellStyle name="Output 2 3 5 3 9" xfId="40396"/>
    <cellStyle name="Output 2 3 5 3 9 2" xfId="46399"/>
    <cellStyle name="Output 2 3 5 3 9 3" xfId="54522"/>
    <cellStyle name="Output 2 3 5 4" xfId="2437"/>
    <cellStyle name="Output 2 3 5 4 10" xfId="46400"/>
    <cellStyle name="Output 2 3 5 4 11" xfId="54523"/>
    <cellStyle name="Output 2 3 5 4 2" xfId="18637"/>
    <cellStyle name="Output 2 3 5 4 2 2" xfId="46401"/>
    <cellStyle name="Output 2 3 5 4 2 3" xfId="54524"/>
    <cellStyle name="Output 2 3 5 4 3" xfId="18638"/>
    <cellStyle name="Output 2 3 5 4 3 2" xfId="46402"/>
    <cellStyle name="Output 2 3 5 4 3 3" xfId="54525"/>
    <cellStyle name="Output 2 3 5 4 4" xfId="18639"/>
    <cellStyle name="Output 2 3 5 4 4 2" xfId="46403"/>
    <cellStyle name="Output 2 3 5 4 4 3" xfId="54526"/>
    <cellStyle name="Output 2 3 5 4 5" xfId="18640"/>
    <cellStyle name="Output 2 3 5 4 5 2" xfId="46404"/>
    <cellStyle name="Output 2 3 5 4 5 3" xfId="54527"/>
    <cellStyle name="Output 2 3 5 4 6" xfId="35740"/>
    <cellStyle name="Output 2 3 5 4 6 2" xfId="46405"/>
    <cellStyle name="Output 2 3 5 4 6 3" xfId="54528"/>
    <cellStyle name="Output 2 3 5 4 7" xfId="46406"/>
    <cellStyle name="Output 2 3 5 4 7 2" xfId="54529"/>
    <cellStyle name="Output 2 3 5 4 8" xfId="46407"/>
    <cellStyle name="Output 2 3 5 4 8 2" xfId="54530"/>
    <cellStyle name="Output 2 3 5 4 9" xfId="46408"/>
    <cellStyle name="Output 2 3 5 4 9 2" xfId="54531"/>
    <cellStyle name="Output 2 3 5 5" xfId="1319"/>
    <cellStyle name="Output 2 3 5 5 2" xfId="18641"/>
    <cellStyle name="Output 2 3 5 5 3" xfId="18642"/>
    <cellStyle name="Output 2 3 5 5 4" xfId="18643"/>
    <cellStyle name="Output 2 3 5 5 5" xfId="18644"/>
    <cellStyle name="Output 2 3 5 5 6" xfId="37097"/>
    <cellStyle name="Output 2 3 5 5 7" xfId="46409"/>
    <cellStyle name="Output 2 3 5 5 8" xfId="54532"/>
    <cellStyle name="Output 2 3 5 6" xfId="3387"/>
    <cellStyle name="Output 2 3 5 6 2" xfId="18645"/>
    <cellStyle name="Output 2 3 5 6 3" xfId="18646"/>
    <cellStyle name="Output 2 3 5 6 4" xfId="18647"/>
    <cellStyle name="Output 2 3 5 6 5" xfId="18648"/>
    <cellStyle name="Output 2 3 5 6 6" xfId="37711"/>
    <cellStyle name="Output 2 3 5 6 7" xfId="46410"/>
    <cellStyle name="Output 2 3 5 6 8" xfId="54533"/>
    <cellStyle name="Output 2 3 5 7" xfId="3709"/>
    <cellStyle name="Output 2 3 5 7 2" xfId="18649"/>
    <cellStyle name="Output 2 3 5 7 3" xfId="18650"/>
    <cellStyle name="Output 2 3 5 7 4" xfId="18651"/>
    <cellStyle name="Output 2 3 5 7 5" xfId="18652"/>
    <cellStyle name="Output 2 3 5 7 6" xfId="38326"/>
    <cellStyle name="Output 2 3 5 7 7" xfId="46411"/>
    <cellStyle name="Output 2 3 5 7 8" xfId="54534"/>
    <cellStyle name="Output 2 3 5 8" xfId="18653"/>
    <cellStyle name="Output 2 3 5 8 2" xfId="18654"/>
    <cellStyle name="Output 2 3 5 8 3" xfId="18655"/>
    <cellStyle name="Output 2 3 5 8 4" xfId="18656"/>
    <cellStyle name="Output 2 3 5 8 5" xfId="18657"/>
    <cellStyle name="Output 2 3 5 8 6" xfId="38946"/>
    <cellStyle name="Output 2 3 5 8 7" xfId="46412"/>
    <cellStyle name="Output 2 3 5 8 8" xfId="54535"/>
    <cellStyle name="Output 2 3 5 9" xfId="18658"/>
    <cellStyle name="Output 2 3 5 9 2" xfId="18659"/>
    <cellStyle name="Output 2 3 5 9 3" xfId="18660"/>
    <cellStyle name="Output 2 3 5 9 4" xfId="18661"/>
    <cellStyle name="Output 2 3 5 9 5" xfId="18662"/>
    <cellStyle name="Output 2 3 5 9 6" xfId="39565"/>
    <cellStyle name="Output 2 3 5 9 7" xfId="46413"/>
    <cellStyle name="Output 2 3 5 9 8" xfId="54536"/>
    <cellStyle name="Output 2 3 6" xfId="486"/>
    <cellStyle name="Output 2 3 6 10" xfId="18663"/>
    <cellStyle name="Output 2 3 6 10 2" xfId="18664"/>
    <cellStyle name="Output 2 3 6 10 3" xfId="18665"/>
    <cellStyle name="Output 2 3 6 10 4" xfId="18666"/>
    <cellStyle name="Output 2 3 6 10 5" xfId="18667"/>
    <cellStyle name="Output 2 3 6 10 6" xfId="46414"/>
    <cellStyle name="Output 2 3 6 10 7" xfId="54537"/>
    <cellStyle name="Output 2 3 6 11" xfId="18668"/>
    <cellStyle name="Output 2 3 6 11 2" xfId="18669"/>
    <cellStyle name="Output 2 3 6 11 3" xfId="18670"/>
    <cellStyle name="Output 2 3 6 11 4" xfId="18671"/>
    <cellStyle name="Output 2 3 6 11 5" xfId="18672"/>
    <cellStyle name="Output 2 3 6 12" xfId="18673"/>
    <cellStyle name="Output 2 3 6 12 2" xfId="18674"/>
    <cellStyle name="Output 2 3 6 12 3" xfId="18675"/>
    <cellStyle name="Output 2 3 6 12 4" xfId="18676"/>
    <cellStyle name="Output 2 3 6 12 5" xfId="18677"/>
    <cellStyle name="Output 2 3 6 13" xfId="18678"/>
    <cellStyle name="Output 2 3 6 13 2" xfId="18679"/>
    <cellStyle name="Output 2 3 6 13 3" xfId="18680"/>
    <cellStyle name="Output 2 3 6 13 4" xfId="18681"/>
    <cellStyle name="Output 2 3 6 13 5" xfId="18682"/>
    <cellStyle name="Output 2 3 6 14" xfId="18683"/>
    <cellStyle name="Output 2 3 6 14 2" xfId="18684"/>
    <cellStyle name="Output 2 3 6 14 3" xfId="18685"/>
    <cellStyle name="Output 2 3 6 14 4" xfId="18686"/>
    <cellStyle name="Output 2 3 6 14 5" xfId="18687"/>
    <cellStyle name="Output 2 3 6 15" xfId="18688"/>
    <cellStyle name="Output 2 3 6 15 2" xfId="18689"/>
    <cellStyle name="Output 2 3 6 15 3" xfId="18690"/>
    <cellStyle name="Output 2 3 6 15 4" xfId="18691"/>
    <cellStyle name="Output 2 3 6 15 5" xfId="18692"/>
    <cellStyle name="Output 2 3 6 16" xfId="18693"/>
    <cellStyle name="Output 2 3 6 16 2" xfId="18694"/>
    <cellStyle name="Output 2 3 6 16 3" xfId="18695"/>
    <cellStyle name="Output 2 3 6 16 4" xfId="18696"/>
    <cellStyle name="Output 2 3 6 16 5" xfId="18697"/>
    <cellStyle name="Output 2 3 6 17" xfId="18698"/>
    <cellStyle name="Output 2 3 6 17 2" xfId="18699"/>
    <cellStyle name="Output 2 3 6 17 3" xfId="18700"/>
    <cellStyle name="Output 2 3 6 17 4" xfId="18701"/>
    <cellStyle name="Output 2 3 6 17 5" xfId="18702"/>
    <cellStyle name="Output 2 3 6 18" xfId="18703"/>
    <cellStyle name="Output 2 3 6 18 2" xfId="18704"/>
    <cellStyle name="Output 2 3 6 18 3" xfId="18705"/>
    <cellStyle name="Output 2 3 6 18 4" xfId="18706"/>
    <cellStyle name="Output 2 3 6 18 5" xfId="18707"/>
    <cellStyle name="Output 2 3 6 19" xfId="18708"/>
    <cellStyle name="Output 2 3 6 2" xfId="2438"/>
    <cellStyle name="Output 2 3 6 2 2" xfId="18709"/>
    <cellStyle name="Output 2 3 6 2 3" xfId="18710"/>
    <cellStyle name="Output 2 3 6 2 4" xfId="18711"/>
    <cellStyle name="Output 2 3 6 2 5" xfId="18712"/>
    <cellStyle name="Output 2 3 6 2 6" xfId="36290"/>
    <cellStyle name="Output 2 3 6 2 7" xfId="46415"/>
    <cellStyle name="Output 2 3 6 2 8" xfId="54538"/>
    <cellStyle name="Output 2 3 6 20" xfId="915"/>
    <cellStyle name="Output 2 3 6 21" xfId="34995"/>
    <cellStyle name="Output 2 3 6 22" xfId="40704"/>
    <cellStyle name="Output 2 3 6 23" xfId="41214"/>
    <cellStyle name="Output 2 3 6 3" xfId="2439"/>
    <cellStyle name="Output 2 3 6 3 2" xfId="18713"/>
    <cellStyle name="Output 2 3 6 3 3" xfId="18714"/>
    <cellStyle name="Output 2 3 6 3 4" xfId="18715"/>
    <cellStyle name="Output 2 3 6 3 5" xfId="18716"/>
    <cellStyle name="Output 2 3 6 3 6" xfId="36787"/>
    <cellStyle name="Output 2 3 6 3 7" xfId="46416"/>
    <cellStyle name="Output 2 3 6 3 8" xfId="54539"/>
    <cellStyle name="Output 2 3 6 4" xfId="1321"/>
    <cellStyle name="Output 2 3 6 4 2" xfId="18717"/>
    <cellStyle name="Output 2 3 6 4 3" xfId="18718"/>
    <cellStyle name="Output 2 3 6 4 4" xfId="18719"/>
    <cellStyle name="Output 2 3 6 4 5" xfId="18720"/>
    <cellStyle name="Output 2 3 6 4 6" xfId="37403"/>
    <cellStyle name="Output 2 3 6 4 7" xfId="46417"/>
    <cellStyle name="Output 2 3 6 4 8" xfId="54540"/>
    <cellStyle name="Output 2 3 6 5" xfId="3389"/>
    <cellStyle name="Output 2 3 6 5 2" xfId="18721"/>
    <cellStyle name="Output 2 3 6 5 3" xfId="18722"/>
    <cellStyle name="Output 2 3 6 5 4" xfId="18723"/>
    <cellStyle name="Output 2 3 6 5 5" xfId="18724"/>
    <cellStyle name="Output 2 3 6 5 6" xfId="38019"/>
    <cellStyle name="Output 2 3 6 5 7" xfId="46418"/>
    <cellStyle name="Output 2 3 6 5 8" xfId="54541"/>
    <cellStyle name="Output 2 3 6 6" xfId="3711"/>
    <cellStyle name="Output 2 3 6 6 2" xfId="18725"/>
    <cellStyle name="Output 2 3 6 6 3" xfId="18726"/>
    <cellStyle name="Output 2 3 6 6 4" xfId="18727"/>
    <cellStyle name="Output 2 3 6 6 5" xfId="18728"/>
    <cellStyle name="Output 2 3 6 6 6" xfId="38637"/>
    <cellStyle name="Output 2 3 6 6 7" xfId="46419"/>
    <cellStyle name="Output 2 3 6 6 8" xfId="54542"/>
    <cellStyle name="Output 2 3 6 7" xfId="18729"/>
    <cellStyle name="Output 2 3 6 7 2" xfId="18730"/>
    <cellStyle name="Output 2 3 6 7 3" xfId="18731"/>
    <cellStyle name="Output 2 3 6 7 4" xfId="18732"/>
    <cellStyle name="Output 2 3 6 7 5" xfId="18733"/>
    <cellStyle name="Output 2 3 6 7 6" xfId="39257"/>
    <cellStyle name="Output 2 3 6 7 7" xfId="46420"/>
    <cellStyle name="Output 2 3 6 7 8" xfId="54543"/>
    <cellStyle name="Output 2 3 6 8" xfId="18734"/>
    <cellStyle name="Output 2 3 6 8 2" xfId="18735"/>
    <cellStyle name="Output 2 3 6 8 3" xfId="18736"/>
    <cellStyle name="Output 2 3 6 8 4" xfId="18737"/>
    <cellStyle name="Output 2 3 6 8 5" xfId="18738"/>
    <cellStyle name="Output 2 3 6 8 6" xfId="39873"/>
    <cellStyle name="Output 2 3 6 8 7" xfId="46421"/>
    <cellStyle name="Output 2 3 6 8 8" xfId="54544"/>
    <cellStyle name="Output 2 3 6 9" xfId="18739"/>
    <cellStyle name="Output 2 3 6 9 2" xfId="18740"/>
    <cellStyle name="Output 2 3 6 9 3" xfId="18741"/>
    <cellStyle name="Output 2 3 6 9 4" xfId="18742"/>
    <cellStyle name="Output 2 3 6 9 5" xfId="18743"/>
    <cellStyle name="Output 2 3 6 9 6" xfId="40488"/>
    <cellStyle name="Output 2 3 6 9 7" xfId="46422"/>
    <cellStyle name="Output 2 3 6 9 8" xfId="54545"/>
    <cellStyle name="Output 2 3 7" xfId="2440"/>
    <cellStyle name="Output 2 3 7 10" xfId="34921"/>
    <cellStyle name="Output 2 3 7 10 2" xfId="46424"/>
    <cellStyle name="Output 2 3 7 10 3" xfId="54547"/>
    <cellStyle name="Output 2 3 7 11" xfId="41000"/>
    <cellStyle name="Output 2 3 7 12" xfId="46423"/>
    <cellStyle name="Output 2 3 7 13" xfId="54546"/>
    <cellStyle name="Output 2 3 7 2" xfId="2441"/>
    <cellStyle name="Output 2 3 7 2 2" xfId="36077"/>
    <cellStyle name="Output 2 3 7 2 3" xfId="46425"/>
    <cellStyle name="Output 2 3 7 2 4" xfId="54548"/>
    <cellStyle name="Output 2 3 7 3" xfId="2442"/>
    <cellStyle name="Output 2 3 7 3 2" xfId="36576"/>
    <cellStyle name="Output 2 3 7 3 3" xfId="46426"/>
    <cellStyle name="Output 2 3 7 3 4" xfId="54549"/>
    <cellStyle name="Output 2 3 7 4" xfId="18744"/>
    <cellStyle name="Output 2 3 7 4 2" xfId="37192"/>
    <cellStyle name="Output 2 3 7 4 3" xfId="46427"/>
    <cellStyle name="Output 2 3 7 4 4" xfId="54550"/>
    <cellStyle name="Output 2 3 7 5" xfId="18745"/>
    <cellStyle name="Output 2 3 7 5 2" xfId="37808"/>
    <cellStyle name="Output 2 3 7 5 3" xfId="46428"/>
    <cellStyle name="Output 2 3 7 5 4" xfId="54551"/>
    <cellStyle name="Output 2 3 7 6" xfId="38423"/>
    <cellStyle name="Output 2 3 7 6 2" xfId="46429"/>
    <cellStyle name="Output 2 3 7 6 3" xfId="54552"/>
    <cellStyle name="Output 2 3 7 7" xfId="39043"/>
    <cellStyle name="Output 2 3 7 7 2" xfId="46430"/>
    <cellStyle name="Output 2 3 7 7 3" xfId="54553"/>
    <cellStyle name="Output 2 3 7 8" xfId="39659"/>
    <cellStyle name="Output 2 3 7 8 2" xfId="46431"/>
    <cellStyle name="Output 2 3 7 8 3" xfId="54554"/>
    <cellStyle name="Output 2 3 7 9" xfId="40274"/>
    <cellStyle name="Output 2 3 7 9 2" xfId="46432"/>
    <cellStyle name="Output 2 3 7 9 3" xfId="54555"/>
    <cellStyle name="Output 2 3 8" xfId="1304"/>
    <cellStyle name="Output 2 3 8 10" xfId="46433"/>
    <cellStyle name="Output 2 3 8 11" xfId="54556"/>
    <cellStyle name="Output 2 3 8 2" xfId="18746"/>
    <cellStyle name="Output 2 3 8 2 2" xfId="46434"/>
    <cellStyle name="Output 2 3 8 2 3" xfId="54557"/>
    <cellStyle name="Output 2 3 8 3" xfId="18747"/>
    <cellStyle name="Output 2 3 8 3 2" xfId="46435"/>
    <cellStyle name="Output 2 3 8 3 3" xfId="54558"/>
    <cellStyle name="Output 2 3 8 4" xfId="18748"/>
    <cellStyle name="Output 2 3 8 4 2" xfId="46436"/>
    <cellStyle name="Output 2 3 8 4 3" xfId="54559"/>
    <cellStyle name="Output 2 3 8 5" xfId="18749"/>
    <cellStyle name="Output 2 3 8 5 2" xfId="46437"/>
    <cellStyle name="Output 2 3 8 5 3" xfId="54560"/>
    <cellStyle name="Output 2 3 8 6" xfId="35394"/>
    <cellStyle name="Output 2 3 8 6 2" xfId="46438"/>
    <cellStyle name="Output 2 3 8 6 3" xfId="54561"/>
    <cellStyle name="Output 2 3 8 7" xfId="46439"/>
    <cellStyle name="Output 2 3 8 7 2" xfId="54562"/>
    <cellStyle name="Output 2 3 8 8" xfId="46440"/>
    <cellStyle name="Output 2 3 8 8 2" xfId="54563"/>
    <cellStyle name="Output 2 3 8 9" xfId="46441"/>
    <cellStyle name="Output 2 3 8 9 2" xfId="54564"/>
    <cellStyle name="Output 2 3 9" xfId="3372"/>
    <cellStyle name="Output 2 3 9 2" xfId="18750"/>
    <cellStyle name="Output 2 3 9 3" xfId="18751"/>
    <cellStyle name="Output 2 3 9 4" xfId="18752"/>
    <cellStyle name="Output 2 3 9 5" xfId="18753"/>
    <cellStyle name="Output 2 3 9 6" xfId="35925"/>
    <cellStyle name="Output 2 3 9 7" xfId="46442"/>
    <cellStyle name="Output 2 3 9 8" xfId="54565"/>
    <cellStyle name="Output 2 4" xfId="254"/>
    <cellStyle name="Output 2 4 10" xfId="3712"/>
    <cellStyle name="Output 2 4 10 2" xfId="18754"/>
    <cellStyle name="Output 2 4 10 3" xfId="18755"/>
    <cellStyle name="Output 2 4 10 4" xfId="18756"/>
    <cellStyle name="Output 2 4 10 5" xfId="18757"/>
    <cellStyle name="Output 2 4 10 6" xfId="35826"/>
    <cellStyle name="Output 2 4 10 7" xfId="46443"/>
    <cellStyle name="Output 2 4 10 8" xfId="54566"/>
    <cellStyle name="Output 2 4 11" xfId="18758"/>
    <cellStyle name="Output 2 4 11 2" xfId="18759"/>
    <cellStyle name="Output 2 4 11 3" xfId="18760"/>
    <cellStyle name="Output 2 4 11 4" xfId="18761"/>
    <cellStyle name="Output 2 4 11 5" xfId="18762"/>
    <cellStyle name="Output 2 4 11 6" xfId="36047"/>
    <cellStyle name="Output 2 4 11 7" xfId="46444"/>
    <cellStyle name="Output 2 4 11 8" xfId="54567"/>
    <cellStyle name="Output 2 4 12" xfId="18763"/>
    <cellStyle name="Output 2 4 12 2" xfId="18764"/>
    <cellStyle name="Output 2 4 12 3" xfId="18765"/>
    <cellStyle name="Output 2 4 12 4" xfId="18766"/>
    <cellStyle name="Output 2 4 12 5" xfId="18767"/>
    <cellStyle name="Output 2 4 12 6" xfId="35847"/>
    <cellStyle name="Output 2 4 12 7" xfId="46445"/>
    <cellStyle name="Output 2 4 12 8" xfId="54568"/>
    <cellStyle name="Output 2 4 13" xfId="18768"/>
    <cellStyle name="Output 2 4 13 2" xfId="18769"/>
    <cellStyle name="Output 2 4 13 3" xfId="18770"/>
    <cellStyle name="Output 2 4 13 4" xfId="18771"/>
    <cellStyle name="Output 2 4 13 5" xfId="18772"/>
    <cellStyle name="Output 2 4 13 6" xfId="36027"/>
    <cellStyle name="Output 2 4 13 7" xfId="46446"/>
    <cellStyle name="Output 2 4 13 8" xfId="54569"/>
    <cellStyle name="Output 2 4 14" xfId="18773"/>
    <cellStyle name="Output 2 4 14 2" xfId="18774"/>
    <cellStyle name="Output 2 4 14 3" xfId="18775"/>
    <cellStyle name="Output 2 4 14 4" xfId="18776"/>
    <cellStyle name="Output 2 4 14 5" xfId="18777"/>
    <cellStyle name="Output 2 4 14 6" xfId="35866"/>
    <cellStyle name="Output 2 4 14 7" xfId="46447"/>
    <cellStyle name="Output 2 4 14 8" xfId="54570"/>
    <cellStyle name="Output 2 4 15" xfId="18778"/>
    <cellStyle name="Output 2 4 15 2" xfId="18779"/>
    <cellStyle name="Output 2 4 15 3" xfId="18780"/>
    <cellStyle name="Output 2 4 15 4" xfId="18781"/>
    <cellStyle name="Output 2 4 15 5" xfId="18782"/>
    <cellStyle name="Output 2 4 15 6" xfId="35841"/>
    <cellStyle name="Output 2 4 15 7" xfId="46448"/>
    <cellStyle name="Output 2 4 15 8" xfId="54571"/>
    <cellStyle name="Output 2 4 16" xfId="18783"/>
    <cellStyle name="Output 2 4 16 2" xfId="18784"/>
    <cellStyle name="Output 2 4 16 3" xfId="18785"/>
    <cellStyle name="Output 2 4 16 4" xfId="18786"/>
    <cellStyle name="Output 2 4 16 5" xfId="18787"/>
    <cellStyle name="Output 2 4 16 6" xfId="38978"/>
    <cellStyle name="Output 2 4 16 7" xfId="46449"/>
    <cellStyle name="Output 2 4 16 8" xfId="54572"/>
    <cellStyle name="Output 2 4 17" xfId="18788"/>
    <cellStyle name="Output 2 4 17 2" xfId="18789"/>
    <cellStyle name="Output 2 4 17 3" xfId="18790"/>
    <cellStyle name="Output 2 4 17 4" xfId="18791"/>
    <cellStyle name="Output 2 4 17 5" xfId="18792"/>
    <cellStyle name="Output 2 4 17 6" xfId="46450"/>
    <cellStyle name="Output 2 4 17 7" xfId="54573"/>
    <cellStyle name="Output 2 4 18" xfId="18793"/>
    <cellStyle name="Output 2 4 18 2" xfId="18794"/>
    <cellStyle name="Output 2 4 18 3" xfId="18795"/>
    <cellStyle name="Output 2 4 18 4" xfId="18796"/>
    <cellStyle name="Output 2 4 18 5" xfId="18797"/>
    <cellStyle name="Output 2 4 19" xfId="18798"/>
    <cellStyle name="Output 2 4 19 2" xfId="18799"/>
    <cellStyle name="Output 2 4 19 3" xfId="18800"/>
    <cellStyle name="Output 2 4 19 4" xfId="18801"/>
    <cellStyle name="Output 2 4 19 5" xfId="18802"/>
    <cellStyle name="Output 2 4 2" xfId="291"/>
    <cellStyle name="Output 2 4 2 10" xfId="18803"/>
    <cellStyle name="Output 2 4 2 10 2" xfId="18804"/>
    <cellStyle name="Output 2 4 2 10 3" xfId="18805"/>
    <cellStyle name="Output 2 4 2 10 4" xfId="18806"/>
    <cellStyle name="Output 2 4 2 10 5" xfId="18807"/>
    <cellStyle name="Output 2 4 2 10 6" xfId="37619"/>
    <cellStyle name="Output 2 4 2 10 7" xfId="46451"/>
    <cellStyle name="Output 2 4 2 10 8" xfId="54574"/>
    <cellStyle name="Output 2 4 2 11" xfId="18808"/>
    <cellStyle name="Output 2 4 2 11 2" xfId="18809"/>
    <cellStyle name="Output 2 4 2 11 3" xfId="18810"/>
    <cellStyle name="Output 2 4 2 11 4" xfId="18811"/>
    <cellStyle name="Output 2 4 2 11 5" xfId="18812"/>
    <cellStyle name="Output 2 4 2 11 6" xfId="38236"/>
    <cellStyle name="Output 2 4 2 11 7" xfId="46452"/>
    <cellStyle name="Output 2 4 2 11 8" xfId="54575"/>
    <cellStyle name="Output 2 4 2 12" xfId="18813"/>
    <cellStyle name="Output 2 4 2 12 2" xfId="18814"/>
    <cellStyle name="Output 2 4 2 12 3" xfId="18815"/>
    <cellStyle name="Output 2 4 2 12 4" xfId="18816"/>
    <cellStyle name="Output 2 4 2 12 5" xfId="18817"/>
    <cellStyle name="Output 2 4 2 12 6" xfId="38858"/>
    <cellStyle name="Output 2 4 2 12 7" xfId="46453"/>
    <cellStyle name="Output 2 4 2 12 8" xfId="54576"/>
    <cellStyle name="Output 2 4 2 13" xfId="18818"/>
    <cellStyle name="Output 2 4 2 13 2" xfId="18819"/>
    <cellStyle name="Output 2 4 2 13 3" xfId="18820"/>
    <cellStyle name="Output 2 4 2 13 4" xfId="18821"/>
    <cellStyle name="Output 2 4 2 13 5" xfId="18822"/>
    <cellStyle name="Output 2 4 2 13 6" xfId="39478"/>
    <cellStyle name="Output 2 4 2 13 7" xfId="46454"/>
    <cellStyle name="Output 2 4 2 13 8" xfId="54577"/>
    <cellStyle name="Output 2 4 2 14" xfId="18823"/>
    <cellStyle name="Output 2 4 2 14 2" xfId="18824"/>
    <cellStyle name="Output 2 4 2 14 3" xfId="18825"/>
    <cellStyle name="Output 2 4 2 14 4" xfId="18826"/>
    <cellStyle name="Output 2 4 2 14 5" xfId="18827"/>
    <cellStyle name="Output 2 4 2 14 6" xfId="40096"/>
    <cellStyle name="Output 2 4 2 14 7" xfId="46455"/>
    <cellStyle name="Output 2 4 2 14 8" xfId="54578"/>
    <cellStyle name="Output 2 4 2 15" xfId="18828"/>
    <cellStyle name="Output 2 4 2 15 2" xfId="18829"/>
    <cellStyle name="Output 2 4 2 15 3" xfId="18830"/>
    <cellStyle name="Output 2 4 2 15 4" xfId="18831"/>
    <cellStyle name="Output 2 4 2 15 5" xfId="18832"/>
    <cellStyle name="Output 2 4 2 15 6" xfId="46456"/>
    <cellStyle name="Output 2 4 2 15 7" xfId="54579"/>
    <cellStyle name="Output 2 4 2 16" xfId="18833"/>
    <cellStyle name="Output 2 4 2 16 2" xfId="18834"/>
    <cellStyle name="Output 2 4 2 16 3" xfId="18835"/>
    <cellStyle name="Output 2 4 2 16 4" xfId="18836"/>
    <cellStyle name="Output 2 4 2 16 5" xfId="18837"/>
    <cellStyle name="Output 2 4 2 17" xfId="18838"/>
    <cellStyle name="Output 2 4 2 17 2" xfId="18839"/>
    <cellStyle name="Output 2 4 2 17 3" xfId="18840"/>
    <cellStyle name="Output 2 4 2 17 4" xfId="18841"/>
    <cellStyle name="Output 2 4 2 17 5" xfId="18842"/>
    <cellStyle name="Output 2 4 2 18" xfId="18843"/>
    <cellStyle name="Output 2 4 2 19" xfId="736"/>
    <cellStyle name="Output 2 4 2 2" xfId="388"/>
    <cellStyle name="Output 2 4 2 2 10" xfId="18844"/>
    <cellStyle name="Output 2 4 2 2 10 2" xfId="18845"/>
    <cellStyle name="Output 2 4 2 2 10 3" xfId="18846"/>
    <cellStyle name="Output 2 4 2 2 10 4" xfId="18847"/>
    <cellStyle name="Output 2 4 2 2 10 5" xfId="18848"/>
    <cellStyle name="Output 2 4 2 2 10 6" xfId="39566"/>
    <cellStyle name="Output 2 4 2 2 10 7" xfId="46457"/>
    <cellStyle name="Output 2 4 2 2 10 8" xfId="54580"/>
    <cellStyle name="Output 2 4 2 2 11" xfId="18849"/>
    <cellStyle name="Output 2 4 2 2 11 2" xfId="18850"/>
    <cellStyle name="Output 2 4 2 2 11 3" xfId="18851"/>
    <cellStyle name="Output 2 4 2 2 11 4" xfId="18852"/>
    <cellStyle name="Output 2 4 2 2 11 5" xfId="18853"/>
    <cellStyle name="Output 2 4 2 2 11 6" xfId="40182"/>
    <cellStyle name="Output 2 4 2 2 11 7" xfId="46458"/>
    <cellStyle name="Output 2 4 2 2 11 8" xfId="54581"/>
    <cellStyle name="Output 2 4 2 2 12" xfId="18854"/>
    <cellStyle name="Output 2 4 2 2 12 2" xfId="18855"/>
    <cellStyle name="Output 2 4 2 2 12 3" xfId="18856"/>
    <cellStyle name="Output 2 4 2 2 12 4" xfId="18857"/>
    <cellStyle name="Output 2 4 2 2 12 5" xfId="18858"/>
    <cellStyle name="Output 2 4 2 2 12 6" xfId="46459"/>
    <cellStyle name="Output 2 4 2 2 12 7" xfId="54582"/>
    <cellStyle name="Output 2 4 2 2 13" xfId="18859"/>
    <cellStyle name="Output 2 4 2 2 13 2" xfId="18860"/>
    <cellStyle name="Output 2 4 2 2 13 3" xfId="18861"/>
    <cellStyle name="Output 2 4 2 2 13 4" xfId="18862"/>
    <cellStyle name="Output 2 4 2 2 13 5" xfId="18863"/>
    <cellStyle name="Output 2 4 2 2 13 6" xfId="46460"/>
    <cellStyle name="Output 2 4 2 2 13 7" xfId="54583"/>
    <cellStyle name="Output 2 4 2 2 14" xfId="18864"/>
    <cellStyle name="Output 2 4 2 2 14 2" xfId="18865"/>
    <cellStyle name="Output 2 4 2 2 14 3" xfId="18866"/>
    <cellStyle name="Output 2 4 2 2 14 4" xfId="18867"/>
    <cellStyle name="Output 2 4 2 2 14 5" xfId="18868"/>
    <cellStyle name="Output 2 4 2 2 15" xfId="18869"/>
    <cellStyle name="Output 2 4 2 2 15 2" xfId="18870"/>
    <cellStyle name="Output 2 4 2 2 15 3" xfId="18871"/>
    <cellStyle name="Output 2 4 2 2 15 4" xfId="18872"/>
    <cellStyle name="Output 2 4 2 2 15 5" xfId="18873"/>
    <cellStyle name="Output 2 4 2 2 16" xfId="18874"/>
    <cellStyle name="Output 2 4 2 2 16 2" xfId="18875"/>
    <cellStyle name="Output 2 4 2 2 16 3" xfId="18876"/>
    <cellStyle name="Output 2 4 2 2 16 4" xfId="18877"/>
    <cellStyle name="Output 2 4 2 2 16 5" xfId="18878"/>
    <cellStyle name="Output 2 4 2 2 17" xfId="18879"/>
    <cellStyle name="Output 2 4 2 2 17 2" xfId="18880"/>
    <cellStyle name="Output 2 4 2 2 17 3" xfId="18881"/>
    <cellStyle name="Output 2 4 2 2 17 4" xfId="18882"/>
    <cellStyle name="Output 2 4 2 2 17 5" xfId="18883"/>
    <cellStyle name="Output 2 4 2 2 18" xfId="18884"/>
    <cellStyle name="Output 2 4 2 2 18 2" xfId="18885"/>
    <cellStyle name="Output 2 4 2 2 18 3" xfId="18886"/>
    <cellStyle name="Output 2 4 2 2 18 4" xfId="18887"/>
    <cellStyle name="Output 2 4 2 2 18 5" xfId="18888"/>
    <cellStyle name="Output 2 4 2 2 19" xfId="18889"/>
    <cellStyle name="Output 2 4 2 2 2" xfId="607"/>
    <cellStyle name="Output 2 4 2 2 2 10" xfId="18890"/>
    <cellStyle name="Output 2 4 2 2 2 10 2" xfId="18891"/>
    <cellStyle name="Output 2 4 2 2 2 10 3" xfId="18892"/>
    <cellStyle name="Output 2 4 2 2 2 10 4" xfId="18893"/>
    <cellStyle name="Output 2 4 2 2 2 10 5" xfId="18894"/>
    <cellStyle name="Output 2 4 2 2 2 10 6" xfId="46461"/>
    <cellStyle name="Output 2 4 2 2 2 10 7" xfId="54584"/>
    <cellStyle name="Output 2 4 2 2 2 11" xfId="18895"/>
    <cellStyle name="Output 2 4 2 2 2 11 2" xfId="18896"/>
    <cellStyle name="Output 2 4 2 2 2 11 3" xfId="18897"/>
    <cellStyle name="Output 2 4 2 2 2 11 4" xfId="18898"/>
    <cellStyle name="Output 2 4 2 2 2 11 5" xfId="18899"/>
    <cellStyle name="Output 2 4 2 2 2 12" xfId="18900"/>
    <cellStyle name="Output 2 4 2 2 2 12 2" xfId="18901"/>
    <cellStyle name="Output 2 4 2 2 2 12 3" xfId="18902"/>
    <cellStyle name="Output 2 4 2 2 2 12 4" xfId="18903"/>
    <cellStyle name="Output 2 4 2 2 2 12 5" xfId="18904"/>
    <cellStyle name="Output 2 4 2 2 2 13" xfId="18905"/>
    <cellStyle name="Output 2 4 2 2 2 13 2" xfId="18906"/>
    <cellStyle name="Output 2 4 2 2 2 13 3" xfId="18907"/>
    <cellStyle name="Output 2 4 2 2 2 13 4" xfId="18908"/>
    <cellStyle name="Output 2 4 2 2 2 13 5" xfId="18909"/>
    <cellStyle name="Output 2 4 2 2 2 14" xfId="18910"/>
    <cellStyle name="Output 2 4 2 2 2 14 2" xfId="18911"/>
    <cellStyle name="Output 2 4 2 2 2 14 3" xfId="18912"/>
    <cellStyle name="Output 2 4 2 2 2 14 4" xfId="18913"/>
    <cellStyle name="Output 2 4 2 2 2 14 5" xfId="18914"/>
    <cellStyle name="Output 2 4 2 2 2 15" xfId="18915"/>
    <cellStyle name="Output 2 4 2 2 2 15 2" xfId="18916"/>
    <cellStyle name="Output 2 4 2 2 2 15 3" xfId="18917"/>
    <cellStyle name="Output 2 4 2 2 2 15 4" xfId="18918"/>
    <cellStyle name="Output 2 4 2 2 2 15 5" xfId="18919"/>
    <cellStyle name="Output 2 4 2 2 2 16" xfId="18920"/>
    <cellStyle name="Output 2 4 2 2 2 16 2" xfId="18921"/>
    <cellStyle name="Output 2 4 2 2 2 16 3" xfId="18922"/>
    <cellStyle name="Output 2 4 2 2 2 16 4" xfId="18923"/>
    <cellStyle name="Output 2 4 2 2 2 16 5" xfId="18924"/>
    <cellStyle name="Output 2 4 2 2 2 17" xfId="18925"/>
    <cellStyle name="Output 2 4 2 2 2 17 2" xfId="18926"/>
    <cellStyle name="Output 2 4 2 2 2 17 3" xfId="18927"/>
    <cellStyle name="Output 2 4 2 2 2 17 4" xfId="18928"/>
    <cellStyle name="Output 2 4 2 2 2 17 5" xfId="18929"/>
    <cellStyle name="Output 2 4 2 2 2 18" xfId="18930"/>
    <cellStyle name="Output 2 4 2 2 2 18 2" xfId="18931"/>
    <cellStyle name="Output 2 4 2 2 2 18 3" xfId="18932"/>
    <cellStyle name="Output 2 4 2 2 2 18 4" xfId="18933"/>
    <cellStyle name="Output 2 4 2 2 2 18 5" xfId="18934"/>
    <cellStyle name="Output 2 4 2 2 2 19" xfId="18935"/>
    <cellStyle name="Output 2 4 2 2 2 2" xfId="2443"/>
    <cellStyle name="Output 2 4 2 2 2 2 2" xfId="18936"/>
    <cellStyle name="Output 2 4 2 2 2 2 3" xfId="18937"/>
    <cellStyle name="Output 2 4 2 2 2 2 4" xfId="18938"/>
    <cellStyle name="Output 2 4 2 2 2 2 5" xfId="18939"/>
    <cellStyle name="Output 2 4 2 2 2 2 6" xfId="36411"/>
    <cellStyle name="Output 2 4 2 2 2 2 7" xfId="46462"/>
    <cellStyle name="Output 2 4 2 2 2 2 8" xfId="54585"/>
    <cellStyle name="Output 2 4 2 2 2 20" xfId="1036"/>
    <cellStyle name="Output 2 4 2 2 2 21" xfId="35116"/>
    <cellStyle name="Output 2 4 2 2 2 22" xfId="41335"/>
    <cellStyle name="Output 2 4 2 2 2 3" xfId="2444"/>
    <cellStyle name="Output 2 4 2 2 2 3 2" xfId="18940"/>
    <cellStyle name="Output 2 4 2 2 2 3 3" xfId="18941"/>
    <cellStyle name="Output 2 4 2 2 2 3 4" xfId="18942"/>
    <cellStyle name="Output 2 4 2 2 2 3 5" xfId="18943"/>
    <cellStyle name="Output 2 4 2 2 2 3 6" xfId="36908"/>
    <cellStyle name="Output 2 4 2 2 2 3 7" xfId="46463"/>
    <cellStyle name="Output 2 4 2 2 2 3 8" xfId="54586"/>
    <cellStyle name="Output 2 4 2 2 2 4" xfId="1325"/>
    <cellStyle name="Output 2 4 2 2 2 4 2" xfId="18944"/>
    <cellStyle name="Output 2 4 2 2 2 4 3" xfId="18945"/>
    <cellStyle name="Output 2 4 2 2 2 4 4" xfId="18946"/>
    <cellStyle name="Output 2 4 2 2 2 4 5" xfId="18947"/>
    <cellStyle name="Output 2 4 2 2 2 4 6" xfId="37524"/>
    <cellStyle name="Output 2 4 2 2 2 4 7" xfId="46464"/>
    <cellStyle name="Output 2 4 2 2 2 4 8" xfId="54587"/>
    <cellStyle name="Output 2 4 2 2 2 5" xfId="3393"/>
    <cellStyle name="Output 2 4 2 2 2 5 2" xfId="18948"/>
    <cellStyle name="Output 2 4 2 2 2 5 3" xfId="18949"/>
    <cellStyle name="Output 2 4 2 2 2 5 4" xfId="18950"/>
    <cellStyle name="Output 2 4 2 2 2 5 5" xfId="18951"/>
    <cellStyle name="Output 2 4 2 2 2 5 6" xfId="38140"/>
    <cellStyle name="Output 2 4 2 2 2 5 7" xfId="46465"/>
    <cellStyle name="Output 2 4 2 2 2 5 8" xfId="54588"/>
    <cellStyle name="Output 2 4 2 2 2 6" xfId="3715"/>
    <cellStyle name="Output 2 4 2 2 2 6 2" xfId="18952"/>
    <cellStyle name="Output 2 4 2 2 2 6 3" xfId="18953"/>
    <cellStyle name="Output 2 4 2 2 2 6 4" xfId="18954"/>
    <cellStyle name="Output 2 4 2 2 2 6 5" xfId="18955"/>
    <cellStyle name="Output 2 4 2 2 2 6 6" xfId="38758"/>
    <cellStyle name="Output 2 4 2 2 2 6 7" xfId="46466"/>
    <cellStyle name="Output 2 4 2 2 2 6 8" xfId="54589"/>
    <cellStyle name="Output 2 4 2 2 2 7" xfId="18956"/>
    <cellStyle name="Output 2 4 2 2 2 7 2" xfId="18957"/>
    <cellStyle name="Output 2 4 2 2 2 7 3" xfId="18958"/>
    <cellStyle name="Output 2 4 2 2 2 7 4" xfId="18959"/>
    <cellStyle name="Output 2 4 2 2 2 7 5" xfId="18960"/>
    <cellStyle name="Output 2 4 2 2 2 7 6" xfId="39378"/>
    <cellStyle name="Output 2 4 2 2 2 7 7" xfId="46467"/>
    <cellStyle name="Output 2 4 2 2 2 7 8" xfId="54590"/>
    <cellStyle name="Output 2 4 2 2 2 8" xfId="18961"/>
    <cellStyle name="Output 2 4 2 2 2 8 2" xfId="18962"/>
    <cellStyle name="Output 2 4 2 2 2 8 3" xfId="18963"/>
    <cellStyle name="Output 2 4 2 2 2 8 4" xfId="18964"/>
    <cellStyle name="Output 2 4 2 2 2 8 5" xfId="18965"/>
    <cellStyle name="Output 2 4 2 2 2 8 6" xfId="39994"/>
    <cellStyle name="Output 2 4 2 2 2 8 7" xfId="46468"/>
    <cellStyle name="Output 2 4 2 2 2 8 8" xfId="54591"/>
    <cellStyle name="Output 2 4 2 2 2 9" xfId="18966"/>
    <cellStyle name="Output 2 4 2 2 2 9 2" xfId="18967"/>
    <cellStyle name="Output 2 4 2 2 2 9 3" xfId="18968"/>
    <cellStyle name="Output 2 4 2 2 2 9 4" xfId="18969"/>
    <cellStyle name="Output 2 4 2 2 2 9 5" xfId="18970"/>
    <cellStyle name="Output 2 4 2 2 2 9 6" xfId="40609"/>
    <cellStyle name="Output 2 4 2 2 2 9 7" xfId="46469"/>
    <cellStyle name="Output 2 4 2 2 2 9 8" xfId="54592"/>
    <cellStyle name="Output 2 4 2 2 20" xfId="824"/>
    <cellStyle name="Output 2 4 2 2 21" xfId="34709"/>
    <cellStyle name="Output 2 4 2 2 22" xfId="40908"/>
    <cellStyle name="Output 2 4 2 2 23" xfId="41469"/>
    <cellStyle name="Output 2 4 2 2 24" xfId="50556"/>
    <cellStyle name="Output 2 4 2 2 3" xfId="2445"/>
    <cellStyle name="Output 2 4 2 2 3 10" xfId="34902"/>
    <cellStyle name="Output 2 4 2 2 3 10 2" xfId="46471"/>
    <cellStyle name="Output 2 4 2 2 3 10 3" xfId="54594"/>
    <cellStyle name="Output 2 4 2 2 3 11" xfId="41123"/>
    <cellStyle name="Output 2 4 2 2 3 12" xfId="46470"/>
    <cellStyle name="Output 2 4 2 2 3 13" xfId="54593"/>
    <cellStyle name="Output 2 4 2 2 3 2" xfId="2446"/>
    <cellStyle name="Output 2 4 2 2 3 2 2" xfId="36200"/>
    <cellStyle name="Output 2 4 2 2 3 2 3" xfId="46472"/>
    <cellStyle name="Output 2 4 2 2 3 2 4" xfId="54595"/>
    <cellStyle name="Output 2 4 2 2 3 3" xfId="2447"/>
    <cellStyle name="Output 2 4 2 2 3 3 2" xfId="36697"/>
    <cellStyle name="Output 2 4 2 2 3 3 3" xfId="46473"/>
    <cellStyle name="Output 2 4 2 2 3 3 4" xfId="54596"/>
    <cellStyle name="Output 2 4 2 2 3 4" xfId="18971"/>
    <cellStyle name="Output 2 4 2 2 3 4 2" xfId="37313"/>
    <cellStyle name="Output 2 4 2 2 3 4 3" xfId="46474"/>
    <cellStyle name="Output 2 4 2 2 3 4 4" xfId="54597"/>
    <cellStyle name="Output 2 4 2 2 3 5" xfId="18972"/>
    <cellStyle name="Output 2 4 2 2 3 5 2" xfId="37929"/>
    <cellStyle name="Output 2 4 2 2 3 5 3" xfId="46475"/>
    <cellStyle name="Output 2 4 2 2 3 5 4" xfId="54598"/>
    <cellStyle name="Output 2 4 2 2 3 6" xfId="38546"/>
    <cellStyle name="Output 2 4 2 2 3 6 2" xfId="46476"/>
    <cellStyle name="Output 2 4 2 2 3 6 3" xfId="54599"/>
    <cellStyle name="Output 2 4 2 2 3 7" xfId="39166"/>
    <cellStyle name="Output 2 4 2 2 3 7 2" xfId="46477"/>
    <cellStyle name="Output 2 4 2 2 3 7 3" xfId="54600"/>
    <cellStyle name="Output 2 4 2 2 3 8" xfId="39782"/>
    <cellStyle name="Output 2 4 2 2 3 8 2" xfId="46478"/>
    <cellStyle name="Output 2 4 2 2 3 8 3" xfId="54601"/>
    <cellStyle name="Output 2 4 2 2 3 9" xfId="40397"/>
    <cellStyle name="Output 2 4 2 2 3 9 2" xfId="46479"/>
    <cellStyle name="Output 2 4 2 2 3 9 3" xfId="54602"/>
    <cellStyle name="Output 2 4 2 2 4" xfId="2448"/>
    <cellStyle name="Output 2 4 2 2 4 10" xfId="46480"/>
    <cellStyle name="Output 2 4 2 2 4 11" xfId="54603"/>
    <cellStyle name="Output 2 4 2 2 4 2" xfId="18973"/>
    <cellStyle name="Output 2 4 2 2 4 2 2" xfId="46481"/>
    <cellStyle name="Output 2 4 2 2 4 2 3" xfId="54604"/>
    <cellStyle name="Output 2 4 2 2 4 3" xfId="18974"/>
    <cellStyle name="Output 2 4 2 2 4 3 2" xfId="46482"/>
    <cellStyle name="Output 2 4 2 2 4 3 3" xfId="54605"/>
    <cellStyle name="Output 2 4 2 2 4 4" xfId="18975"/>
    <cellStyle name="Output 2 4 2 2 4 4 2" xfId="46483"/>
    <cellStyle name="Output 2 4 2 2 4 4 3" xfId="54606"/>
    <cellStyle name="Output 2 4 2 2 4 5" xfId="18976"/>
    <cellStyle name="Output 2 4 2 2 4 5 2" xfId="46484"/>
    <cellStyle name="Output 2 4 2 2 4 5 3" xfId="54607"/>
    <cellStyle name="Output 2 4 2 2 4 6" xfId="35699"/>
    <cellStyle name="Output 2 4 2 2 4 6 2" xfId="46485"/>
    <cellStyle name="Output 2 4 2 2 4 6 3" xfId="54608"/>
    <cellStyle name="Output 2 4 2 2 4 7" xfId="46486"/>
    <cellStyle name="Output 2 4 2 2 4 7 2" xfId="54609"/>
    <cellStyle name="Output 2 4 2 2 4 8" xfId="46487"/>
    <cellStyle name="Output 2 4 2 2 4 8 2" xfId="54610"/>
    <cellStyle name="Output 2 4 2 2 4 9" xfId="46488"/>
    <cellStyle name="Output 2 4 2 2 4 9 2" xfId="54611"/>
    <cellStyle name="Output 2 4 2 2 5" xfId="1324"/>
    <cellStyle name="Output 2 4 2 2 5 2" xfId="18977"/>
    <cellStyle name="Output 2 4 2 2 5 3" xfId="18978"/>
    <cellStyle name="Output 2 4 2 2 5 4" xfId="18979"/>
    <cellStyle name="Output 2 4 2 2 5 5" xfId="18980"/>
    <cellStyle name="Output 2 4 2 2 5 6" xfId="36482"/>
    <cellStyle name="Output 2 4 2 2 5 7" xfId="46489"/>
    <cellStyle name="Output 2 4 2 2 5 8" xfId="54612"/>
    <cellStyle name="Output 2 4 2 2 6" xfId="3392"/>
    <cellStyle name="Output 2 4 2 2 6 2" xfId="18981"/>
    <cellStyle name="Output 2 4 2 2 6 3" xfId="18982"/>
    <cellStyle name="Output 2 4 2 2 6 4" xfId="18983"/>
    <cellStyle name="Output 2 4 2 2 6 5" xfId="18984"/>
    <cellStyle name="Output 2 4 2 2 6 6" xfId="37098"/>
    <cellStyle name="Output 2 4 2 2 6 7" xfId="46490"/>
    <cellStyle name="Output 2 4 2 2 6 8" xfId="54613"/>
    <cellStyle name="Output 2 4 2 2 7" xfId="3714"/>
    <cellStyle name="Output 2 4 2 2 7 2" xfId="18985"/>
    <cellStyle name="Output 2 4 2 2 7 3" xfId="18986"/>
    <cellStyle name="Output 2 4 2 2 7 4" xfId="18987"/>
    <cellStyle name="Output 2 4 2 2 7 5" xfId="18988"/>
    <cellStyle name="Output 2 4 2 2 7 6" xfId="37712"/>
    <cellStyle name="Output 2 4 2 2 7 7" xfId="46491"/>
    <cellStyle name="Output 2 4 2 2 7 8" xfId="54614"/>
    <cellStyle name="Output 2 4 2 2 8" xfId="18989"/>
    <cellStyle name="Output 2 4 2 2 8 2" xfId="18990"/>
    <cellStyle name="Output 2 4 2 2 8 3" xfId="18991"/>
    <cellStyle name="Output 2 4 2 2 8 4" xfId="18992"/>
    <cellStyle name="Output 2 4 2 2 8 5" xfId="18993"/>
    <cellStyle name="Output 2 4 2 2 8 6" xfId="38327"/>
    <cellStyle name="Output 2 4 2 2 8 7" xfId="46492"/>
    <cellStyle name="Output 2 4 2 2 8 8" xfId="54615"/>
    <cellStyle name="Output 2 4 2 2 9" xfId="18994"/>
    <cellStyle name="Output 2 4 2 2 9 2" xfId="18995"/>
    <cellStyle name="Output 2 4 2 2 9 3" xfId="18996"/>
    <cellStyle name="Output 2 4 2 2 9 4" xfId="18997"/>
    <cellStyle name="Output 2 4 2 2 9 5" xfId="18998"/>
    <cellStyle name="Output 2 4 2 2 9 6" xfId="38947"/>
    <cellStyle name="Output 2 4 2 2 9 7" xfId="46493"/>
    <cellStyle name="Output 2 4 2 2 9 8" xfId="54616"/>
    <cellStyle name="Output 2 4 2 20" xfId="34947"/>
    <cellStyle name="Output 2 4 2 21" xfId="40820"/>
    <cellStyle name="Output 2 4 2 3" xfId="389"/>
    <cellStyle name="Output 2 4 2 3 10" xfId="18999"/>
    <cellStyle name="Output 2 4 2 3 10 2" xfId="19000"/>
    <cellStyle name="Output 2 4 2 3 10 3" xfId="19001"/>
    <cellStyle name="Output 2 4 2 3 10 4" xfId="19002"/>
    <cellStyle name="Output 2 4 2 3 10 5" xfId="19003"/>
    <cellStyle name="Output 2 4 2 3 10 6" xfId="40183"/>
    <cellStyle name="Output 2 4 2 3 10 7" xfId="46494"/>
    <cellStyle name="Output 2 4 2 3 10 8" xfId="54617"/>
    <cellStyle name="Output 2 4 2 3 11" xfId="19004"/>
    <cellStyle name="Output 2 4 2 3 11 2" xfId="19005"/>
    <cellStyle name="Output 2 4 2 3 11 3" xfId="19006"/>
    <cellStyle name="Output 2 4 2 3 11 4" xfId="19007"/>
    <cellStyle name="Output 2 4 2 3 11 5" xfId="19008"/>
    <cellStyle name="Output 2 4 2 3 11 6" xfId="46495"/>
    <cellStyle name="Output 2 4 2 3 11 7" xfId="54618"/>
    <cellStyle name="Output 2 4 2 3 12" xfId="19009"/>
    <cellStyle name="Output 2 4 2 3 12 2" xfId="19010"/>
    <cellStyle name="Output 2 4 2 3 12 3" xfId="19011"/>
    <cellStyle name="Output 2 4 2 3 12 4" xfId="19012"/>
    <cellStyle name="Output 2 4 2 3 12 5" xfId="19013"/>
    <cellStyle name="Output 2 4 2 3 12 6" xfId="46496"/>
    <cellStyle name="Output 2 4 2 3 12 7" xfId="54619"/>
    <cellStyle name="Output 2 4 2 3 13" xfId="19014"/>
    <cellStyle name="Output 2 4 2 3 13 2" xfId="19015"/>
    <cellStyle name="Output 2 4 2 3 13 3" xfId="19016"/>
    <cellStyle name="Output 2 4 2 3 13 4" xfId="19017"/>
    <cellStyle name="Output 2 4 2 3 13 5" xfId="19018"/>
    <cellStyle name="Output 2 4 2 3 13 6" xfId="46497"/>
    <cellStyle name="Output 2 4 2 3 13 7" xfId="54620"/>
    <cellStyle name="Output 2 4 2 3 14" xfId="19019"/>
    <cellStyle name="Output 2 4 2 3 14 2" xfId="19020"/>
    <cellStyle name="Output 2 4 2 3 14 3" xfId="19021"/>
    <cellStyle name="Output 2 4 2 3 14 4" xfId="19022"/>
    <cellStyle name="Output 2 4 2 3 14 5" xfId="19023"/>
    <cellStyle name="Output 2 4 2 3 15" xfId="19024"/>
    <cellStyle name="Output 2 4 2 3 15 2" xfId="19025"/>
    <cellStyle name="Output 2 4 2 3 15 3" xfId="19026"/>
    <cellStyle name="Output 2 4 2 3 15 4" xfId="19027"/>
    <cellStyle name="Output 2 4 2 3 15 5" xfId="19028"/>
    <cellStyle name="Output 2 4 2 3 16" xfId="19029"/>
    <cellStyle name="Output 2 4 2 3 16 2" xfId="19030"/>
    <cellStyle name="Output 2 4 2 3 16 3" xfId="19031"/>
    <cellStyle name="Output 2 4 2 3 16 4" xfId="19032"/>
    <cellStyle name="Output 2 4 2 3 16 5" xfId="19033"/>
    <cellStyle name="Output 2 4 2 3 17" xfId="19034"/>
    <cellStyle name="Output 2 4 2 3 17 2" xfId="19035"/>
    <cellStyle name="Output 2 4 2 3 17 3" xfId="19036"/>
    <cellStyle name="Output 2 4 2 3 17 4" xfId="19037"/>
    <cellStyle name="Output 2 4 2 3 17 5" xfId="19038"/>
    <cellStyle name="Output 2 4 2 3 18" xfId="19039"/>
    <cellStyle name="Output 2 4 2 3 18 2" xfId="19040"/>
    <cellStyle name="Output 2 4 2 3 18 3" xfId="19041"/>
    <cellStyle name="Output 2 4 2 3 18 4" xfId="19042"/>
    <cellStyle name="Output 2 4 2 3 18 5" xfId="19043"/>
    <cellStyle name="Output 2 4 2 3 19" xfId="19044"/>
    <cellStyle name="Output 2 4 2 3 2" xfId="608"/>
    <cellStyle name="Output 2 4 2 3 2 10" xfId="19045"/>
    <cellStyle name="Output 2 4 2 3 2 10 2" xfId="19046"/>
    <cellStyle name="Output 2 4 2 3 2 10 3" xfId="19047"/>
    <cellStyle name="Output 2 4 2 3 2 10 4" xfId="19048"/>
    <cellStyle name="Output 2 4 2 3 2 10 5" xfId="19049"/>
    <cellStyle name="Output 2 4 2 3 2 10 6" xfId="46498"/>
    <cellStyle name="Output 2 4 2 3 2 10 7" xfId="54621"/>
    <cellStyle name="Output 2 4 2 3 2 11" xfId="19050"/>
    <cellStyle name="Output 2 4 2 3 2 11 2" xfId="19051"/>
    <cellStyle name="Output 2 4 2 3 2 11 3" xfId="19052"/>
    <cellStyle name="Output 2 4 2 3 2 11 4" xfId="19053"/>
    <cellStyle name="Output 2 4 2 3 2 11 5" xfId="19054"/>
    <cellStyle name="Output 2 4 2 3 2 12" xfId="19055"/>
    <cellStyle name="Output 2 4 2 3 2 12 2" xfId="19056"/>
    <cellStyle name="Output 2 4 2 3 2 12 3" xfId="19057"/>
    <cellStyle name="Output 2 4 2 3 2 12 4" xfId="19058"/>
    <cellStyle name="Output 2 4 2 3 2 12 5" xfId="19059"/>
    <cellStyle name="Output 2 4 2 3 2 13" xfId="19060"/>
    <cellStyle name="Output 2 4 2 3 2 13 2" xfId="19061"/>
    <cellStyle name="Output 2 4 2 3 2 13 3" xfId="19062"/>
    <cellStyle name="Output 2 4 2 3 2 13 4" xfId="19063"/>
    <cellStyle name="Output 2 4 2 3 2 13 5" xfId="19064"/>
    <cellStyle name="Output 2 4 2 3 2 14" xfId="19065"/>
    <cellStyle name="Output 2 4 2 3 2 14 2" xfId="19066"/>
    <cellStyle name="Output 2 4 2 3 2 14 3" xfId="19067"/>
    <cellStyle name="Output 2 4 2 3 2 14 4" xfId="19068"/>
    <cellStyle name="Output 2 4 2 3 2 14 5" xfId="19069"/>
    <cellStyle name="Output 2 4 2 3 2 15" xfId="19070"/>
    <cellStyle name="Output 2 4 2 3 2 15 2" xfId="19071"/>
    <cellStyle name="Output 2 4 2 3 2 15 3" xfId="19072"/>
    <cellStyle name="Output 2 4 2 3 2 15 4" xfId="19073"/>
    <cellStyle name="Output 2 4 2 3 2 15 5" xfId="19074"/>
    <cellStyle name="Output 2 4 2 3 2 16" xfId="19075"/>
    <cellStyle name="Output 2 4 2 3 2 16 2" xfId="19076"/>
    <cellStyle name="Output 2 4 2 3 2 16 3" xfId="19077"/>
    <cellStyle name="Output 2 4 2 3 2 16 4" xfId="19078"/>
    <cellStyle name="Output 2 4 2 3 2 16 5" xfId="19079"/>
    <cellStyle name="Output 2 4 2 3 2 17" xfId="19080"/>
    <cellStyle name="Output 2 4 2 3 2 17 2" xfId="19081"/>
    <cellStyle name="Output 2 4 2 3 2 17 3" xfId="19082"/>
    <cellStyle name="Output 2 4 2 3 2 17 4" xfId="19083"/>
    <cellStyle name="Output 2 4 2 3 2 17 5" xfId="19084"/>
    <cellStyle name="Output 2 4 2 3 2 18" xfId="19085"/>
    <cellStyle name="Output 2 4 2 3 2 18 2" xfId="19086"/>
    <cellStyle name="Output 2 4 2 3 2 18 3" xfId="19087"/>
    <cellStyle name="Output 2 4 2 3 2 18 4" xfId="19088"/>
    <cellStyle name="Output 2 4 2 3 2 18 5" xfId="19089"/>
    <cellStyle name="Output 2 4 2 3 2 19" xfId="19090"/>
    <cellStyle name="Output 2 4 2 3 2 2" xfId="2449"/>
    <cellStyle name="Output 2 4 2 3 2 2 2" xfId="19091"/>
    <cellStyle name="Output 2 4 2 3 2 2 3" xfId="19092"/>
    <cellStyle name="Output 2 4 2 3 2 2 4" xfId="19093"/>
    <cellStyle name="Output 2 4 2 3 2 2 5" xfId="19094"/>
    <cellStyle name="Output 2 4 2 3 2 2 6" xfId="36412"/>
    <cellStyle name="Output 2 4 2 3 2 2 7" xfId="46499"/>
    <cellStyle name="Output 2 4 2 3 2 2 8" xfId="54622"/>
    <cellStyle name="Output 2 4 2 3 2 20" xfId="1037"/>
    <cellStyle name="Output 2 4 2 3 2 21" xfId="35117"/>
    <cellStyle name="Output 2 4 2 3 2 22" xfId="41336"/>
    <cellStyle name="Output 2 4 2 3 2 3" xfId="2450"/>
    <cellStyle name="Output 2 4 2 3 2 3 2" xfId="19095"/>
    <cellStyle name="Output 2 4 2 3 2 3 3" xfId="19096"/>
    <cellStyle name="Output 2 4 2 3 2 3 4" xfId="19097"/>
    <cellStyle name="Output 2 4 2 3 2 3 5" xfId="19098"/>
    <cellStyle name="Output 2 4 2 3 2 3 6" xfId="36909"/>
    <cellStyle name="Output 2 4 2 3 2 3 7" xfId="46500"/>
    <cellStyle name="Output 2 4 2 3 2 3 8" xfId="54623"/>
    <cellStyle name="Output 2 4 2 3 2 4" xfId="1327"/>
    <cellStyle name="Output 2 4 2 3 2 4 2" xfId="19099"/>
    <cellStyle name="Output 2 4 2 3 2 4 3" xfId="19100"/>
    <cellStyle name="Output 2 4 2 3 2 4 4" xfId="19101"/>
    <cellStyle name="Output 2 4 2 3 2 4 5" xfId="19102"/>
    <cellStyle name="Output 2 4 2 3 2 4 6" xfId="37525"/>
    <cellStyle name="Output 2 4 2 3 2 4 7" xfId="46501"/>
    <cellStyle name="Output 2 4 2 3 2 4 8" xfId="54624"/>
    <cellStyle name="Output 2 4 2 3 2 5" xfId="3395"/>
    <cellStyle name="Output 2 4 2 3 2 5 2" xfId="19103"/>
    <cellStyle name="Output 2 4 2 3 2 5 3" xfId="19104"/>
    <cellStyle name="Output 2 4 2 3 2 5 4" xfId="19105"/>
    <cellStyle name="Output 2 4 2 3 2 5 5" xfId="19106"/>
    <cellStyle name="Output 2 4 2 3 2 5 6" xfId="38141"/>
    <cellStyle name="Output 2 4 2 3 2 5 7" xfId="46502"/>
    <cellStyle name="Output 2 4 2 3 2 5 8" xfId="54625"/>
    <cellStyle name="Output 2 4 2 3 2 6" xfId="3717"/>
    <cellStyle name="Output 2 4 2 3 2 6 2" xfId="19107"/>
    <cellStyle name="Output 2 4 2 3 2 6 3" xfId="19108"/>
    <cellStyle name="Output 2 4 2 3 2 6 4" xfId="19109"/>
    <cellStyle name="Output 2 4 2 3 2 6 5" xfId="19110"/>
    <cellStyle name="Output 2 4 2 3 2 6 6" xfId="38759"/>
    <cellStyle name="Output 2 4 2 3 2 6 7" xfId="46503"/>
    <cellStyle name="Output 2 4 2 3 2 6 8" xfId="54626"/>
    <cellStyle name="Output 2 4 2 3 2 7" xfId="19111"/>
    <cellStyle name="Output 2 4 2 3 2 7 2" xfId="19112"/>
    <cellStyle name="Output 2 4 2 3 2 7 3" xfId="19113"/>
    <cellStyle name="Output 2 4 2 3 2 7 4" xfId="19114"/>
    <cellStyle name="Output 2 4 2 3 2 7 5" xfId="19115"/>
    <cellStyle name="Output 2 4 2 3 2 7 6" xfId="39379"/>
    <cellStyle name="Output 2 4 2 3 2 7 7" xfId="46504"/>
    <cellStyle name="Output 2 4 2 3 2 7 8" xfId="54627"/>
    <cellStyle name="Output 2 4 2 3 2 8" xfId="19116"/>
    <cellStyle name="Output 2 4 2 3 2 8 2" xfId="19117"/>
    <cellStyle name="Output 2 4 2 3 2 8 3" xfId="19118"/>
    <cellStyle name="Output 2 4 2 3 2 8 4" xfId="19119"/>
    <cellStyle name="Output 2 4 2 3 2 8 5" xfId="19120"/>
    <cellStyle name="Output 2 4 2 3 2 8 6" xfId="39995"/>
    <cellStyle name="Output 2 4 2 3 2 8 7" xfId="46505"/>
    <cellStyle name="Output 2 4 2 3 2 8 8" xfId="54628"/>
    <cellStyle name="Output 2 4 2 3 2 9" xfId="19121"/>
    <cellStyle name="Output 2 4 2 3 2 9 2" xfId="19122"/>
    <cellStyle name="Output 2 4 2 3 2 9 3" xfId="19123"/>
    <cellStyle name="Output 2 4 2 3 2 9 4" xfId="19124"/>
    <cellStyle name="Output 2 4 2 3 2 9 5" xfId="19125"/>
    <cellStyle name="Output 2 4 2 3 2 9 6" xfId="40610"/>
    <cellStyle name="Output 2 4 2 3 2 9 7" xfId="46506"/>
    <cellStyle name="Output 2 4 2 3 2 9 8" xfId="54629"/>
    <cellStyle name="Output 2 4 2 3 20" xfId="825"/>
    <cellStyle name="Output 2 4 2 3 21" xfId="34708"/>
    <cellStyle name="Output 2 4 2 3 22" xfId="40909"/>
    <cellStyle name="Output 2 4 2 3 23" xfId="41470"/>
    <cellStyle name="Output 2 4 2 3 24" xfId="50557"/>
    <cellStyle name="Output 2 4 2 3 3" xfId="2451"/>
    <cellStyle name="Output 2 4 2 3 3 10" xfId="34789"/>
    <cellStyle name="Output 2 4 2 3 3 10 2" xfId="46508"/>
    <cellStyle name="Output 2 4 2 3 3 10 3" xfId="54631"/>
    <cellStyle name="Output 2 4 2 3 3 11" xfId="41124"/>
    <cellStyle name="Output 2 4 2 3 3 12" xfId="46507"/>
    <cellStyle name="Output 2 4 2 3 3 13" xfId="54630"/>
    <cellStyle name="Output 2 4 2 3 3 2" xfId="2452"/>
    <cellStyle name="Output 2 4 2 3 3 2 2" xfId="36201"/>
    <cellStyle name="Output 2 4 2 3 3 2 3" xfId="46509"/>
    <cellStyle name="Output 2 4 2 3 3 2 4" xfId="54632"/>
    <cellStyle name="Output 2 4 2 3 3 3" xfId="2453"/>
    <cellStyle name="Output 2 4 2 3 3 3 2" xfId="36698"/>
    <cellStyle name="Output 2 4 2 3 3 3 3" xfId="46510"/>
    <cellStyle name="Output 2 4 2 3 3 3 4" xfId="54633"/>
    <cellStyle name="Output 2 4 2 3 3 4" xfId="19126"/>
    <cellStyle name="Output 2 4 2 3 3 4 2" xfId="37314"/>
    <cellStyle name="Output 2 4 2 3 3 4 3" xfId="46511"/>
    <cellStyle name="Output 2 4 2 3 3 4 4" xfId="54634"/>
    <cellStyle name="Output 2 4 2 3 3 5" xfId="19127"/>
    <cellStyle name="Output 2 4 2 3 3 5 2" xfId="37930"/>
    <cellStyle name="Output 2 4 2 3 3 5 3" xfId="46512"/>
    <cellStyle name="Output 2 4 2 3 3 5 4" xfId="54635"/>
    <cellStyle name="Output 2 4 2 3 3 6" xfId="38547"/>
    <cellStyle name="Output 2 4 2 3 3 6 2" xfId="46513"/>
    <cellStyle name="Output 2 4 2 3 3 6 3" xfId="54636"/>
    <cellStyle name="Output 2 4 2 3 3 7" xfId="39167"/>
    <cellStyle name="Output 2 4 2 3 3 7 2" xfId="46514"/>
    <cellStyle name="Output 2 4 2 3 3 7 3" xfId="54637"/>
    <cellStyle name="Output 2 4 2 3 3 8" xfId="39783"/>
    <cellStyle name="Output 2 4 2 3 3 8 2" xfId="46515"/>
    <cellStyle name="Output 2 4 2 3 3 8 3" xfId="54638"/>
    <cellStyle name="Output 2 4 2 3 3 9" xfId="40398"/>
    <cellStyle name="Output 2 4 2 3 3 9 2" xfId="46516"/>
    <cellStyle name="Output 2 4 2 3 3 9 3" xfId="54639"/>
    <cellStyle name="Output 2 4 2 3 4" xfId="2454"/>
    <cellStyle name="Output 2 4 2 3 4 10" xfId="46517"/>
    <cellStyle name="Output 2 4 2 3 4 11" xfId="54640"/>
    <cellStyle name="Output 2 4 2 3 4 2" xfId="19128"/>
    <cellStyle name="Output 2 4 2 3 4 2 2" xfId="46518"/>
    <cellStyle name="Output 2 4 2 3 4 2 3" xfId="54641"/>
    <cellStyle name="Output 2 4 2 3 4 3" xfId="19129"/>
    <cellStyle name="Output 2 4 2 3 4 3 2" xfId="46519"/>
    <cellStyle name="Output 2 4 2 3 4 3 3" xfId="54642"/>
    <cellStyle name="Output 2 4 2 3 4 4" xfId="19130"/>
    <cellStyle name="Output 2 4 2 3 4 4 2" xfId="46520"/>
    <cellStyle name="Output 2 4 2 3 4 4 3" xfId="54643"/>
    <cellStyle name="Output 2 4 2 3 4 5" xfId="19131"/>
    <cellStyle name="Output 2 4 2 3 4 5 2" xfId="46521"/>
    <cellStyle name="Output 2 4 2 3 4 5 3" xfId="54644"/>
    <cellStyle name="Output 2 4 2 3 4 6" xfId="36483"/>
    <cellStyle name="Output 2 4 2 3 4 6 2" xfId="46522"/>
    <cellStyle name="Output 2 4 2 3 4 6 3" xfId="54645"/>
    <cellStyle name="Output 2 4 2 3 4 7" xfId="46523"/>
    <cellStyle name="Output 2 4 2 3 4 7 2" xfId="54646"/>
    <cellStyle name="Output 2 4 2 3 4 8" xfId="46524"/>
    <cellStyle name="Output 2 4 2 3 4 8 2" xfId="54647"/>
    <cellStyle name="Output 2 4 2 3 4 9" xfId="46525"/>
    <cellStyle name="Output 2 4 2 3 4 9 2" xfId="54648"/>
    <cellStyle name="Output 2 4 2 3 5" xfId="1326"/>
    <cellStyle name="Output 2 4 2 3 5 2" xfId="19132"/>
    <cellStyle name="Output 2 4 2 3 5 3" xfId="19133"/>
    <cellStyle name="Output 2 4 2 3 5 4" xfId="19134"/>
    <cellStyle name="Output 2 4 2 3 5 5" xfId="19135"/>
    <cellStyle name="Output 2 4 2 3 5 6" xfId="37099"/>
    <cellStyle name="Output 2 4 2 3 5 7" xfId="46526"/>
    <cellStyle name="Output 2 4 2 3 5 8" xfId="54649"/>
    <cellStyle name="Output 2 4 2 3 6" xfId="3394"/>
    <cellStyle name="Output 2 4 2 3 6 2" xfId="19136"/>
    <cellStyle name="Output 2 4 2 3 6 3" xfId="19137"/>
    <cellStyle name="Output 2 4 2 3 6 4" xfId="19138"/>
    <cellStyle name="Output 2 4 2 3 6 5" xfId="19139"/>
    <cellStyle name="Output 2 4 2 3 6 6" xfId="37713"/>
    <cellStyle name="Output 2 4 2 3 6 7" xfId="46527"/>
    <cellStyle name="Output 2 4 2 3 6 8" xfId="54650"/>
    <cellStyle name="Output 2 4 2 3 7" xfId="3716"/>
    <cellStyle name="Output 2 4 2 3 7 2" xfId="19140"/>
    <cellStyle name="Output 2 4 2 3 7 3" xfId="19141"/>
    <cellStyle name="Output 2 4 2 3 7 4" xfId="19142"/>
    <cellStyle name="Output 2 4 2 3 7 5" xfId="19143"/>
    <cellStyle name="Output 2 4 2 3 7 6" xfId="38328"/>
    <cellStyle name="Output 2 4 2 3 7 7" xfId="46528"/>
    <cellStyle name="Output 2 4 2 3 7 8" xfId="54651"/>
    <cellStyle name="Output 2 4 2 3 8" xfId="19144"/>
    <cellStyle name="Output 2 4 2 3 8 2" xfId="19145"/>
    <cellStyle name="Output 2 4 2 3 8 3" xfId="19146"/>
    <cellStyle name="Output 2 4 2 3 8 4" xfId="19147"/>
    <cellStyle name="Output 2 4 2 3 8 5" xfId="19148"/>
    <cellStyle name="Output 2 4 2 3 8 6" xfId="38948"/>
    <cellStyle name="Output 2 4 2 3 8 7" xfId="46529"/>
    <cellStyle name="Output 2 4 2 3 8 8" xfId="54652"/>
    <cellStyle name="Output 2 4 2 3 9" xfId="19149"/>
    <cellStyle name="Output 2 4 2 3 9 2" xfId="19150"/>
    <cellStyle name="Output 2 4 2 3 9 3" xfId="19151"/>
    <cellStyle name="Output 2 4 2 3 9 4" xfId="19152"/>
    <cellStyle name="Output 2 4 2 3 9 5" xfId="19153"/>
    <cellStyle name="Output 2 4 2 3 9 6" xfId="39567"/>
    <cellStyle name="Output 2 4 2 3 9 7" xfId="46530"/>
    <cellStyle name="Output 2 4 2 3 9 8" xfId="54653"/>
    <cellStyle name="Output 2 4 2 4" xfId="521"/>
    <cellStyle name="Output 2 4 2 4 10" xfId="19154"/>
    <cellStyle name="Output 2 4 2 4 10 2" xfId="19155"/>
    <cellStyle name="Output 2 4 2 4 10 3" xfId="19156"/>
    <cellStyle name="Output 2 4 2 4 10 4" xfId="19157"/>
    <cellStyle name="Output 2 4 2 4 10 5" xfId="19158"/>
    <cellStyle name="Output 2 4 2 4 10 6" xfId="46531"/>
    <cellStyle name="Output 2 4 2 4 10 7" xfId="54654"/>
    <cellStyle name="Output 2 4 2 4 11" xfId="19159"/>
    <cellStyle name="Output 2 4 2 4 11 2" xfId="19160"/>
    <cellStyle name="Output 2 4 2 4 11 3" xfId="19161"/>
    <cellStyle name="Output 2 4 2 4 11 4" xfId="19162"/>
    <cellStyle name="Output 2 4 2 4 11 5" xfId="19163"/>
    <cellStyle name="Output 2 4 2 4 12" xfId="19164"/>
    <cellStyle name="Output 2 4 2 4 12 2" xfId="19165"/>
    <cellStyle name="Output 2 4 2 4 12 3" xfId="19166"/>
    <cellStyle name="Output 2 4 2 4 12 4" xfId="19167"/>
    <cellStyle name="Output 2 4 2 4 12 5" xfId="19168"/>
    <cellStyle name="Output 2 4 2 4 13" xfId="19169"/>
    <cellStyle name="Output 2 4 2 4 13 2" xfId="19170"/>
    <cellStyle name="Output 2 4 2 4 13 3" xfId="19171"/>
    <cellStyle name="Output 2 4 2 4 13 4" xfId="19172"/>
    <cellStyle name="Output 2 4 2 4 13 5" xfId="19173"/>
    <cellStyle name="Output 2 4 2 4 14" xfId="19174"/>
    <cellStyle name="Output 2 4 2 4 14 2" xfId="19175"/>
    <cellStyle name="Output 2 4 2 4 14 3" xfId="19176"/>
    <cellStyle name="Output 2 4 2 4 14 4" xfId="19177"/>
    <cellStyle name="Output 2 4 2 4 14 5" xfId="19178"/>
    <cellStyle name="Output 2 4 2 4 15" xfId="19179"/>
    <cellStyle name="Output 2 4 2 4 15 2" xfId="19180"/>
    <cellStyle name="Output 2 4 2 4 15 3" xfId="19181"/>
    <cellStyle name="Output 2 4 2 4 15 4" xfId="19182"/>
    <cellStyle name="Output 2 4 2 4 15 5" xfId="19183"/>
    <cellStyle name="Output 2 4 2 4 16" xfId="19184"/>
    <cellStyle name="Output 2 4 2 4 16 2" xfId="19185"/>
    <cellStyle name="Output 2 4 2 4 16 3" xfId="19186"/>
    <cellStyle name="Output 2 4 2 4 16 4" xfId="19187"/>
    <cellStyle name="Output 2 4 2 4 16 5" xfId="19188"/>
    <cellStyle name="Output 2 4 2 4 17" xfId="19189"/>
    <cellStyle name="Output 2 4 2 4 17 2" xfId="19190"/>
    <cellStyle name="Output 2 4 2 4 17 3" xfId="19191"/>
    <cellStyle name="Output 2 4 2 4 17 4" xfId="19192"/>
    <cellStyle name="Output 2 4 2 4 17 5" xfId="19193"/>
    <cellStyle name="Output 2 4 2 4 18" xfId="19194"/>
    <cellStyle name="Output 2 4 2 4 18 2" xfId="19195"/>
    <cellStyle name="Output 2 4 2 4 18 3" xfId="19196"/>
    <cellStyle name="Output 2 4 2 4 18 4" xfId="19197"/>
    <cellStyle name="Output 2 4 2 4 18 5" xfId="19198"/>
    <cellStyle name="Output 2 4 2 4 19" xfId="19199"/>
    <cellStyle name="Output 2 4 2 4 2" xfId="2455"/>
    <cellStyle name="Output 2 4 2 4 2 2" xfId="19200"/>
    <cellStyle name="Output 2 4 2 4 2 3" xfId="19201"/>
    <cellStyle name="Output 2 4 2 4 2 4" xfId="19202"/>
    <cellStyle name="Output 2 4 2 4 2 5" xfId="19203"/>
    <cellStyle name="Output 2 4 2 4 2 6" xfId="36325"/>
    <cellStyle name="Output 2 4 2 4 2 7" xfId="46532"/>
    <cellStyle name="Output 2 4 2 4 2 8" xfId="54655"/>
    <cellStyle name="Output 2 4 2 4 20" xfId="950"/>
    <cellStyle name="Output 2 4 2 4 21" xfId="35030"/>
    <cellStyle name="Output 2 4 2 4 22" xfId="40739"/>
    <cellStyle name="Output 2 4 2 4 23" xfId="41249"/>
    <cellStyle name="Output 2 4 2 4 3" xfId="2456"/>
    <cellStyle name="Output 2 4 2 4 3 2" xfId="19204"/>
    <cellStyle name="Output 2 4 2 4 3 3" xfId="19205"/>
    <cellStyle name="Output 2 4 2 4 3 4" xfId="19206"/>
    <cellStyle name="Output 2 4 2 4 3 5" xfId="19207"/>
    <cellStyle name="Output 2 4 2 4 3 6" xfId="36822"/>
    <cellStyle name="Output 2 4 2 4 3 7" xfId="46533"/>
    <cellStyle name="Output 2 4 2 4 3 8" xfId="54656"/>
    <cellStyle name="Output 2 4 2 4 4" xfId="1328"/>
    <cellStyle name="Output 2 4 2 4 4 2" xfId="19208"/>
    <cellStyle name="Output 2 4 2 4 4 3" xfId="19209"/>
    <cellStyle name="Output 2 4 2 4 4 4" xfId="19210"/>
    <cellStyle name="Output 2 4 2 4 4 5" xfId="19211"/>
    <cellStyle name="Output 2 4 2 4 4 6" xfId="37438"/>
    <cellStyle name="Output 2 4 2 4 4 7" xfId="46534"/>
    <cellStyle name="Output 2 4 2 4 4 8" xfId="54657"/>
    <cellStyle name="Output 2 4 2 4 5" xfId="3396"/>
    <cellStyle name="Output 2 4 2 4 5 2" xfId="19212"/>
    <cellStyle name="Output 2 4 2 4 5 3" xfId="19213"/>
    <cellStyle name="Output 2 4 2 4 5 4" xfId="19214"/>
    <cellStyle name="Output 2 4 2 4 5 5" xfId="19215"/>
    <cellStyle name="Output 2 4 2 4 5 6" xfId="38054"/>
    <cellStyle name="Output 2 4 2 4 5 7" xfId="46535"/>
    <cellStyle name="Output 2 4 2 4 5 8" xfId="54658"/>
    <cellStyle name="Output 2 4 2 4 6" xfId="3718"/>
    <cellStyle name="Output 2 4 2 4 6 2" xfId="19216"/>
    <cellStyle name="Output 2 4 2 4 6 3" xfId="19217"/>
    <cellStyle name="Output 2 4 2 4 6 4" xfId="19218"/>
    <cellStyle name="Output 2 4 2 4 6 5" xfId="19219"/>
    <cellStyle name="Output 2 4 2 4 6 6" xfId="38672"/>
    <cellStyle name="Output 2 4 2 4 6 7" xfId="46536"/>
    <cellStyle name="Output 2 4 2 4 6 8" xfId="54659"/>
    <cellStyle name="Output 2 4 2 4 7" xfId="19220"/>
    <cellStyle name="Output 2 4 2 4 7 2" xfId="19221"/>
    <cellStyle name="Output 2 4 2 4 7 3" xfId="19222"/>
    <cellStyle name="Output 2 4 2 4 7 4" xfId="19223"/>
    <cellStyle name="Output 2 4 2 4 7 5" xfId="19224"/>
    <cellStyle name="Output 2 4 2 4 7 6" xfId="39292"/>
    <cellStyle name="Output 2 4 2 4 7 7" xfId="46537"/>
    <cellStyle name="Output 2 4 2 4 7 8" xfId="54660"/>
    <cellStyle name="Output 2 4 2 4 8" xfId="19225"/>
    <cellStyle name="Output 2 4 2 4 8 2" xfId="19226"/>
    <cellStyle name="Output 2 4 2 4 8 3" xfId="19227"/>
    <cellStyle name="Output 2 4 2 4 8 4" xfId="19228"/>
    <cellStyle name="Output 2 4 2 4 8 5" xfId="19229"/>
    <cellStyle name="Output 2 4 2 4 8 6" xfId="39908"/>
    <cellStyle name="Output 2 4 2 4 8 7" xfId="46538"/>
    <cellStyle name="Output 2 4 2 4 8 8" xfId="54661"/>
    <cellStyle name="Output 2 4 2 4 9" xfId="19230"/>
    <cellStyle name="Output 2 4 2 4 9 2" xfId="19231"/>
    <cellStyle name="Output 2 4 2 4 9 3" xfId="19232"/>
    <cellStyle name="Output 2 4 2 4 9 4" xfId="19233"/>
    <cellStyle name="Output 2 4 2 4 9 5" xfId="19234"/>
    <cellStyle name="Output 2 4 2 4 9 6" xfId="40523"/>
    <cellStyle name="Output 2 4 2 4 9 7" xfId="46539"/>
    <cellStyle name="Output 2 4 2 4 9 8" xfId="54662"/>
    <cellStyle name="Output 2 4 2 5" xfId="2457"/>
    <cellStyle name="Output 2 4 2 5 10" xfId="34778"/>
    <cellStyle name="Output 2 4 2 5 10 2" xfId="46541"/>
    <cellStyle name="Output 2 4 2 5 10 3" xfId="54664"/>
    <cellStyle name="Output 2 4 2 5 11" xfId="41035"/>
    <cellStyle name="Output 2 4 2 5 12" xfId="46540"/>
    <cellStyle name="Output 2 4 2 5 13" xfId="54663"/>
    <cellStyle name="Output 2 4 2 5 2" xfId="2458"/>
    <cellStyle name="Output 2 4 2 5 2 2" xfId="36112"/>
    <cellStyle name="Output 2 4 2 5 2 3" xfId="46542"/>
    <cellStyle name="Output 2 4 2 5 2 4" xfId="54665"/>
    <cellStyle name="Output 2 4 2 5 3" xfId="2459"/>
    <cellStyle name="Output 2 4 2 5 3 2" xfId="36611"/>
    <cellStyle name="Output 2 4 2 5 3 3" xfId="46543"/>
    <cellStyle name="Output 2 4 2 5 3 4" xfId="54666"/>
    <cellStyle name="Output 2 4 2 5 4" xfId="19235"/>
    <cellStyle name="Output 2 4 2 5 4 2" xfId="37227"/>
    <cellStyle name="Output 2 4 2 5 4 3" xfId="46544"/>
    <cellStyle name="Output 2 4 2 5 4 4" xfId="54667"/>
    <cellStyle name="Output 2 4 2 5 5" xfId="19236"/>
    <cellStyle name="Output 2 4 2 5 5 2" xfId="37843"/>
    <cellStyle name="Output 2 4 2 5 5 3" xfId="46545"/>
    <cellStyle name="Output 2 4 2 5 5 4" xfId="54668"/>
    <cellStyle name="Output 2 4 2 5 6" xfId="38458"/>
    <cellStyle name="Output 2 4 2 5 6 2" xfId="46546"/>
    <cellStyle name="Output 2 4 2 5 6 3" xfId="54669"/>
    <cellStyle name="Output 2 4 2 5 7" xfId="39078"/>
    <cellStyle name="Output 2 4 2 5 7 2" xfId="46547"/>
    <cellStyle name="Output 2 4 2 5 7 3" xfId="54670"/>
    <cellStyle name="Output 2 4 2 5 8" xfId="39694"/>
    <cellStyle name="Output 2 4 2 5 8 2" xfId="46548"/>
    <cellStyle name="Output 2 4 2 5 8 3" xfId="54671"/>
    <cellStyle name="Output 2 4 2 5 9" xfId="40309"/>
    <cellStyle name="Output 2 4 2 5 9 2" xfId="46549"/>
    <cellStyle name="Output 2 4 2 5 9 3" xfId="54672"/>
    <cellStyle name="Output 2 4 2 6" xfId="1323"/>
    <cellStyle name="Output 2 4 2 6 10" xfId="46550"/>
    <cellStyle name="Output 2 4 2 6 11" xfId="54673"/>
    <cellStyle name="Output 2 4 2 6 2" xfId="19237"/>
    <cellStyle name="Output 2 4 2 6 2 2" xfId="46551"/>
    <cellStyle name="Output 2 4 2 6 2 3" xfId="54674"/>
    <cellStyle name="Output 2 4 2 6 3" xfId="19238"/>
    <cellStyle name="Output 2 4 2 6 3 2" xfId="46552"/>
    <cellStyle name="Output 2 4 2 6 3 3" xfId="54675"/>
    <cellStyle name="Output 2 4 2 6 4" xfId="19239"/>
    <cellStyle name="Output 2 4 2 6 4 2" xfId="46553"/>
    <cellStyle name="Output 2 4 2 6 4 3" xfId="54676"/>
    <cellStyle name="Output 2 4 2 6 5" xfId="19240"/>
    <cellStyle name="Output 2 4 2 6 5 2" xfId="46554"/>
    <cellStyle name="Output 2 4 2 6 5 3" xfId="54677"/>
    <cellStyle name="Output 2 4 2 6 6" xfId="35430"/>
    <cellStyle name="Output 2 4 2 6 6 2" xfId="46555"/>
    <cellStyle name="Output 2 4 2 6 6 3" xfId="54678"/>
    <cellStyle name="Output 2 4 2 6 7" xfId="46556"/>
    <cellStyle name="Output 2 4 2 6 7 2" xfId="54679"/>
    <cellStyle name="Output 2 4 2 6 8" xfId="46557"/>
    <cellStyle name="Output 2 4 2 6 8 2" xfId="54680"/>
    <cellStyle name="Output 2 4 2 6 9" xfId="46558"/>
    <cellStyle name="Output 2 4 2 6 9 2" xfId="54681"/>
    <cellStyle name="Output 2 4 2 7" xfId="3391"/>
    <cellStyle name="Output 2 4 2 7 2" xfId="19241"/>
    <cellStyle name="Output 2 4 2 7 3" xfId="19242"/>
    <cellStyle name="Output 2 4 2 7 4" xfId="19243"/>
    <cellStyle name="Output 2 4 2 7 5" xfId="19244"/>
    <cellStyle name="Output 2 4 2 7 6" xfId="35962"/>
    <cellStyle name="Output 2 4 2 7 7" xfId="46559"/>
    <cellStyle name="Output 2 4 2 7 8" xfId="54682"/>
    <cellStyle name="Output 2 4 2 8" xfId="3713"/>
    <cellStyle name="Output 2 4 2 8 2" xfId="19245"/>
    <cellStyle name="Output 2 4 2 8 3" xfId="19246"/>
    <cellStyle name="Output 2 4 2 8 4" xfId="19247"/>
    <cellStyle name="Output 2 4 2 8 5" xfId="19248"/>
    <cellStyle name="Output 2 4 2 8 6" xfId="35814"/>
    <cellStyle name="Output 2 4 2 8 7" xfId="46560"/>
    <cellStyle name="Output 2 4 2 8 8" xfId="54683"/>
    <cellStyle name="Output 2 4 2 9" xfId="19249"/>
    <cellStyle name="Output 2 4 2 9 2" xfId="19250"/>
    <cellStyle name="Output 2 4 2 9 3" xfId="19251"/>
    <cellStyle name="Output 2 4 2 9 4" xfId="19252"/>
    <cellStyle name="Output 2 4 2 9 5" xfId="19253"/>
    <cellStyle name="Output 2 4 2 9 6" xfId="37007"/>
    <cellStyle name="Output 2 4 2 9 7" xfId="46561"/>
    <cellStyle name="Output 2 4 2 9 8" xfId="54684"/>
    <cellStyle name="Output 2 4 20" xfId="19254"/>
    <cellStyle name="Output 2 4 21" xfId="702"/>
    <cellStyle name="Output 2 4 22" xfId="34898"/>
    <cellStyle name="Output 2 4 23" xfId="40786"/>
    <cellStyle name="Output 2 4 3" xfId="292"/>
    <cellStyle name="Output 2 4 3 10" xfId="19255"/>
    <cellStyle name="Output 2 4 3 10 2" xfId="19256"/>
    <cellStyle name="Output 2 4 3 10 3" xfId="19257"/>
    <cellStyle name="Output 2 4 3 10 4" xfId="19258"/>
    <cellStyle name="Output 2 4 3 10 5" xfId="19259"/>
    <cellStyle name="Output 2 4 3 10 6" xfId="37620"/>
    <cellStyle name="Output 2 4 3 10 7" xfId="46562"/>
    <cellStyle name="Output 2 4 3 10 8" xfId="54685"/>
    <cellStyle name="Output 2 4 3 11" xfId="19260"/>
    <cellStyle name="Output 2 4 3 11 2" xfId="19261"/>
    <cellStyle name="Output 2 4 3 11 3" xfId="19262"/>
    <cellStyle name="Output 2 4 3 11 4" xfId="19263"/>
    <cellStyle name="Output 2 4 3 11 5" xfId="19264"/>
    <cellStyle name="Output 2 4 3 11 6" xfId="38237"/>
    <cellStyle name="Output 2 4 3 11 7" xfId="46563"/>
    <cellStyle name="Output 2 4 3 11 8" xfId="54686"/>
    <cellStyle name="Output 2 4 3 12" xfId="19265"/>
    <cellStyle name="Output 2 4 3 12 2" xfId="19266"/>
    <cellStyle name="Output 2 4 3 12 3" xfId="19267"/>
    <cellStyle name="Output 2 4 3 12 4" xfId="19268"/>
    <cellStyle name="Output 2 4 3 12 5" xfId="19269"/>
    <cellStyle name="Output 2 4 3 12 6" xfId="38859"/>
    <cellStyle name="Output 2 4 3 12 7" xfId="46564"/>
    <cellStyle name="Output 2 4 3 12 8" xfId="54687"/>
    <cellStyle name="Output 2 4 3 13" xfId="19270"/>
    <cellStyle name="Output 2 4 3 13 2" xfId="19271"/>
    <cellStyle name="Output 2 4 3 13 3" xfId="19272"/>
    <cellStyle name="Output 2 4 3 13 4" xfId="19273"/>
    <cellStyle name="Output 2 4 3 13 5" xfId="19274"/>
    <cellStyle name="Output 2 4 3 13 6" xfId="39479"/>
    <cellStyle name="Output 2 4 3 13 7" xfId="46565"/>
    <cellStyle name="Output 2 4 3 13 8" xfId="54688"/>
    <cellStyle name="Output 2 4 3 14" xfId="19275"/>
    <cellStyle name="Output 2 4 3 14 2" xfId="19276"/>
    <cellStyle name="Output 2 4 3 14 3" xfId="19277"/>
    <cellStyle name="Output 2 4 3 14 4" xfId="19278"/>
    <cellStyle name="Output 2 4 3 14 5" xfId="19279"/>
    <cellStyle name="Output 2 4 3 14 6" xfId="40097"/>
    <cellStyle name="Output 2 4 3 14 7" xfId="46566"/>
    <cellStyle name="Output 2 4 3 14 8" xfId="54689"/>
    <cellStyle name="Output 2 4 3 15" xfId="19280"/>
    <cellStyle name="Output 2 4 3 15 2" xfId="19281"/>
    <cellStyle name="Output 2 4 3 15 3" xfId="19282"/>
    <cellStyle name="Output 2 4 3 15 4" xfId="19283"/>
    <cellStyle name="Output 2 4 3 15 5" xfId="19284"/>
    <cellStyle name="Output 2 4 3 15 6" xfId="46567"/>
    <cellStyle name="Output 2 4 3 15 7" xfId="54690"/>
    <cellStyle name="Output 2 4 3 16" xfId="19285"/>
    <cellStyle name="Output 2 4 3 16 2" xfId="19286"/>
    <cellStyle name="Output 2 4 3 16 3" xfId="19287"/>
    <cellStyle name="Output 2 4 3 16 4" xfId="19288"/>
    <cellStyle name="Output 2 4 3 16 5" xfId="19289"/>
    <cellStyle name="Output 2 4 3 17" xfId="19290"/>
    <cellStyle name="Output 2 4 3 17 2" xfId="19291"/>
    <cellStyle name="Output 2 4 3 17 3" xfId="19292"/>
    <cellStyle name="Output 2 4 3 17 4" xfId="19293"/>
    <cellStyle name="Output 2 4 3 17 5" xfId="19294"/>
    <cellStyle name="Output 2 4 3 18" xfId="19295"/>
    <cellStyle name="Output 2 4 3 19" xfId="737"/>
    <cellStyle name="Output 2 4 3 2" xfId="390"/>
    <cellStyle name="Output 2 4 3 2 10" xfId="19296"/>
    <cellStyle name="Output 2 4 3 2 10 2" xfId="19297"/>
    <cellStyle name="Output 2 4 3 2 10 3" xfId="19298"/>
    <cellStyle name="Output 2 4 3 2 10 4" xfId="19299"/>
    <cellStyle name="Output 2 4 3 2 10 5" xfId="19300"/>
    <cellStyle name="Output 2 4 3 2 10 6" xfId="39568"/>
    <cellStyle name="Output 2 4 3 2 10 7" xfId="46568"/>
    <cellStyle name="Output 2 4 3 2 10 8" xfId="54691"/>
    <cellStyle name="Output 2 4 3 2 11" xfId="19301"/>
    <cellStyle name="Output 2 4 3 2 11 2" xfId="19302"/>
    <cellStyle name="Output 2 4 3 2 11 3" xfId="19303"/>
    <cellStyle name="Output 2 4 3 2 11 4" xfId="19304"/>
    <cellStyle name="Output 2 4 3 2 11 5" xfId="19305"/>
    <cellStyle name="Output 2 4 3 2 11 6" xfId="40184"/>
    <cellStyle name="Output 2 4 3 2 11 7" xfId="46569"/>
    <cellStyle name="Output 2 4 3 2 11 8" xfId="54692"/>
    <cellStyle name="Output 2 4 3 2 12" xfId="19306"/>
    <cellStyle name="Output 2 4 3 2 12 2" xfId="19307"/>
    <cellStyle name="Output 2 4 3 2 12 3" xfId="19308"/>
    <cellStyle name="Output 2 4 3 2 12 4" xfId="19309"/>
    <cellStyle name="Output 2 4 3 2 12 5" xfId="19310"/>
    <cellStyle name="Output 2 4 3 2 12 6" xfId="46570"/>
    <cellStyle name="Output 2 4 3 2 12 7" xfId="54693"/>
    <cellStyle name="Output 2 4 3 2 13" xfId="19311"/>
    <cellStyle name="Output 2 4 3 2 13 2" xfId="19312"/>
    <cellStyle name="Output 2 4 3 2 13 3" xfId="19313"/>
    <cellStyle name="Output 2 4 3 2 13 4" xfId="19314"/>
    <cellStyle name="Output 2 4 3 2 13 5" xfId="19315"/>
    <cellStyle name="Output 2 4 3 2 13 6" xfId="46571"/>
    <cellStyle name="Output 2 4 3 2 13 7" xfId="54694"/>
    <cellStyle name="Output 2 4 3 2 14" xfId="19316"/>
    <cellStyle name="Output 2 4 3 2 14 2" xfId="19317"/>
    <cellStyle name="Output 2 4 3 2 14 3" xfId="19318"/>
    <cellStyle name="Output 2 4 3 2 14 4" xfId="19319"/>
    <cellStyle name="Output 2 4 3 2 14 5" xfId="19320"/>
    <cellStyle name="Output 2 4 3 2 15" xfId="19321"/>
    <cellStyle name="Output 2 4 3 2 15 2" xfId="19322"/>
    <cellStyle name="Output 2 4 3 2 15 3" xfId="19323"/>
    <cellStyle name="Output 2 4 3 2 15 4" xfId="19324"/>
    <cellStyle name="Output 2 4 3 2 15 5" xfId="19325"/>
    <cellStyle name="Output 2 4 3 2 16" xfId="19326"/>
    <cellStyle name="Output 2 4 3 2 16 2" xfId="19327"/>
    <cellStyle name="Output 2 4 3 2 16 3" xfId="19328"/>
    <cellStyle name="Output 2 4 3 2 16 4" xfId="19329"/>
    <cellStyle name="Output 2 4 3 2 16 5" xfId="19330"/>
    <cellStyle name="Output 2 4 3 2 17" xfId="19331"/>
    <cellStyle name="Output 2 4 3 2 17 2" xfId="19332"/>
    <cellStyle name="Output 2 4 3 2 17 3" xfId="19333"/>
    <cellStyle name="Output 2 4 3 2 17 4" xfId="19334"/>
    <cellStyle name="Output 2 4 3 2 17 5" xfId="19335"/>
    <cellStyle name="Output 2 4 3 2 18" xfId="19336"/>
    <cellStyle name="Output 2 4 3 2 18 2" xfId="19337"/>
    <cellStyle name="Output 2 4 3 2 18 3" xfId="19338"/>
    <cellStyle name="Output 2 4 3 2 18 4" xfId="19339"/>
    <cellStyle name="Output 2 4 3 2 18 5" xfId="19340"/>
    <cellStyle name="Output 2 4 3 2 19" xfId="19341"/>
    <cellStyle name="Output 2 4 3 2 2" xfId="609"/>
    <cellStyle name="Output 2 4 3 2 2 10" xfId="19342"/>
    <cellStyle name="Output 2 4 3 2 2 10 2" xfId="19343"/>
    <cellStyle name="Output 2 4 3 2 2 10 3" xfId="19344"/>
    <cellStyle name="Output 2 4 3 2 2 10 4" xfId="19345"/>
    <cellStyle name="Output 2 4 3 2 2 10 5" xfId="19346"/>
    <cellStyle name="Output 2 4 3 2 2 10 6" xfId="46572"/>
    <cellStyle name="Output 2 4 3 2 2 10 7" xfId="54695"/>
    <cellStyle name="Output 2 4 3 2 2 11" xfId="19347"/>
    <cellStyle name="Output 2 4 3 2 2 11 2" xfId="19348"/>
    <cellStyle name="Output 2 4 3 2 2 11 3" xfId="19349"/>
    <cellStyle name="Output 2 4 3 2 2 11 4" xfId="19350"/>
    <cellStyle name="Output 2 4 3 2 2 11 5" xfId="19351"/>
    <cellStyle name="Output 2 4 3 2 2 12" xfId="19352"/>
    <cellStyle name="Output 2 4 3 2 2 12 2" xfId="19353"/>
    <cellStyle name="Output 2 4 3 2 2 12 3" xfId="19354"/>
    <cellStyle name="Output 2 4 3 2 2 12 4" xfId="19355"/>
    <cellStyle name="Output 2 4 3 2 2 12 5" xfId="19356"/>
    <cellStyle name="Output 2 4 3 2 2 13" xfId="19357"/>
    <cellStyle name="Output 2 4 3 2 2 13 2" xfId="19358"/>
    <cellStyle name="Output 2 4 3 2 2 13 3" xfId="19359"/>
    <cellStyle name="Output 2 4 3 2 2 13 4" xfId="19360"/>
    <cellStyle name="Output 2 4 3 2 2 13 5" xfId="19361"/>
    <cellStyle name="Output 2 4 3 2 2 14" xfId="19362"/>
    <cellStyle name="Output 2 4 3 2 2 14 2" xfId="19363"/>
    <cellStyle name="Output 2 4 3 2 2 14 3" xfId="19364"/>
    <cellStyle name="Output 2 4 3 2 2 14 4" xfId="19365"/>
    <cellStyle name="Output 2 4 3 2 2 14 5" xfId="19366"/>
    <cellStyle name="Output 2 4 3 2 2 15" xfId="19367"/>
    <cellStyle name="Output 2 4 3 2 2 15 2" xfId="19368"/>
    <cellStyle name="Output 2 4 3 2 2 15 3" xfId="19369"/>
    <cellStyle name="Output 2 4 3 2 2 15 4" xfId="19370"/>
    <cellStyle name="Output 2 4 3 2 2 15 5" xfId="19371"/>
    <cellStyle name="Output 2 4 3 2 2 16" xfId="19372"/>
    <cellStyle name="Output 2 4 3 2 2 16 2" xfId="19373"/>
    <cellStyle name="Output 2 4 3 2 2 16 3" xfId="19374"/>
    <cellStyle name="Output 2 4 3 2 2 16 4" xfId="19375"/>
    <cellStyle name="Output 2 4 3 2 2 16 5" xfId="19376"/>
    <cellStyle name="Output 2 4 3 2 2 17" xfId="19377"/>
    <cellStyle name="Output 2 4 3 2 2 17 2" xfId="19378"/>
    <cellStyle name="Output 2 4 3 2 2 17 3" xfId="19379"/>
    <cellStyle name="Output 2 4 3 2 2 17 4" xfId="19380"/>
    <cellStyle name="Output 2 4 3 2 2 17 5" xfId="19381"/>
    <cellStyle name="Output 2 4 3 2 2 18" xfId="19382"/>
    <cellStyle name="Output 2 4 3 2 2 18 2" xfId="19383"/>
    <cellStyle name="Output 2 4 3 2 2 18 3" xfId="19384"/>
    <cellStyle name="Output 2 4 3 2 2 18 4" xfId="19385"/>
    <cellStyle name="Output 2 4 3 2 2 18 5" xfId="19386"/>
    <cellStyle name="Output 2 4 3 2 2 19" xfId="19387"/>
    <cellStyle name="Output 2 4 3 2 2 2" xfId="2460"/>
    <cellStyle name="Output 2 4 3 2 2 2 2" xfId="19388"/>
    <cellStyle name="Output 2 4 3 2 2 2 3" xfId="19389"/>
    <cellStyle name="Output 2 4 3 2 2 2 4" xfId="19390"/>
    <cellStyle name="Output 2 4 3 2 2 2 5" xfId="19391"/>
    <cellStyle name="Output 2 4 3 2 2 2 6" xfId="36413"/>
    <cellStyle name="Output 2 4 3 2 2 2 7" xfId="46573"/>
    <cellStyle name="Output 2 4 3 2 2 2 8" xfId="54696"/>
    <cellStyle name="Output 2 4 3 2 2 20" xfId="1038"/>
    <cellStyle name="Output 2 4 3 2 2 21" xfId="35118"/>
    <cellStyle name="Output 2 4 3 2 2 22" xfId="41337"/>
    <cellStyle name="Output 2 4 3 2 2 3" xfId="2461"/>
    <cellStyle name="Output 2 4 3 2 2 3 2" xfId="19392"/>
    <cellStyle name="Output 2 4 3 2 2 3 3" xfId="19393"/>
    <cellStyle name="Output 2 4 3 2 2 3 4" xfId="19394"/>
    <cellStyle name="Output 2 4 3 2 2 3 5" xfId="19395"/>
    <cellStyle name="Output 2 4 3 2 2 3 6" xfId="36910"/>
    <cellStyle name="Output 2 4 3 2 2 3 7" xfId="46574"/>
    <cellStyle name="Output 2 4 3 2 2 3 8" xfId="54697"/>
    <cellStyle name="Output 2 4 3 2 2 4" xfId="1331"/>
    <cellStyle name="Output 2 4 3 2 2 4 2" xfId="19396"/>
    <cellStyle name="Output 2 4 3 2 2 4 3" xfId="19397"/>
    <cellStyle name="Output 2 4 3 2 2 4 4" xfId="19398"/>
    <cellStyle name="Output 2 4 3 2 2 4 5" xfId="19399"/>
    <cellStyle name="Output 2 4 3 2 2 4 6" xfId="37526"/>
    <cellStyle name="Output 2 4 3 2 2 4 7" xfId="46575"/>
    <cellStyle name="Output 2 4 3 2 2 4 8" xfId="54698"/>
    <cellStyle name="Output 2 4 3 2 2 5" xfId="3399"/>
    <cellStyle name="Output 2 4 3 2 2 5 2" xfId="19400"/>
    <cellStyle name="Output 2 4 3 2 2 5 3" xfId="19401"/>
    <cellStyle name="Output 2 4 3 2 2 5 4" xfId="19402"/>
    <cellStyle name="Output 2 4 3 2 2 5 5" xfId="19403"/>
    <cellStyle name="Output 2 4 3 2 2 5 6" xfId="38142"/>
    <cellStyle name="Output 2 4 3 2 2 5 7" xfId="46576"/>
    <cellStyle name="Output 2 4 3 2 2 5 8" xfId="54699"/>
    <cellStyle name="Output 2 4 3 2 2 6" xfId="3721"/>
    <cellStyle name="Output 2 4 3 2 2 6 2" xfId="19404"/>
    <cellStyle name="Output 2 4 3 2 2 6 3" xfId="19405"/>
    <cellStyle name="Output 2 4 3 2 2 6 4" xfId="19406"/>
    <cellStyle name="Output 2 4 3 2 2 6 5" xfId="19407"/>
    <cellStyle name="Output 2 4 3 2 2 6 6" xfId="38760"/>
    <cellStyle name="Output 2 4 3 2 2 6 7" xfId="46577"/>
    <cellStyle name="Output 2 4 3 2 2 6 8" xfId="54700"/>
    <cellStyle name="Output 2 4 3 2 2 7" xfId="19408"/>
    <cellStyle name="Output 2 4 3 2 2 7 2" xfId="19409"/>
    <cellStyle name="Output 2 4 3 2 2 7 3" xfId="19410"/>
    <cellStyle name="Output 2 4 3 2 2 7 4" xfId="19411"/>
    <cellStyle name="Output 2 4 3 2 2 7 5" xfId="19412"/>
    <cellStyle name="Output 2 4 3 2 2 7 6" xfId="39380"/>
    <cellStyle name="Output 2 4 3 2 2 7 7" xfId="46578"/>
    <cellStyle name="Output 2 4 3 2 2 7 8" xfId="54701"/>
    <cellStyle name="Output 2 4 3 2 2 8" xfId="19413"/>
    <cellStyle name="Output 2 4 3 2 2 8 2" xfId="19414"/>
    <cellStyle name="Output 2 4 3 2 2 8 3" xfId="19415"/>
    <cellStyle name="Output 2 4 3 2 2 8 4" xfId="19416"/>
    <cellStyle name="Output 2 4 3 2 2 8 5" xfId="19417"/>
    <cellStyle name="Output 2 4 3 2 2 8 6" xfId="39996"/>
    <cellStyle name="Output 2 4 3 2 2 8 7" xfId="46579"/>
    <cellStyle name="Output 2 4 3 2 2 8 8" xfId="54702"/>
    <cellStyle name="Output 2 4 3 2 2 9" xfId="19418"/>
    <cellStyle name="Output 2 4 3 2 2 9 2" xfId="19419"/>
    <cellStyle name="Output 2 4 3 2 2 9 3" xfId="19420"/>
    <cellStyle name="Output 2 4 3 2 2 9 4" xfId="19421"/>
    <cellStyle name="Output 2 4 3 2 2 9 5" xfId="19422"/>
    <cellStyle name="Output 2 4 3 2 2 9 6" xfId="40611"/>
    <cellStyle name="Output 2 4 3 2 2 9 7" xfId="46580"/>
    <cellStyle name="Output 2 4 3 2 2 9 8" xfId="54703"/>
    <cellStyle name="Output 2 4 3 2 20" xfId="826"/>
    <cellStyle name="Output 2 4 3 2 21" xfId="34707"/>
    <cellStyle name="Output 2 4 3 2 22" xfId="40910"/>
    <cellStyle name="Output 2 4 3 2 23" xfId="41471"/>
    <cellStyle name="Output 2 4 3 2 24" xfId="50558"/>
    <cellStyle name="Output 2 4 3 2 3" xfId="2462"/>
    <cellStyle name="Output 2 4 3 2 3 10" xfId="34752"/>
    <cellStyle name="Output 2 4 3 2 3 10 2" xfId="46582"/>
    <cellStyle name="Output 2 4 3 2 3 10 3" xfId="54705"/>
    <cellStyle name="Output 2 4 3 2 3 11" xfId="41125"/>
    <cellStyle name="Output 2 4 3 2 3 12" xfId="46581"/>
    <cellStyle name="Output 2 4 3 2 3 13" xfId="54704"/>
    <cellStyle name="Output 2 4 3 2 3 2" xfId="2463"/>
    <cellStyle name="Output 2 4 3 2 3 2 2" xfId="36202"/>
    <cellStyle name="Output 2 4 3 2 3 2 3" xfId="46583"/>
    <cellStyle name="Output 2 4 3 2 3 2 4" xfId="54706"/>
    <cellStyle name="Output 2 4 3 2 3 3" xfId="2464"/>
    <cellStyle name="Output 2 4 3 2 3 3 2" xfId="36699"/>
    <cellStyle name="Output 2 4 3 2 3 3 3" xfId="46584"/>
    <cellStyle name="Output 2 4 3 2 3 3 4" xfId="54707"/>
    <cellStyle name="Output 2 4 3 2 3 4" xfId="19423"/>
    <cellStyle name="Output 2 4 3 2 3 4 2" xfId="37315"/>
    <cellStyle name="Output 2 4 3 2 3 4 3" xfId="46585"/>
    <cellStyle name="Output 2 4 3 2 3 4 4" xfId="54708"/>
    <cellStyle name="Output 2 4 3 2 3 5" xfId="19424"/>
    <cellStyle name="Output 2 4 3 2 3 5 2" xfId="37931"/>
    <cellStyle name="Output 2 4 3 2 3 5 3" xfId="46586"/>
    <cellStyle name="Output 2 4 3 2 3 5 4" xfId="54709"/>
    <cellStyle name="Output 2 4 3 2 3 6" xfId="38548"/>
    <cellStyle name="Output 2 4 3 2 3 6 2" xfId="46587"/>
    <cellStyle name="Output 2 4 3 2 3 6 3" xfId="54710"/>
    <cellStyle name="Output 2 4 3 2 3 7" xfId="39168"/>
    <cellStyle name="Output 2 4 3 2 3 7 2" xfId="46588"/>
    <cellStyle name="Output 2 4 3 2 3 7 3" xfId="54711"/>
    <cellStyle name="Output 2 4 3 2 3 8" xfId="39784"/>
    <cellStyle name="Output 2 4 3 2 3 8 2" xfId="46589"/>
    <cellStyle name="Output 2 4 3 2 3 8 3" xfId="54712"/>
    <cellStyle name="Output 2 4 3 2 3 9" xfId="40399"/>
    <cellStyle name="Output 2 4 3 2 3 9 2" xfId="46590"/>
    <cellStyle name="Output 2 4 3 2 3 9 3" xfId="54713"/>
    <cellStyle name="Output 2 4 3 2 4" xfId="2465"/>
    <cellStyle name="Output 2 4 3 2 4 10" xfId="46591"/>
    <cellStyle name="Output 2 4 3 2 4 11" xfId="54714"/>
    <cellStyle name="Output 2 4 3 2 4 2" xfId="19425"/>
    <cellStyle name="Output 2 4 3 2 4 2 2" xfId="46592"/>
    <cellStyle name="Output 2 4 3 2 4 2 3" xfId="54715"/>
    <cellStyle name="Output 2 4 3 2 4 3" xfId="19426"/>
    <cellStyle name="Output 2 4 3 2 4 3 2" xfId="46593"/>
    <cellStyle name="Output 2 4 3 2 4 3 3" xfId="54716"/>
    <cellStyle name="Output 2 4 3 2 4 4" xfId="19427"/>
    <cellStyle name="Output 2 4 3 2 4 4 2" xfId="46594"/>
    <cellStyle name="Output 2 4 3 2 4 4 3" xfId="54717"/>
    <cellStyle name="Output 2 4 3 2 4 5" xfId="19428"/>
    <cellStyle name="Output 2 4 3 2 4 5 2" xfId="46595"/>
    <cellStyle name="Output 2 4 3 2 4 5 3" xfId="54718"/>
    <cellStyle name="Output 2 4 3 2 4 6" xfId="35700"/>
    <cellStyle name="Output 2 4 3 2 4 6 2" xfId="46596"/>
    <cellStyle name="Output 2 4 3 2 4 6 3" xfId="54719"/>
    <cellStyle name="Output 2 4 3 2 4 7" xfId="46597"/>
    <cellStyle name="Output 2 4 3 2 4 7 2" xfId="54720"/>
    <cellStyle name="Output 2 4 3 2 4 8" xfId="46598"/>
    <cellStyle name="Output 2 4 3 2 4 8 2" xfId="54721"/>
    <cellStyle name="Output 2 4 3 2 4 9" xfId="46599"/>
    <cellStyle name="Output 2 4 3 2 4 9 2" xfId="54722"/>
    <cellStyle name="Output 2 4 3 2 5" xfId="1330"/>
    <cellStyle name="Output 2 4 3 2 5 2" xfId="19429"/>
    <cellStyle name="Output 2 4 3 2 5 3" xfId="19430"/>
    <cellStyle name="Output 2 4 3 2 5 4" xfId="19431"/>
    <cellStyle name="Output 2 4 3 2 5 5" xfId="19432"/>
    <cellStyle name="Output 2 4 3 2 5 6" xfId="36484"/>
    <cellStyle name="Output 2 4 3 2 5 7" xfId="46600"/>
    <cellStyle name="Output 2 4 3 2 5 8" xfId="54723"/>
    <cellStyle name="Output 2 4 3 2 6" xfId="3398"/>
    <cellStyle name="Output 2 4 3 2 6 2" xfId="19433"/>
    <cellStyle name="Output 2 4 3 2 6 3" xfId="19434"/>
    <cellStyle name="Output 2 4 3 2 6 4" xfId="19435"/>
    <cellStyle name="Output 2 4 3 2 6 5" xfId="19436"/>
    <cellStyle name="Output 2 4 3 2 6 6" xfId="37100"/>
    <cellStyle name="Output 2 4 3 2 6 7" xfId="46601"/>
    <cellStyle name="Output 2 4 3 2 6 8" xfId="54724"/>
    <cellStyle name="Output 2 4 3 2 7" xfId="3720"/>
    <cellStyle name="Output 2 4 3 2 7 2" xfId="19437"/>
    <cellStyle name="Output 2 4 3 2 7 3" xfId="19438"/>
    <cellStyle name="Output 2 4 3 2 7 4" xfId="19439"/>
    <cellStyle name="Output 2 4 3 2 7 5" xfId="19440"/>
    <cellStyle name="Output 2 4 3 2 7 6" xfId="37714"/>
    <cellStyle name="Output 2 4 3 2 7 7" xfId="46602"/>
    <cellStyle name="Output 2 4 3 2 7 8" xfId="54725"/>
    <cellStyle name="Output 2 4 3 2 8" xfId="19441"/>
    <cellStyle name="Output 2 4 3 2 8 2" xfId="19442"/>
    <cellStyle name="Output 2 4 3 2 8 3" xfId="19443"/>
    <cellStyle name="Output 2 4 3 2 8 4" xfId="19444"/>
    <cellStyle name="Output 2 4 3 2 8 5" xfId="19445"/>
    <cellStyle name="Output 2 4 3 2 8 6" xfId="38329"/>
    <cellStyle name="Output 2 4 3 2 8 7" xfId="46603"/>
    <cellStyle name="Output 2 4 3 2 8 8" xfId="54726"/>
    <cellStyle name="Output 2 4 3 2 9" xfId="19446"/>
    <cellStyle name="Output 2 4 3 2 9 2" xfId="19447"/>
    <cellStyle name="Output 2 4 3 2 9 3" xfId="19448"/>
    <cellStyle name="Output 2 4 3 2 9 4" xfId="19449"/>
    <cellStyle name="Output 2 4 3 2 9 5" xfId="19450"/>
    <cellStyle name="Output 2 4 3 2 9 6" xfId="38949"/>
    <cellStyle name="Output 2 4 3 2 9 7" xfId="46604"/>
    <cellStyle name="Output 2 4 3 2 9 8" xfId="54727"/>
    <cellStyle name="Output 2 4 3 20" xfId="34836"/>
    <cellStyle name="Output 2 4 3 21" xfId="40821"/>
    <cellStyle name="Output 2 4 3 3" xfId="391"/>
    <cellStyle name="Output 2 4 3 3 10" xfId="19451"/>
    <cellStyle name="Output 2 4 3 3 10 2" xfId="19452"/>
    <cellStyle name="Output 2 4 3 3 10 3" xfId="19453"/>
    <cellStyle name="Output 2 4 3 3 10 4" xfId="19454"/>
    <cellStyle name="Output 2 4 3 3 10 5" xfId="19455"/>
    <cellStyle name="Output 2 4 3 3 10 6" xfId="40185"/>
    <cellStyle name="Output 2 4 3 3 10 7" xfId="46605"/>
    <cellStyle name="Output 2 4 3 3 10 8" xfId="54728"/>
    <cellStyle name="Output 2 4 3 3 11" xfId="19456"/>
    <cellStyle name="Output 2 4 3 3 11 2" xfId="19457"/>
    <cellStyle name="Output 2 4 3 3 11 3" xfId="19458"/>
    <cellStyle name="Output 2 4 3 3 11 4" xfId="19459"/>
    <cellStyle name="Output 2 4 3 3 11 5" xfId="19460"/>
    <cellStyle name="Output 2 4 3 3 11 6" xfId="46606"/>
    <cellStyle name="Output 2 4 3 3 11 7" xfId="54729"/>
    <cellStyle name="Output 2 4 3 3 12" xfId="19461"/>
    <cellStyle name="Output 2 4 3 3 12 2" xfId="19462"/>
    <cellStyle name="Output 2 4 3 3 12 3" xfId="19463"/>
    <cellStyle name="Output 2 4 3 3 12 4" xfId="19464"/>
    <cellStyle name="Output 2 4 3 3 12 5" xfId="19465"/>
    <cellStyle name="Output 2 4 3 3 12 6" xfId="46607"/>
    <cellStyle name="Output 2 4 3 3 12 7" xfId="54730"/>
    <cellStyle name="Output 2 4 3 3 13" xfId="19466"/>
    <cellStyle name="Output 2 4 3 3 13 2" xfId="19467"/>
    <cellStyle name="Output 2 4 3 3 13 3" xfId="19468"/>
    <cellStyle name="Output 2 4 3 3 13 4" xfId="19469"/>
    <cellStyle name="Output 2 4 3 3 13 5" xfId="19470"/>
    <cellStyle name="Output 2 4 3 3 13 6" xfId="46608"/>
    <cellStyle name="Output 2 4 3 3 13 7" xfId="54731"/>
    <cellStyle name="Output 2 4 3 3 14" xfId="19471"/>
    <cellStyle name="Output 2 4 3 3 14 2" xfId="19472"/>
    <cellStyle name="Output 2 4 3 3 14 3" xfId="19473"/>
    <cellStyle name="Output 2 4 3 3 14 4" xfId="19474"/>
    <cellStyle name="Output 2 4 3 3 14 5" xfId="19475"/>
    <cellStyle name="Output 2 4 3 3 15" xfId="19476"/>
    <cellStyle name="Output 2 4 3 3 15 2" xfId="19477"/>
    <cellStyle name="Output 2 4 3 3 15 3" xfId="19478"/>
    <cellStyle name="Output 2 4 3 3 15 4" xfId="19479"/>
    <cellStyle name="Output 2 4 3 3 15 5" xfId="19480"/>
    <cellStyle name="Output 2 4 3 3 16" xfId="19481"/>
    <cellStyle name="Output 2 4 3 3 16 2" xfId="19482"/>
    <cellStyle name="Output 2 4 3 3 16 3" xfId="19483"/>
    <cellStyle name="Output 2 4 3 3 16 4" xfId="19484"/>
    <cellStyle name="Output 2 4 3 3 16 5" xfId="19485"/>
    <cellStyle name="Output 2 4 3 3 17" xfId="19486"/>
    <cellStyle name="Output 2 4 3 3 17 2" xfId="19487"/>
    <cellStyle name="Output 2 4 3 3 17 3" xfId="19488"/>
    <cellStyle name="Output 2 4 3 3 17 4" xfId="19489"/>
    <cellStyle name="Output 2 4 3 3 17 5" xfId="19490"/>
    <cellStyle name="Output 2 4 3 3 18" xfId="19491"/>
    <cellStyle name="Output 2 4 3 3 18 2" xfId="19492"/>
    <cellStyle name="Output 2 4 3 3 18 3" xfId="19493"/>
    <cellStyle name="Output 2 4 3 3 18 4" xfId="19494"/>
    <cellStyle name="Output 2 4 3 3 18 5" xfId="19495"/>
    <cellStyle name="Output 2 4 3 3 19" xfId="19496"/>
    <cellStyle name="Output 2 4 3 3 2" xfId="610"/>
    <cellStyle name="Output 2 4 3 3 2 10" xfId="19497"/>
    <cellStyle name="Output 2 4 3 3 2 10 2" xfId="19498"/>
    <cellStyle name="Output 2 4 3 3 2 10 3" xfId="19499"/>
    <cellStyle name="Output 2 4 3 3 2 10 4" xfId="19500"/>
    <cellStyle name="Output 2 4 3 3 2 10 5" xfId="19501"/>
    <cellStyle name="Output 2 4 3 3 2 10 6" xfId="46609"/>
    <cellStyle name="Output 2 4 3 3 2 10 7" xfId="54732"/>
    <cellStyle name="Output 2 4 3 3 2 11" xfId="19502"/>
    <cellStyle name="Output 2 4 3 3 2 11 2" xfId="19503"/>
    <cellStyle name="Output 2 4 3 3 2 11 3" xfId="19504"/>
    <cellStyle name="Output 2 4 3 3 2 11 4" xfId="19505"/>
    <cellStyle name="Output 2 4 3 3 2 11 5" xfId="19506"/>
    <cellStyle name="Output 2 4 3 3 2 12" xfId="19507"/>
    <cellStyle name="Output 2 4 3 3 2 12 2" xfId="19508"/>
    <cellStyle name="Output 2 4 3 3 2 12 3" xfId="19509"/>
    <cellStyle name="Output 2 4 3 3 2 12 4" xfId="19510"/>
    <cellStyle name="Output 2 4 3 3 2 12 5" xfId="19511"/>
    <cellStyle name="Output 2 4 3 3 2 13" xfId="19512"/>
    <cellStyle name="Output 2 4 3 3 2 13 2" xfId="19513"/>
    <cellStyle name="Output 2 4 3 3 2 13 3" xfId="19514"/>
    <cellStyle name="Output 2 4 3 3 2 13 4" xfId="19515"/>
    <cellStyle name="Output 2 4 3 3 2 13 5" xfId="19516"/>
    <cellStyle name="Output 2 4 3 3 2 14" xfId="19517"/>
    <cellStyle name="Output 2 4 3 3 2 14 2" xfId="19518"/>
    <cellStyle name="Output 2 4 3 3 2 14 3" xfId="19519"/>
    <cellStyle name="Output 2 4 3 3 2 14 4" xfId="19520"/>
    <cellStyle name="Output 2 4 3 3 2 14 5" xfId="19521"/>
    <cellStyle name="Output 2 4 3 3 2 15" xfId="19522"/>
    <cellStyle name="Output 2 4 3 3 2 15 2" xfId="19523"/>
    <cellStyle name="Output 2 4 3 3 2 15 3" xfId="19524"/>
    <cellStyle name="Output 2 4 3 3 2 15 4" xfId="19525"/>
    <cellStyle name="Output 2 4 3 3 2 15 5" xfId="19526"/>
    <cellStyle name="Output 2 4 3 3 2 16" xfId="19527"/>
    <cellStyle name="Output 2 4 3 3 2 16 2" xfId="19528"/>
    <cellStyle name="Output 2 4 3 3 2 16 3" xfId="19529"/>
    <cellStyle name="Output 2 4 3 3 2 16 4" xfId="19530"/>
    <cellStyle name="Output 2 4 3 3 2 16 5" xfId="19531"/>
    <cellStyle name="Output 2 4 3 3 2 17" xfId="19532"/>
    <cellStyle name="Output 2 4 3 3 2 17 2" xfId="19533"/>
    <cellStyle name="Output 2 4 3 3 2 17 3" xfId="19534"/>
    <cellStyle name="Output 2 4 3 3 2 17 4" xfId="19535"/>
    <cellStyle name="Output 2 4 3 3 2 17 5" xfId="19536"/>
    <cellStyle name="Output 2 4 3 3 2 18" xfId="19537"/>
    <cellStyle name="Output 2 4 3 3 2 18 2" xfId="19538"/>
    <cellStyle name="Output 2 4 3 3 2 18 3" xfId="19539"/>
    <cellStyle name="Output 2 4 3 3 2 18 4" xfId="19540"/>
    <cellStyle name="Output 2 4 3 3 2 18 5" xfId="19541"/>
    <cellStyle name="Output 2 4 3 3 2 19" xfId="19542"/>
    <cellStyle name="Output 2 4 3 3 2 2" xfId="2466"/>
    <cellStyle name="Output 2 4 3 3 2 2 2" xfId="19543"/>
    <cellStyle name="Output 2 4 3 3 2 2 3" xfId="19544"/>
    <cellStyle name="Output 2 4 3 3 2 2 4" xfId="19545"/>
    <cellStyle name="Output 2 4 3 3 2 2 5" xfId="19546"/>
    <cellStyle name="Output 2 4 3 3 2 2 6" xfId="36414"/>
    <cellStyle name="Output 2 4 3 3 2 2 7" xfId="46610"/>
    <cellStyle name="Output 2 4 3 3 2 2 8" xfId="54733"/>
    <cellStyle name="Output 2 4 3 3 2 20" xfId="1039"/>
    <cellStyle name="Output 2 4 3 3 2 21" xfId="35119"/>
    <cellStyle name="Output 2 4 3 3 2 22" xfId="41338"/>
    <cellStyle name="Output 2 4 3 3 2 3" xfId="2467"/>
    <cellStyle name="Output 2 4 3 3 2 3 2" xfId="19547"/>
    <cellStyle name="Output 2 4 3 3 2 3 3" xfId="19548"/>
    <cellStyle name="Output 2 4 3 3 2 3 4" xfId="19549"/>
    <cellStyle name="Output 2 4 3 3 2 3 5" xfId="19550"/>
    <cellStyle name="Output 2 4 3 3 2 3 6" xfId="36911"/>
    <cellStyle name="Output 2 4 3 3 2 3 7" xfId="46611"/>
    <cellStyle name="Output 2 4 3 3 2 3 8" xfId="54734"/>
    <cellStyle name="Output 2 4 3 3 2 4" xfId="1333"/>
    <cellStyle name="Output 2 4 3 3 2 4 2" xfId="19551"/>
    <cellStyle name="Output 2 4 3 3 2 4 3" xfId="19552"/>
    <cellStyle name="Output 2 4 3 3 2 4 4" xfId="19553"/>
    <cellStyle name="Output 2 4 3 3 2 4 5" xfId="19554"/>
    <cellStyle name="Output 2 4 3 3 2 4 6" xfId="37527"/>
    <cellStyle name="Output 2 4 3 3 2 4 7" xfId="46612"/>
    <cellStyle name="Output 2 4 3 3 2 4 8" xfId="54735"/>
    <cellStyle name="Output 2 4 3 3 2 5" xfId="3401"/>
    <cellStyle name="Output 2 4 3 3 2 5 2" xfId="19555"/>
    <cellStyle name="Output 2 4 3 3 2 5 3" xfId="19556"/>
    <cellStyle name="Output 2 4 3 3 2 5 4" xfId="19557"/>
    <cellStyle name="Output 2 4 3 3 2 5 5" xfId="19558"/>
    <cellStyle name="Output 2 4 3 3 2 5 6" xfId="38143"/>
    <cellStyle name="Output 2 4 3 3 2 5 7" xfId="46613"/>
    <cellStyle name="Output 2 4 3 3 2 5 8" xfId="54736"/>
    <cellStyle name="Output 2 4 3 3 2 6" xfId="3723"/>
    <cellStyle name="Output 2 4 3 3 2 6 2" xfId="19559"/>
    <cellStyle name="Output 2 4 3 3 2 6 3" xfId="19560"/>
    <cellStyle name="Output 2 4 3 3 2 6 4" xfId="19561"/>
    <cellStyle name="Output 2 4 3 3 2 6 5" xfId="19562"/>
    <cellStyle name="Output 2 4 3 3 2 6 6" xfId="38761"/>
    <cellStyle name="Output 2 4 3 3 2 6 7" xfId="46614"/>
    <cellStyle name="Output 2 4 3 3 2 6 8" xfId="54737"/>
    <cellStyle name="Output 2 4 3 3 2 7" xfId="19563"/>
    <cellStyle name="Output 2 4 3 3 2 7 2" xfId="19564"/>
    <cellStyle name="Output 2 4 3 3 2 7 3" xfId="19565"/>
    <cellStyle name="Output 2 4 3 3 2 7 4" xfId="19566"/>
    <cellStyle name="Output 2 4 3 3 2 7 5" xfId="19567"/>
    <cellStyle name="Output 2 4 3 3 2 7 6" xfId="39381"/>
    <cellStyle name="Output 2 4 3 3 2 7 7" xfId="46615"/>
    <cellStyle name="Output 2 4 3 3 2 7 8" xfId="54738"/>
    <cellStyle name="Output 2 4 3 3 2 8" xfId="19568"/>
    <cellStyle name="Output 2 4 3 3 2 8 2" xfId="19569"/>
    <cellStyle name="Output 2 4 3 3 2 8 3" xfId="19570"/>
    <cellStyle name="Output 2 4 3 3 2 8 4" xfId="19571"/>
    <cellStyle name="Output 2 4 3 3 2 8 5" xfId="19572"/>
    <cellStyle name="Output 2 4 3 3 2 8 6" xfId="39997"/>
    <cellStyle name="Output 2 4 3 3 2 8 7" xfId="46616"/>
    <cellStyle name="Output 2 4 3 3 2 8 8" xfId="54739"/>
    <cellStyle name="Output 2 4 3 3 2 9" xfId="19573"/>
    <cellStyle name="Output 2 4 3 3 2 9 2" xfId="19574"/>
    <cellStyle name="Output 2 4 3 3 2 9 3" xfId="19575"/>
    <cellStyle name="Output 2 4 3 3 2 9 4" xfId="19576"/>
    <cellStyle name="Output 2 4 3 3 2 9 5" xfId="19577"/>
    <cellStyle name="Output 2 4 3 3 2 9 6" xfId="40612"/>
    <cellStyle name="Output 2 4 3 3 2 9 7" xfId="46617"/>
    <cellStyle name="Output 2 4 3 3 2 9 8" xfId="54740"/>
    <cellStyle name="Output 2 4 3 3 20" xfId="827"/>
    <cellStyle name="Output 2 4 3 3 21" xfId="34706"/>
    <cellStyle name="Output 2 4 3 3 22" xfId="40911"/>
    <cellStyle name="Output 2 4 3 3 23" xfId="41472"/>
    <cellStyle name="Output 2 4 3 3 24" xfId="50559"/>
    <cellStyle name="Output 2 4 3 3 3" xfId="2468"/>
    <cellStyle name="Output 2 4 3 3 3 10" xfId="34874"/>
    <cellStyle name="Output 2 4 3 3 3 10 2" xfId="46619"/>
    <cellStyle name="Output 2 4 3 3 3 10 3" xfId="54742"/>
    <cellStyle name="Output 2 4 3 3 3 11" xfId="41126"/>
    <cellStyle name="Output 2 4 3 3 3 12" xfId="46618"/>
    <cellStyle name="Output 2 4 3 3 3 13" xfId="54741"/>
    <cellStyle name="Output 2 4 3 3 3 2" xfId="2469"/>
    <cellStyle name="Output 2 4 3 3 3 2 2" xfId="36203"/>
    <cellStyle name="Output 2 4 3 3 3 2 3" xfId="46620"/>
    <cellStyle name="Output 2 4 3 3 3 2 4" xfId="54743"/>
    <cellStyle name="Output 2 4 3 3 3 3" xfId="2470"/>
    <cellStyle name="Output 2 4 3 3 3 3 2" xfId="36700"/>
    <cellStyle name="Output 2 4 3 3 3 3 3" xfId="46621"/>
    <cellStyle name="Output 2 4 3 3 3 3 4" xfId="54744"/>
    <cellStyle name="Output 2 4 3 3 3 4" xfId="19578"/>
    <cellStyle name="Output 2 4 3 3 3 4 2" xfId="37316"/>
    <cellStyle name="Output 2 4 3 3 3 4 3" xfId="46622"/>
    <cellStyle name="Output 2 4 3 3 3 4 4" xfId="54745"/>
    <cellStyle name="Output 2 4 3 3 3 5" xfId="19579"/>
    <cellStyle name="Output 2 4 3 3 3 5 2" xfId="37932"/>
    <cellStyle name="Output 2 4 3 3 3 5 3" xfId="46623"/>
    <cellStyle name="Output 2 4 3 3 3 5 4" xfId="54746"/>
    <cellStyle name="Output 2 4 3 3 3 6" xfId="38549"/>
    <cellStyle name="Output 2 4 3 3 3 6 2" xfId="46624"/>
    <cellStyle name="Output 2 4 3 3 3 6 3" xfId="54747"/>
    <cellStyle name="Output 2 4 3 3 3 7" xfId="39169"/>
    <cellStyle name="Output 2 4 3 3 3 7 2" xfId="46625"/>
    <cellStyle name="Output 2 4 3 3 3 7 3" xfId="54748"/>
    <cellStyle name="Output 2 4 3 3 3 8" xfId="39785"/>
    <cellStyle name="Output 2 4 3 3 3 8 2" xfId="46626"/>
    <cellStyle name="Output 2 4 3 3 3 8 3" xfId="54749"/>
    <cellStyle name="Output 2 4 3 3 3 9" xfId="40400"/>
    <cellStyle name="Output 2 4 3 3 3 9 2" xfId="46627"/>
    <cellStyle name="Output 2 4 3 3 3 9 3" xfId="54750"/>
    <cellStyle name="Output 2 4 3 3 4" xfId="2471"/>
    <cellStyle name="Output 2 4 3 3 4 10" xfId="46628"/>
    <cellStyle name="Output 2 4 3 3 4 11" xfId="54751"/>
    <cellStyle name="Output 2 4 3 3 4 2" xfId="19580"/>
    <cellStyle name="Output 2 4 3 3 4 2 2" xfId="46629"/>
    <cellStyle name="Output 2 4 3 3 4 2 3" xfId="54752"/>
    <cellStyle name="Output 2 4 3 3 4 3" xfId="19581"/>
    <cellStyle name="Output 2 4 3 3 4 3 2" xfId="46630"/>
    <cellStyle name="Output 2 4 3 3 4 3 3" xfId="54753"/>
    <cellStyle name="Output 2 4 3 3 4 4" xfId="19582"/>
    <cellStyle name="Output 2 4 3 3 4 4 2" xfId="46631"/>
    <cellStyle name="Output 2 4 3 3 4 4 3" xfId="54754"/>
    <cellStyle name="Output 2 4 3 3 4 5" xfId="19583"/>
    <cellStyle name="Output 2 4 3 3 4 5 2" xfId="46632"/>
    <cellStyle name="Output 2 4 3 3 4 5 3" xfId="54755"/>
    <cellStyle name="Output 2 4 3 3 4 6" xfId="36485"/>
    <cellStyle name="Output 2 4 3 3 4 6 2" xfId="46633"/>
    <cellStyle name="Output 2 4 3 3 4 6 3" xfId="54756"/>
    <cellStyle name="Output 2 4 3 3 4 7" xfId="46634"/>
    <cellStyle name="Output 2 4 3 3 4 7 2" xfId="54757"/>
    <cellStyle name="Output 2 4 3 3 4 8" xfId="46635"/>
    <cellStyle name="Output 2 4 3 3 4 8 2" xfId="54758"/>
    <cellStyle name="Output 2 4 3 3 4 9" xfId="46636"/>
    <cellStyle name="Output 2 4 3 3 4 9 2" xfId="54759"/>
    <cellStyle name="Output 2 4 3 3 5" xfId="1332"/>
    <cellStyle name="Output 2 4 3 3 5 2" xfId="19584"/>
    <cellStyle name="Output 2 4 3 3 5 3" xfId="19585"/>
    <cellStyle name="Output 2 4 3 3 5 4" xfId="19586"/>
    <cellStyle name="Output 2 4 3 3 5 5" xfId="19587"/>
    <cellStyle name="Output 2 4 3 3 5 6" xfId="37101"/>
    <cellStyle name="Output 2 4 3 3 5 7" xfId="46637"/>
    <cellStyle name="Output 2 4 3 3 5 8" xfId="54760"/>
    <cellStyle name="Output 2 4 3 3 6" xfId="3400"/>
    <cellStyle name="Output 2 4 3 3 6 2" xfId="19588"/>
    <cellStyle name="Output 2 4 3 3 6 3" xfId="19589"/>
    <cellStyle name="Output 2 4 3 3 6 4" xfId="19590"/>
    <cellStyle name="Output 2 4 3 3 6 5" xfId="19591"/>
    <cellStyle name="Output 2 4 3 3 6 6" xfId="37715"/>
    <cellStyle name="Output 2 4 3 3 6 7" xfId="46638"/>
    <cellStyle name="Output 2 4 3 3 6 8" xfId="54761"/>
    <cellStyle name="Output 2 4 3 3 7" xfId="3722"/>
    <cellStyle name="Output 2 4 3 3 7 2" xfId="19592"/>
    <cellStyle name="Output 2 4 3 3 7 3" xfId="19593"/>
    <cellStyle name="Output 2 4 3 3 7 4" xfId="19594"/>
    <cellStyle name="Output 2 4 3 3 7 5" xfId="19595"/>
    <cellStyle name="Output 2 4 3 3 7 6" xfId="38330"/>
    <cellStyle name="Output 2 4 3 3 7 7" xfId="46639"/>
    <cellStyle name="Output 2 4 3 3 7 8" xfId="54762"/>
    <cellStyle name="Output 2 4 3 3 8" xfId="19596"/>
    <cellStyle name="Output 2 4 3 3 8 2" xfId="19597"/>
    <cellStyle name="Output 2 4 3 3 8 3" xfId="19598"/>
    <cellStyle name="Output 2 4 3 3 8 4" xfId="19599"/>
    <cellStyle name="Output 2 4 3 3 8 5" xfId="19600"/>
    <cellStyle name="Output 2 4 3 3 8 6" xfId="38950"/>
    <cellStyle name="Output 2 4 3 3 8 7" xfId="46640"/>
    <cellStyle name="Output 2 4 3 3 8 8" xfId="54763"/>
    <cellStyle name="Output 2 4 3 3 9" xfId="19601"/>
    <cellStyle name="Output 2 4 3 3 9 2" xfId="19602"/>
    <cellStyle name="Output 2 4 3 3 9 3" xfId="19603"/>
    <cellStyle name="Output 2 4 3 3 9 4" xfId="19604"/>
    <cellStyle name="Output 2 4 3 3 9 5" xfId="19605"/>
    <cellStyle name="Output 2 4 3 3 9 6" xfId="39569"/>
    <cellStyle name="Output 2 4 3 3 9 7" xfId="46641"/>
    <cellStyle name="Output 2 4 3 3 9 8" xfId="54764"/>
    <cellStyle name="Output 2 4 3 4" xfId="522"/>
    <cellStyle name="Output 2 4 3 4 10" xfId="19606"/>
    <cellStyle name="Output 2 4 3 4 10 2" xfId="19607"/>
    <cellStyle name="Output 2 4 3 4 10 3" xfId="19608"/>
    <cellStyle name="Output 2 4 3 4 10 4" xfId="19609"/>
    <cellStyle name="Output 2 4 3 4 10 5" xfId="19610"/>
    <cellStyle name="Output 2 4 3 4 10 6" xfId="46642"/>
    <cellStyle name="Output 2 4 3 4 10 7" xfId="54765"/>
    <cellStyle name="Output 2 4 3 4 11" xfId="19611"/>
    <cellStyle name="Output 2 4 3 4 11 2" xfId="19612"/>
    <cellStyle name="Output 2 4 3 4 11 3" xfId="19613"/>
    <cellStyle name="Output 2 4 3 4 11 4" xfId="19614"/>
    <cellStyle name="Output 2 4 3 4 11 5" xfId="19615"/>
    <cellStyle name="Output 2 4 3 4 12" xfId="19616"/>
    <cellStyle name="Output 2 4 3 4 12 2" xfId="19617"/>
    <cellStyle name="Output 2 4 3 4 12 3" xfId="19618"/>
    <cellStyle name="Output 2 4 3 4 12 4" xfId="19619"/>
    <cellStyle name="Output 2 4 3 4 12 5" xfId="19620"/>
    <cellStyle name="Output 2 4 3 4 13" xfId="19621"/>
    <cellStyle name="Output 2 4 3 4 13 2" xfId="19622"/>
    <cellStyle name="Output 2 4 3 4 13 3" xfId="19623"/>
    <cellStyle name="Output 2 4 3 4 13 4" xfId="19624"/>
    <cellStyle name="Output 2 4 3 4 13 5" xfId="19625"/>
    <cellStyle name="Output 2 4 3 4 14" xfId="19626"/>
    <cellStyle name="Output 2 4 3 4 14 2" xfId="19627"/>
    <cellStyle name="Output 2 4 3 4 14 3" xfId="19628"/>
    <cellStyle name="Output 2 4 3 4 14 4" xfId="19629"/>
    <cellStyle name="Output 2 4 3 4 14 5" xfId="19630"/>
    <cellStyle name="Output 2 4 3 4 15" xfId="19631"/>
    <cellStyle name="Output 2 4 3 4 15 2" xfId="19632"/>
    <cellStyle name="Output 2 4 3 4 15 3" xfId="19633"/>
    <cellStyle name="Output 2 4 3 4 15 4" xfId="19634"/>
    <cellStyle name="Output 2 4 3 4 15 5" xfId="19635"/>
    <cellStyle name="Output 2 4 3 4 16" xfId="19636"/>
    <cellStyle name="Output 2 4 3 4 16 2" xfId="19637"/>
    <cellStyle name="Output 2 4 3 4 16 3" xfId="19638"/>
    <cellStyle name="Output 2 4 3 4 16 4" xfId="19639"/>
    <cellStyle name="Output 2 4 3 4 16 5" xfId="19640"/>
    <cellStyle name="Output 2 4 3 4 17" xfId="19641"/>
    <cellStyle name="Output 2 4 3 4 17 2" xfId="19642"/>
    <cellStyle name="Output 2 4 3 4 17 3" xfId="19643"/>
    <cellStyle name="Output 2 4 3 4 17 4" xfId="19644"/>
    <cellStyle name="Output 2 4 3 4 17 5" xfId="19645"/>
    <cellStyle name="Output 2 4 3 4 18" xfId="19646"/>
    <cellStyle name="Output 2 4 3 4 18 2" xfId="19647"/>
    <cellStyle name="Output 2 4 3 4 18 3" xfId="19648"/>
    <cellStyle name="Output 2 4 3 4 18 4" xfId="19649"/>
    <cellStyle name="Output 2 4 3 4 18 5" xfId="19650"/>
    <cellStyle name="Output 2 4 3 4 19" xfId="19651"/>
    <cellStyle name="Output 2 4 3 4 2" xfId="2472"/>
    <cellStyle name="Output 2 4 3 4 2 2" xfId="19652"/>
    <cellStyle name="Output 2 4 3 4 2 3" xfId="19653"/>
    <cellStyle name="Output 2 4 3 4 2 4" xfId="19654"/>
    <cellStyle name="Output 2 4 3 4 2 5" xfId="19655"/>
    <cellStyle name="Output 2 4 3 4 2 6" xfId="36326"/>
    <cellStyle name="Output 2 4 3 4 2 7" xfId="46643"/>
    <cellStyle name="Output 2 4 3 4 2 8" xfId="54766"/>
    <cellStyle name="Output 2 4 3 4 20" xfId="951"/>
    <cellStyle name="Output 2 4 3 4 21" xfId="35031"/>
    <cellStyle name="Output 2 4 3 4 22" xfId="40740"/>
    <cellStyle name="Output 2 4 3 4 23" xfId="41250"/>
    <cellStyle name="Output 2 4 3 4 3" xfId="2473"/>
    <cellStyle name="Output 2 4 3 4 3 2" xfId="19656"/>
    <cellStyle name="Output 2 4 3 4 3 3" xfId="19657"/>
    <cellStyle name="Output 2 4 3 4 3 4" xfId="19658"/>
    <cellStyle name="Output 2 4 3 4 3 5" xfId="19659"/>
    <cellStyle name="Output 2 4 3 4 3 6" xfId="36823"/>
    <cellStyle name="Output 2 4 3 4 3 7" xfId="46644"/>
    <cellStyle name="Output 2 4 3 4 3 8" xfId="54767"/>
    <cellStyle name="Output 2 4 3 4 4" xfId="1334"/>
    <cellStyle name="Output 2 4 3 4 4 2" xfId="19660"/>
    <cellStyle name="Output 2 4 3 4 4 3" xfId="19661"/>
    <cellStyle name="Output 2 4 3 4 4 4" xfId="19662"/>
    <cellStyle name="Output 2 4 3 4 4 5" xfId="19663"/>
    <cellStyle name="Output 2 4 3 4 4 6" xfId="37439"/>
    <cellStyle name="Output 2 4 3 4 4 7" xfId="46645"/>
    <cellStyle name="Output 2 4 3 4 4 8" xfId="54768"/>
    <cellStyle name="Output 2 4 3 4 5" xfId="3402"/>
    <cellStyle name="Output 2 4 3 4 5 2" xfId="19664"/>
    <cellStyle name="Output 2 4 3 4 5 3" xfId="19665"/>
    <cellStyle name="Output 2 4 3 4 5 4" xfId="19666"/>
    <cellStyle name="Output 2 4 3 4 5 5" xfId="19667"/>
    <cellStyle name="Output 2 4 3 4 5 6" xfId="38055"/>
    <cellStyle name="Output 2 4 3 4 5 7" xfId="46646"/>
    <cellStyle name="Output 2 4 3 4 5 8" xfId="54769"/>
    <cellStyle name="Output 2 4 3 4 6" xfId="3724"/>
    <cellStyle name="Output 2 4 3 4 6 2" xfId="19668"/>
    <cellStyle name="Output 2 4 3 4 6 3" xfId="19669"/>
    <cellStyle name="Output 2 4 3 4 6 4" xfId="19670"/>
    <cellStyle name="Output 2 4 3 4 6 5" xfId="19671"/>
    <cellStyle name="Output 2 4 3 4 6 6" xfId="38673"/>
    <cellStyle name="Output 2 4 3 4 6 7" xfId="46647"/>
    <cellStyle name="Output 2 4 3 4 6 8" xfId="54770"/>
    <cellStyle name="Output 2 4 3 4 7" xfId="19672"/>
    <cellStyle name="Output 2 4 3 4 7 2" xfId="19673"/>
    <cellStyle name="Output 2 4 3 4 7 3" xfId="19674"/>
    <cellStyle name="Output 2 4 3 4 7 4" xfId="19675"/>
    <cellStyle name="Output 2 4 3 4 7 5" xfId="19676"/>
    <cellStyle name="Output 2 4 3 4 7 6" xfId="39293"/>
    <cellStyle name="Output 2 4 3 4 7 7" xfId="46648"/>
    <cellStyle name="Output 2 4 3 4 7 8" xfId="54771"/>
    <cellStyle name="Output 2 4 3 4 8" xfId="19677"/>
    <cellStyle name="Output 2 4 3 4 8 2" xfId="19678"/>
    <cellStyle name="Output 2 4 3 4 8 3" xfId="19679"/>
    <cellStyle name="Output 2 4 3 4 8 4" xfId="19680"/>
    <cellStyle name="Output 2 4 3 4 8 5" xfId="19681"/>
    <cellStyle name="Output 2 4 3 4 8 6" xfId="39909"/>
    <cellStyle name="Output 2 4 3 4 8 7" xfId="46649"/>
    <cellStyle name="Output 2 4 3 4 8 8" xfId="54772"/>
    <cellStyle name="Output 2 4 3 4 9" xfId="19682"/>
    <cellStyle name="Output 2 4 3 4 9 2" xfId="19683"/>
    <cellStyle name="Output 2 4 3 4 9 3" xfId="19684"/>
    <cellStyle name="Output 2 4 3 4 9 4" xfId="19685"/>
    <cellStyle name="Output 2 4 3 4 9 5" xfId="19686"/>
    <cellStyle name="Output 2 4 3 4 9 6" xfId="40524"/>
    <cellStyle name="Output 2 4 3 4 9 7" xfId="46650"/>
    <cellStyle name="Output 2 4 3 4 9 8" xfId="54773"/>
    <cellStyle name="Output 2 4 3 5" xfId="2474"/>
    <cellStyle name="Output 2 4 3 5 10" xfId="34558"/>
    <cellStyle name="Output 2 4 3 5 10 2" xfId="46652"/>
    <cellStyle name="Output 2 4 3 5 10 3" xfId="54775"/>
    <cellStyle name="Output 2 4 3 5 11" xfId="41036"/>
    <cellStyle name="Output 2 4 3 5 12" xfId="46651"/>
    <cellStyle name="Output 2 4 3 5 13" xfId="54774"/>
    <cellStyle name="Output 2 4 3 5 2" xfId="2475"/>
    <cellStyle name="Output 2 4 3 5 2 2" xfId="36113"/>
    <cellStyle name="Output 2 4 3 5 2 3" xfId="46653"/>
    <cellStyle name="Output 2 4 3 5 2 4" xfId="54776"/>
    <cellStyle name="Output 2 4 3 5 3" xfId="2476"/>
    <cellStyle name="Output 2 4 3 5 3 2" xfId="36612"/>
    <cellStyle name="Output 2 4 3 5 3 3" xfId="46654"/>
    <cellStyle name="Output 2 4 3 5 3 4" xfId="54777"/>
    <cellStyle name="Output 2 4 3 5 4" xfId="19687"/>
    <cellStyle name="Output 2 4 3 5 4 2" xfId="37228"/>
    <cellStyle name="Output 2 4 3 5 4 3" xfId="46655"/>
    <cellStyle name="Output 2 4 3 5 4 4" xfId="54778"/>
    <cellStyle name="Output 2 4 3 5 5" xfId="19688"/>
    <cellStyle name="Output 2 4 3 5 5 2" xfId="37844"/>
    <cellStyle name="Output 2 4 3 5 5 3" xfId="46656"/>
    <cellStyle name="Output 2 4 3 5 5 4" xfId="54779"/>
    <cellStyle name="Output 2 4 3 5 6" xfId="38459"/>
    <cellStyle name="Output 2 4 3 5 6 2" xfId="46657"/>
    <cellStyle name="Output 2 4 3 5 6 3" xfId="54780"/>
    <cellStyle name="Output 2 4 3 5 7" xfId="39079"/>
    <cellStyle name="Output 2 4 3 5 7 2" xfId="46658"/>
    <cellStyle name="Output 2 4 3 5 7 3" xfId="54781"/>
    <cellStyle name="Output 2 4 3 5 8" xfId="39695"/>
    <cellStyle name="Output 2 4 3 5 8 2" xfId="46659"/>
    <cellStyle name="Output 2 4 3 5 8 3" xfId="54782"/>
    <cellStyle name="Output 2 4 3 5 9" xfId="40310"/>
    <cellStyle name="Output 2 4 3 5 9 2" xfId="46660"/>
    <cellStyle name="Output 2 4 3 5 9 3" xfId="54783"/>
    <cellStyle name="Output 2 4 3 6" xfId="1329"/>
    <cellStyle name="Output 2 4 3 6 10" xfId="46661"/>
    <cellStyle name="Output 2 4 3 6 11" xfId="54784"/>
    <cellStyle name="Output 2 4 3 6 2" xfId="19689"/>
    <cellStyle name="Output 2 4 3 6 2 2" xfId="46662"/>
    <cellStyle name="Output 2 4 3 6 2 3" xfId="54785"/>
    <cellStyle name="Output 2 4 3 6 3" xfId="19690"/>
    <cellStyle name="Output 2 4 3 6 3 2" xfId="46663"/>
    <cellStyle name="Output 2 4 3 6 3 3" xfId="54786"/>
    <cellStyle name="Output 2 4 3 6 4" xfId="19691"/>
    <cellStyle name="Output 2 4 3 6 4 2" xfId="46664"/>
    <cellStyle name="Output 2 4 3 6 4 3" xfId="54787"/>
    <cellStyle name="Output 2 4 3 6 5" xfId="19692"/>
    <cellStyle name="Output 2 4 3 6 5 2" xfId="46665"/>
    <cellStyle name="Output 2 4 3 6 5 3" xfId="54788"/>
    <cellStyle name="Output 2 4 3 6 6" xfId="35431"/>
    <cellStyle name="Output 2 4 3 6 6 2" xfId="46666"/>
    <cellStyle name="Output 2 4 3 6 6 3" xfId="54789"/>
    <cellStyle name="Output 2 4 3 6 7" xfId="46667"/>
    <cellStyle name="Output 2 4 3 6 7 2" xfId="54790"/>
    <cellStyle name="Output 2 4 3 6 8" xfId="46668"/>
    <cellStyle name="Output 2 4 3 6 8 2" xfId="54791"/>
    <cellStyle name="Output 2 4 3 6 9" xfId="46669"/>
    <cellStyle name="Output 2 4 3 6 9 2" xfId="54792"/>
    <cellStyle name="Output 2 4 3 7" xfId="3397"/>
    <cellStyle name="Output 2 4 3 7 2" xfId="19693"/>
    <cellStyle name="Output 2 4 3 7 3" xfId="19694"/>
    <cellStyle name="Output 2 4 3 7 4" xfId="19695"/>
    <cellStyle name="Output 2 4 3 7 5" xfId="19696"/>
    <cellStyle name="Output 2 4 3 7 6" xfId="35963"/>
    <cellStyle name="Output 2 4 3 7 7" xfId="46670"/>
    <cellStyle name="Output 2 4 3 7 8" xfId="54793"/>
    <cellStyle name="Output 2 4 3 8" xfId="3719"/>
    <cellStyle name="Output 2 4 3 8 2" xfId="19697"/>
    <cellStyle name="Output 2 4 3 8 3" xfId="19698"/>
    <cellStyle name="Output 2 4 3 8 4" xfId="19699"/>
    <cellStyle name="Output 2 4 3 8 5" xfId="19700"/>
    <cellStyle name="Output 2 4 3 8 6" xfId="35813"/>
    <cellStyle name="Output 2 4 3 8 7" xfId="46671"/>
    <cellStyle name="Output 2 4 3 8 8" xfId="54794"/>
    <cellStyle name="Output 2 4 3 9" xfId="19701"/>
    <cellStyle name="Output 2 4 3 9 2" xfId="19702"/>
    <cellStyle name="Output 2 4 3 9 3" xfId="19703"/>
    <cellStyle name="Output 2 4 3 9 4" xfId="19704"/>
    <cellStyle name="Output 2 4 3 9 5" xfId="19705"/>
    <cellStyle name="Output 2 4 3 9 6" xfId="37008"/>
    <cellStyle name="Output 2 4 3 9 7" xfId="46672"/>
    <cellStyle name="Output 2 4 3 9 8" xfId="54795"/>
    <cellStyle name="Output 2 4 4" xfId="392"/>
    <cellStyle name="Output 2 4 4 10" xfId="19706"/>
    <cellStyle name="Output 2 4 4 10 2" xfId="19707"/>
    <cellStyle name="Output 2 4 4 10 3" xfId="19708"/>
    <cellStyle name="Output 2 4 4 10 4" xfId="19709"/>
    <cellStyle name="Output 2 4 4 10 5" xfId="19710"/>
    <cellStyle name="Output 2 4 4 10 6" xfId="39570"/>
    <cellStyle name="Output 2 4 4 10 7" xfId="46673"/>
    <cellStyle name="Output 2 4 4 10 8" xfId="54796"/>
    <cellStyle name="Output 2 4 4 11" xfId="19711"/>
    <cellStyle name="Output 2 4 4 11 2" xfId="19712"/>
    <cellStyle name="Output 2 4 4 11 3" xfId="19713"/>
    <cellStyle name="Output 2 4 4 11 4" xfId="19714"/>
    <cellStyle name="Output 2 4 4 11 5" xfId="19715"/>
    <cellStyle name="Output 2 4 4 11 6" xfId="40186"/>
    <cellStyle name="Output 2 4 4 11 7" xfId="46674"/>
    <cellStyle name="Output 2 4 4 11 8" xfId="54797"/>
    <cellStyle name="Output 2 4 4 12" xfId="19716"/>
    <cellStyle name="Output 2 4 4 12 2" xfId="19717"/>
    <cellStyle name="Output 2 4 4 12 3" xfId="19718"/>
    <cellStyle name="Output 2 4 4 12 4" xfId="19719"/>
    <cellStyle name="Output 2 4 4 12 5" xfId="19720"/>
    <cellStyle name="Output 2 4 4 12 6" xfId="46675"/>
    <cellStyle name="Output 2 4 4 12 7" xfId="54798"/>
    <cellStyle name="Output 2 4 4 13" xfId="19721"/>
    <cellStyle name="Output 2 4 4 13 2" xfId="19722"/>
    <cellStyle name="Output 2 4 4 13 3" xfId="19723"/>
    <cellStyle name="Output 2 4 4 13 4" xfId="19724"/>
    <cellStyle name="Output 2 4 4 13 5" xfId="19725"/>
    <cellStyle name="Output 2 4 4 13 6" xfId="46676"/>
    <cellStyle name="Output 2 4 4 13 7" xfId="54799"/>
    <cellStyle name="Output 2 4 4 14" xfId="19726"/>
    <cellStyle name="Output 2 4 4 14 2" xfId="19727"/>
    <cellStyle name="Output 2 4 4 14 3" xfId="19728"/>
    <cellStyle name="Output 2 4 4 14 4" xfId="19729"/>
    <cellStyle name="Output 2 4 4 14 5" xfId="19730"/>
    <cellStyle name="Output 2 4 4 15" xfId="19731"/>
    <cellStyle name="Output 2 4 4 15 2" xfId="19732"/>
    <cellStyle name="Output 2 4 4 15 3" xfId="19733"/>
    <cellStyle name="Output 2 4 4 15 4" xfId="19734"/>
    <cellStyle name="Output 2 4 4 15 5" xfId="19735"/>
    <cellStyle name="Output 2 4 4 16" xfId="19736"/>
    <cellStyle name="Output 2 4 4 16 2" xfId="19737"/>
    <cellStyle name="Output 2 4 4 16 3" xfId="19738"/>
    <cellStyle name="Output 2 4 4 16 4" xfId="19739"/>
    <cellStyle name="Output 2 4 4 16 5" xfId="19740"/>
    <cellStyle name="Output 2 4 4 17" xfId="19741"/>
    <cellStyle name="Output 2 4 4 17 2" xfId="19742"/>
    <cellStyle name="Output 2 4 4 17 3" xfId="19743"/>
    <cellStyle name="Output 2 4 4 17 4" xfId="19744"/>
    <cellStyle name="Output 2 4 4 17 5" xfId="19745"/>
    <cellStyle name="Output 2 4 4 18" xfId="19746"/>
    <cellStyle name="Output 2 4 4 18 2" xfId="19747"/>
    <cellStyle name="Output 2 4 4 18 3" xfId="19748"/>
    <cellStyle name="Output 2 4 4 18 4" xfId="19749"/>
    <cellStyle name="Output 2 4 4 18 5" xfId="19750"/>
    <cellStyle name="Output 2 4 4 19" xfId="19751"/>
    <cellStyle name="Output 2 4 4 2" xfId="611"/>
    <cellStyle name="Output 2 4 4 2 10" xfId="19752"/>
    <cellStyle name="Output 2 4 4 2 10 2" xfId="19753"/>
    <cellStyle name="Output 2 4 4 2 10 3" xfId="19754"/>
    <cellStyle name="Output 2 4 4 2 10 4" xfId="19755"/>
    <cellStyle name="Output 2 4 4 2 10 5" xfId="19756"/>
    <cellStyle name="Output 2 4 4 2 10 6" xfId="46677"/>
    <cellStyle name="Output 2 4 4 2 10 7" xfId="54800"/>
    <cellStyle name="Output 2 4 4 2 11" xfId="19757"/>
    <cellStyle name="Output 2 4 4 2 11 2" xfId="19758"/>
    <cellStyle name="Output 2 4 4 2 11 3" xfId="19759"/>
    <cellStyle name="Output 2 4 4 2 11 4" xfId="19760"/>
    <cellStyle name="Output 2 4 4 2 11 5" xfId="19761"/>
    <cellStyle name="Output 2 4 4 2 12" xfId="19762"/>
    <cellStyle name="Output 2 4 4 2 12 2" xfId="19763"/>
    <cellStyle name="Output 2 4 4 2 12 3" xfId="19764"/>
    <cellStyle name="Output 2 4 4 2 12 4" xfId="19765"/>
    <cellStyle name="Output 2 4 4 2 12 5" xfId="19766"/>
    <cellStyle name="Output 2 4 4 2 13" xfId="19767"/>
    <cellStyle name="Output 2 4 4 2 13 2" xfId="19768"/>
    <cellStyle name="Output 2 4 4 2 13 3" xfId="19769"/>
    <cellStyle name="Output 2 4 4 2 13 4" xfId="19770"/>
    <cellStyle name="Output 2 4 4 2 13 5" xfId="19771"/>
    <cellStyle name="Output 2 4 4 2 14" xfId="19772"/>
    <cellStyle name="Output 2 4 4 2 14 2" xfId="19773"/>
    <cellStyle name="Output 2 4 4 2 14 3" xfId="19774"/>
    <cellStyle name="Output 2 4 4 2 14 4" xfId="19775"/>
    <cellStyle name="Output 2 4 4 2 14 5" xfId="19776"/>
    <cellStyle name="Output 2 4 4 2 15" xfId="19777"/>
    <cellStyle name="Output 2 4 4 2 15 2" xfId="19778"/>
    <cellStyle name="Output 2 4 4 2 15 3" xfId="19779"/>
    <cellStyle name="Output 2 4 4 2 15 4" xfId="19780"/>
    <cellStyle name="Output 2 4 4 2 15 5" xfId="19781"/>
    <cellStyle name="Output 2 4 4 2 16" xfId="19782"/>
    <cellStyle name="Output 2 4 4 2 16 2" xfId="19783"/>
    <cellStyle name="Output 2 4 4 2 16 3" xfId="19784"/>
    <cellStyle name="Output 2 4 4 2 16 4" xfId="19785"/>
    <cellStyle name="Output 2 4 4 2 16 5" xfId="19786"/>
    <cellStyle name="Output 2 4 4 2 17" xfId="19787"/>
    <cellStyle name="Output 2 4 4 2 17 2" xfId="19788"/>
    <cellStyle name="Output 2 4 4 2 17 3" xfId="19789"/>
    <cellStyle name="Output 2 4 4 2 17 4" xfId="19790"/>
    <cellStyle name="Output 2 4 4 2 17 5" xfId="19791"/>
    <cellStyle name="Output 2 4 4 2 18" xfId="19792"/>
    <cellStyle name="Output 2 4 4 2 18 2" xfId="19793"/>
    <cellStyle name="Output 2 4 4 2 18 3" xfId="19794"/>
    <cellStyle name="Output 2 4 4 2 18 4" xfId="19795"/>
    <cellStyle name="Output 2 4 4 2 18 5" xfId="19796"/>
    <cellStyle name="Output 2 4 4 2 19" xfId="19797"/>
    <cellStyle name="Output 2 4 4 2 2" xfId="2477"/>
    <cellStyle name="Output 2 4 4 2 2 2" xfId="19798"/>
    <cellStyle name="Output 2 4 4 2 2 3" xfId="19799"/>
    <cellStyle name="Output 2 4 4 2 2 4" xfId="19800"/>
    <cellStyle name="Output 2 4 4 2 2 5" xfId="19801"/>
    <cellStyle name="Output 2 4 4 2 2 6" xfId="36415"/>
    <cellStyle name="Output 2 4 4 2 2 7" xfId="46678"/>
    <cellStyle name="Output 2 4 4 2 2 8" xfId="54801"/>
    <cellStyle name="Output 2 4 4 2 20" xfId="1040"/>
    <cellStyle name="Output 2 4 4 2 21" xfId="35120"/>
    <cellStyle name="Output 2 4 4 2 22" xfId="41339"/>
    <cellStyle name="Output 2 4 4 2 3" xfId="2478"/>
    <cellStyle name="Output 2 4 4 2 3 2" xfId="19802"/>
    <cellStyle name="Output 2 4 4 2 3 3" xfId="19803"/>
    <cellStyle name="Output 2 4 4 2 3 4" xfId="19804"/>
    <cellStyle name="Output 2 4 4 2 3 5" xfId="19805"/>
    <cellStyle name="Output 2 4 4 2 3 6" xfId="36912"/>
    <cellStyle name="Output 2 4 4 2 3 7" xfId="46679"/>
    <cellStyle name="Output 2 4 4 2 3 8" xfId="54802"/>
    <cellStyle name="Output 2 4 4 2 4" xfId="1336"/>
    <cellStyle name="Output 2 4 4 2 4 2" xfId="19806"/>
    <cellStyle name="Output 2 4 4 2 4 3" xfId="19807"/>
    <cellStyle name="Output 2 4 4 2 4 4" xfId="19808"/>
    <cellStyle name="Output 2 4 4 2 4 5" xfId="19809"/>
    <cellStyle name="Output 2 4 4 2 4 6" xfId="37528"/>
    <cellStyle name="Output 2 4 4 2 4 7" xfId="46680"/>
    <cellStyle name="Output 2 4 4 2 4 8" xfId="54803"/>
    <cellStyle name="Output 2 4 4 2 5" xfId="3404"/>
    <cellStyle name="Output 2 4 4 2 5 2" xfId="19810"/>
    <cellStyle name="Output 2 4 4 2 5 3" xfId="19811"/>
    <cellStyle name="Output 2 4 4 2 5 4" xfId="19812"/>
    <cellStyle name="Output 2 4 4 2 5 5" xfId="19813"/>
    <cellStyle name="Output 2 4 4 2 5 6" xfId="38144"/>
    <cellStyle name="Output 2 4 4 2 5 7" xfId="46681"/>
    <cellStyle name="Output 2 4 4 2 5 8" xfId="54804"/>
    <cellStyle name="Output 2 4 4 2 6" xfId="3726"/>
    <cellStyle name="Output 2 4 4 2 6 2" xfId="19814"/>
    <cellStyle name="Output 2 4 4 2 6 3" xfId="19815"/>
    <cellStyle name="Output 2 4 4 2 6 4" xfId="19816"/>
    <cellStyle name="Output 2 4 4 2 6 5" xfId="19817"/>
    <cellStyle name="Output 2 4 4 2 6 6" xfId="38762"/>
    <cellStyle name="Output 2 4 4 2 6 7" xfId="46682"/>
    <cellStyle name="Output 2 4 4 2 6 8" xfId="54805"/>
    <cellStyle name="Output 2 4 4 2 7" xfId="19818"/>
    <cellStyle name="Output 2 4 4 2 7 2" xfId="19819"/>
    <cellStyle name="Output 2 4 4 2 7 3" xfId="19820"/>
    <cellStyle name="Output 2 4 4 2 7 4" xfId="19821"/>
    <cellStyle name="Output 2 4 4 2 7 5" xfId="19822"/>
    <cellStyle name="Output 2 4 4 2 7 6" xfId="39382"/>
    <cellStyle name="Output 2 4 4 2 7 7" xfId="46683"/>
    <cellStyle name="Output 2 4 4 2 7 8" xfId="54806"/>
    <cellStyle name="Output 2 4 4 2 8" xfId="19823"/>
    <cellStyle name="Output 2 4 4 2 8 2" xfId="19824"/>
    <cellStyle name="Output 2 4 4 2 8 3" xfId="19825"/>
    <cellStyle name="Output 2 4 4 2 8 4" xfId="19826"/>
    <cellStyle name="Output 2 4 4 2 8 5" xfId="19827"/>
    <cellStyle name="Output 2 4 4 2 8 6" xfId="39998"/>
    <cellStyle name="Output 2 4 4 2 8 7" xfId="46684"/>
    <cellStyle name="Output 2 4 4 2 8 8" xfId="54807"/>
    <cellStyle name="Output 2 4 4 2 9" xfId="19828"/>
    <cellStyle name="Output 2 4 4 2 9 2" xfId="19829"/>
    <cellStyle name="Output 2 4 4 2 9 3" xfId="19830"/>
    <cellStyle name="Output 2 4 4 2 9 4" xfId="19831"/>
    <cellStyle name="Output 2 4 4 2 9 5" xfId="19832"/>
    <cellStyle name="Output 2 4 4 2 9 6" xfId="40613"/>
    <cellStyle name="Output 2 4 4 2 9 7" xfId="46685"/>
    <cellStyle name="Output 2 4 4 2 9 8" xfId="54808"/>
    <cellStyle name="Output 2 4 4 20" xfId="828"/>
    <cellStyle name="Output 2 4 4 21" xfId="34705"/>
    <cellStyle name="Output 2 4 4 22" xfId="40912"/>
    <cellStyle name="Output 2 4 4 23" xfId="41473"/>
    <cellStyle name="Output 2 4 4 24" xfId="50560"/>
    <cellStyle name="Output 2 4 4 3" xfId="2479"/>
    <cellStyle name="Output 2 4 4 3 10" xfId="34901"/>
    <cellStyle name="Output 2 4 4 3 10 2" xfId="46687"/>
    <cellStyle name="Output 2 4 4 3 10 3" xfId="54810"/>
    <cellStyle name="Output 2 4 4 3 11" xfId="41127"/>
    <cellStyle name="Output 2 4 4 3 12" xfId="46686"/>
    <cellStyle name="Output 2 4 4 3 13" xfId="54809"/>
    <cellStyle name="Output 2 4 4 3 2" xfId="2480"/>
    <cellStyle name="Output 2 4 4 3 2 2" xfId="36204"/>
    <cellStyle name="Output 2 4 4 3 2 3" xfId="46688"/>
    <cellStyle name="Output 2 4 4 3 2 4" xfId="54811"/>
    <cellStyle name="Output 2 4 4 3 3" xfId="2481"/>
    <cellStyle name="Output 2 4 4 3 3 2" xfId="36701"/>
    <cellStyle name="Output 2 4 4 3 3 3" xfId="46689"/>
    <cellStyle name="Output 2 4 4 3 3 4" xfId="54812"/>
    <cellStyle name="Output 2 4 4 3 4" xfId="19833"/>
    <cellStyle name="Output 2 4 4 3 4 2" xfId="37317"/>
    <cellStyle name="Output 2 4 4 3 4 3" xfId="46690"/>
    <cellStyle name="Output 2 4 4 3 4 4" xfId="54813"/>
    <cellStyle name="Output 2 4 4 3 5" xfId="19834"/>
    <cellStyle name="Output 2 4 4 3 5 2" xfId="37933"/>
    <cellStyle name="Output 2 4 4 3 5 3" xfId="46691"/>
    <cellStyle name="Output 2 4 4 3 5 4" xfId="54814"/>
    <cellStyle name="Output 2 4 4 3 6" xfId="38550"/>
    <cellStyle name="Output 2 4 4 3 6 2" xfId="46692"/>
    <cellStyle name="Output 2 4 4 3 6 3" xfId="54815"/>
    <cellStyle name="Output 2 4 4 3 7" xfId="39170"/>
    <cellStyle name="Output 2 4 4 3 7 2" xfId="46693"/>
    <cellStyle name="Output 2 4 4 3 7 3" xfId="54816"/>
    <cellStyle name="Output 2 4 4 3 8" xfId="39786"/>
    <cellStyle name="Output 2 4 4 3 8 2" xfId="46694"/>
    <cellStyle name="Output 2 4 4 3 8 3" xfId="54817"/>
    <cellStyle name="Output 2 4 4 3 9" xfId="40401"/>
    <cellStyle name="Output 2 4 4 3 9 2" xfId="46695"/>
    <cellStyle name="Output 2 4 4 3 9 3" xfId="54818"/>
    <cellStyle name="Output 2 4 4 4" xfId="2482"/>
    <cellStyle name="Output 2 4 4 4 10" xfId="46696"/>
    <cellStyle name="Output 2 4 4 4 11" xfId="54819"/>
    <cellStyle name="Output 2 4 4 4 2" xfId="19835"/>
    <cellStyle name="Output 2 4 4 4 2 2" xfId="46697"/>
    <cellStyle name="Output 2 4 4 4 2 3" xfId="54820"/>
    <cellStyle name="Output 2 4 4 4 3" xfId="19836"/>
    <cellStyle name="Output 2 4 4 4 3 2" xfId="46698"/>
    <cellStyle name="Output 2 4 4 4 3 3" xfId="54821"/>
    <cellStyle name="Output 2 4 4 4 4" xfId="19837"/>
    <cellStyle name="Output 2 4 4 4 4 2" xfId="46699"/>
    <cellStyle name="Output 2 4 4 4 4 3" xfId="54822"/>
    <cellStyle name="Output 2 4 4 4 5" xfId="19838"/>
    <cellStyle name="Output 2 4 4 4 5 2" xfId="46700"/>
    <cellStyle name="Output 2 4 4 4 5 3" xfId="54823"/>
    <cellStyle name="Output 2 4 4 4 6" xfId="35664"/>
    <cellStyle name="Output 2 4 4 4 6 2" xfId="46701"/>
    <cellStyle name="Output 2 4 4 4 6 3" xfId="54824"/>
    <cellStyle name="Output 2 4 4 4 7" xfId="46702"/>
    <cellStyle name="Output 2 4 4 4 7 2" xfId="54825"/>
    <cellStyle name="Output 2 4 4 4 8" xfId="46703"/>
    <cellStyle name="Output 2 4 4 4 8 2" xfId="54826"/>
    <cellStyle name="Output 2 4 4 4 9" xfId="46704"/>
    <cellStyle name="Output 2 4 4 4 9 2" xfId="54827"/>
    <cellStyle name="Output 2 4 4 5" xfId="1335"/>
    <cellStyle name="Output 2 4 4 5 2" xfId="19839"/>
    <cellStyle name="Output 2 4 4 5 3" xfId="19840"/>
    <cellStyle name="Output 2 4 4 5 4" xfId="19841"/>
    <cellStyle name="Output 2 4 4 5 5" xfId="19842"/>
    <cellStyle name="Output 2 4 4 5 6" xfId="36486"/>
    <cellStyle name="Output 2 4 4 5 7" xfId="46705"/>
    <cellStyle name="Output 2 4 4 5 8" xfId="54828"/>
    <cellStyle name="Output 2 4 4 6" xfId="3403"/>
    <cellStyle name="Output 2 4 4 6 2" xfId="19843"/>
    <cellStyle name="Output 2 4 4 6 3" xfId="19844"/>
    <cellStyle name="Output 2 4 4 6 4" xfId="19845"/>
    <cellStyle name="Output 2 4 4 6 5" xfId="19846"/>
    <cellStyle name="Output 2 4 4 6 6" xfId="37102"/>
    <cellStyle name="Output 2 4 4 6 7" xfId="46706"/>
    <cellStyle name="Output 2 4 4 6 8" xfId="54829"/>
    <cellStyle name="Output 2 4 4 7" xfId="3725"/>
    <cellStyle name="Output 2 4 4 7 2" xfId="19847"/>
    <cellStyle name="Output 2 4 4 7 3" xfId="19848"/>
    <cellStyle name="Output 2 4 4 7 4" xfId="19849"/>
    <cellStyle name="Output 2 4 4 7 5" xfId="19850"/>
    <cellStyle name="Output 2 4 4 7 6" xfId="37716"/>
    <cellStyle name="Output 2 4 4 7 7" xfId="46707"/>
    <cellStyle name="Output 2 4 4 7 8" xfId="54830"/>
    <cellStyle name="Output 2 4 4 8" xfId="19851"/>
    <cellStyle name="Output 2 4 4 8 2" xfId="19852"/>
    <cellStyle name="Output 2 4 4 8 3" xfId="19853"/>
    <cellStyle name="Output 2 4 4 8 4" xfId="19854"/>
    <cellStyle name="Output 2 4 4 8 5" xfId="19855"/>
    <cellStyle name="Output 2 4 4 8 6" xfId="38331"/>
    <cellStyle name="Output 2 4 4 8 7" xfId="46708"/>
    <cellStyle name="Output 2 4 4 8 8" xfId="54831"/>
    <cellStyle name="Output 2 4 4 9" xfId="19856"/>
    <cellStyle name="Output 2 4 4 9 2" xfId="19857"/>
    <cellStyle name="Output 2 4 4 9 3" xfId="19858"/>
    <cellStyle name="Output 2 4 4 9 4" xfId="19859"/>
    <cellStyle name="Output 2 4 4 9 5" xfId="19860"/>
    <cellStyle name="Output 2 4 4 9 6" xfId="38951"/>
    <cellStyle name="Output 2 4 4 9 7" xfId="46709"/>
    <cellStyle name="Output 2 4 4 9 8" xfId="54832"/>
    <cellStyle name="Output 2 4 5" xfId="393"/>
    <cellStyle name="Output 2 4 5 10" xfId="19861"/>
    <cellStyle name="Output 2 4 5 10 2" xfId="19862"/>
    <cellStyle name="Output 2 4 5 10 3" xfId="19863"/>
    <cellStyle name="Output 2 4 5 10 4" xfId="19864"/>
    <cellStyle name="Output 2 4 5 10 5" xfId="19865"/>
    <cellStyle name="Output 2 4 5 10 6" xfId="40187"/>
    <cellStyle name="Output 2 4 5 10 7" xfId="46710"/>
    <cellStyle name="Output 2 4 5 10 8" xfId="54833"/>
    <cellStyle name="Output 2 4 5 11" xfId="19866"/>
    <cellStyle name="Output 2 4 5 11 2" xfId="19867"/>
    <cellStyle name="Output 2 4 5 11 3" xfId="19868"/>
    <cellStyle name="Output 2 4 5 11 4" xfId="19869"/>
    <cellStyle name="Output 2 4 5 11 5" xfId="19870"/>
    <cellStyle name="Output 2 4 5 11 6" xfId="46711"/>
    <cellStyle name="Output 2 4 5 11 7" xfId="54834"/>
    <cellStyle name="Output 2 4 5 12" xfId="19871"/>
    <cellStyle name="Output 2 4 5 12 2" xfId="19872"/>
    <cellStyle name="Output 2 4 5 12 3" xfId="19873"/>
    <cellStyle name="Output 2 4 5 12 4" xfId="19874"/>
    <cellStyle name="Output 2 4 5 12 5" xfId="19875"/>
    <cellStyle name="Output 2 4 5 12 6" xfId="46712"/>
    <cellStyle name="Output 2 4 5 12 7" xfId="54835"/>
    <cellStyle name="Output 2 4 5 13" xfId="19876"/>
    <cellStyle name="Output 2 4 5 13 2" xfId="19877"/>
    <cellStyle name="Output 2 4 5 13 3" xfId="19878"/>
    <cellStyle name="Output 2 4 5 13 4" xfId="19879"/>
    <cellStyle name="Output 2 4 5 13 5" xfId="19880"/>
    <cellStyle name="Output 2 4 5 13 6" xfId="46713"/>
    <cellStyle name="Output 2 4 5 13 7" xfId="54836"/>
    <cellStyle name="Output 2 4 5 14" xfId="19881"/>
    <cellStyle name="Output 2 4 5 14 2" xfId="19882"/>
    <cellStyle name="Output 2 4 5 14 3" xfId="19883"/>
    <cellStyle name="Output 2 4 5 14 4" xfId="19884"/>
    <cellStyle name="Output 2 4 5 14 5" xfId="19885"/>
    <cellStyle name="Output 2 4 5 15" xfId="19886"/>
    <cellStyle name="Output 2 4 5 15 2" xfId="19887"/>
    <cellStyle name="Output 2 4 5 15 3" xfId="19888"/>
    <cellStyle name="Output 2 4 5 15 4" xfId="19889"/>
    <cellStyle name="Output 2 4 5 15 5" xfId="19890"/>
    <cellStyle name="Output 2 4 5 16" xfId="19891"/>
    <cellStyle name="Output 2 4 5 16 2" xfId="19892"/>
    <cellStyle name="Output 2 4 5 16 3" xfId="19893"/>
    <cellStyle name="Output 2 4 5 16 4" xfId="19894"/>
    <cellStyle name="Output 2 4 5 16 5" xfId="19895"/>
    <cellStyle name="Output 2 4 5 17" xfId="19896"/>
    <cellStyle name="Output 2 4 5 17 2" xfId="19897"/>
    <cellStyle name="Output 2 4 5 17 3" xfId="19898"/>
    <cellStyle name="Output 2 4 5 17 4" xfId="19899"/>
    <cellStyle name="Output 2 4 5 17 5" xfId="19900"/>
    <cellStyle name="Output 2 4 5 18" xfId="19901"/>
    <cellStyle name="Output 2 4 5 18 2" xfId="19902"/>
    <cellStyle name="Output 2 4 5 18 3" xfId="19903"/>
    <cellStyle name="Output 2 4 5 18 4" xfId="19904"/>
    <cellStyle name="Output 2 4 5 18 5" xfId="19905"/>
    <cellStyle name="Output 2 4 5 19" xfId="19906"/>
    <cellStyle name="Output 2 4 5 2" xfId="612"/>
    <cellStyle name="Output 2 4 5 2 10" xfId="19907"/>
    <cellStyle name="Output 2 4 5 2 10 2" xfId="19908"/>
    <cellStyle name="Output 2 4 5 2 10 3" xfId="19909"/>
    <cellStyle name="Output 2 4 5 2 10 4" xfId="19910"/>
    <cellStyle name="Output 2 4 5 2 10 5" xfId="19911"/>
    <cellStyle name="Output 2 4 5 2 10 6" xfId="46714"/>
    <cellStyle name="Output 2 4 5 2 10 7" xfId="54837"/>
    <cellStyle name="Output 2 4 5 2 11" xfId="19912"/>
    <cellStyle name="Output 2 4 5 2 11 2" xfId="19913"/>
    <cellStyle name="Output 2 4 5 2 11 3" xfId="19914"/>
    <cellStyle name="Output 2 4 5 2 11 4" xfId="19915"/>
    <cellStyle name="Output 2 4 5 2 11 5" xfId="19916"/>
    <cellStyle name="Output 2 4 5 2 12" xfId="19917"/>
    <cellStyle name="Output 2 4 5 2 12 2" xfId="19918"/>
    <cellStyle name="Output 2 4 5 2 12 3" xfId="19919"/>
    <cellStyle name="Output 2 4 5 2 12 4" xfId="19920"/>
    <cellStyle name="Output 2 4 5 2 12 5" xfId="19921"/>
    <cellStyle name="Output 2 4 5 2 13" xfId="19922"/>
    <cellStyle name="Output 2 4 5 2 13 2" xfId="19923"/>
    <cellStyle name="Output 2 4 5 2 13 3" xfId="19924"/>
    <cellStyle name="Output 2 4 5 2 13 4" xfId="19925"/>
    <cellStyle name="Output 2 4 5 2 13 5" xfId="19926"/>
    <cellStyle name="Output 2 4 5 2 14" xfId="19927"/>
    <cellStyle name="Output 2 4 5 2 14 2" xfId="19928"/>
    <cellStyle name="Output 2 4 5 2 14 3" xfId="19929"/>
    <cellStyle name="Output 2 4 5 2 14 4" xfId="19930"/>
    <cellStyle name="Output 2 4 5 2 14 5" xfId="19931"/>
    <cellStyle name="Output 2 4 5 2 15" xfId="19932"/>
    <cellStyle name="Output 2 4 5 2 15 2" xfId="19933"/>
    <cellStyle name="Output 2 4 5 2 15 3" xfId="19934"/>
    <cellStyle name="Output 2 4 5 2 15 4" xfId="19935"/>
    <cellStyle name="Output 2 4 5 2 15 5" xfId="19936"/>
    <cellStyle name="Output 2 4 5 2 16" xfId="19937"/>
    <cellStyle name="Output 2 4 5 2 16 2" xfId="19938"/>
    <cellStyle name="Output 2 4 5 2 16 3" xfId="19939"/>
    <cellStyle name="Output 2 4 5 2 16 4" xfId="19940"/>
    <cellStyle name="Output 2 4 5 2 16 5" xfId="19941"/>
    <cellStyle name="Output 2 4 5 2 17" xfId="19942"/>
    <cellStyle name="Output 2 4 5 2 17 2" xfId="19943"/>
    <cellStyle name="Output 2 4 5 2 17 3" xfId="19944"/>
    <cellStyle name="Output 2 4 5 2 17 4" xfId="19945"/>
    <cellStyle name="Output 2 4 5 2 17 5" xfId="19946"/>
    <cellStyle name="Output 2 4 5 2 18" xfId="19947"/>
    <cellStyle name="Output 2 4 5 2 18 2" xfId="19948"/>
    <cellStyle name="Output 2 4 5 2 18 3" xfId="19949"/>
    <cellStyle name="Output 2 4 5 2 18 4" xfId="19950"/>
    <cellStyle name="Output 2 4 5 2 18 5" xfId="19951"/>
    <cellStyle name="Output 2 4 5 2 19" xfId="19952"/>
    <cellStyle name="Output 2 4 5 2 2" xfId="2483"/>
    <cellStyle name="Output 2 4 5 2 2 2" xfId="19953"/>
    <cellStyle name="Output 2 4 5 2 2 3" xfId="19954"/>
    <cellStyle name="Output 2 4 5 2 2 4" xfId="19955"/>
    <cellStyle name="Output 2 4 5 2 2 5" xfId="19956"/>
    <cellStyle name="Output 2 4 5 2 2 6" xfId="36416"/>
    <cellStyle name="Output 2 4 5 2 2 7" xfId="46715"/>
    <cellStyle name="Output 2 4 5 2 2 8" xfId="54838"/>
    <cellStyle name="Output 2 4 5 2 20" xfId="1041"/>
    <cellStyle name="Output 2 4 5 2 21" xfId="35121"/>
    <cellStyle name="Output 2 4 5 2 22" xfId="41340"/>
    <cellStyle name="Output 2 4 5 2 3" xfId="2484"/>
    <cellStyle name="Output 2 4 5 2 3 2" xfId="19957"/>
    <cellStyle name="Output 2 4 5 2 3 3" xfId="19958"/>
    <cellStyle name="Output 2 4 5 2 3 4" xfId="19959"/>
    <cellStyle name="Output 2 4 5 2 3 5" xfId="19960"/>
    <cellStyle name="Output 2 4 5 2 3 6" xfId="36913"/>
    <cellStyle name="Output 2 4 5 2 3 7" xfId="46716"/>
    <cellStyle name="Output 2 4 5 2 3 8" xfId="54839"/>
    <cellStyle name="Output 2 4 5 2 4" xfId="1338"/>
    <cellStyle name="Output 2 4 5 2 4 2" xfId="19961"/>
    <cellStyle name="Output 2 4 5 2 4 3" xfId="19962"/>
    <cellStyle name="Output 2 4 5 2 4 4" xfId="19963"/>
    <cellStyle name="Output 2 4 5 2 4 5" xfId="19964"/>
    <cellStyle name="Output 2 4 5 2 4 6" xfId="37529"/>
    <cellStyle name="Output 2 4 5 2 4 7" xfId="46717"/>
    <cellStyle name="Output 2 4 5 2 4 8" xfId="54840"/>
    <cellStyle name="Output 2 4 5 2 5" xfId="3406"/>
    <cellStyle name="Output 2 4 5 2 5 2" xfId="19965"/>
    <cellStyle name="Output 2 4 5 2 5 3" xfId="19966"/>
    <cellStyle name="Output 2 4 5 2 5 4" xfId="19967"/>
    <cellStyle name="Output 2 4 5 2 5 5" xfId="19968"/>
    <cellStyle name="Output 2 4 5 2 5 6" xfId="38145"/>
    <cellStyle name="Output 2 4 5 2 5 7" xfId="46718"/>
    <cellStyle name="Output 2 4 5 2 5 8" xfId="54841"/>
    <cellStyle name="Output 2 4 5 2 6" xfId="3728"/>
    <cellStyle name="Output 2 4 5 2 6 2" xfId="19969"/>
    <cellStyle name="Output 2 4 5 2 6 3" xfId="19970"/>
    <cellStyle name="Output 2 4 5 2 6 4" xfId="19971"/>
    <cellStyle name="Output 2 4 5 2 6 5" xfId="19972"/>
    <cellStyle name="Output 2 4 5 2 6 6" xfId="38763"/>
    <cellStyle name="Output 2 4 5 2 6 7" xfId="46719"/>
    <cellStyle name="Output 2 4 5 2 6 8" xfId="54842"/>
    <cellStyle name="Output 2 4 5 2 7" xfId="19973"/>
    <cellStyle name="Output 2 4 5 2 7 2" xfId="19974"/>
    <cellStyle name="Output 2 4 5 2 7 3" xfId="19975"/>
    <cellStyle name="Output 2 4 5 2 7 4" xfId="19976"/>
    <cellStyle name="Output 2 4 5 2 7 5" xfId="19977"/>
    <cellStyle name="Output 2 4 5 2 7 6" xfId="39383"/>
    <cellStyle name="Output 2 4 5 2 7 7" xfId="46720"/>
    <cellStyle name="Output 2 4 5 2 7 8" xfId="54843"/>
    <cellStyle name="Output 2 4 5 2 8" xfId="19978"/>
    <cellStyle name="Output 2 4 5 2 8 2" xfId="19979"/>
    <cellStyle name="Output 2 4 5 2 8 3" xfId="19980"/>
    <cellStyle name="Output 2 4 5 2 8 4" xfId="19981"/>
    <cellStyle name="Output 2 4 5 2 8 5" xfId="19982"/>
    <cellStyle name="Output 2 4 5 2 8 6" xfId="39999"/>
    <cellStyle name="Output 2 4 5 2 8 7" xfId="46721"/>
    <cellStyle name="Output 2 4 5 2 8 8" xfId="54844"/>
    <cellStyle name="Output 2 4 5 2 9" xfId="19983"/>
    <cellStyle name="Output 2 4 5 2 9 2" xfId="19984"/>
    <cellStyle name="Output 2 4 5 2 9 3" xfId="19985"/>
    <cellStyle name="Output 2 4 5 2 9 4" xfId="19986"/>
    <cellStyle name="Output 2 4 5 2 9 5" xfId="19987"/>
    <cellStyle name="Output 2 4 5 2 9 6" xfId="40614"/>
    <cellStyle name="Output 2 4 5 2 9 7" xfId="46722"/>
    <cellStyle name="Output 2 4 5 2 9 8" xfId="54845"/>
    <cellStyle name="Output 2 4 5 20" xfId="829"/>
    <cellStyle name="Output 2 4 5 21" xfId="34704"/>
    <cellStyle name="Output 2 4 5 22" xfId="40913"/>
    <cellStyle name="Output 2 4 5 23" xfId="41474"/>
    <cellStyle name="Output 2 4 5 24" xfId="50561"/>
    <cellStyle name="Output 2 4 5 3" xfId="2485"/>
    <cellStyle name="Output 2 4 5 3 10" xfId="34788"/>
    <cellStyle name="Output 2 4 5 3 10 2" xfId="46724"/>
    <cellStyle name="Output 2 4 5 3 10 3" xfId="54847"/>
    <cellStyle name="Output 2 4 5 3 11" xfId="41128"/>
    <cellStyle name="Output 2 4 5 3 12" xfId="46723"/>
    <cellStyle name="Output 2 4 5 3 13" xfId="54846"/>
    <cellStyle name="Output 2 4 5 3 2" xfId="2486"/>
    <cellStyle name="Output 2 4 5 3 2 2" xfId="36205"/>
    <cellStyle name="Output 2 4 5 3 2 3" xfId="46725"/>
    <cellStyle name="Output 2 4 5 3 2 4" xfId="54848"/>
    <cellStyle name="Output 2 4 5 3 3" xfId="2487"/>
    <cellStyle name="Output 2 4 5 3 3 2" xfId="36702"/>
    <cellStyle name="Output 2 4 5 3 3 3" xfId="46726"/>
    <cellStyle name="Output 2 4 5 3 3 4" xfId="54849"/>
    <cellStyle name="Output 2 4 5 3 4" xfId="19988"/>
    <cellStyle name="Output 2 4 5 3 4 2" xfId="37318"/>
    <cellStyle name="Output 2 4 5 3 4 3" xfId="46727"/>
    <cellStyle name="Output 2 4 5 3 4 4" xfId="54850"/>
    <cellStyle name="Output 2 4 5 3 5" xfId="19989"/>
    <cellStyle name="Output 2 4 5 3 5 2" xfId="37934"/>
    <cellStyle name="Output 2 4 5 3 5 3" xfId="46728"/>
    <cellStyle name="Output 2 4 5 3 5 4" xfId="54851"/>
    <cellStyle name="Output 2 4 5 3 6" xfId="38551"/>
    <cellStyle name="Output 2 4 5 3 6 2" xfId="46729"/>
    <cellStyle name="Output 2 4 5 3 6 3" xfId="54852"/>
    <cellStyle name="Output 2 4 5 3 7" xfId="39171"/>
    <cellStyle name="Output 2 4 5 3 7 2" xfId="46730"/>
    <cellStyle name="Output 2 4 5 3 7 3" xfId="54853"/>
    <cellStyle name="Output 2 4 5 3 8" xfId="39787"/>
    <cellStyle name="Output 2 4 5 3 8 2" xfId="46731"/>
    <cellStyle name="Output 2 4 5 3 8 3" xfId="54854"/>
    <cellStyle name="Output 2 4 5 3 9" xfId="40402"/>
    <cellStyle name="Output 2 4 5 3 9 2" xfId="46732"/>
    <cellStyle name="Output 2 4 5 3 9 3" xfId="54855"/>
    <cellStyle name="Output 2 4 5 4" xfId="2488"/>
    <cellStyle name="Output 2 4 5 4 10" xfId="46733"/>
    <cellStyle name="Output 2 4 5 4 11" xfId="54856"/>
    <cellStyle name="Output 2 4 5 4 2" xfId="19990"/>
    <cellStyle name="Output 2 4 5 4 2 2" xfId="46734"/>
    <cellStyle name="Output 2 4 5 4 2 3" xfId="54857"/>
    <cellStyle name="Output 2 4 5 4 3" xfId="19991"/>
    <cellStyle name="Output 2 4 5 4 3 2" xfId="46735"/>
    <cellStyle name="Output 2 4 5 4 3 3" xfId="54858"/>
    <cellStyle name="Output 2 4 5 4 4" xfId="19992"/>
    <cellStyle name="Output 2 4 5 4 4 2" xfId="46736"/>
    <cellStyle name="Output 2 4 5 4 4 3" xfId="54859"/>
    <cellStyle name="Output 2 4 5 4 5" xfId="19993"/>
    <cellStyle name="Output 2 4 5 4 5 2" xfId="46737"/>
    <cellStyle name="Output 2 4 5 4 5 3" xfId="54860"/>
    <cellStyle name="Output 2 4 5 4 6" xfId="36487"/>
    <cellStyle name="Output 2 4 5 4 6 2" xfId="46738"/>
    <cellStyle name="Output 2 4 5 4 6 3" xfId="54861"/>
    <cellStyle name="Output 2 4 5 4 7" xfId="46739"/>
    <cellStyle name="Output 2 4 5 4 7 2" xfId="54862"/>
    <cellStyle name="Output 2 4 5 4 8" xfId="46740"/>
    <cellStyle name="Output 2 4 5 4 8 2" xfId="54863"/>
    <cellStyle name="Output 2 4 5 4 9" xfId="46741"/>
    <cellStyle name="Output 2 4 5 4 9 2" xfId="54864"/>
    <cellStyle name="Output 2 4 5 5" xfId="1337"/>
    <cellStyle name="Output 2 4 5 5 2" xfId="19994"/>
    <cellStyle name="Output 2 4 5 5 3" xfId="19995"/>
    <cellStyle name="Output 2 4 5 5 4" xfId="19996"/>
    <cellStyle name="Output 2 4 5 5 5" xfId="19997"/>
    <cellStyle name="Output 2 4 5 5 6" xfId="37103"/>
    <cellStyle name="Output 2 4 5 5 7" xfId="46742"/>
    <cellStyle name="Output 2 4 5 5 8" xfId="54865"/>
    <cellStyle name="Output 2 4 5 6" xfId="3405"/>
    <cellStyle name="Output 2 4 5 6 2" xfId="19998"/>
    <cellStyle name="Output 2 4 5 6 3" xfId="19999"/>
    <cellStyle name="Output 2 4 5 6 4" xfId="20000"/>
    <cellStyle name="Output 2 4 5 6 5" xfId="20001"/>
    <cellStyle name="Output 2 4 5 6 6" xfId="37717"/>
    <cellStyle name="Output 2 4 5 6 7" xfId="46743"/>
    <cellStyle name="Output 2 4 5 6 8" xfId="54866"/>
    <cellStyle name="Output 2 4 5 7" xfId="3727"/>
    <cellStyle name="Output 2 4 5 7 2" xfId="20002"/>
    <cellStyle name="Output 2 4 5 7 3" xfId="20003"/>
    <cellStyle name="Output 2 4 5 7 4" xfId="20004"/>
    <cellStyle name="Output 2 4 5 7 5" xfId="20005"/>
    <cellStyle name="Output 2 4 5 7 6" xfId="38332"/>
    <cellStyle name="Output 2 4 5 7 7" xfId="46744"/>
    <cellStyle name="Output 2 4 5 7 8" xfId="54867"/>
    <cellStyle name="Output 2 4 5 8" xfId="20006"/>
    <cellStyle name="Output 2 4 5 8 2" xfId="20007"/>
    <cellStyle name="Output 2 4 5 8 3" xfId="20008"/>
    <cellStyle name="Output 2 4 5 8 4" xfId="20009"/>
    <cellStyle name="Output 2 4 5 8 5" xfId="20010"/>
    <cellStyle name="Output 2 4 5 8 6" xfId="38952"/>
    <cellStyle name="Output 2 4 5 8 7" xfId="46745"/>
    <cellStyle name="Output 2 4 5 8 8" xfId="54868"/>
    <cellStyle name="Output 2 4 5 9" xfId="20011"/>
    <cellStyle name="Output 2 4 5 9 2" xfId="20012"/>
    <cellStyle name="Output 2 4 5 9 3" xfId="20013"/>
    <cellStyle name="Output 2 4 5 9 4" xfId="20014"/>
    <cellStyle name="Output 2 4 5 9 5" xfId="20015"/>
    <cellStyle name="Output 2 4 5 9 6" xfId="39571"/>
    <cellStyle name="Output 2 4 5 9 7" xfId="46746"/>
    <cellStyle name="Output 2 4 5 9 8" xfId="54869"/>
    <cellStyle name="Output 2 4 6" xfId="487"/>
    <cellStyle name="Output 2 4 6 10" xfId="20016"/>
    <cellStyle name="Output 2 4 6 10 2" xfId="20017"/>
    <cellStyle name="Output 2 4 6 10 3" xfId="20018"/>
    <cellStyle name="Output 2 4 6 10 4" xfId="20019"/>
    <cellStyle name="Output 2 4 6 10 5" xfId="20020"/>
    <cellStyle name="Output 2 4 6 10 6" xfId="46747"/>
    <cellStyle name="Output 2 4 6 10 7" xfId="54870"/>
    <cellStyle name="Output 2 4 6 11" xfId="20021"/>
    <cellStyle name="Output 2 4 6 11 2" xfId="20022"/>
    <cellStyle name="Output 2 4 6 11 3" xfId="20023"/>
    <cellStyle name="Output 2 4 6 11 4" xfId="20024"/>
    <cellStyle name="Output 2 4 6 11 5" xfId="20025"/>
    <cellStyle name="Output 2 4 6 12" xfId="20026"/>
    <cellStyle name="Output 2 4 6 12 2" xfId="20027"/>
    <cellStyle name="Output 2 4 6 12 3" xfId="20028"/>
    <cellStyle name="Output 2 4 6 12 4" xfId="20029"/>
    <cellStyle name="Output 2 4 6 12 5" xfId="20030"/>
    <cellStyle name="Output 2 4 6 13" xfId="20031"/>
    <cellStyle name="Output 2 4 6 13 2" xfId="20032"/>
    <cellStyle name="Output 2 4 6 13 3" xfId="20033"/>
    <cellStyle name="Output 2 4 6 13 4" xfId="20034"/>
    <cellStyle name="Output 2 4 6 13 5" xfId="20035"/>
    <cellStyle name="Output 2 4 6 14" xfId="20036"/>
    <cellStyle name="Output 2 4 6 14 2" xfId="20037"/>
    <cellStyle name="Output 2 4 6 14 3" xfId="20038"/>
    <cellStyle name="Output 2 4 6 14 4" xfId="20039"/>
    <cellStyle name="Output 2 4 6 14 5" xfId="20040"/>
    <cellStyle name="Output 2 4 6 15" xfId="20041"/>
    <cellStyle name="Output 2 4 6 15 2" xfId="20042"/>
    <cellStyle name="Output 2 4 6 15 3" xfId="20043"/>
    <cellStyle name="Output 2 4 6 15 4" xfId="20044"/>
    <cellStyle name="Output 2 4 6 15 5" xfId="20045"/>
    <cellStyle name="Output 2 4 6 16" xfId="20046"/>
    <cellStyle name="Output 2 4 6 16 2" xfId="20047"/>
    <cellStyle name="Output 2 4 6 16 3" xfId="20048"/>
    <cellStyle name="Output 2 4 6 16 4" xfId="20049"/>
    <cellStyle name="Output 2 4 6 16 5" xfId="20050"/>
    <cellStyle name="Output 2 4 6 17" xfId="20051"/>
    <cellStyle name="Output 2 4 6 17 2" xfId="20052"/>
    <cellStyle name="Output 2 4 6 17 3" xfId="20053"/>
    <cellStyle name="Output 2 4 6 17 4" xfId="20054"/>
    <cellStyle name="Output 2 4 6 17 5" xfId="20055"/>
    <cellStyle name="Output 2 4 6 18" xfId="20056"/>
    <cellStyle name="Output 2 4 6 18 2" xfId="20057"/>
    <cellStyle name="Output 2 4 6 18 3" xfId="20058"/>
    <cellStyle name="Output 2 4 6 18 4" xfId="20059"/>
    <cellStyle name="Output 2 4 6 18 5" xfId="20060"/>
    <cellStyle name="Output 2 4 6 19" xfId="20061"/>
    <cellStyle name="Output 2 4 6 2" xfId="2489"/>
    <cellStyle name="Output 2 4 6 2 2" xfId="20062"/>
    <cellStyle name="Output 2 4 6 2 3" xfId="20063"/>
    <cellStyle name="Output 2 4 6 2 4" xfId="20064"/>
    <cellStyle name="Output 2 4 6 2 5" xfId="20065"/>
    <cellStyle name="Output 2 4 6 2 6" xfId="36291"/>
    <cellStyle name="Output 2 4 6 2 7" xfId="46748"/>
    <cellStyle name="Output 2 4 6 2 8" xfId="54871"/>
    <cellStyle name="Output 2 4 6 20" xfId="916"/>
    <cellStyle name="Output 2 4 6 21" xfId="34996"/>
    <cellStyle name="Output 2 4 6 22" xfId="40705"/>
    <cellStyle name="Output 2 4 6 23" xfId="41215"/>
    <cellStyle name="Output 2 4 6 3" xfId="2490"/>
    <cellStyle name="Output 2 4 6 3 2" xfId="20066"/>
    <cellStyle name="Output 2 4 6 3 3" xfId="20067"/>
    <cellStyle name="Output 2 4 6 3 4" xfId="20068"/>
    <cellStyle name="Output 2 4 6 3 5" xfId="20069"/>
    <cellStyle name="Output 2 4 6 3 6" xfId="36788"/>
    <cellStyle name="Output 2 4 6 3 7" xfId="46749"/>
    <cellStyle name="Output 2 4 6 3 8" xfId="54872"/>
    <cellStyle name="Output 2 4 6 4" xfId="1339"/>
    <cellStyle name="Output 2 4 6 4 2" xfId="20070"/>
    <cellStyle name="Output 2 4 6 4 3" xfId="20071"/>
    <cellStyle name="Output 2 4 6 4 4" xfId="20072"/>
    <cellStyle name="Output 2 4 6 4 5" xfId="20073"/>
    <cellStyle name="Output 2 4 6 4 6" xfId="37404"/>
    <cellStyle name="Output 2 4 6 4 7" xfId="46750"/>
    <cellStyle name="Output 2 4 6 4 8" xfId="54873"/>
    <cellStyle name="Output 2 4 6 5" xfId="3407"/>
    <cellStyle name="Output 2 4 6 5 2" xfId="20074"/>
    <cellStyle name="Output 2 4 6 5 3" xfId="20075"/>
    <cellStyle name="Output 2 4 6 5 4" xfId="20076"/>
    <cellStyle name="Output 2 4 6 5 5" xfId="20077"/>
    <cellStyle name="Output 2 4 6 5 6" xfId="38020"/>
    <cellStyle name="Output 2 4 6 5 7" xfId="46751"/>
    <cellStyle name="Output 2 4 6 5 8" xfId="54874"/>
    <cellStyle name="Output 2 4 6 6" xfId="3729"/>
    <cellStyle name="Output 2 4 6 6 2" xfId="20078"/>
    <cellStyle name="Output 2 4 6 6 3" xfId="20079"/>
    <cellStyle name="Output 2 4 6 6 4" xfId="20080"/>
    <cellStyle name="Output 2 4 6 6 5" xfId="20081"/>
    <cellStyle name="Output 2 4 6 6 6" xfId="38638"/>
    <cellStyle name="Output 2 4 6 6 7" xfId="46752"/>
    <cellStyle name="Output 2 4 6 6 8" xfId="54875"/>
    <cellStyle name="Output 2 4 6 7" xfId="20082"/>
    <cellStyle name="Output 2 4 6 7 2" xfId="20083"/>
    <cellStyle name="Output 2 4 6 7 3" xfId="20084"/>
    <cellStyle name="Output 2 4 6 7 4" xfId="20085"/>
    <cellStyle name="Output 2 4 6 7 5" xfId="20086"/>
    <cellStyle name="Output 2 4 6 7 6" xfId="39258"/>
    <cellStyle name="Output 2 4 6 7 7" xfId="46753"/>
    <cellStyle name="Output 2 4 6 7 8" xfId="54876"/>
    <cellStyle name="Output 2 4 6 8" xfId="20087"/>
    <cellStyle name="Output 2 4 6 8 2" xfId="20088"/>
    <cellStyle name="Output 2 4 6 8 3" xfId="20089"/>
    <cellStyle name="Output 2 4 6 8 4" xfId="20090"/>
    <cellStyle name="Output 2 4 6 8 5" xfId="20091"/>
    <cellStyle name="Output 2 4 6 8 6" xfId="39874"/>
    <cellStyle name="Output 2 4 6 8 7" xfId="46754"/>
    <cellStyle name="Output 2 4 6 8 8" xfId="54877"/>
    <cellStyle name="Output 2 4 6 9" xfId="20092"/>
    <cellStyle name="Output 2 4 6 9 2" xfId="20093"/>
    <cellStyle name="Output 2 4 6 9 3" xfId="20094"/>
    <cellStyle name="Output 2 4 6 9 4" xfId="20095"/>
    <cellStyle name="Output 2 4 6 9 5" xfId="20096"/>
    <cellStyle name="Output 2 4 6 9 6" xfId="40489"/>
    <cellStyle name="Output 2 4 6 9 7" xfId="46755"/>
    <cellStyle name="Output 2 4 6 9 8" xfId="54878"/>
    <cellStyle name="Output 2 4 7" xfId="2491"/>
    <cellStyle name="Output 2 4 7 10" xfId="34810"/>
    <cellStyle name="Output 2 4 7 10 2" xfId="46757"/>
    <cellStyle name="Output 2 4 7 10 3" xfId="54880"/>
    <cellStyle name="Output 2 4 7 11" xfId="41001"/>
    <cellStyle name="Output 2 4 7 12" xfId="46756"/>
    <cellStyle name="Output 2 4 7 13" xfId="54879"/>
    <cellStyle name="Output 2 4 7 2" xfId="2492"/>
    <cellStyle name="Output 2 4 7 2 2" xfId="36078"/>
    <cellStyle name="Output 2 4 7 2 3" xfId="46758"/>
    <cellStyle name="Output 2 4 7 2 4" xfId="54881"/>
    <cellStyle name="Output 2 4 7 3" xfId="2493"/>
    <cellStyle name="Output 2 4 7 3 2" xfId="36577"/>
    <cellStyle name="Output 2 4 7 3 3" xfId="46759"/>
    <cellStyle name="Output 2 4 7 3 4" xfId="54882"/>
    <cellStyle name="Output 2 4 7 4" xfId="20097"/>
    <cellStyle name="Output 2 4 7 4 2" xfId="37193"/>
    <cellStyle name="Output 2 4 7 4 3" xfId="46760"/>
    <cellStyle name="Output 2 4 7 4 4" xfId="54883"/>
    <cellStyle name="Output 2 4 7 5" xfId="20098"/>
    <cellStyle name="Output 2 4 7 5 2" xfId="37809"/>
    <cellStyle name="Output 2 4 7 5 3" xfId="46761"/>
    <cellStyle name="Output 2 4 7 5 4" xfId="54884"/>
    <cellStyle name="Output 2 4 7 6" xfId="38424"/>
    <cellStyle name="Output 2 4 7 6 2" xfId="46762"/>
    <cellStyle name="Output 2 4 7 6 3" xfId="54885"/>
    <cellStyle name="Output 2 4 7 7" xfId="39044"/>
    <cellStyle name="Output 2 4 7 7 2" xfId="46763"/>
    <cellStyle name="Output 2 4 7 7 3" xfId="54886"/>
    <cellStyle name="Output 2 4 7 8" xfId="39660"/>
    <cellStyle name="Output 2 4 7 8 2" xfId="46764"/>
    <cellStyle name="Output 2 4 7 8 3" xfId="54887"/>
    <cellStyle name="Output 2 4 7 9" xfId="40275"/>
    <cellStyle name="Output 2 4 7 9 2" xfId="46765"/>
    <cellStyle name="Output 2 4 7 9 3" xfId="54888"/>
    <cellStyle name="Output 2 4 8" xfId="1322"/>
    <cellStyle name="Output 2 4 8 10" xfId="46766"/>
    <cellStyle name="Output 2 4 8 11" xfId="54889"/>
    <cellStyle name="Output 2 4 8 2" xfId="20099"/>
    <cellStyle name="Output 2 4 8 2 2" xfId="46767"/>
    <cellStyle name="Output 2 4 8 2 3" xfId="54890"/>
    <cellStyle name="Output 2 4 8 3" xfId="20100"/>
    <cellStyle name="Output 2 4 8 3 2" xfId="46768"/>
    <cellStyle name="Output 2 4 8 3 3" xfId="54891"/>
    <cellStyle name="Output 2 4 8 4" xfId="20101"/>
    <cellStyle name="Output 2 4 8 4 2" xfId="46769"/>
    <cellStyle name="Output 2 4 8 4 3" xfId="54892"/>
    <cellStyle name="Output 2 4 8 5" xfId="20102"/>
    <cellStyle name="Output 2 4 8 5 2" xfId="46770"/>
    <cellStyle name="Output 2 4 8 5 3" xfId="54893"/>
    <cellStyle name="Output 2 4 8 6" xfId="35395"/>
    <cellStyle name="Output 2 4 8 6 2" xfId="46771"/>
    <cellStyle name="Output 2 4 8 6 3" xfId="54894"/>
    <cellStyle name="Output 2 4 8 7" xfId="46772"/>
    <cellStyle name="Output 2 4 8 7 2" xfId="54895"/>
    <cellStyle name="Output 2 4 8 8" xfId="46773"/>
    <cellStyle name="Output 2 4 8 8 2" xfId="54896"/>
    <cellStyle name="Output 2 4 8 9" xfId="46774"/>
    <cellStyle name="Output 2 4 8 9 2" xfId="54897"/>
    <cellStyle name="Output 2 4 9" xfId="3390"/>
    <cellStyle name="Output 2 4 9 2" xfId="20103"/>
    <cellStyle name="Output 2 4 9 3" xfId="20104"/>
    <cellStyle name="Output 2 4 9 4" xfId="20105"/>
    <cellStyle name="Output 2 4 9 5" xfId="20106"/>
    <cellStyle name="Output 2 4 9 6" xfId="35926"/>
    <cellStyle name="Output 2 4 9 7" xfId="46775"/>
    <cellStyle name="Output 2 4 9 8" xfId="54898"/>
    <cellStyle name="Output 2 5" xfId="255"/>
    <cellStyle name="Output 2 5 10" xfId="3730"/>
    <cellStyle name="Output 2 5 10 2" xfId="20107"/>
    <cellStyle name="Output 2 5 10 3" xfId="20108"/>
    <cellStyle name="Output 2 5 10 4" xfId="20109"/>
    <cellStyle name="Output 2 5 10 5" xfId="20110"/>
    <cellStyle name="Output 2 5 10 6" xfId="35825"/>
    <cellStyle name="Output 2 5 10 7" xfId="46776"/>
    <cellStyle name="Output 2 5 10 8" xfId="54899"/>
    <cellStyle name="Output 2 5 11" xfId="20111"/>
    <cellStyle name="Output 2 5 11 2" xfId="20112"/>
    <cellStyle name="Output 2 5 11 3" xfId="20113"/>
    <cellStyle name="Output 2 5 11 4" xfId="20114"/>
    <cellStyle name="Output 2 5 11 5" xfId="20115"/>
    <cellStyle name="Output 2 5 11 6" xfId="36048"/>
    <cellStyle name="Output 2 5 11 7" xfId="46777"/>
    <cellStyle name="Output 2 5 11 8" xfId="54900"/>
    <cellStyle name="Output 2 5 12" xfId="20116"/>
    <cellStyle name="Output 2 5 12 2" xfId="20117"/>
    <cellStyle name="Output 2 5 12 3" xfId="20118"/>
    <cellStyle name="Output 2 5 12 4" xfId="20119"/>
    <cellStyle name="Output 2 5 12 5" xfId="20120"/>
    <cellStyle name="Output 2 5 12 6" xfId="35846"/>
    <cellStyle name="Output 2 5 12 7" xfId="46778"/>
    <cellStyle name="Output 2 5 12 8" xfId="54901"/>
    <cellStyle name="Output 2 5 13" xfId="20121"/>
    <cellStyle name="Output 2 5 13 2" xfId="20122"/>
    <cellStyle name="Output 2 5 13 3" xfId="20123"/>
    <cellStyle name="Output 2 5 13 4" xfId="20124"/>
    <cellStyle name="Output 2 5 13 5" xfId="20125"/>
    <cellStyle name="Output 2 5 13 6" xfId="36051"/>
    <cellStyle name="Output 2 5 13 7" xfId="46779"/>
    <cellStyle name="Output 2 5 13 8" xfId="54902"/>
    <cellStyle name="Output 2 5 14" xfId="20126"/>
    <cellStyle name="Output 2 5 14 2" xfId="20127"/>
    <cellStyle name="Output 2 5 14 3" xfId="20128"/>
    <cellStyle name="Output 2 5 14 4" xfId="20129"/>
    <cellStyle name="Output 2 5 14 5" xfId="20130"/>
    <cellStyle name="Output 2 5 14 6" xfId="35793"/>
    <cellStyle name="Output 2 5 14 7" xfId="46780"/>
    <cellStyle name="Output 2 5 14 8" xfId="54903"/>
    <cellStyle name="Output 2 5 15" xfId="20131"/>
    <cellStyle name="Output 2 5 15 2" xfId="20132"/>
    <cellStyle name="Output 2 5 15 3" xfId="20133"/>
    <cellStyle name="Output 2 5 15 4" xfId="20134"/>
    <cellStyle name="Output 2 5 15 5" xfId="20135"/>
    <cellStyle name="Output 2 5 15 6" xfId="37033"/>
    <cellStyle name="Output 2 5 15 7" xfId="46781"/>
    <cellStyle name="Output 2 5 15 8" xfId="54904"/>
    <cellStyle name="Output 2 5 16" xfId="20136"/>
    <cellStyle name="Output 2 5 16 2" xfId="20137"/>
    <cellStyle name="Output 2 5 16 3" xfId="20138"/>
    <cellStyle name="Output 2 5 16 4" xfId="20139"/>
    <cellStyle name="Output 2 5 16 5" xfId="20140"/>
    <cellStyle name="Output 2 5 16 6" xfId="35909"/>
    <cellStyle name="Output 2 5 16 7" xfId="46782"/>
    <cellStyle name="Output 2 5 16 8" xfId="54905"/>
    <cellStyle name="Output 2 5 17" xfId="20141"/>
    <cellStyle name="Output 2 5 17 2" xfId="20142"/>
    <cellStyle name="Output 2 5 17 3" xfId="20143"/>
    <cellStyle name="Output 2 5 17 4" xfId="20144"/>
    <cellStyle name="Output 2 5 17 5" xfId="20145"/>
    <cellStyle name="Output 2 5 17 6" xfId="46783"/>
    <cellStyle name="Output 2 5 17 7" xfId="54906"/>
    <cellStyle name="Output 2 5 18" xfId="20146"/>
    <cellStyle name="Output 2 5 18 2" xfId="20147"/>
    <cellStyle name="Output 2 5 18 3" xfId="20148"/>
    <cellStyle name="Output 2 5 18 4" xfId="20149"/>
    <cellStyle name="Output 2 5 18 5" xfId="20150"/>
    <cellStyle name="Output 2 5 19" xfId="20151"/>
    <cellStyle name="Output 2 5 19 2" xfId="20152"/>
    <cellStyle name="Output 2 5 19 3" xfId="20153"/>
    <cellStyle name="Output 2 5 19 4" xfId="20154"/>
    <cellStyle name="Output 2 5 19 5" xfId="20155"/>
    <cellStyle name="Output 2 5 2" xfId="293"/>
    <cellStyle name="Output 2 5 2 10" xfId="20156"/>
    <cellStyle name="Output 2 5 2 10 2" xfId="20157"/>
    <cellStyle name="Output 2 5 2 10 3" xfId="20158"/>
    <cellStyle name="Output 2 5 2 10 4" xfId="20159"/>
    <cellStyle name="Output 2 5 2 10 5" xfId="20160"/>
    <cellStyle name="Output 2 5 2 10 6" xfId="37621"/>
    <cellStyle name="Output 2 5 2 10 7" xfId="46784"/>
    <cellStyle name="Output 2 5 2 10 8" xfId="54907"/>
    <cellStyle name="Output 2 5 2 11" xfId="20161"/>
    <cellStyle name="Output 2 5 2 11 2" xfId="20162"/>
    <cellStyle name="Output 2 5 2 11 3" xfId="20163"/>
    <cellStyle name="Output 2 5 2 11 4" xfId="20164"/>
    <cellStyle name="Output 2 5 2 11 5" xfId="20165"/>
    <cellStyle name="Output 2 5 2 11 6" xfId="38238"/>
    <cellStyle name="Output 2 5 2 11 7" xfId="46785"/>
    <cellStyle name="Output 2 5 2 11 8" xfId="54908"/>
    <cellStyle name="Output 2 5 2 12" xfId="20166"/>
    <cellStyle name="Output 2 5 2 12 2" xfId="20167"/>
    <cellStyle name="Output 2 5 2 12 3" xfId="20168"/>
    <cellStyle name="Output 2 5 2 12 4" xfId="20169"/>
    <cellStyle name="Output 2 5 2 12 5" xfId="20170"/>
    <cellStyle name="Output 2 5 2 12 6" xfId="38860"/>
    <cellStyle name="Output 2 5 2 12 7" xfId="46786"/>
    <cellStyle name="Output 2 5 2 12 8" xfId="54909"/>
    <cellStyle name="Output 2 5 2 13" xfId="20171"/>
    <cellStyle name="Output 2 5 2 13 2" xfId="20172"/>
    <cellStyle name="Output 2 5 2 13 3" xfId="20173"/>
    <cellStyle name="Output 2 5 2 13 4" xfId="20174"/>
    <cellStyle name="Output 2 5 2 13 5" xfId="20175"/>
    <cellStyle name="Output 2 5 2 13 6" xfId="39480"/>
    <cellStyle name="Output 2 5 2 13 7" xfId="46787"/>
    <cellStyle name="Output 2 5 2 13 8" xfId="54910"/>
    <cellStyle name="Output 2 5 2 14" xfId="20176"/>
    <cellStyle name="Output 2 5 2 14 2" xfId="20177"/>
    <cellStyle name="Output 2 5 2 14 3" xfId="20178"/>
    <cellStyle name="Output 2 5 2 14 4" xfId="20179"/>
    <cellStyle name="Output 2 5 2 14 5" xfId="20180"/>
    <cellStyle name="Output 2 5 2 14 6" xfId="40098"/>
    <cellStyle name="Output 2 5 2 14 7" xfId="46788"/>
    <cellStyle name="Output 2 5 2 14 8" xfId="54911"/>
    <cellStyle name="Output 2 5 2 15" xfId="20181"/>
    <cellStyle name="Output 2 5 2 15 2" xfId="20182"/>
    <cellStyle name="Output 2 5 2 15 3" xfId="20183"/>
    <cellStyle name="Output 2 5 2 15 4" xfId="20184"/>
    <cellStyle name="Output 2 5 2 15 5" xfId="20185"/>
    <cellStyle name="Output 2 5 2 15 6" xfId="46789"/>
    <cellStyle name="Output 2 5 2 15 7" xfId="54912"/>
    <cellStyle name="Output 2 5 2 16" xfId="20186"/>
    <cellStyle name="Output 2 5 2 16 2" xfId="20187"/>
    <cellStyle name="Output 2 5 2 16 3" xfId="20188"/>
    <cellStyle name="Output 2 5 2 16 4" xfId="20189"/>
    <cellStyle name="Output 2 5 2 16 5" xfId="20190"/>
    <cellStyle name="Output 2 5 2 17" xfId="20191"/>
    <cellStyle name="Output 2 5 2 17 2" xfId="20192"/>
    <cellStyle name="Output 2 5 2 17 3" xfId="20193"/>
    <cellStyle name="Output 2 5 2 17 4" xfId="20194"/>
    <cellStyle name="Output 2 5 2 17 5" xfId="20195"/>
    <cellStyle name="Output 2 5 2 18" xfId="20196"/>
    <cellStyle name="Output 2 5 2 19" xfId="738"/>
    <cellStyle name="Output 2 5 2 2" xfId="394"/>
    <cellStyle name="Output 2 5 2 2 10" xfId="20197"/>
    <cellStyle name="Output 2 5 2 2 10 2" xfId="20198"/>
    <cellStyle name="Output 2 5 2 2 10 3" xfId="20199"/>
    <cellStyle name="Output 2 5 2 2 10 4" xfId="20200"/>
    <cellStyle name="Output 2 5 2 2 10 5" xfId="20201"/>
    <cellStyle name="Output 2 5 2 2 10 6" xfId="39572"/>
    <cellStyle name="Output 2 5 2 2 10 7" xfId="46790"/>
    <cellStyle name="Output 2 5 2 2 10 8" xfId="54913"/>
    <cellStyle name="Output 2 5 2 2 11" xfId="20202"/>
    <cellStyle name="Output 2 5 2 2 11 2" xfId="20203"/>
    <cellStyle name="Output 2 5 2 2 11 3" xfId="20204"/>
    <cellStyle name="Output 2 5 2 2 11 4" xfId="20205"/>
    <cellStyle name="Output 2 5 2 2 11 5" xfId="20206"/>
    <cellStyle name="Output 2 5 2 2 11 6" xfId="40188"/>
    <cellStyle name="Output 2 5 2 2 11 7" xfId="46791"/>
    <cellStyle name="Output 2 5 2 2 11 8" xfId="54914"/>
    <cellStyle name="Output 2 5 2 2 12" xfId="20207"/>
    <cellStyle name="Output 2 5 2 2 12 2" xfId="20208"/>
    <cellStyle name="Output 2 5 2 2 12 3" xfId="20209"/>
    <cellStyle name="Output 2 5 2 2 12 4" xfId="20210"/>
    <cellStyle name="Output 2 5 2 2 12 5" xfId="20211"/>
    <cellStyle name="Output 2 5 2 2 12 6" xfId="46792"/>
    <cellStyle name="Output 2 5 2 2 12 7" xfId="54915"/>
    <cellStyle name="Output 2 5 2 2 13" xfId="20212"/>
    <cellStyle name="Output 2 5 2 2 13 2" xfId="20213"/>
    <cellStyle name="Output 2 5 2 2 13 3" xfId="20214"/>
    <cellStyle name="Output 2 5 2 2 13 4" xfId="20215"/>
    <cellStyle name="Output 2 5 2 2 13 5" xfId="20216"/>
    <cellStyle name="Output 2 5 2 2 13 6" xfId="46793"/>
    <cellStyle name="Output 2 5 2 2 13 7" xfId="54916"/>
    <cellStyle name="Output 2 5 2 2 14" xfId="20217"/>
    <cellStyle name="Output 2 5 2 2 14 2" xfId="20218"/>
    <cellStyle name="Output 2 5 2 2 14 3" xfId="20219"/>
    <cellStyle name="Output 2 5 2 2 14 4" xfId="20220"/>
    <cellStyle name="Output 2 5 2 2 14 5" xfId="20221"/>
    <cellStyle name="Output 2 5 2 2 15" xfId="20222"/>
    <cellStyle name="Output 2 5 2 2 15 2" xfId="20223"/>
    <cellStyle name="Output 2 5 2 2 15 3" xfId="20224"/>
    <cellStyle name="Output 2 5 2 2 15 4" xfId="20225"/>
    <cellStyle name="Output 2 5 2 2 15 5" xfId="20226"/>
    <cellStyle name="Output 2 5 2 2 16" xfId="20227"/>
    <cellStyle name="Output 2 5 2 2 16 2" xfId="20228"/>
    <cellStyle name="Output 2 5 2 2 16 3" xfId="20229"/>
    <cellStyle name="Output 2 5 2 2 16 4" xfId="20230"/>
    <cellStyle name="Output 2 5 2 2 16 5" xfId="20231"/>
    <cellStyle name="Output 2 5 2 2 17" xfId="20232"/>
    <cellStyle name="Output 2 5 2 2 17 2" xfId="20233"/>
    <cellStyle name="Output 2 5 2 2 17 3" xfId="20234"/>
    <cellStyle name="Output 2 5 2 2 17 4" xfId="20235"/>
    <cellStyle name="Output 2 5 2 2 17 5" xfId="20236"/>
    <cellStyle name="Output 2 5 2 2 18" xfId="20237"/>
    <cellStyle name="Output 2 5 2 2 18 2" xfId="20238"/>
    <cellStyle name="Output 2 5 2 2 18 3" xfId="20239"/>
    <cellStyle name="Output 2 5 2 2 18 4" xfId="20240"/>
    <cellStyle name="Output 2 5 2 2 18 5" xfId="20241"/>
    <cellStyle name="Output 2 5 2 2 19" xfId="20242"/>
    <cellStyle name="Output 2 5 2 2 2" xfId="613"/>
    <cellStyle name="Output 2 5 2 2 2 10" xfId="20243"/>
    <cellStyle name="Output 2 5 2 2 2 10 2" xfId="20244"/>
    <cellStyle name="Output 2 5 2 2 2 10 3" xfId="20245"/>
    <cellStyle name="Output 2 5 2 2 2 10 4" xfId="20246"/>
    <cellStyle name="Output 2 5 2 2 2 10 5" xfId="20247"/>
    <cellStyle name="Output 2 5 2 2 2 10 6" xfId="46794"/>
    <cellStyle name="Output 2 5 2 2 2 10 7" xfId="54917"/>
    <cellStyle name="Output 2 5 2 2 2 11" xfId="20248"/>
    <cellStyle name="Output 2 5 2 2 2 11 2" xfId="20249"/>
    <cellStyle name="Output 2 5 2 2 2 11 3" xfId="20250"/>
    <cellStyle name="Output 2 5 2 2 2 11 4" xfId="20251"/>
    <cellStyle name="Output 2 5 2 2 2 11 5" xfId="20252"/>
    <cellStyle name="Output 2 5 2 2 2 12" xfId="20253"/>
    <cellStyle name="Output 2 5 2 2 2 12 2" xfId="20254"/>
    <cellStyle name="Output 2 5 2 2 2 12 3" xfId="20255"/>
    <cellStyle name="Output 2 5 2 2 2 12 4" xfId="20256"/>
    <cellStyle name="Output 2 5 2 2 2 12 5" xfId="20257"/>
    <cellStyle name="Output 2 5 2 2 2 13" xfId="20258"/>
    <cellStyle name="Output 2 5 2 2 2 13 2" xfId="20259"/>
    <cellStyle name="Output 2 5 2 2 2 13 3" xfId="20260"/>
    <cellStyle name="Output 2 5 2 2 2 13 4" xfId="20261"/>
    <cellStyle name="Output 2 5 2 2 2 13 5" xfId="20262"/>
    <cellStyle name="Output 2 5 2 2 2 14" xfId="20263"/>
    <cellStyle name="Output 2 5 2 2 2 14 2" xfId="20264"/>
    <cellStyle name="Output 2 5 2 2 2 14 3" xfId="20265"/>
    <cellStyle name="Output 2 5 2 2 2 14 4" xfId="20266"/>
    <cellStyle name="Output 2 5 2 2 2 14 5" xfId="20267"/>
    <cellStyle name="Output 2 5 2 2 2 15" xfId="20268"/>
    <cellStyle name="Output 2 5 2 2 2 15 2" xfId="20269"/>
    <cellStyle name="Output 2 5 2 2 2 15 3" xfId="20270"/>
    <cellStyle name="Output 2 5 2 2 2 15 4" xfId="20271"/>
    <cellStyle name="Output 2 5 2 2 2 15 5" xfId="20272"/>
    <cellStyle name="Output 2 5 2 2 2 16" xfId="20273"/>
    <cellStyle name="Output 2 5 2 2 2 16 2" xfId="20274"/>
    <cellStyle name="Output 2 5 2 2 2 16 3" xfId="20275"/>
    <cellStyle name="Output 2 5 2 2 2 16 4" xfId="20276"/>
    <cellStyle name="Output 2 5 2 2 2 16 5" xfId="20277"/>
    <cellStyle name="Output 2 5 2 2 2 17" xfId="20278"/>
    <cellStyle name="Output 2 5 2 2 2 17 2" xfId="20279"/>
    <cellStyle name="Output 2 5 2 2 2 17 3" xfId="20280"/>
    <cellStyle name="Output 2 5 2 2 2 17 4" xfId="20281"/>
    <cellStyle name="Output 2 5 2 2 2 17 5" xfId="20282"/>
    <cellStyle name="Output 2 5 2 2 2 18" xfId="20283"/>
    <cellStyle name="Output 2 5 2 2 2 18 2" xfId="20284"/>
    <cellStyle name="Output 2 5 2 2 2 18 3" xfId="20285"/>
    <cellStyle name="Output 2 5 2 2 2 18 4" xfId="20286"/>
    <cellStyle name="Output 2 5 2 2 2 18 5" xfId="20287"/>
    <cellStyle name="Output 2 5 2 2 2 19" xfId="20288"/>
    <cellStyle name="Output 2 5 2 2 2 2" xfId="2494"/>
    <cellStyle name="Output 2 5 2 2 2 2 2" xfId="20289"/>
    <cellStyle name="Output 2 5 2 2 2 2 3" xfId="20290"/>
    <cellStyle name="Output 2 5 2 2 2 2 4" xfId="20291"/>
    <cellStyle name="Output 2 5 2 2 2 2 5" xfId="20292"/>
    <cellStyle name="Output 2 5 2 2 2 2 6" xfId="36417"/>
    <cellStyle name="Output 2 5 2 2 2 2 7" xfId="46795"/>
    <cellStyle name="Output 2 5 2 2 2 2 8" xfId="54918"/>
    <cellStyle name="Output 2 5 2 2 2 20" xfId="1042"/>
    <cellStyle name="Output 2 5 2 2 2 21" xfId="35122"/>
    <cellStyle name="Output 2 5 2 2 2 22" xfId="41341"/>
    <cellStyle name="Output 2 5 2 2 2 3" xfId="2495"/>
    <cellStyle name="Output 2 5 2 2 2 3 2" xfId="20293"/>
    <cellStyle name="Output 2 5 2 2 2 3 3" xfId="20294"/>
    <cellStyle name="Output 2 5 2 2 2 3 4" xfId="20295"/>
    <cellStyle name="Output 2 5 2 2 2 3 5" xfId="20296"/>
    <cellStyle name="Output 2 5 2 2 2 3 6" xfId="36914"/>
    <cellStyle name="Output 2 5 2 2 2 3 7" xfId="46796"/>
    <cellStyle name="Output 2 5 2 2 2 3 8" xfId="54919"/>
    <cellStyle name="Output 2 5 2 2 2 4" xfId="1343"/>
    <cellStyle name="Output 2 5 2 2 2 4 2" xfId="20297"/>
    <cellStyle name="Output 2 5 2 2 2 4 3" xfId="20298"/>
    <cellStyle name="Output 2 5 2 2 2 4 4" xfId="20299"/>
    <cellStyle name="Output 2 5 2 2 2 4 5" xfId="20300"/>
    <cellStyle name="Output 2 5 2 2 2 4 6" xfId="37530"/>
    <cellStyle name="Output 2 5 2 2 2 4 7" xfId="46797"/>
    <cellStyle name="Output 2 5 2 2 2 4 8" xfId="54920"/>
    <cellStyle name="Output 2 5 2 2 2 5" xfId="3411"/>
    <cellStyle name="Output 2 5 2 2 2 5 2" xfId="20301"/>
    <cellStyle name="Output 2 5 2 2 2 5 3" xfId="20302"/>
    <cellStyle name="Output 2 5 2 2 2 5 4" xfId="20303"/>
    <cellStyle name="Output 2 5 2 2 2 5 5" xfId="20304"/>
    <cellStyle name="Output 2 5 2 2 2 5 6" xfId="38146"/>
    <cellStyle name="Output 2 5 2 2 2 5 7" xfId="46798"/>
    <cellStyle name="Output 2 5 2 2 2 5 8" xfId="54921"/>
    <cellStyle name="Output 2 5 2 2 2 6" xfId="3733"/>
    <cellStyle name="Output 2 5 2 2 2 6 2" xfId="20305"/>
    <cellStyle name="Output 2 5 2 2 2 6 3" xfId="20306"/>
    <cellStyle name="Output 2 5 2 2 2 6 4" xfId="20307"/>
    <cellStyle name="Output 2 5 2 2 2 6 5" xfId="20308"/>
    <cellStyle name="Output 2 5 2 2 2 6 6" xfId="38764"/>
    <cellStyle name="Output 2 5 2 2 2 6 7" xfId="46799"/>
    <cellStyle name="Output 2 5 2 2 2 6 8" xfId="54922"/>
    <cellStyle name="Output 2 5 2 2 2 7" xfId="20309"/>
    <cellStyle name="Output 2 5 2 2 2 7 2" xfId="20310"/>
    <cellStyle name="Output 2 5 2 2 2 7 3" xfId="20311"/>
    <cellStyle name="Output 2 5 2 2 2 7 4" xfId="20312"/>
    <cellStyle name="Output 2 5 2 2 2 7 5" xfId="20313"/>
    <cellStyle name="Output 2 5 2 2 2 7 6" xfId="39384"/>
    <cellStyle name="Output 2 5 2 2 2 7 7" xfId="46800"/>
    <cellStyle name="Output 2 5 2 2 2 7 8" xfId="54923"/>
    <cellStyle name="Output 2 5 2 2 2 8" xfId="20314"/>
    <cellStyle name="Output 2 5 2 2 2 8 2" xfId="20315"/>
    <cellStyle name="Output 2 5 2 2 2 8 3" xfId="20316"/>
    <cellStyle name="Output 2 5 2 2 2 8 4" xfId="20317"/>
    <cellStyle name="Output 2 5 2 2 2 8 5" xfId="20318"/>
    <cellStyle name="Output 2 5 2 2 2 8 6" xfId="40000"/>
    <cellStyle name="Output 2 5 2 2 2 8 7" xfId="46801"/>
    <cellStyle name="Output 2 5 2 2 2 8 8" xfId="54924"/>
    <cellStyle name="Output 2 5 2 2 2 9" xfId="20319"/>
    <cellStyle name="Output 2 5 2 2 2 9 2" xfId="20320"/>
    <cellStyle name="Output 2 5 2 2 2 9 3" xfId="20321"/>
    <cellStyle name="Output 2 5 2 2 2 9 4" xfId="20322"/>
    <cellStyle name="Output 2 5 2 2 2 9 5" xfId="20323"/>
    <cellStyle name="Output 2 5 2 2 2 9 6" xfId="40615"/>
    <cellStyle name="Output 2 5 2 2 2 9 7" xfId="46802"/>
    <cellStyle name="Output 2 5 2 2 2 9 8" xfId="54925"/>
    <cellStyle name="Output 2 5 2 2 20" xfId="830"/>
    <cellStyle name="Output 2 5 2 2 21" xfId="34703"/>
    <cellStyle name="Output 2 5 2 2 22" xfId="40914"/>
    <cellStyle name="Output 2 5 2 2 23" xfId="41475"/>
    <cellStyle name="Output 2 5 2 2 24" xfId="50562"/>
    <cellStyle name="Output 2 5 2 2 3" xfId="2496"/>
    <cellStyle name="Output 2 5 2 2 3 10" xfId="34751"/>
    <cellStyle name="Output 2 5 2 2 3 10 2" xfId="46804"/>
    <cellStyle name="Output 2 5 2 2 3 10 3" xfId="54927"/>
    <cellStyle name="Output 2 5 2 2 3 11" xfId="41129"/>
    <cellStyle name="Output 2 5 2 2 3 12" xfId="46803"/>
    <cellStyle name="Output 2 5 2 2 3 13" xfId="54926"/>
    <cellStyle name="Output 2 5 2 2 3 2" xfId="2497"/>
    <cellStyle name="Output 2 5 2 2 3 2 2" xfId="36206"/>
    <cellStyle name="Output 2 5 2 2 3 2 3" xfId="46805"/>
    <cellStyle name="Output 2 5 2 2 3 2 4" xfId="54928"/>
    <cellStyle name="Output 2 5 2 2 3 3" xfId="2498"/>
    <cellStyle name="Output 2 5 2 2 3 3 2" xfId="36703"/>
    <cellStyle name="Output 2 5 2 2 3 3 3" xfId="46806"/>
    <cellStyle name="Output 2 5 2 2 3 3 4" xfId="54929"/>
    <cellStyle name="Output 2 5 2 2 3 4" xfId="20324"/>
    <cellStyle name="Output 2 5 2 2 3 4 2" xfId="37319"/>
    <cellStyle name="Output 2 5 2 2 3 4 3" xfId="46807"/>
    <cellStyle name="Output 2 5 2 2 3 4 4" xfId="54930"/>
    <cellStyle name="Output 2 5 2 2 3 5" xfId="20325"/>
    <cellStyle name="Output 2 5 2 2 3 5 2" xfId="37935"/>
    <cellStyle name="Output 2 5 2 2 3 5 3" xfId="46808"/>
    <cellStyle name="Output 2 5 2 2 3 5 4" xfId="54931"/>
    <cellStyle name="Output 2 5 2 2 3 6" xfId="38552"/>
    <cellStyle name="Output 2 5 2 2 3 6 2" xfId="46809"/>
    <cellStyle name="Output 2 5 2 2 3 6 3" xfId="54932"/>
    <cellStyle name="Output 2 5 2 2 3 7" xfId="39172"/>
    <cellStyle name="Output 2 5 2 2 3 7 2" xfId="46810"/>
    <cellStyle name="Output 2 5 2 2 3 7 3" xfId="54933"/>
    <cellStyle name="Output 2 5 2 2 3 8" xfId="39788"/>
    <cellStyle name="Output 2 5 2 2 3 8 2" xfId="46811"/>
    <cellStyle name="Output 2 5 2 2 3 8 3" xfId="54934"/>
    <cellStyle name="Output 2 5 2 2 3 9" xfId="40403"/>
    <cellStyle name="Output 2 5 2 2 3 9 2" xfId="46812"/>
    <cellStyle name="Output 2 5 2 2 3 9 3" xfId="54935"/>
    <cellStyle name="Output 2 5 2 2 4" xfId="2499"/>
    <cellStyle name="Output 2 5 2 2 4 10" xfId="46813"/>
    <cellStyle name="Output 2 5 2 2 4 11" xfId="54936"/>
    <cellStyle name="Output 2 5 2 2 4 2" xfId="20326"/>
    <cellStyle name="Output 2 5 2 2 4 2 2" xfId="46814"/>
    <cellStyle name="Output 2 5 2 2 4 2 3" xfId="54937"/>
    <cellStyle name="Output 2 5 2 2 4 3" xfId="20327"/>
    <cellStyle name="Output 2 5 2 2 4 3 2" xfId="46815"/>
    <cellStyle name="Output 2 5 2 2 4 3 3" xfId="54938"/>
    <cellStyle name="Output 2 5 2 2 4 4" xfId="20328"/>
    <cellStyle name="Output 2 5 2 2 4 4 2" xfId="46816"/>
    <cellStyle name="Output 2 5 2 2 4 4 3" xfId="54939"/>
    <cellStyle name="Output 2 5 2 2 4 5" xfId="20329"/>
    <cellStyle name="Output 2 5 2 2 4 5 2" xfId="46817"/>
    <cellStyle name="Output 2 5 2 2 4 5 3" xfId="54940"/>
    <cellStyle name="Output 2 5 2 2 4 6" xfId="35701"/>
    <cellStyle name="Output 2 5 2 2 4 6 2" xfId="46818"/>
    <cellStyle name="Output 2 5 2 2 4 6 3" xfId="54941"/>
    <cellStyle name="Output 2 5 2 2 4 7" xfId="46819"/>
    <cellStyle name="Output 2 5 2 2 4 7 2" xfId="54942"/>
    <cellStyle name="Output 2 5 2 2 4 8" xfId="46820"/>
    <cellStyle name="Output 2 5 2 2 4 8 2" xfId="54943"/>
    <cellStyle name="Output 2 5 2 2 4 9" xfId="46821"/>
    <cellStyle name="Output 2 5 2 2 4 9 2" xfId="54944"/>
    <cellStyle name="Output 2 5 2 2 5" xfId="1342"/>
    <cellStyle name="Output 2 5 2 2 5 2" xfId="20330"/>
    <cellStyle name="Output 2 5 2 2 5 3" xfId="20331"/>
    <cellStyle name="Output 2 5 2 2 5 4" xfId="20332"/>
    <cellStyle name="Output 2 5 2 2 5 5" xfId="20333"/>
    <cellStyle name="Output 2 5 2 2 5 6" xfId="36488"/>
    <cellStyle name="Output 2 5 2 2 5 7" xfId="46822"/>
    <cellStyle name="Output 2 5 2 2 5 8" xfId="54945"/>
    <cellStyle name="Output 2 5 2 2 6" xfId="3410"/>
    <cellStyle name="Output 2 5 2 2 6 2" xfId="20334"/>
    <cellStyle name="Output 2 5 2 2 6 3" xfId="20335"/>
    <cellStyle name="Output 2 5 2 2 6 4" xfId="20336"/>
    <cellStyle name="Output 2 5 2 2 6 5" xfId="20337"/>
    <cellStyle name="Output 2 5 2 2 6 6" xfId="37104"/>
    <cellStyle name="Output 2 5 2 2 6 7" xfId="46823"/>
    <cellStyle name="Output 2 5 2 2 6 8" xfId="54946"/>
    <cellStyle name="Output 2 5 2 2 7" xfId="3732"/>
    <cellStyle name="Output 2 5 2 2 7 2" xfId="20338"/>
    <cellStyle name="Output 2 5 2 2 7 3" xfId="20339"/>
    <cellStyle name="Output 2 5 2 2 7 4" xfId="20340"/>
    <cellStyle name="Output 2 5 2 2 7 5" xfId="20341"/>
    <cellStyle name="Output 2 5 2 2 7 6" xfId="37718"/>
    <cellStyle name="Output 2 5 2 2 7 7" xfId="46824"/>
    <cellStyle name="Output 2 5 2 2 7 8" xfId="54947"/>
    <cellStyle name="Output 2 5 2 2 8" xfId="20342"/>
    <cellStyle name="Output 2 5 2 2 8 2" xfId="20343"/>
    <cellStyle name="Output 2 5 2 2 8 3" xfId="20344"/>
    <cellStyle name="Output 2 5 2 2 8 4" xfId="20345"/>
    <cellStyle name="Output 2 5 2 2 8 5" xfId="20346"/>
    <cellStyle name="Output 2 5 2 2 8 6" xfId="38333"/>
    <cellStyle name="Output 2 5 2 2 8 7" xfId="46825"/>
    <cellStyle name="Output 2 5 2 2 8 8" xfId="54948"/>
    <cellStyle name="Output 2 5 2 2 9" xfId="20347"/>
    <cellStyle name="Output 2 5 2 2 9 2" xfId="20348"/>
    <cellStyle name="Output 2 5 2 2 9 3" xfId="20349"/>
    <cellStyle name="Output 2 5 2 2 9 4" xfId="20350"/>
    <cellStyle name="Output 2 5 2 2 9 5" xfId="20351"/>
    <cellStyle name="Output 2 5 2 2 9 6" xfId="38953"/>
    <cellStyle name="Output 2 5 2 2 9 7" xfId="46826"/>
    <cellStyle name="Output 2 5 2 2 9 8" xfId="54949"/>
    <cellStyle name="Output 2 5 2 20" xfId="34946"/>
    <cellStyle name="Output 2 5 2 21" xfId="40822"/>
    <cellStyle name="Output 2 5 2 3" xfId="395"/>
    <cellStyle name="Output 2 5 2 3 10" xfId="20352"/>
    <cellStyle name="Output 2 5 2 3 10 2" xfId="20353"/>
    <cellStyle name="Output 2 5 2 3 10 3" xfId="20354"/>
    <cellStyle name="Output 2 5 2 3 10 4" xfId="20355"/>
    <cellStyle name="Output 2 5 2 3 10 5" xfId="20356"/>
    <cellStyle name="Output 2 5 2 3 10 6" xfId="40189"/>
    <cellStyle name="Output 2 5 2 3 10 7" xfId="46827"/>
    <cellStyle name="Output 2 5 2 3 10 8" xfId="54950"/>
    <cellStyle name="Output 2 5 2 3 11" xfId="20357"/>
    <cellStyle name="Output 2 5 2 3 11 2" xfId="20358"/>
    <cellStyle name="Output 2 5 2 3 11 3" xfId="20359"/>
    <cellStyle name="Output 2 5 2 3 11 4" xfId="20360"/>
    <cellStyle name="Output 2 5 2 3 11 5" xfId="20361"/>
    <cellStyle name="Output 2 5 2 3 11 6" xfId="46828"/>
    <cellStyle name="Output 2 5 2 3 11 7" xfId="54951"/>
    <cellStyle name="Output 2 5 2 3 12" xfId="20362"/>
    <cellStyle name="Output 2 5 2 3 12 2" xfId="20363"/>
    <cellStyle name="Output 2 5 2 3 12 3" xfId="20364"/>
    <cellStyle name="Output 2 5 2 3 12 4" xfId="20365"/>
    <cellStyle name="Output 2 5 2 3 12 5" xfId="20366"/>
    <cellStyle name="Output 2 5 2 3 12 6" xfId="46829"/>
    <cellStyle name="Output 2 5 2 3 12 7" xfId="54952"/>
    <cellStyle name="Output 2 5 2 3 13" xfId="20367"/>
    <cellStyle name="Output 2 5 2 3 13 2" xfId="20368"/>
    <cellStyle name="Output 2 5 2 3 13 3" xfId="20369"/>
    <cellStyle name="Output 2 5 2 3 13 4" xfId="20370"/>
    <cellStyle name="Output 2 5 2 3 13 5" xfId="20371"/>
    <cellStyle name="Output 2 5 2 3 13 6" xfId="46830"/>
    <cellStyle name="Output 2 5 2 3 13 7" xfId="54953"/>
    <cellStyle name="Output 2 5 2 3 14" xfId="20372"/>
    <cellStyle name="Output 2 5 2 3 14 2" xfId="20373"/>
    <cellStyle name="Output 2 5 2 3 14 3" xfId="20374"/>
    <cellStyle name="Output 2 5 2 3 14 4" xfId="20375"/>
    <cellStyle name="Output 2 5 2 3 14 5" xfId="20376"/>
    <cellStyle name="Output 2 5 2 3 15" xfId="20377"/>
    <cellStyle name="Output 2 5 2 3 15 2" xfId="20378"/>
    <cellStyle name="Output 2 5 2 3 15 3" xfId="20379"/>
    <cellStyle name="Output 2 5 2 3 15 4" xfId="20380"/>
    <cellStyle name="Output 2 5 2 3 15 5" xfId="20381"/>
    <cellStyle name="Output 2 5 2 3 16" xfId="20382"/>
    <cellStyle name="Output 2 5 2 3 16 2" xfId="20383"/>
    <cellStyle name="Output 2 5 2 3 16 3" xfId="20384"/>
    <cellStyle name="Output 2 5 2 3 16 4" xfId="20385"/>
    <cellStyle name="Output 2 5 2 3 16 5" xfId="20386"/>
    <cellStyle name="Output 2 5 2 3 17" xfId="20387"/>
    <cellStyle name="Output 2 5 2 3 17 2" xfId="20388"/>
    <cellStyle name="Output 2 5 2 3 17 3" xfId="20389"/>
    <cellStyle name="Output 2 5 2 3 17 4" xfId="20390"/>
    <cellStyle name="Output 2 5 2 3 17 5" xfId="20391"/>
    <cellStyle name="Output 2 5 2 3 18" xfId="20392"/>
    <cellStyle name="Output 2 5 2 3 18 2" xfId="20393"/>
    <cellStyle name="Output 2 5 2 3 18 3" xfId="20394"/>
    <cellStyle name="Output 2 5 2 3 18 4" xfId="20395"/>
    <cellStyle name="Output 2 5 2 3 18 5" xfId="20396"/>
    <cellStyle name="Output 2 5 2 3 19" xfId="20397"/>
    <cellStyle name="Output 2 5 2 3 2" xfId="614"/>
    <cellStyle name="Output 2 5 2 3 2 10" xfId="20398"/>
    <cellStyle name="Output 2 5 2 3 2 10 2" xfId="20399"/>
    <cellStyle name="Output 2 5 2 3 2 10 3" xfId="20400"/>
    <cellStyle name="Output 2 5 2 3 2 10 4" xfId="20401"/>
    <cellStyle name="Output 2 5 2 3 2 10 5" xfId="20402"/>
    <cellStyle name="Output 2 5 2 3 2 10 6" xfId="46831"/>
    <cellStyle name="Output 2 5 2 3 2 10 7" xfId="54954"/>
    <cellStyle name="Output 2 5 2 3 2 11" xfId="20403"/>
    <cellStyle name="Output 2 5 2 3 2 11 2" xfId="20404"/>
    <cellStyle name="Output 2 5 2 3 2 11 3" xfId="20405"/>
    <cellStyle name="Output 2 5 2 3 2 11 4" xfId="20406"/>
    <cellStyle name="Output 2 5 2 3 2 11 5" xfId="20407"/>
    <cellStyle name="Output 2 5 2 3 2 12" xfId="20408"/>
    <cellStyle name="Output 2 5 2 3 2 12 2" xfId="20409"/>
    <cellStyle name="Output 2 5 2 3 2 12 3" xfId="20410"/>
    <cellStyle name="Output 2 5 2 3 2 12 4" xfId="20411"/>
    <cellStyle name="Output 2 5 2 3 2 12 5" xfId="20412"/>
    <cellStyle name="Output 2 5 2 3 2 13" xfId="20413"/>
    <cellStyle name="Output 2 5 2 3 2 13 2" xfId="20414"/>
    <cellStyle name="Output 2 5 2 3 2 13 3" xfId="20415"/>
    <cellStyle name="Output 2 5 2 3 2 13 4" xfId="20416"/>
    <cellStyle name="Output 2 5 2 3 2 13 5" xfId="20417"/>
    <cellStyle name="Output 2 5 2 3 2 14" xfId="20418"/>
    <cellStyle name="Output 2 5 2 3 2 14 2" xfId="20419"/>
    <cellStyle name="Output 2 5 2 3 2 14 3" xfId="20420"/>
    <cellStyle name="Output 2 5 2 3 2 14 4" xfId="20421"/>
    <cellStyle name="Output 2 5 2 3 2 14 5" xfId="20422"/>
    <cellStyle name="Output 2 5 2 3 2 15" xfId="20423"/>
    <cellStyle name="Output 2 5 2 3 2 15 2" xfId="20424"/>
    <cellStyle name="Output 2 5 2 3 2 15 3" xfId="20425"/>
    <cellStyle name="Output 2 5 2 3 2 15 4" xfId="20426"/>
    <cellStyle name="Output 2 5 2 3 2 15 5" xfId="20427"/>
    <cellStyle name="Output 2 5 2 3 2 16" xfId="20428"/>
    <cellStyle name="Output 2 5 2 3 2 16 2" xfId="20429"/>
    <cellStyle name="Output 2 5 2 3 2 16 3" xfId="20430"/>
    <cellStyle name="Output 2 5 2 3 2 16 4" xfId="20431"/>
    <cellStyle name="Output 2 5 2 3 2 16 5" xfId="20432"/>
    <cellStyle name="Output 2 5 2 3 2 17" xfId="20433"/>
    <cellStyle name="Output 2 5 2 3 2 17 2" xfId="20434"/>
    <cellStyle name="Output 2 5 2 3 2 17 3" xfId="20435"/>
    <cellStyle name="Output 2 5 2 3 2 17 4" xfId="20436"/>
    <cellStyle name="Output 2 5 2 3 2 17 5" xfId="20437"/>
    <cellStyle name="Output 2 5 2 3 2 18" xfId="20438"/>
    <cellStyle name="Output 2 5 2 3 2 18 2" xfId="20439"/>
    <cellStyle name="Output 2 5 2 3 2 18 3" xfId="20440"/>
    <cellStyle name="Output 2 5 2 3 2 18 4" xfId="20441"/>
    <cellStyle name="Output 2 5 2 3 2 18 5" xfId="20442"/>
    <cellStyle name="Output 2 5 2 3 2 19" xfId="20443"/>
    <cellStyle name="Output 2 5 2 3 2 2" xfId="2500"/>
    <cellStyle name="Output 2 5 2 3 2 2 2" xfId="20444"/>
    <cellStyle name="Output 2 5 2 3 2 2 3" xfId="20445"/>
    <cellStyle name="Output 2 5 2 3 2 2 4" xfId="20446"/>
    <cellStyle name="Output 2 5 2 3 2 2 5" xfId="20447"/>
    <cellStyle name="Output 2 5 2 3 2 2 6" xfId="36418"/>
    <cellStyle name="Output 2 5 2 3 2 2 7" xfId="46832"/>
    <cellStyle name="Output 2 5 2 3 2 2 8" xfId="54955"/>
    <cellStyle name="Output 2 5 2 3 2 20" xfId="1043"/>
    <cellStyle name="Output 2 5 2 3 2 21" xfId="35123"/>
    <cellStyle name="Output 2 5 2 3 2 22" xfId="41342"/>
    <cellStyle name="Output 2 5 2 3 2 3" xfId="2501"/>
    <cellStyle name="Output 2 5 2 3 2 3 2" xfId="20448"/>
    <cellStyle name="Output 2 5 2 3 2 3 3" xfId="20449"/>
    <cellStyle name="Output 2 5 2 3 2 3 4" xfId="20450"/>
    <cellStyle name="Output 2 5 2 3 2 3 5" xfId="20451"/>
    <cellStyle name="Output 2 5 2 3 2 3 6" xfId="36915"/>
    <cellStyle name="Output 2 5 2 3 2 3 7" xfId="46833"/>
    <cellStyle name="Output 2 5 2 3 2 3 8" xfId="54956"/>
    <cellStyle name="Output 2 5 2 3 2 4" xfId="1345"/>
    <cellStyle name="Output 2 5 2 3 2 4 2" xfId="20452"/>
    <cellStyle name="Output 2 5 2 3 2 4 3" xfId="20453"/>
    <cellStyle name="Output 2 5 2 3 2 4 4" xfId="20454"/>
    <cellStyle name="Output 2 5 2 3 2 4 5" xfId="20455"/>
    <cellStyle name="Output 2 5 2 3 2 4 6" xfId="37531"/>
    <cellStyle name="Output 2 5 2 3 2 4 7" xfId="46834"/>
    <cellStyle name="Output 2 5 2 3 2 4 8" xfId="54957"/>
    <cellStyle name="Output 2 5 2 3 2 5" xfId="3413"/>
    <cellStyle name="Output 2 5 2 3 2 5 2" xfId="20456"/>
    <cellStyle name="Output 2 5 2 3 2 5 3" xfId="20457"/>
    <cellStyle name="Output 2 5 2 3 2 5 4" xfId="20458"/>
    <cellStyle name="Output 2 5 2 3 2 5 5" xfId="20459"/>
    <cellStyle name="Output 2 5 2 3 2 5 6" xfId="38147"/>
    <cellStyle name="Output 2 5 2 3 2 5 7" xfId="46835"/>
    <cellStyle name="Output 2 5 2 3 2 5 8" xfId="54958"/>
    <cellStyle name="Output 2 5 2 3 2 6" xfId="3735"/>
    <cellStyle name="Output 2 5 2 3 2 6 2" xfId="20460"/>
    <cellStyle name="Output 2 5 2 3 2 6 3" xfId="20461"/>
    <cellStyle name="Output 2 5 2 3 2 6 4" xfId="20462"/>
    <cellStyle name="Output 2 5 2 3 2 6 5" xfId="20463"/>
    <cellStyle name="Output 2 5 2 3 2 6 6" xfId="38765"/>
    <cellStyle name="Output 2 5 2 3 2 6 7" xfId="46836"/>
    <cellStyle name="Output 2 5 2 3 2 6 8" xfId="54959"/>
    <cellStyle name="Output 2 5 2 3 2 7" xfId="20464"/>
    <cellStyle name="Output 2 5 2 3 2 7 2" xfId="20465"/>
    <cellStyle name="Output 2 5 2 3 2 7 3" xfId="20466"/>
    <cellStyle name="Output 2 5 2 3 2 7 4" xfId="20467"/>
    <cellStyle name="Output 2 5 2 3 2 7 5" xfId="20468"/>
    <cellStyle name="Output 2 5 2 3 2 7 6" xfId="39385"/>
    <cellStyle name="Output 2 5 2 3 2 7 7" xfId="46837"/>
    <cellStyle name="Output 2 5 2 3 2 7 8" xfId="54960"/>
    <cellStyle name="Output 2 5 2 3 2 8" xfId="20469"/>
    <cellStyle name="Output 2 5 2 3 2 8 2" xfId="20470"/>
    <cellStyle name="Output 2 5 2 3 2 8 3" xfId="20471"/>
    <cellStyle name="Output 2 5 2 3 2 8 4" xfId="20472"/>
    <cellStyle name="Output 2 5 2 3 2 8 5" xfId="20473"/>
    <cellStyle name="Output 2 5 2 3 2 8 6" xfId="40001"/>
    <cellStyle name="Output 2 5 2 3 2 8 7" xfId="46838"/>
    <cellStyle name="Output 2 5 2 3 2 8 8" xfId="54961"/>
    <cellStyle name="Output 2 5 2 3 2 9" xfId="20474"/>
    <cellStyle name="Output 2 5 2 3 2 9 2" xfId="20475"/>
    <cellStyle name="Output 2 5 2 3 2 9 3" xfId="20476"/>
    <cellStyle name="Output 2 5 2 3 2 9 4" xfId="20477"/>
    <cellStyle name="Output 2 5 2 3 2 9 5" xfId="20478"/>
    <cellStyle name="Output 2 5 2 3 2 9 6" xfId="40616"/>
    <cellStyle name="Output 2 5 2 3 2 9 7" xfId="46839"/>
    <cellStyle name="Output 2 5 2 3 2 9 8" xfId="54962"/>
    <cellStyle name="Output 2 5 2 3 20" xfId="831"/>
    <cellStyle name="Output 2 5 2 3 21" xfId="34702"/>
    <cellStyle name="Output 2 5 2 3 22" xfId="40915"/>
    <cellStyle name="Output 2 5 2 3 23" xfId="41476"/>
    <cellStyle name="Output 2 5 2 3 24" xfId="50563"/>
    <cellStyle name="Output 2 5 2 3 3" xfId="2502"/>
    <cellStyle name="Output 2 5 2 3 3 10" xfId="34735"/>
    <cellStyle name="Output 2 5 2 3 3 10 2" xfId="46841"/>
    <cellStyle name="Output 2 5 2 3 3 10 3" xfId="54964"/>
    <cellStyle name="Output 2 5 2 3 3 11" xfId="41130"/>
    <cellStyle name="Output 2 5 2 3 3 12" xfId="46840"/>
    <cellStyle name="Output 2 5 2 3 3 13" xfId="54963"/>
    <cellStyle name="Output 2 5 2 3 3 2" xfId="2503"/>
    <cellStyle name="Output 2 5 2 3 3 2 2" xfId="36207"/>
    <cellStyle name="Output 2 5 2 3 3 2 3" xfId="46842"/>
    <cellStyle name="Output 2 5 2 3 3 2 4" xfId="54965"/>
    <cellStyle name="Output 2 5 2 3 3 3" xfId="2504"/>
    <cellStyle name="Output 2 5 2 3 3 3 2" xfId="36704"/>
    <cellStyle name="Output 2 5 2 3 3 3 3" xfId="46843"/>
    <cellStyle name="Output 2 5 2 3 3 3 4" xfId="54966"/>
    <cellStyle name="Output 2 5 2 3 3 4" xfId="20479"/>
    <cellStyle name="Output 2 5 2 3 3 4 2" xfId="37320"/>
    <cellStyle name="Output 2 5 2 3 3 4 3" xfId="46844"/>
    <cellStyle name="Output 2 5 2 3 3 4 4" xfId="54967"/>
    <cellStyle name="Output 2 5 2 3 3 5" xfId="20480"/>
    <cellStyle name="Output 2 5 2 3 3 5 2" xfId="37936"/>
    <cellStyle name="Output 2 5 2 3 3 5 3" xfId="46845"/>
    <cellStyle name="Output 2 5 2 3 3 5 4" xfId="54968"/>
    <cellStyle name="Output 2 5 2 3 3 6" xfId="38553"/>
    <cellStyle name="Output 2 5 2 3 3 6 2" xfId="46846"/>
    <cellStyle name="Output 2 5 2 3 3 6 3" xfId="54969"/>
    <cellStyle name="Output 2 5 2 3 3 7" xfId="39173"/>
    <cellStyle name="Output 2 5 2 3 3 7 2" xfId="46847"/>
    <cellStyle name="Output 2 5 2 3 3 7 3" xfId="54970"/>
    <cellStyle name="Output 2 5 2 3 3 8" xfId="39789"/>
    <cellStyle name="Output 2 5 2 3 3 8 2" xfId="46848"/>
    <cellStyle name="Output 2 5 2 3 3 8 3" xfId="54971"/>
    <cellStyle name="Output 2 5 2 3 3 9" xfId="40404"/>
    <cellStyle name="Output 2 5 2 3 3 9 2" xfId="46849"/>
    <cellStyle name="Output 2 5 2 3 3 9 3" xfId="54972"/>
    <cellStyle name="Output 2 5 2 3 4" xfId="2505"/>
    <cellStyle name="Output 2 5 2 3 4 10" xfId="46850"/>
    <cellStyle name="Output 2 5 2 3 4 11" xfId="54973"/>
    <cellStyle name="Output 2 5 2 3 4 2" xfId="20481"/>
    <cellStyle name="Output 2 5 2 3 4 2 2" xfId="46851"/>
    <cellStyle name="Output 2 5 2 3 4 2 3" xfId="54974"/>
    <cellStyle name="Output 2 5 2 3 4 3" xfId="20482"/>
    <cellStyle name="Output 2 5 2 3 4 3 2" xfId="46852"/>
    <cellStyle name="Output 2 5 2 3 4 3 3" xfId="54975"/>
    <cellStyle name="Output 2 5 2 3 4 4" xfId="20483"/>
    <cellStyle name="Output 2 5 2 3 4 4 2" xfId="46853"/>
    <cellStyle name="Output 2 5 2 3 4 4 3" xfId="54976"/>
    <cellStyle name="Output 2 5 2 3 4 5" xfId="20484"/>
    <cellStyle name="Output 2 5 2 3 4 5 2" xfId="46854"/>
    <cellStyle name="Output 2 5 2 3 4 5 3" xfId="54977"/>
    <cellStyle name="Output 2 5 2 3 4 6" xfId="36489"/>
    <cellStyle name="Output 2 5 2 3 4 6 2" xfId="46855"/>
    <cellStyle name="Output 2 5 2 3 4 6 3" xfId="54978"/>
    <cellStyle name="Output 2 5 2 3 4 7" xfId="46856"/>
    <cellStyle name="Output 2 5 2 3 4 7 2" xfId="54979"/>
    <cellStyle name="Output 2 5 2 3 4 8" xfId="46857"/>
    <cellStyle name="Output 2 5 2 3 4 8 2" xfId="54980"/>
    <cellStyle name="Output 2 5 2 3 4 9" xfId="46858"/>
    <cellStyle name="Output 2 5 2 3 4 9 2" xfId="54981"/>
    <cellStyle name="Output 2 5 2 3 5" xfId="1344"/>
    <cellStyle name="Output 2 5 2 3 5 2" xfId="20485"/>
    <cellStyle name="Output 2 5 2 3 5 3" xfId="20486"/>
    <cellStyle name="Output 2 5 2 3 5 4" xfId="20487"/>
    <cellStyle name="Output 2 5 2 3 5 5" xfId="20488"/>
    <cellStyle name="Output 2 5 2 3 5 6" xfId="37105"/>
    <cellStyle name="Output 2 5 2 3 5 7" xfId="46859"/>
    <cellStyle name="Output 2 5 2 3 5 8" xfId="54982"/>
    <cellStyle name="Output 2 5 2 3 6" xfId="3412"/>
    <cellStyle name="Output 2 5 2 3 6 2" xfId="20489"/>
    <cellStyle name="Output 2 5 2 3 6 3" xfId="20490"/>
    <cellStyle name="Output 2 5 2 3 6 4" xfId="20491"/>
    <cellStyle name="Output 2 5 2 3 6 5" xfId="20492"/>
    <cellStyle name="Output 2 5 2 3 6 6" xfId="37719"/>
    <cellStyle name="Output 2 5 2 3 6 7" xfId="46860"/>
    <cellStyle name="Output 2 5 2 3 6 8" xfId="54983"/>
    <cellStyle name="Output 2 5 2 3 7" xfId="3734"/>
    <cellStyle name="Output 2 5 2 3 7 2" xfId="20493"/>
    <cellStyle name="Output 2 5 2 3 7 3" xfId="20494"/>
    <cellStyle name="Output 2 5 2 3 7 4" xfId="20495"/>
    <cellStyle name="Output 2 5 2 3 7 5" xfId="20496"/>
    <cellStyle name="Output 2 5 2 3 7 6" xfId="38334"/>
    <cellStyle name="Output 2 5 2 3 7 7" xfId="46861"/>
    <cellStyle name="Output 2 5 2 3 7 8" xfId="54984"/>
    <cellStyle name="Output 2 5 2 3 8" xfId="20497"/>
    <cellStyle name="Output 2 5 2 3 8 2" xfId="20498"/>
    <cellStyle name="Output 2 5 2 3 8 3" xfId="20499"/>
    <cellStyle name="Output 2 5 2 3 8 4" xfId="20500"/>
    <cellStyle name="Output 2 5 2 3 8 5" xfId="20501"/>
    <cellStyle name="Output 2 5 2 3 8 6" xfId="38954"/>
    <cellStyle name="Output 2 5 2 3 8 7" xfId="46862"/>
    <cellStyle name="Output 2 5 2 3 8 8" xfId="54985"/>
    <cellStyle name="Output 2 5 2 3 9" xfId="20502"/>
    <cellStyle name="Output 2 5 2 3 9 2" xfId="20503"/>
    <cellStyle name="Output 2 5 2 3 9 3" xfId="20504"/>
    <cellStyle name="Output 2 5 2 3 9 4" xfId="20505"/>
    <cellStyle name="Output 2 5 2 3 9 5" xfId="20506"/>
    <cellStyle name="Output 2 5 2 3 9 6" xfId="39573"/>
    <cellStyle name="Output 2 5 2 3 9 7" xfId="46863"/>
    <cellStyle name="Output 2 5 2 3 9 8" xfId="54986"/>
    <cellStyle name="Output 2 5 2 4" xfId="523"/>
    <cellStyle name="Output 2 5 2 4 10" xfId="20507"/>
    <cellStyle name="Output 2 5 2 4 10 2" xfId="20508"/>
    <cellStyle name="Output 2 5 2 4 10 3" xfId="20509"/>
    <cellStyle name="Output 2 5 2 4 10 4" xfId="20510"/>
    <cellStyle name="Output 2 5 2 4 10 5" xfId="20511"/>
    <cellStyle name="Output 2 5 2 4 10 6" xfId="46864"/>
    <cellStyle name="Output 2 5 2 4 10 7" xfId="54987"/>
    <cellStyle name="Output 2 5 2 4 11" xfId="20512"/>
    <cellStyle name="Output 2 5 2 4 11 2" xfId="20513"/>
    <cellStyle name="Output 2 5 2 4 11 3" xfId="20514"/>
    <cellStyle name="Output 2 5 2 4 11 4" xfId="20515"/>
    <cellStyle name="Output 2 5 2 4 11 5" xfId="20516"/>
    <cellStyle name="Output 2 5 2 4 12" xfId="20517"/>
    <cellStyle name="Output 2 5 2 4 12 2" xfId="20518"/>
    <cellStyle name="Output 2 5 2 4 12 3" xfId="20519"/>
    <cellStyle name="Output 2 5 2 4 12 4" xfId="20520"/>
    <cellStyle name="Output 2 5 2 4 12 5" xfId="20521"/>
    <cellStyle name="Output 2 5 2 4 13" xfId="20522"/>
    <cellStyle name="Output 2 5 2 4 13 2" xfId="20523"/>
    <cellStyle name="Output 2 5 2 4 13 3" xfId="20524"/>
    <cellStyle name="Output 2 5 2 4 13 4" xfId="20525"/>
    <cellStyle name="Output 2 5 2 4 13 5" xfId="20526"/>
    <cellStyle name="Output 2 5 2 4 14" xfId="20527"/>
    <cellStyle name="Output 2 5 2 4 14 2" xfId="20528"/>
    <cellStyle name="Output 2 5 2 4 14 3" xfId="20529"/>
    <cellStyle name="Output 2 5 2 4 14 4" xfId="20530"/>
    <cellStyle name="Output 2 5 2 4 14 5" xfId="20531"/>
    <cellStyle name="Output 2 5 2 4 15" xfId="20532"/>
    <cellStyle name="Output 2 5 2 4 15 2" xfId="20533"/>
    <cellStyle name="Output 2 5 2 4 15 3" xfId="20534"/>
    <cellStyle name="Output 2 5 2 4 15 4" xfId="20535"/>
    <cellStyle name="Output 2 5 2 4 15 5" xfId="20536"/>
    <cellStyle name="Output 2 5 2 4 16" xfId="20537"/>
    <cellStyle name="Output 2 5 2 4 16 2" xfId="20538"/>
    <cellStyle name="Output 2 5 2 4 16 3" xfId="20539"/>
    <cellStyle name="Output 2 5 2 4 16 4" xfId="20540"/>
    <cellStyle name="Output 2 5 2 4 16 5" xfId="20541"/>
    <cellStyle name="Output 2 5 2 4 17" xfId="20542"/>
    <cellStyle name="Output 2 5 2 4 17 2" xfId="20543"/>
    <cellStyle name="Output 2 5 2 4 17 3" xfId="20544"/>
    <cellStyle name="Output 2 5 2 4 17 4" xfId="20545"/>
    <cellStyle name="Output 2 5 2 4 17 5" xfId="20546"/>
    <cellStyle name="Output 2 5 2 4 18" xfId="20547"/>
    <cellStyle name="Output 2 5 2 4 18 2" xfId="20548"/>
    <cellStyle name="Output 2 5 2 4 18 3" xfId="20549"/>
    <cellStyle name="Output 2 5 2 4 18 4" xfId="20550"/>
    <cellStyle name="Output 2 5 2 4 18 5" xfId="20551"/>
    <cellStyle name="Output 2 5 2 4 19" xfId="20552"/>
    <cellStyle name="Output 2 5 2 4 2" xfId="2506"/>
    <cellStyle name="Output 2 5 2 4 2 2" xfId="20553"/>
    <cellStyle name="Output 2 5 2 4 2 3" xfId="20554"/>
    <cellStyle name="Output 2 5 2 4 2 4" xfId="20555"/>
    <cellStyle name="Output 2 5 2 4 2 5" xfId="20556"/>
    <cellStyle name="Output 2 5 2 4 2 6" xfId="36327"/>
    <cellStyle name="Output 2 5 2 4 2 7" xfId="46865"/>
    <cellStyle name="Output 2 5 2 4 2 8" xfId="54988"/>
    <cellStyle name="Output 2 5 2 4 20" xfId="952"/>
    <cellStyle name="Output 2 5 2 4 21" xfId="35032"/>
    <cellStyle name="Output 2 5 2 4 22" xfId="40741"/>
    <cellStyle name="Output 2 5 2 4 23" xfId="41251"/>
    <cellStyle name="Output 2 5 2 4 3" xfId="2507"/>
    <cellStyle name="Output 2 5 2 4 3 2" xfId="20557"/>
    <cellStyle name="Output 2 5 2 4 3 3" xfId="20558"/>
    <cellStyle name="Output 2 5 2 4 3 4" xfId="20559"/>
    <cellStyle name="Output 2 5 2 4 3 5" xfId="20560"/>
    <cellStyle name="Output 2 5 2 4 3 6" xfId="36824"/>
    <cellStyle name="Output 2 5 2 4 3 7" xfId="46866"/>
    <cellStyle name="Output 2 5 2 4 3 8" xfId="54989"/>
    <cellStyle name="Output 2 5 2 4 4" xfId="1346"/>
    <cellStyle name="Output 2 5 2 4 4 2" xfId="20561"/>
    <cellStyle name="Output 2 5 2 4 4 3" xfId="20562"/>
    <cellStyle name="Output 2 5 2 4 4 4" xfId="20563"/>
    <cellStyle name="Output 2 5 2 4 4 5" xfId="20564"/>
    <cellStyle name="Output 2 5 2 4 4 6" xfId="37440"/>
    <cellStyle name="Output 2 5 2 4 4 7" xfId="46867"/>
    <cellStyle name="Output 2 5 2 4 4 8" xfId="54990"/>
    <cellStyle name="Output 2 5 2 4 5" xfId="3414"/>
    <cellStyle name="Output 2 5 2 4 5 2" xfId="20565"/>
    <cellStyle name="Output 2 5 2 4 5 3" xfId="20566"/>
    <cellStyle name="Output 2 5 2 4 5 4" xfId="20567"/>
    <cellStyle name="Output 2 5 2 4 5 5" xfId="20568"/>
    <cellStyle name="Output 2 5 2 4 5 6" xfId="38056"/>
    <cellStyle name="Output 2 5 2 4 5 7" xfId="46868"/>
    <cellStyle name="Output 2 5 2 4 5 8" xfId="54991"/>
    <cellStyle name="Output 2 5 2 4 6" xfId="3736"/>
    <cellStyle name="Output 2 5 2 4 6 2" xfId="20569"/>
    <cellStyle name="Output 2 5 2 4 6 3" xfId="20570"/>
    <cellStyle name="Output 2 5 2 4 6 4" xfId="20571"/>
    <cellStyle name="Output 2 5 2 4 6 5" xfId="20572"/>
    <cellStyle name="Output 2 5 2 4 6 6" xfId="38674"/>
    <cellStyle name="Output 2 5 2 4 6 7" xfId="46869"/>
    <cellStyle name="Output 2 5 2 4 6 8" xfId="54992"/>
    <cellStyle name="Output 2 5 2 4 7" xfId="20573"/>
    <cellStyle name="Output 2 5 2 4 7 2" xfId="20574"/>
    <cellStyle name="Output 2 5 2 4 7 3" xfId="20575"/>
    <cellStyle name="Output 2 5 2 4 7 4" xfId="20576"/>
    <cellStyle name="Output 2 5 2 4 7 5" xfId="20577"/>
    <cellStyle name="Output 2 5 2 4 7 6" xfId="39294"/>
    <cellStyle name="Output 2 5 2 4 7 7" xfId="46870"/>
    <cellStyle name="Output 2 5 2 4 7 8" xfId="54993"/>
    <cellStyle name="Output 2 5 2 4 8" xfId="20578"/>
    <cellStyle name="Output 2 5 2 4 8 2" xfId="20579"/>
    <cellStyle name="Output 2 5 2 4 8 3" xfId="20580"/>
    <cellStyle name="Output 2 5 2 4 8 4" xfId="20581"/>
    <cellStyle name="Output 2 5 2 4 8 5" xfId="20582"/>
    <cellStyle name="Output 2 5 2 4 8 6" xfId="39910"/>
    <cellStyle name="Output 2 5 2 4 8 7" xfId="46871"/>
    <cellStyle name="Output 2 5 2 4 8 8" xfId="54994"/>
    <cellStyle name="Output 2 5 2 4 9" xfId="20583"/>
    <cellStyle name="Output 2 5 2 4 9 2" xfId="20584"/>
    <cellStyle name="Output 2 5 2 4 9 3" xfId="20585"/>
    <cellStyle name="Output 2 5 2 4 9 4" xfId="20586"/>
    <cellStyle name="Output 2 5 2 4 9 5" xfId="20587"/>
    <cellStyle name="Output 2 5 2 4 9 6" xfId="40525"/>
    <cellStyle name="Output 2 5 2 4 9 7" xfId="46872"/>
    <cellStyle name="Output 2 5 2 4 9 8" xfId="54995"/>
    <cellStyle name="Output 2 5 2 5" xfId="2508"/>
    <cellStyle name="Output 2 5 2 5 10" xfId="34729"/>
    <cellStyle name="Output 2 5 2 5 10 2" xfId="46874"/>
    <cellStyle name="Output 2 5 2 5 10 3" xfId="54997"/>
    <cellStyle name="Output 2 5 2 5 11" xfId="41037"/>
    <cellStyle name="Output 2 5 2 5 12" xfId="46873"/>
    <cellStyle name="Output 2 5 2 5 13" xfId="54996"/>
    <cellStyle name="Output 2 5 2 5 2" xfId="2509"/>
    <cellStyle name="Output 2 5 2 5 2 2" xfId="36114"/>
    <cellStyle name="Output 2 5 2 5 2 3" xfId="46875"/>
    <cellStyle name="Output 2 5 2 5 2 4" xfId="54998"/>
    <cellStyle name="Output 2 5 2 5 3" xfId="2510"/>
    <cellStyle name="Output 2 5 2 5 3 2" xfId="36613"/>
    <cellStyle name="Output 2 5 2 5 3 3" xfId="46876"/>
    <cellStyle name="Output 2 5 2 5 3 4" xfId="54999"/>
    <cellStyle name="Output 2 5 2 5 4" xfId="20588"/>
    <cellStyle name="Output 2 5 2 5 4 2" xfId="37229"/>
    <cellStyle name="Output 2 5 2 5 4 3" xfId="46877"/>
    <cellStyle name="Output 2 5 2 5 4 4" xfId="55000"/>
    <cellStyle name="Output 2 5 2 5 5" xfId="20589"/>
    <cellStyle name="Output 2 5 2 5 5 2" xfId="37845"/>
    <cellStyle name="Output 2 5 2 5 5 3" xfId="46878"/>
    <cellStyle name="Output 2 5 2 5 5 4" xfId="55001"/>
    <cellStyle name="Output 2 5 2 5 6" xfId="38460"/>
    <cellStyle name="Output 2 5 2 5 6 2" xfId="46879"/>
    <cellStyle name="Output 2 5 2 5 6 3" xfId="55002"/>
    <cellStyle name="Output 2 5 2 5 7" xfId="39080"/>
    <cellStyle name="Output 2 5 2 5 7 2" xfId="46880"/>
    <cellStyle name="Output 2 5 2 5 7 3" xfId="55003"/>
    <cellStyle name="Output 2 5 2 5 8" xfId="39696"/>
    <cellStyle name="Output 2 5 2 5 8 2" xfId="46881"/>
    <cellStyle name="Output 2 5 2 5 8 3" xfId="55004"/>
    <cellStyle name="Output 2 5 2 5 9" xfId="40311"/>
    <cellStyle name="Output 2 5 2 5 9 2" xfId="46882"/>
    <cellStyle name="Output 2 5 2 5 9 3" xfId="55005"/>
    <cellStyle name="Output 2 5 2 6" xfId="1341"/>
    <cellStyle name="Output 2 5 2 6 10" xfId="46883"/>
    <cellStyle name="Output 2 5 2 6 11" xfId="55006"/>
    <cellStyle name="Output 2 5 2 6 2" xfId="20590"/>
    <cellStyle name="Output 2 5 2 6 2 2" xfId="46884"/>
    <cellStyle name="Output 2 5 2 6 2 3" xfId="55007"/>
    <cellStyle name="Output 2 5 2 6 3" xfId="20591"/>
    <cellStyle name="Output 2 5 2 6 3 2" xfId="46885"/>
    <cellStyle name="Output 2 5 2 6 3 3" xfId="55008"/>
    <cellStyle name="Output 2 5 2 6 4" xfId="20592"/>
    <cellStyle name="Output 2 5 2 6 4 2" xfId="46886"/>
    <cellStyle name="Output 2 5 2 6 4 3" xfId="55009"/>
    <cellStyle name="Output 2 5 2 6 5" xfId="20593"/>
    <cellStyle name="Output 2 5 2 6 5 2" xfId="46887"/>
    <cellStyle name="Output 2 5 2 6 5 3" xfId="55010"/>
    <cellStyle name="Output 2 5 2 6 6" xfId="35432"/>
    <cellStyle name="Output 2 5 2 6 6 2" xfId="46888"/>
    <cellStyle name="Output 2 5 2 6 6 3" xfId="55011"/>
    <cellStyle name="Output 2 5 2 6 7" xfId="46889"/>
    <cellStyle name="Output 2 5 2 6 7 2" xfId="55012"/>
    <cellStyle name="Output 2 5 2 6 8" xfId="46890"/>
    <cellStyle name="Output 2 5 2 6 8 2" xfId="55013"/>
    <cellStyle name="Output 2 5 2 6 9" xfId="46891"/>
    <cellStyle name="Output 2 5 2 6 9 2" xfId="55014"/>
    <cellStyle name="Output 2 5 2 7" xfId="3409"/>
    <cellStyle name="Output 2 5 2 7 2" xfId="20594"/>
    <cellStyle name="Output 2 5 2 7 3" xfId="20595"/>
    <cellStyle name="Output 2 5 2 7 4" xfId="20596"/>
    <cellStyle name="Output 2 5 2 7 5" xfId="20597"/>
    <cellStyle name="Output 2 5 2 7 6" xfId="35964"/>
    <cellStyle name="Output 2 5 2 7 7" xfId="46892"/>
    <cellStyle name="Output 2 5 2 7 8" xfId="55015"/>
    <cellStyle name="Output 2 5 2 8" xfId="3731"/>
    <cellStyle name="Output 2 5 2 8 2" xfId="20598"/>
    <cellStyle name="Output 2 5 2 8 3" xfId="20599"/>
    <cellStyle name="Output 2 5 2 8 4" xfId="20600"/>
    <cellStyle name="Output 2 5 2 8 5" xfId="20601"/>
    <cellStyle name="Output 2 5 2 8 6" xfId="35812"/>
    <cellStyle name="Output 2 5 2 8 7" xfId="46893"/>
    <cellStyle name="Output 2 5 2 8 8" xfId="55016"/>
    <cellStyle name="Output 2 5 2 9" xfId="20602"/>
    <cellStyle name="Output 2 5 2 9 2" xfId="20603"/>
    <cellStyle name="Output 2 5 2 9 3" xfId="20604"/>
    <cellStyle name="Output 2 5 2 9 4" xfId="20605"/>
    <cellStyle name="Output 2 5 2 9 5" xfId="20606"/>
    <cellStyle name="Output 2 5 2 9 6" xfId="37009"/>
    <cellStyle name="Output 2 5 2 9 7" xfId="46894"/>
    <cellStyle name="Output 2 5 2 9 8" xfId="55017"/>
    <cellStyle name="Output 2 5 20" xfId="20607"/>
    <cellStyle name="Output 2 5 21" xfId="703"/>
    <cellStyle name="Output 2 5 22" xfId="34958"/>
    <cellStyle name="Output 2 5 23" xfId="40787"/>
    <cellStyle name="Output 2 5 3" xfId="294"/>
    <cellStyle name="Output 2 5 3 10" xfId="20608"/>
    <cellStyle name="Output 2 5 3 10 2" xfId="20609"/>
    <cellStyle name="Output 2 5 3 10 3" xfId="20610"/>
    <cellStyle name="Output 2 5 3 10 4" xfId="20611"/>
    <cellStyle name="Output 2 5 3 10 5" xfId="20612"/>
    <cellStyle name="Output 2 5 3 10 6" xfId="37622"/>
    <cellStyle name="Output 2 5 3 10 7" xfId="46895"/>
    <cellStyle name="Output 2 5 3 10 8" xfId="55018"/>
    <cellStyle name="Output 2 5 3 11" xfId="20613"/>
    <cellStyle name="Output 2 5 3 11 2" xfId="20614"/>
    <cellStyle name="Output 2 5 3 11 3" xfId="20615"/>
    <cellStyle name="Output 2 5 3 11 4" xfId="20616"/>
    <cellStyle name="Output 2 5 3 11 5" xfId="20617"/>
    <cellStyle name="Output 2 5 3 11 6" xfId="38239"/>
    <cellStyle name="Output 2 5 3 11 7" xfId="46896"/>
    <cellStyle name="Output 2 5 3 11 8" xfId="55019"/>
    <cellStyle name="Output 2 5 3 12" xfId="20618"/>
    <cellStyle name="Output 2 5 3 12 2" xfId="20619"/>
    <cellStyle name="Output 2 5 3 12 3" xfId="20620"/>
    <cellStyle name="Output 2 5 3 12 4" xfId="20621"/>
    <cellStyle name="Output 2 5 3 12 5" xfId="20622"/>
    <cellStyle name="Output 2 5 3 12 6" xfId="38861"/>
    <cellStyle name="Output 2 5 3 12 7" xfId="46897"/>
    <cellStyle name="Output 2 5 3 12 8" xfId="55020"/>
    <cellStyle name="Output 2 5 3 13" xfId="20623"/>
    <cellStyle name="Output 2 5 3 13 2" xfId="20624"/>
    <cellStyle name="Output 2 5 3 13 3" xfId="20625"/>
    <cellStyle name="Output 2 5 3 13 4" xfId="20626"/>
    <cellStyle name="Output 2 5 3 13 5" xfId="20627"/>
    <cellStyle name="Output 2 5 3 13 6" xfId="39481"/>
    <cellStyle name="Output 2 5 3 13 7" xfId="46898"/>
    <cellStyle name="Output 2 5 3 13 8" xfId="55021"/>
    <cellStyle name="Output 2 5 3 14" xfId="20628"/>
    <cellStyle name="Output 2 5 3 14 2" xfId="20629"/>
    <cellStyle name="Output 2 5 3 14 3" xfId="20630"/>
    <cellStyle name="Output 2 5 3 14 4" xfId="20631"/>
    <cellStyle name="Output 2 5 3 14 5" xfId="20632"/>
    <cellStyle name="Output 2 5 3 14 6" xfId="40099"/>
    <cellStyle name="Output 2 5 3 14 7" xfId="46899"/>
    <cellStyle name="Output 2 5 3 14 8" xfId="55022"/>
    <cellStyle name="Output 2 5 3 15" xfId="20633"/>
    <cellStyle name="Output 2 5 3 15 2" xfId="20634"/>
    <cellStyle name="Output 2 5 3 15 3" xfId="20635"/>
    <cellStyle name="Output 2 5 3 15 4" xfId="20636"/>
    <cellStyle name="Output 2 5 3 15 5" xfId="20637"/>
    <cellStyle name="Output 2 5 3 15 6" xfId="46900"/>
    <cellStyle name="Output 2 5 3 15 7" xfId="55023"/>
    <cellStyle name="Output 2 5 3 16" xfId="20638"/>
    <cellStyle name="Output 2 5 3 16 2" xfId="20639"/>
    <cellStyle name="Output 2 5 3 16 3" xfId="20640"/>
    <cellStyle name="Output 2 5 3 16 4" xfId="20641"/>
    <cellStyle name="Output 2 5 3 16 5" xfId="20642"/>
    <cellStyle name="Output 2 5 3 17" xfId="20643"/>
    <cellStyle name="Output 2 5 3 17 2" xfId="20644"/>
    <cellStyle name="Output 2 5 3 17 3" xfId="20645"/>
    <cellStyle name="Output 2 5 3 17 4" xfId="20646"/>
    <cellStyle name="Output 2 5 3 17 5" xfId="20647"/>
    <cellStyle name="Output 2 5 3 18" xfId="20648"/>
    <cellStyle name="Output 2 5 3 19" xfId="739"/>
    <cellStyle name="Output 2 5 3 2" xfId="396"/>
    <cellStyle name="Output 2 5 3 2 10" xfId="20649"/>
    <cellStyle name="Output 2 5 3 2 10 2" xfId="20650"/>
    <cellStyle name="Output 2 5 3 2 10 3" xfId="20651"/>
    <cellStyle name="Output 2 5 3 2 10 4" xfId="20652"/>
    <cellStyle name="Output 2 5 3 2 10 5" xfId="20653"/>
    <cellStyle name="Output 2 5 3 2 10 6" xfId="39574"/>
    <cellStyle name="Output 2 5 3 2 10 7" xfId="46901"/>
    <cellStyle name="Output 2 5 3 2 10 8" xfId="55024"/>
    <cellStyle name="Output 2 5 3 2 11" xfId="20654"/>
    <cellStyle name="Output 2 5 3 2 11 2" xfId="20655"/>
    <cellStyle name="Output 2 5 3 2 11 3" xfId="20656"/>
    <cellStyle name="Output 2 5 3 2 11 4" xfId="20657"/>
    <cellStyle name="Output 2 5 3 2 11 5" xfId="20658"/>
    <cellStyle name="Output 2 5 3 2 11 6" xfId="40190"/>
    <cellStyle name="Output 2 5 3 2 11 7" xfId="46902"/>
    <cellStyle name="Output 2 5 3 2 11 8" xfId="55025"/>
    <cellStyle name="Output 2 5 3 2 12" xfId="20659"/>
    <cellStyle name="Output 2 5 3 2 12 2" xfId="20660"/>
    <cellStyle name="Output 2 5 3 2 12 3" xfId="20661"/>
    <cellStyle name="Output 2 5 3 2 12 4" xfId="20662"/>
    <cellStyle name="Output 2 5 3 2 12 5" xfId="20663"/>
    <cellStyle name="Output 2 5 3 2 12 6" xfId="46903"/>
    <cellStyle name="Output 2 5 3 2 12 7" xfId="55026"/>
    <cellStyle name="Output 2 5 3 2 13" xfId="20664"/>
    <cellStyle name="Output 2 5 3 2 13 2" xfId="20665"/>
    <cellStyle name="Output 2 5 3 2 13 3" xfId="20666"/>
    <cellStyle name="Output 2 5 3 2 13 4" xfId="20667"/>
    <cellStyle name="Output 2 5 3 2 13 5" xfId="20668"/>
    <cellStyle name="Output 2 5 3 2 13 6" xfId="46904"/>
    <cellStyle name="Output 2 5 3 2 13 7" xfId="55027"/>
    <cellStyle name="Output 2 5 3 2 14" xfId="20669"/>
    <cellStyle name="Output 2 5 3 2 14 2" xfId="20670"/>
    <cellStyle name="Output 2 5 3 2 14 3" xfId="20671"/>
    <cellStyle name="Output 2 5 3 2 14 4" xfId="20672"/>
    <cellStyle name="Output 2 5 3 2 14 5" xfId="20673"/>
    <cellStyle name="Output 2 5 3 2 15" xfId="20674"/>
    <cellStyle name="Output 2 5 3 2 15 2" xfId="20675"/>
    <cellStyle name="Output 2 5 3 2 15 3" xfId="20676"/>
    <cellStyle name="Output 2 5 3 2 15 4" xfId="20677"/>
    <cellStyle name="Output 2 5 3 2 15 5" xfId="20678"/>
    <cellStyle name="Output 2 5 3 2 16" xfId="20679"/>
    <cellStyle name="Output 2 5 3 2 16 2" xfId="20680"/>
    <cellStyle name="Output 2 5 3 2 16 3" xfId="20681"/>
    <cellStyle name="Output 2 5 3 2 16 4" xfId="20682"/>
    <cellStyle name="Output 2 5 3 2 16 5" xfId="20683"/>
    <cellStyle name="Output 2 5 3 2 17" xfId="20684"/>
    <cellStyle name="Output 2 5 3 2 17 2" xfId="20685"/>
    <cellStyle name="Output 2 5 3 2 17 3" xfId="20686"/>
    <cellStyle name="Output 2 5 3 2 17 4" xfId="20687"/>
    <cellStyle name="Output 2 5 3 2 17 5" xfId="20688"/>
    <cellStyle name="Output 2 5 3 2 18" xfId="20689"/>
    <cellStyle name="Output 2 5 3 2 18 2" xfId="20690"/>
    <cellStyle name="Output 2 5 3 2 18 3" xfId="20691"/>
    <cellStyle name="Output 2 5 3 2 18 4" xfId="20692"/>
    <cellStyle name="Output 2 5 3 2 18 5" xfId="20693"/>
    <cellStyle name="Output 2 5 3 2 19" xfId="20694"/>
    <cellStyle name="Output 2 5 3 2 2" xfId="615"/>
    <cellStyle name="Output 2 5 3 2 2 10" xfId="20695"/>
    <cellStyle name="Output 2 5 3 2 2 10 2" xfId="20696"/>
    <cellStyle name="Output 2 5 3 2 2 10 3" xfId="20697"/>
    <cellStyle name="Output 2 5 3 2 2 10 4" xfId="20698"/>
    <cellStyle name="Output 2 5 3 2 2 10 5" xfId="20699"/>
    <cellStyle name="Output 2 5 3 2 2 10 6" xfId="46905"/>
    <cellStyle name="Output 2 5 3 2 2 10 7" xfId="55028"/>
    <cellStyle name="Output 2 5 3 2 2 11" xfId="20700"/>
    <cellStyle name="Output 2 5 3 2 2 11 2" xfId="20701"/>
    <cellStyle name="Output 2 5 3 2 2 11 3" xfId="20702"/>
    <cellStyle name="Output 2 5 3 2 2 11 4" xfId="20703"/>
    <cellStyle name="Output 2 5 3 2 2 11 5" xfId="20704"/>
    <cellStyle name="Output 2 5 3 2 2 12" xfId="20705"/>
    <cellStyle name="Output 2 5 3 2 2 12 2" xfId="20706"/>
    <cellStyle name="Output 2 5 3 2 2 12 3" xfId="20707"/>
    <cellStyle name="Output 2 5 3 2 2 12 4" xfId="20708"/>
    <cellStyle name="Output 2 5 3 2 2 12 5" xfId="20709"/>
    <cellStyle name="Output 2 5 3 2 2 13" xfId="20710"/>
    <cellStyle name="Output 2 5 3 2 2 13 2" xfId="20711"/>
    <cellStyle name="Output 2 5 3 2 2 13 3" xfId="20712"/>
    <cellStyle name="Output 2 5 3 2 2 13 4" xfId="20713"/>
    <cellStyle name="Output 2 5 3 2 2 13 5" xfId="20714"/>
    <cellStyle name="Output 2 5 3 2 2 14" xfId="20715"/>
    <cellStyle name="Output 2 5 3 2 2 14 2" xfId="20716"/>
    <cellStyle name="Output 2 5 3 2 2 14 3" xfId="20717"/>
    <cellStyle name="Output 2 5 3 2 2 14 4" xfId="20718"/>
    <cellStyle name="Output 2 5 3 2 2 14 5" xfId="20719"/>
    <cellStyle name="Output 2 5 3 2 2 15" xfId="20720"/>
    <cellStyle name="Output 2 5 3 2 2 15 2" xfId="20721"/>
    <cellStyle name="Output 2 5 3 2 2 15 3" xfId="20722"/>
    <cellStyle name="Output 2 5 3 2 2 15 4" xfId="20723"/>
    <cellStyle name="Output 2 5 3 2 2 15 5" xfId="20724"/>
    <cellStyle name="Output 2 5 3 2 2 16" xfId="20725"/>
    <cellStyle name="Output 2 5 3 2 2 16 2" xfId="20726"/>
    <cellStyle name="Output 2 5 3 2 2 16 3" xfId="20727"/>
    <cellStyle name="Output 2 5 3 2 2 16 4" xfId="20728"/>
    <cellStyle name="Output 2 5 3 2 2 16 5" xfId="20729"/>
    <cellStyle name="Output 2 5 3 2 2 17" xfId="20730"/>
    <cellStyle name="Output 2 5 3 2 2 17 2" xfId="20731"/>
    <cellStyle name="Output 2 5 3 2 2 17 3" xfId="20732"/>
    <cellStyle name="Output 2 5 3 2 2 17 4" xfId="20733"/>
    <cellStyle name="Output 2 5 3 2 2 17 5" xfId="20734"/>
    <cellStyle name="Output 2 5 3 2 2 18" xfId="20735"/>
    <cellStyle name="Output 2 5 3 2 2 18 2" xfId="20736"/>
    <cellStyle name="Output 2 5 3 2 2 18 3" xfId="20737"/>
    <cellStyle name="Output 2 5 3 2 2 18 4" xfId="20738"/>
    <cellStyle name="Output 2 5 3 2 2 18 5" xfId="20739"/>
    <cellStyle name="Output 2 5 3 2 2 19" xfId="20740"/>
    <cellStyle name="Output 2 5 3 2 2 2" xfId="2511"/>
    <cellStyle name="Output 2 5 3 2 2 2 2" xfId="20741"/>
    <cellStyle name="Output 2 5 3 2 2 2 3" xfId="20742"/>
    <cellStyle name="Output 2 5 3 2 2 2 4" xfId="20743"/>
    <cellStyle name="Output 2 5 3 2 2 2 5" xfId="20744"/>
    <cellStyle name="Output 2 5 3 2 2 2 6" xfId="36419"/>
    <cellStyle name="Output 2 5 3 2 2 2 7" xfId="46906"/>
    <cellStyle name="Output 2 5 3 2 2 2 8" xfId="55029"/>
    <cellStyle name="Output 2 5 3 2 2 20" xfId="1044"/>
    <cellStyle name="Output 2 5 3 2 2 21" xfId="35124"/>
    <cellStyle name="Output 2 5 3 2 2 22" xfId="41343"/>
    <cellStyle name="Output 2 5 3 2 2 3" xfId="2512"/>
    <cellStyle name="Output 2 5 3 2 2 3 2" xfId="20745"/>
    <cellStyle name="Output 2 5 3 2 2 3 3" xfId="20746"/>
    <cellStyle name="Output 2 5 3 2 2 3 4" xfId="20747"/>
    <cellStyle name="Output 2 5 3 2 2 3 5" xfId="20748"/>
    <cellStyle name="Output 2 5 3 2 2 3 6" xfId="36916"/>
    <cellStyle name="Output 2 5 3 2 2 3 7" xfId="46907"/>
    <cellStyle name="Output 2 5 3 2 2 3 8" xfId="55030"/>
    <cellStyle name="Output 2 5 3 2 2 4" xfId="1349"/>
    <cellStyle name="Output 2 5 3 2 2 4 2" xfId="20749"/>
    <cellStyle name="Output 2 5 3 2 2 4 3" xfId="20750"/>
    <cellStyle name="Output 2 5 3 2 2 4 4" xfId="20751"/>
    <cellStyle name="Output 2 5 3 2 2 4 5" xfId="20752"/>
    <cellStyle name="Output 2 5 3 2 2 4 6" xfId="37532"/>
    <cellStyle name="Output 2 5 3 2 2 4 7" xfId="46908"/>
    <cellStyle name="Output 2 5 3 2 2 4 8" xfId="55031"/>
    <cellStyle name="Output 2 5 3 2 2 5" xfId="3417"/>
    <cellStyle name="Output 2 5 3 2 2 5 2" xfId="20753"/>
    <cellStyle name="Output 2 5 3 2 2 5 3" xfId="20754"/>
    <cellStyle name="Output 2 5 3 2 2 5 4" xfId="20755"/>
    <cellStyle name="Output 2 5 3 2 2 5 5" xfId="20756"/>
    <cellStyle name="Output 2 5 3 2 2 5 6" xfId="38148"/>
    <cellStyle name="Output 2 5 3 2 2 5 7" xfId="46909"/>
    <cellStyle name="Output 2 5 3 2 2 5 8" xfId="55032"/>
    <cellStyle name="Output 2 5 3 2 2 6" xfId="3739"/>
    <cellStyle name="Output 2 5 3 2 2 6 2" xfId="20757"/>
    <cellStyle name="Output 2 5 3 2 2 6 3" xfId="20758"/>
    <cellStyle name="Output 2 5 3 2 2 6 4" xfId="20759"/>
    <cellStyle name="Output 2 5 3 2 2 6 5" xfId="20760"/>
    <cellStyle name="Output 2 5 3 2 2 6 6" xfId="38766"/>
    <cellStyle name="Output 2 5 3 2 2 6 7" xfId="46910"/>
    <cellStyle name="Output 2 5 3 2 2 6 8" xfId="55033"/>
    <cellStyle name="Output 2 5 3 2 2 7" xfId="20761"/>
    <cellStyle name="Output 2 5 3 2 2 7 2" xfId="20762"/>
    <cellStyle name="Output 2 5 3 2 2 7 3" xfId="20763"/>
    <cellStyle name="Output 2 5 3 2 2 7 4" xfId="20764"/>
    <cellStyle name="Output 2 5 3 2 2 7 5" xfId="20765"/>
    <cellStyle name="Output 2 5 3 2 2 7 6" xfId="39386"/>
    <cellStyle name="Output 2 5 3 2 2 7 7" xfId="46911"/>
    <cellStyle name="Output 2 5 3 2 2 7 8" xfId="55034"/>
    <cellStyle name="Output 2 5 3 2 2 8" xfId="20766"/>
    <cellStyle name="Output 2 5 3 2 2 8 2" xfId="20767"/>
    <cellStyle name="Output 2 5 3 2 2 8 3" xfId="20768"/>
    <cellStyle name="Output 2 5 3 2 2 8 4" xfId="20769"/>
    <cellStyle name="Output 2 5 3 2 2 8 5" xfId="20770"/>
    <cellStyle name="Output 2 5 3 2 2 8 6" xfId="40002"/>
    <cellStyle name="Output 2 5 3 2 2 8 7" xfId="46912"/>
    <cellStyle name="Output 2 5 3 2 2 8 8" xfId="55035"/>
    <cellStyle name="Output 2 5 3 2 2 9" xfId="20771"/>
    <cellStyle name="Output 2 5 3 2 2 9 2" xfId="20772"/>
    <cellStyle name="Output 2 5 3 2 2 9 3" xfId="20773"/>
    <cellStyle name="Output 2 5 3 2 2 9 4" xfId="20774"/>
    <cellStyle name="Output 2 5 3 2 2 9 5" xfId="20775"/>
    <cellStyle name="Output 2 5 3 2 2 9 6" xfId="40617"/>
    <cellStyle name="Output 2 5 3 2 2 9 7" xfId="46913"/>
    <cellStyle name="Output 2 5 3 2 2 9 8" xfId="55036"/>
    <cellStyle name="Output 2 5 3 2 20" xfId="832"/>
    <cellStyle name="Output 2 5 3 2 21" xfId="34701"/>
    <cellStyle name="Output 2 5 3 2 22" xfId="40916"/>
    <cellStyle name="Output 2 5 3 2 23" xfId="41477"/>
    <cellStyle name="Output 2 5 3 2 24" xfId="50564"/>
    <cellStyle name="Output 2 5 3 2 3" xfId="2513"/>
    <cellStyle name="Output 2 5 3 2 3 10" xfId="34617"/>
    <cellStyle name="Output 2 5 3 2 3 10 2" xfId="46915"/>
    <cellStyle name="Output 2 5 3 2 3 10 3" xfId="55038"/>
    <cellStyle name="Output 2 5 3 2 3 11" xfId="41131"/>
    <cellStyle name="Output 2 5 3 2 3 12" xfId="46914"/>
    <cellStyle name="Output 2 5 3 2 3 13" xfId="55037"/>
    <cellStyle name="Output 2 5 3 2 3 2" xfId="2514"/>
    <cellStyle name="Output 2 5 3 2 3 2 2" xfId="36208"/>
    <cellStyle name="Output 2 5 3 2 3 2 3" xfId="46916"/>
    <cellStyle name="Output 2 5 3 2 3 2 4" xfId="55039"/>
    <cellStyle name="Output 2 5 3 2 3 3" xfId="2515"/>
    <cellStyle name="Output 2 5 3 2 3 3 2" xfId="36705"/>
    <cellStyle name="Output 2 5 3 2 3 3 3" xfId="46917"/>
    <cellStyle name="Output 2 5 3 2 3 3 4" xfId="55040"/>
    <cellStyle name="Output 2 5 3 2 3 4" xfId="20776"/>
    <cellStyle name="Output 2 5 3 2 3 4 2" xfId="37321"/>
    <cellStyle name="Output 2 5 3 2 3 4 3" xfId="46918"/>
    <cellStyle name="Output 2 5 3 2 3 4 4" xfId="55041"/>
    <cellStyle name="Output 2 5 3 2 3 5" xfId="20777"/>
    <cellStyle name="Output 2 5 3 2 3 5 2" xfId="37937"/>
    <cellStyle name="Output 2 5 3 2 3 5 3" xfId="46919"/>
    <cellStyle name="Output 2 5 3 2 3 5 4" xfId="55042"/>
    <cellStyle name="Output 2 5 3 2 3 6" xfId="38554"/>
    <cellStyle name="Output 2 5 3 2 3 6 2" xfId="46920"/>
    <cellStyle name="Output 2 5 3 2 3 6 3" xfId="55043"/>
    <cellStyle name="Output 2 5 3 2 3 7" xfId="39174"/>
    <cellStyle name="Output 2 5 3 2 3 7 2" xfId="46921"/>
    <cellStyle name="Output 2 5 3 2 3 7 3" xfId="55044"/>
    <cellStyle name="Output 2 5 3 2 3 8" xfId="39790"/>
    <cellStyle name="Output 2 5 3 2 3 8 2" xfId="46922"/>
    <cellStyle name="Output 2 5 3 2 3 8 3" xfId="55045"/>
    <cellStyle name="Output 2 5 3 2 3 9" xfId="40405"/>
    <cellStyle name="Output 2 5 3 2 3 9 2" xfId="46923"/>
    <cellStyle name="Output 2 5 3 2 3 9 3" xfId="55046"/>
    <cellStyle name="Output 2 5 3 2 4" xfId="2516"/>
    <cellStyle name="Output 2 5 3 2 4 10" xfId="46924"/>
    <cellStyle name="Output 2 5 3 2 4 11" xfId="55047"/>
    <cellStyle name="Output 2 5 3 2 4 2" xfId="20778"/>
    <cellStyle name="Output 2 5 3 2 4 2 2" xfId="46925"/>
    <cellStyle name="Output 2 5 3 2 4 2 3" xfId="55048"/>
    <cellStyle name="Output 2 5 3 2 4 3" xfId="20779"/>
    <cellStyle name="Output 2 5 3 2 4 3 2" xfId="46926"/>
    <cellStyle name="Output 2 5 3 2 4 3 3" xfId="55049"/>
    <cellStyle name="Output 2 5 3 2 4 4" xfId="20780"/>
    <cellStyle name="Output 2 5 3 2 4 4 2" xfId="46927"/>
    <cellStyle name="Output 2 5 3 2 4 4 3" xfId="55050"/>
    <cellStyle name="Output 2 5 3 2 4 5" xfId="20781"/>
    <cellStyle name="Output 2 5 3 2 4 5 2" xfId="46928"/>
    <cellStyle name="Output 2 5 3 2 4 5 3" xfId="55051"/>
    <cellStyle name="Output 2 5 3 2 4 6" xfId="35702"/>
    <cellStyle name="Output 2 5 3 2 4 6 2" xfId="46929"/>
    <cellStyle name="Output 2 5 3 2 4 6 3" xfId="55052"/>
    <cellStyle name="Output 2 5 3 2 4 7" xfId="46930"/>
    <cellStyle name="Output 2 5 3 2 4 7 2" xfId="55053"/>
    <cellStyle name="Output 2 5 3 2 4 8" xfId="46931"/>
    <cellStyle name="Output 2 5 3 2 4 8 2" xfId="55054"/>
    <cellStyle name="Output 2 5 3 2 4 9" xfId="46932"/>
    <cellStyle name="Output 2 5 3 2 4 9 2" xfId="55055"/>
    <cellStyle name="Output 2 5 3 2 5" xfId="1348"/>
    <cellStyle name="Output 2 5 3 2 5 2" xfId="20782"/>
    <cellStyle name="Output 2 5 3 2 5 3" xfId="20783"/>
    <cellStyle name="Output 2 5 3 2 5 4" xfId="20784"/>
    <cellStyle name="Output 2 5 3 2 5 5" xfId="20785"/>
    <cellStyle name="Output 2 5 3 2 5 6" xfId="36490"/>
    <cellStyle name="Output 2 5 3 2 5 7" xfId="46933"/>
    <cellStyle name="Output 2 5 3 2 5 8" xfId="55056"/>
    <cellStyle name="Output 2 5 3 2 6" xfId="3416"/>
    <cellStyle name="Output 2 5 3 2 6 2" xfId="20786"/>
    <cellStyle name="Output 2 5 3 2 6 3" xfId="20787"/>
    <cellStyle name="Output 2 5 3 2 6 4" xfId="20788"/>
    <cellStyle name="Output 2 5 3 2 6 5" xfId="20789"/>
    <cellStyle name="Output 2 5 3 2 6 6" xfId="37106"/>
    <cellStyle name="Output 2 5 3 2 6 7" xfId="46934"/>
    <cellStyle name="Output 2 5 3 2 6 8" xfId="55057"/>
    <cellStyle name="Output 2 5 3 2 7" xfId="3738"/>
    <cellStyle name="Output 2 5 3 2 7 2" xfId="20790"/>
    <cellStyle name="Output 2 5 3 2 7 3" xfId="20791"/>
    <cellStyle name="Output 2 5 3 2 7 4" xfId="20792"/>
    <cellStyle name="Output 2 5 3 2 7 5" xfId="20793"/>
    <cellStyle name="Output 2 5 3 2 7 6" xfId="37720"/>
    <cellStyle name="Output 2 5 3 2 7 7" xfId="46935"/>
    <cellStyle name="Output 2 5 3 2 7 8" xfId="55058"/>
    <cellStyle name="Output 2 5 3 2 8" xfId="20794"/>
    <cellStyle name="Output 2 5 3 2 8 2" xfId="20795"/>
    <cellStyle name="Output 2 5 3 2 8 3" xfId="20796"/>
    <cellStyle name="Output 2 5 3 2 8 4" xfId="20797"/>
    <cellStyle name="Output 2 5 3 2 8 5" xfId="20798"/>
    <cellStyle name="Output 2 5 3 2 8 6" xfId="38335"/>
    <cellStyle name="Output 2 5 3 2 8 7" xfId="46936"/>
    <cellStyle name="Output 2 5 3 2 8 8" xfId="55059"/>
    <cellStyle name="Output 2 5 3 2 9" xfId="20799"/>
    <cellStyle name="Output 2 5 3 2 9 2" xfId="20800"/>
    <cellStyle name="Output 2 5 3 2 9 3" xfId="20801"/>
    <cellStyle name="Output 2 5 3 2 9 4" xfId="20802"/>
    <cellStyle name="Output 2 5 3 2 9 5" xfId="20803"/>
    <cellStyle name="Output 2 5 3 2 9 6" xfId="38955"/>
    <cellStyle name="Output 2 5 3 2 9 7" xfId="46937"/>
    <cellStyle name="Output 2 5 3 2 9 8" xfId="55060"/>
    <cellStyle name="Output 2 5 3 20" xfId="34835"/>
    <cellStyle name="Output 2 5 3 21" xfId="40823"/>
    <cellStyle name="Output 2 5 3 3" xfId="397"/>
    <cellStyle name="Output 2 5 3 3 10" xfId="20804"/>
    <cellStyle name="Output 2 5 3 3 10 2" xfId="20805"/>
    <cellStyle name="Output 2 5 3 3 10 3" xfId="20806"/>
    <cellStyle name="Output 2 5 3 3 10 4" xfId="20807"/>
    <cellStyle name="Output 2 5 3 3 10 5" xfId="20808"/>
    <cellStyle name="Output 2 5 3 3 10 6" xfId="40191"/>
    <cellStyle name="Output 2 5 3 3 10 7" xfId="46938"/>
    <cellStyle name="Output 2 5 3 3 10 8" xfId="55061"/>
    <cellStyle name="Output 2 5 3 3 11" xfId="20809"/>
    <cellStyle name="Output 2 5 3 3 11 2" xfId="20810"/>
    <cellStyle name="Output 2 5 3 3 11 3" xfId="20811"/>
    <cellStyle name="Output 2 5 3 3 11 4" xfId="20812"/>
    <cellStyle name="Output 2 5 3 3 11 5" xfId="20813"/>
    <cellStyle name="Output 2 5 3 3 11 6" xfId="46939"/>
    <cellStyle name="Output 2 5 3 3 11 7" xfId="55062"/>
    <cellStyle name="Output 2 5 3 3 12" xfId="20814"/>
    <cellStyle name="Output 2 5 3 3 12 2" xfId="20815"/>
    <cellStyle name="Output 2 5 3 3 12 3" xfId="20816"/>
    <cellStyle name="Output 2 5 3 3 12 4" xfId="20817"/>
    <cellStyle name="Output 2 5 3 3 12 5" xfId="20818"/>
    <cellStyle name="Output 2 5 3 3 12 6" xfId="46940"/>
    <cellStyle name="Output 2 5 3 3 12 7" xfId="55063"/>
    <cellStyle name="Output 2 5 3 3 13" xfId="20819"/>
    <cellStyle name="Output 2 5 3 3 13 2" xfId="20820"/>
    <cellStyle name="Output 2 5 3 3 13 3" xfId="20821"/>
    <cellStyle name="Output 2 5 3 3 13 4" xfId="20822"/>
    <cellStyle name="Output 2 5 3 3 13 5" xfId="20823"/>
    <cellStyle name="Output 2 5 3 3 13 6" xfId="46941"/>
    <cellStyle name="Output 2 5 3 3 13 7" xfId="55064"/>
    <cellStyle name="Output 2 5 3 3 14" xfId="20824"/>
    <cellStyle name="Output 2 5 3 3 14 2" xfId="20825"/>
    <cellStyle name="Output 2 5 3 3 14 3" xfId="20826"/>
    <cellStyle name="Output 2 5 3 3 14 4" xfId="20827"/>
    <cellStyle name="Output 2 5 3 3 14 5" xfId="20828"/>
    <cellStyle name="Output 2 5 3 3 15" xfId="20829"/>
    <cellStyle name="Output 2 5 3 3 15 2" xfId="20830"/>
    <cellStyle name="Output 2 5 3 3 15 3" xfId="20831"/>
    <cellStyle name="Output 2 5 3 3 15 4" xfId="20832"/>
    <cellStyle name="Output 2 5 3 3 15 5" xfId="20833"/>
    <cellStyle name="Output 2 5 3 3 16" xfId="20834"/>
    <cellStyle name="Output 2 5 3 3 16 2" xfId="20835"/>
    <cellStyle name="Output 2 5 3 3 16 3" xfId="20836"/>
    <cellStyle name="Output 2 5 3 3 16 4" xfId="20837"/>
    <cellStyle name="Output 2 5 3 3 16 5" xfId="20838"/>
    <cellStyle name="Output 2 5 3 3 17" xfId="20839"/>
    <cellStyle name="Output 2 5 3 3 17 2" xfId="20840"/>
    <cellStyle name="Output 2 5 3 3 17 3" xfId="20841"/>
    <cellStyle name="Output 2 5 3 3 17 4" xfId="20842"/>
    <cellStyle name="Output 2 5 3 3 17 5" xfId="20843"/>
    <cellStyle name="Output 2 5 3 3 18" xfId="20844"/>
    <cellStyle name="Output 2 5 3 3 18 2" xfId="20845"/>
    <cellStyle name="Output 2 5 3 3 18 3" xfId="20846"/>
    <cellStyle name="Output 2 5 3 3 18 4" xfId="20847"/>
    <cellStyle name="Output 2 5 3 3 18 5" xfId="20848"/>
    <cellStyle name="Output 2 5 3 3 19" xfId="20849"/>
    <cellStyle name="Output 2 5 3 3 2" xfId="616"/>
    <cellStyle name="Output 2 5 3 3 2 10" xfId="20850"/>
    <cellStyle name="Output 2 5 3 3 2 10 2" xfId="20851"/>
    <cellStyle name="Output 2 5 3 3 2 10 3" xfId="20852"/>
    <cellStyle name="Output 2 5 3 3 2 10 4" xfId="20853"/>
    <cellStyle name="Output 2 5 3 3 2 10 5" xfId="20854"/>
    <cellStyle name="Output 2 5 3 3 2 10 6" xfId="46942"/>
    <cellStyle name="Output 2 5 3 3 2 10 7" xfId="55065"/>
    <cellStyle name="Output 2 5 3 3 2 11" xfId="20855"/>
    <cellStyle name="Output 2 5 3 3 2 11 2" xfId="20856"/>
    <cellStyle name="Output 2 5 3 3 2 11 3" xfId="20857"/>
    <cellStyle name="Output 2 5 3 3 2 11 4" xfId="20858"/>
    <cellStyle name="Output 2 5 3 3 2 11 5" xfId="20859"/>
    <cellStyle name="Output 2 5 3 3 2 12" xfId="20860"/>
    <cellStyle name="Output 2 5 3 3 2 12 2" xfId="20861"/>
    <cellStyle name="Output 2 5 3 3 2 12 3" xfId="20862"/>
    <cellStyle name="Output 2 5 3 3 2 12 4" xfId="20863"/>
    <cellStyle name="Output 2 5 3 3 2 12 5" xfId="20864"/>
    <cellStyle name="Output 2 5 3 3 2 13" xfId="20865"/>
    <cellStyle name="Output 2 5 3 3 2 13 2" xfId="20866"/>
    <cellStyle name="Output 2 5 3 3 2 13 3" xfId="20867"/>
    <cellStyle name="Output 2 5 3 3 2 13 4" xfId="20868"/>
    <cellStyle name="Output 2 5 3 3 2 13 5" xfId="20869"/>
    <cellStyle name="Output 2 5 3 3 2 14" xfId="20870"/>
    <cellStyle name="Output 2 5 3 3 2 14 2" xfId="20871"/>
    <cellStyle name="Output 2 5 3 3 2 14 3" xfId="20872"/>
    <cellStyle name="Output 2 5 3 3 2 14 4" xfId="20873"/>
    <cellStyle name="Output 2 5 3 3 2 14 5" xfId="20874"/>
    <cellStyle name="Output 2 5 3 3 2 15" xfId="20875"/>
    <cellStyle name="Output 2 5 3 3 2 15 2" xfId="20876"/>
    <cellStyle name="Output 2 5 3 3 2 15 3" xfId="20877"/>
    <cellStyle name="Output 2 5 3 3 2 15 4" xfId="20878"/>
    <cellStyle name="Output 2 5 3 3 2 15 5" xfId="20879"/>
    <cellStyle name="Output 2 5 3 3 2 16" xfId="20880"/>
    <cellStyle name="Output 2 5 3 3 2 16 2" xfId="20881"/>
    <cellStyle name="Output 2 5 3 3 2 16 3" xfId="20882"/>
    <cellStyle name="Output 2 5 3 3 2 16 4" xfId="20883"/>
    <cellStyle name="Output 2 5 3 3 2 16 5" xfId="20884"/>
    <cellStyle name="Output 2 5 3 3 2 17" xfId="20885"/>
    <cellStyle name="Output 2 5 3 3 2 17 2" xfId="20886"/>
    <cellStyle name="Output 2 5 3 3 2 17 3" xfId="20887"/>
    <cellStyle name="Output 2 5 3 3 2 17 4" xfId="20888"/>
    <cellStyle name="Output 2 5 3 3 2 17 5" xfId="20889"/>
    <cellStyle name="Output 2 5 3 3 2 18" xfId="20890"/>
    <cellStyle name="Output 2 5 3 3 2 18 2" xfId="20891"/>
    <cellStyle name="Output 2 5 3 3 2 18 3" xfId="20892"/>
    <cellStyle name="Output 2 5 3 3 2 18 4" xfId="20893"/>
    <cellStyle name="Output 2 5 3 3 2 18 5" xfId="20894"/>
    <cellStyle name="Output 2 5 3 3 2 19" xfId="20895"/>
    <cellStyle name="Output 2 5 3 3 2 2" xfId="2517"/>
    <cellStyle name="Output 2 5 3 3 2 2 2" xfId="20896"/>
    <cellStyle name="Output 2 5 3 3 2 2 3" xfId="20897"/>
    <cellStyle name="Output 2 5 3 3 2 2 4" xfId="20898"/>
    <cellStyle name="Output 2 5 3 3 2 2 5" xfId="20899"/>
    <cellStyle name="Output 2 5 3 3 2 2 6" xfId="36420"/>
    <cellStyle name="Output 2 5 3 3 2 2 7" xfId="46943"/>
    <cellStyle name="Output 2 5 3 3 2 2 8" xfId="55066"/>
    <cellStyle name="Output 2 5 3 3 2 20" xfId="1045"/>
    <cellStyle name="Output 2 5 3 3 2 21" xfId="35125"/>
    <cellStyle name="Output 2 5 3 3 2 22" xfId="41344"/>
    <cellStyle name="Output 2 5 3 3 2 3" xfId="2518"/>
    <cellStyle name="Output 2 5 3 3 2 3 2" xfId="20900"/>
    <cellStyle name="Output 2 5 3 3 2 3 3" xfId="20901"/>
    <cellStyle name="Output 2 5 3 3 2 3 4" xfId="20902"/>
    <cellStyle name="Output 2 5 3 3 2 3 5" xfId="20903"/>
    <cellStyle name="Output 2 5 3 3 2 3 6" xfId="36917"/>
    <cellStyle name="Output 2 5 3 3 2 3 7" xfId="46944"/>
    <cellStyle name="Output 2 5 3 3 2 3 8" xfId="55067"/>
    <cellStyle name="Output 2 5 3 3 2 4" xfId="1351"/>
    <cellStyle name="Output 2 5 3 3 2 4 2" xfId="20904"/>
    <cellStyle name="Output 2 5 3 3 2 4 3" xfId="20905"/>
    <cellStyle name="Output 2 5 3 3 2 4 4" xfId="20906"/>
    <cellStyle name="Output 2 5 3 3 2 4 5" xfId="20907"/>
    <cellStyle name="Output 2 5 3 3 2 4 6" xfId="37533"/>
    <cellStyle name="Output 2 5 3 3 2 4 7" xfId="46945"/>
    <cellStyle name="Output 2 5 3 3 2 4 8" xfId="55068"/>
    <cellStyle name="Output 2 5 3 3 2 5" xfId="3419"/>
    <cellStyle name="Output 2 5 3 3 2 5 2" xfId="20908"/>
    <cellStyle name="Output 2 5 3 3 2 5 3" xfId="20909"/>
    <cellStyle name="Output 2 5 3 3 2 5 4" xfId="20910"/>
    <cellStyle name="Output 2 5 3 3 2 5 5" xfId="20911"/>
    <cellStyle name="Output 2 5 3 3 2 5 6" xfId="38149"/>
    <cellStyle name="Output 2 5 3 3 2 5 7" xfId="46946"/>
    <cellStyle name="Output 2 5 3 3 2 5 8" xfId="55069"/>
    <cellStyle name="Output 2 5 3 3 2 6" xfId="3741"/>
    <cellStyle name="Output 2 5 3 3 2 6 2" xfId="20912"/>
    <cellStyle name="Output 2 5 3 3 2 6 3" xfId="20913"/>
    <cellStyle name="Output 2 5 3 3 2 6 4" xfId="20914"/>
    <cellStyle name="Output 2 5 3 3 2 6 5" xfId="20915"/>
    <cellStyle name="Output 2 5 3 3 2 6 6" xfId="38767"/>
    <cellStyle name="Output 2 5 3 3 2 6 7" xfId="46947"/>
    <cellStyle name="Output 2 5 3 3 2 6 8" xfId="55070"/>
    <cellStyle name="Output 2 5 3 3 2 7" xfId="20916"/>
    <cellStyle name="Output 2 5 3 3 2 7 2" xfId="20917"/>
    <cellStyle name="Output 2 5 3 3 2 7 3" xfId="20918"/>
    <cellStyle name="Output 2 5 3 3 2 7 4" xfId="20919"/>
    <cellStyle name="Output 2 5 3 3 2 7 5" xfId="20920"/>
    <cellStyle name="Output 2 5 3 3 2 7 6" xfId="39387"/>
    <cellStyle name="Output 2 5 3 3 2 7 7" xfId="46948"/>
    <cellStyle name="Output 2 5 3 3 2 7 8" xfId="55071"/>
    <cellStyle name="Output 2 5 3 3 2 8" xfId="20921"/>
    <cellStyle name="Output 2 5 3 3 2 8 2" xfId="20922"/>
    <cellStyle name="Output 2 5 3 3 2 8 3" xfId="20923"/>
    <cellStyle name="Output 2 5 3 3 2 8 4" xfId="20924"/>
    <cellStyle name="Output 2 5 3 3 2 8 5" xfId="20925"/>
    <cellStyle name="Output 2 5 3 3 2 8 6" xfId="40003"/>
    <cellStyle name="Output 2 5 3 3 2 8 7" xfId="46949"/>
    <cellStyle name="Output 2 5 3 3 2 8 8" xfId="55072"/>
    <cellStyle name="Output 2 5 3 3 2 9" xfId="20926"/>
    <cellStyle name="Output 2 5 3 3 2 9 2" xfId="20927"/>
    <cellStyle name="Output 2 5 3 3 2 9 3" xfId="20928"/>
    <cellStyle name="Output 2 5 3 3 2 9 4" xfId="20929"/>
    <cellStyle name="Output 2 5 3 3 2 9 5" xfId="20930"/>
    <cellStyle name="Output 2 5 3 3 2 9 6" xfId="40618"/>
    <cellStyle name="Output 2 5 3 3 2 9 7" xfId="46950"/>
    <cellStyle name="Output 2 5 3 3 2 9 8" xfId="55073"/>
    <cellStyle name="Output 2 5 3 3 20" xfId="833"/>
    <cellStyle name="Output 2 5 3 3 21" xfId="34700"/>
    <cellStyle name="Output 2 5 3 3 22" xfId="40917"/>
    <cellStyle name="Output 2 5 3 3 23" xfId="41478"/>
    <cellStyle name="Output 2 5 3 3 24" xfId="50565"/>
    <cellStyle name="Output 2 5 3 3 3" xfId="2519"/>
    <cellStyle name="Output 2 5 3 3 3 10" xfId="34616"/>
    <cellStyle name="Output 2 5 3 3 3 10 2" xfId="46952"/>
    <cellStyle name="Output 2 5 3 3 3 10 3" xfId="55075"/>
    <cellStyle name="Output 2 5 3 3 3 11" xfId="41132"/>
    <cellStyle name="Output 2 5 3 3 3 12" xfId="46951"/>
    <cellStyle name="Output 2 5 3 3 3 13" xfId="55074"/>
    <cellStyle name="Output 2 5 3 3 3 2" xfId="2520"/>
    <cellStyle name="Output 2 5 3 3 3 2 2" xfId="36209"/>
    <cellStyle name="Output 2 5 3 3 3 2 3" xfId="46953"/>
    <cellStyle name="Output 2 5 3 3 3 2 4" xfId="55076"/>
    <cellStyle name="Output 2 5 3 3 3 3" xfId="2521"/>
    <cellStyle name="Output 2 5 3 3 3 3 2" xfId="36706"/>
    <cellStyle name="Output 2 5 3 3 3 3 3" xfId="46954"/>
    <cellStyle name="Output 2 5 3 3 3 3 4" xfId="55077"/>
    <cellStyle name="Output 2 5 3 3 3 4" xfId="20931"/>
    <cellStyle name="Output 2 5 3 3 3 4 2" xfId="37322"/>
    <cellStyle name="Output 2 5 3 3 3 4 3" xfId="46955"/>
    <cellStyle name="Output 2 5 3 3 3 4 4" xfId="55078"/>
    <cellStyle name="Output 2 5 3 3 3 5" xfId="20932"/>
    <cellStyle name="Output 2 5 3 3 3 5 2" xfId="37938"/>
    <cellStyle name="Output 2 5 3 3 3 5 3" xfId="46956"/>
    <cellStyle name="Output 2 5 3 3 3 5 4" xfId="55079"/>
    <cellStyle name="Output 2 5 3 3 3 6" xfId="38555"/>
    <cellStyle name="Output 2 5 3 3 3 6 2" xfId="46957"/>
    <cellStyle name="Output 2 5 3 3 3 6 3" xfId="55080"/>
    <cellStyle name="Output 2 5 3 3 3 7" xfId="39175"/>
    <cellStyle name="Output 2 5 3 3 3 7 2" xfId="46958"/>
    <cellStyle name="Output 2 5 3 3 3 7 3" xfId="55081"/>
    <cellStyle name="Output 2 5 3 3 3 8" xfId="39791"/>
    <cellStyle name="Output 2 5 3 3 3 8 2" xfId="46959"/>
    <cellStyle name="Output 2 5 3 3 3 8 3" xfId="55082"/>
    <cellStyle name="Output 2 5 3 3 3 9" xfId="40406"/>
    <cellStyle name="Output 2 5 3 3 3 9 2" xfId="46960"/>
    <cellStyle name="Output 2 5 3 3 3 9 3" xfId="55083"/>
    <cellStyle name="Output 2 5 3 3 4" xfId="2522"/>
    <cellStyle name="Output 2 5 3 3 4 10" xfId="46961"/>
    <cellStyle name="Output 2 5 3 3 4 11" xfId="55084"/>
    <cellStyle name="Output 2 5 3 3 4 2" xfId="20933"/>
    <cellStyle name="Output 2 5 3 3 4 2 2" xfId="46962"/>
    <cellStyle name="Output 2 5 3 3 4 2 3" xfId="55085"/>
    <cellStyle name="Output 2 5 3 3 4 3" xfId="20934"/>
    <cellStyle name="Output 2 5 3 3 4 3 2" xfId="46963"/>
    <cellStyle name="Output 2 5 3 3 4 3 3" xfId="55086"/>
    <cellStyle name="Output 2 5 3 3 4 4" xfId="20935"/>
    <cellStyle name="Output 2 5 3 3 4 4 2" xfId="46964"/>
    <cellStyle name="Output 2 5 3 3 4 4 3" xfId="55087"/>
    <cellStyle name="Output 2 5 3 3 4 5" xfId="20936"/>
    <cellStyle name="Output 2 5 3 3 4 5 2" xfId="46965"/>
    <cellStyle name="Output 2 5 3 3 4 5 3" xfId="55088"/>
    <cellStyle name="Output 2 5 3 3 4 6" xfId="36491"/>
    <cellStyle name="Output 2 5 3 3 4 6 2" xfId="46966"/>
    <cellStyle name="Output 2 5 3 3 4 6 3" xfId="55089"/>
    <cellStyle name="Output 2 5 3 3 4 7" xfId="46967"/>
    <cellStyle name="Output 2 5 3 3 4 7 2" xfId="55090"/>
    <cellStyle name="Output 2 5 3 3 4 8" xfId="46968"/>
    <cellStyle name="Output 2 5 3 3 4 8 2" xfId="55091"/>
    <cellStyle name="Output 2 5 3 3 4 9" xfId="46969"/>
    <cellStyle name="Output 2 5 3 3 4 9 2" xfId="55092"/>
    <cellStyle name="Output 2 5 3 3 5" xfId="1350"/>
    <cellStyle name="Output 2 5 3 3 5 2" xfId="20937"/>
    <cellStyle name="Output 2 5 3 3 5 3" xfId="20938"/>
    <cellStyle name="Output 2 5 3 3 5 4" xfId="20939"/>
    <cellStyle name="Output 2 5 3 3 5 5" xfId="20940"/>
    <cellStyle name="Output 2 5 3 3 5 6" xfId="37107"/>
    <cellStyle name="Output 2 5 3 3 5 7" xfId="46970"/>
    <cellStyle name="Output 2 5 3 3 5 8" xfId="55093"/>
    <cellStyle name="Output 2 5 3 3 6" xfId="3418"/>
    <cellStyle name="Output 2 5 3 3 6 2" xfId="20941"/>
    <cellStyle name="Output 2 5 3 3 6 3" xfId="20942"/>
    <cellStyle name="Output 2 5 3 3 6 4" xfId="20943"/>
    <cellStyle name="Output 2 5 3 3 6 5" xfId="20944"/>
    <cellStyle name="Output 2 5 3 3 6 6" xfId="37721"/>
    <cellStyle name="Output 2 5 3 3 6 7" xfId="46971"/>
    <cellStyle name="Output 2 5 3 3 6 8" xfId="55094"/>
    <cellStyle name="Output 2 5 3 3 7" xfId="3740"/>
    <cellStyle name="Output 2 5 3 3 7 2" xfId="20945"/>
    <cellStyle name="Output 2 5 3 3 7 3" xfId="20946"/>
    <cellStyle name="Output 2 5 3 3 7 4" xfId="20947"/>
    <cellStyle name="Output 2 5 3 3 7 5" xfId="20948"/>
    <cellStyle name="Output 2 5 3 3 7 6" xfId="38336"/>
    <cellStyle name="Output 2 5 3 3 7 7" xfId="46972"/>
    <cellStyle name="Output 2 5 3 3 7 8" xfId="55095"/>
    <cellStyle name="Output 2 5 3 3 8" xfId="20949"/>
    <cellStyle name="Output 2 5 3 3 8 2" xfId="20950"/>
    <cellStyle name="Output 2 5 3 3 8 3" xfId="20951"/>
    <cellStyle name="Output 2 5 3 3 8 4" xfId="20952"/>
    <cellStyle name="Output 2 5 3 3 8 5" xfId="20953"/>
    <cellStyle name="Output 2 5 3 3 8 6" xfId="38956"/>
    <cellStyle name="Output 2 5 3 3 8 7" xfId="46973"/>
    <cellStyle name="Output 2 5 3 3 8 8" xfId="55096"/>
    <cellStyle name="Output 2 5 3 3 9" xfId="20954"/>
    <cellStyle name="Output 2 5 3 3 9 2" xfId="20955"/>
    <cellStyle name="Output 2 5 3 3 9 3" xfId="20956"/>
    <cellStyle name="Output 2 5 3 3 9 4" xfId="20957"/>
    <cellStyle name="Output 2 5 3 3 9 5" xfId="20958"/>
    <cellStyle name="Output 2 5 3 3 9 6" xfId="39575"/>
    <cellStyle name="Output 2 5 3 3 9 7" xfId="46974"/>
    <cellStyle name="Output 2 5 3 3 9 8" xfId="55097"/>
    <cellStyle name="Output 2 5 3 4" xfId="524"/>
    <cellStyle name="Output 2 5 3 4 10" xfId="20959"/>
    <cellStyle name="Output 2 5 3 4 10 2" xfId="20960"/>
    <cellStyle name="Output 2 5 3 4 10 3" xfId="20961"/>
    <cellStyle name="Output 2 5 3 4 10 4" xfId="20962"/>
    <cellStyle name="Output 2 5 3 4 10 5" xfId="20963"/>
    <cellStyle name="Output 2 5 3 4 10 6" xfId="46975"/>
    <cellStyle name="Output 2 5 3 4 10 7" xfId="55098"/>
    <cellStyle name="Output 2 5 3 4 11" xfId="20964"/>
    <cellStyle name="Output 2 5 3 4 11 2" xfId="20965"/>
    <cellStyle name="Output 2 5 3 4 11 3" xfId="20966"/>
    <cellStyle name="Output 2 5 3 4 11 4" xfId="20967"/>
    <cellStyle name="Output 2 5 3 4 11 5" xfId="20968"/>
    <cellStyle name="Output 2 5 3 4 12" xfId="20969"/>
    <cellStyle name="Output 2 5 3 4 12 2" xfId="20970"/>
    <cellStyle name="Output 2 5 3 4 12 3" xfId="20971"/>
    <cellStyle name="Output 2 5 3 4 12 4" xfId="20972"/>
    <cellStyle name="Output 2 5 3 4 12 5" xfId="20973"/>
    <cellStyle name="Output 2 5 3 4 13" xfId="20974"/>
    <cellStyle name="Output 2 5 3 4 13 2" xfId="20975"/>
    <cellStyle name="Output 2 5 3 4 13 3" xfId="20976"/>
    <cellStyle name="Output 2 5 3 4 13 4" xfId="20977"/>
    <cellStyle name="Output 2 5 3 4 13 5" xfId="20978"/>
    <cellStyle name="Output 2 5 3 4 14" xfId="20979"/>
    <cellStyle name="Output 2 5 3 4 14 2" xfId="20980"/>
    <cellStyle name="Output 2 5 3 4 14 3" xfId="20981"/>
    <cellStyle name="Output 2 5 3 4 14 4" xfId="20982"/>
    <cellStyle name="Output 2 5 3 4 14 5" xfId="20983"/>
    <cellStyle name="Output 2 5 3 4 15" xfId="20984"/>
    <cellStyle name="Output 2 5 3 4 15 2" xfId="20985"/>
    <cellStyle name="Output 2 5 3 4 15 3" xfId="20986"/>
    <cellStyle name="Output 2 5 3 4 15 4" xfId="20987"/>
    <cellStyle name="Output 2 5 3 4 15 5" xfId="20988"/>
    <cellStyle name="Output 2 5 3 4 16" xfId="20989"/>
    <cellStyle name="Output 2 5 3 4 16 2" xfId="20990"/>
    <cellStyle name="Output 2 5 3 4 16 3" xfId="20991"/>
    <cellStyle name="Output 2 5 3 4 16 4" xfId="20992"/>
    <cellStyle name="Output 2 5 3 4 16 5" xfId="20993"/>
    <cellStyle name="Output 2 5 3 4 17" xfId="20994"/>
    <cellStyle name="Output 2 5 3 4 17 2" xfId="20995"/>
    <cellStyle name="Output 2 5 3 4 17 3" xfId="20996"/>
    <cellStyle name="Output 2 5 3 4 17 4" xfId="20997"/>
    <cellStyle name="Output 2 5 3 4 17 5" xfId="20998"/>
    <cellStyle name="Output 2 5 3 4 18" xfId="20999"/>
    <cellStyle name="Output 2 5 3 4 18 2" xfId="21000"/>
    <cellStyle name="Output 2 5 3 4 18 3" xfId="21001"/>
    <cellStyle name="Output 2 5 3 4 18 4" xfId="21002"/>
    <cellStyle name="Output 2 5 3 4 18 5" xfId="21003"/>
    <cellStyle name="Output 2 5 3 4 19" xfId="21004"/>
    <cellStyle name="Output 2 5 3 4 2" xfId="2523"/>
    <cellStyle name="Output 2 5 3 4 2 2" xfId="21005"/>
    <cellStyle name="Output 2 5 3 4 2 3" xfId="21006"/>
    <cellStyle name="Output 2 5 3 4 2 4" xfId="21007"/>
    <cellStyle name="Output 2 5 3 4 2 5" xfId="21008"/>
    <cellStyle name="Output 2 5 3 4 2 6" xfId="36328"/>
    <cellStyle name="Output 2 5 3 4 2 7" xfId="46976"/>
    <cellStyle name="Output 2 5 3 4 2 8" xfId="55099"/>
    <cellStyle name="Output 2 5 3 4 20" xfId="953"/>
    <cellStyle name="Output 2 5 3 4 21" xfId="35033"/>
    <cellStyle name="Output 2 5 3 4 22" xfId="40742"/>
    <cellStyle name="Output 2 5 3 4 23" xfId="41252"/>
    <cellStyle name="Output 2 5 3 4 3" xfId="2524"/>
    <cellStyle name="Output 2 5 3 4 3 2" xfId="21009"/>
    <cellStyle name="Output 2 5 3 4 3 3" xfId="21010"/>
    <cellStyle name="Output 2 5 3 4 3 4" xfId="21011"/>
    <cellStyle name="Output 2 5 3 4 3 5" xfId="21012"/>
    <cellStyle name="Output 2 5 3 4 3 6" xfId="36825"/>
    <cellStyle name="Output 2 5 3 4 3 7" xfId="46977"/>
    <cellStyle name="Output 2 5 3 4 3 8" xfId="55100"/>
    <cellStyle name="Output 2 5 3 4 4" xfId="1352"/>
    <cellStyle name="Output 2 5 3 4 4 2" xfId="21013"/>
    <cellStyle name="Output 2 5 3 4 4 3" xfId="21014"/>
    <cellStyle name="Output 2 5 3 4 4 4" xfId="21015"/>
    <cellStyle name="Output 2 5 3 4 4 5" xfId="21016"/>
    <cellStyle name="Output 2 5 3 4 4 6" xfId="37441"/>
    <cellStyle name="Output 2 5 3 4 4 7" xfId="46978"/>
    <cellStyle name="Output 2 5 3 4 4 8" xfId="55101"/>
    <cellStyle name="Output 2 5 3 4 5" xfId="3420"/>
    <cellStyle name="Output 2 5 3 4 5 2" xfId="21017"/>
    <cellStyle name="Output 2 5 3 4 5 3" xfId="21018"/>
    <cellStyle name="Output 2 5 3 4 5 4" xfId="21019"/>
    <cellStyle name="Output 2 5 3 4 5 5" xfId="21020"/>
    <cellStyle name="Output 2 5 3 4 5 6" xfId="38057"/>
    <cellStyle name="Output 2 5 3 4 5 7" xfId="46979"/>
    <cellStyle name="Output 2 5 3 4 5 8" xfId="55102"/>
    <cellStyle name="Output 2 5 3 4 6" xfId="3742"/>
    <cellStyle name="Output 2 5 3 4 6 2" xfId="21021"/>
    <cellStyle name="Output 2 5 3 4 6 3" xfId="21022"/>
    <cellStyle name="Output 2 5 3 4 6 4" xfId="21023"/>
    <cellStyle name="Output 2 5 3 4 6 5" xfId="21024"/>
    <cellStyle name="Output 2 5 3 4 6 6" xfId="38675"/>
    <cellStyle name="Output 2 5 3 4 6 7" xfId="46980"/>
    <cellStyle name="Output 2 5 3 4 6 8" xfId="55103"/>
    <cellStyle name="Output 2 5 3 4 7" xfId="21025"/>
    <cellStyle name="Output 2 5 3 4 7 2" xfId="21026"/>
    <cellStyle name="Output 2 5 3 4 7 3" xfId="21027"/>
    <cellStyle name="Output 2 5 3 4 7 4" xfId="21028"/>
    <cellStyle name="Output 2 5 3 4 7 5" xfId="21029"/>
    <cellStyle name="Output 2 5 3 4 7 6" xfId="39295"/>
    <cellStyle name="Output 2 5 3 4 7 7" xfId="46981"/>
    <cellStyle name="Output 2 5 3 4 7 8" xfId="55104"/>
    <cellStyle name="Output 2 5 3 4 8" xfId="21030"/>
    <cellStyle name="Output 2 5 3 4 8 2" xfId="21031"/>
    <cellStyle name="Output 2 5 3 4 8 3" xfId="21032"/>
    <cellStyle name="Output 2 5 3 4 8 4" xfId="21033"/>
    <cellStyle name="Output 2 5 3 4 8 5" xfId="21034"/>
    <cellStyle name="Output 2 5 3 4 8 6" xfId="39911"/>
    <cellStyle name="Output 2 5 3 4 8 7" xfId="46982"/>
    <cellStyle name="Output 2 5 3 4 8 8" xfId="55105"/>
    <cellStyle name="Output 2 5 3 4 9" xfId="21035"/>
    <cellStyle name="Output 2 5 3 4 9 2" xfId="21036"/>
    <cellStyle name="Output 2 5 3 4 9 3" xfId="21037"/>
    <cellStyle name="Output 2 5 3 4 9 4" xfId="21038"/>
    <cellStyle name="Output 2 5 3 4 9 5" xfId="21039"/>
    <cellStyle name="Output 2 5 3 4 9 6" xfId="40526"/>
    <cellStyle name="Output 2 5 3 4 9 7" xfId="46983"/>
    <cellStyle name="Output 2 5 3 4 9 8" xfId="55106"/>
    <cellStyle name="Output 2 5 3 5" xfId="2525"/>
    <cellStyle name="Output 2 5 3 5 10" xfId="34648"/>
    <cellStyle name="Output 2 5 3 5 10 2" xfId="46985"/>
    <cellStyle name="Output 2 5 3 5 10 3" xfId="55108"/>
    <cellStyle name="Output 2 5 3 5 11" xfId="41038"/>
    <cellStyle name="Output 2 5 3 5 12" xfId="46984"/>
    <cellStyle name="Output 2 5 3 5 13" xfId="55107"/>
    <cellStyle name="Output 2 5 3 5 2" xfId="2526"/>
    <cellStyle name="Output 2 5 3 5 2 2" xfId="36115"/>
    <cellStyle name="Output 2 5 3 5 2 3" xfId="46986"/>
    <cellStyle name="Output 2 5 3 5 2 4" xfId="55109"/>
    <cellStyle name="Output 2 5 3 5 3" xfId="2527"/>
    <cellStyle name="Output 2 5 3 5 3 2" xfId="36614"/>
    <cellStyle name="Output 2 5 3 5 3 3" xfId="46987"/>
    <cellStyle name="Output 2 5 3 5 3 4" xfId="55110"/>
    <cellStyle name="Output 2 5 3 5 4" xfId="21040"/>
    <cellStyle name="Output 2 5 3 5 4 2" xfId="37230"/>
    <cellStyle name="Output 2 5 3 5 4 3" xfId="46988"/>
    <cellStyle name="Output 2 5 3 5 4 4" xfId="55111"/>
    <cellStyle name="Output 2 5 3 5 5" xfId="21041"/>
    <cellStyle name="Output 2 5 3 5 5 2" xfId="37846"/>
    <cellStyle name="Output 2 5 3 5 5 3" xfId="46989"/>
    <cellStyle name="Output 2 5 3 5 5 4" xfId="55112"/>
    <cellStyle name="Output 2 5 3 5 6" xfId="38461"/>
    <cellStyle name="Output 2 5 3 5 6 2" xfId="46990"/>
    <cellStyle name="Output 2 5 3 5 6 3" xfId="55113"/>
    <cellStyle name="Output 2 5 3 5 7" xfId="39081"/>
    <cellStyle name="Output 2 5 3 5 7 2" xfId="46991"/>
    <cellStyle name="Output 2 5 3 5 7 3" xfId="55114"/>
    <cellStyle name="Output 2 5 3 5 8" xfId="39697"/>
    <cellStyle name="Output 2 5 3 5 8 2" xfId="46992"/>
    <cellStyle name="Output 2 5 3 5 8 3" xfId="55115"/>
    <cellStyle name="Output 2 5 3 5 9" xfId="40312"/>
    <cellStyle name="Output 2 5 3 5 9 2" xfId="46993"/>
    <cellStyle name="Output 2 5 3 5 9 3" xfId="55116"/>
    <cellStyle name="Output 2 5 3 6" xfId="1347"/>
    <cellStyle name="Output 2 5 3 6 10" xfId="46994"/>
    <cellStyle name="Output 2 5 3 6 11" xfId="55117"/>
    <cellStyle name="Output 2 5 3 6 2" xfId="21042"/>
    <cellStyle name="Output 2 5 3 6 2 2" xfId="46995"/>
    <cellStyle name="Output 2 5 3 6 2 3" xfId="55118"/>
    <cellStyle name="Output 2 5 3 6 3" xfId="21043"/>
    <cellStyle name="Output 2 5 3 6 3 2" xfId="46996"/>
    <cellStyle name="Output 2 5 3 6 3 3" xfId="55119"/>
    <cellStyle name="Output 2 5 3 6 4" xfId="21044"/>
    <cellStyle name="Output 2 5 3 6 4 2" xfId="46997"/>
    <cellStyle name="Output 2 5 3 6 4 3" xfId="55120"/>
    <cellStyle name="Output 2 5 3 6 5" xfId="21045"/>
    <cellStyle name="Output 2 5 3 6 5 2" xfId="46998"/>
    <cellStyle name="Output 2 5 3 6 5 3" xfId="55121"/>
    <cellStyle name="Output 2 5 3 6 6" xfId="35433"/>
    <cellStyle name="Output 2 5 3 6 6 2" xfId="46999"/>
    <cellStyle name="Output 2 5 3 6 6 3" xfId="55122"/>
    <cellStyle name="Output 2 5 3 6 7" xfId="47000"/>
    <cellStyle name="Output 2 5 3 6 7 2" xfId="55123"/>
    <cellStyle name="Output 2 5 3 6 8" xfId="47001"/>
    <cellStyle name="Output 2 5 3 6 8 2" xfId="55124"/>
    <cellStyle name="Output 2 5 3 6 9" xfId="47002"/>
    <cellStyle name="Output 2 5 3 6 9 2" xfId="55125"/>
    <cellStyle name="Output 2 5 3 7" xfId="3415"/>
    <cellStyle name="Output 2 5 3 7 2" xfId="21046"/>
    <cellStyle name="Output 2 5 3 7 3" xfId="21047"/>
    <cellStyle name="Output 2 5 3 7 4" xfId="21048"/>
    <cellStyle name="Output 2 5 3 7 5" xfId="21049"/>
    <cellStyle name="Output 2 5 3 7 6" xfId="35965"/>
    <cellStyle name="Output 2 5 3 7 7" xfId="47003"/>
    <cellStyle name="Output 2 5 3 7 8" xfId="55126"/>
    <cellStyle name="Output 2 5 3 8" xfId="3737"/>
    <cellStyle name="Output 2 5 3 8 2" xfId="21050"/>
    <cellStyle name="Output 2 5 3 8 3" xfId="21051"/>
    <cellStyle name="Output 2 5 3 8 4" xfId="21052"/>
    <cellStyle name="Output 2 5 3 8 5" xfId="21053"/>
    <cellStyle name="Output 2 5 3 8 6" xfId="35811"/>
    <cellStyle name="Output 2 5 3 8 7" xfId="47004"/>
    <cellStyle name="Output 2 5 3 8 8" xfId="55127"/>
    <cellStyle name="Output 2 5 3 9" xfId="21054"/>
    <cellStyle name="Output 2 5 3 9 2" xfId="21055"/>
    <cellStyle name="Output 2 5 3 9 3" xfId="21056"/>
    <cellStyle name="Output 2 5 3 9 4" xfId="21057"/>
    <cellStyle name="Output 2 5 3 9 5" xfId="21058"/>
    <cellStyle name="Output 2 5 3 9 6" xfId="37010"/>
    <cellStyle name="Output 2 5 3 9 7" xfId="47005"/>
    <cellStyle name="Output 2 5 3 9 8" xfId="55128"/>
    <cellStyle name="Output 2 5 4" xfId="398"/>
    <cellStyle name="Output 2 5 4 10" xfId="21059"/>
    <cellStyle name="Output 2 5 4 10 2" xfId="21060"/>
    <cellStyle name="Output 2 5 4 10 3" xfId="21061"/>
    <cellStyle name="Output 2 5 4 10 4" xfId="21062"/>
    <cellStyle name="Output 2 5 4 10 5" xfId="21063"/>
    <cellStyle name="Output 2 5 4 10 6" xfId="39576"/>
    <cellStyle name="Output 2 5 4 10 7" xfId="47006"/>
    <cellStyle name="Output 2 5 4 10 8" xfId="55129"/>
    <cellStyle name="Output 2 5 4 11" xfId="21064"/>
    <cellStyle name="Output 2 5 4 11 2" xfId="21065"/>
    <cellStyle name="Output 2 5 4 11 3" xfId="21066"/>
    <cellStyle name="Output 2 5 4 11 4" xfId="21067"/>
    <cellStyle name="Output 2 5 4 11 5" xfId="21068"/>
    <cellStyle name="Output 2 5 4 11 6" xfId="40192"/>
    <cellStyle name="Output 2 5 4 11 7" xfId="47007"/>
    <cellStyle name="Output 2 5 4 11 8" xfId="55130"/>
    <cellStyle name="Output 2 5 4 12" xfId="21069"/>
    <cellStyle name="Output 2 5 4 12 2" xfId="21070"/>
    <cellStyle name="Output 2 5 4 12 3" xfId="21071"/>
    <cellStyle name="Output 2 5 4 12 4" xfId="21072"/>
    <cellStyle name="Output 2 5 4 12 5" xfId="21073"/>
    <cellStyle name="Output 2 5 4 12 6" xfId="47008"/>
    <cellStyle name="Output 2 5 4 12 7" xfId="55131"/>
    <cellStyle name="Output 2 5 4 13" xfId="21074"/>
    <cellStyle name="Output 2 5 4 13 2" xfId="21075"/>
    <cellStyle name="Output 2 5 4 13 3" xfId="21076"/>
    <cellStyle name="Output 2 5 4 13 4" xfId="21077"/>
    <cellStyle name="Output 2 5 4 13 5" xfId="21078"/>
    <cellStyle name="Output 2 5 4 13 6" xfId="47009"/>
    <cellStyle name="Output 2 5 4 13 7" xfId="55132"/>
    <cellStyle name="Output 2 5 4 14" xfId="21079"/>
    <cellStyle name="Output 2 5 4 14 2" xfId="21080"/>
    <cellStyle name="Output 2 5 4 14 3" xfId="21081"/>
    <cellStyle name="Output 2 5 4 14 4" xfId="21082"/>
    <cellStyle name="Output 2 5 4 14 5" xfId="21083"/>
    <cellStyle name="Output 2 5 4 15" xfId="21084"/>
    <cellStyle name="Output 2 5 4 15 2" xfId="21085"/>
    <cellStyle name="Output 2 5 4 15 3" xfId="21086"/>
    <cellStyle name="Output 2 5 4 15 4" xfId="21087"/>
    <cellStyle name="Output 2 5 4 15 5" xfId="21088"/>
    <cellStyle name="Output 2 5 4 16" xfId="21089"/>
    <cellStyle name="Output 2 5 4 16 2" xfId="21090"/>
    <cellStyle name="Output 2 5 4 16 3" xfId="21091"/>
    <cellStyle name="Output 2 5 4 16 4" xfId="21092"/>
    <cellStyle name="Output 2 5 4 16 5" xfId="21093"/>
    <cellStyle name="Output 2 5 4 17" xfId="21094"/>
    <cellStyle name="Output 2 5 4 17 2" xfId="21095"/>
    <cellStyle name="Output 2 5 4 17 3" xfId="21096"/>
    <cellStyle name="Output 2 5 4 17 4" xfId="21097"/>
    <cellStyle name="Output 2 5 4 17 5" xfId="21098"/>
    <cellStyle name="Output 2 5 4 18" xfId="21099"/>
    <cellStyle name="Output 2 5 4 18 2" xfId="21100"/>
    <cellStyle name="Output 2 5 4 18 3" xfId="21101"/>
    <cellStyle name="Output 2 5 4 18 4" xfId="21102"/>
    <cellStyle name="Output 2 5 4 18 5" xfId="21103"/>
    <cellStyle name="Output 2 5 4 19" xfId="21104"/>
    <cellStyle name="Output 2 5 4 2" xfId="617"/>
    <cellStyle name="Output 2 5 4 2 10" xfId="21105"/>
    <cellStyle name="Output 2 5 4 2 10 2" xfId="21106"/>
    <cellStyle name="Output 2 5 4 2 10 3" xfId="21107"/>
    <cellStyle name="Output 2 5 4 2 10 4" xfId="21108"/>
    <cellStyle name="Output 2 5 4 2 10 5" xfId="21109"/>
    <cellStyle name="Output 2 5 4 2 10 6" xfId="47010"/>
    <cellStyle name="Output 2 5 4 2 10 7" xfId="55133"/>
    <cellStyle name="Output 2 5 4 2 11" xfId="21110"/>
    <cellStyle name="Output 2 5 4 2 11 2" xfId="21111"/>
    <cellStyle name="Output 2 5 4 2 11 3" xfId="21112"/>
    <cellStyle name="Output 2 5 4 2 11 4" xfId="21113"/>
    <cellStyle name="Output 2 5 4 2 11 5" xfId="21114"/>
    <cellStyle name="Output 2 5 4 2 12" xfId="21115"/>
    <cellStyle name="Output 2 5 4 2 12 2" xfId="21116"/>
    <cellStyle name="Output 2 5 4 2 12 3" xfId="21117"/>
    <cellStyle name="Output 2 5 4 2 12 4" xfId="21118"/>
    <cellStyle name="Output 2 5 4 2 12 5" xfId="21119"/>
    <cellStyle name="Output 2 5 4 2 13" xfId="21120"/>
    <cellStyle name="Output 2 5 4 2 13 2" xfId="21121"/>
    <cellStyle name="Output 2 5 4 2 13 3" xfId="21122"/>
    <cellStyle name="Output 2 5 4 2 13 4" xfId="21123"/>
    <cellStyle name="Output 2 5 4 2 13 5" xfId="21124"/>
    <cellStyle name="Output 2 5 4 2 14" xfId="21125"/>
    <cellStyle name="Output 2 5 4 2 14 2" xfId="21126"/>
    <cellStyle name="Output 2 5 4 2 14 3" xfId="21127"/>
    <cellStyle name="Output 2 5 4 2 14 4" xfId="21128"/>
    <cellStyle name="Output 2 5 4 2 14 5" xfId="21129"/>
    <cellStyle name="Output 2 5 4 2 15" xfId="21130"/>
    <cellStyle name="Output 2 5 4 2 15 2" xfId="21131"/>
    <cellStyle name="Output 2 5 4 2 15 3" xfId="21132"/>
    <cellStyle name="Output 2 5 4 2 15 4" xfId="21133"/>
    <cellStyle name="Output 2 5 4 2 15 5" xfId="21134"/>
    <cellStyle name="Output 2 5 4 2 16" xfId="21135"/>
    <cellStyle name="Output 2 5 4 2 16 2" xfId="21136"/>
    <cellStyle name="Output 2 5 4 2 16 3" xfId="21137"/>
    <cellStyle name="Output 2 5 4 2 16 4" xfId="21138"/>
    <cellStyle name="Output 2 5 4 2 16 5" xfId="21139"/>
    <cellStyle name="Output 2 5 4 2 17" xfId="21140"/>
    <cellStyle name="Output 2 5 4 2 17 2" xfId="21141"/>
    <cellStyle name="Output 2 5 4 2 17 3" xfId="21142"/>
    <cellStyle name="Output 2 5 4 2 17 4" xfId="21143"/>
    <cellStyle name="Output 2 5 4 2 17 5" xfId="21144"/>
    <cellStyle name="Output 2 5 4 2 18" xfId="21145"/>
    <cellStyle name="Output 2 5 4 2 18 2" xfId="21146"/>
    <cellStyle name="Output 2 5 4 2 18 3" xfId="21147"/>
    <cellStyle name="Output 2 5 4 2 18 4" xfId="21148"/>
    <cellStyle name="Output 2 5 4 2 18 5" xfId="21149"/>
    <cellStyle name="Output 2 5 4 2 19" xfId="21150"/>
    <cellStyle name="Output 2 5 4 2 2" xfId="2528"/>
    <cellStyle name="Output 2 5 4 2 2 2" xfId="21151"/>
    <cellStyle name="Output 2 5 4 2 2 3" xfId="21152"/>
    <cellStyle name="Output 2 5 4 2 2 4" xfId="21153"/>
    <cellStyle name="Output 2 5 4 2 2 5" xfId="21154"/>
    <cellStyle name="Output 2 5 4 2 2 6" xfId="36421"/>
    <cellStyle name="Output 2 5 4 2 2 7" xfId="47011"/>
    <cellStyle name="Output 2 5 4 2 2 8" xfId="55134"/>
    <cellStyle name="Output 2 5 4 2 20" xfId="1046"/>
    <cellStyle name="Output 2 5 4 2 21" xfId="35126"/>
    <cellStyle name="Output 2 5 4 2 22" xfId="41345"/>
    <cellStyle name="Output 2 5 4 2 3" xfId="2529"/>
    <cellStyle name="Output 2 5 4 2 3 2" xfId="21155"/>
    <cellStyle name="Output 2 5 4 2 3 3" xfId="21156"/>
    <cellStyle name="Output 2 5 4 2 3 4" xfId="21157"/>
    <cellStyle name="Output 2 5 4 2 3 5" xfId="21158"/>
    <cellStyle name="Output 2 5 4 2 3 6" xfId="36918"/>
    <cellStyle name="Output 2 5 4 2 3 7" xfId="47012"/>
    <cellStyle name="Output 2 5 4 2 3 8" xfId="55135"/>
    <cellStyle name="Output 2 5 4 2 4" xfId="1354"/>
    <cellStyle name="Output 2 5 4 2 4 2" xfId="21159"/>
    <cellStyle name="Output 2 5 4 2 4 3" xfId="21160"/>
    <cellStyle name="Output 2 5 4 2 4 4" xfId="21161"/>
    <cellStyle name="Output 2 5 4 2 4 5" xfId="21162"/>
    <cellStyle name="Output 2 5 4 2 4 6" xfId="37534"/>
    <cellStyle name="Output 2 5 4 2 4 7" xfId="47013"/>
    <cellStyle name="Output 2 5 4 2 4 8" xfId="55136"/>
    <cellStyle name="Output 2 5 4 2 5" xfId="3422"/>
    <cellStyle name="Output 2 5 4 2 5 2" xfId="21163"/>
    <cellStyle name="Output 2 5 4 2 5 3" xfId="21164"/>
    <cellStyle name="Output 2 5 4 2 5 4" xfId="21165"/>
    <cellStyle name="Output 2 5 4 2 5 5" xfId="21166"/>
    <cellStyle name="Output 2 5 4 2 5 6" xfId="38150"/>
    <cellStyle name="Output 2 5 4 2 5 7" xfId="47014"/>
    <cellStyle name="Output 2 5 4 2 5 8" xfId="55137"/>
    <cellStyle name="Output 2 5 4 2 6" xfId="3744"/>
    <cellStyle name="Output 2 5 4 2 6 2" xfId="21167"/>
    <cellStyle name="Output 2 5 4 2 6 3" xfId="21168"/>
    <cellStyle name="Output 2 5 4 2 6 4" xfId="21169"/>
    <cellStyle name="Output 2 5 4 2 6 5" xfId="21170"/>
    <cellStyle name="Output 2 5 4 2 6 6" xfId="38768"/>
    <cellStyle name="Output 2 5 4 2 6 7" xfId="47015"/>
    <cellStyle name="Output 2 5 4 2 6 8" xfId="55138"/>
    <cellStyle name="Output 2 5 4 2 7" xfId="21171"/>
    <cellStyle name="Output 2 5 4 2 7 2" xfId="21172"/>
    <cellStyle name="Output 2 5 4 2 7 3" xfId="21173"/>
    <cellStyle name="Output 2 5 4 2 7 4" xfId="21174"/>
    <cellStyle name="Output 2 5 4 2 7 5" xfId="21175"/>
    <cellStyle name="Output 2 5 4 2 7 6" xfId="39388"/>
    <cellStyle name="Output 2 5 4 2 7 7" xfId="47016"/>
    <cellStyle name="Output 2 5 4 2 7 8" xfId="55139"/>
    <cellStyle name="Output 2 5 4 2 8" xfId="21176"/>
    <cellStyle name="Output 2 5 4 2 8 2" xfId="21177"/>
    <cellStyle name="Output 2 5 4 2 8 3" xfId="21178"/>
    <cellStyle name="Output 2 5 4 2 8 4" xfId="21179"/>
    <cellStyle name="Output 2 5 4 2 8 5" xfId="21180"/>
    <cellStyle name="Output 2 5 4 2 8 6" xfId="40004"/>
    <cellStyle name="Output 2 5 4 2 8 7" xfId="47017"/>
    <cellStyle name="Output 2 5 4 2 8 8" xfId="55140"/>
    <cellStyle name="Output 2 5 4 2 9" xfId="21181"/>
    <cellStyle name="Output 2 5 4 2 9 2" xfId="21182"/>
    <cellStyle name="Output 2 5 4 2 9 3" xfId="21183"/>
    <cellStyle name="Output 2 5 4 2 9 4" xfId="21184"/>
    <cellStyle name="Output 2 5 4 2 9 5" xfId="21185"/>
    <cellStyle name="Output 2 5 4 2 9 6" xfId="40619"/>
    <cellStyle name="Output 2 5 4 2 9 7" xfId="47018"/>
    <cellStyle name="Output 2 5 4 2 9 8" xfId="55141"/>
    <cellStyle name="Output 2 5 4 20" xfId="834"/>
    <cellStyle name="Output 2 5 4 21" xfId="34699"/>
    <cellStyle name="Output 2 5 4 22" xfId="40918"/>
    <cellStyle name="Output 2 5 4 23" xfId="41479"/>
    <cellStyle name="Output 2 5 4 24" xfId="50566"/>
    <cellStyle name="Output 2 5 4 3" xfId="2530"/>
    <cellStyle name="Output 2 5 4 3 10" xfId="34615"/>
    <cellStyle name="Output 2 5 4 3 10 2" xfId="47020"/>
    <cellStyle name="Output 2 5 4 3 10 3" xfId="55143"/>
    <cellStyle name="Output 2 5 4 3 11" xfId="41133"/>
    <cellStyle name="Output 2 5 4 3 12" xfId="47019"/>
    <cellStyle name="Output 2 5 4 3 13" xfId="55142"/>
    <cellStyle name="Output 2 5 4 3 2" xfId="2531"/>
    <cellStyle name="Output 2 5 4 3 2 2" xfId="36210"/>
    <cellStyle name="Output 2 5 4 3 2 3" xfId="47021"/>
    <cellStyle name="Output 2 5 4 3 2 4" xfId="55144"/>
    <cellStyle name="Output 2 5 4 3 3" xfId="2532"/>
    <cellStyle name="Output 2 5 4 3 3 2" xfId="36707"/>
    <cellStyle name="Output 2 5 4 3 3 3" xfId="47022"/>
    <cellStyle name="Output 2 5 4 3 3 4" xfId="55145"/>
    <cellStyle name="Output 2 5 4 3 4" xfId="21186"/>
    <cellStyle name="Output 2 5 4 3 4 2" xfId="37323"/>
    <cellStyle name="Output 2 5 4 3 4 3" xfId="47023"/>
    <cellStyle name="Output 2 5 4 3 4 4" xfId="55146"/>
    <cellStyle name="Output 2 5 4 3 5" xfId="21187"/>
    <cellStyle name="Output 2 5 4 3 5 2" xfId="37939"/>
    <cellStyle name="Output 2 5 4 3 5 3" xfId="47024"/>
    <cellStyle name="Output 2 5 4 3 5 4" xfId="55147"/>
    <cellStyle name="Output 2 5 4 3 6" xfId="38556"/>
    <cellStyle name="Output 2 5 4 3 6 2" xfId="47025"/>
    <cellStyle name="Output 2 5 4 3 6 3" xfId="55148"/>
    <cellStyle name="Output 2 5 4 3 7" xfId="39176"/>
    <cellStyle name="Output 2 5 4 3 7 2" xfId="47026"/>
    <cellStyle name="Output 2 5 4 3 7 3" xfId="55149"/>
    <cellStyle name="Output 2 5 4 3 8" xfId="39792"/>
    <cellStyle name="Output 2 5 4 3 8 2" xfId="47027"/>
    <cellStyle name="Output 2 5 4 3 8 3" xfId="55150"/>
    <cellStyle name="Output 2 5 4 3 9" xfId="40407"/>
    <cellStyle name="Output 2 5 4 3 9 2" xfId="47028"/>
    <cellStyle name="Output 2 5 4 3 9 3" xfId="55151"/>
    <cellStyle name="Output 2 5 4 4" xfId="2533"/>
    <cellStyle name="Output 2 5 4 4 10" xfId="47029"/>
    <cellStyle name="Output 2 5 4 4 11" xfId="55152"/>
    <cellStyle name="Output 2 5 4 4 2" xfId="21188"/>
    <cellStyle name="Output 2 5 4 4 2 2" xfId="47030"/>
    <cellStyle name="Output 2 5 4 4 2 3" xfId="55153"/>
    <cellStyle name="Output 2 5 4 4 3" xfId="21189"/>
    <cellStyle name="Output 2 5 4 4 3 2" xfId="47031"/>
    <cellStyle name="Output 2 5 4 4 3 3" xfId="55154"/>
    <cellStyle name="Output 2 5 4 4 4" xfId="21190"/>
    <cellStyle name="Output 2 5 4 4 4 2" xfId="47032"/>
    <cellStyle name="Output 2 5 4 4 4 3" xfId="55155"/>
    <cellStyle name="Output 2 5 4 4 5" xfId="21191"/>
    <cellStyle name="Output 2 5 4 4 5 2" xfId="47033"/>
    <cellStyle name="Output 2 5 4 4 5 3" xfId="55156"/>
    <cellStyle name="Output 2 5 4 4 6" xfId="35665"/>
    <cellStyle name="Output 2 5 4 4 6 2" xfId="47034"/>
    <cellStyle name="Output 2 5 4 4 6 3" xfId="55157"/>
    <cellStyle name="Output 2 5 4 4 7" xfId="47035"/>
    <cellStyle name="Output 2 5 4 4 7 2" xfId="55158"/>
    <cellStyle name="Output 2 5 4 4 8" xfId="47036"/>
    <cellStyle name="Output 2 5 4 4 8 2" xfId="55159"/>
    <cellStyle name="Output 2 5 4 4 9" xfId="47037"/>
    <cellStyle name="Output 2 5 4 4 9 2" xfId="55160"/>
    <cellStyle name="Output 2 5 4 5" xfId="1353"/>
    <cellStyle name="Output 2 5 4 5 2" xfId="21192"/>
    <cellStyle name="Output 2 5 4 5 3" xfId="21193"/>
    <cellStyle name="Output 2 5 4 5 4" xfId="21194"/>
    <cellStyle name="Output 2 5 4 5 5" xfId="21195"/>
    <cellStyle name="Output 2 5 4 5 6" xfId="36492"/>
    <cellStyle name="Output 2 5 4 5 7" xfId="47038"/>
    <cellStyle name="Output 2 5 4 5 8" xfId="55161"/>
    <cellStyle name="Output 2 5 4 6" xfId="3421"/>
    <cellStyle name="Output 2 5 4 6 2" xfId="21196"/>
    <cellStyle name="Output 2 5 4 6 3" xfId="21197"/>
    <cellStyle name="Output 2 5 4 6 4" xfId="21198"/>
    <cellStyle name="Output 2 5 4 6 5" xfId="21199"/>
    <cellStyle name="Output 2 5 4 6 6" xfId="37108"/>
    <cellStyle name="Output 2 5 4 6 7" xfId="47039"/>
    <cellStyle name="Output 2 5 4 6 8" xfId="55162"/>
    <cellStyle name="Output 2 5 4 7" xfId="3743"/>
    <cellStyle name="Output 2 5 4 7 2" xfId="21200"/>
    <cellStyle name="Output 2 5 4 7 3" xfId="21201"/>
    <cellStyle name="Output 2 5 4 7 4" xfId="21202"/>
    <cellStyle name="Output 2 5 4 7 5" xfId="21203"/>
    <cellStyle name="Output 2 5 4 7 6" xfId="37722"/>
    <cellStyle name="Output 2 5 4 7 7" xfId="47040"/>
    <cellStyle name="Output 2 5 4 7 8" xfId="55163"/>
    <cellStyle name="Output 2 5 4 8" xfId="21204"/>
    <cellStyle name="Output 2 5 4 8 2" xfId="21205"/>
    <cellStyle name="Output 2 5 4 8 3" xfId="21206"/>
    <cellStyle name="Output 2 5 4 8 4" xfId="21207"/>
    <cellStyle name="Output 2 5 4 8 5" xfId="21208"/>
    <cellStyle name="Output 2 5 4 8 6" xfId="38337"/>
    <cellStyle name="Output 2 5 4 8 7" xfId="47041"/>
    <cellStyle name="Output 2 5 4 8 8" xfId="55164"/>
    <cellStyle name="Output 2 5 4 9" xfId="21209"/>
    <cellStyle name="Output 2 5 4 9 2" xfId="21210"/>
    <cellStyle name="Output 2 5 4 9 3" xfId="21211"/>
    <cellStyle name="Output 2 5 4 9 4" xfId="21212"/>
    <cellStyle name="Output 2 5 4 9 5" xfId="21213"/>
    <cellStyle name="Output 2 5 4 9 6" xfId="38957"/>
    <cellStyle name="Output 2 5 4 9 7" xfId="47042"/>
    <cellStyle name="Output 2 5 4 9 8" xfId="55165"/>
    <cellStyle name="Output 2 5 5" xfId="399"/>
    <cellStyle name="Output 2 5 5 10" xfId="21214"/>
    <cellStyle name="Output 2 5 5 10 2" xfId="21215"/>
    <cellStyle name="Output 2 5 5 10 3" xfId="21216"/>
    <cellStyle name="Output 2 5 5 10 4" xfId="21217"/>
    <cellStyle name="Output 2 5 5 10 5" xfId="21218"/>
    <cellStyle name="Output 2 5 5 10 6" xfId="40193"/>
    <cellStyle name="Output 2 5 5 10 7" xfId="47043"/>
    <cellStyle name="Output 2 5 5 10 8" xfId="55166"/>
    <cellStyle name="Output 2 5 5 11" xfId="21219"/>
    <cellStyle name="Output 2 5 5 11 2" xfId="21220"/>
    <cellStyle name="Output 2 5 5 11 3" xfId="21221"/>
    <cellStyle name="Output 2 5 5 11 4" xfId="21222"/>
    <cellStyle name="Output 2 5 5 11 5" xfId="21223"/>
    <cellStyle name="Output 2 5 5 11 6" xfId="47044"/>
    <cellStyle name="Output 2 5 5 11 7" xfId="55167"/>
    <cellStyle name="Output 2 5 5 12" xfId="21224"/>
    <cellStyle name="Output 2 5 5 12 2" xfId="21225"/>
    <cellStyle name="Output 2 5 5 12 3" xfId="21226"/>
    <cellStyle name="Output 2 5 5 12 4" xfId="21227"/>
    <cellStyle name="Output 2 5 5 12 5" xfId="21228"/>
    <cellStyle name="Output 2 5 5 12 6" xfId="47045"/>
    <cellStyle name="Output 2 5 5 12 7" xfId="55168"/>
    <cellStyle name="Output 2 5 5 13" xfId="21229"/>
    <cellStyle name="Output 2 5 5 13 2" xfId="21230"/>
    <cellStyle name="Output 2 5 5 13 3" xfId="21231"/>
    <cellStyle name="Output 2 5 5 13 4" xfId="21232"/>
    <cellStyle name="Output 2 5 5 13 5" xfId="21233"/>
    <cellStyle name="Output 2 5 5 13 6" xfId="47046"/>
    <cellStyle name="Output 2 5 5 13 7" xfId="55169"/>
    <cellStyle name="Output 2 5 5 14" xfId="21234"/>
    <cellStyle name="Output 2 5 5 14 2" xfId="21235"/>
    <cellStyle name="Output 2 5 5 14 3" xfId="21236"/>
    <cellStyle name="Output 2 5 5 14 4" xfId="21237"/>
    <cellStyle name="Output 2 5 5 14 5" xfId="21238"/>
    <cellStyle name="Output 2 5 5 15" xfId="21239"/>
    <cellStyle name="Output 2 5 5 15 2" xfId="21240"/>
    <cellStyle name="Output 2 5 5 15 3" xfId="21241"/>
    <cellStyle name="Output 2 5 5 15 4" xfId="21242"/>
    <cellStyle name="Output 2 5 5 15 5" xfId="21243"/>
    <cellStyle name="Output 2 5 5 16" xfId="21244"/>
    <cellStyle name="Output 2 5 5 16 2" xfId="21245"/>
    <cellStyle name="Output 2 5 5 16 3" xfId="21246"/>
    <cellStyle name="Output 2 5 5 16 4" xfId="21247"/>
    <cellStyle name="Output 2 5 5 16 5" xfId="21248"/>
    <cellStyle name="Output 2 5 5 17" xfId="21249"/>
    <cellStyle name="Output 2 5 5 17 2" xfId="21250"/>
    <cellStyle name="Output 2 5 5 17 3" xfId="21251"/>
    <cellStyle name="Output 2 5 5 17 4" xfId="21252"/>
    <cellStyle name="Output 2 5 5 17 5" xfId="21253"/>
    <cellStyle name="Output 2 5 5 18" xfId="21254"/>
    <cellStyle name="Output 2 5 5 18 2" xfId="21255"/>
    <cellStyle name="Output 2 5 5 18 3" xfId="21256"/>
    <cellStyle name="Output 2 5 5 18 4" xfId="21257"/>
    <cellStyle name="Output 2 5 5 18 5" xfId="21258"/>
    <cellStyle name="Output 2 5 5 19" xfId="21259"/>
    <cellStyle name="Output 2 5 5 2" xfId="618"/>
    <cellStyle name="Output 2 5 5 2 10" xfId="21260"/>
    <cellStyle name="Output 2 5 5 2 10 2" xfId="21261"/>
    <cellStyle name="Output 2 5 5 2 10 3" xfId="21262"/>
    <cellStyle name="Output 2 5 5 2 10 4" xfId="21263"/>
    <cellStyle name="Output 2 5 5 2 10 5" xfId="21264"/>
    <cellStyle name="Output 2 5 5 2 10 6" xfId="47047"/>
    <cellStyle name="Output 2 5 5 2 10 7" xfId="55170"/>
    <cellStyle name="Output 2 5 5 2 11" xfId="21265"/>
    <cellStyle name="Output 2 5 5 2 11 2" xfId="21266"/>
    <cellStyle name="Output 2 5 5 2 11 3" xfId="21267"/>
    <cellStyle name="Output 2 5 5 2 11 4" xfId="21268"/>
    <cellStyle name="Output 2 5 5 2 11 5" xfId="21269"/>
    <cellStyle name="Output 2 5 5 2 12" xfId="21270"/>
    <cellStyle name="Output 2 5 5 2 12 2" xfId="21271"/>
    <cellStyle name="Output 2 5 5 2 12 3" xfId="21272"/>
    <cellStyle name="Output 2 5 5 2 12 4" xfId="21273"/>
    <cellStyle name="Output 2 5 5 2 12 5" xfId="21274"/>
    <cellStyle name="Output 2 5 5 2 13" xfId="21275"/>
    <cellStyle name="Output 2 5 5 2 13 2" xfId="21276"/>
    <cellStyle name="Output 2 5 5 2 13 3" xfId="21277"/>
    <cellStyle name="Output 2 5 5 2 13 4" xfId="21278"/>
    <cellStyle name="Output 2 5 5 2 13 5" xfId="21279"/>
    <cellStyle name="Output 2 5 5 2 14" xfId="21280"/>
    <cellStyle name="Output 2 5 5 2 14 2" xfId="21281"/>
    <cellStyle name="Output 2 5 5 2 14 3" xfId="21282"/>
    <cellStyle name="Output 2 5 5 2 14 4" xfId="21283"/>
    <cellStyle name="Output 2 5 5 2 14 5" xfId="21284"/>
    <cellStyle name="Output 2 5 5 2 15" xfId="21285"/>
    <cellStyle name="Output 2 5 5 2 15 2" xfId="21286"/>
    <cellStyle name="Output 2 5 5 2 15 3" xfId="21287"/>
    <cellStyle name="Output 2 5 5 2 15 4" xfId="21288"/>
    <cellStyle name="Output 2 5 5 2 15 5" xfId="21289"/>
    <cellStyle name="Output 2 5 5 2 16" xfId="21290"/>
    <cellStyle name="Output 2 5 5 2 16 2" xfId="21291"/>
    <cellStyle name="Output 2 5 5 2 16 3" xfId="21292"/>
    <cellStyle name="Output 2 5 5 2 16 4" xfId="21293"/>
    <cellStyle name="Output 2 5 5 2 16 5" xfId="21294"/>
    <cellStyle name="Output 2 5 5 2 17" xfId="21295"/>
    <cellStyle name="Output 2 5 5 2 17 2" xfId="21296"/>
    <cellStyle name="Output 2 5 5 2 17 3" xfId="21297"/>
    <cellStyle name="Output 2 5 5 2 17 4" xfId="21298"/>
    <cellStyle name="Output 2 5 5 2 17 5" xfId="21299"/>
    <cellStyle name="Output 2 5 5 2 18" xfId="21300"/>
    <cellStyle name="Output 2 5 5 2 18 2" xfId="21301"/>
    <cellStyle name="Output 2 5 5 2 18 3" xfId="21302"/>
    <cellStyle name="Output 2 5 5 2 18 4" xfId="21303"/>
    <cellStyle name="Output 2 5 5 2 18 5" xfId="21304"/>
    <cellStyle name="Output 2 5 5 2 19" xfId="21305"/>
    <cellStyle name="Output 2 5 5 2 2" xfId="2534"/>
    <cellStyle name="Output 2 5 5 2 2 2" xfId="21306"/>
    <cellStyle name="Output 2 5 5 2 2 3" xfId="21307"/>
    <cellStyle name="Output 2 5 5 2 2 4" xfId="21308"/>
    <cellStyle name="Output 2 5 5 2 2 5" xfId="21309"/>
    <cellStyle name="Output 2 5 5 2 2 6" xfId="36422"/>
    <cellStyle name="Output 2 5 5 2 2 7" xfId="47048"/>
    <cellStyle name="Output 2 5 5 2 2 8" xfId="55171"/>
    <cellStyle name="Output 2 5 5 2 20" xfId="1047"/>
    <cellStyle name="Output 2 5 5 2 21" xfId="35127"/>
    <cellStyle name="Output 2 5 5 2 22" xfId="41346"/>
    <cellStyle name="Output 2 5 5 2 3" xfId="2535"/>
    <cellStyle name="Output 2 5 5 2 3 2" xfId="21310"/>
    <cellStyle name="Output 2 5 5 2 3 3" xfId="21311"/>
    <cellStyle name="Output 2 5 5 2 3 4" xfId="21312"/>
    <cellStyle name="Output 2 5 5 2 3 5" xfId="21313"/>
    <cellStyle name="Output 2 5 5 2 3 6" xfId="36919"/>
    <cellStyle name="Output 2 5 5 2 3 7" xfId="47049"/>
    <cellStyle name="Output 2 5 5 2 3 8" xfId="55172"/>
    <cellStyle name="Output 2 5 5 2 4" xfId="1356"/>
    <cellStyle name="Output 2 5 5 2 4 2" xfId="21314"/>
    <cellStyle name="Output 2 5 5 2 4 3" xfId="21315"/>
    <cellStyle name="Output 2 5 5 2 4 4" xfId="21316"/>
    <cellStyle name="Output 2 5 5 2 4 5" xfId="21317"/>
    <cellStyle name="Output 2 5 5 2 4 6" xfId="37535"/>
    <cellStyle name="Output 2 5 5 2 4 7" xfId="47050"/>
    <cellStyle name="Output 2 5 5 2 4 8" xfId="55173"/>
    <cellStyle name="Output 2 5 5 2 5" xfId="3424"/>
    <cellStyle name="Output 2 5 5 2 5 2" xfId="21318"/>
    <cellStyle name="Output 2 5 5 2 5 3" xfId="21319"/>
    <cellStyle name="Output 2 5 5 2 5 4" xfId="21320"/>
    <cellStyle name="Output 2 5 5 2 5 5" xfId="21321"/>
    <cellStyle name="Output 2 5 5 2 5 6" xfId="38151"/>
    <cellStyle name="Output 2 5 5 2 5 7" xfId="47051"/>
    <cellStyle name="Output 2 5 5 2 5 8" xfId="55174"/>
    <cellStyle name="Output 2 5 5 2 6" xfId="3746"/>
    <cellStyle name="Output 2 5 5 2 6 2" xfId="21322"/>
    <cellStyle name="Output 2 5 5 2 6 3" xfId="21323"/>
    <cellStyle name="Output 2 5 5 2 6 4" xfId="21324"/>
    <cellStyle name="Output 2 5 5 2 6 5" xfId="21325"/>
    <cellStyle name="Output 2 5 5 2 6 6" xfId="38769"/>
    <cellStyle name="Output 2 5 5 2 6 7" xfId="47052"/>
    <cellStyle name="Output 2 5 5 2 6 8" xfId="55175"/>
    <cellStyle name="Output 2 5 5 2 7" xfId="21326"/>
    <cellStyle name="Output 2 5 5 2 7 2" xfId="21327"/>
    <cellStyle name="Output 2 5 5 2 7 3" xfId="21328"/>
    <cellStyle name="Output 2 5 5 2 7 4" xfId="21329"/>
    <cellStyle name="Output 2 5 5 2 7 5" xfId="21330"/>
    <cellStyle name="Output 2 5 5 2 7 6" xfId="39389"/>
    <cellStyle name="Output 2 5 5 2 7 7" xfId="47053"/>
    <cellStyle name="Output 2 5 5 2 7 8" xfId="55176"/>
    <cellStyle name="Output 2 5 5 2 8" xfId="21331"/>
    <cellStyle name="Output 2 5 5 2 8 2" xfId="21332"/>
    <cellStyle name="Output 2 5 5 2 8 3" xfId="21333"/>
    <cellStyle name="Output 2 5 5 2 8 4" xfId="21334"/>
    <cellStyle name="Output 2 5 5 2 8 5" xfId="21335"/>
    <cellStyle name="Output 2 5 5 2 8 6" xfId="40005"/>
    <cellStyle name="Output 2 5 5 2 8 7" xfId="47054"/>
    <cellStyle name="Output 2 5 5 2 8 8" xfId="55177"/>
    <cellStyle name="Output 2 5 5 2 9" xfId="21336"/>
    <cellStyle name="Output 2 5 5 2 9 2" xfId="21337"/>
    <cellStyle name="Output 2 5 5 2 9 3" xfId="21338"/>
    <cellStyle name="Output 2 5 5 2 9 4" xfId="21339"/>
    <cellStyle name="Output 2 5 5 2 9 5" xfId="21340"/>
    <cellStyle name="Output 2 5 5 2 9 6" xfId="40620"/>
    <cellStyle name="Output 2 5 5 2 9 7" xfId="47055"/>
    <cellStyle name="Output 2 5 5 2 9 8" xfId="55178"/>
    <cellStyle name="Output 2 5 5 20" xfId="835"/>
    <cellStyle name="Output 2 5 5 21" xfId="34555"/>
    <cellStyle name="Output 2 5 5 22" xfId="40919"/>
    <cellStyle name="Output 2 5 5 23" xfId="41480"/>
    <cellStyle name="Output 2 5 5 24" xfId="50567"/>
    <cellStyle name="Output 2 5 5 3" xfId="2536"/>
    <cellStyle name="Output 2 5 5 3 10" xfId="34614"/>
    <cellStyle name="Output 2 5 5 3 10 2" xfId="47057"/>
    <cellStyle name="Output 2 5 5 3 10 3" xfId="55180"/>
    <cellStyle name="Output 2 5 5 3 11" xfId="41134"/>
    <cellStyle name="Output 2 5 5 3 12" xfId="47056"/>
    <cellStyle name="Output 2 5 5 3 13" xfId="55179"/>
    <cellStyle name="Output 2 5 5 3 2" xfId="2537"/>
    <cellStyle name="Output 2 5 5 3 2 2" xfId="36211"/>
    <cellStyle name="Output 2 5 5 3 2 3" xfId="47058"/>
    <cellStyle name="Output 2 5 5 3 2 4" xfId="55181"/>
    <cellStyle name="Output 2 5 5 3 3" xfId="2538"/>
    <cellStyle name="Output 2 5 5 3 3 2" xfId="36708"/>
    <cellStyle name="Output 2 5 5 3 3 3" xfId="47059"/>
    <cellStyle name="Output 2 5 5 3 3 4" xfId="55182"/>
    <cellStyle name="Output 2 5 5 3 4" xfId="21341"/>
    <cellStyle name="Output 2 5 5 3 4 2" xfId="37324"/>
    <cellStyle name="Output 2 5 5 3 4 3" xfId="47060"/>
    <cellStyle name="Output 2 5 5 3 4 4" xfId="55183"/>
    <cellStyle name="Output 2 5 5 3 5" xfId="21342"/>
    <cellStyle name="Output 2 5 5 3 5 2" xfId="37940"/>
    <cellStyle name="Output 2 5 5 3 5 3" xfId="47061"/>
    <cellStyle name="Output 2 5 5 3 5 4" xfId="55184"/>
    <cellStyle name="Output 2 5 5 3 6" xfId="38557"/>
    <cellStyle name="Output 2 5 5 3 6 2" xfId="47062"/>
    <cellStyle name="Output 2 5 5 3 6 3" xfId="55185"/>
    <cellStyle name="Output 2 5 5 3 7" xfId="39177"/>
    <cellStyle name="Output 2 5 5 3 7 2" xfId="47063"/>
    <cellStyle name="Output 2 5 5 3 7 3" xfId="55186"/>
    <cellStyle name="Output 2 5 5 3 8" xfId="39793"/>
    <cellStyle name="Output 2 5 5 3 8 2" xfId="47064"/>
    <cellStyle name="Output 2 5 5 3 8 3" xfId="55187"/>
    <cellStyle name="Output 2 5 5 3 9" xfId="40408"/>
    <cellStyle name="Output 2 5 5 3 9 2" xfId="47065"/>
    <cellStyle name="Output 2 5 5 3 9 3" xfId="55188"/>
    <cellStyle name="Output 2 5 5 4" xfId="2539"/>
    <cellStyle name="Output 2 5 5 4 10" xfId="47066"/>
    <cellStyle name="Output 2 5 5 4 11" xfId="55189"/>
    <cellStyle name="Output 2 5 5 4 2" xfId="21343"/>
    <cellStyle name="Output 2 5 5 4 2 2" xfId="47067"/>
    <cellStyle name="Output 2 5 5 4 2 3" xfId="55190"/>
    <cellStyle name="Output 2 5 5 4 3" xfId="21344"/>
    <cellStyle name="Output 2 5 5 4 3 2" xfId="47068"/>
    <cellStyle name="Output 2 5 5 4 3 3" xfId="55191"/>
    <cellStyle name="Output 2 5 5 4 4" xfId="21345"/>
    <cellStyle name="Output 2 5 5 4 4 2" xfId="47069"/>
    <cellStyle name="Output 2 5 5 4 4 3" xfId="55192"/>
    <cellStyle name="Output 2 5 5 4 5" xfId="21346"/>
    <cellStyle name="Output 2 5 5 4 5 2" xfId="47070"/>
    <cellStyle name="Output 2 5 5 4 5 3" xfId="55193"/>
    <cellStyle name="Output 2 5 5 4 6" xfId="36493"/>
    <cellStyle name="Output 2 5 5 4 6 2" xfId="47071"/>
    <cellStyle name="Output 2 5 5 4 6 3" xfId="55194"/>
    <cellStyle name="Output 2 5 5 4 7" xfId="47072"/>
    <cellStyle name="Output 2 5 5 4 7 2" xfId="55195"/>
    <cellStyle name="Output 2 5 5 4 8" xfId="47073"/>
    <cellStyle name="Output 2 5 5 4 8 2" xfId="55196"/>
    <cellStyle name="Output 2 5 5 4 9" xfId="47074"/>
    <cellStyle name="Output 2 5 5 4 9 2" xfId="55197"/>
    <cellStyle name="Output 2 5 5 5" xfId="1355"/>
    <cellStyle name="Output 2 5 5 5 2" xfId="21347"/>
    <cellStyle name="Output 2 5 5 5 3" xfId="21348"/>
    <cellStyle name="Output 2 5 5 5 4" xfId="21349"/>
    <cellStyle name="Output 2 5 5 5 5" xfId="21350"/>
    <cellStyle name="Output 2 5 5 5 6" xfId="37109"/>
    <cellStyle name="Output 2 5 5 5 7" xfId="47075"/>
    <cellStyle name="Output 2 5 5 5 8" xfId="55198"/>
    <cellStyle name="Output 2 5 5 6" xfId="3423"/>
    <cellStyle name="Output 2 5 5 6 2" xfId="21351"/>
    <cellStyle name="Output 2 5 5 6 3" xfId="21352"/>
    <cellStyle name="Output 2 5 5 6 4" xfId="21353"/>
    <cellStyle name="Output 2 5 5 6 5" xfId="21354"/>
    <cellStyle name="Output 2 5 5 6 6" xfId="37723"/>
    <cellStyle name="Output 2 5 5 6 7" xfId="47076"/>
    <cellStyle name="Output 2 5 5 6 8" xfId="55199"/>
    <cellStyle name="Output 2 5 5 7" xfId="3745"/>
    <cellStyle name="Output 2 5 5 7 2" xfId="21355"/>
    <cellStyle name="Output 2 5 5 7 3" xfId="21356"/>
    <cellStyle name="Output 2 5 5 7 4" xfId="21357"/>
    <cellStyle name="Output 2 5 5 7 5" xfId="21358"/>
    <cellStyle name="Output 2 5 5 7 6" xfId="38338"/>
    <cellStyle name="Output 2 5 5 7 7" xfId="47077"/>
    <cellStyle name="Output 2 5 5 7 8" xfId="55200"/>
    <cellStyle name="Output 2 5 5 8" xfId="21359"/>
    <cellStyle name="Output 2 5 5 8 2" xfId="21360"/>
    <cellStyle name="Output 2 5 5 8 3" xfId="21361"/>
    <cellStyle name="Output 2 5 5 8 4" xfId="21362"/>
    <cellStyle name="Output 2 5 5 8 5" xfId="21363"/>
    <cellStyle name="Output 2 5 5 8 6" xfId="38958"/>
    <cellStyle name="Output 2 5 5 8 7" xfId="47078"/>
    <cellStyle name="Output 2 5 5 8 8" xfId="55201"/>
    <cellStyle name="Output 2 5 5 9" xfId="21364"/>
    <cellStyle name="Output 2 5 5 9 2" xfId="21365"/>
    <cellStyle name="Output 2 5 5 9 3" xfId="21366"/>
    <cellStyle name="Output 2 5 5 9 4" xfId="21367"/>
    <cellStyle name="Output 2 5 5 9 5" xfId="21368"/>
    <cellStyle name="Output 2 5 5 9 6" xfId="39577"/>
    <cellStyle name="Output 2 5 5 9 7" xfId="47079"/>
    <cellStyle name="Output 2 5 5 9 8" xfId="55202"/>
    <cellStyle name="Output 2 5 6" xfId="488"/>
    <cellStyle name="Output 2 5 6 10" xfId="21369"/>
    <cellStyle name="Output 2 5 6 10 2" xfId="21370"/>
    <cellStyle name="Output 2 5 6 10 3" xfId="21371"/>
    <cellStyle name="Output 2 5 6 10 4" xfId="21372"/>
    <cellStyle name="Output 2 5 6 10 5" xfId="21373"/>
    <cellStyle name="Output 2 5 6 10 6" xfId="47080"/>
    <cellStyle name="Output 2 5 6 10 7" xfId="55203"/>
    <cellStyle name="Output 2 5 6 11" xfId="21374"/>
    <cellStyle name="Output 2 5 6 11 2" xfId="21375"/>
    <cellStyle name="Output 2 5 6 11 3" xfId="21376"/>
    <cellStyle name="Output 2 5 6 11 4" xfId="21377"/>
    <cellStyle name="Output 2 5 6 11 5" xfId="21378"/>
    <cellStyle name="Output 2 5 6 12" xfId="21379"/>
    <cellStyle name="Output 2 5 6 12 2" xfId="21380"/>
    <cellStyle name="Output 2 5 6 12 3" xfId="21381"/>
    <cellStyle name="Output 2 5 6 12 4" xfId="21382"/>
    <cellStyle name="Output 2 5 6 12 5" xfId="21383"/>
    <cellStyle name="Output 2 5 6 13" xfId="21384"/>
    <cellStyle name="Output 2 5 6 13 2" xfId="21385"/>
    <cellStyle name="Output 2 5 6 13 3" xfId="21386"/>
    <cellStyle name="Output 2 5 6 13 4" xfId="21387"/>
    <cellStyle name="Output 2 5 6 13 5" xfId="21388"/>
    <cellStyle name="Output 2 5 6 14" xfId="21389"/>
    <cellStyle name="Output 2 5 6 14 2" xfId="21390"/>
    <cellStyle name="Output 2 5 6 14 3" xfId="21391"/>
    <cellStyle name="Output 2 5 6 14 4" xfId="21392"/>
    <cellStyle name="Output 2 5 6 14 5" xfId="21393"/>
    <cellStyle name="Output 2 5 6 15" xfId="21394"/>
    <cellStyle name="Output 2 5 6 15 2" xfId="21395"/>
    <cellStyle name="Output 2 5 6 15 3" xfId="21396"/>
    <cellStyle name="Output 2 5 6 15 4" xfId="21397"/>
    <cellStyle name="Output 2 5 6 15 5" xfId="21398"/>
    <cellStyle name="Output 2 5 6 16" xfId="21399"/>
    <cellStyle name="Output 2 5 6 16 2" xfId="21400"/>
    <cellStyle name="Output 2 5 6 16 3" xfId="21401"/>
    <cellStyle name="Output 2 5 6 16 4" xfId="21402"/>
    <cellStyle name="Output 2 5 6 16 5" xfId="21403"/>
    <cellStyle name="Output 2 5 6 17" xfId="21404"/>
    <cellStyle name="Output 2 5 6 17 2" xfId="21405"/>
    <cellStyle name="Output 2 5 6 17 3" xfId="21406"/>
    <cellStyle name="Output 2 5 6 17 4" xfId="21407"/>
    <cellStyle name="Output 2 5 6 17 5" xfId="21408"/>
    <cellStyle name="Output 2 5 6 18" xfId="21409"/>
    <cellStyle name="Output 2 5 6 18 2" xfId="21410"/>
    <cellStyle name="Output 2 5 6 18 3" xfId="21411"/>
    <cellStyle name="Output 2 5 6 18 4" xfId="21412"/>
    <cellStyle name="Output 2 5 6 18 5" xfId="21413"/>
    <cellStyle name="Output 2 5 6 19" xfId="21414"/>
    <cellStyle name="Output 2 5 6 2" xfId="2540"/>
    <cellStyle name="Output 2 5 6 2 2" xfId="21415"/>
    <cellStyle name="Output 2 5 6 2 3" xfId="21416"/>
    <cellStyle name="Output 2 5 6 2 4" xfId="21417"/>
    <cellStyle name="Output 2 5 6 2 5" xfId="21418"/>
    <cellStyle name="Output 2 5 6 2 6" xfId="36292"/>
    <cellStyle name="Output 2 5 6 2 7" xfId="47081"/>
    <cellStyle name="Output 2 5 6 2 8" xfId="55204"/>
    <cellStyle name="Output 2 5 6 20" xfId="917"/>
    <cellStyle name="Output 2 5 6 21" xfId="34997"/>
    <cellStyle name="Output 2 5 6 22" xfId="40706"/>
    <cellStyle name="Output 2 5 6 23" xfId="41216"/>
    <cellStyle name="Output 2 5 6 3" xfId="2541"/>
    <cellStyle name="Output 2 5 6 3 2" xfId="21419"/>
    <cellStyle name="Output 2 5 6 3 3" xfId="21420"/>
    <cellStyle name="Output 2 5 6 3 4" xfId="21421"/>
    <cellStyle name="Output 2 5 6 3 5" xfId="21422"/>
    <cellStyle name="Output 2 5 6 3 6" xfId="36789"/>
    <cellStyle name="Output 2 5 6 3 7" xfId="47082"/>
    <cellStyle name="Output 2 5 6 3 8" xfId="55205"/>
    <cellStyle name="Output 2 5 6 4" xfId="1357"/>
    <cellStyle name="Output 2 5 6 4 2" xfId="21423"/>
    <cellStyle name="Output 2 5 6 4 3" xfId="21424"/>
    <cellStyle name="Output 2 5 6 4 4" xfId="21425"/>
    <cellStyle name="Output 2 5 6 4 5" xfId="21426"/>
    <cellStyle name="Output 2 5 6 4 6" xfId="37405"/>
    <cellStyle name="Output 2 5 6 4 7" xfId="47083"/>
    <cellStyle name="Output 2 5 6 4 8" xfId="55206"/>
    <cellStyle name="Output 2 5 6 5" xfId="3425"/>
    <cellStyle name="Output 2 5 6 5 2" xfId="21427"/>
    <cellStyle name="Output 2 5 6 5 3" xfId="21428"/>
    <cellStyle name="Output 2 5 6 5 4" xfId="21429"/>
    <cellStyle name="Output 2 5 6 5 5" xfId="21430"/>
    <cellStyle name="Output 2 5 6 5 6" xfId="38021"/>
    <cellStyle name="Output 2 5 6 5 7" xfId="47084"/>
    <cellStyle name="Output 2 5 6 5 8" xfId="55207"/>
    <cellStyle name="Output 2 5 6 6" xfId="3747"/>
    <cellStyle name="Output 2 5 6 6 2" xfId="21431"/>
    <cellStyle name="Output 2 5 6 6 3" xfId="21432"/>
    <cellStyle name="Output 2 5 6 6 4" xfId="21433"/>
    <cellStyle name="Output 2 5 6 6 5" xfId="21434"/>
    <cellStyle name="Output 2 5 6 6 6" xfId="38639"/>
    <cellStyle name="Output 2 5 6 6 7" xfId="47085"/>
    <cellStyle name="Output 2 5 6 6 8" xfId="55208"/>
    <cellStyle name="Output 2 5 6 7" xfId="21435"/>
    <cellStyle name="Output 2 5 6 7 2" xfId="21436"/>
    <cellStyle name="Output 2 5 6 7 3" xfId="21437"/>
    <cellStyle name="Output 2 5 6 7 4" xfId="21438"/>
    <cellStyle name="Output 2 5 6 7 5" xfId="21439"/>
    <cellStyle name="Output 2 5 6 7 6" xfId="39259"/>
    <cellStyle name="Output 2 5 6 7 7" xfId="47086"/>
    <cellStyle name="Output 2 5 6 7 8" xfId="55209"/>
    <cellStyle name="Output 2 5 6 8" xfId="21440"/>
    <cellStyle name="Output 2 5 6 8 2" xfId="21441"/>
    <cellStyle name="Output 2 5 6 8 3" xfId="21442"/>
    <cellStyle name="Output 2 5 6 8 4" xfId="21443"/>
    <cellStyle name="Output 2 5 6 8 5" xfId="21444"/>
    <cellStyle name="Output 2 5 6 8 6" xfId="39875"/>
    <cellStyle name="Output 2 5 6 8 7" xfId="47087"/>
    <cellStyle name="Output 2 5 6 8 8" xfId="55210"/>
    <cellStyle name="Output 2 5 6 9" xfId="21445"/>
    <cellStyle name="Output 2 5 6 9 2" xfId="21446"/>
    <cellStyle name="Output 2 5 6 9 3" xfId="21447"/>
    <cellStyle name="Output 2 5 6 9 4" xfId="21448"/>
    <cellStyle name="Output 2 5 6 9 5" xfId="21449"/>
    <cellStyle name="Output 2 5 6 9 6" xfId="40490"/>
    <cellStyle name="Output 2 5 6 9 7" xfId="47088"/>
    <cellStyle name="Output 2 5 6 9 8" xfId="55211"/>
    <cellStyle name="Output 2 5 7" xfId="2542"/>
    <cellStyle name="Output 2 5 7 10" xfId="34764"/>
    <cellStyle name="Output 2 5 7 10 2" xfId="47090"/>
    <cellStyle name="Output 2 5 7 10 3" xfId="55213"/>
    <cellStyle name="Output 2 5 7 11" xfId="41002"/>
    <cellStyle name="Output 2 5 7 12" xfId="47089"/>
    <cellStyle name="Output 2 5 7 13" xfId="55212"/>
    <cellStyle name="Output 2 5 7 2" xfId="2543"/>
    <cellStyle name="Output 2 5 7 2 2" xfId="36079"/>
    <cellStyle name="Output 2 5 7 2 3" xfId="47091"/>
    <cellStyle name="Output 2 5 7 2 4" xfId="55214"/>
    <cellStyle name="Output 2 5 7 3" xfId="2544"/>
    <cellStyle name="Output 2 5 7 3 2" xfId="36578"/>
    <cellStyle name="Output 2 5 7 3 3" xfId="47092"/>
    <cellStyle name="Output 2 5 7 3 4" xfId="55215"/>
    <cellStyle name="Output 2 5 7 4" xfId="21450"/>
    <cellStyle name="Output 2 5 7 4 2" xfId="37194"/>
    <cellStyle name="Output 2 5 7 4 3" xfId="47093"/>
    <cellStyle name="Output 2 5 7 4 4" xfId="55216"/>
    <cellStyle name="Output 2 5 7 5" xfId="21451"/>
    <cellStyle name="Output 2 5 7 5 2" xfId="37810"/>
    <cellStyle name="Output 2 5 7 5 3" xfId="47094"/>
    <cellStyle name="Output 2 5 7 5 4" xfId="55217"/>
    <cellStyle name="Output 2 5 7 6" xfId="38425"/>
    <cellStyle name="Output 2 5 7 6 2" xfId="47095"/>
    <cellStyle name="Output 2 5 7 6 3" xfId="55218"/>
    <cellStyle name="Output 2 5 7 7" xfId="39045"/>
    <cellStyle name="Output 2 5 7 7 2" xfId="47096"/>
    <cellStyle name="Output 2 5 7 7 3" xfId="55219"/>
    <cellStyle name="Output 2 5 7 8" xfId="39661"/>
    <cellStyle name="Output 2 5 7 8 2" xfId="47097"/>
    <cellStyle name="Output 2 5 7 8 3" xfId="55220"/>
    <cellStyle name="Output 2 5 7 9" xfId="40276"/>
    <cellStyle name="Output 2 5 7 9 2" xfId="47098"/>
    <cellStyle name="Output 2 5 7 9 3" xfId="55221"/>
    <cellStyle name="Output 2 5 8" xfId="1340"/>
    <cellStyle name="Output 2 5 8 10" xfId="47099"/>
    <cellStyle name="Output 2 5 8 11" xfId="55222"/>
    <cellStyle name="Output 2 5 8 2" xfId="21452"/>
    <cellStyle name="Output 2 5 8 2 2" xfId="47100"/>
    <cellStyle name="Output 2 5 8 2 3" xfId="55223"/>
    <cellStyle name="Output 2 5 8 3" xfId="21453"/>
    <cellStyle name="Output 2 5 8 3 2" xfId="47101"/>
    <cellStyle name="Output 2 5 8 3 3" xfId="55224"/>
    <cellStyle name="Output 2 5 8 4" xfId="21454"/>
    <cellStyle name="Output 2 5 8 4 2" xfId="47102"/>
    <cellStyle name="Output 2 5 8 4 3" xfId="55225"/>
    <cellStyle name="Output 2 5 8 5" xfId="21455"/>
    <cellStyle name="Output 2 5 8 5 2" xfId="47103"/>
    <cellStyle name="Output 2 5 8 5 3" xfId="55226"/>
    <cellStyle name="Output 2 5 8 6" xfId="35396"/>
    <cellStyle name="Output 2 5 8 6 2" xfId="47104"/>
    <cellStyle name="Output 2 5 8 6 3" xfId="55227"/>
    <cellStyle name="Output 2 5 8 7" xfId="47105"/>
    <cellStyle name="Output 2 5 8 7 2" xfId="55228"/>
    <cellStyle name="Output 2 5 8 8" xfId="47106"/>
    <cellStyle name="Output 2 5 8 8 2" xfId="55229"/>
    <cellStyle name="Output 2 5 8 9" xfId="47107"/>
    <cellStyle name="Output 2 5 8 9 2" xfId="55230"/>
    <cellStyle name="Output 2 5 9" xfId="3408"/>
    <cellStyle name="Output 2 5 9 2" xfId="21456"/>
    <cellStyle name="Output 2 5 9 3" xfId="21457"/>
    <cellStyle name="Output 2 5 9 4" xfId="21458"/>
    <cellStyle name="Output 2 5 9 5" xfId="21459"/>
    <cellStyle name="Output 2 5 9 6" xfId="35927"/>
    <cellStyle name="Output 2 5 9 7" xfId="47108"/>
    <cellStyle name="Output 2 5 9 8" xfId="55231"/>
    <cellStyle name="Output 2 6" xfId="256"/>
    <cellStyle name="Output 2 6 10" xfId="3748"/>
    <cellStyle name="Output 2 6 10 2" xfId="21460"/>
    <cellStyle name="Output 2 6 10 3" xfId="21461"/>
    <cellStyle name="Output 2 6 10 4" xfId="21462"/>
    <cellStyle name="Output 2 6 10 5" xfId="21463"/>
    <cellStyle name="Output 2 6 10 6" xfId="35992"/>
    <cellStyle name="Output 2 6 10 7" xfId="47109"/>
    <cellStyle name="Output 2 6 10 8" xfId="55232"/>
    <cellStyle name="Output 2 6 11" xfId="21464"/>
    <cellStyle name="Output 2 6 11 2" xfId="21465"/>
    <cellStyle name="Output 2 6 11 3" xfId="21466"/>
    <cellStyle name="Output 2 6 11 4" xfId="21467"/>
    <cellStyle name="Output 2 6 11 5" xfId="21468"/>
    <cellStyle name="Output 2 6 11 6" xfId="36049"/>
    <cellStyle name="Output 2 6 11 7" xfId="47110"/>
    <cellStyle name="Output 2 6 11 8" xfId="55233"/>
    <cellStyle name="Output 2 6 12" xfId="21469"/>
    <cellStyle name="Output 2 6 12 2" xfId="21470"/>
    <cellStyle name="Output 2 6 12 3" xfId="21471"/>
    <cellStyle name="Output 2 6 12 4" xfId="21472"/>
    <cellStyle name="Output 2 6 12 5" xfId="21473"/>
    <cellStyle name="Output 2 6 12 6" xfId="35990"/>
    <cellStyle name="Output 2 6 12 7" xfId="47111"/>
    <cellStyle name="Output 2 6 12 8" xfId="55234"/>
    <cellStyle name="Output 2 6 13" xfId="21474"/>
    <cellStyle name="Output 2 6 13 2" xfId="21475"/>
    <cellStyle name="Output 2 6 13 3" xfId="21476"/>
    <cellStyle name="Output 2 6 13 4" xfId="21477"/>
    <cellStyle name="Output 2 6 13 5" xfId="21478"/>
    <cellStyle name="Output 2 6 13 6" xfId="37126"/>
    <cellStyle name="Output 2 6 13 7" xfId="47112"/>
    <cellStyle name="Output 2 6 13 8" xfId="55235"/>
    <cellStyle name="Output 2 6 14" xfId="21479"/>
    <cellStyle name="Output 2 6 14 2" xfId="21480"/>
    <cellStyle name="Output 2 6 14 3" xfId="21481"/>
    <cellStyle name="Output 2 6 14 4" xfId="21482"/>
    <cellStyle name="Output 2 6 14 5" xfId="21483"/>
    <cellStyle name="Output 2 6 14 6" xfId="36053"/>
    <cellStyle name="Output 2 6 14 7" xfId="47113"/>
    <cellStyle name="Output 2 6 14 8" xfId="55236"/>
    <cellStyle name="Output 2 6 15" xfId="21484"/>
    <cellStyle name="Output 2 6 15 2" xfId="21485"/>
    <cellStyle name="Output 2 6 15 3" xfId="21486"/>
    <cellStyle name="Output 2 6 15 4" xfId="21487"/>
    <cellStyle name="Output 2 6 15 5" xfId="21488"/>
    <cellStyle name="Output 2 6 15 6" xfId="36031"/>
    <cellStyle name="Output 2 6 15 7" xfId="47114"/>
    <cellStyle name="Output 2 6 15 8" xfId="55237"/>
    <cellStyle name="Output 2 6 16" xfId="21489"/>
    <cellStyle name="Output 2 6 16 2" xfId="21490"/>
    <cellStyle name="Output 2 6 16 3" xfId="21491"/>
    <cellStyle name="Output 2 6 16 4" xfId="21492"/>
    <cellStyle name="Output 2 6 16 5" xfId="21493"/>
    <cellStyle name="Output 2 6 16 6" xfId="35863"/>
    <cellStyle name="Output 2 6 16 7" xfId="47115"/>
    <cellStyle name="Output 2 6 16 8" xfId="55238"/>
    <cellStyle name="Output 2 6 17" xfId="21494"/>
    <cellStyle name="Output 2 6 17 2" xfId="21495"/>
    <cellStyle name="Output 2 6 17 3" xfId="21496"/>
    <cellStyle name="Output 2 6 17 4" xfId="21497"/>
    <cellStyle name="Output 2 6 17 5" xfId="21498"/>
    <cellStyle name="Output 2 6 17 6" xfId="47116"/>
    <cellStyle name="Output 2 6 17 7" xfId="55239"/>
    <cellStyle name="Output 2 6 18" xfId="21499"/>
    <cellStyle name="Output 2 6 18 2" xfId="21500"/>
    <cellStyle name="Output 2 6 18 3" xfId="21501"/>
    <cellStyle name="Output 2 6 18 4" xfId="21502"/>
    <cellStyle name="Output 2 6 18 5" xfId="21503"/>
    <cellStyle name="Output 2 6 19" xfId="21504"/>
    <cellStyle name="Output 2 6 19 2" xfId="21505"/>
    <cellStyle name="Output 2 6 19 3" xfId="21506"/>
    <cellStyle name="Output 2 6 19 4" xfId="21507"/>
    <cellStyle name="Output 2 6 19 5" xfId="21508"/>
    <cellStyle name="Output 2 6 2" xfId="295"/>
    <cellStyle name="Output 2 6 2 10" xfId="21509"/>
    <cellStyle name="Output 2 6 2 10 2" xfId="21510"/>
    <cellStyle name="Output 2 6 2 10 3" xfId="21511"/>
    <cellStyle name="Output 2 6 2 10 4" xfId="21512"/>
    <cellStyle name="Output 2 6 2 10 5" xfId="21513"/>
    <cellStyle name="Output 2 6 2 10 6" xfId="37623"/>
    <cellStyle name="Output 2 6 2 10 7" xfId="47117"/>
    <cellStyle name="Output 2 6 2 10 8" xfId="55240"/>
    <cellStyle name="Output 2 6 2 11" xfId="21514"/>
    <cellStyle name="Output 2 6 2 11 2" xfId="21515"/>
    <cellStyle name="Output 2 6 2 11 3" xfId="21516"/>
    <cellStyle name="Output 2 6 2 11 4" xfId="21517"/>
    <cellStyle name="Output 2 6 2 11 5" xfId="21518"/>
    <cellStyle name="Output 2 6 2 11 6" xfId="38240"/>
    <cellStyle name="Output 2 6 2 11 7" xfId="47118"/>
    <cellStyle name="Output 2 6 2 11 8" xfId="55241"/>
    <cellStyle name="Output 2 6 2 12" xfId="21519"/>
    <cellStyle name="Output 2 6 2 12 2" xfId="21520"/>
    <cellStyle name="Output 2 6 2 12 3" xfId="21521"/>
    <cellStyle name="Output 2 6 2 12 4" xfId="21522"/>
    <cellStyle name="Output 2 6 2 12 5" xfId="21523"/>
    <cellStyle name="Output 2 6 2 12 6" xfId="38862"/>
    <cellStyle name="Output 2 6 2 12 7" xfId="47119"/>
    <cellStyle name="Output 2 6 2 12 8" xfId="55242"/>
    <cellStyle name="Output 2 6 2 13" xfId="21524"/>
    <cellStyle name="Output 2 6 2 13 2" xfId="21525"/>
    <cellStyle name="Output 2 6 2 13 3" xfId="21526"/>
    <cellStyle name="Output 2 6 2 13 4" xfId="21527"/>
    <cellStyle name="Output 2 6 2 13 5" xfId="21528"/>
    <cellStyle name="Output 2 6 2 13 6" xfId="39482"/>
    <cellStyle name="Output 2 6 2 13 7" xfId="47120"/>
    <cellStyle name="Output 2 6 2 13 8" xfId="55243"/>
    <cellStyle name="Output 2 6 2 14" xfId="21529"/>
    <cellStyle name="Output 2 6 2 14 2" xfId="21530"/>
    <cellStyle name="Output 2 6 2 14 3" xfId="21531"/>
    <cellStyle name="Output 2 6 2 14 4" xfId="21532"/>
    <cellStyle name="Output 2 6 2 14 5" xfId="21533"/>
    <cellStyle name="Output 2 6 2 14 6" xfId="40100"/>
    <cellStyle name="Output 2 6 2 14 7" xfId="47121"/>
    <cellStyle name="Output 2 6 2 14 8" xfId="55244"/>
    <cellStyle name="Output 2 6 2 15" xfId="21534"/>
    <cellStyle name="Output 2 6 2 15 2" xfId="21535"/>
    <cellStyle name="Output 2 6 2 15 3" xfId="21536"/>
    <cellStyle name="Output 2 6 2 15 4" xfId="21537"/>
    <cellStyle name="Output 2 6 2 15 5" xfId="21538"/>
    <cellStyle name="Output 2 6 2 15 6" xfId="47122"/>
    <cellStyle name="Output 2 6 2 15 7" xfId="55245"/>
    <cellStyle name="Output 2 6 2 16" xfId="21539"/>
    <cellStyle name="Output 2 6 2 16 2" xfId="21540"/>
    <cellStyle name="Output 2 6 2 16 3" xfId="21541"/>
    <cellStyle name="Output 2 6 2 16 4" xfId="21542"/>
    <cellStyle name="Output 2 6 2 16 5" xfId="21543"/>
    <cellStyle name="Output 2 6 2 17" xfId="21544"/>
    <cellStyle name="Output 2 6 2 17 2" xfId="21545"/>
    <cellStyle name="Output 2 6 2 17 3" xfId="21546"/>
    <cellStyle name="Output 2 6 2 17 4" xfId="21547"/>
    <cellStyle name="Output 2 6 2 17 5" xfId="21548"/>
    <cellStyle name="Output 2 6 2 18" xfId="21549"/>
    <cellStyle name="Output 2 6 2 19" xfId="740"/>
    <cellStyle name="Output 2 6 2 2" xfId="400"/>
    <cellStyle name="Output 2 6 2 2 10" xfId="21550"/>
    <cellStyle name="Output 2 6 2 2 10 2" xfId="21551"/>
    <cellStyle name="Output 2 6 2 2 10 3" xfId="21552"/>
    <cellStyle name="Output 2 6 2 2 10 4" xfId="21553"/>
    <cellStyle name="Output 2 6 2 2 10 5" xfId="21554"/>
    <cellStyle name="Output 2 6 2 2 10 6" xfId="39578"/>
    <cellStyle name="Output 2 6 2 2 10 7" xfId="47123"/>
    <cellStyle name="Output 2 6 2 2 10 8" xfId="55246"/>
    <cellStyle name="Output 2 6 2 2 11" xfId="21555"/>
    <cellStyle name="Output 2 6 2 2 11 2" xfId="21556"/>
    <cellStyle name="Output 2 6 2 2 11 3" xfId="21557"/>
    <cellStyle name="Output 2 6 2 2 11 4" xfId="21558"/>
    <cellStyle name="Output 2 6 2 2 11 5" xfId="21559"/>
    <cellStyle name="Output 2 6 2 2 11 6" xfId="40194"/>
    <cellStyle name="Output 2 6 2 2 11 7" xfId="47124"/>
    <cellStyle name="Output 2 6 2 2 11 8" xfId="55247"/>
    <cellStyle name="Output 2 6 2 2 12" xfId="21560"/>
    <cellStyle name="Output 2 6 2 2 12 2" xfId="21561"/>
    <cellStyle name="Output 2 6 2 2 12 3" xfId="21562"/>
    <cellStyle name="Output 2 6 2 2 12 4" xfId="21563"/>
    <cellStyle name="Output 2 6 2 2 12 5" xfId="21564"/>
    <cellStyle name="Output 2 6 2 2 12 6" xfId="47125"/>
    <cellStyle name="Output 2 6 2 2 12 7" xfId="55248"/>
    <cellStyle name="Output 2 6 2 2 13" xfId="21565"/>
    <cellStyle name="Output 2 6 2 2 13 2" xfId="21566"/>
    <cellStyle name="Output 2 6 2 2 13 3" xfId="21567"/>
    <cellStyle name="Output 2 6 2 2 13 4" xfId="21568"/>
    <cellStyle name="Output 2 6 2 2 13 5" xfId="21569"/>
    <cellStyle name="Output 2 6 2 2 13 6" xfId="47126"/>
    <cellStyle name="Output 2 6 2 2 13 7" xfId="55249"/>
    <cellStyle name="Output 2 6 2 2 14" xfId="21570"/>
    <cellStyle name="Output 2 6 2 2 14 2" xfId="21571"/>
    <cellStyle name="Output 2 6 2 2 14 3" xfId="21572"/>
    <cellStyle name="Output 2 6 2 2 14 4" xfId="21573"/>
    <cellStyle name="Output 2 6 2 2 14 5" xfId="21574"/>
    <cellStyle name="Output 2 6 2 2 15" xfId="21575"/>
    <cellStyle name="Output 2 6 2 2 15 2" xfId="21576"/>
    <cellStyle name="Output 2 6 2 2 15 3" xfId="21577"/>
    <cellStyle name="Output 2 6 2 2 15 4" xfId="21578"/>
    <cellStyle name="Output 2 6 2 2 15 5" xfId="21579"/>
    <cellStyle name="Output 2 6 2 2 16" xfId="21580"/>
    <cellStyle name="Output 2 6 2 2 16 2" xfId="21581"/>
    <cellStyle name="Output 2 6 2 2 16 3" xfId="21582"/>
    <cellStyle name="Output 2 6 2 2 16 4" xfId="21583"/>
    <cellStyle name="Output 2 6 2 2 16 5" xfId="21584"/>
    <cellStyle name="Output 2 6 2 2 17" xfId="21585"/>
    <cellStyle name="Output 2 6 2 2 17 2" xfId="21586"/>
    <cellStyle name="Output 2 6 2 2 17 3" xfId="21587"/>
    <cellStyle name="Output 2 6 2 2 17 4" xfId="21588"/>
    <cellStyle name="Output 2 6 2 2 17 5" xfId="21589"/>
    <cellStyle name="Output 2 6 2 2 18" xfId="21590"/>
    <cellStyle name="Output 2 6 2 2 18 2" xfId="21591"/>
    <cellStyle name="Output 2 6 2 2 18 3" xfId="21592"/>
    <cellStyle name="Output 2 6 2 2 18 4" xfId="21593"/>
    <cellStyle name="Output 2 6 2 2 18 5" xfId="21594"/>
    <cellStyle name="Output 2 6 2 2 19" xfId="21595"/>
    <cellStyle name="Output 2 6 2 2 2" xfId="619"/>
    <cellStyle name="Output 2 6 2 2 2 10" xfId="21596"/>
    <cellStyle name="Output 2 6 2 2 2 10 2" xfId="21597"/>
    <cellStyle name="Output 2 6 2 2 2 10 3" xfId="21598"/>
    <cellStyle name="Output 2 6 2 2 2 10 4" xfId="21599"/>
    <cellStyle name="Output 2 6 2 2 2 10 5" xfId="21600"/>
    <cellStyle name="Output 2 6 2 2 2 10 6" xfId="47127"/>
    <cellStyle name="Output 2 6 2 2 2 10 7" xfId="55250"/>
    <cellStyle name="Output 2 6 2 2 2 11" xfId="21601"/>
    <cellStyle name="Output 2 6 2 2 2 11 2" xfId="21602"/>
    <cellStyle name="Output 2 6 2 2 2 11 3" xfId="21603"/>
    <cellStyle name="Output 2 6 2 2 2 11 4" xfId="21604"/>
    <cellStyle name="Output 2 6 2 2 2 11 5" xfId="21605"/>
    <cellStyle name="Output 2 6 2 2 2 12" xfId="21606"/>
    <cellStyle name="Output 2 6 2 2 2 12 2" xfId="21607"/>
    <cellStyle name="Output 2 6 2 2 2 12 3" xfId="21608"/>
    <cellStyle name="Output 2 6 2 2 2 12 4" xfId="21609"/>
    <cellStyle name="Output 2 6 2 2 2 12 5" xfId="21610"/>
    <cellStyle name="Output 2 6 2 2 2 13" xfId="21611"/>
    <cellStyle name="Output 2 6 2 2 2 13 2" xfId="21612"/>
    <cellStyle name="Output 2 6 2 2 2 13 3" xfId="21613"/>
    <cellStyle name="Output 2 6 2 2 2 13 4" xfId="21614"/>
    <cellStyle name="Output 2 6 2 2 2 13 5" xfId="21615"/>
    <cellStyle name="Output 2 6 2 2 2 14" xfId="21616"/>
    <cellStyle name="Output 2 6 2 2 2 14 2" xfId="21617"/>
    <cellStyle name="Output 2 6 2 2 2 14 3" xfId="21618"/>
    <cellStyle name="Output 2 6 2 2 2 14 4" xfId="21619"/>
    <cellStyle name="Output 2 6 2 2 2 14 5" xfId="21620"/>
    <cellStyle name="Output 2 6 2 2 2 15" xfId="21621"/>
    <cellStyle name="Output 2 6 2 2 2 15 2" xfId="21622"/>
    <cellStyle name="Output 2 6 2 2 2 15 3" xfId="21623"/>
    <cellStyle name="Output 2 6 2 2 2 15 4" xfId="21624"/>
    <cellStyle name="Output 2 6 2 2 2 15 5" xfId="21625"/>
    <cellStyle name="Output 2 6 2 2 2 16" xfId="21626"/>
    <cellStyle name="Output 2 6 2 2 2 16 2" xfId="21627"/>
    <cellStyle name="Output 2 6 2 2 2 16 3" xfId="21628"/>
    <cellStyle name="Output 2 6 2 2 2 16 4" xfId="21629"/>
    <cellStyle name="Output 2 6 2 2 2 16 5" xfId="21630"/>
    <cellStyle name="Output 2 6 2 2 2 17" xfId="21631"/>
    <cellStyle name="Output 2 6 2 2 2 17 2" xfId="21632"/>
    <cellStyle name="Output 2 6 2 2 2 17 3" xfId="21633"/>
    <cellStyle name="Output 2 6 2 2 2 17 4" xfId="21634"/>
    <cellStyle name="Output 2 6 2 2 2 17 5" xfId="21635"/>
    <cellStyle name="Output 2 6 2 2 2 18" xfId="21636"/>
    <cellStyle name="Output 2 6 2 2 2 18 2" xfId="21637"/>
    <cellStyle name="Output 2 6 2 2 2 18 3" xfId="21638"/>
    <cellStyle name="Output 2 6 2 2 2 18 4" xfId="21639"/>
    <cellStyle name="Output 2 6 2 2 2 18 5" xfId="21640"/>
    <cellStyle name="Output 2 6 2 2 2 19" xfId="21641"/>
    <cellStyle name="Output 2 6 2 2 2 2" xfId="2545"/>
    <cellStyle name="Output 2 6 2 2 2 2 2" xfId="21642"/>
    <cellStyle name="Output 2 6 2 2 2 2 3" xfId="21643"/>
    <cellStyle name="Output 2 6 2 2 2 2 4" xfId="21644"/>
    <cellStyle name="Output 2 6 2 2 2 2 5" xfId="21645"/>
    <cellStyle name="Output 2 6 2 2 2 2 6" xfId="36423"/>
    <cellStyle name="Output 2 6 2 2 2 2 7" xfId="47128"/>
    <cellStyle name="Output 2 6 2 2 2 2 8" xfId="55251"/>
    <cellStyle name="Output 2 6 2 2 2 20" xfId="1048"/>
    <cellStyle name="Output 2 6 2 2 2 21" xfId="35128"/>
    <cellStyle name="Output 2 6 2 2 2 22" xfId="41347"/>
    <cellStyle name="Output 2 6 2 2 2 3" xfId="2546"/>
    <cellStyle name="Output 2 6 2 2 2 3 2" xfId="21646"/>
    <cellStyle name="Output 2 6 2 2 2 3 3" xfId="21647"/>
    <cellStyle name="Output 2 6 2 2 2 3 4" xfId="21648"/>
    <cellStyle name="Output 2 6 2 2 2 3 5" xfId="21649"/>
    <cellStyle name="Output 2 6 2 2 2 3 6" xfId="36920"/>
    <cellStyle name="Output 2 6 2 2 2 3 7" xfId="47129"/>
    <cellStyle name="Output 2 6 2 2 2 3 8" xfId="55252"/>
    <cellStyle name="Output 2 6 2 2 2 4" xfId="1361"/>
    <cellStyle name="Output 2 6 2 2 2 4 2" xfId="21650"/>
    <cellStyle name="Output 2 6 2 2 2 4 3" xfId="21651"/>
    <cellStyle name="Output 2 6 2 2 2 4 4" xfId="21652"/>
    <cellStyle name="Output 2 6 2 2 2 4 5" xfId="21653"/>
    <cellStyle name="Output 2 6 2 2 2 4 6" xfId="37536"/>
    <cellStyle name="Output 2 6 2 2 2 4 7" xfId="47130"/>
    <cellStyle name="Output 2 6 2 2 2 4 8" xfId="55253"/>
    <cellStyle name="Output 2 6 2 2 2 5" xfId="3429"/>
    <cellStyle name="Output 2 6 2 2 2 5 2" xfId="21654"/>
    <cellStyle name="Output 2 6 2 2 2 5 3" xfId="21655"/>
    <cellStyle name="Output 2 6 2 2 2 5 4" xfId="21656"/>
    <cellStyle name="Output 2 6 2 2 2 5 5" xfId="21657"/>
    <cellStyle name="Output 2 6 2 2 2 5 6" xfId="38152"/>
    <cellStyle name="Output 2 6 2 2 2 5 7" xfId="47131"/>
    <cellStyle name="Output 2 6 2 2 2 5 8" xfId="55254"/>
    <cellStyle name="Output 2 6 2 2 2 6" xfId="3751"/>
    <cellStyle name="Output 2 6 2 2 2 6 2" xfId="21658"/>
    <cellStyle name="Output 2 6 2 2 2 6 3" xfId="21659"/>
    <cellStyle name="Output 2 6 2 2 2 6 4" xfId="21660"/>
    <cellStyle name="Output 2 6 2 2 2 6 5" xfId="21661"/>
    <cellStyle name="Output 2 6 2 2 2 6 6" xfId="38770"/>
    <cellStyle name="Output 2 6 2 2 2 6 7" xfId="47132"/>
    <cellStyle name="Output 2 6 2 2 2 6 8" xfId="55255"/>
    <cellStyle name="Output 2 6 2 2 2 7" xfId="21662"/>
    <cellStyle name="Output 2 6 2 2 2 7 2" xfId="21663"/>
    <cellStyle name="Output 2 6 2 2 2 7 3" xfId="21664"/>
    <cellStyle name="Output 2 6 2 2 2 7 4" xfId="21665"/>
    <cellStyle name="Output 2 6 2 2 2 7 5" xfId="21666"/>
    <cellStyle name="Output 2 6 2 2 2 7 6" xfId="39390"/>
    <cellStyle name="Output 2 6 2 2 2 7 7" xfId="47133"/>
    <cellStyle name="Output 2 6 2 2 2 7 8" xfId="55256"/>
    <cellStyle name="Output 2 6 2 2 2 8" xfId="21667"/>
    <cellStyle name="Output 2 6 2 2 2 8 2" xfId="21668"/>
    <cellStyle name="Output 2 6 2 2 2 8 3" xfId="21669"/>
    <cellStyle name="Output 2 6 2 2 2 8 4" xfId="21670"/>
    <cellStyle name="Output 2 6 2 2 2 8 5" xfId="21671"/>
    <cellStyle name="Output 2 6 2 2 2 8 6" xfId="40006"/>
    <cellStyle name="Output 2 6 2 2 2 8 7" xfId="47134"/>
    <cellStyle name="Output 2 6 2 2 2 8 8" xfId="55257"/>
    <cellStyle name="Output 2 6 2 2 2 9" xfId="21672"/>
    <cellStyle name="Output 2 6 2 2 2 9 2" xfId="21673"/>
    <cellStyle name="Output 2 6 2 2 2 9 3" xfId="21674"/>
    <cellStyle name="Output 2 6 2 2 2 9 4" xfId="21675"/>
    <cellStyle name="Output 2 6 2 2 2 9 5" xfId="21676"/>
    <cellStyle name="Output 2 6 2 2 2 9 6" xfId="40621"/>
    <cellStyle name="Output 2 6 2 2 2 9 7" xfId="47135"/>
    <cellStyle name="Output 2 6 2 2 2 9 8" xfId="55258"/>
    <cellStyle name="Output 2 6 2 2 20" xfId="836"/>
    <cellStyle name="Output 2 6 2 2 21" xfId="34731"/>
    <cellStyle name="Output 2 6 2 2 22" xfId="40920"/>
    <cellStyle name="Output 2 6 2 2 23" xfId="41481"/>
    <cellStyle name="Output 2 6 2 2 24" xfId="50568"/>
    <cellStyle name="Output 2 6 2 2 3" xfId="2547"/>
    <cellStyle name="Output 2 6 2 2 3 10" xfId="34613"/>
    <cellStyle name="Output 2 6 2 2 3 10 2" xfId="47137"/>
    <cellStyle name="Output 2 6 2 2 3 10 3" xfId="55260"/>
    <cellStyle name="Output 2 6 2 2 3 11" xfId="41135"/>
    <cellStyle name="Output 2 6 2 2 3 12" xfId="47136"/>
    <cellStyle name="Output 2 6 2 2 3 13" xfId="55259"/>
    <cellStyle name="Output 2 6 2 2 3 2" xfId="2548"/>
    <cellStyle name="Output 2 6 2 2 3 2 2" xfId="36212"/>
    <cellStyle name="Output 2 6 2 2 3 2 3" xfId="47138"/>
    <cellStyle name="Output 2 6 2 2 3 2 4" xfId="55261"/>
    <cellStyle name="Output 2 6 2 2 3 3" xfId="2549"/>
    <cellStyle name="Output 2 6 2 2 3 3 2" xfId="36709"/>
    <cellStyle name="Output 2 6 2 2 3 3 3" xfId="47139"/>
    <cellStyle name="Output 2 6 2 2 3 3 4" xfId="55262"/>
    <cellStyle name="Output 2 6 2 2 3 4" xfId="21677"/>
    <cellStyle name="Output 2 6 2 2 3 4 2" xfId="37325"/>
    <cellStyle name="Output 2 6 2 2 3 4 3" xfId="47140"/>
    <cellStyle name="Output 2 6 2 2 3 4 4" xfId="55263"/>
    <cellStyle name="Output 2 6 2 2 3 5" xfId="21678"/>
    <cellStyle name="Output 2 6 2 2 3 5 2" xfId="37941"/>
    <cellStyle name="Output 2 6 2 2 3 5 3" xfId="47141"/>
    <cellStyle name="Output 2 6 2 2 3 5 4" xfId="55264"/>
    <cellStyle name="Output 2 6 2 2 3 6" xfId="38558"/>
    <cellStyle name="Output 2 6 2 2 3 6 2" xfId="47142"/>
    <cellStyle name="Output 2 6 2 2 3 6 3" xfId="55265"/>
    <cellStyle name="Output 2 6 2 2 3 7" xfId="39178"/>
    <cellStyle name="Output 2 6 2 2 3 7 2" xfId="47143"/>
    <cellStyle name="Output 2 6 2 2 3 7 3" xfId="55266"/>
    <cellStyle name="Output 2 6 2 2 3 8" xfId="39794"/>
    <cellStyle name="Output 2 6 2 2 3 8 2" xfId="47144"/>
    <cellStyle name="Output 2 6 2 2 3 8 3" xfId="55267"/>
    <cellStyle name="Output 2 6 2 2 3 9" xfId="40409"/>
    <cellStyle name="Output 2 6 2 2 3 9 2" xfId="47145"/>
    <cellStyle name="Output 2 6 2 2 3 9 3" xfId="55268"/>
    <cellStyle name="Output 2 6 2 2 4" xfId="2550"/>
    <cellStyle name="Output 2 6 2 2 4 10" xfId="47146"/>
    <cellStyle name="Output 2 6 2 2 4 11" xfId="55269"/>
    <cellStyle name="Output 2 6 2 2 4 2" xfId="21679"/>
    <cellStyle name="Output 2 6 2 2 4 2 2" xfId="47147"/>
    <cellStyle name="Output 2 6 2 2 4 2 3" xfId="55270"/>
    <cellStyle name="Output 2 6 2 2 4 3" xfId="21680"/>
    <cellStyle name="Output 2 6 2 2 4 3 2" xfId="47148"/>
    <cellStyle name="Output 2 6 2 2 4 3 3" xfId="55271"/>
    <cellStyle name="Output 2 6 2 2 4 4" xfId="21681"/>
    <cellStyle name="Output 2 6 2 2 4 4 2" xfId="47149"/>
    <cellStyle name="Output 2 6 2 2 4 4 3" xfId="55272"/>
    <cellStyle name="Output 2 6 2 2 4 5" xfId="21682"/>
    <cellStyle name="Output 2 6 2 2 4 5 2" xfId="47150"/>
    <cellStyle name="Output 2 6 2 2 4 5 3" xfId="55273"/>
    <cellStyle name="Output 2 6 2 2 4 6" xfId="35703"/>
    <cellStyle name="Output 2 6 2 2 4 6 2" xfId="47151"/>
    <cellStyle name="Output 2 6 2 2 4 6 3" xfId="55274"/>
    <cellStyle name="Output 2 6 2 2 4 7" xfId="47152"/>
    <cellStyle name="Output 2 6 2 2 4 7 2" xfId="55275"/>
    <cellStyle name="Output 2 6 2 2 4 8" xfId="47153"/>
    <cellStyle name="Output 2 6 2 2 4 8 2" xfId="55276"/>
    <cellStyle name="Output 2 6 2 2 4 9" xfId="47154"/>
    <cellStyle name="Output 2 6 2 2 4 9 2" xfId="55277"/>
    <cellStyle name="Output 2 6 2 2 5" xfId="1360"/>
    <cellStyle name="Output 2 6 2 2 5 2" xfId="21683"/>
    <cellStyle name="Output 2 6 2 2 5 3" xfId="21684"/>
    <cellStyle name="Output 2 6 2 2 5 4" xfId="21685"/>
    <cellStyle name="Output 2 6 2 2 5 5" xfId="21686"/>
    <cellStyle name="Output 2 6 2 2 5 6" xfId="36494"/>
    <cellStyle name="Output 2 6 2 2 5 7" xfId="47155"/>
    <cellStyle name="Output 2 6 2 2 5 8" xfId="55278"/>
    <cellStyle name="Output 2 6 2 2 6" xfId="3428"/>
    <cellStyle name="Output 2 6 2 2 6 2" xfId="21687"/>
    <cellStyle name="Output 2 6 2 2 6 3" xfId="21688"/>
    <cellStyle name="Output 2 6 2 2 6 4" xfId="21689"/>
    <cellStyle name="Output 2 6 2 2 6 5" xfId="21690"/>
    <cellStyle name="Output 2 6 2 2 6 6" xfId="37110"/>
    <cellStyle name="Output 2 6 2 2 6 7" xfId="47156"/>
    <cellStyle name="Output 2 6 2 2 6 8" xfId="55279"/>
    <cellStyle name="Output 2 6 2 2 7" xfId="3750"/>
    <cellStyle name="Output 2 6 2 2 7 2" xfId="21691"/>
    <cellStyle name="Output 2 6 2 2 7 3" xfId="21692"/>
    <cellStyle name="Output 2 6 2 2 7 4" xfId="21693"/>
    <cellStyle name="Output 2 6 2 2 7 5" xfId="21694"/>
    <cellStyle name="Output 2 6 2 2 7 6" xfId="37724"/>
    <cellStyle name="Output 2 6 2 2 7 7" xfId="47157"/>
    <cellStyle name="Output 2 6 2 2 7 8" xfId="55280"/>
    <cellStyle name="Output 2 6 2 2 8" xfId="21695"/>
    <cellStyle name="Output 2 6 2 2 8 2" xfId="21696"/>
    <cellStyle name="Output 2 6 2 2 8 3" xfId="21697"/>
    <cellStyle name="Output 2 6 2 2 8 4" xfId="21698"/>
    <cellStyle name="Output 2 6 2 2 8 5" xfId="21699"/>
    <cellStyle name="Output 2 6 2 2 8 6" xfId="38339"/>
    <cellStyle name="Output 2 6 2 2 8 7" xfId="47158"/>
    <cellStyle name="Output 2 6 2 2 8 8" xfId="55281"/>
    <cellStyle name="Output 2 6 2 2 9" xfId="21700"/>
    <cellStyle name="Output 2 6 2 2 9 2" xfId="21701"/>
    <cellStyle name="Output 2 6 2 2 9 3" xfId="21702"/>
    <cellStyle name="Output 2 6 2 2 9 4" xfId="21703"/>
    <cellStyle name="Output 2 6 2 2 9 5" xfId="21704"/>
    <cellStyle name="Output 2 6 2 2 9 6" xfId="38959"/>
    <cellStyle name="Output 2 6 2 2 9 7" xfId="47159"/>
    <cellStyle name="Output 2 6 2 2 9 8" xfId="55282"/>
    <cellStyle name="Output 2 6 2 20" xfId="34769"/>
    <cellStyle name="Output 2 6 2 21" xfId="40824"/>
    <cellStyle name="Output 2 6 2 3" xfId="401"/>
    <cellStyle name="Output 2 6 2 3 10" xfId="21705"/>
    <cellStyle name="Output 2 6 2 3 10 2" xfId="21706"/>
    <cellStyle name="Output 2 6 2 3 10 3" xfId="21707"/>
    <cellStyle name="Output 2 6 2 3 10 4" xfId="21708"/>
    <cellStyle name="Output 2 6 2 3 10 5" xfId="21709"/>
    <cellStyle name="Output 2 6 2 3 10 6" xfId="40195"/>
    <cellStyle name="Output 2 6 2 3 10 7" xfId="47160"/>
    <cellStyle name="Output 2 6 2 3 10 8" xfId="55283"/>
    <cellStyle name="Output 2 6 2 3 11" xfId="21710"/>
    <cellStyle name="Output 2 6 2 3 11 2" xfId="21711"/>
    <cellStyle name="Output 2 6 2 3 11 3" xfId="21712"/>
    <cellStyle name="Output 2 6 2 3 11 4" xfId="21713"/>
    <cellStyle name="Output 2 6 2 3 11 5" xfId="21714"/>
    <cellStyle name="Output 2 6 2 3 11 6" xfId="47161"/>
    <cellStyle name="Output 2 6 2 3 11 7" xfId="55284"/>
    <cellStyle name="Output 2 6 2 3 12" xfId="21715"/>
    <cellStyle name="Output 2 6 2 3 12 2" xfId="21716"/>
    <cellStyle name="Output 2 6 2 3 12 3" xfId="21717"/>
    <cellStyle name="Output 2 6 2 3 12 4" xfId="21718"/>
    <cellStyle name="Output 2 6 2 3 12 5" xfId="21719"/>
    <cellStyle name="Output 2 6 2 3 12 6" xfId="47162"/>
    <cellStyle name="Output 2 6 2 3 12 7" xfId="55285"/>
    <cellStyle name="Output 2 6 2 3 13" xfId="21720"/>
    <cellStyle name="Output 2 6 2 3 13 2" xfId="21721"/>
    <cellStyle name="Output 2 6 2 3 13 3" xfId="21722"/>
    <cellStyle name="Output 2 6 2 3 13 4" xfId="21723"/>
    <cellStyle name="Output 2 6 2 3 13 5" xfId="21724"/>
    <cellStyle name="Output 2 6 2 3 13 6" xfId="47163"/>
    <cellStyle name="Output 2 6 2 3 13 7" xfId="55286"/>
    <cellStyle name="Output 2 6 2 3 14" xfId="21725"/>
    <cellStyle name="Output 2 6 2 3 14 2" xfId="21726"/>
    <cellStyle name="Output 2 6 2 3 14 3" xfId="21727"/>
    <cellStyle name="Output 2 6 2 3 14 4" xfId="21728"/>
    <cellStyle name="Output 2 6 2 3 14 5" xfId="21729"/>
    <cellStyle name="Output 2 6 2 3 15" xfId="21730"/>
    <cellStyle name="Output 2 6 2 3 15 2" xfId="21731"/>
    <cellStyle name="Output 2 6 2 3 15 3" xfId="21732"/>
    <cellStyle name="Output 2 6 2 3 15 4" xfId="21733"/>
    <cellStyle name="Output 2 6 2 3 15 5" xfId="21734"/>
    <cellStyle name="Output 2 6 2 3 16" xfId="21735"/>
    <cellStyle name="Output 2 6 2 3 16 2" xfId="21736"/>
    <cellStyle name="Output 2 6 2 3 16 3" xfId="21737"/>
    <cellStyle name="Output 2 6 2 3 16 4" xfId="21738"/>
    <cellStyle name="Output 2 6 2 3 16 5" xfId="21739"/>
    <cellStyle name="Output 2 6 2 3 17" xfId="21740"/>
    <cellStyle name="Output 2 6 2 3 17 2" xfId="21741"/>
    <cellStyle name="Output 2 6 2 3 17 3" xfId="21742"/>
    <cellStyle name="Output 2 6 2 3 17 4" xfId="21743"/>
    <cellStyle name="Output 2 6 2 3 17 5" xfId="21744"/>
    <cellStyle name="Output 2 6 2 3 18" xfId="21745"/>
    <cellStyle name="Output 2 6 2 3 18 2" xfId="21746"/>
    <cellStyle name="Output 2 6 2 3 18 3" xfId="21747"/>
    <cellStyle name="Output 2 6 2 3 18 4" xfId="21748"/>
    <cellStyle name="Output 2 6 2 3 18 5" xfId="21749"/>
    <cellStyle name="Output 2 6 2 3 19" xfId="21750"/>
    <cellStyle name="Output 2 6 2 3 2" xfId="620"/>
    <cellStyle name="Output 2 6 2 3 2 10" xfId="21751"/>
    <cellStyle name="Output 2 6 2 3 2 10 2" xfId="21752"/>
    <cellStyle name="Output 2 6 2 3 2 10 3" xfId="21753"/>
    <cellStyle name="Output 2 6 2 3 2 10 4" xfId="21754"/>
    <cellStyle name="Output 2 6 2 3 2 10 5" xfId="21755"/>
    <cellStyle name="Output 2 6 2 3 2 10 6" xfId="47164"/>
    <cellStyle name="Output 2 6 2 3 2 10 7" xfId="55287"/>
    <cellStyle name="Output 2 6 2 3 2 11" xfId="21756"/>
    <cellStyle name="Output 2 6 2 3 2 11 2" xfId="21757"/>
    <cellStyle name="Output 2 6 2 3 2 11 3" xfId="21758"/>
    <cellStyle name="Output 2 6 2 3 2 11 4" xfId="21759"/>
    <cellStyle name="Output 2 6 2 3 2 11 5" xfId="21760"/>
    <cellStyle name="Output 2 6 2 3 2 12" xfId="21761"/>
    <cellStyle name="Output 2 6 2 3 2 12 2" xfId="21762"/>
    <cellStyle name="Output 2 6 2 3 2 12 3" xfId="21763"/>
    <cellStyle name="Output 2 6 2 3 2 12 4" xfId="21764"/>
    <cellStyle name="Output 2 6 2 3 2 12 5" xfId="21765"/>
    <cellStyle name="Output 2 6 2 3 2 13" xfId="21766"/>
    <cellStyle name="Output 2 6 2 3 2 13 2" xfId="21767"/>
    <cellStyle name="Output 2 6 2 3 2 13 3" xfId="21768"/>
    <cellStyle name="Output 2 6 2 3 2 13 4" xfId="21769"/>
    <cellStyle name="Output 2 6 2 3 2 13 5" xfId="21770"/>
    <cellStyle name="Output 2 6 2 3 2 14" xfId="21771"/>
    <cellStyle name="Output 2 6 2 3 2 14 2" xfId="21772"/>
    <cellStyle name="Output 2 6 2 3 2 14 3" xfId="21773"/>
    <cellStyle name="Output 2 6 2 3 2 14 4" xfId="21774"/>
    <cellStyle name="Output 2 6 2 3 2 14 5" xfId="21775"/>
    <cellStyle name="Output 2 6 2 3 2 15" xfId="21776"/>
    <cellStyle name="Output 2 6 2 3 2 15 2" xfId="21777"/>
    <cellStyle name="Output 2 6 2 3 2 15 3" xfId="21778"/>
    <cellStyle name="Output 2 6 2 3 2 15 4" xfId="21779"/>
    <cellStyle name="Output 2 6 2 3 2 15 5" xfId="21780"/>
    <cellStyle name="Output 2 6 2 3 2 16" xfId="21781"/>
    <cellStyle name="Output 2 6 2 3 2 16 2" xfId="21782"/>
    <cellStyle name="Output 2 6 2 3 2 16 3" xfId="21783"/>
    <cellStyle name="Output 2 6 2 3 2 16 4" xfId="21784"/>
    <cellStyle name="Output 2 6 2 3 2 16 5" xfId="21785"/>
    <cellStyle name="Output 2 6 2 3 2 17" xfId="21786"/>
    <cellStyle name="Output 2 6 2 3 2 17 2" xfId="21787"/>
    <cellStyle name="Output 2 6 2 3 2 17 3" xfId="21788"/>
    <cellStyle name="Output 2 6 2 3 2 17 4" xfId="21789"/>
    <cellStyle name="Output 2 6 2 3 2 17 5" xfId="21790"/>
    <cellStyle name="Output 2 6 2 3 2 18" xfId="21791"/>
    <cellStyle name="Output 2 6 2 3 2 18 2" xfId="21792"/>
    <cellStyle name="Output 2 6 2 3 2 18 3" xfId="21793"/>
    <cellStyle name="Output 2 6 2 3 2 18 4" xfId="21794"/>
    <cellStyle name="Output 2 6 2 3 2 18 5" xfId="21795"/>
    <cellStyle name="Output 2 6 2 3 2 19" xfId="21796"/>
    <cellStyle name="Output 2 6 2 3 2 2" xfId="2551"/>
    <cellStyle name="Output 2 6 2 3 2 2 2" xfId="21797"/>
    <cellStyle name="Output 2 6 2 3 2 2 3" xfId="21798"/>
    <cellStyle name="Output 2 6 2 3 2 2 4" xfId="21799"/>
    <cellStyle name="Output 2 6 2 3 2 2 5" xfId="21800"/>
    <cellStyle name="Output 2 6 2 3 2 2 6" xfId="36424"/>
    <cellStyle name="Output 2 6 2 3 2 2 7" xfId="47165"/>
    <cellStyle name="Output 2 6 2 3 2 2 8" xfId="55288"/>
    <cellStyle name="Output 2 6 2 3 2 20" xfId="1049"/>
    <cellStyle name="Output 2 6 2 3 2 21" xfId="35129"/>
    <cellStyle name="Output 2 6 2 3 2 22" xfId="41348"/>
    <cellStyle name="Output 2 6 2 3 2 3" xfId="2552"/>
    <cellStyle name="Output 2 6 2 3 2 3 2" xfId="21801"/>
    <cellStyle name="Output 2 6 2 3 2 3 3" xfId="21802"/>
    <cellStyle name="Output 2 6 2 3 2 3 4" xfId="21803"/>
    <cellStyle name="Output 2 6 2 3 2 3 5" xfId="21804"/>
    <cellStyle name="Output 2 6 2 3 2 3 6" xfId="36921"/>
    <cellStyle name="Output 2 6 2 3 2 3 7" xfId="47166"/>
    <cellStyle name="Output 2 6 2 3 2 3 8" xfId="55289"/>
    <cellStyle name="Output 2 6 2 3 2 4" xfId="1363"/>
    <cellStyle name="Output 2 6 2 3 2 4 2" xfId="21805"/>
    <cellStyle name="Output 2 6 2 3 2 4 3" xfId="21806"/>
    <cellStyle name="Output 2 6 2 3 2 4 4" xfId="21807"/>
    <cellStyle name="Output 2 6 2 3 2 4 5" xfId="21808"/>
    <cellStyle name="Output 2 6 2 3 2 4 6" xfId="37537"/>
    <cellStyle name="Output 2 6 2 3 2 4 7" xfId="47167"/>
    <cellStyle name="Output 2 6 2 3 2 4 8" xfId="55290"/>
    <cellStyle name="Output 2 6 2 3 2 5" xfId="3431"/>
    <cellStyle name="Output 2 6 2 3 2 5 2" xfId="21809"/>
    <cellStyle name="Output 2 6 2 3 2 5 3" xfId="21810"/>
    <cellStyle name="Output 2 6 2 3 2 5 4" xfId="21811"/>
    <cellStyle name="Output 2 6 2 3 2 5 5" xfId="21812"/>
    <cellStyle name="Output 2 6 2 3 2 5 6" xfId="38153"/>
    <cellStyle name="Output 2 6 2 3 2 5 7" xfId="47168"/>
    <cellStyle name="Output 2 6 2 3 2 5 8" xfId="55291"/>
    <cellStyle name="Output 2 6 2 3 2 6" xfId="3753"/>
    <cellStyle name="Output 2 6 2 3 2 6 2" xfId="21813"/>
    <cellStyle name="Output 2 6 2 3 2 6 3" xfId="21814"/>
    <cellStyle name="Output 2 6 2 3 2 6 4" xfId="21815"/>
    <cellStyle name="Output 2 6 2 3 2 6 5" xfId="21816"/>
    <cellStyle name="Output 2 6 2 3 2 6 6" xfId="38771"/>
    <cellStyle name="Output 2 6 2 3 2 6 7" xfId="47169"/>
    <cellStyle name="Output 2 6 2 3 2 6 8" xfId="55292"/>
    <cellStyle name="Output 2 6 2 3 2 7" xfId="21817"/>
    <cellStyle name="Output 2 6 2 3 2 7 2" xfId="21818"/>
    <cellStyle name="Output 2 6 2 3 2 7 3" xfId="21819"/>
    <cellStyle name="Output 2 6 2 3 2 7 4" xfId="21820"/>
    <cellStyle name="Output 2 6 2 3 2 7 5" xfId="21821"/>
    <cellStyle name="Output 2 6 2 3 2 7 6" xfId="39391"/>
    <cellStyle name="Output 2 6 2 3 2 7 7" xfId="47170"/>
    <cellStyle name="Output 2 6 2 3 2 7 8" xfId="55293"/>
    <cellStyle name="Output 2 6 2 3 2 8" xfId="21822"/>
    <cellStyle name="Output 2 6 2 3 2 8 2" xfId="21823"/>
    <cellStyle name="Output 2 6 2 3 2 8 3" xfId="21824"/>
    <cellStyle name="Output 2 6 2 3 2 8 4" xfId="21825"/>
    <cellStyle name="Output 2 6 2 3 2 8 5" xfId="21826"/>
    <cellStyle name="Output 2 6 2 3 2 8 6" xfId="40007"/>
    <cellStyle name="Output 2 6 2 3 2 8 7" xfId="47171"/>
    <cellStyle name="Output 2 6 2 3 2 8 8" xfId="55294"/>
    <cellStyle name="Output 2 6 2 3 2 9" xfId="21827"/>
    <cellStyle name="Output 2 6 2 3 2 9 2" xfId="21828"/>
    <cellStyle name="Output 2 6 2 3 2 9 3" xfId="21829"/>
    <cellStyle name="Output 2 6 2 3 2 9 4" xfId="21830"/>
    <cellStyle name="Output 2 6 2 3 2 9 5" xfId="21831"/>
    <cellStyle name="Output 2 6 2 3 2 9 6" xfId="40622"/>
    <cellStyle name="Output 2 6 2 3 2 9 7" xfId="47172"/>
    <cellStyle name="Output 2 6 2 3 2 9 8" xfId="55295"/>
    <cellStyle name="Output 2 6 2 3 20" xfId="837"/>
    <cellStyle name="Output 2 6 2 3 21" xfId="34698"/>
    <cellStyle name="Output 2 6 2 3 22" xfId="40921"/>
    <cellStyle name="Output 2 6 2 3 23" xfId="41482"/>
    <cellStyle name="Output 2 6 2 3 24" xfId="50569"/>
    <cellStyle name="Output 2 6 2 3 3" xfId="2553"/>
    <cellStyle name="Output 2 6 2 3 3 10" xfId="34612"/>
    <cellStyle name="Output 2 6 2 3 3 10 2" xfId="47174"/>
    <cellStyle name="Output 2 6 2 3 3 10 3" xfId="55297"/>
    <cellStyle name="Output 2 6 2 3 3 11" xfId="41136"/>
    <cellStyle name="Output 2 6 2 3 3 12" xfId="47173"/>
    <cellStyle name="Output 2 6 2 3 3 13" xfId="55296"/>
    <cellStyle name="Output 2 6 2 3 3 2" xfId="2554"/>
    <cellStyle name="Output 2 6 2 3 3 2 2" xfId="36213"/>
    <cellStyle name="Output 2 6 2 3 3 2 3" xfId="47175"/>
    <cellStyle name="Output 2 6 2 3 3 2 4" xfId="55298"/>
    <cellStyle name="Output 2 6 2 3 3 3" xfId="2555"/>
    <cellStyle name="Output 2 6 2 3 3 3 2" xfId="36710"/>
    <cellStyle name="Output 2 6 2 3 3 3 3" xfId="47176"/>
    <cellStyle name="Output 2 6 2 3 3 3 4" xfId="55299"/>
    <cellStyle name="Output 2 6 2 3 3 4" xfId="21832"/>
    <cellStyle name="Output 2 6 2 3 3 4 2" xfId="37326"/>
    <cellStyle name="Output 2 6 2 3 3 4 3" xfId="47177"/>
    <cellStyle name="Output 2 6 2 3 3 4 4" xfId="55300"/>
    <cellStyle name="Output 2 6 2 3 3 5" xfId="21833"/>
    <cellStyle name="Output 2 6 2 3 3 5 2" xfId="37942"/>
    <cellStyle name="Output 2 6 2 3 3 5 3" xfId="47178"/>
    <cellStyle name="Output 2 6 2 3 3 5 4" xfId="55301"/>
    <cellStyle name="Output 2 6 2 3 3 6" xfId="38559"/>
    <cellStyle name="Output 2 6 2 3 3 6 2" xfId="47179"/>
    <cellStyle name="Output 2 6 2 3 3 6 3" xfId="55302"/>
    <cellStyle name="Output 2 6 2 3 3 7" xfId="39179"/>
    <cellStyle name="Output 2 6 2 3 3 7 2" xfId="47180"/>
    <cellStyle name="Output 2 6 2 3 3 7 3" xfId="55303"/>
    <cellStyle name="Output 2 6 2 3 3 8" xfId="39795"/>
    <cellStyle name="Output 2 6 2 3 3 8 2" xfId="47181"/>
    <cellStyle name="Output 2 6 2 3 3 8 3" xfId="55304"/>
    <cellStyle name="Output 2 6 2 3 3 9" xfId="40410"/>
    <cellStyle name="Output 2 6 2 3 3 9 2" xfId="47182"/>
    <cellStyle name="Output 2 6 2 3 3 9 3" xfId="55305"/>
    <cellStyle name="Output 2 6 2 3 4" xfId="2556"/>
    <cellStyle name="Output 2 6 2 3 4 10" xfId="47183"/>
    <cellStyle name="Output 2 6 2 3 4 11" xfId="55306"/>
    <cellStyle name="Output 2 6 2 3 4 2" xfId="21834"/>
    <cellStyle name="Output 2 6 2 3 4 2 2" xfId="47184"/>
    <cellStyle name="Output 2 6 2 3 4 2 3" xfId="55307"/>
    <cellStyle name="Output 2 6 2 3 4 3" xfId="21835"/>
    <cellStyle name="Output 2 6 2 3 4 3 2" xfId="47185"/>
    <cellStyle name="Output 2 6 2 3 4 3 3" xfId="55308"/>
    <cellStyle name="Output 2 6 2 3 4 4" xfId="21836"/>
    <cellStyle name="Output 2 6 2 3 4 4 2" xfId="47186"/>
    <cellStyle name="Output 2 6 2 3 4 4 3" xfId="55309"/>
    <cellStyle name="Output 2 6 2 3 4 5" xfId="21837"/>
    <cellStyle name="Output 2 6 2 3 4 5 2" xfId="47187"/>
    <cellStyle name="Output 2 6 2 3 4 5 3" xfId="55310"/>
    <cellStyle name="Output 2 6 2 3 4 6" xfId="36495"/>
    <cellStyle name="Output 2 6 2 3 4 6 2" xfId="47188"/>
    <cellStyle name="Output 2 6 2 3 4 6 3" xfId="55311"/>
    <cellStyle name="Output 2 6 2 3 4 7" xfId="47189"/>
    <cellStyle name="Output 2 6 2 3 4 7 2" xfId="55312"/>
    <cellStyle name="Output 2 6 2 3 4 8" xfId="47190"/>
    <cellStyle name="Output 2 6 2 3 4 8 2" xfId="55313"/>
    <cellStyle name="Output 2 6 2 3 4 9" xfId="47191"/>
    <cellStyle name="Output 2 6 2 3 4 9 2" xfId="55314"/>
    <cellStyle name="Output 2 6 2 3 5" xfId="1362"/>
    <cellStyle name="Output 2 6 2 3 5 2" xfId="21838"/>
    <cellStyle name="Output 2 6 2 3 5 3" xfId="21839"/>
    <cellStyle name="Output 2 6 2 3 5 4" xfId="21840"/>
    <cellStyle name="Output 2 6 2 3 5 5" xfId="21841"/>
    <cellStyle name="Output 2 6 2 3 5 6" xfId="37111"/>
    <cellStyle name="Output 2 6 2 3 5 7" xfId="47192"/>
    <cellStyle name="Output 2 6 2 3 5 8" xfId="55315"/>
    <cellStyle name="Output 2 6 2 3 6" xfId="3430"/>
    <cellStyle name="Output 2 6 2 3 6 2" xfId="21842"/>
    <cellStyle name="Output 2 6 2 3 6 3" xfId="21843"/>
    <cellStyle name="Output 2 6 2 3 6 4" xfId="21844"/>
    <cellStyle name="Output 2 6 2 3 6 5" xfId="21845"/>
    <cellStyle name="Output 2 6 2 3 6 6" xfId="37725"/>
    <cellStyle name="Output 2 6 2 3 6 7" xfId="47193"/>
    <cellStyle name="Output 2 6 2 3 6 8" xfId="55316"/>
    <cellStyle name="Output 2 6 2 3 7" xfId="3752"/>
    <cellStyle name="Output 2 6 2 3 7 2" xfId="21846"/>
    <cellStyle name="Output 2 6 2 3 7 3" xfId="21847"/>
    <cellStyle name="Output 2 6 2 3 7 4" xfId="21848"/>
    <cellStyle name="Output 2 6 2 3 7 5" xfId="21849"/>
    <cellStyle name="Output 2 6 2 3 7 6" xfId="38340"/>
    <cellStyle name="Output 2 6 2 3 7 7" xfId="47194"/>
    <cellStyle name="Output 2 6 2 3 7 8" xfId="55317"/>
    <cellStyle name="Output 2 6 2 3 8" xfId="21850"/>
    <cellStyle name="Output 2 6 2 3 8 2" xfId="21851"/>
    <cellStyle name="Output 2 6 2 3 8 3" xfId="21852"/>
    <cellStyle name="Output 2 6 2 3 8 4" xfId="21853"/>
    <cellStyle name="Output 2 6 2 3 8 5" xfId="21854"/>
    <cellStyle name="Output 2 6 2 3 8 6" xfId="38960"/>
    <cellStyle name="Output 2 6 2 3 8 7" xfId="47195"/>
    <cellStyle name="Output 2 6 2 3 8 8" xfId="55318"/>
    <cellStyle name="Output 2 6 2 3 9" xfId="21855"/>
    <cellStyle name="Output 2 6 2 3 9 2" xfId="21856"/>
    <cellStyle name="Output 2 6 2 3 9 3" xfId="21857"/>
    <cellStyle name="Output 2 6 2 3 9 4" xfId="21858"/>
    <cellStyle name="Output 2 6 2 3 9 5" xfId="21859"/>
    <cellStyle name="Output 2 6 2 3 9 6" xfId="39579"/>
    <cellStyle name="Output 2 6 2 3 9 7" xfId="47196"/>
    <cellStyle name="Output 2 6 2 3 9 8" xfId="55319"/>
    <cellStyle name="Output 2 6 2 4" xfId="525"/>
    <cellStyle name="Output 2 6 2 4 10" xfId="21860"/>
    <cellStyle name="Output 2 6 2 4 10 2" xfId="21861"/>
    <cellStyle name="Output 2 6 2 4 10 3" xfId="21862"/>
    <cellStyle name="Output 2 6 2 4 10 4" xfId="21863"/>
    <cellStyle name="Output 2 6 2 4 10 5" xfId="21864"/>
    <cellStyle name="Output 2 6 2 4 10 6" xfId="47197"/>
    <cellStyle name="Output 2 6 2 4 10 7" xfId="55320"/>
    <cellStyle name="Output 2 6 2 4 11" xfId="21865"/>
    <cellStyle name="Output 2 6 2 4 11 2" xfId="21866"/>
    <cellStyle name="Output 2 6 2 4 11 3" xfId="21867"/>
    <cellStyle name="Output 2 6 2 4 11 4" xfId="21868"/>
    <cellStyle name="Output 2 6 2 4 11 5" xfId="21869"/>
    <cellStyle name="Output 2 6 2 4 12" xfId="21870"/>
    <cellStyle name="Output 2 6 2 4 12 2" xfId="21871"/>
    <cellStyle name="Output 2 6 2 4 12 3" xfId="21872"/>
    <cellStyle name="Output 2 6 2 4 12 4" xfId="21873"/>
    <cellStyle name="Output 2 6 2 4 12 5" xfId="21874"/>
    <cellStyle name="Output 2 6 2 4 13" xfId="21875"/>
    <cellStyle name="Output 2 6 2 4 13 2" xfId="21876"/>
    <cellStyle name="Output 2 6 2 4 13 3" xfId="21877"/>
    <cellStyle name="Output 2 6 2 4 13 4" xfId="21878"/>
    <cellStyle name="Output 2 6 2 4 13 5" xfId="21879"/>
    <cellStyle name="Output 2 6 2 4 14" xfId="21880"/>
    <cellStyle name="Output 2 6 2 4 14 2" xfId="21881"/>
    <cellStyle name="Output 2 6 2 4 14 3" xfId="21882"/>
    <cellStyle name="Output 2 6 2 4 14 4" xfId="21883"/>
    <cellStyle name="Output 2 6 2 4 14 5" xfId="21884"/>
    <cellStyle name="Output 2 6 2 4 15" xfId="21885"/>
    <cellStyle name="Output 2 6 2 4 15 2" xfId="21886"/>
    <cellStyle name="Output 2 6 2 4 15 3" xfId="21887"/>
    <cellStyle name="Output 2 6 2 4 15 4" xfId="21888"/>
    <cellStyle name="Output 2 6 2 4 15 5" xfId="21889"/>
    <cellStyle name="Output 2 6 2 4 16" xfId="21890"/>
    <cellStyle name="Output 2 6 2 4 16 2" xfId="21891"/>
    <cellStyle name="Output 2 6 2 4 16 3" xfId="21892"/>
    <cellStyle name="Output 2 6 2 4 16 4" xfId="21893"/>
    <cellStyle name="Output 2 6 2 4 16 5" xfId="21894"/>
    <cellStyle name="Output 2 6 2 4 17" xfId="21895"/>
    <cellStyle name="Output 2 6 2 4 17 2" xfId="21896"/>
    <cellStyle name="Output 2 6 2 4 17 3" xfId="21897"/>
    <cellStyle name="Output 2 6 2 4 17 4" xfId="21898"/>
    <cellStyle name="Output 2 6 2 4 17 5" xfId="21899"/>
    <cellStyle name="Output 2 6 2 4 18" xfId="21900"/>
    <cellStyle name="Output 2 6 2 4 18 2" xfId="21901"/>
    <cellStyle name="Output 2 6 2 4 18 3" xfId="21902"/>
    <cellStyle name="Output 2 6 2 4 18 4" xfId="21903"/>
    <cellStyle name="Output 2 6 2 4 18 5" xfId="21904"/>
    <cellStyle name="Output 2 6 2 4 19" xfId="21905"/>
    <cellStyle name="Output 2 6 2 4 2" xfId="2557"/>
    <cellStyle name="Output 2 6 2 4 2 2" xfId="21906"/>
    <cellStyle name="Output 2 6 2 4 2 3" xfId="21907"/>
    <cellStyle name="Output 2 6 2 4 2 4" xfId="21908"/>
    <cellStyle name="Output 2 6 2 4 2 5" xfId="21909"/>
    <cellStyle name="Output 2 6 2 4 2 6" xfId="36329"/>
    <cellStyle name="Output 2 6 2 4 2 7" xfId="47198"/>
    <cellStyle name="Output 2 6 2 4 2 8" xfId="55321"/>
    <cellStyle name="Output 2 6 2 4 20" xfId="954"/>
    <cellStyle name="Output 2 6 2 4 21" xfId="35034"/>
    <cellStyle name="Output 2 6 2 4 22" xfId="40743"/>
    <cellStyle name="Output 2 6 2 4 23" xfId="41253"/>
    <cellStyle name="Output 2 6 2 4 3" xfId="2558"/>
    <cellStyle name="Output 2 6 2 4 3 2" xfId="21910"/>
    <cellStyle name="Output 2 6 2 4 3 3" xfId="21911"/>
    <cellStyle name="Output 2 6 2 4 3 4" xfId="21912"/>
    <cellStyle name="Output 2 6 2 4 3 5" xfId="21913"/>
    <cellStyle name="Output 2 6 2 4 3 6" xfId="36826"/>
    <cellStyle name="Output 2 6 2 4 3 7" xfId="47199"/>
    <cellStyle name="Output 2 6 2 4 3 8" xfId="55322"/>
    <cellStyle name="Output 2 6 2 4 4" xfId="1364"/>
    <cellStyle name="Output 2 6 2 4 4 2" xfId="21914"/>
    <cellStyle name="Output 2 6 2 4 4 3" xfId="21915"/>
    <cellStyle name="Output 2 6 2 4 4 4" xfId="21916"/>
    <cellStyle name="Output 2 6 2 4 4 5" xfId="21917"/>
    <cellStyle name="Output 2 6 2 4 4 6" xfId="37442"/>
    <cellStyle name="Output 2 6 2 4 4 7" xfId="47200"/>
    <cellStyle name="Output 2 6 2 4 4 8" xfId="55323"/>
    <cellStyle name="Output 2 6 2 4 5" xfId="3432"/>
    <cellStyle name="Output 2 6 2 4 5 2" xfId="21918"/>
    <cellStyle name="Output 2 6 2 4 5 3" xfId="21919"/>
    <cellStyle name="Output 2 6 2 4 5 4" xfId="21920"/>
    <cellStyle name="Output 2 6 2 4 5 5" xfId="21921"/>
    <cellStyle name="Output 2 6 2 4 5 6" xfId="38058"/>
    <cellStyle name="Output 2 6 2 4 5 7" xfId="47201"/>
    <cellStyle name="Output 2 6 2 4 5 8" xfId="55324"/>
    <cellStyle name="Output 2 6 2 4 6" xfId="3754"/>
    <cellStyle name="Output 2 6 2 4 6 2" xfId="21922"/>
    <cellStyle name="Output 2 6 2 4 6 3" xfId="21923"/>
    <cellStyle name="Output 2 6 2 4 6 4" xfId="21924"/>
    <cellStyle name="Output 2 6 2 4 6 5" xfId="21925"/>
    <cellStyle name="Output 2 6 2 4 6 6" xfId="38676"/>
    <cellStyle name="Output 2 6 2 4 6 7" xfId="47202"/>
    <cellStyle name="Output 2 6 2 4 6 8" xfId="55325"/>
    <cellStyle name="Output 2 6 2 4 7" xfId="21926"/>
    <cellStyle name="Output 2 6 2 4 7 2" xfId="21927"/>
    <cellStyle name="Output 2 6 2 4 7 3" xfId="21928"/>
    <cellStyle name="Output 2 6 2 4 7 4" xfId="21929"/>
    <cellStyle name="Output 2 6 2 4 7 5" xfId="21930"/>
    <cellStyle name="Output 2 6 2 4 7 6" xfId="39296"/>
    <cellStyle name="Output 2 6 2 4 7 7" xfId="47203"/>
    <cellStyle name="Output 2 6 2 4 7 8" xfId="55326"/>
    <cellStyle name="Output 2 6 2 4 8" xfId="21931"/>
    <cellStyle name="Output 2 6 2 4 8 2" xfId="21932"/>
    <cellStyle name="Output 2 6 2 4 8 3" xfId="21933"/>
    <cellStyle name="Output 2 6 2 4 8 4" xfId="21934"/>
    <cellStyle name="Output 2 6 2 4 8 5" xfId="21935"/>
    <cellStyle name="Output 2 6 2 4 8 6" xfId="39912"/>
    <cellStyle name="Output 2 6 2 4 8 7" xfId="47204"/>
    <cellStyle name="Output 2 6 2 4 8 8" xfId="55327"/>
    <cellStyle name="Output 2 6 2 4 9" xfId="21936"/>
    <cellStyle name="Output 2 6 2 4 9 2" xfId="21937"/>
    <cellStyle name="Output 2 6 2 4 9 3" xfId="21938"/>
    <cellStyle name="Output 2 6 2 4 9 4" xfId="21939"/>
    <cellStyle name="Output 2 6 2 4 9 5" xfId="21940"/>
    <cellStyle name="Output 2 6 2 4 9 6" xfId="40527"/>
    <cellStyle name="Output 2 6 2 4 9 7" xfId="47205"/>
    <cellStyle name="Output 2 6 2 4 9 8" xfId="55328"/>
    <cellStyle name="Output 2 6 2 5" xfId="2559"/>
    <cellStyle name="Output 2 6 2 5 10" xfId="34647"/>
    <cellStyle name="Output 2 6 2 5 10 2" xfId="47207"/>
    <cellStyle name="Output 2 6 2 5 10 3" xfId="55330"/>
    <cellStyle name="Output 2 6 2 5 11" xfId="41039"/>
    <cellStyle name="Output 2 6 2 5 12" xfId="47206"/>
    <cellStyle name="Output 2 6 2 5 13" xfId="55329"/>
    <cellStyle name="Output 2 6 2 5 2" xfId="2560"/>
    <cellStyle name="Output 2 6 2 5 2 2" xfId="36116"/>
    <cellStyle name="Output 2 6 2 5 2 3" xfId="47208"/>
    <cellStyle name="Output 2 6 2 5 2 4" xfId="55331"/>
    <cellStyle name="Output 2 6 2 5 3" xfId="2561"/>
    <cellStyle name="Output 2 6 2 5 3 2" xfId="36615"/>
    <cellStyle name="Output 2 6 2 5 3 3" xfId="47209"/>
    <cellStyle name="Output 2 6 2 5 3 4" xfId="55332"/>
    <cellStyle name="Output 2 6 2 5 4" xfId="21941"/>
    <cellStyle name="Output 2 6 2 5 4 2" xfId="37231"/>
    <cellStyle name="Output 2 6 2 5 4 3" xfId="47210"/>
    <cellStyle name="Output 2 6 2 5 4 4" xfId="55333"/>
    <cellStyle name="Output 2 6 2 5 5" xfId="21942"/>
    <cellStyle name="Output 2 6 2 5 5 2" xfId="37847"/>
    <cellStyle name="Output 2 6 2 5 5 3" xfId="47211"/>
    <cellStyle name="Output 2 6 2 5 5 4" xfId="55334"/>
    <cellStyle name="Output 2 6 2 5 6" xfId="38462"/>
    <cellStyle name="Output 2 6 2 5 6 2" xfId="47212"/>
    <cellStyle name="Output 2 6 2 5 6 3" xfId="55335"/>
    <cellStyle name="Output 2 6 2 5 7" xfId="39082"/>
    <cellStyle name="Output 2 6 2 5 7 2" xfId="47213"/>
    <cellStyle name="Output 2 6 2 5 7 3" xfId="55336"/>
    <cellStyle name="Output 2 6 2 5 8" xfId="39698"/>
    <cellStyle name="Output 2 6 2 5 8 2" xfId="47214"/>
    <cellStyle name="Output 2 6 2 5 8 3" xfId="55337"/>
    <cellStyle name="Output 2 6 2 5 9" xfId="40313"/>
    <cellStyle name="Output 2 6 2 5 9 2" xfId="47215"/>
    <cellStyle name="Output 2 6 2 5 9 3" xfId="55338"/>
    <cellStyle name="Output 2 6 2 6" xfId="1359"/>
    <cellStyle name="Output 2 6 2 6 10" xfId="47216"/>
    <cellStyle name="Output 2 6 2 6 11" xfId="55339"/>
    <cellStyle name="Output 2 6 2 6 2" xfId="21943"/>
    <cellStyle name="Output 2 6 2 6 2 2" xfId="47217"/>
    <cellStyle name="Output 2 6 2 6 2 3" xfId="55340"/>
    <cellStyle name="Output 2 6 2 6 3" xfId="21944"/>
    <cellStyle name="Output 2 6 2 6 3 2" xfId="47218"/>
    <cellStyle name="Output 2 6 2 6 3 3" xfId="55341"/>
    <cellStyle name="Output 2 6 2 6 4" xfId="21945"/>
    <cellStyle name="Output 2 6 2 6 4 2" xfId="47219"/>
    <cellStyle name="Output 2 6 2 6 4 3" xfId="55342"/>
    <cellStyle name="Output 2 6 2 6 5" xfId="21946"/>
    <cellStyle name="Output 2 6 2 6 5 2" xfId="47220"/>
    <cellStyle name="Output 2 6 2 6 5 3" xfId="55343"/>
    <cellStyle name="Output 2 6 2 6 6" xfId="35434"/>
    <cellStyle name="Output 2 6 2 6 6 2" xfId="47221"/>
    <cellStyle name="Output 2 6 2 6 6 3" xfId="55344"/>
    <cellStyle name="Output 2 6 2 6 7" xfId="47222"/>
    <cellStyle name="Output 2 6 2 6 7 2" xfId="55345"/>
    <cellStyle name="Output 2 6 2 6 8" xfId="47223"/>
    <cellStyle name="Output 2 6 2 6 8 2" xfId="55346"/>
    <cellStyle name="Output 2 6 2 6 9" xfId="47224"/>
    <cellStyle name="Output 2 6 2 6 9 2" xfId="55347"/>
    <cellStyle name="Output 2 6 2 7" xfId="3427"/>
    <cellStyle name="Output 2 6 2 7 2" xfId="21947"/>
    <cellStyle name="Output 2 6 2 7 3" xfId="21948"/>
    <cellStyle name="Output 2 6 2 7 4" xfId="21949"/>
    <cellStyle name="Output 2 6 2 7 5" xfId="21950"/>
    <cellStyle name="Output 2 6 2 7 6" xfId="35966"/>
    <cellStyle name="Output 2 6 2 7 7" xfId="47225"/>
    <cellStyle name="Output 2 6 2 7 8" xfId="55348"/>
    <cellStyle name="Output 2 6 2 8" xfId="3749"/>
    <cellStyle name="Output 2 6 2 8 2" xfId="21951"/>
    <cellStyle name="Output 2 6 2 8 3" xfId="21952"/>
    <cellStyle name="Output 2 6 2 8 4" xfId="21953"/>
    <cellStyle name="Output 2 6 2 8 5" xfId="21954"/>
    <cellStyle name="Output 2 6 2 8 6" xfId="35810"/>
    <cellStyle name="Output 2 6 2 8 7" xfId="47226"/>
    <cellStyle name="Output 2 6 2 8 8" xfId="55349"/>
    <cellStyle name="Output 2 6 2 9" xfId="21955"/>
    <cellStyle name="Output 2 6 2 9 2" xfId="21956"/>
    <cellStyle name="Output 2 6 2 9 3" xfId="21957"/>
    <cellStyle name="Output 2 6 2 9 4" xfId="21958"/>
    <cellStyle name="Output 2 6 2 9 5" xfId="21959"/>
    <cellStyle name="Output 2 6 2 9 6" xfId="37011"/>
    <cellStyle name="Output 2 6 2 9 7" xfId="47227"/>
    <cellStyle name="Output 2 6 2 9 8" xfId="55350"/>
    <cellStyle name="Output 2 6 20" xfId="21960"/>
    <cellStyle name="Output 2 6 21" xfId="704"/>
    <cellStyle name="Output 2 6 22" xfId="34846"/>
    <cellStyle name="Output 2 6 23" xfId="40788"/>
    <cellStyle name="Output 2 6 3" xfId="296"/>
    <cellStyle name="Output 2 6 3 10" xfId="21961"/>
    <cellStyle name="Output 2 6 3 10 2" xfId="21962"/>
    <cellStyle name="Output 2 6 3 10 3" xfId="21963"/>
    <cellStyle name="Output 2 6 3 10 4" xfId="21964"/>
    <cellStyle name="Output 2 6 3 10 5" xfId="21965"/>
    <cellStyle name="Output 2 6 3 10 6" xfId="37624"/>
    <cellStyle name="Output 2 6 3 10 7" xfId="47228"/>
    <cellStyle name="Output 2 6 3 10 8" xfId="55351"/>
    <cellStyle name="Output 2 6 3 11" xfId="21966"/>
    <cellStyle name="Output 2 6 3 11 2" xfId="21967"/>
    <cellStyle name="Output 2 6 3 11 3" xfId="21968"/>
    <cellStyle name="Output 2 6 3 11 4" xfId="21969"/>
    <cellStyle name="Output 2 6 3 11 5" xfId="21970"/>
    <cellStyle name="Output 2 6 3 11 6" xfId="38241"/>
    <cellStyle name="Output 2 6 3 11 7" xfId="47229"/>
    <cellStyle name="Output 2 6 3 11 8" xfId="55352"/>
    <cellStyle name="Output 2 6 3 12" xfId="21971"/>
    <cellStyle name="Output 2 6 3 12 2" xfId="21972"/>
    <cellStyle name="Output 2 6 3 12 3" xfId="21973"/>
    <cellStyle name="Output 2 6 3 12 4" xfId="21974"/>
    <cellStyle name="Output 2 6 3 12 5" xfId="21975"/>
    <cellStyle name="Output 2 6 3 12 6" xfId="38863"/>
    <cellStyle name="Output 2 6 3 12 7" xfId="47230"/>
    <cellStyle name="Output 2 6 3 12 8" xfId="55353"/>
    <cellStyle name="Output 2 6 3 13" xfId="21976"/>
    <cellStyle name="Output 2 6 3 13 2" xfId="21977"/>
    <cellStyle name="Output 2 6 3 13 3" xfId="21978"/>
    <cellStyle name="Output 2 6 3 13 4" xfId="21979"/>
    <cellStyle name="Output 2 6 3 13 5" xfId="21980"/>
    <cellStyle name="Output 2 6 3 13 6" xfId="39483"/>
    <cellStyle name="Output 2 6 3 13 7" xfId="47231"/>
    <cellStyle name="Output 2 6 3 13 8" xfId="55354"/>
    <cellStyle name="Output 2 6 3 14" xfId="21981"/>
    <cellStyle name="Output 2 6 3 14 2" xfId="21982"/>
    <cellStyle name="Output 2 6 3 14 3" xfId="21983"/>
    <cellStyle name="Output 2 6 3 14 4" xfId="21984"/>
    <cellStyle name="Output 2 6 3 14 5" xfId="21985"/>
    <cellStyle name="Output 2 6 3 14 6" xfId="40101"/>
    <cellStyle name="Output 2 6 3 14 7" xfId="47232"/>
    <cellStyle name="Output 2 6 3 14 8" xfId="55355"/>
    <cellStyle name="Output 2 6 3 15" xfId="21986"/>
    <cellStyle name="Output 2 6 3 15 2" xfId="21987"/>
    <cellStyle name="Output 2 6 3 15 3" xfId="21988"/>
    <cellStyle name="Output 2 6 3 15 4" xfId="21989"/>
    <cellStyle name="Output 2 6 3 15 5" xfId="21990"/>
    <cellStyle name="Output 2 6 3 15 6" xfId="47233"/>
    <cellStyle name="Output 2 6 3 15 7" xfId="55356"/>
    <cellStyle name="Output 2 6 3 16" xfId="21991"/>
    <cellStyle name="Output 2 6 3 16 2" xfId="21992"/>
    <cellStyle name="Output 2 6 3 16 3" xfId="21993"/>
    <cellStyle name="Output 2 6 3 16 4" xfId="21994"/>
    <cellStyle name="Output 2 6 3 16 5" xfId="21995"/>
    <cellStyle name="Output 2 6 3 17" xfId="21996"/>
    <cellStyle name="Output 2 6 3 17 2" xfId="21997"/>
    <cellStyle name="Output 2 6 3 17 3" xfId="21998"/>
    <cellStyle name="Output 2 6 3 17 4" xfId="21999"/>
    <cellStyle name="Output 2 6 3 17 5" xfId="22000"/>
    <cellStyle name="Output 2 6 3 18" xfId="22001"/>
    <cellStyle name="Output 2 6 3 19" xfId="741"/>
    <cellStyle name="Output 2 6 3 2" xfId="402"/>
    <cellStyle name="Output 2 6 3 2 10" xfId="22002"/>
    <cellStyle name="Output 2 6 3 2 10 2" xfId="22003"/>
    <cellStyle name="Output 2 6 3 2 10 3" xfId="22004"/>
    <cellStyle name="Output 2 6 3 2 10 4" xfId="22005"/>
    <cellStyle name="Output 2 6 3 2 10 5" xfId="22006"/>
    <cellStyle name="Output 2 6 3 2 10 6" xfId="39580"/>
    <cellStyle name="Output 2 6 3 2 10 7" xfId="47234"/>
    <cellStyle name="Output 2 6 3 2 10 8" xfId="55357"/>
    <cellStyle name="Output 2 6 3 2 11" xfId="22007"/>
    <cellStyle name="Output 2 6 3 2 11 2" xfId="22008"/>
    <cellStyle name="Output 2 6 3 2 11 3" xfId="22009"/>
    <cellStyle name="Output 2 6 3 2 11 4" xfId="22010"/>
    <cellStyle name="Output 2 6 3 2 11 5" xfId="22011"/>
    <cellStyle name="Output 2 6 3 2 11 6" xfId="40196"/>
    <cellStyle name="Output 2 6 3 2 11 7" xfId="47235"/>
    <cellStyle name="Output 2 6 3 2 11 8" xfId="55358"/>
    <cellStyle name="Output 2 6 3 2 12" xfId="22012"/>
    <cellStyle name="Output 2 6 3 2 12 2" xfId="22013"/>
    <cellStyle name="Output 2 6 3 2 12 3" xfId="22014"/>
    <cellStyle name="Output 2 6 3 2 12 4" xfId="22015"/>
    <cellStyle name="Output 2 6 3 2 12 5" xfId="22016"/>
    <cellStyle name="Output 2 6 3 2 12 6" xfId="47236"/>
    <cellStyle name="Output 2 6 3 2 12 7" xfId="55359"/>
    <cellStyle name="Output 2 6 3 2 13" xfId="22017"/>
    <cellStyle name="Output 2 6 3 2 13 2" xfId="22018"/>
    <cellStyle name="Output 2 6 3 2 13 3" xfId="22019"/>
    <cellStyle name="Output 2 6 3 2 13 4" xfId="22020"/>
    <cellStyle name="Output 2 6 3 2 13 5" xfId="22021"/>
    <cellStyle name="Output 2 6 3 2 13 6" xfId="47237"/>
    <cellStyle name="Output 2 6 3 2 13 7" xfId="55360"/>
    <cellStyle name="Output 2 6 3 2 14" xfId="22022"/>
    <cellStyle name="Output 2 6 3 2 14 2" xfId="22023"/>
    <cellStyle name="Output 2 6 3 2 14 3" xfId="22024"/>
    <cellStyle name="Output 2 6 3 2 14 4" xfId="22025"/>
    <cellStyle name="Output 2 6 3 2 14 5" xfId="22026"/>
    <cellStyle name="Output 2 6 3 2 15" xfId="22027"/>
    <cellStyle name="Output 2 6 3 2 15 2" xfId="22028"/>
    <cellStyle name="Output 2 6 3 2 15 3" xfId="22029"/>
    <cellStyle name="Output 2 6 3 2 15 4" xfId="22030"/>
    <cellStyle name="Output 2 6 3 2 15 5" xfId="22031"/>
    <cellStyle name="Output 2 6 3 2 16" xfId="22032"/>
    <cellStyle name="Output 2 6 3 2 16 2" xfId="22033"/>
    <cellStyle name="Output 2 6 3 2 16 3" xfId="22034"/>
    <cellStyle name="Output 2 6 3 2 16 4" xfId="22035"/>
    <cellStyle name="Output 2 6 3 2 16 5" xfId="22036"/>
    <cellStyle name="Output 2 6 3 2 17" xfId="22037"/>
    <cellStyle name="Output 2 6 3 2 17 2" xfId="22038"/>
    <cellStyle name="Output 2 6 3 2 17 3" xfId="22039"/>
    <cellStyle name="Output 2 6 3 2 17 4" xfId="22040"/>
    <cellStyle name="Output 2 6 3 2 17 5" xfId="22041"/>
    <cellStyle name="Output 2 6 3 2 18" xfId="22042"/>
    <cellStyle name="Output 2 6 3 2 18 2" xfId="22043"/>
    <cellStyle name="Output 2 6 3 2 18 3" xfId="22044"/>
    <cellStyle name="Output 2 6 3 2 18 4" xfId="22045"/>
    <cellStyle name="Output 2 6 3 2 18 5" xfId="22046"/>
    <cellStyle name="Output 2 6 3 2 19" xfId="22047"/>
    <cellStyle name="Output 2 6 3 2 2" xfId="621"/>
    <cellStyle name="Output 2 6 3 2 2 10" xfId="22048"/>
    <cellStyle name="Output 2 6 3 2 2 10 2" xfId="22049"/>
    <cellStyle name="Output 2 6 3 2 2 10 3" xfId="22050"/>
    <cellStyle name="Output 2 6 3 2 2 10 4" xfId="22051"/>
    <cellStyle name="Output 2 6 3 2 2 10 5" xfId="22052"/>
    <cellStyle name="Output 2 6 3 2 2 10 6" xfId="47238"/>
    <cellStyle name="Output 2 6 3 2 2 10 7" xfId="55361"/>
    <cellStyle name="Output 2 6 3 2 2 11" xfId="22053"/>
    <cellStyle name="Output 2 6 3 2 2 11 2" xfId="22054"/>
    <cellStyle name="Output 2 6 3 2 2 11 3" xfId="22055"/>
    <cellStyle name="Output 2 6 3 2 2 11 4" xfId="22056"/>
    <cellStyle name="Output 2 6 3 2 2 11 5" xfId="22057"/>
    <cellStyle name="Output 2 6 3 2 2 12" xfId="22058"/>
    <cellStyle name="Output 2 6 3 2 2 12 2" xfId="22059"/>
    <cellStyle name="Output 2 6 3 2 2 12 3" xfId="22060"/>
    <cellStyle name="Output 2 6 3 2 2 12 4" xfId="22061"/>
    <cellStyle name="Output 2 6 3 2 2 12 5" xfId="22062"/>
    <cellStyle name="Output 2 6 3 2 2 13" xfId="22063"/>
    <cellStyle name="Output 2 6 3 2 2 13 2" xfId="22064"/>
    <cellStyle name="Output 2 6 3 2 2 13 3" xfId="22065"/>
    <cellStyle name="Output 2 6 3 2 2 13 4" xfId="22066"/>
    <cellStyle name="Output 2 6 3 2 2 13 5" xfId="22067"/>
    <cellStyle name="Output 2 6 3 2 2 14" xfId="22068"/>
    <cellStyle name="Output 2 6 3 2 2 14 2" xfId="22069"/>
    <cellStyle name="Output 2 6 3 2 2 14 3" xfId="22070"/>
    <cellStyle name="Output 2 6 3 2 2 14 4" xfId="22071"/>
    <cellStyle name="Output 2 6 3 2 2 14 5" xfId="22072"/>
    <cellStyle name="Output 2 6 3 2 2 15" xfId="22073"/>
    <cellStyle name="Output 2 6 3 2 2 15 2" xfId="22074"/>
    <cellStyle name="Output 2 6 3 2 2 15 3" xfId="22075"/>
    <cellStyle name="Output 2 6 3 2 2 15 4" xfId="22076"/>
    <cellStyle name="Output 2 6 3 2 2 15 5" xfId="22077"/>
    <cellStyle name="Output 2 6 3 2 2 16" xfId="22078"/>
    <cellStyle name="Output 2 6 3 2 2 16 2" xfId="22079"/>
    <cellStyle name="Output 2 6 3 2 2 16 3" xfId="22080"/>
    <cellStyle name="Output 2 6 3 2 2 16 4" xfId="22081"/>
    <cellStyle name="Output 2 6 3 2 2 16 5" xfId="22082"/>
    <cellStyle name="Output 2 6 3 2 2 17" xfId="22083"/>
    <cellStyle name="Output 2 6 3 2 2 17 2" xfId="22084"/>
    <cellStyle name="Output 2 6 3 2 2 17 3" xfId="22085"/>
    <cellStyle name="Output 2 6 3 2 2 17 4" xfId="22086"/>
    <cellStyle name="Output 2 6 3 2 2 17 5" xfId="22087"/>
    <cellStyle name="Output 2 6 3 2 2 18" xfId="22088"/>
    <cellStyle name="Output 2 6 3 2 2 18 2" xfId="22089"/>
    <cellStyle name="Output 2 6 3 2 2 18 3" xfId="22090"/>
    <cellStyle name="Output 2 6 3 2 2 18 4" xfId="22091"/>
    <cellStyle name="Output 2 6 3 2 2 18 5" xfId="22092"/>
    <cellStyle name="Output 2 6 3 2 2 19" xfId="22093"/>
    <cellStyle name="Output 2 6 3 2 2 2" xfId="2562"/>
    <cellStyle name="Output 2 6 3 2 2 2 2" xfId="22094"/>
    <cellStyle name="Output 2 6 3 2 2 2 3" xfId="22095"/>
    <cellStyle name="Output 2 6 3 2 2 2 4" xfId="22096"/>
    <cellStyle name="Output 2 6 3 2 2 2 5" xfId="22097"/>
    <cellStyle name="Output 2 6 3 2 2 2 6" xfId="36425"/>
    <cellStyle name="Output 2 6 3 2 2 2 7" xfId="47239"/>
    <cellStyle name="Output 2 6 3 2 2 2 8" xfId="55362"/>
    <cellStyle name="Output 2 6 3 2 2 20" xfId="1050"/>
    <cellStyle name="Output 2 6 3 2 2 21" xfId="35130"/>
    <cellStyle name="Output 2 6 3 2 2 22" xfId="41349"/>
    <cellStyle name="Output 2 6 3 2 2 3" xfId="2563"/>
    <cellStyle name="Output 2 6 3 2 2 3 2" xfId="22098"/>
    <cellStyle name="Output 2 6 3 2 2 3 3" xfId="22099"/>
    <cellStyle name="Output 2 6 3 2 2 3 4" xfId="22100"/>
    <cellStyle name="Output 2 6 3 2 2 3 5" xfId="22101"/>
    <cellStyle name="Output 2 6 3 2 2 3 6" xfId="36922"/>
    <cellStyle name="Output 2 6 3 2 2 3 7" xfId="47240"/>
    <cellStyle name="Output 2 6 3 2 2 3 8" xfId="55363"/>
    <cellStyle name="Output 2 6 3 2 2 4" xfId="1367"/>
    <cellStyle name="Output 2 6 3 2 2 4 2" xfId="22102"/>
    <cellStyle name="Output 2 6 3 2 2 4 3" xfId="22103"/>
    <cellStyle name="Output 2 6 3 2 2 4 4" xfId="22104"/>
    <cellStyle name="Output 2 6 3 2 2 4 5" xfId="22105"/>
    <cellStyle name="Output 2 6 3 2 2 4 6" xfId="37538"/>
    <cellStyle name="Output 2 6 3 2 2 4 7" xfId="47241"/>
    <cellStyle name="Output 2 6 3 2 2 4 8" xfId="55364"/>
    <cellStyle name="Output 2 6 3 2 2 5" xfId="3435"/>
    <cellStyle name="Output 2 6 3 2 2 5 2" xfId="22106"/>
    <cellStyle name="Output 2 6 3 2 2 5 3" xfId="22107"/>
    <cellStyle name="Output 2 6 3 2 2 5 4" xfId="22108"/>
    <cellStyle name="Output 2 6 3 2 2 5 5" xfId="22109"/>
    <cellStyle name="Output 2 6 3 2 2 5 6" xfId="38154"/>
    <cellStyle name="Output 2 6 3 2 2 5 7" xfId="47242"/>
    <cellStyle name="Output 2 6 3 2 2 5 8" xfId="55365"/>
    <cellStyle name="Output 2 6 3 2 2 6" xfId="3757"/>
    <cellStyle name="Output 2 6 3 2 2 6 2" xfId="22110"/>
    <cellStyle name="Output 2 6 3 2 2 6 3" xfId="22111"/>
    <cellStyle name="Output 2 6 3 2 2 6 4" xfId="22112"/>
    <cellStyle name="Output 2 6 3 2 2 6 5" xfId="22113"/>
    <cellStyle name="Output 2 6 3 2 2 6 6" xfId="38772"/>
    <cellStyle name="Output 2 6 3 2 2 6 7" xfId="47243"/>
    <cellStyle name="Output 2 6 3 2 2 6 8" xfId="55366"/>
    <cellStyle name="Output 2 6 3 2 2 7" xfId="22114"/>
    <cellStyle name="Output 2 6 3 2 2 7 2" xfId="22115"/>
    <cellStyle name="Output 2 6 3 2 2 7 3" xfId="22116"/>
    <cellStyle name="Output 2 6 3 2 2 7 4" xfId="22117"/>
    <cellStyle name="Output 2 6 3 2 2 7 5" xfId="22118"/>
    <cellStyle name="Output 2 6 3 2 2 7 6" xfId="39392"/>
    <cellStyle name="Output 2 6 3 2 2 7 7" xfId="47244"/>
    <cellStyle name="Output 2 6 3 2 2 7 8" xfId="55367"/>
    <cellStyle name="Output 2 6 3 2 2 8" xfId="22119"/>
    <cellStyle name="Output 2 6 3 2 2 8 2" xfId="22120"/>
    <cellStyle name="Output 2 6 3 2 2 8 3" xfId="22121"/>
    <cellStyle name="Output 2 6 3 2 2 8 4" xfId="22122"/>
    <cellStyle name="Output 2 6 3 2 2 8 5" xfId="22123"/>
    <cellStyle name="Output 2 6 3 2 2 8 6" xfId="40008"/>
    <cellStyle name="Output 2 6 3 2 2 8 7" xfId="47245"/>
    <cellStyle name="Output 2 6 3 2 2 8 8" xfId="55368"/>
    <cellStyle name="Output 2 6 3 2 2 9" xfId="22124"/>
    <cellStyle name="Output 2 6 3 2 2 9 2" xfId="22125"/>
    <cellStyle name="Output 2 6 3 2 2 9 3" xfId="22126"/>
    <cellStyle name="Output 2 6 3 2 2 9 4" xfId="22127"/>
    <cellStyle name="Output 2 6 3 2 2 9 5" xfId="22128"/>
    <cellStyle name="Output 2 6 3 2 2 9 6" xfId="40623"/>
    <cellStyle name="Output 2 6 3 2 2 9 7" xfId="47246"/>
    <cellStyle name="Output 2 6 3 2 2 9 8" xfId="55369"/>
    <cellStyle name="Output 2 6 3 2 20" xfId="838"/>
    <cellStyle name="Output 2 6 3 2 21" xfId="678"/>
    <cellStyle name="Output 2 6 3 2 22" xfId="40922"/>
    <cellStyle name="Output 2 6 3 2 23" xfId="41483"/>
    <cellStyle name="Output 2 6 3 2 24" xfId="50570"/>
    <cellStyle name="Output 2 6 3 2 3" xfId="2564"/>
    <cellStyle name="Output 2 6 3 2 3 10" xfId="34611"/>
    <cellStyle name="Output 2 6 3 2 3 10 2" xfId="47248"/>
    <cellStyle name="Output 2 6 3 2 3 10 3" xfId="55371"/>
    <cellStyle name="Output 2 6 3 2 3 11" xfId="41137"/>
    <cellStyle name="Output 2 6 3 2 3 12" xfId="47247"/>
    <cellStyle name="Output 2 6 3 2 3 13" xfId="55370"/>
    <cellStyle name="Output 2 6 3 2 3 2" xfId="2565"/>
    <cellStyle name="Output 2 6 3 2 3 2 2" xfId="36214"/>
    <cellStyle name="Output 2 6 3 2 3 2 3" xfId="47249"/>
    <cellStyle name="Output 2 6 3 2 3 2 4" xfId="55372"/>
    <cellStyle name="Output 2 6 3 2 3 3" xfId="2566"/>
    <cellStyle name="Output 2 6 3 2 3 3 2" xfId="36711"/>
    <cellStyle name="Output 2 6 3 2 3 3 3" xfId="47250"/>
    <cellStyle name="Output 2 6 3 2 3 3 4" xfId="55373"/>
    <cellStyle name="Output 2 6 3 2 3 4" xfId="22129"/>
    <cellStyle name="Output 2 6 3 2 3 4 2" xfId="37327"/>
    <cellStyle name="Output 2 6 3 2 3 4 3" xfId="47251"/>
    <cellStyle name="Output 2 6 3 2 3 4 4" xfId="55374"/>
    <cellStyle name="Output 2 6 3 2 3 5" xfId="22130"/>
    <cellStyle name="Output 2 6 3 2 3 5 2" xfId="37943"/>
    <cellStyle name="Output 2 6 3 2 3 5 3" xfId="47252"/>
    <cellStyle name="Output 2 6 3 2 3 5 4" xfId="55375"/>
    <cellStyle name="Output 2 6 3 2 3 6" xfId="38560"/>
    <cellStyle name="Output 2 6 3 2 3 6 2" xfId="47253"/>
    <cellStyle name="Output 2 6 3 2 3 6 3" xfId="55376"/>
    <cellStyle name="Output 2 6 3 2 3 7" xfId="39180"/>
    <cellStyle name="Output 2 6 3 2 3 7 2" xfId="47254"/>
    <cellStyle name="Output 2 6 3 2 3 7 3" xfId="55377"/>
    <cellStyle name="Output 2 6 3 2 3 8" xfId="39796"/>
    <cellStyle name="Output 2 6 3 2 3 8 2" xfId="47255"/>
    <cellStyle name="Output 2 6 3 2 3 8 3" xfId="55378"/>
    <cellStyle name="Output 2 6 3 2 3 9" xfId="40411"/>
    <cellStyle name="Output 2 6 3 2 3 9 2" xfId="47256"/>
    <cellStyle name="Output 2 6 3 2 3 9 3" xfId="55379"/>
    <cellStyle name="Output 2 6 3 2 4" xfId="2567"/>
    <cellStyle name="Output 2 6 3 2 4 10" xfId="47257"/>
    <cellStyle name="Output 2 6 3 2 4 11" xfId="55380"/>
    <cellStyle name="Output 2 6 3 2 4 2" xfId="22131"/>
    <cellStyle name="Output 2 6 3 2 4 2 2" xfId="47258"/>
    <cellStyle name="Output 2 6 3 2 4 2 3" xfId="55381"/>
    <cellStyle name="Output 2 6 3 2 4 3" xfId="22132"/>
    <cellStyle name="Output 2 6 3 2 4 3 2" xfId="47259"/>
    <cellStyle name="Output 2 6 3 2 4 3 3" xfId="55382"/>
    <cellStyle name="Output 2 6 3 2 4 4" xfId="22133"/>
    <cellStyle name="Output 2 6 3 2 4 4 2" xfId="47260"/>
    <cellStyle name="Output 2 6 3 2 4 4 3" xfId="55383"/>
    <cellStyle name="Output 2 6 3 2 4 5" xfId="22134"/>
    <cellStyle name="Output 2 6 3 2 4 5 2" xfId="47261"/>
    <cellStyle name="Output 2 6 3 2 4 5 3" xfId="55384"/>
    <cellStyle name="Output 2 6 3 2 4 6" xfId="35704"/>
    <cellStyle name="Output 2 6 3 2 4 6 2" xfId="47262"/>
    <cellStyle name="Output 2 6 3 2 4 6 3" xfId="55385"/>
    <cellStyle name="Output 2 6 3 2 4 7" xfId="47263"/>
    <cellStyle name="Output 2 6 3 2 4 7 2" xfId="55386"/>
    <cellStyle name="Output 2 6 3 2 4 8" xfId="47264"/>
    <cellStyle name="Output 2 6 3 2 4 8 2" xfId="55387"/>
    <cellStyle name="Output 2 6 3 2 4 9" xfId="47265"/>
    <cellStyle name="Output 2 6 3 2 4 9 2" xfId="55388"/>
    <cellStyle name="Output 2 6 3 2 5" xfId="1366"/>
    <cellStyle name="Output 2 6 3 2 5 2" xfId="22135"/>
    <cellStyle name="Output 2 6 3 2 5 3" xfId="22136"/>
    <cellStyle name="Output 2 6 3 2 5 4" xfId="22137"/>
    <cellStyle name="Output 2 6 3 2 5 5" xfId="22138"/>
    <cellStyle name="Output 2 6 3 2 5 6" xfId="36496"/>
    <cellStyle name="Output 2 6 3 2 5 7" xfId="47266"/>
    <cellStyle name="Output 2 6 3 2 5 8" xfId="55389"/>
    <cellStyle name="Output 2 6 3 2 6" xfId="3434"/>
    <cellStyle name="Output 2 6 3 2 6 2" xfId="22139"/>
    <cellStyle name="Output 2 6 3 2 6 3" xfId="22140"/>
    <cellStyle name="Output 2 6 3 2 6 4" xfId="22141"/>
    <cellStyle name="Output 2 6 3 2 6 5" xfId="22142"/>
    <cellStyle name="Output 2 6 3 2 6 6" xfId="37112"/>
    <cellStyle name="Output 2 6 3 2 6 7" xfId="47267"/>
    <cellStyle name="Output 2 6 3 2 6 8" xfId="55390"/>
    <cellStyle name="Output 2 6 3 2 7" xfId="3756"/>
    <cellStyle name="Output 2 6 3 2 7 2" xfId="22143"/>
    <cellStyle name="Output 2 6 3 2 7 3" xfId="22144"/>
    <cellStyle name="Output 2 6 3 2 7 4" xfId="22145"/>
    <cellStyle name="Output 2 6 3 2 7 5" xfId="22146"/>
    <cellStyle name="Output 2 6 3 2 7 6" xfId="37726"/>
    <cellStyle name="Output 2 6 3 2 7 7" xfId="47268"/>
    <cellStyle name="Output 2 6 3 2 7 8" xfId="55391"/>
    <cellStyle name="Output 2 6 3 2 8" xfId="22147"/>
    <cellStyle name="Output 2 6 3 2 8 2" xfId="22148"/>
    <cellStyle name="Output 2 6 3 2 8 3" xfId="22149"/>
    <cellStyle name="Output 2 6 3 2 8 4" xfId="22150"/>
    <cellStyle name="Output 2 6 3 2 8 5" xfId="22151"/>
    <cellStyle name="Output 2 6 3 2 8 6" xfId="38341"/>
    <cellStyle name="Output 2 6 3 2 8 7" xfId="47269"/>
    <cellStyle name="Output 2 6 3 2 8 8" xfId="55392"/>
    <cellStyle name="Output 2 6 3 2 9" xfId="22152"/>
    <cellStyle name="Output 2 6 3 2 9 2" xfId="22153"/>
    <cellStyle name="Output 2 6 3 2 9 3" xfId="22154"/>
    <cellStyle name="Output 2 6 3 2 9 4" xfId="22155"/>
    <cellStyle name="Output 2 6 3 2 9 5" xfId="22156"/>
    <cellStyle name="Output 2 6 3 2 9 6" xfId="38961"/>
    <cellStyle name="Output 2 6 3 2 9 7" xfId="47270"/>
    <cellStyle name="Output 2 6 3 2 9 8" xfId="55393"/>
    <cellStyle name="Output 2 6 3 20" xfId="34732"/>
    <cellStyle name="Output 2 6 3 21" xfId="40825"/>
    <cellStyle name="Output 2 6 3 3" xfId="403"/>
    <cellStyle name="Output 2 6 3 3 10" xfId="22157"/>
    <cellStyle name="Output 2 6 3 3 10 2" xfId="22158"/>
    <cellStyle name="Output 2 6 3 3 10 3" xfId="22159"/>
    <cellStyle name="Output 2 6 3 3 10 4" xfId="22160"/>
    <cellStyle name="Output 2 6 3 3 10 5" xfId="22161"/>
    <cellStyle name="Output 2 6 3 3 10 6" xfId="40197"/>
    <cellStyle name="Output 2 6 3 3 10 7" xfId="47271"/>
    <cellStyle name="Output 2 6 3 3 10 8" xfId="55394"/>
    <cellStyle name="Output 2 6 3 3 11" xfId="22162"/>
    <cellStyle name="Output 2 6 3 3 11 2" xfId="22163"/>
    <cellStyle name="Output 2 6 3 3 11 3" xfId="22164"/>
    <cellStyle name="Output 2 6 3 3 11 4" xfId="22165"/>
    <cellStyle name="Output 2 6 3 3 11 5" xfId="22166"/>
    <cellStyle name="Output 2 6 3 3 11 6" xfId="47272"/>
    <cellStyle name="Output 2 6 3 3 11 7" xfId="55395"/>
    <cellStyle name="Output 2 6 3 3 12" xfId="22167"/>
    <cellStyle name="Output 2 6 3 3 12 2" xfId="22168"/>
    <cellStyle name="Output 2 6 3 3 12 3" xfId="22169"/>
    <cellStyle name="Output 2 6 3 3 12 4" xfId="22170"/>
    <cellStyle name="Output 2 6 3 3 12 5" xfId="22171"/>
    <cellStyle name="Output 2 6 3 3 12 6" xfId="47273"/>
    <cellStyle name="Output 2 6 3 3 12 7" xfId="55396"/>
    <cellStyle name="Output 2 6 3 3 13" xfId="22172"/>
    <cellStyle name="Output 2 6 3 3 13 2" xfId="22173"/>
    <cellStyle name="Output 2 6 3 3 13 3" xfId="22174"/>
    <cellStyle name="Output 2 6 3 3 13 4" xfId="22175"/>
    <cellStyle name="Output 2 6 3 3 13 5" xfId="22176"/>
    <cellStyle name="Output 2 6 3 3 13 6" xfId="47274"/>
    <cellStyle name="Output 2 6 3 3 13 7" xfId="55397"/>
    <cellStyle name="Output 2 6 3 3 14" xfId="22177"/>
    <cellStyle name="Output 2 6 3 3 14 2" xfId="22178"/>
    <cellStyle name="Output 2 6 3 3 14 3" xfId="22179"/>
    <cellStyle name="Output 2 6 3 3 14 4" xfId="22180"/>
    <cellStyle name="Output 2 6 3 3 14 5" xfId="22181"/>
    <cellStyle name="Output 2 6 3 3 15" xfId="22182"/>
    <cellStyle name="Output 2 6 3 3 15 2" xfId="22183"/>
    <cellStyle name="Output 2 6 3 3 15 3" xfId="22184"/>
    <cellStyle name="Output 2 6 3 3 15 4" xfId="22185"/>
    <cellStyle name="Output 2 6 3 3 15 5" xfId="22186"/>
    <cellStyle name="Output 2 6 3 3 16" xfId="22187"/>
    <cellStyle name="Output 2 6 3 3 16 2" xfId="22188"/>
    <cellStyle name="Output 2 6 3 3 16 3" xfId="22189"/>
    <cellStyle name="Output 2 6 3 3 16 4" xfId="22190"/>
    <cellStyle name="Output 2 6 3 3 16 5" xfId="22191"/>
    <cellStyle name="Output 2 6 3 3 17" xfId="22192"/>
    <cellStyle name="Output 2 6 3 3 17 2" xfId="22193"/>
    <cellStyle name="Output 2 6 3 3 17 3" xfId="22194"/>
    <cellStyle name="Output 2 6 3 3 17 4" xfId="22195"/>
    <cellStyle name="Output 2 6 3 3 17 5" xfId="22196"/>
    <cellStyle name="Output 2 6 3 3 18" xfId="22197"/>
    <cellStyle name="Output 2 6 3 3 18 2" xfId="22198"/>
    <cellStyle name="Output 2 6 3 3 18 3" xfId="22199"/>
    <cellStyle name="Output 2 6 3 3 18 4" xfId="22200"/>
    <cellStyle name="Output 2 6 3 3 18 5" xfId="22201"/>
    <cellStyle name="Output 2 6 3 3 19" xfId="22202"/>
    <cellStyle name="Output 2 6 3 3 2" xfId="622"/>
    <cellStyle name="Output 2 6 3 3 2 10" xfId="22203"/>
    <cellStyle name="Output 2 6 3 3 2 10 2" xfId="22204"/>
    <cellStyle name="Output 2 6 3 3 2 10 3" xfId="22205"/>
    <cellStyle name="Output 2 6 3 3 2 10 4" xfId="22206"/>
    <cellStyle name="Output 2 6 3 3 2 10 5" xfId="22207"/>
    <cellStyle name="Output 2 6 3 3 2 10 6" xfId="47275"/>
    <cellStyle name="Output 2 6 3 3 2 10 7" xfId="55398"/>
    <cellStyle name="Output 2 6 3 3 2 11" xfId="22208"/>
    <cellStyle name="Output 2 6 3 3 2 11 2" xfId="22209"/>
    <cellStyle name="Output 2 6 3 3 2 11 3" xfId="22210"/>
    <cellStyle name="Output 2 6 3 3 2 11 4" xfId="22211"/>
    <cellStyle name="Output 2 6 3 3 2 11 5" xfId="22212"/>
    <cellStyle name="Output 2 6 3 3 2 12" xfId="22213"/>
    <cellStyle name="Output 2 6 3 3 2 12 2" xfId="22214"/>
    <cellStyle name="Output 2 6 3 3 2 12 3" xfId="22215"/>
    <cellStyle name="Output 2 6 3 3 2 12 4" xfId="22216"/>
    <cellStyle name="Output 2 6 3 3 2 12 5" xfId="22217"/>
    <cellStyle name="Output 2 6 3 3 2 13" xfId="22218"/>
    <cellStyle name="Output 2 6 3 3 2 13 2" xfId="22219"/>
    <cellStyle name="Output 2 6 3 3 2 13 3" xfId="22220"/>
    <cellStyle name="Output 2 6 3 3 2 13 4" xfId="22221"/>
    <cellStyle name="Output 2 6 3 3 2 13 5" xfId="22222"/>
    <cellStyle name="Output 2 6 3 3 2 14" xfId="22223"/>
    <cellStyle name="Output 2 6 3 3 2 14 2" xfId="22224"/>
    <cellStyle name="Output 2 6 3 3 2 14 3" xfId="22225"/>
    <cellStyle name="Output 2 6 3 3 2 14 4" xfId="22226"/>
    <cellStyle name="Output 2 6 3 3 2 14 5" xfId="22227"/>
    <cellStyle name="Output 2 6 3 3 2 15" xfId="22228"/>
    <cellStyle name="Output 2 6 3 3 2 15 2" xfId="22229"/>
    <cellStyle name="Output 2 6 3 3 2 15 3" xfId="22230"/>
    <cellStyle name="Output 2 6 3 3 2 15 4" xfId="22231"/>
    <cellStyle name="Output 2 6 3 3 2 15 5" xfId="22232"/>
    <cellStyle name="Output 2 6 3 3 2 16" xfId="22233"/>
    <cellStyle name="Output 2 6 3 3 2 16 2" xfId="22234"/>
    <cellStyle name="Output 2 6 3 3 2 16 3" xfId="22235"/>
    <cellStyle name="Output 2 6 3 3 2 16 4" xfId="22236"/>
    <cellStyle name="Output 2 6 3 3 2 16 5" xfId="22237"/>
    <cellStyle name="Output 2 6 3 3 2 17" xfId="22238"/>
    <cellStyle name="Output 2 6 3 3 2 17 2" xfId="22239"/>
    <cellStyle name="Output 2 6 3 3 2 17 3" xfId="22240"/>
    <cellStyle name="Output 2 6 3 3 2 17 4" xfId="22241"/>
    <cellStyle name="Output 2 6 3 3 2 17 5" xfId="22242"/>
    <cellStyle name="Output 2 6 3 3 2 18" xfId="22243"/>
    <cellStyle name="Output 2 6 3 3 2 18 2" xfId="22244"/>
    <cellStyle name="Output 2 6 3 3 2 18 3" xfId="22245"/>
    <cellStyle name="Output 2 6 3 3 2 18 4" xfId="22246"/>
    <cellStyle name="Output 2 6 3 3 2 18 5" xfId="22247"/>
    <cellStyle name="Output 2 6 3 3 2 19" xfId="22248"/>
    <cellStyle name="Output 2 6 3 3 2 2" xfId="2568"/>
    <cellStyle name="Output 2 6 3 3 2 2 2" xfId="22249"/>
    <cellStyle name="Output 2 6 3 3 2 2 3" xfId="22250"/>
    <cellStyle name="Output 2 6 3 3 2 2 4" xfId="22251"/>
    <cellStyle name="Output 2 6 3 3 2 2 5" xfId="22252"/>
    <cellStyle name="Output 2 6 3 3 2 2 6" xfId="36426"/>
    <cellStyle name="Output 2 6 3 3 2 2 7" xfId="47276"/>
    <cellStyle name="Output 2 6 3 3 2 2 8" xfId="55399"/>
    <cellStyle name="Output 2 6 3 3 2 20" xfId="1051"/>
    <cellStyle name="Output 2 6 3 3 2 21" xfId="35131"/>
    <cellStyle name="Output 2 6 3 3 2 22" xfId="41350"/>
    <cellStyle name="Output 2 6 3 3 2 3" xfId="2569"/>
    <cellStyle name="Output 2 6 3 3 2 3 2" xfId="22253"/>
    <cellStyle name="Output 2 6 3 3 2 3 3" xfId="22254"/>
    <cellStyle name="Output 2 6 3 3 2 3 4" xfId="22255"/>
    <cellStyle name="Output 2 6 3 3 2 3 5" xfId="22256"/>
    <cellStyle name="Output 2 6 3 3 2 3 6" xfId="36923"/>
    <cellStyle name="Output 2 6 3 3 2 3 7" xfId="47277"/>
    <cellStyle name="Output 2 6 3 3 2 3 8" xfId="55400"/>
    <cellStyle name="Output 2 6 3 3 2 4" xfId="1369"/>
    <cellStyle name="Output 2 6 3 3 2 4 2" xfId="22257"/>
    <cellStyle name="Output 2 6 3 3 2 4 3" xfId="22258"/>
    <cellStyle name="Output 2 6 3 3 2 4 4" xfId="22259"/>
    <cellStyle name="Output 2 6 3 3 2 4 5" xfId="22260"/>
    <cellStyle name="Output 2 6 3 3 2 4 6" xfId="37539"/>
    <cellStyle name="Output 2 6 3 3 2 4 7" xfId="47278"/>
    <cellStyle name="Output 2 6 3 3 2 4 8" xfId="55401"/>
    <cellStyle name="Output 2 6 3 3 2 5" xfId="3437"/>
    <cellStyle name="Output 2 6 3 3 2 5 2" xfId="22261"/>
    <cellStyle name="Output 2 6 3 3 2 5 3" xfId="22262"/>
    <cellStyle name="Output 2 6 3 3 2 5 4" xfId="22263"/>
    <cellStyle name="Output 2 6 3 3 2 5 5" xfId="22264"/>
    <cellStyle name="Output 2 6 3 3 2 5 6" xfId="38155"/>
    <cellStyle name="Output 2 6 3 3 2 5 7" xfId="47279"/>
    <cellStyle name="Output 2 6 3 3 2 5 8" xfId="55402"/>
    <cellStyle name="Output 2 6 3 3 2 6" xfId="3759"/>
    <cellStyle name="Output 2 6 3 3 2 6 2" xfId="22265"/>
    <cellStyle name="Output 2 6 3 3 2 6 3" xfId="22266"/>
    <cellStyle name="Output 2 6 3 3 2 6 4" xfId="22267"/>
    <cellStyle name="Output 2 6 3 3 2 6 5" xfId="22268"/>
    <cellStyle name="Output 2 6 3 3 2 6 6" xfId="38773"/>
    <cellStyle name="Output 2 6 3 3 2 6 7" xfId="47280"/>
    <cellStyle name="Output 2 6 3 3 2 6 8" xfId="55403"/>
    <cellStyle name="Output 2 6 3 3 2 7" xfId="22269"/>
    <cellStyle name="Output 2 6 3 3 2 7 2" xfId="22270"/>
    <cellStyle name="Output 2 6 3 3 2 7 3" xfId="22271"/>
    <cellStyle name="Output 2 6 3 3 2 7 4" xfId="22272"/>
    <cellStyle name="Output 2 6 3 3 2 7 5" xfId="22273"/>
    <cellStyle name="Output 2 6 3 3 2 7 6" xfId="39393"/>
    <cellStyle name="Output 2 6 3 3 2 7 7" xfId="47281"/>
    <cellStyle name="Output 2 6 3 3 2 7 8" xfId="55404"/>
    <cellStyle name="Output 2 6 3 3 2 8" xfId="22274"/>
    <cellStyle name="Output 2 6 3 3 2 8 2" xfId="22275"/>
    <cellStyle name="Output 2 6 3 3 2 8 3" xfId="22276"/>
    <cellStyle name="Output 2 6 3 3 2 8 4" xfId="22277"/>
    <cellStyle name="Output 2 6 3 3 2 8 5" xfId="22278"/>
    <cellStyle name="Output 2 6 3 3 2 8 6" xfId="40009"/>
    <cellStyle name="Output 2 6 3 3 2 8 7" xfId="47282"/>
    <cellStyle name="Output 2 6 3 3 2 8 8" xfId="55405"/>
    <cellStyle name="Output 2 6 3 3 2 9" xfId="22279"/>
    <cellStyle name="Output 2 6 3 3 2 9 2" xfId="22280"/>
    <cellStyle name="Output 2 6 3 3 2 9 3" xfId="22281"/>
    <cellStyle name="Output 2 6 3 3 2 9 4" xfId="22282"/>
    <cellStyle name="Output 2 6 3 3 2 9 5" xfId="22283"/>
    <cellStyle name="Output 2 6 3 3 2 9 6" xfId="40624"/>
    <cellStyle name="Output 2 6 3 3 2 9 7" xfId="47283"/>
    <cellStyle name="Output 2 6 3 3 2 9 8" xfId="55406"/>
    <cellStyle name="Output 2 6 3 3 20" xfId="839"/>
    <cellStyle name="Output 2 6 3 3 21" xfId="34697"/>
    <cellStyle name="Output 2 6 3 3 22" xfId="40923"/>
    <cellStyle name="Output 2 6 3 3 23" xfId="41484"/>
    <cellStyle name="Output 2 6 3 3 24" xfId="50571"/>
    <cellStyle name="Output 2 6 3 3 3" xfId="2570"/>
    <cellStyle name="Output 2 6 3 3 3 10" xfId="34610"/>
    <cellStyle name="Output 2 6 3 3 3 10 2" xfId="47285"/>
    <cellStyle name="Output 2 6 3 3 3 10 3" xfId="55408"/>
    <cellStyle name="Output 2 6 3 3 3 11" xfId="41138"/>
    <cellStyle name="Output 2 6 3 3 3 12" xfId="47284"/>
    <cellStyle name="Output 2 6 3 3 3 13" xfId="55407"/>
    <cellStyle name="Output 2 6 3 3 3 2" xfId="2571"/>
    <cellStyle name="Output 2 6 3 3 3 2 2" xfId="36215"/>
    <cellStyle name="Output 2 6 3 3 3 2 3" xfId="47286"/>
    <cellStyle name="Output 2 6 3 3 3 2 4" xfId="55409"/>
    <cellStyle name="Output 2 6 3 3 3 3" xfId="2572"/>
    <cellStyle name="Output 2 6 3 3 3 3 2" xfId="36712"/>
    <cellStyle name="Output 2 6 3 3 3 3 3" xfId="47287"/>
    <cellStyle name="Output 2 6 3 3 3 3 4" xfId="55410"/>
    <cellStyle name="Output 2 6 3 3 3 4" xfId="22284"/>
    <cellStyle name="Output 2 6 3 3 3 4 2" xfId="37328"/>
    <cellStyle name="Output 2 6 3 3 3 4 3" xfId="47288"/>
    <cellStyle name="Output 2 6 3 3 3 4 4" xfId="55411"/>
    <cellStyle name="Output 2 6 3 3 3 5" xfId="22285"/>
    <cellStyle name="Output 2 6 3 3 3 5 2" xfId="37944"/>
    <cellStyle name="Output 2 6 3 3 3 5 3" xfId="47289"/>
    <cellStyle name="Output 2 6 3 3 3 5 4" xfId="55412"/>
    <cellStyle name="Output 2 6 3 3 3 6" xfId="38561"/>
    <cellStyle name="Output 2 6 3 3 3 6 2" xfId="47290"/>
    <cellStyle name="Output 2 6 3 3 3 6 3" xfId="55413"/>
    <cellStyle name="Output 2 6 3 3 3 7" xfId="39181"/>
    <cellStyle name="Output 2 6 3 3 3 7 2" xfId="47291"/>
    <cellStyle name="Output 2 6 3 3 3 7 3" xfId="55414"/>
    <cellStyle name="Output 2 6 3 3 3 8" xfId="39797"/>
    <cellStyle name="Output 2 6 3 3 3 8 2" xfId="47292"/>
    <cellStyle name="Output 2 6 3 3 3 8 3" xfId="55415"/>
    <cellStyle name="Output 2 6 3 3 3 9" xfId="40412"/>
    <cellStyle name="Output 2 6 3 3 3 9 2" xfId="47293"/>
    <cellStyle name="Output 2 6 3 3 3 9 3" xfId="55416"/>
    <cellStyle name="Output 2 6 3 3 4" xfId="2573"/>
    <cellStyle name="Output 2 6 3 3 4 10" xfId="47294"/>
    <cellStyle name="Output 2 6 3 3 4 11" xfId="55417"/>
    <cellStyle name="Output 2 6 3 3 4 2" xfId="22286"/>
    <cellStyle name="Output 2 6 3 3 4 2 2" xfId="47295"/>
    <cellStyle name="Output 2 6 3 3 4 2 3" xfId="55418"/>
    <cellStyle name="Output 2 6 3 3 4 3" xfId="22287"/>
    <cellStyle name="Output 2 6 3 3 4 3 2" xfId="47296"/>
    <cellStyle name="Output 2 6 3 3 4 3 3" xfId="55419"/>
    <cellStyle name="Output 2 6 3 3 4 4" xfId="22288"/>
    <cellStyle name="Output 2 6 3 3 4 4 2" xfId="47297"/>
    <cellStyle name="Output 2 6 3 3 4 4 3" xfId="55420"/>
    <cellStyle name="Output 2 6 3 3 4 5" xfId="22289"/>
    <cellStyle name="Output 2 6 3 3 4 5 2" xfId="47298"/>
    <cellStyle name="Output 2 6 3 3 4 5 3" xfId="55421"/>
    <cellStyle name="Output 2 6 3 3 4 6" xfId="36497"/>
    <cellStyle name="Output 2 6 3 3 4 6 2" xfId="47299"/>
    <cellStyle name="Output 2 6 3 3 4 6 3" xfId="55422"/>
    <cellStyle name="Output 2 6 3 3 4 7" xfId="47300"/>
    <cellStyle name="Output 2 6 3 3 4 7 2" xfId="55423"/>
    <cellStyle name="Output 2 6 3 3 4 8" xfId="47301"/>
    <cellStyle name="Output 2 6 3 3 4 8 2" xfId="55424"/>
    <cellStyle name="Output 2 6 3 3 4 9" xfId="47302"/>
    <cellStyle name="Output 2 6 3 3 4 9 2" xfId="55425"/>
    <cellStyle name="Output 2 6 3 3 5" xfId="1368"/>
    <cellStyle name="Output 2 6 3 3 5 2" xfId="22290"/>
    <cellStyle name="Output 2 6 3 3 5 3" xfId="22291"/>
    <cellStyle name="Output 2 6 3 3 5 4" xfId="22292"/>
    <cellStyle name="Output 2 6 3 3 5 5" xfId="22293"/>
    <cellStyle name="Output 2 6 3 3 5 6" xfId="37113"/>
    <cellStyle name="Output 2 6 3 3 5 7" xfId="47303"/>
    <cellStyle name="Output 2 6 3 3 5 8" xfId="55426"/>
    <cellStyle name="Output 2 6 3 3 6" xfId="3436"/>
    <cellStyle name="Output 2 6 3 3 6 2" xfId="22294"/>
    <cellStyle name="Output 2 6 3 3 6 3" xfId="22295"/>
    <cellStyle name="Output 2 6 3 3 6 4" xfId="22296"/>
    <cellStyle name="Output 2 6 3 3 6 5" xfId="22297"/>
    <cellStyle name="Output 2 6 3 3 6 6" xfId="37727"/>
    <cellStyle name="Output 2 6 3 3 6 7" xfId="47304"/>
    <cellStyle name="Output 2 6 3 3 6 8" xfId="55427"/>
    <cellStyle name="Output 2 6 3 3 7" xfId="3758"/>
    <cellStyle name="Output 2 6 3 3 7 2" xfId="22298"/>
    <cellStyle name="Output 2 6 3 3 7 3" xfId="22299"/>
    <cellStyle name="Output 2 6 3 3 7 4" xfId="22300"/>
    <cellStyle name="Output 2 6 3 3 7 5" xfId="22301"/>
    <cellStyle name="Output 2 6 3 3 7 6" xfId="38342"/>
    <cellStyle name="Output 2 6 3 3 7 7" xfId="47305"/>
    <cellStyle name="Output 2 6 3 3 7 8" xfId="55428"/>
    <cellStyle name="Output 2 6 3 3 8" xfId="22302"/>
    <cellStyle name="Output 2 6 3 3 8 2" xfId="22303"/>
    <cellStyle name="Output 2 6 3 3 8 3" xfId="22304"/>
    <cellStyle name="Output 2 6 3 3 8 4" xfId="22305"/>
    <cellStyle name="Output 2 6 3 3 8 5" xfId="22306"/>
    <cellStyle name="Output 2 6 3 3 8 6" xfId="38962"/>
    <cellStyle name="Output 2 6 3 3 8 7" xfId="47306"/>
    <cellStyle name="Output 2 6 3 3 8 8" xfId="55429"/>
    <cellStyle name="Output 2 6 3 3 9" xfId="22307"/>
    <cellStyle name="Output 2 6 3 3 9 2" xfId="22308"/>
    <cellStyle name="Output 2 6 3 3 9 3" xfId="22309"/>
    <cellStyle name="Output 2 6 3 3 9 4" xfId="22310"/>
    <cellStyle name="Output 2 6 3 3 9 5" xfId="22311"/>
    <cellStyle name="Output 2 6 3 3 9 6" xfId="39581"/>
    <cellStyle name="Output 2 6 3 3 9 7" xfId="47307"/>
    <cellStyle name="Output 2 6 3 3 9 8" xfId="55430"/>
    <cellStyle name="Output 2 6 3 4" xfId="526"/>
    <cellStyle name="Output 2 6 3 4 10" xfId="22312"/>
    <cellStyle name="Output 2 6 3 4 10 2" xfId="22313"/>
    <cellStyle name="Output 2 6 3 4 10 3" xfId="22314"/>
    <cellStyle name="Output 2 6 3 4 10 4" xfId="22315"/>
    <cellStyle name="Output 2 6 3 4 10 5" xfId="22316"/>
    <cellStyle name="Output 2 6 3 4 10 6" xfId="47308"/>
    <cellStyle name="Output 2 6 3 4 10 7" xfId="55431"/>
    <cellStyle name="Output 2 6 3 4 11" xfId="22317"/>
    <cellStyle name="Output 2 6 3 4 11 2" xfId="22318"/>
    <cellStyle name="Output 2 6 3 4 11 3" xfId="22319"/>
    <cellStyle name="Output 2 6 3 4 11 4" xfId="22320"/>
    <cellStyle name="Output 2 6 3 4 11 5" xfId="22321"/>
    <cellStyle name="Output 2 6 3 4 12" xfId="22322"/>
    <cellStyle name="Output 2 6 3 4 12 2" xfId="22323"/>
    <cellStyle name="Output 2 6 3 4 12 3" xfId="22324"/>
    <cellStyle name="Output 2 6 3 4 12 4" xfId="22325"/>
    <cellStyle name="Output 2 6 3 4 12 5" xfId="22326"/>
    <cellStyle name="Output 2 6 3 4 13" xfId="22327"/>
    <cellStyle name="Output 2 6 3 4 13 2" xfId="22328"/>
    <cellStyle name="Output 2 6 3 4 13 3" xfId="22329"/>
    <cellStyle name="Output 2 6 3 4 13 4" xfId="22330"/>
    <cellStyle name="Output 2 6 3 4 13 5" xfId="22331"/>
    <cellStyle name="Output 2 6 3 4 14" xfId="22332"/>
    <cellStyle name="Output 2 6 3 4 14 2" xfId="22333"/>
    <cellStyle name="Output 2 6 3 4 14 3" xfId="22334"/>
    <cellStyle name="Output 2 6 3 4 14 4" xfId="22335"/>
    <cellStyle name="Output 2 6 3 4 14 5" xfId="22336"/>
    <cellStyle name="Output 2 6 3 4 15" xfId="22337"/>
    <cellStyle name="Output 2 6 3 4 15 2" xfId="22338"/>
    <cellStyle name="Output 2 6 3 4 15 3" xfId="22339"/>
    <cellStyle name="Output 2 6 3 4 15 4" xfId="22340"/>
    <cellStyle name="Output 2 6 3 4 15 5" xfId="22341"/>
    <cellStyle name="Output 2 6 3 4 16" xfId="22342"/>
    <cellStyle name="Output 2 6 3 4 16 2" xfId="22343"/>
    <cellStyle name="Output 2 6 3 4 16 3" xfId="22344"/>
    <cellStyle name="Output 2 6 3 4 16 4" xfId="22345"/>
    <cellStyle name="Output 2 6 3 4 16 5" xfId="22346"/>
    <cellStyle name="Output 2 6 3 4 17" xfId="22347"/>
    <cellStyle name="Output 2 6 3 4 17 2" xfId="22348"/>
    <cellStyle name="Output 2 6 3 4 17 3" xfId="22349"/>
    <cellStyle name="Output 2 6 3 4 17 4" xfId="22350"/>
    <cellStyle name="Output 2 6 3 4 17 5" xfId="22351"/>
    <cellStyle name="Output 2 6 3 4 18" xfId="22352"/>
    <cellStyle name="Output 2 6 3 4 18 2" xfId="22353"/>
    <cellStyle name="Output 2 6 3 4 18 3" xfId="22354"/>
    <cellStyle name="Output 2 6 3 4 18 4" xfId="22355"/>
    <cellStyle name="Output 2 6 3 4 18 5" xfId="22356"/>
    <cellStyle name="Output 2 6 3 4 19" xfId="22357"/>
    <cellStyle name="Output 2 6 3 4 2" xfId="2574"/>
    <cellStyle name="Output 2 6 3 4 2 2" xfId="22358"/>
    <cellStyle name="Output 2 6 3 4 2 3" xfId="22359"/>
    <cellStyle name="Output 2 6 3 4 2 4" xfId="22360"/>
    <cellStyle name="Output 2 6 3 4 2 5" xfId="22361"/>
    <cellStyle name="Output 2 6 3 4 2 6" xfId="36330"/>
    <cellStyle name="Output 2 6 3 4 2 7" xfId="47309"/>
    <cellStyle name="Output 2 6 3 4 2 8" xfId="55432"/>
    <cellStyle name="Output 2 6 3 4 20" xfId="955"/>
    <cellStyle name="Output 2 6 3 4 21" xfId="35035"/>
    <cellStyle name="Output 2 6 3 4 22" xfId="40744"/>
    <cellStyle name="Output 2 6 3 4 23" xfId="41254"/>
    <cellStyle name="Output 2 6 3 4 3" xfId="2575"/>
    <cellStyle name="Output 2 6 3 4 3 2" xfId="22362"/>
    <cellStyle name="Output 2 6 3 4 3 3" xfId="22363"/>
    <cellStyle name="Output 2 6 3 4 3 4" xfId="22364"/>
    <cellStyle name="Output 2 6 3 4 3 5" xfId="22365"/>
    <cellStyle name="Output 2 6 3 4 3 6" xfId="36827"/>
    <cellStyle name="Output 2 6 3 4 3 7" xfId="47310"/>
    <cellStyle name="Output 2 6 3 4 3 8" xfId="55433"/>
    <cellStyle name="Output 2 6 3 4 4" xfId="1370"/>
    <cellStyle name="Output 2 6 3 4 4 2" xfId="22366"/>
    <cellStyle name="Output 2 6 3 4 4 3" xfId="22367"/>
    <cellStyle name="Output 2 6 3 4 4 4" xfId="22368"/>
    <cellStyle name="Output 2 6 3 4 4 5" xfId="22369"/>
    <cellStyle name="Output 2 6 3 4 4 6" xfId="37443"/>
    <cellStyle name="Output 2 6 3 4 4 7" xfId="47311"/>
    <cellStyle name="Output 2 6 3 4 4 8" xfId="55434"/>
    <cellStyle name="Output 2 6 3 4 5" xfId="3438"/>
    <cellStyle name="Output 2 6 3 4 5 2" xfId="22370"/>
    <cellStyle name="Output 2 6 3 4 5 3" xfId="22371"/>
    <cellStyle name="Output 2 6 3 4 5 4" xfId="22372"/>
    <cellStyle name="Output 2 6 3 4 5 5" xfId="22373"/>
    <cellStyle name="Output 2 6 3 4 5 6" xfId="38059"/>
    <cellStyle name="Output 2 6 3 4 5 7" xfId="47312"/>
    <cellStyle name="Output 2 6 3 4 5 8" xfId="55435"/>
    <cellStyle name="Output 2 6 3 4 6" xfId="3760"/>
    <cellStyle name="Output 2 6 3 4 6 2" xfId="22374"/>
    <cellStyle name="Output 2 6 3 4 6 3" xfId="22375"/>
    <cellStyle name="Output 2 6 3 4 6 4" xfId="22376"/>
    <cellStyle name="Output 2 6 3 4 6 5" xfId="22377"/>
    <cellStyle name="Output 2 6 3 4 6 6" xfId="38677"/>
    <cellStyle name="Output 2 6 3 4 6 7" xfId="47313"/>
    <cellStyle name="Output 2 6 3 4 6 8" xfId="55436"/>
    <cellStyle name="Output 2 6 3 4 7" xfId="22378"/>
    <cellStyle name="Output 2 6 3 4 7 2" xfId="22379"/>
    <cellStyle name="Output 2 6 3 4 7 3" xfId="22380"/>
    <cellStyle name="Output 2 6 3 4 7 4" xfId="22381"/>
    <cellStyle name="Output 2 6 3 4 7 5" xfId="22382"/>
    <cellStyle name="Output 2 6 3 4 7 6" xfId="39297"/>
    <cellStyle name="Output 2 6 3 4 7 7" xfId="47314"/>
    <cellStyle name="Output 2 6 3 4 7 8" xfId="55437"/>
    <cellStyle name="Output 2 6 3 4 8" xfId="22383"/>
    <cellStyle name="Output 2 6 3 4 8 2" xfId="22384"/>
    <cellStyle name="Output 2 6 3 4 8 3" xfId="22385"/>
    <cellStyle name="Output 2 6 3 4 8 4" xfId="22386"/>
    <cellStyle name="Output 2 6 3 4 8 5" xfId="22387"/>
    <cellStyle name="Output 2 6 3 4 8 6" xfId="39913"/>
    <cellStyle name="Output 2 6 3 4 8 7" xfId="47315"/>
    <cellStyle name="Output 2 6 3 4 8 8" xfId="55438"/>
    <cellStyle name="Output 2 6 3 4 9" xfId="22388"/>
    <cellStyle name="Output 2 6 3 4 9 2" xfId="22389"/>
    <cellStyle name="Output 2 6 3 4 9 3" xfId="22390"/>
    <cellStyle name="Output 2 6 3 4 9 4" xfId="22391"/>
    <cellStyle name="Output 2 6 3 4 9 5" xfId="22392"/>
    <cellStyle name="Output 2 6 3 4 9 6" xfId="40528"/>
    <cellStyle name="Output 2 6 3 4 9 7" xfId="47316"/>
    <cellStyle name="Output 2 6 3 4 9 8" xfId="55439"/>
    <cellStyle name="Output 2 6 3 5" xfId="2576"/>
    <cellStyle name="Output 2 6 3 5 10" xfId="34646"/>
    <cellStyle name="Output 2 6 3 5 10 2" xfId="47318"/>
    <cellStyle name="Output 2 6 3 5 10 3" xfId="55441"/>
    <cellStyle name="Output 2 6 3 5 11" xfId="41040"/>
    <cellStyle name="Output 2 6 3 5 12" xfId="47317"/>
    <cellStyle name="Output 2 6 3 5 13" xfId="55440"/>
    <cellStyle name="Output 2 6 3 5 2" xfId="2577"/>
    <cellStyle name="Output 2 6 3 5 2 2" xfId="36117"/>
    <cellStyle name="Output 2 6 3 5 2 3" xfId="47319"/>
    <cellStyle name="Output 2 6 3 5 2 4" xfId="55442"/>
    <cellStyle name="Output 2 6 3 5 3" xfId="2578"/>
    <cellStyle name="Output 2 6 3 5 3 2" xfId="36616"/>
    <cellStyle name="Output 2 6 3 5 3 3" xfId="47320"/>
    <cellStyle name="Output 2 6 3 5 3 4" xfId="55443"/>
    <cellStyle name="Output 2 6 3 5 4" xfId="22393"/>
    <cellStyle name="Output 2 6 3 5 4 2" xfId="37232"/>
    <cellStyle name="Output 2 6 3 5 4 3" xfId="47321"/>
    <cellStyle name="Output 2 6 3 5 4 4" xfId="55444"/>
    <cellStyle name="Output 2 6 3 5 5" xfId="22394"/>
    <cellStyle name="Output 2 6 3 5 5 2" xfId="37848"/>
    <cellStyle name="Output 2 6 3 5 5 3" xfId="47322"/>
    <cellStyle name="Output 2 6 3 5 5 4" xfId="55445"/>
    <cellStyle name="Output 2 6 3 5 6" xfId="38463"/>
    <cellStyle name="Output 2 6 3 5 6 2" xfId="47323"/>
    <cellStyle name="Output 2 6 3 5 6 3" xfId="55446"/>
    <cellStyle name="Output 2 6 3 5 7" xfId="39083"/>
    <cellStyle name="Output 2 6 3 5 7 2" xfId="47324"/>
    <cellStyle name="Output 2 6 3 5 7 3" xfId="55447"/>
    <cellStyle name="Output 2 6 3 5 8" xfId="39699"/>
    <cellStyle name="Output 2 6 3 5 8 2" xfId="47325"/>
    <cellStyle name="Output 2 6 3 5 8 3" xfId="55448"/>
    <cellStyle name="Output 2 6 3 5 9" xfId="40314"/>
    <cellStyle name="Output 2 6 3 5 9 2" xfId="47326"/>
    <cellStyle name="Output 2 6 3 5 9 3" xfId="55449"/>
    <cellStyle name="Output 2 6 3 6" xfId="1365"/>
    <cellStyle name="Output 2 6 3 6 10" xfId="47327"/>
    <cellStyle name="Output 2 6 3 6 11" xfId="55450"/>
    <cellStyle name="Output 2 6 3 6 2" xfId="22395"/>
    <cellStyle name="Output 2 6 3 6 2 2" xfId="47328"/>
    <cellStyle name="Output 2 6 3 6 2 3" xfId="55451"/>
    <cellStyle name="Output 2 6 3 6 3" xfId="22396"/>
    <cellStyle name="Output 2 6 3 6 3 2" xfId="47329"/>
    <cellStyle name="Output 2 6 3 6 3 3" xfId="55452"/>
    <cellStyle name="Output 2 6 3 6 4" xfId="22397"/>
    <cellStyle name="Output 2 6 3 6 4 2" xfId="47330"/>
    <cellStyle name="Output 2 6 3 6 4 3" xfId="55453"/>
    <cellStyle name="Output 2 6 3 6 5" xfId="22398"/>
    <cellStyle name="Output 2 6 3 6 5 2" xfId="47331"/>
    <cellStyle name="Output 2 6 3 6 5 3" xfId="55454"/>
    <cellStyle name="Output 2 6 3 6 6" xfId="35435"/>
    <cellStyle name="Output 2 6 3 6 6 2" xfId="47332"/>
    <cellStyle name="Output 2 6 3 6 6 3" xfId="55455"/>
    <cellStyle name="Output 2 6 3 6 7" xfId="47333"/>
    <cellStyle name="Output 2 6 3 6 7 2" xfId="55456"/>
    <cellStyle name="Output 2 6 3 6 8" xfId="47334"/>
    <cellStyle name="Output 2 6 3 6 8 2" xfId="55457"/>
    <cellStyle name="Output 2 6 3 6 9" xfId="47335"/>
    <cellStyle name="Output 2 6 3 6 9 2" xfId="55458"/>
    <cellStyle name="Output 2 6 3 7" xfId="3433"/>
    <cellStyle name="Output 2 6 3 7 2" xfId="22399"/>
    <cellStyle name="Output 2 6 3 7 3" xfId="22400"/>
    <cellStyle name="Output 2 6 3 7 4" xfId="22401"/>
    <cellStyle name="Output 2 6 3 7 5" xfId="22402"/>
    <cellStyle name="Output 2 6 3 7 6" xfId="35967"/>
    <cellStyle name="Output 2 6 3 7 7" xfId="47336"/>
    <cellStyle name="Output 2 6 3 7 8" xfId="55459"/>
    <cellStyle name="Output 2 6 3 8" xfId="3755"/>
    <cellStyle name="Output 2 6 3 8 2" xfId="22403"/>
    <cellStyle name="Output 2 6 3 8 3" xfId="22404"/>
    <cellStyle name="Output 2 6 3 8 4" xfId="22405"/>
    <cellStyle name="Output 2 6 3 8 5" xfId="22406"/>
    <cellStyle name="Output 2 6 3 8 6" xfId="35809"/>
    <cellStyle name="Output 2 6 3 8 7" xfId="47337"/>
    <cellStyle name="Output 2 6 3 8 8" xfId="55460"/>
    <cellStyle name="Output 2 6 3 9" xfId="22407"/>
    <cellStyle name="Output 2 6 3 9 2" xfId="22408"/>
    <cellStyle name="Output 2 6 3 9 3" xfId="22409"/>
    <cellStyle name="Output 2 6 3 9 4" xfId="22410"/>
    <cellStyle name="Output 2 6 3 9 5" xfId="22411"/>
    <cellStyle name="Output 2 6 3 9 6" xfId="37012"/>
    <cellStyle name="Output 2 6 3 9 7" xfId="47338"/>
    <cellStyle name="Output 2 6 3 9 8" xfId="55461"/>
    <cellStyle name="Output 2 6 4" xfId="404"/>
    <cellStyle name="Output 2 6 4 10" xfId="22412"/>
    <cellStyle name="Output 2 6 4 10 2" xfId="22413"/>
    <cellStyle name="Output 2 6 4 10 3" xfId="22414"/>
    <cellStyle name="Output 2 6 4 10 4" xfId="22415"/>
    <cellStyle name="Output 2 6 4 10 5" xfId="22416"/>
    <cellStyle name="Output 2 6 4 10 6" xfId="39582"/>
    <cellStyle name="Output 2 6 4 10 7" xfId="47339"/>
    <cellStyle name="Output 2 6 4 10 8" xfId="55462"/>
    <cellStyle name="Output 2 6 4 11" xfId="22417"/>
    <cellStyle name="Output 2 6 4 11 2" xfId="22418"/>
    <cellStyle name="Output 2 6 4 11 3" xfId="22419"/>
    <cellStyle name="Output 2 6 4 11 4" xfId="22420"/>
    <cellStyle name="Output 2 6 4 11 5" xfId="22421"/>
    <cellStyle name="Output 2 6 4 11 6" xfId="40198"/>
    <cellStyle name="Output 2 6 4 11 7" xfId="47340"/>
    <cellStyle name="Output 2 6 4 11 8" xfId="55463"/>
    <cellStyle name="Output 2 6 4 12" xfId="22422"/>
    <cellStyle name="Output 2 6 4 12 2" xfId="22423"/>
    <cellStyle name="Output 2 6 4 12 3" xfId="22424"/>
    <cellStyle name="Output 2 6 4 12 4" xfId="22425"/>
    <cellStyle name="Output 2 6 4 12 5" xfId="22426"/>
    <cellStyle name="Output 2 6 4 12 6" xfId="47341"/>
    <cellStyle name="Output 2 6 4 12 7" xfId="55464"/>
    <cellStyle name="Output 2 6 4 13" xfId="22427"/>
    <cellStyle name="Output 2 6 4 13 2" xfId="22428"/>
    <cellStyle name="Output 2 6 4 13 3" xfId="22429"/>
    <cellStyle name="Output 2 6 4 13 4" xfId="22430"/>
    <cellStyle name="Output 2 6 4 13 5" xfId="22431"/>
    <cellStyle name="Output 2 6 4 13 6" xfId="47342"/>
    <cellStyle name="Output 2 6 4 13 7" xfId="55465"/>
    <cellStyle name="Output 2 6 4 14" xfId="22432"/>
    <cellStyle name="Output 2 6 4 14 2" xfId="22433"/>
    <cellStyle name="Output 2 6 4 14 3" xfId="22434"/>
    <cellStyle name="Output 2 6 4 14 4" xfId="22435"/>
    <cellStyle name="Output 2 6 4 14 5" xfId="22436"/>
    <cellStyle name="Output 2 6 4 15" xfId="22437"/>
    <cellStyle name="Output 2 6 4 15 2" xfId="22438"/>
    <cellStyle name="Output 2 6 4 15 3" xfId="22439"/>
    <cellStyle name="Output 2 6 4 15 4" xfId="22440"/>
    <cellStyle name="Output 2 6 4 15 5" xfId="22441"/>
    <cellStyle name="Output 2 6 4 16" xfId="22442"/>
    <cellStyle name="Output 2 6 4 16 2" xfId="22443"/>
    <cellStyle name="Output 2 6 4 16 3" xfId="22444"/>
    <cellStyle name="Output 2 6 4 16 4" xfId="22445"/>
    <cellStyle name="Output 2 6 4 16 5" xfId="22446"/>
    <cellStyle name="Output 2 6 4 17" xfId="22447"/>
    <cellStyle name="Output 2 6 4 17 2" xfId="22448"/>
    <cellStyle name="Output 2 6 4 17 3" xfId="22449"/>
    <cellStyle name="Output 2 6 4 17 4" xfId="22450"/>
    <cellStyle name="Output 2 6 4 17 5" xfId="22451"/>
    <cellStyle name="Output 2 6 4 18" xfId="22452"/>
    <cellStyle name="Output 2 6 4 18 2" xfId="22453"/>
    <cellStyle name="Output 2 6 4 18 3" xfId="22454"/>
    <cellStyle name="Output 2 6 4 18 4" xfId="22455"/>
    <cellStyle name="Output 2 6 4 18 5" xfId="22456"/>
    <cellStyle name="Output 2 6 4 19" xfId="22457"/>
    <cellStyle name="Output 2 6 4 2" xfId="623"/>
    <cellStyle name="Output 2 6 4 2 10" xfId="22458"/>
    <cellStyle name="Output 2 6 4 2 10 2" xfId="22459"/>
    <cellStyle name="Output 2 6 4 2 10 3" xfId="22460"/>
    <cellStyle name="Output 2 6 4 2 10 4" xfId="22461"/>
    <cellStyle name="Output 2 6 4 2 10 5" xfId="22462"/>
    <cellStyle name="Output 2 6 4 2 10 6" xfId="47343"/>
    <cellStyle name="Output 2 6 4 2 10 7" xfId="55466"/>
    <cellStyle name="Output 2 6 4 2 11" xfId="22463"/>
    <cellStyle name="Output 2 6 4 2 11 2" xfId="22464"/>
    <cellStyle name="Output 2 6 4 2 11 3" xfId="22465"/>
    <cellStyle name="Output 2 6 4 2 11 4" xfId="22466"/>
    <cellStyle name="Output 2 6 4 2 11 5" xfId="22467"/>
    <cellStyle name="Output 2 6 4 2 12" xfId="22468"/>
    <cellStyle name="Output 2 6 4 2 12 2" xfId="22469"/>
    <cellStyle name="Output 2 6 4 2 12 3" xfId="22470"/>
    <cellStyle name="Output 2 6 4 2 12 4" xfId="22471"/>
    <cellStyle name="Output 2 6 4 2 12 5" xfId="22472"/>
    <cellStyle name="Output 2 6 4 2 13" xfId="22473"/>
    <cellStyle name="Output 2 6 4 2 13 2" xfId="22474"/>
    <cellStyle name="Output 2 6 4 2 13 3" xfId="22475"/>
    <cellStyle name="Output 2 6 4 2 13 4" xfId="22476"/>
    <cellStyle name="Output 2 6 4 2 13 5" xfId="22477"/>
    <cellStyle name="Output 2 6 4 2 14" xfId="22478"/>
    <cellStyle name="Output 2 6 4 2 14 2" xfId="22479"/>
    <cellStyle name="Output 2 6 4 2 14 3" xfId="22480"/>
    <cellStyle name="Output 2 6 4 2 14 4" xfId="22481"/>
    <cellStyle name="Output 2 6 4 2 14 5" xfId="22482"/>
    <cellStyle name="Output 2 6 4 2 15" xfId="22483"/>
    <cellStyle name="Output 2 6 4 2 15 2" xfId="22484"/>
    <cellStyle name="Output 2 6 4 2 15 3" xfId="22485"/>
    <cellStyle name="Output 2 6 4 2 15 4" xfId="22486"/>
    <cellStyle name="Output 2 6 4 2 15 5" xfId="22487"/>
    <cellStyle name="Output 2 6 4 2 16" xfId="22488"/>
    <cellStyle name="Output 2 6 4 2 16 2" xfId="22489"/>
    <cellStyle name="Output 2 6 4 2 16 3" xfId="22490"/>
    <cellStyle name="Output 2 6 4 2 16 4" xfId="22491"/>
    <cellStyle name="Output 2 6 4 2 16 5" xfId="22492"/>
    <cellStyle name="Output 2 6 4 2 17" xfId="22493"/>
    <cellStyle name="Output 2 6 4 2 17 2" xfId="22494"/>
    <cellStyle name="Output 2 6 4 2 17 3" xfId="22495"/>
    <cellStyle name="Output 2 6 4 2 17 4" xfId="22496"/>
    <cellStyle name="Output 2 6 4 2 17 5" xfId="22497"/>
    <cellStyle name="Output 2 6 4 2 18" xfId="22498"/>
    <cellStyle name="Output 2 6 4 2 18 2" xfId="22499"/>
    <cellStyle name="Output 2 6 4 2 18 3" xfId="22500"/>
    <cellStyle name="Output 2 6 4 2 18 4" xfId="22501"/>
    <cellStyle name="Output 2 6 4 2 18 5" xfId="22502"/>
    <cellStyle name="Output 2 6 4 2 19" xfId="22503"/>
    <cellStyle name="Output 2 6 4 2 2" xfId="2579"/>
    <cellStyle name="Output 2 6 4 2 2 2" xfId="22504"/>
    <cellStyle name="Output 2 6 4 2 2 3" xfId="22505"/>
    <cellStyle name="Output 2 6 4 2 2 4" xfId="22506"/>
    <cellStyle name="Output 2 6 4 2 2 5" xfId="22507"/>
    <cellStyle name="Output 2 6 4 2 2 6" xfId="36427"/>
    <cellStyle name="Output 2 6 4 2 2 7" xfId="47344"/>
    <cellStyle name="Output 2 6 4 2 2 8" xfId="55467"/>
    <cellStyle name="Output 2 6 4 2 20" xfId="1052"/>
    <cellStyle name="Output 2 6 4 2 21" xfId="35132"/>
    <cellStyle name="Output 2 6 4 2 22" xfId="41351"/>
    <cellStyle name="Output 2 6 4 2 3" xfId="2580"/>
    <cellStyle name="Output 2 6 4 2 3 2" xfId="22508"/>
    <cellStyle name="Output 2 6 4 2 3 3" xfId="22509"/>
    <cellStyle name="Output 2 6 4 2 3 4" xfId="22510"/>
    <cellStyle name="Output 2 6 4 2 3 5" xfId="22511"/>
    <cellStyle name="Output 2 6 4 2 3 6" xfId="36924"/>
    <cellStyle name="Output 2 6 4 2 3 7" xfId="47345"/>
    <cellStyle name="Output 2 6 4 2 3 8" xfId="55468"/>
    <cellStyle name="Output 2 6 4 2 4" xfId="1372"/>
    <cellStyle name="Output 2 6 4 2 4 2" xfId="22512"/>
    <cellStyle name="Output 2 6 4 2 4 3" xfId="22513"/>
    <cellStyle name="Output 2 6 4 2 4 4" xfId="22514"/>
    <cellStyle name="Output 2 6 4 2 4 5" xfId="22515"/>
    <cellStyle name="Output 2 6 4 2 4 6" xfId="37540"/>
    <cellStyle name="Output 2 6 4 2 4 7" xfId="47346"/>
    <cellStyle name="Output 2 6 4 2 4 8" xfId="55469"/>
    <cellStyle name="Output 2 6 4 2 5" xfId="3440"/>
    <cellStyle name="Output 2 6 4 2 5 2" xfId="22516"/>
    <cellStyle name="Output 2 6 4 2 5 3" xfId="22517"/>
    <cellStyle name="Output 2 6 4 2 5 4" xfId="22518"/>
    <cellStyle name="Output 2 6 4 2 5 5" xfId="22519"/>
    <cellStyle name="Output 2 6 4 2 5 6" xfId="38156"/>
    <cellStyle name="Output 2 6 4 2 5 7" xfId="47347"/>
    <cellStyle name="Output 2 6 4 2 5 8" xfId="55470"/>
    <cellStyle name="Output 2 6 4 2 6" xfId="3762"/>
    <cellStyle name="Output 2 6 4 2 6 2" xfId="22520"/>
    <cellStyle name="Output 2 6 4 2 6 3" xfId="22521"/>
    <cellStyle name="Output 2 6 4 2 6 4" xfId="22522"/>
    <cellStyle name="Output 2 6 4 2 6 5" xfId="22523"/>
    <cellStyle name="Output 2 6 4 2 6 6" xfId="38774"/>
    <cellStyle name="Output 2 6 4 2 6 7" xfId="47348"/>
    <cellStyle name="Output 2 6 4 2 6 8" xfId="55471"/>
    <cellStyle name="Output 2 6 4 2 7" xfId="22524"/>
    <cellStyle name="Output 2 6 4 2 7 2" xfId="22525"/>
    <cellStyle name="Output 2 6 4 2 7 3" xfId="22526"/>
    <cellStyle name="Output 2 6 4 2 7 4" xfId="22527"/>
    <cellStyle name="Output 2 6 4 2 7 5" xfId="22528"/>
    <cellStyle name="Output 2 6 4 2 7 6" xfId="39394"/>
    <cellStyle name="Output 2 6 4 2 7 7" xfId="47349"/>
    <cellStyle name="Output 2 6 4 2 7 8" xfId="55472"/>
    <cellStyle name="Output 2 6 4 2 8" xfId="22529"/>
    <cellStyle name="Output 2 6 4 2 8 2" xfId="22530"/>
    <cellStyle name="Output 2 6 4 2 8 3" xfId="22531"/>
    <cellStyle name="Output 2 6 4 2 8 4" xfId="22532"/>
    <cellStyle name="Output 2 6 4 2 8 5" xfId="22533"/>
    <cellStyle name="Output 2 6 4 2 8 6" xfId="40010"/>
    <cellStyle name="Output 2 6 4 2 8 7" xfId="47350"/>
    <cellStyle name="Output 2 6 4 2 8 8" xfId="55473"/>
    <cellStyle name="Output 2 6 4 2 9" xfId="22534"/>
    <cellStyle name="Output 2 6 4 2 9 2" xfId="22535"/>
    <cellStyle name="Output 2 6 4 2 9 3" xfId="22536"/>
    <cellStyle name="Output 2 6 4 2 9 4" xfId="22537"/>
    <cellStyle name="Output 2 6 4 2 9 5" xfId="22538"/>
    <cellStyle name="Output 2 6 4 2 9 6" xfId="40625"/>
    <cellStyle name="Output 2 6 4 2 9 7" xfId="47351"/>
    <cellStyle name="Output 2 6 4 2 9 8" xfId="55474"/>
    <cellStyle name="Output 2 6 4 20" xfId="840"/>
    <cellStyle name="Output 2 6 4 21" xfId="34696"/>
    <cellStyle name="Output 2 6 4 22" xfId="40924"/>
    <cellStyle name="Output 2 6 4 23" xfId="41485"/>
    <cellStyle name="Output 2 6 4 24" xfId="50572"/>
    <cellStyle name="Output 2 6 4 3" xfId="2581"/>
    <cellStyle name="Output 2 6 4 3 10" xfId="34609"/>
    <cellStyle name="Output 2 6 4 3 10 2" xfId="47353"/>
    <cellStyle name="Output 2 6 4 3 10 3" xfId="55476"/>
    <cellStyle name="Output 2 6 4 3 11" xfId="41139"/>
    <cellStyle name="Output 2 6 4 3 12" xfId="47352"/>
    <cellStyle name="Output 2 6 4 3 13" xfId="55475"/>
    <cellStyle name="Output 2 6 4 3 2" xfId="2582"/>
    <cellStyle name="Output 2 6 4 3 2 2" xfId="36216"/>
    <cellStyle name="Output 2 6 4 3 2 3" xfId="47354"/>
    <cellStyle name="Output 2 6 4 3 2 4" xfId="55477"/>
    <cellStyle name="Output 2 6 4 3 3" xfId="2583"/>
    <cellStyle name="Output 2 6 4 3 3 2" xfId="36713"/>
    <cellStyle name="Output 2 6 4 3 3 3" xfId="47355"/>
    <cellStyle name="Output 2 6 4 3 3 4" xfId="55478"/>
    <cellStyle name="Output 2 6 4 3 4" xfId="22539"/>
    <cellStyle name="Output 2 6 4 3 4 2" xfId="37329"/>
    <cellStyle name="Output 2 6 4 3 4 3" xfId="47356"/>
    <cellStyle name="Output 2 6 4 3 4 4" xfId="55479"/>
    <cellStyle name="Output 2 6 4 3 5" xfId="22540"/>
    <cellStyle name="Output 2 6 4 3 5 2" xfId="37945"/>
    <cellStyle name="Output 2 6 4 3 5 3" xfId="47357"/>
    <cellStyle name="Output 2 6 4 3 5 4" xfId="55480"/>
    <cellStyle name="Output 2 6 4 3 6" xfId="38562"/>
    <cellStyle name="Output 2 6 4 3 6 2" xfId="47358"/>
    <cellStyle name="Output 2 6 4 3 6 3" xfId="55481"/>
    <cellStyle name="Output 2 6 4 3 7" xfId="39182"/>
    <cellStyle name="Output 2 6 4 3 7 2" xfId="47359"/>
    <cellStyle name="Output 2 6 4 3 7 3" xfId="55482"/>
    <cellStyle name="Output 2 6 4 3 8" xfId="39798"/>
    <cellStyle name="Output 2 6 4 3 8 2" xfId="47360"/>
    <cellStyle name="Output 2 6 4 3 8 3" xfId="55483"/>
    <cellStyle name="Output 2 6 4 3 9" xfId="40413"/>
    <cellStyle name="Output 2 6 4 3 9 2" xfId="47361"/>
    <cellStyle name="Output 2 6 4 3 9 3" xfId="55484"/>
    <cellStyle name="Output 2 6 4 4" xfId="2584"/>
    <cellStyle name="Output 2 6 4 4 10" xfId="47362"/>
    <cellStyle name="Output 2 6 4 4 11" xfId="55485"/>
    <cellStyle name="Output 2 6 4 4 2" xfId="22541"/>
    <cellStyle name="Output 2 6 4 4 2 2" xfId="47363"/>
    <cellStyle name="Output 2 6 4 4 2 3" xfId="55486"/>
    <cellStyle name="Output 2 6 4 4 3" xfId="22542"/>
    <cellStyle name="Output 2 6 4 4 3 2" xfId="47364"/>
    <cellStyle name="Output 2 6 4 4 3 3" xfId="55487"/>
    <cellStyle name="Output 2 6 4 4 4" xfId="22543"/>
    <cellStyle name="Output 2 6 4 4 4 2" xfId="47365"/>
    <cellStyle name="Output 2 6 4 4 4 3" xfId="55488"/>
    <cellStyle name="Output 2 6 4 4 5" xfId="22544"/>
    <cellStyle name="Output 2 6 4 4 5 2" xfId="47366"/>
    <cellStyle name="Output 2 6 4 4 5 3" xfId="55489"/>
    <cellStyle name="Output 2 6 4 4 6" xfId="35666"/>
    <cellStyle name="Output 2 6 4 4 6 2" xfId="47367"/>
    <cellStyle name="Output 2 6 4 4 6 3" xfId="55490"/>
    <cellStyle name="Output 2 6 4 4 7" xfId="47368"/>
    <cellStyle name="Output 2 6 4 4 7 2" xfId="55491"/>
    <cellStyle name="Output 2 6 4 4 8" xfId="47369"/>
    <cellStyle name="Output 2 6 4 4 8 2" xfId="55492"/>
    <cellStyle name="Output 2 6 4 4 9" xfId="47370"/>
    <cellStyle name="Output 2 6 4 4 9 2" xfId="55493"/>
    <cellStyle name="Output 2 6 4 5" xfId="1371"/>
    <cellStyle name="Output 2 6 4 5 2" xfId="22545"/>
    <cellStyle name="Output 2 6 4 5 3" xfId="22546"/>
    <cellStyle name="Output 2 6 4 5 4" xfId="22547"/>
    <cellStyle name="Output 2 6 4 5 5" xfId="22548"/>
    <cellStyle name="Output 2 6 4 5 6" xfId="36498"/>
    <cellStyle name="Output 2 6 4 5 7" xfId="47371"/>
    <cellStyle name="Output 2 6 4 5 8" xfId="55494"/>
    <cellStyle name="Output 2 6 4 6" xfId="3439"/>
    <cellStyle name="Output 2 6 4 6 2" xfId="22549"/>
    <cellStyle name="Output 2 6 4 6 3" xfId="22550"/>
    <cellStyle name="Output 2 6 4 6 4" xfId="22551"/>
    <cellStyle name="Output 2 6 4 6 5" xfId="22552"/>
    <cellStyle name="Output 2 6 4 6 6" xfId="37114"/>
    <cellStyle name="Output 2 6 4 6 7" xfId="47372"/>
    <cellStyle name="Output 2 6 4 6 8" xfId="55495"/>
    <cellStyle name="Output 2 6 4 7" xfId="3761"/>
    <cellStyle name="Output 2 6 4 7 2" xfId="22553"/>
    <cellStyle name="Output 2 6 4 7 3" xfId="22554"/>
    <cellStyle name="Output 2 6 4 7 4" xfId="22555"/>
    <cellStyle name="Output 2 6 4 7 5" xfId="22556"/>
    <cellStyle name="Output 2 6 4 7 6" xfId="37728"/>
    <cellStyle name="Output 2 6 4 7 7" xfId="47373"/>
    <cellStyle name="Output 2 6 4 7 8" xfId="55496"/>
    <cellStyle name="Output 2 6 4 8" xfId="22557"/>
    <cellStyle name="Output 2 6 4 8 2" xfId="22558"/>
    <cellStyle name="Output 2 6 4 8 3" xfId="22559"/>
    <cellStyle name="Output 2 6 4 8 4" xfId="22560"/>
    <cellStyle name="Output 2 6 4 8 5" xfId="22561"/>
    <cellStyle name="Output 2 6 4 8 6" xfId="38343"/>
    <cellStyle name="Output 2 6 4 8 7" xfId="47374"/>
    <cellStyle name="Output 2 6 4 8 8" xfId="55497"/>
    <cellStyle name="Output 2 6 4 9" xfId="22562"/>
    <cellStyle name="Output 2 6 4 9 2" xfId="22563"/>
    <cellStyle name="Output 2 6 4 9 3" xfId="22564"/>
    <cellStyle name="Output 2 6 4 9 4" xfId="22565"/>
    <cellStyle name="Output 2 6 4 9 5" xfId="22566"/>
    <cellStyle name="Output 2 6 4 9 6" xfId="38963"/>
    <cellStyle name="Output 2 6 4 9 7" xfId="47375"/>
    <cellStyle name="Output 2 6 4 9 8" xfId="55498"/>
    <cellStyle name="Output 2 6 5" xfId="405"/>
    <cellStyle name="Output 2 6 5 10" xfId="22567"/>
    <cellStyle name="Output 2 6 5 10 2" xfId="22568"/>
    <cellStyle name="Output 2 6 5 10 3" xfId="22569"/>
    <cellStyle name="Output 2 6 5 10 4" xfId="22570"/>
    <cellStyle name="Output 2 6 5 10 5" xfId="22571"/>
    <cellStyle name="Output 2 6 5 10 6" xfId="40199"/>
    <cellStyle name="Output 2 6 5 10 7" xfId="47376"/>
    <cellStyle name="Output 2 6 5 10 8" xfId="55499"/>
    <cellStyle name="Output 2 6 5 11" xfId="22572"/>
    <cellStyle name="Output 2 6 5 11 2" xfId="22573"/>
    <cellStyle name="Output 2 6 5 11 3" xfId="22574"/>
    <cellStyle name="Output 2 6 5 11 4" xfId="22575"/>
    <cellStyle name="Output 2 6 5 11 5" xfId="22576"/>
    <cellStyle name="Output 2 6 5 11 6" xfId="47377"/>
    <cellStyle name="Output 2 6 5 11 7" xfId="55500"/>
    <cellStyle name="Output 2 6 5 12" xfId="22577"/>
    <cellStyle name="Output 2 6 5 12 2" xfId="22578"/>
    <cellStyle name="Output 2 6 5 12 3" xfId="22579"/>
    <cellStyle name="Output 2 6 5 12 4" xfId="22580"/>
    <cellStyle name="Output 2 6 5 12 5" xfId="22581"/>
    <cellStyle name="Output 2 6 5 12 6" xfId="47378"/>
    <cellStyle name="Output 2 6 5 12 7" xfId="55501"/>
    <cellStyle name="Output 2 6 5 13" xfId="22582"/>
    <cellStyle name="Output 2 6 5 13 2" xfId="22583"/>
    <cellStyle name="Output 2 6 5 13 3" xfId="22584"/>
    <cellStyle name="Output 2 6 5 13 4" xfId="22585"/>
    <cellStyle name="Output 2 6 5 13 5" xfId="22586"/>
    <cellStyle name="Output 2 6 5 13 6" xfId="47379"/>
    <cellStyle name="Output 2 6 5 13 7" xfId="55502"/>
    <cellStyle name="Output 2 6 5 14" xfId="22587"/>
    <cellStyle name="Output 2 6 5 14 2" xfId="22588"/>
    <cellStyle name="Output 2 6 5 14 3" xfId="22589"/>
    <cellStyle name="Output 2 6 5 14 4" xfId="22590"/>
    <cellStyle name="Output 2 6 5 14 5" xfId="22591"/>
    <cellStyle name="Output 2 6 5 15" xfId="22592"/>
    <cellStyle name="Output 2 6 5 15 2" xfId="22593"/>
    <cellStyle name="Output 2 6 5 15 3" xfId="22594"/>
    <cellStyle name="Output 2 6 5 15 4" xfId="22595"/>
    <cellStyle name="Output 2 6 5 15 5" xfId="22596"/>
    <cellStyle name="Output 2 6 5 16" xfId="22597"/>
    <cellStyle name="Output 2 6 5 16 2" xfId="22598"/>
    <cellStyle name="Output 2 6 5 16 3" xfId="22599"/>
    <cellStyle name="Output 2 6 5 16 4" xfId="22600"/>
    <cellStyle name="Output 2 6 5 16 5" xfId="22601"/>
    <cellStyle name="Output 2 6 5 17" xfId="22602"/>
    <cellStyle name="Output 2 6 5 17 2" xfId="22603"/>
    <cellStyle name="Output 2 6 5 17 3" xfId="22604"/>
    <cellStyle name="Output 2 6 5 17 4" xfId="22605"/>
    <cellStyle name="Output 2 6 5 17 5" xfId="22606"/>
    <cellStyle name="Output 2 6 5 18" xfId="22607"/>
    <cellStyle name="Output 2 6 5 18 2" xfId="22608"/>
    <cellStyle name="Output 2 6 5 18 3" xfId="22609"/>
    <cellStyle name="Output 2 6 5 18 4" xfId="22610"/>
    <cellStyle name="Output 2 6 5 18 5" xfId="22611"/>
    <cellStyle name="Output 2 6 5 19" xfId="22612"/>
    <cellStyle name="Output 2 6 5 2" xfId="624"/>
    <cellStyle name="Output 2 6 5 2 10" xfId="22613"/>
    <cellStyle name="Output 2 6 5 2 10 2" xfId="22614"/>
    <cellStyle name="Output 2 6 5 2 10 3" xfId="22615"/>
    <cellStyle name="Output 2 6 5 2 10 4" xfId="22616"/>
    <cellStyle name="Output 2 6 5 2 10 5" xfId="22617"/>
    <cellStyle name="Output 2 6 5 2 10 6" xfId="47380"/>
    <cellStyle name="Output 2 6 5 2 10 7" xfId="55503"/>
    <cellStyle name="Output 2 6 5 2 11" xfId="22618"/>
    <cellStyle name="Output 2 6 5 2 11 2" xfId="22619"/>
    <cellStyle name="Output 2 6 5 2 11 3" xfId="22620"/>
    <cellStyle name="Output 2 6 5 2 11 4" xfId="22621"/>
    <cellStyle name="Output 2 6 5 2 11 5" xfId="22622"/>
    <cellStyle name="Output 2 6 5 2 12" xfId="22623"/>
    <cellStyle name="Output 2 6 5 2 12 2" xfId="22624"/>
    <cellStyle name="Output 2 6 5 2 12 3" xfId="22625"/>
    <cellStyle name="Output 2 6 5 2 12 4" xfId="22626"/>
    <cellStyle name="Output 2 6 5 2 12 5" xfId="22627"/>
    <cellStyle name="Output 2 6 5 2 13" xfId="22628"/>
    <cellStyle name="Output 2 6 5 2 13 2" xfId="22629"/>
    <cellStyle name="Output 2 6 5 2 13 3" xfId="22630"/>
    <cellStyle name="Output 2 6 5 2 13 4" xfId="22631"/>
    <cellStyle name="Output 2 6 5 2 13 5" xfId="22632"/>
    <cellStyle name="Output 2 6 5 2 14" xfId="22633"/>
    <cellStyle name="Output 2 6 5 2 14 2" xfId="22634"/>
    <cellStyle name="Output 2 6 5 2 14 3" xfId="22635"/>
    <cellStyle name="Output 2 6 5 2 14 4" xfId="22636"/>
    <cellStyle name="Output 2 6 5 2 14 5" xfId="22637"/>
    <cellStyle name="Output 2 6 5 2 15" xfId="22638"/>
    <cellStyle name="Output 2 6 5 2 15 2" xfId="22639"/>
    <cellStyle name="Output 2 6 5 2 15 3" xfId="22640"/>
    <cellStyle name="Output 2 6 5 2 15 4" xfId="22641"/>
    <cellStyle name="Output 2 6 5 2 15 5" xfId="22642"/>
    <cellStyle name="Output 2 6 5 2 16" xfId="22643"/>
    <cellStyle name="Output 2 6 5 2 16 2" xfId="22644"/>
    <cellStyle name="Output 2 6 5 2 16 3" xfId="22645"/>
    <cellStyle name="Output 2 6 5 2 16 4" xfId="22646"/>
    <cellStyle name="Output 2 6 5 2 16 5" xfId="22647"/>
    <cellStyle name="Output 2 6 5 2 17" xfId="22648"/>
    <cellStyle name="Output 2 6 5 2 17 2" xfId="22649"/>
    <cellStyle name="Output 2 6 5 2 17 3" xfId="22650"/>
    <cellStyle name="Output 2 6 5 2 17 4" xfId="22651"/>
    <cellStyle name="Output 2 6 5 2 17 5" xfId="22652"/>
    <cellStyle name="Output 2 6 5 2 18" xfId="22653"/>
    <cellStyle name="Output 2 6 5 2 18 2" xfId="22654"/>
    <cellStyle name="Output 2 6 5 2 18 3" xfId="22655"/>
    <cellStyle name="Output 2 6 5 2 18 4" xfId="22656"/>
    <cellStyle name="Output 2 6 5 2 18 5" xfId="22657"/>
    <cellStyle name="Output 2 6 5 2 19" xfId="22658"/>
    <cellStyle name="Output 2 6 5 2 2" xfId="2585"/>
    <cellStyle name="Output 2 6 5 2 2 2" xfId="22659"/>
    <cellStyle name="Output 2 6 5 2 2 3" xfId="22660"/>
    <cellStyle name="Output 2 6 5 2 2 4" xfId="22661"/>
    <cellStyle name="Output 2 6 5 2 2 5" xfId="22662"/>
    <cellStyle name="Output 2 6 5 2 2 6" xfId="36428"/>
    <cellStyle name="Output 2 6 5 2 2 7" xfId="47381"/>
    <cellStyle name="Output 2 6 5 2 2 8" xfId="55504"/>
    <cellStyle name="Output 2 6 5 2 20" xfId="1053"/>
    <cellStyle name="Output 2 6 5 2 21" xfId="35133"/>
    <cellStyle name="Output 2 6 5 2 22" xfId="41352"/>
    <cellStyle name="Output 2 6 5 2 3" xfId="2586"/>
    <cellStyle name="Output 2 6 5 2 3 2" xfId="22663"/>
    <cellStyle name="Output 2 6 5 2 3 3" xfId="22664"/>
    <cellStyle name="Output 2 6 5 2 3 4" xfId="22665"/>
    <cellStyle name="Output 2 6 5 2 3 5" xfId="22666"/>
    <cellStyle name="Output 2 6 5 2 3 6" xfId="36925"/>
    <cellStyle name="Output 2 6 5 2 3 7" xfId="47382"/>
    <cellStyle name="Output 2 6 5 2 3 8" xfId="55505"/>
    <cellStyle name="Output 2 6 5 2 4" xfId="1374"/>
    <cellStyle name="Output 2 6 5 2 4 2" xfId="22667"/>
    <cellStyle name="Output 2 6 5 2 4 3" xfId="22668"/>
    <cellStyle name="Output 2 6 5 2 4 4" xfId="22669"/>
    <cellStyle name="Output 2 6 5 2 4 5" xfId="22670"/>
    <cellStyle name="Output 2 6 5 2 4 6" xfId="37541"/>
    <cellStyle name="Output 2 6 5 2 4 7" xfId="47383"/>
    <cellStyle name="Output 2 6 5 2 4 8" xfId="55506"/>
    <cellStyle name="Output 2 6 5 2 5" xfId="3442"/>
    <cellStyle name="Output 2 6 5 2 5 2" xfId="22671"/>
    <cellStyle name="Output 2 6 5 2 5 3" xfId="22672"/>
    <cellStyle name="Output 2 6 5 2 5 4" xfId="22673"/>
    <cellStyle name="Output 2 6 5 2 5 5" xfId="22674"/>
    <cellStyle name="Output 2 6 5 2 5 6" xfId="38157"/>
    <cellStyle name="Output 2 6 5 2 5 7" xfId="47384"/>
    <cellStyle name="Output 2 6 5 2 5 8" xfId="55507"/>
    <cellStyle name="Output 2 6 5 2 6" xfId="3764"/>
    <cellStyle name="Output 2 6 5 2 6 2" xfId="22675"/>
    <cellStyle name="Output 2 6 5 2 6 3" xfId="22676"/>
    <cellStyle name="Output 2 6 5 2 6 4" xfId="22677"/>
    <cellStyle name="Output 2 6 5 2 6 5" xfId="22678"/>
    <cellStyle name="Output 2 6 5 2 6 6" xfId="38775"/>
    <cellStyle name="Output 2 6 5 2 6 7" xfId="47385"/>
    <cellStyle name="Output 2 6 5 2 6 8" xfId="55508"/>
    <cellStyle name="Output 2 6 5 2 7" xfId="22679"/>
    <cellStyle name="Output 2 6 5 2 7 2" xfId="22680"/>
    <cellStyle name="Output 2 6 5 2 7 3" xfId="22681"/>
    <cellStyle name="Output 2 6 5 2 7 4" xfId="22682"/>
    <cellStyle name="Output 2 6 5 2 7 5" xfId="22683"/>
    <cellStyle name="Output 2 6 5 2 7 6" xfId="39395"/>
    <cellStyle name="Output 2 6 5 2 7 7" xfId="47386"/>
    <cellStyle name="Output 2 6 5 2 7 8" xfId="55509"/>
    <cellStyle name="Output 2 6 5 2 8" xfId="22684"/>
    <cellStyle name="Output 2 6 5 2 8 2" xfId="22685"/>
    <cellStyle name="Output 2 6 5 2 8 3" xfId="22686"/>
    <cellStyle name="Output 2 6 5 2 8 4" xfId="22687"/>
    <cellStyle name="Output 2 6 5 2 8 5" xfId="22688"/>
    <cellStyle name="Output 2 6 5 2 8 6" xfId="40011"/>
    <cellStyle name="Output 2 6 5 2 8 7" xfId="47387"/>
    <cellStyle name="Output 2 6 5 2 8 8" xfId="55510"/>
    <cellStyle name="Output 2 6 5 2 9" xfId="22689"/>
    <cellStyle name="Output 2 6 5 2 9 2" xfId="22690"/>
    <cellStyle name="Output 2 6 5 2 9 3" xfId="22691"/>
    <cellStyle name="Output 2 6 5 2 9 4" xfId="22692"/>
    <cellStyle name="Output 2 6 5 2 9 5" xfId="22693"/>
    <cellStyle name="Output 2 6 5 2 9 6" xfId="40626"/>
    <cellStyle name="Output 2 6 5 2 9 7" xfId="47388"/>
    <cellStyle name="Output 2 6 5 2 9 8" xfId="55511"/>
    <cellStyle name="Output 2 6 5 20" xfId="841"/>
    <cellStyle name="Output 2 6 5 21" xfId="34695"/>
    <cellStyle name="Output 2 6 5 22" xfId="40925"/>
    <cellStyle name="Output 2 6 5 23" xfId="41486"/>
    <cellStyle name="Output 2 6 5 24" xfId="50573"/>
    <cellStyle name="Output 2 6 5 3" xfId="2587"/>
    <cellStyle name="Output 2 6 5 3 10" xfId="34608"/>
    <cellStyle name="Output 2 6 5 3 10 2" xfId="47390"/>
    <cellStyle name="Output 2 6 5 3 10 3" xfId="55513"/>
    <cellStyle name="Output 2 6 5 3 11" xfId="41140"/>
    <cellStyle name="Output 2 6 5 3 12" xfId="47389"/>
    <cellStyle name="Output 2 6 5 3 13" xfId="55512"/>
    <cellStyle name="Output 2 6 5 3 2" xfId="2588"/>
    <cellStyle name="Output 2 6 5 3 2 2" xfId="36217"/>
    <cellStyle name="Output 2 6 5 3 2 3" xfId="47391"/>
    <cellStyle name="Output 2 6 5 3 2 4" xfId="55514"/>
    <cellStyle name="Output 2 6 5 3 3" xfId="2589"/>
    <cellStyle name="Output 2 6 5 3 3 2" xfId="36714"/>
    <cellStyle name="Output 2 6 5 3 3 3" xfId="47392"/>
    <cellStyle name="Output 2 6 5 3 3 4" xfId="55515"/>
    <cellStyle name="Output 2 6 5 3 4" xfId="22694"/>
    <cellStyle name="Output 2 6 5 3 4 2" xfId="37330"/>
    <cellStyle name="Output 2 6 5 3 4 3" xfId="47393"/>
    <cellStyle name="Output 2 6 5 3 4 4" xfId="55516"/>
    <cellStyle name="Output 2 6 5 3 5" xfId="22695"/>
    <cellStyle name="Output 2 6 5 3 5 2" xfId="37946"/>
    <cellStyle name="Output 2 6 5 3 5 3" xfId="47394"/>
    <cellStyle name="Output 2 6 5 3 5 4" xfId="55517"/>
    <cellStyle name="Output 2 6 5 3 6" xfId="38563"/>
    <cellStyle name="Output 2 6 5 3 6 2" xfId="47395"/>
    <cellStyle name="Output 2 6 5 3 6 3" xfId="55518"/>
    <cellStyle name="Output 2 6 5 3 7" xfId="39183"/>
    <cellStyle name="Output 2 6 5 3 7 2" xfId="47396"/>
    <cellStyle name="Output 2 6 5 3 7 3" xfId="55519"/>
    <cellStyle name="Output 2 6 5 3 8" xfId="39799"/>
    <cellStyle name="Output 2 6 5 3 8 2" xfId="47397"/>
    <cellStyle name="Output 2 6 5 3 8 3" xfId="55520"/>
    <cellStyle name="Output 2 6 5 3 9" xfId="40414"/>
    <cellStyle name="Output 2 6 5 3 9 2" xfId="47398"/>
    <cellStyle name="Output 2 6 5 3 9 3" xfId="55521"/>
    <cellStyle name="Output 2 6 5 4" xfId="2590"/>
    <cellStyle name="Output 2 6 5 4 10" xfId="47399"/>
    <cellStyle name="Output 2 6 5 4 11" xfId="55522"/>
    <cellStyle name="Output 2 6 5 4 2" xfId="22696"/>
    <cellStyle name="Output 2 6 5 4 2 2" xfId="47400"/>
    <cellStyle name="Output 2 6 5 4 2 3" xfId="55523"/>
    <cellStyle name="Output 2 6 5 4 3" xfId="22697"/>
    <cellStyle name="Output 2 6 5 4 3 2" xfId="47401"/>
    <cellStyle name="Output 2 6 5 4 3 3" xfId="55524"/>
    <cellStyle name="Output 2 6 5 4 4" xfId="22698"/>
    <cellStyle name="Output 2 6 5 4 4 2" xfId="47402"/>
    <cellStyle name="Output 2 6 5 4 4 3" xfId="55525"/>
    <cellStyle name="Output 2 6 5 4 5" xfId="22699"/>
    <cellStyle name="Output 2 6 5 4 5 2" xfId="47403"/>
    <cellStyle name="Output 2 6 5 4 5 3" xfId="55526"/>
    <cellStyle name="Output 2 6 5 4 6" xfId="36499"/>
    <cellStyle name="Output 2 6 5 4 6 2" xfId="47404"/>
    <cellStyle name="Output 2 6 5 4 6 3" xfId="55527"/>
    <cellStyle name="Output 2 6 5 4 7" xfId="47405"/>
    <cellStyle name="Output 2 6 5 4 7 2" xfId="55528"/>
    <cellStyle name="Output 2 6 5 4 8" xfId="47406"/>
    <cellStyle name="Output 2 6 5 4 8 2" xfId="55529"/>
    <cellStyle name="Output 2 6 5 4 9" xfId="47407"/>
    <cellStyle name="Output 2 6 5 4 9 2" xfId="55530"/>
    <cellStyle name="Output 2 6 5 5" xfId="1373"/>
    <cellStyle name="Output 2 6 5 5 2" xfId="22700"/>
    <cellStyle name="Output 2 6 5 5 3" xfId="22701"/>
    <cellStyle name="Output 2 6 5 5 4" xfId="22702"/>
    <cellStyle name="Output 2 6 5 5 5" xfId="22703"/>
    <cellStyle name="Output 2 6 5 5 6" xfId="37115"/>
    <cellStyle name="Output 2 6 5 5 7" xfId="47408"/>
    <cellStyle name="Output 2 6 5 5 8" xfId="55531"/>
    <cellStyle name="Output 2 6 5 6" xfId="3441"/>
    <cellStyle name="Output 2 6 5 6 2" xfId="22704"/>
    <cellStyle name="Output 2 6 5 6 3" xfId="22705"/>
    <cellStyle name="Output 2 6 5 6 4" xfId="22706"/>
    <cellStyle name="Output 2 6 5 6 5" xfId="22707"/>
    <cellStyle name="Output 2 6 5 6 6" xfId="37729"/>
    <cellStyle name="Output 2 6 5 6 7" xfId="47409"/>
    <cellStyle name="Output 2 6 5 6 8" xfId="55532"/>
    <cellStyle name="Output 2 6 5 7" xfId="3763"/>
    <cellStyle name="Output 2 6 5 7 2" xfId="22708"/>
    <cellStyle name="Output 2 6 5 7 3" xfId="22709"/>
    <cellStyle name="Output 2 6 5 7 4" xfId="22710"/>
    <cellStyle name="Output 2 6 5 7 5" xfId="22711"/>
    <cellStyle name="Output 2 6 5 7 6" xfId="38344"/>
    <cellStyle name="Output 2 6 5 7 7" xfId="47410"/>
    <cellStyle name="Output 2 6 5 7 8" xfId="55533"/>
    <cellStyle name="Output 2 6 5 8" xfId="22712"/>
    <cellStyle name="Output 2 6 5 8 2" xfId="22713"/>
    <cellStyle name="Output 2 6 5 8 3" xfId="22714"/>
    <cellStyle name="Output 2 6 5 8 4" xfId="22715"/>
    <cellStyle name="Output 2 6 5 8 5" xfId="22716"/>
    <cellStyle name="Output 2 6 5 8 6" xfId="38964"/>
    <cellStyle name="Output 2 6 5 8 7" xfId="47411"/>
    <cellStyle name="Output 2 6 5 8 8" xfId="55534"/>
    <cellStyle name="Output 2 6 5 9" xfId="22717"/>
    <cellStyle name="Output 2 6 5 9 2" xfId="22718"/>
    <cellStyle name="Output 2 6 5 9 3" xfId="22719"/>
    <cellStyle name="Output 2 6 5 9 4" xfId="22720"/>
    <cellStyle name="Output 2 6 5 9 5" xfId="22721"/>
    <cellStyle name="Output 2 6 5 9 6" xfId="39583"/>
    <cellStyle name="Output 2 6 5 9 7" xfId="47412"/>
    <cellStyle name="Output 2 6 5 9 8" xfId="55535"/>
    <cellStyle name="Output 2 6 6" xfId="489"/>
    <cellStyle name="Output 2 6 6 10" xfId="22722"/>
    <cellStyle name="Output 2 6 6 10 2" xfId="22723"/>
    <cellStyle name="Output 2 6 6 10 3" xfId="22724"/>
    <cellStyle name="Output 2 6 6 10 4" xfId="22725"/>
    <cellStyle name="Output 2 6 6 10 5" xfId="22726"/>
    <cellStyle name="Output 2 6 6 10 6" xfId="47413"/>
    <cellStyle name="Output 2 6 6 10 7" xfId="55536"/>
    <cellStyle name="Output 2 6 6 11" xfId="22727"/>
    <cellStyle name="Output 2 6 6 11 2" xfId="22728"/>
    <cellStyle name="Output 2 6 6 11 3" xfId="22729"/>
    <cellStyle name="Output 2 6 6 11 4" xfId="22730"/>
    <cellStyle name="Output 2 6 6 11 5" xfId="22731"/>
    <cellStyle name="Output 2 6 6 12" xfId="22732"/>
    <cellStyle name="Output 2 6 6 12 2" xfId="22733"/>
    <cellStyle name="Output 2 6 6 12 3" xfId="22734"/>
    <cellStyle name="Output 2 6 6 12 4" xfId="22735"/>
    <cellStyle name="Output 2 6 6 12 5" xfId="22736"/>
    <cellStyle name="Output 2 6 6 13" xfId="22737"/>
    <cellStyle name="Output 2 6 6 13 2" xfId="22738"/>
    <cellStyle name="Output 2 6 6 13 3" xfId="22739"/>
    <cellStyle name="Output 2 6 6 13 4" xfId="22740"/>
    <cellStyle name="Output 2 6 6 13 5" xfId="22741"/>
    <cellStyle name="Output 2 6 6 14" xfId="22742"/>
    <cellStyle name="Output 2 6 6 14 2" xfId="22743"/>
    <cellStyle name="Output 2 6 6 14 3" xfId="22744"/>
    <cellStyle name="Output 2 6 6 14 4" xfId="22745"/>
    <cellStyle name="Output 2 6 6 14 5" xfId="22746"/>
    <cellStyle name="Output 2 6 6 15" xfId="22747"/>
    <cellStyle name="Output 2 6 6 15 2" xfId="22748"/>
    <cellStyle name="Output 2 6 6 15 3" xfId="22749"/>
    <cellStyle name="Output 2 6 6 15 4" xfId="22750"/>
    <cellStyle name="Output 2 6 6 15 5" xfId="22751"/>
    <cellStyle name="Output 2 6 6 16" xfId="22752"/>
    <cellStyle name="Output 2 6 6 16 2" xfId="22753"/>
    <cellStyle name="Output 2 6 6 16 3" xfId="22754"/>
    <cellStyle name="Output 2 6 6 16 4" xfId="22755"/>
    <cellStyle name="Output 2 6 6 16 5" xfId="22756"/>
    <cellStyle name="Output 2 6 6 17" xfId="22757"/>
    <cellStyle name="Output 2 6 6 17 2" xfId="22758"/>
    <cellStyle name="Output 2 6 6 17 3" xfId="22759"/>
    <cellStyle name="Output 2 6 6 17 4" xfId="22760"/>
    <cellStyle name="Output 2 6 6 17 5" xfId="22761"/>
    <cellStyle name="Output 2 6 6 18" xfId="22762"/>
    <cellStyle name="Output 2 6 6 18 2" xfId="22763"/>
    <cellStyle name="Output 2 6 6 18 3" xfId="22764"/>
    <cellStyle name="Output 2 6 6 18 4" xfId="22765"/>
    <cellStyle name="Output 2 6 6 18 5" xfId="22766"/>
    <cellStyle name="Output 2 6 6 19" xfId="22767"/>
    <cellStyle name="Output 2 6 6 2" xfId="2591"/>
    <cellStyle name="Output 2 6 6 2 2" xfId="22768"/>
    <cellStyle name="Output 2 6 6 2 3" xfId="22769"/>
    <cellStyle name="Output 2 6 6 2 4" xfId="22770"/>
    <cellStyle name="Output 2 6 6 2 5" xfId="22771"/>
    <cellStyle name="Output 2 6 6 2 6" xfId="36293"/>
    <cellStyle name="Output 2 6 6 2 7" xfId="47414"/>
    <cellStyle name="Output 2 6 6 2 8" xfId="55537"/>
    <cellStyle name="Output 2 6 6 20" xfId="918"/>
    <cellStyle name="Output 2 6 6 21" xfId="34998"/>
    <cellStyle name="Output 2 6 6 22" xfId="40707"/>
    <cellStyle name="Output 2 6 6 23" xfId="41217"/>
    <cellStyle name="Output 2 6 6 3" xfId="2592"/>
    <cellStyle name="Output 2 6 6 3 2" xfId="22772"/>
    <cellStyle name="Output 2 6 6 3 3" xfId="22773"/>
    <cellStyle name="Output 2 6 6 3 4" xfId="22774"/>
    <cellStyle name="Output 2 6 6 3 5" xfId="22775"/>
    <cellStyle name="Output 2 6 6 3 6" xfId="36790"/>
    <cellStyle name="Output 2 6 6 3 7" xfId="47415"/>
    <cellStyle name="Output 2 6 6 3 8" xfId="55538"/>
    <cellStyle name="Output 2 6 6 4" xfId="1375"/>
    <cellStyle name="Output 2 6 6 4 2" xfId="22776"/>
    <cellStyle name="Output 2 6 6 4 3" xfId="22777"/>
    <cellStyle name="Output 2 6 6 4 4" xfId="22778"/>
    <cellStyle name="Output 2 6 6 4 5" xfId="22779"/>
    <cellStyle name="Output 2 6 6 4 6" xfId="37406"/>
    <cellStyle name="Output 2 6 6 4 7" xfId="47416"/>
    <cellStyle name="Output 2 6 6 4 8" xfId="55539"/>
    <cellStyle name="Output 2 6 6 5" xfId="3443"/>
    <cellStyle name="Output 2 6 6 5 2" xfId="22780"/>
    <cellStyle name="Output 2 6 6 5 3" xfId="22781"/>
    <cellStyle name="Output 2 6 6 5 4" xfId="22782"/>
    <cellStyle name="Output 2 6 6 5 5" xfId="22783"/>
    <cellStyle name="Output 2 6 6 5 6" xfId="38022"/>
    <cellStyle name="Output 2 6 6 5 7" xfId="47417"/>
    <cellStyle name="Output 2 6 6 5 8" xfId="55540"/>
    <cellStyle name="Output 2 6 6 6" xfId="3765"/>
    <cellStyle name="Output 2 6 6 6 2" xfId="22784"/>
    <cellStyle name="Output 2 6 6 6 3" xfId="22785"/>
    <cellStyle name="Output 2 6 6 6 4" xfId="22786"/>
    <cellStyle name="Output 2 6 6 6 5" xfId="22787"/>
    <cellStyle name="Output 2 6 6 6 6" xfId="38640"/>
    <cellStyle name="Output 2 6 6 6 7" xfId="47418"/>
    <cellStyle name="Output 2 6 6 6 8" xfId="55541"/>
    <cellStyle name="Output 2 6 6 7" xfId="22788"/>
    <cellStyle name="Output 2 6 6 7 2" xfId="22789"/>
    <cellStyle name="Output 2 6 6 7 3" xfId="22790"/>
    <cellStyle name="Output 2 6 6 7 4" xfId="22791"/>
    <cellStyle name="Output 2 6 6 7 5" xfId="22792"/>
    <cellStyle name="Output 2 6 6 7 6" xfId="39260"/>
    <cellStyle name="Output 2 6 6 7 7" xfId="47419"/>
    <cellStyle name="Output 2 6 6 7 8" xfId="55542"/>
    <cellStyle name="Output 2 6 6 8" xfId="22793"/>
    <cellStyle name="Output 2 6 6 8 2" xfId="22794"/>
    <cellStyle name="Output 2 6 6 8 3" xfId="22795"/>
    <cellStyle name="Output 2 6 6 8 4" xfId="22796"/>
    <cellStyle name="Output 2 6 6 8 5" xfId="22797"/>
    <cellStyle name="Output 2 6 6 8 6" xfId="39876"/>
    <cellStyle name="Output 2 6 6 8 7" xfId="47420"/>
    <cellStyle name="Output 2 6 6 8 8" xfId="55543"/>
    <cellStyle name="Output 2 6 6 9" xfId="22798"/>
    <cellStyle name="Output 2 6 6 9 2" xfId="22799"/>
    <cellStyle name="Output 2 6 6 9 3" xfId="22800"/>
    <cellStyle name="Output 2 6 6 9 4" xfId="22801"/>
    <cellStyle name="Output 2 6 6 9 5" xfId="22802"/>
    <cellStyle name="Output 2 6 6 9 6" xfId="40491"/>
    <cellStyle name="Output 2 6 6 9 7" xfId="47421"/>
    <cellStyle name="Output 2 6 6 9 8" xfId="55544"/>
    <cellStyle name="Output 2 6 7" xfId="2593"/>
    <cellStyle name="Output 2 6 7 10" xfId="34886"/>
    <cellStyle name="Output 2 6 7 10 2" xfId="47423"/>
    <cellStyle name="Output 2 6 7 10 3" xfId="55546"/>
    <cellStyle name="Output 2 6 7 11" xfId="41003"/>
    <cellStyle name="Output 2 6 7 12" xfId="47422"/>
    <cellStyle name="Output 2 6 7 13" xfId="55545"/>
    <cellStyle name="Output 2 6 7 2" xfId="2594"/>
    <cellStyle name="Output 2 6 7 2 2" xfId="36080"/>
    <cellStyle name="Output 2 6 7 2 3" xfId="47424"/>
    <cellStyle name="Output 2 6 7 2 4" xfId="55547"/>
    <cellStyle name="Output 2 6 7 3" xfId="2595"/>
    <cellStyle name="Output 2 6 7 3 2" xfId="36579"/>
    <cellStyle name="Output 2 6 7 3 3" xfId="47425"/>
    <cellStyle name="Output 2 6 7 3 4" xfId="55548"/>
    <cellStyle name="Output 2 6 7 4" xfId="22803"/>
    <cellStyle name="Output 2 6 7 4 2" xfId="37195"/>
    <cellStyle name="Output 2 6 7 4 3" xfId="47426"/>
    <cellStyle name="Output 2 6 7 4 4" xfId="55549"/>
    <cellStyle name="Output 2 6 7 5" xfId="22804"/>
    <cellStyle name="Output 2 6 7 5 2" xfId="37811"/>
    <cellStyle name="Output 2 6 7 5 3" xfId="47427"/>
    <cellStyle name="Output 2 6 7 5 4" xfId="55550"/>
    <cellStyle name="Output 2 6 7 6" xfId="38426"/>
    <cellStyle name="Output 2 6 7 6 2" xfId="47428"/>
    <cellStyle name="Output 2 6 7 6 3" xfId="55551"/>
    <cellStyle name="Output 2 6 7 7" xfId="39046"/>
    <cellStyle name="Output 2 6 7 7 2" xfId="47429"/>
    <cellStyle name="Output 2 6 7 7 3" xfId="55552"/>
    <cellStyle name="Output 2 6 7 8" xfId="39662"/>
    <cellStyle name="Output 2 6 7 8 2" xfId="47430"/>
    <cellStyle name="Output 2 6 7 8 3" xfId="55553"/>
    <cellStyle name="Output 2 6 7 9" xfId="40277"/>
    <cellStyle name="Output 2 6 7 9 2" xfId="47431"/>
    <cellStyle name="Output 2 6 7 9 3" xfId="55554"/>
    <cellStyle name="Output 2 6 8" xfId="1358"/>
    <cellStyle name="Output 2 6 8 10" xfId="47432"/>
    <cellStyle name="Output 2 6 8 11" xfId="55555"/>
    <cellStyle name="Output 2 6 8 2" xfId="22805"/>
    <cellStyle name="Output 2 6 8 2 2" xfId="47433"/>
    <cellStyle name="Output 2 6 8 2 3" xfId="55556"/>
    <cellStyle name="Output 2 6 8 3" xfId="22806"/>
    <cellStyle name="Output 2 6 8 3 2" xfId="47434"/>
    <cellStyle name="Output 2 6 8 3 3" xfId="55557"/>
    <cellStyle name="Output 2 6 8 4" xfId="22807"/>
    <cellStyle name="Output 2 6 8 4 2" xfId="47435"/>
    <cellStyle name="Output 2 6 8 4 3" xfId="55558"/>
    <cellStyle name="Output 2 6 8 5" xfId="22808"/>
    <cellStyle name="Output 2 6 8 5 2" xfId="47436"/>
    <cellStyle name="Output 2 6 8 5 3" xfId="55559"/>
    <cellStyle name="Output 2 6 8 6" xfId="35397"/>
    <cellStyle name="Output 2 6 8 6 2" xfId="47437"/>
    <cellStyle name="Output 2 6 8 6 3" xfId="55560"/>
    <cellStyle name="Output 2 6 8 7" xfId="47438"/>
    <cellStyle name="Output 2 6 8 7 2" xfId="55561"/>
    <cellStyle name="Output 2 6 8 8" xfId="47439"/>
    <cellStyle name="Output 2 6 8 8 2" xfId="55562"/>
    <cellStyle name="Output 2 6 8 9" xfId="47440"/>
    <cellStyle name="Output 2 6 8 9 2" xfId="55563"/>
    <cellStyle name="Output 2 6 9" xfId="3426"/>
    <cellStyle name="Output 2 6 9 2" xfId="22809"/>
    <cellStyle name="Output 2 6 9 3" xfId="22810"/>
    <cellStyle name="Output 2 6 9 4" xfId="22811"/>
    <cellStyle name="Output 2 6 9 5" xfId="22812"/>
    <cellStyle name="Output 2 6 9 6" xfId="35928"/>
    <cellStyle name="Output 2 6 9 7" xfId="47441"/>
    <cellStyle name="Output 2 6 9 8" xfId="55564"/>
    <cellStyle name="Output 2 7" xfId="257"/>
    <cellStyle name="Output 2 7 10" xfId="3766"/>
    <cellStyle name="Output 2 7 10 2" xfId="22813"/>
    <cellStyle name="Output 2 7 10 3" xfId="22814"/>
    <cellStyle name="Output 2 7 10 4" xfId="22815"/>
    <cellStyle name="Output 2 7 10 5" xfId="22816"/>
    <cellStyle name="Output 2 7 10 6" xfId="35991"/>
    <cellStyle name="Output 2 7 10 7" xfId="47442"/>
    <cellStyle name="Output 2 7 10 8" xfId="55565"/>
    <cellStyle name="Output 2 7 11" xfId="22817"/>
    <cellStyle name="Output 2 7 11 2" xfId="22818"/>
    <cellStyle name="Output 2 7 11 3" xfId="22819"/>
    <cellStyle name="Output 2 7 11 4" xfId="22820"/>
    <cellStyle name="Output 2 7 11 5" xfId="22821"/>
    <cellStyle name="Output 2 7 11 6" xfId="36050"/>
    <cellStyle name="Output 2 7 11 7" xfId="47443"/>
    <cellStyle name="Output 2 7 11 8" xfId="55566"/>
    <cellStyle name="Output 2 7 12" xfId="22822"/>
    <cellStyle name="Output 2 7 12 2" xfId="22823"/>
    <cellStyle name="Output 2 7 12 3" xfId="22824"/>
    <cellStyle name="Output 2 7 12 4" xfId="22825"/>
    <cellStyle name="Output 2 7 12 5" xfId="22826"/>
    <cellStyle name="Output 2 7 12 6" xfId="36510"/>
    <cellStyle name="Output 2 7 12 7" xfId="47444"/>
    <cellStyle name="Output 2 7 12 8" xfId="55567"/>
    <cellStyle name="Output 2 7 13" xfId="22827"/>
    <cellStyle name="Output 2 7 13 2" xfId="22828"/>
    <cellStyle name="Output 2 7 13 3" xfId="22829"/>
    <cellStyle name="Output 2 7 13 4" xfId="22830"/>
    <cellStyle name="Output 2 7 13 5" xfId="22831"/>
    <cellStyle name="Output 2 7 13 6" xfId="37127"/>
    <cellStyle name="Output 2 7 13 7" xfId="47445"/>
    <cellStyle name="Output 2 7 13 8" xfId="55568"/>
    <cellStyle name="Output 2 7 14" xfId="22832"/>
    <cellStyle name="Output 2 7 14 2" xfId="22833"/>
    <cellStyle name="Output 2 7 14 3" xfId="22834"/>
    <cellStyle name="Output 2 7 14 4" xfId="22835"/>
    <cellStyle name="Output 2 7 14 5" xfId="22836"/>
    <cellStyle name="Output 2 7 14 6" xfId="37742"/>
    <cellStyle name="Output 2 7 14 7" xfId="47446"/>
    <cellStyle name="Output 2 7 14 8" xfId="55569"/>
    <cellStyle name="Output 2 7 15" xfId="22837"/>
    <cellStyle name="Output 2 7 15 2" xfId="22838"/>
    <cellStyle name="Output 2 7 15 3" xfId="22839"/>
    <cellStyle name="Output 2 7 15 4" xfId="22840"/>
    <cellStyle name="Output 2 7 15 5" xfId="22841"/>
    <cellStyle name="Output 2 7 15 6" xfId="38358"/>
    <cellStyle name="Output 2 7 15 7" xfId="47447"/>
    <cellStyle name="Output 2 7 15 8" xfId="55570"/>
    <cellStyle name="Output 2 7 16" xfId="22842"/>
    <cellStyle name="Output 2 7 16 2" xfId="22843"/>
    <cellStyle name="Output 2 7 16 3" xfId="22844"/>
    <cellStyle name="Output 2 7 16 4" xfId="22845"/>
    <cellStyle name="Output 2 7 16 5" xfId="22846"/>
    <cellStyle name="Output 2 7 16 6" xfId="40065"/>
    <cellStyle name="Output 2 7 16 7" xfId="47448"/>
    <cellStyle name="Output 2 7 16 8" xfId="55571"/>
    <cellStyle name="Output 2 7 17" xfId="22847"/>
    <cellStyle name="Output 2 7 17 2" xfId="22848"/>
    <cellStyle name="Output 2 7 17 3" xfId="22849"/>
    <cellStyle name="Output 2 7 17 4" xfId="22850"/>
    <cellStyle name="Output 2 7 17 5" xfId="22851"/>
    <cellStyle name="Output 2 7 17 6" xfId="47449"/>
    <cellStyle name="Output 2 7 17 7" xfId="55572"/>
    <cellStyle name="Output 2 7 18" xfId="22852"/>
    <cellStyle name="Output 2 7 18 2" xfId="22853"/>
    <cellStyle name="Output 2 7 18 3" xfId="22854"/>
    <cellStyle name="Output 2 7 18 4" xfId="22855"/>
    <cellStyle name="Output 2 7 18 5" xfId="22856"/>
    <cellStyle name="Output 2 7 19" xfId="22857"/>
    <cellStyle name="Output 2 7 19 2" xfId="22858"/>
    <cellStyle name="Output 2 7 19 3" xfId="22859"/>
    <cellStyle name="Output 2 7 19 4" xfId="22860"/>
    <cellStyle name="Output 2 7 19 5" xfId="22861"/>
    <cellStyle name="Output 2 7 2" xfId="297"/>
    <cellStyle name="Output 2 7 2 10" xfId="22862"/>
    <cellStyle name="Output 2 7 2 10 2" xfId="22863"/>
    <cellStyle name="Output 2 7 2 10 3" xfId="22864"/>
    <cellStyle name="Output 2 7 2 10 4" xfId="22865"/>
    <cellStyle name="Output 2 7 2 10 5" xfId="22866"/>
    <cellStyle name="Output 2 7 2 10 6" xfId="37625"/>
    <cellStyle name="Output 2 7 2 10 7" xfId="47450"/>
    <cellStyle name="Output 2 7 2 10 8" xfId="55573"/>
    <cellStyle name="Output 2 7 2 11" xfId="22867"/>
    <cellStyle name="Output 2 7 2 11 2" xfId="22868"/>
    <cellStyle name="Output 2 7 2 11 3" xfId="22869"/>
    <cellStyle name="Output 2 7 2 11 4" xfId="22870"/>
    <cellStyle name="Output 2 7 2 11 5" xfId="22871"/>
    <cellStyle name="Output 2 7 2 11 6" xfId="38242"/>
    <cellStyle name="Output 2 7 2 11 7" xfId="47451"/>
    <cellStyle name="Output 2 7 2 11 8" xfId="55574"/>
    <cellStyle name="Output 2 7 2 12" xfId="22872"/>
    <cellStyle name="Output 2 7 2 12 2" xfId="22873"/>
    <cellStyle name="Output 2 7 2 12 3" xfId="22874"/>
    <cellStyle name="Output 2 7 2 12 4" xfId="22875"/>
    <cellStyle name="Output 2 7 2 12 5" xfId="22876"/>
    <cellStyle name="Output 2 7 2 12 6" xfId="38864"/>
    <cellStyle name="Output 2 7 2 12 7" xfId="47452"/>
    <cellStyle name="Output 2 7 2 12 8" xfId="55575"/>
    <cellStyle name="Output 2 7 2 13" xfId="22877"/>
    <cellStyle name="Output 2 7 2 13 2" xfId="22878"/>
    <cellStyle name="Output 2 7 2 13 3" xfId="22879"/>
    <cellStyle name="Output 2 7 2 13 4" xfId="22880"/>
    <cellStyle name="Output 2 7 2 13 5" xfId="22881"/>
    <cellStyle name="Output 2 7 2 13 6" xfId="39484"/>
    <cellStyle name="Output 2 7 2 13 7" xfId="47453"/>
    <cellStyle name="Output 2 7 2 13 8" xfId="55576"/>
    <cellStyle name="Output 2 7 2 14" xfId="22882"/>
    <cellStyle name="Output 2 7 2 14 2" xfId="22883"/>
    <cellStyle name="Output 2 7 2 14 3" xfId="22884"/>
    <cellStyle name="Output 2 7 2 14 4" xfId="22885"/>
    <cellStyle name="Output 2 7 2 14 5" xfId="22886"/>
    <cellStyle name="Output 2 7 2 14 6" xfId="40102"/>
    <cellStyle name="Output 2 7 2 14 7" xfId="47454"/>
    <cellStyle name="Output 2 7 2 14 8" xfId="55577"/>
    <cellStyle name="Output 2 7 2 15" xfId="22887"/>
    <cellStyle name="Output 2 7 2 15 2" xfId="22888"/>
    <cellStyle name="Output 2 7 2 15 3" xfId="22889"/>
    <cellStyle name="Output 2 7 2 15 4" xfId="22890"/>
    <cellStyle name="Output 2 7 2 15 5" xfId="22891"/>
    <cellStyle name="Output 2 7 2 15 6" xfId="47455"/>
    <cellStyle name="Output 2 7 2 15 7" xfId="55578"/>
    <cellStyle name="Output 2 7 2 16" xfId="22892"/>
    <cellStyle name="Output 2 7 2 16 2" xfId="22893"/>
    <cellStyle name="Output 2 7 2 16 3" xfId="22894"/>
    <cellStyle name="Output 2 7 2 16 4" xfId="22895"/>
    <cellStyle name="Output 2 7 2 16 5" xfId="22896"/>
    <cellStyle name="Output 2 7 2 17" xfId="22897"/>
    <cellStyle name="Output 2 7 2 17 2" xfId="22898"/>
    <cellStyle name="Output 2 7 2 17 3" xfId="22899"/>
    <cellStyle name="Output 2 7 2 17 4" xfId="22900"/>
    <cellStyle name="Output 2 7 2 17 5" xfId="22901"/>
    <cellStyle name="Output 2 7 2 18" xfId="22902"/>
    <cellStyle name="Output 2 7 2 19" xfId="742"/>
    <cellStyle name="Output 2 7 2 2" xfId="406"/>
    <cellStyle name="Output 2 7 2 2 10" xfId="22903"/>
    <cellStyle name="Output 2 7 2 2 10 2" xfId="22904"/>
    <cellStyle name="Output 2 7 2 2 10 3" xfId="22905"/>
    <cellStyle name="Output 2 7 2 2 10 4" xfId="22906"/>
    <cellStyle name="Output 2 7 2 2 10 5" xfId="22907"/>
    <cellStyle name="Output 2 7 2 2 10 6" xfId="39584"/>
    <cellStyle name="Output 2 7 2 2 10 7" xfId="47456"/>
    <cellStyle name="Output 2 7 2 2 10 8" xfId="55579"/>
    <cellStyle name="Output 2 7 2 2 11" xfId="22908"/>
    <cellStyle name="Output 2 7 2 2 11 2" xfId="22909"/>
    <cellStyle name="Output 2 7 2 2 11 3" xfId="22910"/>
    <cellStyle name="Output 2 7 2 2 11 4" xfId="22911"/>
    <cellStyle name="Output 2 7 2 2 11 5" xfId="22912"/>
    <cellStyle name="Output 2 7 2 2 11 6" xfId="40200"/>
    <cellStyle name="Output 2 7 2 2 11 7" xfId="47457"/>
    <cellStyle name="Output 2 7 2 2 11 8" xfId="55580"/>
    <cellStyle name="Output 2 7 2 2 12" xfId="22913"/>
    <cellStyle name="Output 2 7 2 2 12 2" xfId="22914"/>
    <cellStyle name="Output 2 7 2 2 12 3" xfId="22915"/>
    <cellStyle name="Output 2 7 2 2 12 4" xfId="22916"/>
    <cellStyle name="Output 2 7 2 2 12 5" xfId="22917"/>
    <cellStyle name="Output 2 7 2 2 12 6" xfId="47458"/>
    <cellStyle name="Output 2 7 2 2 12 7" xfId="55581"/>
    <cellStyle name="Output 2 7 2 2 13" xfId="22918"/>
    <cellStyle name="Output 2 7 2 2 13 2" xfId="22919"/>
    <cellStyle name="Output 2 7 2 2 13 3" xfId="22920"/>
    <cellStyle name="Output 2 7 2 2 13 4" xfId="22921"/>
    <cellStyle name="Output 2 7 2 2 13 5" xfId="22922"/>
    <cellStyle name="Output 2 7 2 2 13 6" xfId="47459"/>
    <cellStyle name="Output 2 7 2 2 13 7" xfId="55582"/>
    <cellStyle name="Output 2 7 2 2 14" xfId="22923"/>
    <cellStyle name="Output 2 7 2 2 14 2" xfId="22924"/>
    <cellStyle name="Output 2 7 2 2 14 3" xfId="22925"/>
    <cellStyle name="Output 2 7 2 2 14 4" xfId="22926"/>
    <cellStyle name="Output 2 7 2 2 14 5" xfId="22927"/>
    <cellStyle name="Output 2 7 2 2 15" xfId="22928"/>
    <cellStyle name="Output 2 7 2 2 15 2" xfId="22929"/>
    <cellStyle name="Output 2 7 2 2 15 3" xfId="22930"/>
    <cellStyle name="Output 2 7 2 2 15 4" xfId="22931"/>
    <cellStyle name="Output 2 7 2 2 15 5" xfId="22932"/>
    <cellStyle name="Output 2 7 2 2 16" xfId="22933"/>
    <cellStyle name="Output 2 7 2 2 16 2" xfId="22934"/>
    <cellStyle name="Output 2 7 2 2 16 3" xfId="22935"/>
    <cellStyle name="Output 2 7 2 2 16 4" xfId="22936"/>
    <cellStyle name="Output 2 7 2 2 16 5" xfId="22937"/>
    <cellStyle name="Output 2 7 2 2 17" xfId="22938"/>
    <cellStyle name="Output 2 7 2 2 17 2" xfId="22939"/>
    <cellStyle name="Output 2 7 2 2 17 3" xfId="22940"/>
    <cellStyle name="Output 2 7 2 2 17 4" xfId="22941"/>
    <cellStyle name="Output 2 7 2 2 17 5" xfId="22942"/>
    <cellStyle name="Output 2 7 2 2 18" xfId="22943"/>
    <cellStyle name="Output 2 7 2 2 18 2" xfId="22944"/>
    <cellStyle name="Output 2 7 2 2 18 3" xfId="22945"/>
    <cellStyle name="Output 2 7 2 2 18 4" xfId="22946"/>
    <cellStyle name="Output 2 7 2 2 18 5" xfId="22947"/>
    <cellStyle name="Output 2 7 2 2 19" xfId="22948"/>
    <cellStyle name="Output 2 7 2 2 2" xfId="625"/>
    <cellStyle name="Output 2 7 2 2 2 10" xfId="22949"/>
    <cellStyle name="Output 2 7 2 2 2 10 2" xfId="22950"/>
    <cellStyle name="Output 2 7 2 2 2 10 3" xfId="22951"/>
    <cellStyle name="Output 2 7 2 2 2 10 4" xfId="22952"/>
    <cellStyle name="Output 2 7 2 2 2 10 5" xfId="22953"/>
    <cellStyle name="Output 2 7 2 2 2 10 6" xfId="47460"/>
    <cellStyle name="Output 2 7 2 2 2 10 7" xfId="55583"/>
    <cellStyle name="Output 2 7 2 2 2 11" xfId="22954"/>
    <cellStyle name="Output 2 7 2 2 2 11 2" xfId="22955"/>
    <cellStyle name="Output 2 7 2 2 2 11 3" xfId="22956"/>
    <cellStyle name="Output 2 7 2 2 2 11 4" xfId="22957"/>
    <cellStyle name="Output 2 7 2 2 2 11 5" xfId="22958"/>
    <cellStyle name="Output 2 7 2 2 2 12" xfId="22959"/>
    <cellStyle name="Output 2 7 2 2 2 12 2" xfId="22960"/>
    <cellStyle name="Output 2 7 2 2 2 12 3" xfId="22961"/>
    <cellStyle name="Output 2 7 2 2 2 12 4" xfId="22962"/>
    <cellStyle name="Output 2 7 2 2 2 12 5" xfId="22963"/>
    <cellStyle name="Output 2 7 2 2 2 13" xfId="22964"/>
    <cellStyle name="Output 2 7 2 2 2 13 2" xfId="22965"/>
    <cellStyle name="Output 2 7 2 2 2 13 3" xfId="22966"/>
    <cellStyle name="Output 2 7 2 2 2 13 4" xfId="22967"/>
    <cellStyle name="Output 2 7 2 2 2 13 5" xfId="22968"/>
    <cellStyle name="Output 2 7 2 2 2 14" xfId="22969"/>
    <cellStyle name="Output 2 7 2 2 2 14 2" xfId="22970"/>
    <cellStyle name="Output 2 7 2 2 2 14 3" xfId="22971"/>
    <cellStyle name="Output 2 7 2 2 2 14 4" xfId="22972"/>
    <cellStyle name="Output 2 7 2 2 2 14 5" xfId="22973"/>
    <cellStyle name="Output 2 7 2 2 2 15" xfId="22974"/>
    <cellStyle name="Output 2 7 2 2 2 15 2" xfId="22975"/>
    <cellStyle name="Output 2 7 2 2 2 15 3" xfId="22976"/>
    <cellStyle name="Output 2 7 2 2 2 15 4" xfId="22977"/>
    <cellStyle name="Output 2 7 2 2 2 15 5" xfId="22978"/>
    <cellStyle name="Output 2 7 2 2 2 16" xfId="22979"/>
    <cellStyle name="Output 2 7 2 2 2 16 2" xfId="22980"/>
    <cellStyle name="Output 2 7 2 2 2 16 3" xfId="22981"/>
    <cellStyle name="Output 2 7 2 2 2 16 4" xfId="22982"/>
    <cellStyle name="Output 2 7 2 2 2 16 5" xfId="22983"/>
    <cellStyle name="Output 2 7 2 2 2 17" xfId="22984"/>
    <cellStyle name="Output 2 7 2 2 2 17 2" xfId="22985"/>
    <cellStyle name="Output 2 7 2 2 2 17 3" xfId="22986"/>
    <cellStyle name="Output 2 7 2 2 2 17 4" xfId="22987"/>
    <cellStyle name="Output 2 7 2 2 2 17 5" xfId="22988"/>
    <cellStyle name="Output 2 7 2 2 2 18" xfId="22989"/>
    <cellStyle name="Output 2 7 2 2 2 18 2" xfId="22990"/>
    <cellStyle name="Output 2 7 2 2 2 18 3" xfId="22991"/>
    <cellStyle name="Output 2 7 2 2 2 18 4" xfId="22992"/>
    <cellStyle name="Output 2 7 2 2 2 18 5" xfId="22993"/>
    <cellStyle name="Output 2 7 2 2 2 19" xfId="22994"/>
    <cellStyle name="Output 2 7 2 2 2 2" xfId="2596"/>
    <cellStyle name="Output 2 7 2 2 2 2 2" xfId="22995"/>
    <cellStyle name="Output 2 7 2 2 2 2 3" xfId="22996"/>
    <cellStyle name="Output 2 7 2 2 2 2 4" xfId="22997"/>
    <cellStyle name="Output 2 7 2 2 2 2 5" xfId="22998"/>
    <cellStyle name="Output 2 7 2 2 2 2 6" xfId="36429"/>
    <cellStyle name="Output 2 7 2 2 2 2 7" xfId="47461"/>
    <cellStyle name="Output 2 7 2 2 2 2 8" xfId="55584"/>
    <cellStyle name="Output 2 7 2 2 2 20" xfId="1054"/>
    <cellStyle name="Output 2 7 2 2 2 21" xfId="35134"/>
    <cellStyle name="Output 2 7 2 2 2 22" xfId="41353"/>
    <cellStyle name="Output 2 7 2 2 2 3" xfId="2597"/>
    <cellStyle name="Output 2 7 2 2 2 3 2" xfId="22999"/>
    <cellStyle name="Output 2 7 2 2 2 3 3" xfId="23000"/>
    <cellStyle name="Output 2 7 2 2 2 3 4" xfId="23001"/>
    <cellStyle name="Output 2 7 2 2 2 3 5" xfId="23002"/>
    <cellStyle name="Output 2 7 2 2 2 3 6" xfId="36926"/>
    <cellStyle name="Output 2 7 2 2 2 3 7" xfId="47462"/>
    <cellStyle name="Output 2 7 2 2 2 3 8" xfId="55585"/>
    <cellStyle name="Output 2 7 2 2 2 4" xfId="1379"/>
    <cellStyle name="Output 2 7 2 2 2 4 2" xfId="23003"/>
    <cellStyle name="Output 2 7 2 2 2 4 3" xfId="23004"/>
    <cellStyle name="Output 2 7 2 2 2 4 4" xfId="23005"/>
    <cellStyle name="Output 2 7 2 2 2 4 5" xfId="23006"/>
    <cellStyle name="Output 2 7 2 2 2 4 6" xfId="37542"/>
    <cellStyle name="Output 2 7 2 2 2 4 7" xfId="47463"/>
    <cellStyle name="Output 2 7 2 2 2 4 8" xfId="55586"/>
    <cellStyle name="Output 2 7 2 2 2 5" xfId="3447"/>
    <cellStyle name="Output 2 7 2 2 2 5 2" xfId="23007"/>
    <cellStyle name="Output 2 7 2 2 2 5 3" xfId="23008"/>
    <cellStyle name="Output 2 7 2 2 2 5 4" xfId="23009"/>
    <cellStyle name="Output 2 7 2 2 2 5 5" xfId="23010"/>
    <cellStyle name="Output 2 7 2 2 2 5 6" xfId="38158"/>
    <cellStyle name="Output 2 7 2 2 2 5 7" xfId="47464"/>
    <cellStyle name="Output 2 7 2 2 2 5 8" xfId="55587"/>
    <cellStyle name="Output 2 7 2 2 2 6" xfId="3769"/>
    <cellStyle name="Output 2 7 2 2 2 6 2" xfId="23011"/>
    <cellStyle name="Output 2 7 2 2 2 6 3" xfId="23012"/>
    <cellStyle name="Output 2 7 2 2 2 6 4" xfId="23013"/>
    <cellStyle name="Output 2 7 2 2 2 6 5" xfId="23014"/>
    <cellStyle name="Output 2 7 2 2 2 6 6" xfId="38776"/>
    <cellStyle name="Output 2 7 2 2 2 6 7" xfId="47465"/>
    <cellStyle name="Output 2 7 2 2 2 6 8" xfId="55588"/>
    <cellStyle name="Output 2 7 2 2 2 7" xfId="23015"/>
    <cellStyle name="Output 2 7 2 2 2 7 2" xfId="23016"/>
    <cellStyle name="Output 2 7 2 2 2 7 3" xfId="23017"/>
    <cellStyle name="Output 2 7 2 2 2 7 4" xfId="23018"/>
    <cellStyle name="Output 2 7 2 2 2 7 5" xfId="23019"/>
    <cellStyle name="Output 2 7 2 2 2 7 6" xfId="39396"/>
    <cellStyle name="Output 2 7 2 2 2 7 7" xfId="47466"/>
    <cellStyle name="Output 2 7 2 2 2 7 8" xfId="55589"/>
    <cellStyle name="Output 2 7 2 2 2 8" xfId="23020"/>
    <cellStyle name="Output 2 7 2 2 2 8 2" xfId="23021"/>
    <cellStyle name="Output 2 7 2 2 2 8 3" xfId="23022"/>
    <cellStyle name="Output 2 7 2 2 2 8 4" xfId="23023"/>
    <cellStyle name="Output 2 7 2 2 2 8 5" xfId="23024"/>
    <cellStyle name="Output 2 7 2 2 2 8 6" xfId="40012"/>
    <cellStyle name="Output 2 7 2 2 2 8 7" xfId="47467"/>
    <cellStyle name="Output 2 7 2 2 2 8 8" xfId="55590"/>
    <cellStyle name="Output 2 7 2 2 2 9" xfId="23025"/>
    <cellStyle name="Output 2 7 2 2 2 9 2" xfId="23026"/>
    <cellStyle name="Output 2 7 2 2 2 9 3" xfId="23027"/>
    <cellStyle name="Output 2 7 2 2 2 9 4" xfId="23028"/>
    <cellStyle name="Output 2 7 2 2 2 9 5" xfId="23029"/>
    <cellStyle name="Output 2 7 2 2 2 9 6" xfId="40627"/>
    <cellStyle name="Output 2 7 2 2 2 9 7" xfId="47468"/>
    <cellStyle name="Output 2 7 2 2 2 9 8" xfId="55591"/>
    <cellStyle name="Output 2 7 2 2 20" xfId="842"/>
    <cellStyle name="Output 2 7 2 2 21" xfId="34694"/>
    <cellStyle name="Output 2 7 2 2 22" xfId="40926"/>
    <cellStyle name="Output 2 7 2 2 23" xfId="41487"/>
    <cellStyle name="Output 2 7 2 2 24" xfId="50574"/>
    <cellStyle name="Output 2 7 2 2 3" xfId="2598"/>
    <cellStyle name="Output 2 7 2 2 3 10" xfId="34607"/>
    <cellStyle name="Output 2 7 2 2 3 10 2" xfId="47470"/>
    <cellStyle name="Output 2 7 2 2 3 10 3" xfId="55593"/>
    <cellStyle name="Output 2 7 2 2 3 11" xfId="41141"/>
    <cellStyle name="Output 2 7 2 2 3 12" xfId="47469"/>
    <cellStyle name="Output 2 7 2 2 3 13" xfId="55592"/>
    <cellStyle name="Output 2 7 2 2 3 2" xfId="2599"/>
    <cellStyle name="Output 2 7 2 2 3 2 2" xfId="36218"/>
    <cellStyle name="Output 2 7 2 2 3 2 3" xfId="47471"/>
    <cellStyle name="Output 2 7 2 2 3 2 4" xfId="55594"/>
    <cellStyle name="Output 2 7 2 2 3 3" xfId="2600"/>
    <cellStyle name="Output 2 7 2 2 3 3 2" xfId="36715"/>
    <cellStyle name="Output 2 7 2 2 3 3 3" xfId="47472"/>
    <cellStyle name="Output 2 7 2 2 3 3 4" xfId="55595"/>
    <cellStyle name="Output 2 7 2 2 3 4" xfId="23030"/>
    <cellStyle name="Output 2 7 2 2 3 4 2" xfId="37331"/>
    <cellStyle name="Output 2 7 2 2 3 4 3" xfId="47473"/>
    <cellStyle name="Output 2 7 2 2 3 4 4" xfId="55596"/>
    <cellStyle name="Output 2 7 2 2 3 5" xfId="23031"/>
    <cellStyle name="Output 2 7 2 2 3 5 2" xfId="37947"/>
    <cellStyle name="Output 2 7 2 2 3 5 3" xfId="47474"/>
    <cellStyle name="Output 2 7 2 2 3 5 4" xfId="55597"/>
    <cellStyle name="Output 2 7 2 2 3 6" xfId="38564"/>
    <cellStyle name="Output 2 7 2 2 3 6 2" xfId="47475"/>
    <cellStyle name="Output 2 7 2 2 3 6 3" xfId="55598"/>
    <cellStyle name="Output 2 7 2 2 3 7" xfId="39184"/>
    <cellStyle name="Output 2 7 2 2 3 7 2" xfId="47476"/>
    <cellStyle name="Output 2 7 2 2 3 7 3" xfId="55599"/>
    <cellStyle name="Output 2 7 2 2 3 8" xfId="39800"/>
    <cellStyle name="Output 2 7 2 2 3 8 2" xfId="47477"/>
    <cellStyle name="Output 2 7 2 2 3 8 3" xfId="55600"/>
    <cellStyle name="Output 2 7 2 2 3 9" xfId="40415"/>
    <cellStyle name="Output 2 7 2 2 3 9 2" xfId="47478"/>
    <cellStyle name="Output 2 7 2 2 3 9 3" xfId="55601"/>
    <cellStyle name="Output 2 7 2 2 4" xfId="2601"/>
    <cellStyle name="Output 2 7 2 2 4 10" xfId="47479"/>
    <cellStyle name="Output 2 7 2 2 4 11" xfId="55602"/>
    <cellStyle name="Output 2 7 2 2 4 2" xfId="23032"/>
    <cellStyle name="Output 2 7 2 2 4 2 2" xfId="47480"/>
    <cellStyle name="Output 2 7 2 2 4 2 3" xfId="55603"/>
    <cellStyle name="Output 2 7 2 2 4 3" xfId="23033"/>
    <cellStyle name="Output 2 7 2 2 4 3 2" xfId="47481"/>
    <cellStyle name="Output 2 7 2 2 4 3 3" xfId="55604"/>
    <cellStyle name="Output 2 7 2 2 4 4" xfId="23034"/>
    <cellStyle name="Output 2 7 2 2 4 4 2" xfId="47482"/>
    <cellStyle name="Output 2 7 2 2 4 4 3" xfId="55605"/>
    <cellStyle name="Output 2 7 2 2 4 5" xfId="23035"/>
    <cellStyle name="Output 2 7 2 2 4 5 2" xfId="47483"/>
    <cellStyle name="Output 2 7 2 2 4 5 3" xfId="55606"/>
    <cellStyle name="Output 2 7 2 2 4 6" xfId="35705"/>
    <cellStyle name="Output 2 7 2 2 4 6 2" xfId="47484"/>
    <cellStyle name="Output 2 7 2 2 4 6 3" xfId="55607"/>
    <cellStyle name="Output 2 7 2 2 4 7" xfId="47485"/>
    <cellStyle name="Output 2 7 2 2 4 7 2" xfId="55608"/>
    <cellStyle name="Output 2 7 2 2 4 8" xfId="47486"/>
    <cellStyle name="Output 2 7 2 2 4 8 2" xfId="55609"/>
    <cellStyle name="Output 2 7 2 2 4 9" xfId="47487"/>
    <cellStyle name="Output 2 7 2 2 4 9 2" xfId="55610"/>
    <cellStyle name="Output 2 7 2 2 5" xfId="1378"/>
    <cellStyle name="Output 2 7 2 2 5 2" xfId="23036"/>
    <cellStyle name="Output 2 7 2 2 5 3" xfId="23037"/>
    <cellStyle name="Output 2 7 2 2 5 4" xfId="23038"/>
    <cellStyle name="Output 2 7 2 2 5 5" xfId="23039"/>
    <cellStyle name="Output 2 7 2 2 5 6" xfId="36500"/>
    <cellStyle name="Output 2 7 2 2 5 7" xfId="47488"/>
    <cellStyle name="Output 2 7 2 2 5 8" xfId="55611"/>
    <cellStyle name="Output 2 7 2 2 6" xfId="3446"/>
    <cellStyle name="Output 2 7 2 2 6 2" xfId="23040"/>
    <cellStyle name="Output 2 7 2 2 6 3" xfId="23041"/>
    <cellStyle name="Output 2 7 2 2 6 4" xfId="23042"/>
    <cellStyle name="Output 2 7 2 2 6 5" xfId="23043"/>
    <cellStyle name="Output 2 7 2 2 6 6" xfId="37116"/>
    <cellStyle name="Output 2 7 2 2 6 7" xfId="47489"/>
    <cellStyle name="Output 2 7 2 2 6 8" xfId="55612"/>
    <cellStyle name="Output 2 7 2 2 7" xfId="3768"/>
    <cellStyle name="Output 2 7 2 2 7 2" xfId="23044"/>
    <cellStyle name="Output 2 7 2 2 7 3" xfId="23045"/>
    <cellStyle name="Output 2 7 2 2 7 4" xfId="23046"/>
    <cellStyle name="Output 2 7 2 2 7 5" xfId="23047"/>
    <cellStyle name="Output 2 7 2 2 7 6" xfId="37730"/>
    <cellStyle name="Output 2 7 2 2 7 7" xfId="47490"/>
    <cellStyle name="Output 2 7 2 2 7 8" xfId="55613"/>
    <cellStyle name="Output 2 7 2 2 8" xfId="23048"/>
    <cellStyle name="Output 2 7 2 2 8 2" xfId="23049"/>
    <cellStyle name="Output 2 7 2 2 8 3" xfId="23050"/>
    <cellStyle name="Output 2 7 2 2 8 4" xfId="23051"/>
    <cellStyle name="Output 2 7 2 2 8 5" xfId="23052"/>
    <cellStyle name="Output 2 7 2 2 8 6" xfId="38345"/>
    <cellStyle name="Output 2 7 2 2 8 7" xfId="47491"/>
    <cellStyle name="Output 2 7 2 2 8 8" xfId="55614"/>
    <cellStyle name="Output 2 7 2 2 9" xfId="23053"/>
    <cellStyle name="Output 2 7 2 2 9 2" xfId="23054"/>
    <cellStyle name="Output 2 7 2 2 9 3" xfId="23055"/>
    <cellStyle name="Output 2 7 2 2 9 4" xfId="23056"/>
    <cellStyle name="Output 2 7 2 2 9 5" xfId="23057"/>
    <cellStyle name="Output 2 7 2 2 9 6" xfId="38965"/>
    <cellStyle name="Output 2 7 2 2 9 7" xfId="47492"/>
    <cellStyle name="Output 2 7 2 2 9 8" xfId="55615"/>
    <cellStyle name="Output 2 7 2 20" xfId="34858"/>
    <cellStyle name="Output 2 7 2 21" xfId="40826"/>
    <cellStyle name="Output 2 7 2 3" xfId="407"/>
    <cellStyle name="Output 2 7 2 3 10" xfId="23058"/>
    <cellStyle name="Output 2 7 2 3 10 2" xfId="23059"/>
    <cellStyle name="Output 2 7 2 3 10 3" xfId="23060"/>
    <cellStyle name="Output 2 7 2 3 10 4" xfId="23061"/>
    <cellStyle name="Output 2 7 2 3 10 5" xfId="23062"/>
    <cellStyle name="Output 2 7 2 3 10 6" xfId="40201"/>
    <cellStyle name="Output 2 7 2 3 10 7" xfId="47493"/>
    <cellStyle name="Output 2 7 2 3 10 8" xfId="55616"/>
    <cellStyle name="Output 2 7 2 3 11" xfId="23063"/>
    <cellStyle name="Output 2 7 2 3 11 2" xfId="23064"/>
    <cellStyle name="Output 2 7 2 3 11 3" xfId="23065"/>
    <cellStyle name="Output 2 7 2 3 11 4" xfId="23066"/>
    <cellStyle name="Output 2 7 2 3 11 5" xfId="23067"/>
    <cellStyle name="Output 2 7 2 3 11 6" xfId="47494"/>
    <cellStyle name="Output 2 7 2 3 11 7" xfId="55617"/>
    <cellStyle name="Output 2 7 2 3 12" xfId="23068"/>
    <cellStyle name="Output 2 7 2 3 12 2" xfId="23069"/>
    <cellStyle name="Output 2 7 2 3 12 3" xfId="23070"/>
    <cellStyle name="Output 2 7 2 3 12 4" xfId="23071"/>
    <cellStyle name="Output 2 7 2 3 12 5" xfId="23072"/>
    <cellStyle name="Output 2 7 2 3 12 6" xfId="47495"/>
    <cellStyle name="Output 2 7 2 3 12 7" xfId="55618"/>
    <cellStyle name="Output 2 7 2 3 13" xfId="23073"/>
    <cellStyle name="Output 2 7 2 3 13 2" xfId="23074"/>
    <cellStyle name="Output 2 7 2 3 13 3" xfId="23075"/>
    <cellStyle name="Output 2 7 2 3 13 4" xfId="23076"/>
    <cellStyle name="Output 2 7 2 3 13 5" xfId="23077"/>
    <cellStyle name="Output 2 7 2 3 13 6" xfId="47496"/>
    <cellStyle name="Output 2 7 2 3 13 7" xfId="55619"/>
    <cellStyle name="Output 2 7 2 3 14" xfId="23078"/>
    <cellStyle name="Output 2 7 2 3 14 2" xfId="23079"/>
    <cellStyle name="Output 2 7 2 3 14 3" xfId="23080"/>
    <cellStyle name="Output 2 7 2 3 14 4" xfId="23081"/>
    <cellStyle name="Output 2 7 2 3 14 5" xfId="23082"/>
    <cellStyle name="Output 2 7 2 3 15" xfId="23083"/>
    <cellStyle name="Output 2 7 2 3 15 2" xfId="23084"/>
    <cellStyle name="Output 2 7 2 3 15 3" xfId="23085"/>
    <cellStyle name="Output 2 7 2 3 15 4" xfId="23086"/>
    <cellStyle name="Output 2 7 2 3 15 5" xfId="23087"/>
    <cellStyle name="Output 2 7 2 3 16" xfId="23088"/>
    <cellStyle name="Output 2 7 2 3 16 2" xfId="23089"/>
    <cellStyle name="Output 2 7 2 3 16 3" xfId="23090"/>
    <cellStyle name="Output 2 7 2 3 16 4" xfId="23091"/>
    <cellStyle name="Output 2 7 2 3 16 5" xfId="23092"/>
    <cellStyle name="Output 2 7 2 3 17" xfId="23093"/>
    <cellStyle name="Output 2 7 2 3 17 2" xfId="23094"/>
    <cellStyle name="Output 2 7 2 3 17 3" xfId="23095"/>
    <cellStyle name="Output 2 7 2 3 17 4" xfId="23096"/>
    <cellStyle name="Output 2 7 2 3 17 5" xfId="23097"/>
    <cellStyle name="Output 2 7 2 3 18" xfId="23098"/>
    <cellStyle name="Output 2 7 2 3 18 2" xfId="23099"/>
    <cellStyle name="Output 2 7 2 3 18 3" xfId="23100"/>
    <cellStyle name="Output 2 7 2 3 18 4" xfId="23101"/>
    <cellStyle name="Output 2 7 2 3 18 5" xfId="23102"/>
    <cellStyle name="Output 2 7 2 3 19" xfId="23103"/>
    <cellStyle name="Output 2 7 2 3 2" xfId="626"/>
    <cellStyle name="Output 2 7 2 3 2 10" xfId="23104"/>
    <cellStyle name="Output 2 7 2 3 2 10 2" xfId="23105"/>
    <cellStyle name="Output 2 7 2 3 2 10 3" xfId="23106"/>
    <cellStyle name="Output 2 7 2 3 2 10 4" xfId="23107"/>
    <cellStyle name="Output 2 7 2 3 2 10 5" xfId="23108"/>
    <cellStyle name="Output 2 7 2 3 2 10 6" xfId="47497"/>
    <cellStyle name="Output 2 7 2 3 2 10 7" xfId="55620"/>
    <cellStyle name="Output 2 7 2 3 2 11" xfId="23109"/>
    <cellStyle name="Output 2 7 2 3 2 11 2" xfId="23110"/>
    <cellStyle name="Output 2 7 2 3 2 11 3" xfId="23111"/>
    <cellStyle name="Output 2 7 2 3 2 11 4" xfId="23112"/>
    <cellStyle name="Output 2 7 2 3 2 11 5" xfId="23113"/>
    <cellStyle name="Output 2 7 2 3 2 12" xfId="23114"/>
    <cellStyle name="Output 2 7 2 3 2 12 2" xfId="23115"/>
    <cellStyle name="Output 2 7 2 3 2 12 3" xfId="23116"/>
    <cellStyle name="Output 2 7 2 3 2 12 4" xfId="23117"/>
    <cellStyle name="Output 2 7 2 3 2 12 5" xfId="23118"/>
    <cellStyle name="Output 2 7 2 3 2 13" xfId="23119"/>
    <cellStyle name="Output 2 7 2 3 2 13 2" xfId="23120"/>
    <cellStyle name="Output 2 7 2 3 2 13 3" xfId="23121"/>
    <cellStyle name="Output 2 7 2 3 2 13 4" xfId="23122"/>
    <cellStyle name="Output 2 7 2 3 2 13 5" xfId="23123"/>
    <cellStyle name="Output 2 7 2 3 2 14" xfId="23124"/>
    <cellStyle name="Output 2 7 2 3 2 14 2" xfId="23125"/>
    <cellStyle name="Output 2 7 2 3 2 14 3" xfId="23126"/>
    <cellStyle name="Output 2 7 2 3 2 14 4" xfId="23127"/>
    <cellStyle name="Output 2 7 2 3 2 14 5" xfId="23128"/>
    <cellStyle name="Output 2 7 2 3 2 15" xfId="23129"/>
    <cellStyle name="Output 2 7 2 3 2 15 2" xfId="23130"/>
    <cellStyle name="Output 2 7 2 3 2 15 3" xfId="23131"/>
    <cellStyle name="Output 2 7 2 3 2 15 4" xfId="23132"/>
    <cellStyle name="Output 2 7 2 3 2 15 5" xfId="23133"/>
    <cellStyle name="Output 2 7 2 3 2 16" xfId="23134"/>
    <cellStyle name="Output 2 7 2 3 2 16 2" xfId="23135"/>
    <cellStyle name="Output 2 7 2 3 2 16 3" xfId="23136"/>
    <cellStyle name="Output 2 7 2 3 2 16 4" xfId="23137"/>
    <cellStyle name="Output 2 7 2 3 2 16 5" xfId="23138"/>
    <cellStyle name="Output 2 7 2 3 2 17" xfId="23139"/>
    <cellStyle name="Output 2 7 2 3 2 17 2" xfId="23140"/>
    <cellStyle name="Output 2 7 2 3 2 17 3" xfId="23141"/>
    <cellStyle name="Output 2 7 2 3 2 17 4" xfId="23142"/>
    <cellStyle name="Output 2 7 2 3 2 17 5" xfId="23143"/>
    <cellStyle name="Output 2 7 2 3 2 18" xfId="23144"/>
    <cellStyle name="Output 2 7 2 3 2 18 2" xfId="23145"/>
    <cellStyle name="Output 2 7 2 3 2 18 3" xfId="23146"/>
    <cellStyle name="Output 2 7 2 3 2 18 4" xfId="23147"/>
    <cellStyle name="Output 2 7 2 3 2 18 5" xfId="23148"/>
    <cellStyle name="Output 2 7 2 3 2 19" xfId="23149"/>
    <cellStyle name="Output 2 7 2 3 2 2" xfId="2602"/>
    <cellStyle name="Output 2 7 2 3 2 2 2" xfId="23150"/>
    <cellStyle name="Output 2 7 2 3 2 2 3" xfId="23151"/>
    <cellStyle name="Output 2 7 2 3 2 2 4" xfId="23152"/>
    <cellStyle name="Output 2 7 2 3 2 2 5" xfId="23153"/>
    <cellStyle name="Output 2 7 2 3 2 2 6" xfId="36430"/>
    <cellStyle name="Output 2 7 2 3 2 2 7" xfId="47498"/>
    <cellStyle name="Output 2 7 2 3 2 2 8" xfId="55621"/>
    <cellStyle name="Output 2 7 2 3 2 20" xfId="1055"/>
    <cellStyle name="Output 2 7 2 3 2 21" xfId="35135"/>
    <cellStyle name="Output 2 7 2 3 2 22" xfId="41354"/>
    <cellStyle name="Output 2 7 2 3 2 3" xfId="2603"/>
    <cellStyle name="Output 2 7 2 3 2 3 2" xfId="23154"/>
    <cellStyle name="Output 2 7 2 3 2 3 3" xfId="23155"/>
    <cellStyle name="Output 2 7 2 3 2 3 4" xfId="23156"/>
    <cellStyle name="Output 2 7 2 3 2 3 5" xfId="23157"/>
    <cellStyle name="Output 2 7 2 3 2 3 6" xfId="36927"/>
    <cellStyle name="Output 2 7 2 3 2 3 7" xfId="47499"/>
    <cellStyle name="Output 2 7 2 3 2 3 8" xfId="55622"/>
    <cellStyle name="Output 2 7 2 3 2 4" xfId="1381"/>
    <cellStyle name="Output 2 7 2 3 2 4 2" xfId="23158"/>
    <cellStyle name="Output 2 7 2 3 2 4 3" xfId="23159"/>
    <cellStyle name="Output 2 7 2 3 2 4 4" xfId="23160"/>
    <cellStyle name="Output 2 7 2 3 2 4 5" xfId="23161"/>
    <cellStyle name="Output 2 7 2 3 2 4 6" xfId="37543"/>
    <cellStyle name="Output 2 7 2 3 2 4 7" xfId="47500"/>
    <cellStyle name="Output 2 7 2 3 2 4 8" xfId="55623"/>
    <cellStyle name="Output 2 7 2 3 2 5" xfId="3449"/>
    <cellStyle name="Output 2 7 2 3 2 5 2" xfId="23162"/>
    <cellStyle name="Output 2 7 2 3 2 5 3" xfId="23163"/>
    <cellStyle name="Output 2 7 2 3 2 5 4" xfId="23164"/>
    <cellStyle name="Output 2 7 2 3 2 5 5" xfId="23165"/>
    <cellStyle name="Output 2 7 2 3 2 5 6" xfId="38159"/>
    <cellStyle name="Output 2 7 2 3 2 5 7" xfId="47501"/>
    <cellStyle name="Output 2 7 2 3 2 5 8" xfId="55624"/>
    <cellStyle name="Output 2 7 2 3 2 6" xfId="3771"/>
    <cellStyle name="Output 2 7 2 3 2 6 2" xfId="23166"/>
    <cellStyle name="Output 2 7 2 3 2 6 3" xfId="23167"/>
    <cellStyle name="Output 2 7 2 3 2 6 4" xfId="23168"/>
    <cellStyle name="Output 2 7 2 3 2 6 5" xfId="23169"/>
    <cellStyle name="Output 2 7 2 3 2 6 6" xfId="38777"/>
    <cellStyle name="Output 2 7 2 3 2 6 7" xfId="47502"/>
    <cellStyle name="Output 2 7 2 3 2 6 8" xfId="55625"/>
    <cellStyle name="Output 2 7 2 3 2 7" xfId="23170"/>
    <cellStyle name="Output 2 7 2 3 2 7 2" xfId="23171"/>
    <cellStyle name="Output 2 7 2 3 2 7 3" xfId="23172"/>
    <cellStyle name="Output 2 7 2 3 2 7 4" xfId="23173"/>
    <cellStyle name="Output 2 7 2 3 2 7 5" xfId="23174"/>
    <cellStyle name="Output 2 7 2 3 2 7 6" xfId="39397"/>
    <cellStyle name="Output 2 7 2 3 2 7 7" xfId="47503"/>
    <cellStyle name="Output 2 7 2 3 2 7 8" xfId="55626"/>
    <cellStyle name="Output 2 7 2 3 2 8" xfId="23175"/>
    <cellStyle name="Output 2 7 2 3 2 8 2" xfId="23176"/>
    <cellStyle name="Output 2 7 2 3 2 8 3" xfId="23177"/>
    <cellStyle name="Output 2 7 2 3 2 8 4" xfId="23178"/>
    <cellStyle name="Output 2 7 2 3 2 8 5" xfId="23179"/>
    <cellStyle name="Output 2 7 2 3 2 8 6" xfId="40013"/>
    <cellStyle name="Output 2 7 2 3 2 8 7" xfId="47504"/>
    <cellStyle name="Output 2 7 2 3 2 8 8" xfId="55627"/>
    <cellStyle name="Output 2 7 2 3 2 9" xfId="23180"/>
    <cellStyle name="Output 2 7 2 3 2 9 2" xfId="23181"/>
    <cellStyle name="Output 2 7 2 3 2 9 3" xfId="23182"/>
    <cellStyle name="Output 2 7 2 3 2 9 4" xfId="23183"/>
    <cellStyle name="Output 2 7 2 3 2 9 5" xfId="23184"/>
    <cellStyle name="Output 2 7 2 3 2 9 6" xfId="40628"/>
    <cellStyle name="Output 2 7 2 3 2 9 7" xfId="47505"/>
    <cellStyle name="Output 2 7 2 3 2 9 8" xfId="55628"/>
    <cellStyle name="Output 2 7 2 3 20" xfId="843"/>
    <cellStyle name="Output 2 7 2 3 21" xfId="34693"/>
    <cellStyle name="Output 2 7 2 3 22" xfId="40927"/>
    <cellStyle name="Output 2 7 2 3 23" xfId="41488"/>
    <cellStyle name="Output 2 7 2 3 24" xfId="50575"/>
    <cellStyle name="Output 2 7 2 3 3" xfId="2604"/>
    <cellStyle name="Output 2 7 2 3 3 10" xfId="34606"/>
    <cellStyle name="Output 2 7 2 3 3 10 2" xfId="47507"/>
    <cellStyle name="Output 2 7 2 3 3 10 3" xfId="55630"/>
    <cellStyle name="Output 2 7 2 3 3 11" xfId="41142"/>
    <cellStyle name="Output 2 7 2 3 3 12" xfId="47506"/>
    <cellStyle name="Output 2 7 2 3 3 13" xfId="55629"/>
    <cellStyle name="Output 2 7 2 3 3 2" xfId="2605"/>
    <cellStyle name="Output 2 7 2 3 3 2 2" xfId="36219"/>
    <cellStyle name="Output 2 7 2 3 3 2 3" xfId="47508"/>
    <cellStyle name="Output 2 7 2 3 3 2 4" xfId="55631"/>
    <cellStyle name="Output 2 7 2 3 3 3" xfId="2606"/>
    <cellStyle name="Output 2 7 2 3 3 3 2" xfId="36716"/>
    <cellStyle name="Output 2 7 2 3 3 3 3" xfId="47509"/>
    <cellStyle name="Output 2 7 2 3 3 3 4" xfId="55632"/>
    <cellStyle name="Output 2 7 2 3 3 4" xfId="23185"/>
    <cellStyle name="Output 2 7 2 3 3 4 2" xfId="37332"/>
    <cellStyle name="Output 2 7 2 3 3 4 3" xfId="47510"/>
    <cellStyle name="Output 2 7 2 3 3 4 4" xfId="55633"/>
    <cellStyle name="Output 2 7 2 3 3 5" xfId="23186"/>
    <cellStyle name="Output 2 7 2 3 3 5 2" xfId="37948"/>
    <cellStyle name="Output 2 7 2 3 3 5 3" xfId="47511"/>
    <cellStyle name="Output 2 7 2 3 3 5 4" xfId="55634"/>
    <cellStyle name="Output 2 7 2 3 3 6" xfId="38565"/>
    <cellStyle name="Output 2 7 2 3 3 6 2" xfId="47512"/>
    <cellStyle name="Output 2 7 2 3 3 6 3" xfId="55635"/>
    <cellStyle name="Output 2 7 2 3 3 7" xfId="39185"/>
    <cellStyle name="Output 2 7 2 3 3 7 2" xfId="47513"/>
    <cellStyle name="Output 2 7 2 3 3 7 3" xfId="55636"/>
    <cellStyle name="Output 2 7 2 3 3 8" xfId="39801"/>
    <cellStyle name="Output 2 7 2 3 3 8 2" xfId="47514"/>
    <cellStyle name="Output 2 7 2 3 3 8 3" xfId="55637"/>
    <cellStyle name="Output 2 7 2 3 3 9" xfId="40416"/>
    <cellStyle name="Output 2 7 2 3 3 9 2" xfId="47515"/>
    <cellStyle name="Output 2 7 2 3 3 9 3" xfId="55638"/>
    <cellStyle name="Output 2 7 2 3 4" xfId="2607"/>
    <cellStyle name="Output 2 7 2 3 4 10" xfId="47516"/>
    <cellStyle name="Output 2 7 2 3 4 11" xfId="55639"/>
    <cellStyle name="Output 2 7 2 3 4 2" xfId="23187"/>
    <cellStyle name="Output 2 7 2 3 4 2 2" xfId="47517"/>
    <cellStyle name="Output 2 7 2 3 4 2 3" xfId="55640"/>
    <cellStyle name="Output 2 7 2 3 4 3" xfId="23188"/>
    <cellStyle name="Output 2 7 2 3 4 3 2" xfId="47518"/>
    <cellStyle name="Output 2 7 2 3 4 3 3" xfId="55641"/>
    <cellStyle name="Output 2 7 2 3 4 4" xfId="23189"/>
    <cellStyle name="Output 2 7 2 3 4 4 2" xfId="47519"/>
    <cellStyle name="Output 2 7 2 3 4 4 3" xfId="55642"/>
    <cellStyle name="Output 2 7 2 3 4 5" xfId="23190"/>
    <cellStyle name="Output 2 7 2 3 4 5 2" xfId="47520"/>
    <cellStyle name="Output 2 7 2 3 4 5 3" xfId="55643"/>
    <cellStyle name="Output 2 7 2 3 4 6" xfId="36501"/>
    <cellStyle name="Output 2 7 2 3 4 6 2" xfId="47521"/>
    <cellStyle name="Output 2 7 2 3 4 6 3" xfId="55644"/>
    <cellStyle name="Output 2 7 2 3 4 7" xfId="47522"/>
    <cellStyle name="Output 2 7 2 3 4 7 2" xfId="55645"/>
    <cellStyle name="Output 2 7 2 3 4 8" xfId="47523"/>
    <cellStyle name="Output 2 7 2 3 4 8 2" xfId="55646"/>
    <cellStyle name="Output 2 7 2 3 4 9" xfId="47524"/>
    <cellStyle name="Output 2 7 2 3 4 9 2" xfId="55647"/>
    <cellStyle name="Output 2 7 2 3 5" xfId="1380"/>
    <cellStyle name="Output 2 7 2 3 5 2" xfId="23191"/>
    <cellStyle name="Output 2 7 2 3 5 3" xfId="23192"/>
    <cellStyle name="Output 2 7 2 3 5 4" xfId="23193"/>
    <cellStyle name="Output 2 7 2 3 5 5" xfId="23194"/>
    <cellStyle name="Output 2 7 2 3 5 6" xfId="37117"/>
    <cellStyle name="Output 2 7 2 3 5 7" xfId="47525"/>
    <cellStyle name="Output 2 7 2 3 5 8" xfId="55648"/>
    <cellStyle name="Output 2 7 2 3 6" xfId="3448"/>
    <cellStyle name="Output 2 7 2 3 6 2" xfId="23195"/>
    <cellStyle name="Output 2 7 2 3 6 3" xfId="23196"/>
    <cellStyle name="Output 2 7 2 3 6 4" xfId="23197"/>
    <cellStyle name="Output 2 7 2 3 6 5" xfId="23198"/>
    <cellStyle name="Output 2 7 2 3 6 6" xfId="37731"/>
    <cellStyle name="Output 2 7 2 3 6 7" xfId="47526"/>
    <cellStyle name="Output 2 7 2 3 6 8" xfId="55649"/>
    <cellStyle name="Output 2 7 2 3 7" xfId="3770"/>
    <cellStyle name="Output 2 7 2 3 7 2" xfId="23199"/>
    <cellStyle name="Output 2 7 2 3 7 3" xfId="23200"/>
    <cellStyle name="Output 2 7 2 3 7 4" xfId="23201"/>
    <cellStyle name="Output 2 7 2 3 7 5" xfId="23202"/>
    <cellStyle name="Output 2 7 2 3 7 6" xfId="38346"/>
    <cellStyle name="Output 2 7 2 3 7 7" xfId="47527"/>
    <cellStyle name="Output 2 7 2 3 7 8" xfId="55650"/>
    <cellStyle name="Output 2 7 2 3 8" xfId="23203"/>
    <cellStyle name="Output 2 7 2 3 8 2" xfId="23204"/>
    <cellStyle name="Output 2 7 2 3 8 3" xfId="23205"/>
    <cellStyle name="Output 2 7 2 3 8 4" xfId="23206"/>
    <cellStyle name="Output 2 7 2 3 8 5" xfId="23207"/>
    <cellStyle name="Output 2 7 2 3 8 6" xfId="38966"/>
    <cellStyle name="Output 2 7 2 3 8 7" xfId="47528"/>
    <cellStyle name="Output 2 7 2 3 8 8" xfId="55651"/>
    <cellStyle name="Output 2 7 2 3 9" xfId="23208"/>
    <cellStyle name="Output 2 7 2 3 9 2" xfId="23209"/>
    <cellStyle name="Output 2 7 2 3 9 3" xfId="23210"/>
    <cellStyle name="Output 2 7 2 3 9 4" xfId="23211"/>
    <cellStyle name="Output 2 7 2 3 9 5" xfId="23212"/>
    <cellStyle name="Output 2 7 2 3 9 6" xfId="39585"/>
    <cellStyle name="Output 2 7 2 3 9 7" xfId="47529"/>
    <cellStyle name="Output 2 7 2 3 9 8" xfId="55652"/>
    <cellStyle name="Output 2 7 2 4" xfId="527"/>
    <cellStyle name="Output 2 7 2 4 10" xfId="23213"/>
    <cellStyle name="Output 2 7 2 4 10 2" xfId="23214"/>
    <cellStyle name="Output 2 7 2 4 10 3" xfId="23215"/>
    <cellStyle name="Output 2 7 2 4 10 4" xfId="23216"/>
    <cellStyle name="Output 2 7 2 4 10 5" xfId="23217"/>
    <cellStyle name="Output 2 7 2 4 10 6" xfId="47530"/>
    <cellStyle name="Output 2 7 2 4 10 7" xfId="55653"/>
    <cellStyle name="Output 2 7 2 4 11" xfId="23218"/>
    <cellStyle name="Output 2 7 2 4 11 2" xfId="23219"/>
    <cellStyle name="Output 2 7 2 4 11 3" xfId="23220"/>
    <cellStyle name="Output 2 7 2 4 11 4" xfId="23221"/>
    <cellStyle name="Output 2 7 2 4 11 5" xfId="23222"/>
    <cellStyle name="Output 2 7 2 4 12" xfId="23223"/>
    <cellStyle name="Output 2 7 2 4 12 2" xfId="23224"/>
    <cellStyle name="Output 2 7 2 4 12 3" xfId="23225"/>
    <cellStyle name="Output 2 7 2 4 12 4" xfId="23226"/>
    <cellStyle name="Output 2 7 2 4 12 5" xfId="23227"/>
    <cellStyle name="Output 2 7 2 4 13" xfId="23228"/>
    <cellStyle name="Output 2 7 2 4 13 2" xfId="23229"/>
    <cellStyle name="Output 2 7 2 4 13 3" xfId="23230"/>
    <cellStyle name="Output 2 7 2 4 13 4" xfId="23231"/>
    <cellStyle name="Output 2 7 2 4 13 5" xfId="23232"/>
    <cellStyle name="Output 2 7 2 4 14" xfId="23233"/>
    <cellStyle name="Output 2 7 2 4 14 2" xfId="23234"/>
    <cellStyle name="Output 2 7 2 4 14 3" xfId="23235"/>
    <cellStyle name="Output 2 7 2 4 14 4" xfId="23236"/>
    <cellStyle name="Output 2 7 2 4 14 5" xfId="23237"/>
    <cellStyle name="Output 2 7 2 4 15" xfId="23238"/>
    <cellStyle name="Output 2 7 2 4 15 2" xfId="23239"/>
    <cellStyle name="Output 2 7 2 4 15 3" xfId="23240"/>
    <cellStyle name="Output 2 7 2 4 15 4" xfId="23241"/>
    <cellStyle name="Output 2 7 2 4 15 5" xfId="23242"/>
    <cellStyle name="Output 2 7 2 4 16" xfId="23243"/>
    <cellStyle name="Output 2 7 2 4 16 2" xfId="23244"/>
    <cellStyle name="Output 2 7 2 4 16 3" xfId="23245"/>
    <cellStyle name="Output 2 7 2 4 16 4" xfId="23246"/>
    <cellStyle name="Output 2 7 2 4 16 5" xfId="23247"/>
    <cellStyle name="Output 2 7 2 4 17" xfId="23248"/>
    <cellStyle name="Output 2 7 2 4 17 2" xfId="23249"/>
    <cellStyle name="Output 2 7 2 4 17 3" xfId="23250"/>
    <cellStyle name="Output 2 7 2 4 17 4" xfId="23251"/>
    <cellStyle name="Output 2 7 2 4 17 5" xfId="23252"/>
    <cellStyle name="Output 2 7 2 4 18" xfId="23253"/>
    <cellStyle name="Output 2 7 2 4 18 2" xfId="23254"/>
    <cellStyle name="Output 2 7 2 4 18 3" xfId="23255"/>
    <cellStyle name="Output 2 7 2 4 18 4" xfId="23256"/>
    <cellStyle name="Output 2 7 2 4 18 5" xfId="23257"/>
    <cellStyle name="Output 2 7 2 4 19" xfId="23258"/>
    <cellStyle name="Output 2 7 2 4 2" xfId="2608"/>
    <cellStyle name="Output 2 7 2 4 2 2" xfId="23259"/>
    <cellStyle name="Output 2 7 2 4 2 3" xfId="23260"/>
    <cellStyle name="Output 2 7 2 4 2 4" xfId="23261"/>
    <cellStyle name="Output 2 7 2 4 2 5" xfId="23262"/>
    <cellStyle name="Output 2 7 2 4 2 6" xfId="36331"/>
    <cellStyle name="Output 2 7 2 4 2 7" xfId="47531"/>
    <cellStyle name="Output 2 7 2 4 2 8" xfId="55654"/>
    <cellStyle name="Output 2 7 2 4 20" xfId="956"/>
    <cellStyle name="Output 2 7 2 4 21" xfId="35036"/>
    <cellStyle name="Output 2 7 2 4 22" xfId="40745"/>
    <cellStyle name="Output 2 7 2 4 23" xfId="41255"/>
    <cellStyle name="Output 2 7 2 4 3" xfId="2609"/>
    <cellStyle name="Output 2 7 2 4 3 2" xfId="23263"/>
    <cellStyle name="Output 2 7 2 4 3 3" xfId="23264"/>
    <cellStyle name="Output 2 7 2 4 3 4" xfId="23265"/>
    <cellStyle name="Output 2 7 2 4 3 5" xfId="23266"/>
    <cellStyle name="Output 2 7 2 4 3 6" xfId="36828"/>
    <cellStyle name="Output 2 7 2 4 3 7" xfId="47532"/>
    <cellStyle name="Output 2 7 2 4 3 8" xfId="55655"/>
    <cellStyle name="Output 2 7 2 4 4" xfId="1382"/>
    <cellStyle name="Output 2 7 2 4 4 2" xfId="23267"/>
    <cellStyle name="Output 2 7 2 4 4 3" xfId="23268"/>
    <cellStyle name="Output 2 7 2 4 4 4" xfId="23269"/>
    <cellStyle name="Output 2 7 2 4 4 5" xfId="23270"/>
    <cellStyle name="Output 2 7 2 4 4 6" xfId="37444"/>
    <cellStyle name="Output 2 7 2 4 4 7" xfId="47533"/>
    <cellStyle name="Output 2 7 2 4 4 8" xfId="55656"/>
    <cellStyle name="Output 2 7 2 4 5" xfId="3450"/>
    <cellStyle name="Output 2 7 2 4 5 2" xfId="23271"/>
    <cellStyle name="Output 2 7 2 4 5 3" xfId="23272"/>
    <cellStyle name="Output 2 7 2 4 5 4" xfId="23273"/>
    <cellStyle name="Output 2 7 2 4 5 5" xfId="23274"/>
    <cellStyle name="Output 2 7 2 4 5 6" xfId="38060"/>
    <cellStyle name="Output 2 7 2 4 5 7" xfId="47534"/>
    <cellStyle name="Output 2 7 2 4 5 8" xfId="55657"/>
    <cellStyle name="Output 2 7 2 4 6" xfId="3772"/>
    <cellStyle name="Output 2 7 2 4 6 2" xfId="23275"/>
    <cellStyle name="Output 2 7 2 4 6 3" xfId="23276"/>
    <cellStyle name="Output 2 7 2 4 6 4" xfId="23277"/>
    <cellStyle name="Output 2 7 2 4 6 5" xfId="23278"/>
    <cellStyle name="Output 2 7 2 4 6 6" xfId="38678"/>
    <cellStyle name="Output 2 7 2 4 6 7" xfId="47535"/>
    <cellStyle name="Output 2 7 2 4 6 8" xfId="55658"/>
    <cellStyle name="Output 2 7 2 4 7" xfId="23279"/>
    <cellStyle name="Output 2 7 2 4 7 2" xfId="23280"/>
    <cellStyle name="Output 2 7 2 4 7 3" xfId="23281"/>
    <cellStyle name="Output 2 7 2 4 7 4" xfId="23282"/>
    <cellStyle name="Output 2 7 2 4 7 5" xfId="23283"/>
    <cellStyle name="Output 2 7 2 4 7 6" xfId="39298"/>
    <cellStyle name="Output 2 7 2 4 7 7" xfId="47536"/>
    <cellStyle name="Output 2 7 2 4 7 8" xfId="55659"/>
    <cellStyle name="Output 2 7 2 4 8" xfId="23284"/>
    <cellStyle name="Output 2 7 2 4 8 2" xfId="23285"/>
    <cellStyle name="Output 2 7 2 4 8 3" xfId="23286"/>
    <cellStyle name="Output 2 7 2 4 8 4" xfId="23287"/>
    <cellStyle name="Output 2 7 2 4 8 5" xfId="23288"/>
    <cellStyle name="Output 2 7 2 4 8 6" xfId="39914"/>
    <cellStyle name="Output 2 7 2 4 8 7" xfId="47537"/>
    <cellStyle name="Output 2 7 2 4 8 8" xfId="55660"/>
    <cellStyle name="Output 2 7 2 4 9" xfId="23289"/>
    <cellStyle name="Output 2 7 2 4 9 2" xfId="23290"/>
    <cellStyle name="Output 2 7 2 4 9 3" xfId="23291"/>
    <cellStyle name="Output 2 7 2 4 9 4" xfId="23292"/>
    <cellStyle name="Output 2 7 2 4 9 5" xfId="23293"/>
    <cellStyle name="Output 2 7 2 4 9 6" xfId="40529"/>
    <cellStyle name="Output 2 7 2 4 9 7" xfId="47538"/>
    <cellStyle name="Output 2 7 2 4 9 8" xfId="55661"/>
    <cellStyle name="Output 2 7 2 5" xfId="2610"/>
    <cellStyle name="Output 2 7 2 5 10" xfId="34645"/>
    <cellStyle name="Output 2 7 2 5 10 2" xfId="47540"/>
    <cellStyle name="Output 2 7 2 5 10 3" xfId="55663"/>
    <cellStyle name="Output 2 7 2 5 11" xfId="41041"/>
    <cellStyle name="Output 2 7 2 5 12" xfId="47539"/>
    <cellStyle name="Output 2 7 2 5 13" xfId="55662"/>
    <cellStyle name="Output 2 7 2 5 2" xfId="2611"/>
    <cellStyle name="Output 2 7 2 5 2 2" xfId="36118"/>
    <cellStyle name="Output 2 7 2 5 2 3" xfId="47541"/>
    <cellStyle name="Output 2 7 2 5 2 4" xfId="55664"/>
    <cellStyle name="Output 2 7 2 5 3" xfId="2612"/>
    <cellStyle name="Output 2 7 2 5 3 2" xfId="36617"/>
    <cellStyle name="Output 2 7 2 5 3 3" xfId="47542"/>
    <cellStyle name="Output 2 7 2 5 3 4" xfId="55665"/>
    <cellStyle name="Output 2 7 2 5 4" xfId="23294"/>
    <cellStyle name="Output 2 7 2 5 4 2" xfId="37233"/>
    <cellStyle name="Output 2 7 2 5 4 3" xfId="47543"/>
    <cellStyle name="Output 2 7 2 5 4 4" xfId="55666"/>
    <cellStyle name="Output 2 7 2 5 5" xfId="23295"/>
    <cellStyle name="Output 2 7 2 5 5 2" xfId="37849"/>
    <cellStyle name="Output 2 7 2 5 5 3" xfId="47544"/>
    <cellStyle name="Output 2 7 2 5 5 4" xfId="55667"/>
    <cellStyle name="Output 2 7 2 5 6" xfId="38464"/>
    <cellStyle name="Output 2 7 2 5 6 2" xfId="47545"/>
    <cellStyle name="Output 2 7 2 5 6 3" xfId="55668"/>
    <cellStyle name="Output 2 7 2 5 7" xfId="39084"/>
    <cellStyle name="Output 2 7 2 5 7 2" xfId="47546"/>
    <cellStyle name="Output 2 7 2 5 7 3" xfId="55669"/>
    <cellStyle name="Output 2 7 2 5 8" xfId="39700"/>
    <cellStyle name="Output 2 7 2 5 8 2" xfId="47547"/>
    <cellStyle name="Output 2 7 2 5 8 3" xfId="55670"/>
    <cellStyle name="Output 2 7 2 5 9" xfId="40315"/>
    <cellStyle name="Output 2 7 2 5 9 2" xfId="47548"/>
    <cellStyle name="Output 2 7 2 5 9 3" xfId="55671"/>
    <cellStyle name="Output 2 7 2 6" xfId="1377"/>
    <cellStyle name="Output 2 7 2 6 10" xfId="47549"/>
    <cellStyle name="Output 2 7 2 6 11" xfId="55672"/>
    <cellStyle name="Output 2 7 2 6 2" xfId="23296"/>
    <cellStyle name="Output 2 7 2 6 2 2" xfId="47550"/>
    <cellStyle name="Output 2 7 2 6 2 3" xfId="55673"/>
    <cellStyle name="Output 2 7 2 6 3" xfId="23297"/>
    <cellStyle name="Output 2 7 2 6 3 2" xfId="47551"/>
    <cellStyle name="Output 2 7 2 6 3 3" xfId="55674"/>
    <cellStyle name="Output 2 7 2 6 4" xfId="23298"/>
    <cellStyle name="Output 2 7 2 6 4 2" xfId="47552"/>
    <cellStyle name="Output 2 7 2 6 4 3" xfId="55675"/>
    <cellStyle name="Output 2 7 2 6 5" xfId="23299"/>
    <cellStyle name="Output 2 7 2 6 5 2" xfId="47553"/>
    <cellStyle name="Output 2 7 2 6 5 3" xfId="55676"/>
    <cellStyle name="Output 2 7 2 6 6" xfId="35436"/>
    <cellStyle name="Output 2 7 2 6 6 2" xfId="47554"/>
    <cellStyle name="Output 2 7 2 6 6 3" xfId="55677"/>
    <cellStyle name="Output 2 7 2 6 7" xfId="47555"/>
    <cellStyle name="Output 2 7 2 6 7 2" xfId="55678"/>
    <cellStyle name="Output 2 7 2 6 8" xfId="47556"/>
    <cellStyle name="Output 2 7 2 6 8 2" xfId="55679"/>
    <cellStyle name="Output 2 7 2 6 9" xfId="47557"/>
    <cellStyle name="Output 2 7 2 6 9 2" xfId="55680"/>
    <cellStyle name="Output 2 7 2 7" xfId="3445"/>
    <cellStyle name="Output 2 7 2 7 2" xfId="23300"/>
    <cellStyle name="Output 2 7 2 7 3" xfId="23301"/>
    <cellStyle name="Output 2 7 2 7 4" xfId="23302"/>
    <cellStyle name="Output 2 7 2 7 5" xfId="23303"/>
    <cellStyle name="Output 2 7 2 7 6" xfId="35968"/>
    <cellStyle name="Output 2 7 2 7 7" xfId="47558"/>
    <cellStyle name="Output 2 7 2 7 8" xfId="55681"/>
    <cellStyle name="Output 2 7 2 8" xfId="3767"/>
    <cellStyle name="Output 2 7 2 8 2" xfId="23304"/>
    <cellStyle name="Output 2 7 2 8 3" xfId="23305"/>
    <cellStyle name="Output 2 7 2 8 4" xfId="23306"/>
    <cellStyle name="Output 2 7 2 8 5" xfId="23307"/>
    <cellStyle name="Output 2 7 2 8 6" xfId="35808"/>
    <cellStyle name="Output 2 7 2 8 7" xfId="47559"/>
    <cellStyle name="Output 2 7 2 8 8" xfId="55682"/>
    <cellStyle name="Output 2 7 2 9" xfId="23308"/>
    <cellStyle name="Output 2 7 2 9 2" xfId="23309"/>
    <cellStyle name="Output 2 7 2 9 3" xfId="23310"/>
    <cellStyle name="Output 2 7 2 9 4" xfId="23311"/>
    <cellStyle name="Output 2 7 2 9 5" xfId="23312"/>
    <cellStyle name="Output 2 7 2 9 6" xfId="37013"/>
    <cellStyle name="Output 2 7 2 9 7" xfId="47560"/>
    <cellStyle name="Output 2 7 2 9 8" xfId="55683"/>
    <cellStyle name="Output 2 7 20" xfId="23313"/>
    <cellStyle name="Output 2 7 21" xfId="705"/>
    <cellStyle name="Output 2 7 22" xfId="34957"/>
    <cellStyle name="Output 2 7 23" xfId="40789"/>
    <cellStyle name="Output 2 7 3" xfId="298"/>
    <cellStyle name="Output 2 7 3 10" xfId="23314"/>
    <cellStyle name="Output 2 7 3 10 2" xfId="23315"/>
    <cellStyle name="Output 2 7 3 10 3" xfId="23316"/>
    <cellStyle name="Output 2 7 3 10 4" xfId="23317"/>
    <cellStyle name="Output 2 7 3 10 5" xfId="23318"/>
    <cellStyle name="Output 2 7 3 10 6" xfId="37626"/>
    <cellStyle name="Output 2 7 3 10 7" xfId="47561"/>
    <cellStyle name="Output 2 7 3 10 8" xfId="55684"/>
    <cellStyle name="Output 2 7 3 11" xfId="23319"/>
    <cellStyle name="Output 2 7 3 11 2" xfId="23320"/>
    <cellStyle name="Output 2 7 3 11 3" xfId="23321"/>
    <cellStyle name="Output 2 7 3 11 4" xfId="23322"/>
    <cellStyle name="Output 2 7 3 11 5" xfId="23323"/>
    <cellStyle name="Output 2 7 3 11 6" xfId="38243"/>
    <cellStyle name="Output 2 7 3 11 7" xfId="47562"/>
    <cellStyle name="Output 2 7 3 11 8" xfId="55685"/>
    <cellStyle name="Output 2 7 3 12" xfId="23324"/>
    <cellStyle name="Output 2 7 3 12 2" xfId="23325"/>
    <cellStyle name="Output 2 7 3 12 3" xfId="23326"/>
    <cellStyle name="Output 2 7 3 12 4" xfId="23327"/>
    <cellStyle name="Output 2 7 3 12 5" xfId="23328"/>
    <cellStyle name="Output 2 7 3 12 6" xfId="38865"/>
    <cellStyle name="Output 2 7 3 12 7" xfId="47563"/>
    <cellStyle name="Output 2 7 3 12 8" xfId="55686"/>
    <cellStyle name="Output 2 7 3 13" xfId="23329"/>
    <cellStyle name="Output 2 7 3 13 2" xfId="23330"/>
    <cellStyle name="Output 2 7 3 13 3" xfId="23331"/>
    <cellStyle name="Output 2 7 3 13 4" xfId="23332"/>
    <cellStyle name="Output 2 7 3 13 5" xfId="23333"/>
    <cellStyle name="Output 2 7 3 13 6" xfId="39485"/>
    <cellStyle name="Output 2 7 3 13 7" xfId="47564"/>
    <cellStyle name="Output 2 7 3 13 8" xfId="55687"/>
    <cellStyle name="Output 2 7 3 14" xfId="23334"/>
    <cellStyle name="Output 2 7 3 14 2" xfId="23335"/>
    <cellStyle name="Output 2 7 3 14 3" xfId="23336"/>
    <cellStyle name="Output 2 7 3 14 4" xfId="23337"/>
    <cellStyle name="Output 2 7 3 14 5" xfId="23338"/>
    <cellStyle name="Output 2 7 3 14 6" xfId="40103"/>
    <cellStyle name="Output 2 7 3 14 7" xfId="47565"/>
    <cellStyle name="Output 2 7 3 14 8" xfId="55688"/>
    <cellStyle name="Output 2 7 3 15" xfId="23339"/>
    <cellStyle name="Output 2 7 3 15 2" xfId="23340"/>
    <cellStyle name="Output 2 7 3 15 3" xfId="23341"/>
    <cellStyle name="Output 2 7 3 15 4" xfId="23342"/>
    <cellStyle name="Output 2 7 3 15 5" xfId="23343"/>
    <cellStyle name="Output 2 7 3 15 6" xfId="47566"/>
    <cellStyle name="Output 2 7 3 15 7" xfId="55689"/>
    <cellStyle name="Output 2 7 3 16" xfId="23344"/>
    <cellStyle name="Output 2 7 3 16 2" xfId="23345"/>
    <cellStyle name="Output 2 7 3 16 3" xfId="23346"/>
    <cellStyle name="Output 2 7 3 16 4" xfId="23347"/>
    <cellStyle name="Output 2 7 3 16 5" xfId="23348"/>
    <cellStyle name="Output 2 7 3 17" xfId="23349"/>
    <cellStyle name="Output 2 7 3 17 2" xfId="23350"/>
    <cellStyle name="Output 2 7 3 17 3" xfId="23351"/>
    <cellStyle name="Output 2 7 3 17 4" xfId="23352"/>
    <cellStyle name="Output 2 7 3 17 5" xfId="23353"/>
    <cellStyle name="Output 2 7 3 18" xfId="23354"/>
    <cellStyle name="Output 2 7 3 19" xfId="743"/>
    <cellStyle name="Output 2 7 3 2" xfId="408"/>
    <cellStyle name="Output 2 7 3 2 10" xfId="23355"/>
    <cellStyle name="Output 2 7 3 2 10 2" xfId="23356"/>
    <cellStyle name="Output 2 7 3 2 10 3" xfId="23357"/>
    <cellStyle name="Output 2 7 3 2 10 4" xfId="23358"/>
    <cellStyle name="Output 2 7 3 2 10 5" xfId="23359"/>
    <cellStyle name="Output 2 7 3 2 10 6" xfId="39586"/>
    <cellStyle name="Output 2 7 3 2 10 7" xfId="47567"/>
    <cellStyle name="Output 2 7 3 2 10 8" xfId="55690"/>
    <cellStyle name="Output 2 7 3 2 11" xfId="23360"/>
    <cellStyle name="Output 2 7 3 2 11 2" xfId="23361"/>
    <cellStyle name="Output 2 7 3 2 11 3" xfId="23362"/>
    <cellStyle name="Output 2 7 3 2 11 4" xfId="23363"/>
    <cellStyle name="Output 2 7 3 2 11 5" xfId="23364"/>
    <cellStyle name="Output 2 7 3 2 11 6" xfId="40202"/>
    <cellStyle name="Output 2 7 3 2 11 7" xfId="47568"/>
    <cellStyle name="Output 2 7 3 2 11 8" xfId="55691"/>
    <cellStyle name="Output 2 7 3 2 12" xfId="23365"/>
    <cellStyle name="Output 2 7 3 2 12 2" xfId="23366"/>
    <cellStyle name="Output 2 7 3 2 12 3" xfId="23367"/>
    <cellStyle name="Output 2 7 3 2 12 4" xfId="23368"/>
    <cellStyle name="Output 2 7 3 2 12 5" xfId="23369"/>
    <cellStyle name="Output 2 7 3 2 12 6" xfId="47569"/>
    <cellStyle name="Output 2 7 3 2 12 7" xfId="55692"/>
    <cellStyle name="Output 2 7 3 2 13" xfId="23370"/>
    <cellStyle name="Output 2 7 3 2 13 2" xfId="23371"/>
    <cellStyle name="Output 2 7 3 2 13 3" xfId="23372"/>
    <cellStyle name="Output 2 7 3 2 13 4" xfId="23373"/>
    <cellStyle name="Output 2 7 3 2 13 5" xfId="23374"/>
    <cellStyle name="Output 2 7 3 2 13 6" xfId="47570"/>
    <cellStyle name="Output 2 7 3 2 13 7" xfId="55693"/>
    <cellStyle name="Output 2 7 3 2 14" xfId="23375"/>
    <cellStyle name="Output 2 7 3 2 14 2" xfId="23376"/>
    <cellStyle name="Output 2 7 3 2 14 3" xfId="23377"/>
    <cellStyle name="Output 2 7 3 2 14 4" xfId="23378"/>
    <cellStyle name="Output 2 7 3 2 14 5" xfId="23379"/>
    <cellStyle name="Output 2 7 3 2 15" xfId="23380"/>
    <cellStyle name="Output 2 7 3 2 15 2" xfId="23381"/>
    <cellStyle name="Output 2 7 3 2 15 3" xfId="23382"/>
    <cellStyle name="Output 2 7 3 2 15 4" xfId="23383"/>
    <cellStyle name="Output 2 7 3 2 15 5" xfId="23384"/>
    <cellStyle name="Output 2 7 3 2 16" xfId="23385"/>
    <cellStyle name="Output 2 7 3 2 16 2" xfId="23386"/>
    <cellStyle name="Output 2 7 3 2 16 3" xfId="23387"/>
    <cellStyle name="Output 2 7 3 2 16 4" xfId="23388"/>
    <cellStyle name="Output 2 7 3 2 16 5" xfId="23389"/>
    <cellStyle name="Output 2 7 3 2 17" xfId="23390"/>
    <cellStyle name="Output 2 7 3 2 17 2" xfId="23391"/>
    <cellStyle name="Output 2 7 3 2 17 3" xfId="23392"/>
    <cellStyle name="Output 2 7 3 2 17 4" xfId="23393"/>
    <cellStyle name="Output 2 7 3 2 17 5" xfId="23394"/>
    <cellStyle name="Output 2 7 3 2 18" xfId="23395"/>
    <cellStyle name="Output 2 7 3 2 18 2" xfId="23396"/>
    <cellStyle name="Output 2 7 3 2 18 3" xfId="23397"/>
    <cellStyle name="Output 2 7 3 2 18 4" xfId="23398"/>
    <cellStyle name="Output 2 7 3 2 18 5" xfId="23399"/>
    <cellStyle name="Output 2 7 3 2 19" xfId="23400"/>
    <cellStyle name="Output 2 7 3 2 2" xfId="627"/>
    <cellStyle name="Output 2 7 3 2 2 10" xfId="23401"/>
    <cellStyle name="Output 2 7 3 2 2 10 2" xfId="23402"/>
    <cellStyle name="Output 2 7 3 2 2 10 3" xfId="23403"/>
    <cellStyle name="Output 2 7 3 2 2 10 4" xfId="23404"/>
    <cellStyle name="Output 2 7 3 2 2 10 5" xfId="23405"/>
    <cellStyle name="Output 2 7 3 2 2 10 6" xfId="47571"/>
    <cellStyle name="Output 2 7 3 2 2 10 7" xfId="55694"/>
    <cellStyle name="Output 2 7 3 2 2 11" xfId="23406"/>
    <cellStyle name="Output 2 7 3 2 2 11 2" xfId="23407"/>
    <cellStyle name="Output 2 7 3 2 2 11 3" xfId="23408"/>
    <cellStyle name="Output 2 7 3 2 2 11 4" xfId="23409"/>
    <cellStyle name="Output 2 7 3 2 2 11 5" xfId="23410"/>
    <cellStyle name="Output 2 7 3 2 2 12" xfId="23411"/>
    <cellStyle name="Output 2 7 3 2 2 12 2" xfId="23412"/>
    <cellStyle name="Output 2 7 3 2 2 12 3" xfId="23413"/>
    <cellStyle name="Output 2 7 3 2 2 12 4" xfId="23414"/>
    <cellStyle name="Output 2 7 3 2 2 12 5" xfId="23415"/>
    <cellStyle name="Output 2 7 3 2 2 13" xfId="23416"/>
    <cellStyle name="Output 2 7 3 2 2 13 2" xfId="23417"/>
    <cellStyle name="Output 2 7 3 2 2 13 3" xfId="23418"/>
    <cellStyle name="Output 2 7 3 2 2 13 4" xfId="23419"/>
    <cellStyle name="Output 2 7 3 2 2 13 5" xfId="23420"/>
    <cellStyle name="Output 2 7 3 2 2 14" xfId="23421"/>
    <cellStyle name="Output 2 7 3 2 2 14 2" xfId="23422"/>
    <cellStyle name="Output 2 7 3 2 2 14 3" xfId="23423"/>
    <cellStyle name="Output 2 7 3 2 2 14 4" xfId="23424"/>
    <cellStyle name="Output 2 7 3 2 2 14 5" xfId="23425"/>
    <cellStyle name="Output 2 7 3 2 2 15" xfId="23426"/>
    <cellStyle name="Output 2 7 3 2 2 15 2" xfId="23427"/>
    <cellStyle name="Output 2 7 3 2 2 15 3" xfId="23428"/>
    <cellStyle name="Output 2 7 3 2 2 15 4" xfId="23429"/>
    <cellStyle name="Output 2 7 3 2 2 15 5" xfId="23430"/>
    <cellStyle name="Output 2 7 3 2 2 16" xfId="23431"/>
    <cellStyle name="Output 2 7 3 2 2 16 2" xfId="23432"/>
    <cellStyle name="Output 2 7 3 2 2 16 3" xfId="23433"/>
    <cellStyle name="Output 2 7 3 2 2 16 4" xfId="23434"/>
    <cellStyle name="Output 2 7 3 2 2 16 5" xfId="23435"/>
    <cellStyle name="Output 2 7 3 2 2 17" xfId="23436"/>
    <cellStyle name="Output 2 7 3 2 2 17 2" xfId="23437"/>
    <cellStyle name="Output 2 7 3 2 2 17 3" xfId="23438"/>
    <cellStyle name="Output 2 7 3 2 2 17 4" xfId="23439"/>
    <cellStyle name="Output 2 7 3 2 2 17 5" xfId="23440"/>
    <cellStyle name="Output 2 7 3 2 2 18" xfId="23441"/>
    <cellStyle name="Output 2 7 3 2 2 18 2" xfId="23442"/>
    <cellStyle name="Output 2 7 3 2 2 18 3" xfId="23443"/>
    <cellStyle name="Output 2 7 3 2 2 18 4" xfId="23444"/>
    <cellStyle name="Output 2 7 3 2 2 18 5" xfId="23445"/>
    <cellStyle name="Output 2 7 3 2 2 19" xfId="23446"/>
    <cellStyle name="Output 2 7 3 2 2 2" xfId="2613"/>
    <cellStyle name="Output 2 7 3 2 2 2 2" xfId="23447"/>
    <cellStyle name="Output 2 7 3 2 2 2 3" xfId="23448"/>
    <cellStyle name="Output 2 7 3 2 2 2 4" xfId="23449"/>
    <cellStyle name="Output 2 7 3 2 2 2 5" xfId="23450"/>
    <cellStyle name="Output 2 7 3 2 2 2 6" xfId="36431"/>
    <cellStyle name="Output 2 7 3 2 2 2 7" xfId="47572"/>
    <cellStyle name="Output 2 7 3 2 2 2 8" xfId="55695"/>
    <cellStyle name="Output 2 7 3 2 2 20" xfId="1056"/>
    <cellStyle name="Output 2 7 3 2 2 21" xfId="35136"/>
    <cellStyle name="Output 2 7 3 2 2 22" xfId="41355"/>
    <cellStyle name="Output 2 7 3 2 2 3" xfId="2614"/>
    <cellStyle name="Output 2 7 3 2 2 3 2" xfId="23451"/>
    <cellStyle name="Output 2 7 3 2 2 3 3" xfId="23452"/>
    <cellStyle name="Output 2 7 3 2 2 3 4" xfId="23453"/>
    <cellStyle name="Output 2 7 3 2 2 3 5" xfId="23454"/>
    <cellStyle name="Output 2 7 3 2 2 3 6" xfId="36928"/>
    <cellStyle name="Output 2 7 3 2 2 3 7" xfId="47573"/>
    <cellStyle name="Output 2 7 3 2 2 3 8" xfId="55696"/>
    <cellStyle name="Output 2 7 3 2 2 4" xfId="1385"/>
    <cellStyle name="Output 2 7 3 2 2 4 2" xfId="23455"/>
    <cellStyle name="Output 2 7 3 2 2 4 3" xfId="23456"/>
    <cellStyle name="Output 2 7 3 2 2 4 4" xfId="23457"/>
    <cellStyle name="Output 2 7 3 2 2 4 5" xfId="23458"/>
    <cellStyle name="Output 2 7 3 2 2 4 6" xfId="37544"/>
    <cellStyle name="Output 2 7 3 2 2 4 7" xfId="47574"/>
    <cellStyle name="Output 2 7 3 2 2 4 8" xfId="55697"/>
    <cellStyle name="Output 2 7 3 2 2 5" xfId="3453"/>
    <cellStyle name="Output 2 7 3 2 2 5 2" xfId="23459"/>
    <cellStyle name="Output 2 7 3 2 2 5 3" xfId="23460"/>
    <cellStyle name="Output 2 7 3 2 2 5 4" xfId="23461"/>
    <cellStyle name="Output 2 7 3 2 2 5 5" xfId="23462"/>
    <cellStyle name="Output 2 7 3 2 2 5 6" xfId="38160"/>
    <cellStyle name="Output 2 7 3 2 2 5 7" xfId="47575"/>
    <cellStyle name="Output 2 7 3 2 2 5 8" xfId="55698"/>
    <cellStyle name="Output 2 7 3 2 2 6" xfId="3775"/>
    <cellStyle name="Output 2 7 3 2 2 6 2" xfId="23463"/>
    <cellStyle name="Output 2 7 3 2 2 6 3" xfId="23464"/>
    <cellStyle name="Output 2 7 3 2 2 6 4" xfId="23465"/>
    <cellStyle name="Output 2 7 3 2 2 6 5" xfId="23466"/>
    <cellStyle name="Output 2 7 3 2 2 6 6" xfId="38778"/>
    <cellStyle name="Output 2 7 3 2 2 6 7" xfId="47576"/>
    <cellStyle name="Output 2 7 3 2 2 6 8" xfId="55699"/>
    <cellStyle name="Output 2 7 3 2 2 7" xfId="23467"/>
    <cellStyle name="Output 2 7 3 2 2 7 2" xfId="23468"/>
    <cellStyle name="Output 2 7 3 2 2 7 3" xfId="23469"/>
    <cellStyle name="Output 2 7 3 2 2 7 4" xfId="23470"/>
    <cellStyle name="Output 2 7 3 2 2 7 5" xfId="23471"/>
    <cellStyle name="Output 2 7 3 2 2 7 6" xfId="39398"/>
    <cellStyle name="Output 2 7 3 2 2 7 7" xfId="47577"/>
    <cellStyle name="Output 2 7 3 2 2 7 8" xfId="55700"/>
    <cellStyle name="Output 2 7 3 2 2 8" xfId="23472"/>
    <cellStyle name="Output 2 7 3 2 2 8 2" xfId="23473"/>
    <cellStyle name="Output 2 7 3 2 2 8 3" xfId="23474"/>
    <cellStyle name="Output 2 7 3 2 2 8 4" xfId="23475"/>
    <cellStyle name="Output 2 7 3 2 2 8 5" xfId="23476"/>
    <cellStyle name="Output 2 7 3 2 2 8 6" xfId="40014"/>
    <cellStyle name="Output 2 7 3 2 2 8 7" xfId="47578"/>
    <cellStyle name="Output 2 7 3 2 2 8 8" xfId="55701"/>
    <cellStyle name="Output 2 7 3 2 2 9" xfId="23477"/>
    <cellStyle name="Output 2 7 3 2 2 9 2" xfId="23478"/>
    <cellStyle name="Output 2 7 3 2 2 9 3" xfId="23479"/>
    <cellStyle name="Output 2 7 3 2 2 9 4" xfId="23480"/>
    <cellStyle name="Output 2 7 3 2 2 9 5" xfId="23481"/>
    <cellStyle name="Output 2 7 3 2 2 9 6" xfId="40629"/>
    <cellStyle name="Output 2 7 3 2 2 9 7" xfId="47579"/>
    <cellStyle name="Output 2 7 3 2 2 9 8" xfId="55702"/>
    <cellStyle name="Output 2 7 3 2 20" xfId="844"/>
    <cellStyle name="Output 2 7 3 2 21" xfId="34692"/>
    <cellStyle name="Output 2 7 3 2 22" xfId="40928"/>
    <cellStyle name="Output 2 7 3 2 23" xfId="41489"/>
    <cellStyle name="Output 2 7 3 2 24" xfId="50576"/>
    <cellStyle name="Output 2 7 3 2 3" xfId="2615"/>
    <cellStyle name="Output 2 7 3 2 3 10" xfId="34605"/>
    <cellStyle name="Output 2 7 3 2 3 10 2" xfId="47581"/>
    <cellStyle name="Output 2 7 3 2 3 10 3" xfId="55704"/>
    <cellStyle name="Output 2 7 3 2 3 11" xfId="41143"/>
    <cellStyle name="Output 2 7 3 2 3 12" xfId="47580"/>
    <cellStyle name="Output 2 7 3 2 3 13" xfId="55703"/>
    <cellStyle name="Output 2 7 3 2 3 2" xfId="2616"/>
    <cellStyle name="Output 2 7 3 2 3 2 2" xfId="36220"/>
    <cellStyle name="Output 2 7 3 2 3 2 3" xfId="47582"/>
    <cellStyle name="Output 2 7 3 2 3 2 4" xfId="55705"/>
    <cellStyle name="Output 2 7 3 2 3 3" xfId="2617"/>
    <cellStyle name="Output 2 7 3 2 3 3 2" xfId="36717"/>
    <cellStyle name="Output 2 7 3 2 3 3 3" xfId="47583"/>
    <cellStyle name="Output 2 7 3 2 3 3 4" xfId="55706"/>
    <cellStyle name="Output 2 7 3 2 3 4" xfId="23482"/>
    <cellStyle name="Output 2 7 3 2 3 4 2" xfId="37333"/>
    <cellStyle name="Output 2 7 3 2 3 4 3" xfId="47584"/>
    <cellStyle name="Output 2 7 3 2 3 4 4" xfId="55707"/>
    <cellStyle name="Output 2 7 3 2 3 5" xfId="23483"/>
    <cellStyle name="Output 2 7 3 2 3 5 2" xfId="37949"/>
    <cellStyle name="Output 2 7 3 2 3 5 3" xfId="47585"/>
    <cellStyle name="Output 2 7 3 2 3 5 4" xfId="55708"/>
    <cellStyle name="Output 2 7 3 2 3 6" xfId="38566"/>
    <cellStyle name="Output 2 7 3 2 3 6 2" xfId="47586"/>
    <cellStyle name="Output 2 7 3 2 3 6 3" xfId="55709"/>
    <cellStyle name="Output 2 7 3 2 3 7" xfId="39186"/>
    <cellStyle name="Output 2 7 3 2 3 7 2" xfId="47587"/>
    <cellStyle name="Output 2 7 3 2 3 7 3" xfId="55710"/>
    <cellStyle name="Output 2 7 3 2 3 8" xfId="39802"/>
    <cellStyle name="Output 2 7 3 2 3 8 2" xfId="47588"/>
    <cellStyle name="Output 2 7 3 2 3 8 3" xfId="55711"/>
    <cellStyle name="Output 2 7 3 2 3 9" xfId="40417"/>
    <cellStyle name="Output 2 7 3 2 3 9 2" xfId="47589"/>
    <cellStyle name="Output 2 7 3 2 3 9 3" xfId="55712"/>
    <cellStyle name="Output 2 7 3 2 4" xfId="2618"/>
    <cellStyle name="Output 2 7 3 2 4 10" xfId="47590"/>
    <cellStyle name="Output 2 7 3 2 4 11" xfId="55713"/>
    <cellStyle name="Output 2 7 3 2 4 2" xfId="23484"/>
    <cellStyle name="Output 2 7 3 2 4 2 2" xfId="47591"/>
    <cellStyle name="Output 2 7 3 2 4 2 3" xfId="55714"/>
    <cellStyle name="Output 2 7 3 2 4 3" xfId="23485"/>
    <cellStyle name="Output 2 7 3 2 4 3 2" xfId="47592"/>
    <cellStyle name="Output 2 7 3 2 4 3 3" xfId="55715"/>
    <cellStyle name="Output 2 7 3 2 4 4" xfId="23486"/>
    <cellStyle name="Output 2 7 3 2 4 4 2" xfId="47593"/>
    <cellStyle name="Output 2 7 3 2 4 4 3" xfId="55716"/>
    <cellStyle name="Output 2 7 3 2 4 5" xfId="23487"/>
    <cellStyle name="Output 2 7 3 2 4 5 2" xfId="47594"/>
    <cellStyle name="Output 2 7 3 2 4 5 3" xfId="55717"/>
    <cellStyle name="Output 2 7 3 2 4 6" xfId="35706"/>
    <cellStyle name="Output 2 7 3 2 4 6 2" xfId="47595"/>
    <cellStyle name="Output 2 7 3 2 4 6 3" xfId="55718"/>
    <cellStyle name="Output 2 7 3 2 4 7" xfId="47596"/>
    <cellStyle name="Output 2 7 3 2 4 7 2" xfId="55719"/>
    <cellStyle name="Output 2 7 3 2 4 8" xfId="47597"/>
    <cellStyle name="Output 2 7 3 2 4 8 2" xfId="55720"/>
    <cellStyle name="Output 2 7 3 2 4 9" xfId="47598"/>
    <cellStyle name="Output 2 7 3 2 4 9 2" xfId="55721"/>
    <cellStyle name="Output 2 7 3 2 5" xfId="1384"/>
    <cellStyle name="Output 2 7 3 2 5 2" xfId="23488"/>
    <cellStyle name="Output 2 7 3 2 5 3" xfId="23489"/>
    <cellStyle name="Output 2 7 3 2 5 4" xfId="23490"/>
    <cellStyle name="Output 2 7 3 2 5 5" xfId="23491"/>
    <cellStyle name="Output 2 7 3 2 5 6" xfId="36502"/>
    <cellStyle name="Output 2 7 3 2 5 7" xfId="47599"/>
    <cellStyle name="Output 2 7 3 2 5 8" xfId="55722"/>
    <cellStyle name="Output 2 7 3 2 6" xfId="3452"/>
    <cellStyle name="Output 2 7 3 2 6 2" xfId="23492"/>
    <cellStyle name="Output 2 7 3 2 6 3" xfId="23493"/>
    <cellStyle name="Output 2 7 3 2 6 4" xfId="23494"/>
    <cellStyle name="Output 2 7 3 2 6 5" xfId="23495"/>
    <cellStyle name="Output 2 7 3 2 6 6" xfId="37118"/>
    <cellStyle name="Output 2 7 3 2 6 7" xfId="47600"/>
    <cellStyle name="Output 2 7 3 2 6 8" xfId="55723"/>
    <cellStyle name="Output 2 7 3 2 7" xfId="3774"/>
    <cellStyle name="Output 2 7 3 2 7 2" xfId="23496"/>
    <cellStyle name="Output 2 7 3 2 7 3" xfId="23497"/>
    <cellStyle name="Output 2 7 3 2 7 4" xfId="23498"/>
    <cellStyle name="Output 2 7 3 2 7 5" xfId="23499"/>
    <cellStyle name="Output 2 7 3 2 7 6" xfId="37732"/>
    <cellStyle name="Output 2 7 3 2 7 7" xfId="47601"/>
    <cellStyle name="Output 2 7 3 2 7 8" xfId="55724"/>
    <cellStyle name="Output 2 7 3 2 8" xfId="23500"/>
    <cellStyle name="Output 2 7 3 2 8 2" xfId="23501"/>
    <cellStyle name="Output 2 7 3 2 8 3" xfId="23502"/>
    <cellStyle name="Output 2 7 3 2 8 4" xfId="23503"/>
    <cellStyle name="Output 2 7 3 2 8 5" xfId="23504"/>
    <cellStyle name="Output 2 7 3 2 8 6" xfId="38347"/>
    <cellStyle name="Output 2 7 3 2 8 7" xfId="47602"/>
    <cellStyle name="Output 2 7 3 2 8 8" xfId="55725"/>
    <cellStyle name="Output 2 7 3 2 9" xfId="23505"/>
    <cellStyle name="Output 2 7 3 2 9 2" xfId="23506"/>
    <cellStyle name="Output 2 7 3 2 9 3" xfId="23507"/>
    <cellStyle name="Output 2 7 3 2 9 4" xfId="23508"/>
    <cellStyle name="Output 2 7 3 2 9 5" xfId="23509"/>
    <cellStyle name="Output 2 7 3 2 9 6" xfId="38967"/>
    <cellStyle name="Output 2 7 3 2 9 7" xfId="47603"/>
    <cellStyle name="Output 2 7 3 2 9 8" xfId="55726"/>
    <cellStyle name="Output 2 7 3 20" xfId="34945"/>
    <cellStyle name="Output 2 7 3 21" xfId="40827"/>
    <cellStyle name="Output 2 7 3 3" xfId="409"/>
    <cellStyle name="Output 2 7 3 3 10" xfId="23510"/>
    <cellStyle name="Output 2 7 3 3 10 2" xfId="23511"/>
    <cellStyle name="Output 2 7 3 3 10 3" xfId="23512"/>
    <cellStyle name="Output 2 7 3 3 10 4" xfId="23513"/>
    <cellStyle name="Output 2 7 3 3 10 5" xfId="23514"/>
    <cellStyle name="Output 2 7 3 3 10 6" xfId="40203"/>
    <cellStyle name="Output 2 7 3 3 10 7" xfId="47604"/>
    <cellStyle name="Output 2 7 3 3 10 8" xfId="55727"/>
    <cellStyle name="Output 2 7 3 3 11" xfId="23515"/>
    <cellStyle name="Output 2 7 3 3 11 2" xfId="23516"/>
    <cellStyle name="Output 2 7 3 3 11 3" xfId="23517"/>
    <cellStyle name="Output 2 7 3 3 11 4" xfId="23518"/>
    <cellStyle name="Output 2 7 3 3 11 5" xfId="23519"/>
    <cellStyle name="Output 2 7 3 3 11 6" xfId="47605"/>
    <cellStyle name="Output 2 7 3 3 11 7" xfId="55728"/>
    <cellStyle name="Output 2 7 3 3 12" xfId="23520"/>
    <cellStyle name="Output 2 7 3 3 12 2" xfId="23521"/>
    <cellStyle name="Output 2 7 3 3 12 3" xfId="23522"/>
    <cellStyle name="Output 2 7 3 3 12 4" xfId="23523"/>
    <cellStyle name="Output 2 7 3 3 12 5" xfId="23524"/>
    <cellStyle name="Output 2 7 3 3 12 6" xfId="47606"/>
    <cellStyle name="Output 2 7 3 3 12 7" xfId="55729"/>
    <cellStyle name="Output 2 7 3 3 13" xfId="23525"/>
    <cellStyle name="Output 2 7 3 3 13 2" xfId="23526"/>
    <cellStyle name="Output 2 7 3 3 13 3" xfId="23527"/>
    <cellStyle name="Output 2 7 3 3 13 4" xfId="23528"/>
    <cellStyle name="Output 2 7 3 3 13 5" xfId="23529"/>
    <cellStyle name="Output 2 7 3 3 13 6" xfId="47607"/>
    <cellStyle name="Output 2 7 3 3 13 7" xfId="55730"/>
    <cellStyle name="Output 2 7 3 3 14" xfId="23530"/>
    <cellStyle name="Output 2 7 3 3 14 2" xfId="23531"/>
    <cellStyle name="Output 2 7 3 3 14 3" xfId="23532"/>
    <cellStyle name="Output 2 7 3 3 14 4" xfId="23533"/>
    <cellStyle name="Output 2 7 3 3 14 5" xfId="23534"/>
    <cellStyle name="Output 2 7 3 3 15" xfId="23535"/>
    <cellStyle name="Output 2 7 3 3 15 2" xfId="23536"/>
    <cellStyle name="Output 2 7 3 3 15 3" xfId="23537"/>
    <cellStyle name="Output 2 7 3 3 15 4" xfId="23538"/>
    <cellStyle name="Output 2 7 3 3 15 5" xfId="23539"/>
    <cellStyle name="Output 2 7 3 3 16" xfId="23540"/>
    <cellStyle name="Output 2 7 3 3 16 2" xfId="23541"/>
    <cellStyle name="Output 2 7 3 3 16 3" xfId="23542"/>
    <cellStyle name="Output 2 7 3 3 16 4" xfId="23543"/>
    <cellStyle name="Output 2 7 3 3 16 5" xfId="23544"/>
    <cellStyle name="Output 2 7 3 3 17" xfId="23545"/>
    <cellStyle name="Output 2 7 3 3 17 2" xfId="23546"/>
    <cellStyle name="Output 2 7 3 3 17 3" xfId="23547"/>
    <cellStyle name="Output 2 7 3 3 17 4" xfId="23548"/>
    <cellStyle name="Output 2 7 3 3 17 5" xfId="23549"/>
    <cellStyle name="Output 2 7 3 3 18" xfId="23550"/>
    <cellStyle name="Output 2 7 3 3 18 2" xfId="23551"/>
    <cellStyle name="Output 2 7 3 3 18 3" xfId="23552"/>
    <cellStyle name="Output 2 7 3 3 18 4" xfId="23553"/>
    <cellStyle name="Output 2 7 3 3 18 5" xfId="23554"/>
    <cellStyle name="Output 2 7 3 3 19" xfId="23555"/>
    <cellStyle name="Output 2 7 3 3 2" xfId="628"/>
    <cellStyle name="Output 2 7 3 3 2 10" xfId="23556"/>
    <cellStyle name="Output 2 7 3 3 2 10 2" xfId="23557"/>
    <cellStyle name="Output 2 7 3 3 2 10 3" xfId="23558"/>
    <cellStyle name="Output 2 7 3 3 2 10 4" xfId="23559"/>
    <cellStyle name="Output 2 7 3 3 2 10 5" xfId="23560"/>
    <cellStyle name="Output 2 7 3 3 2 10 6" xfId="47608"/>
    <cellStyle name="Output 2 7 3 3 2 10 7" xfId="55731"/>
    <cellStyle name="Output 2 7 3 3 2 11" xfId="23561"/>
    <cellStyle name="Output 2 7 3 3 2 11 2" xfId="23562"/>
    <cellStyle name="Output 2 7 3 3 2 11 3" xfId="23563"/>
    <cellStyle name="Output 2 7 3 3 2 11 4" xfId="23564"/>
    <cellStyle name="Output 2 7 3 3 2 11 5" xfId="23565"/>
    <cellStyle name="Output 2 7 3 3 2 12" xfId="23566"/>
    <cellStyle name="Output 2 7 3 3 2 12 2" xfId="23567"/>
    <cellStyle name="Output 2 7 3 3 2 12 3" xfId="23568"/>
    <cellStyle name="Output 2 7 3 3 2 12 4" xfId="23569"/>
    <cellStyle name="Output 2 7 3 3 2 12 5" xfId="23570"/>
    <cellStyle name="Output 2 7 3 3 2 13" xfId="23571"/>
    <cellStyle name="Output 2 7 3 3 2 13 2" xfId="23572"/>
    <cellStyle name="Output 2 7 3 3 2 13 3" xfId="23573"/>
    <cellStyle name="Output 2 7 3 3 2 13 4" xfId="23574"/>
    <cellStyle name="Output 2 7 3 3 2 13 5" xfId="23575"/>
    <cellStyle name="Output 2 7 3 3 2 14" xfId="23576"/>
    <cellStyle name="Output 2 7 3 3 2 14 2" xfId="23577"/>
    <cellStyle name="Output 2 7 3 3 2 14 3" xfId="23578"/>
    <cellStyle name="Output 2 7 3 3 2 14 4" xfId="23579"/>
    <cellStyle name="Output 2 7 3 3 2 14 5" xfId="23580"/>
    <cellStyle name="Output 2 7 3 3 2 15" xfId="23581"/>
    <cellStyle name="Output 2 7 3 3 2 15 2" xfId="23582"/>
    <cellStyle name="Output 2 7 3 3 2 15 3" xfId="23583"/>
    <cellStyle name="Output 2 7 3 3 2 15 4" xfId="23584"/>
    <cellStyle name="Output 2 7 3 3 2 15 5" xfId="23585"/>
    <cellStyle name="Output 2 7 3 3 2 16" xfId="23586"/>
    <cellStyle name="Output 2 7 3 3 2 16 2" xfId="23587"/>
    <cellStyle name="Output 2 7 3 3 2 16 3" xfId="23588"/>
    <cellStyle name="Output 2 7 3 3 2 16 4" xfId="23589"/>
    <cellStyle name="Output 2 7 3 3 2 16 5" xfId="23590"/>
    <cellStyle name="Output 2 7 3 3 2 17" xfId="23591"/>
    <cellStyle name="Output 2 7 3 3 2 17 2" xfId="23592"/>
    <cellStyle name="Output 2 7 3 3 2 17 3" xfId="23593"/>
    <cellStyle name="Output 2 7 3 3 2 17 4" xfId="23594"/>
    <cellStyle name="Output 2 7 3 3 2 17 5" xfId="23595"/>
    <cellStyle name="Output 2 7 3 3 2 18" xfId="23596"/>
    <cellStyle name="Output 2 7 3 3 2 18 2" xfId="23597"/>
    <cellStyle name="Output 2 7 3 3 2 18 3" xfId="23598"/>
    <cellStyle name="Output 2 7 3 3 2 18 4" xfId="23599"/>
    <cellStyle name="Output 2 7 3 3 2 18 5" xfId="23600"/>
    <cellStyle name="Output 2 7 3 3 2 19" xfId="23601"/>
    <cellStyle name="Output 2 7 3 3 2 2" xfId="2619"/>
    <cellStyle name="Output 2 7 3 3 2 2 2" xfId="23602"/>
    <cellStyle name="Output 2 7 3 3 2 2 3" xfId="23603"/>
    <cellStyle name="Output 2 7 3 3 2 2 4" xfId="23604"/>
    <cellStyle name="Output 2 7 3 3 2 2 5" xfId="23605"/>
    <cellStyle name="Output 2 7 3 3 2 2 6" xfId="36432"/>
    <cellStyle name="Output 2 7 3 3 2 2 7" xfId="47609"/>
    <cellStyle name="Output 2 7 3 3 2 2 8" xfId="55732"/>
    <cellStyle name="Output 2 7 3 3 2 20" xfId="1057"/>
    <cellStyle name="Output 2 7 3 3 2 21" xfId="35137"/>
    <cellStyle name="Output 2 7 3 3 2 22" xfId="41356"/>
    <cellStyle name="Output 2 7 3 3 2 3" xfId="2620"/>
    <cellStyle name="Output 2 7 3 3 2 3 2" xfId="23606"/>
    <cellStyle name="Output 2 7 3 3 2 3 3" xfId="23607"/>
    <cellStyle name="Output 2 7 3 3 2 3 4" xfId="23608"/>
    <cellStyle name="Output 2 7 3 3 2 3 5" xfId="23609"/>
    <cellStyle name="Output 2 7 3 3 2 3 6" xfId="36929"/>
    <cellStyle name="Output 2 7 3 3 2 3 7" xfId="47610"/>
    <cellStyle name="Output 2 7 3 3 2 3 8" xfId="55733"/>
    <cellStyle name="Output 2 7 3 3 2 4" xfId="1387"/>
    <cellStyle name="Output 2 7 3 3 2 4 2" xfId="23610"/>
    <cellStyle name="Output 2 7 3 3 2 4 3" xfId="23611"/>
    <cellStyle name="Output 2 7 3 3 2 4 4" xfId="23612"/>
    <cellStyle name="Output 2 7 3 3 2 4 5" xfId="23613"/>
    <cellStyle name="Output 2 7 3 3 2 4 6" xfId="37545"/>
    <cellStyle name="Output 2 7 3 3 2 4 7" xfId="47611"/>
    <cellStyle name="Output 2 7 3 3 2 4 8" xfId="55734"/>
    <cellStyle name="Output 2 7 3 3 2 5" xfId="3455"/>
    <cellStyle name="Output 2 7 3 3 2 5 2" xfId="23614"/>
    <cellStyle name="Output 2 7 3 3 2 5 3" xfId="23615"/>
    <cellStyle name="Output 2 7 3 3 2 5 4" xfId="23616"/>
    <cellStyle name="Output 2 7 3 3 2 5 5" xfId="23617"/>
    <cellStyle name="Output 2 7 3 3 2 5 6" xfId="38161"/>
    <cellStyle name="Output 2 7 3 3 2 5 7" xfId="47612"/>
    <cellStyle name="Output 2 7 3 3 2 5 8" xfId="55735"/>
    <cellStyle name="Output 2 7 3 3 2 6" xfId="3777"/>
    <cellStyle name="Output 2 7 3 3 2 6 2" xfId="23618"/>
    <cellStyle name="Output 2 7 3 3 2 6 3" xfId="23619"/>
    <cellStyle name="Output 2 7 3 3 2 6 4" xfId="23620"/>
    <cellStyle name="Output 2 7 3 3 2 6 5" xfId="23621"/>
    <cellStyle name="Output 2 7 3 3 2 6 6" xfId="38779"/>
    <cellStyle name="Output 2 7 3 3 2 6 7" xfId="47613"/>
    <cellStyle name="Output 2 7 3 3 2 6 8" xfId="55736"/>
    <cellStyle name="Output 2 7 3 3 2 7" xfId="23622"/>
    <cellStyle name="Output 2 7 3 3 2 7 2" xfId="23623"/>
    <cellStyle name="Output 2 7 3 3 2 7 3" xfId="23624"/>
    <cellStyle name="Output 2 7 3 3 2 7 4" xfId="23625"/>
    <cellStyle name="Output 2 7 3 3 2 7 5" xfId="23626"/>
    <cellStyle name="Output 2 7 3 3 2 7 6" xfId="39399"/>
    <cellStyle name="Output 2 7 3 3 2 7 7" xfId="47614"/>
    <cellStyle name="Output 2 7 3 3 2 7 8" xfId="55737"/>
    <cellStyle name="Output 2 7 3 3 2 8" xfId="23627"/>
    <cellStyle name="Output 2 7 3 3 2 8 2" xfId="23628"/>
    <cellStyle name="Output 2 7 3 3 2 8 3" xfId="23629"/>
    <cellStyle name="Output 2 7 3 3 2 8 4" xfId="23630"/>
    <cellStyle name="Output 2 7 3 3 2 8 5" xfId="23631"/>
    <cellStyle name="Output 2 7 3 3 2 8 6" xfId="40015"/>
    <cellStyle name="Output 2 7 3 3 2 8 7" xfId="47615"/>
    <cellStyle name="Output 2 7 3 3 2 8 8" xfId="55738"/>
    <cellStyle name="Output 2 7 3 3 2 9" xfId="23632"/>
    <cellStyle name="Output 2 7 3 3 2 9 2" xfId="23633"/>
    <cellStyle name="Output 2 7 3 3 2 9 3" xfId="23634"/>
    <cellStyle name="Output 2 7 3 3 2 9 4" xfId="23635"/>
    <cellStyle name="Output 2 7 3 3 2 9 5" xfId="23636"/>
    <cellStyle name="Output 2 7 3 3 2 9 6" xfId="40630"/>
    <cellStyle name="Output 2 7 3 3 2 9 7" xfId="47616"/>
    <cellStyle name="Output 2 7 3 3 2 9 8" xfId="55739"/>
    <cellStyle name="Output 2 7 3 3 20" xfId="845"/>
    <cellStyle name="Output 2 7 3 3 21" xfId="34691"/>
    <cellStyle name="Output 2 7 3 3 22" xfId="40929"/>
    <cellStyle name="Output 2 7 3 3 23" xfId="41490"/>
    <cellStyle name="Output 2 7 3 3 24" xfId="50577"/>
    <cellStyle name="Output 2 7 3 3 3" xfId="2621"/>
    <cellStyle name="Output 2 7 3 3 3 10" xfId="34604"/>
    <cellStyle name="Output 2 7 3 3 3 10 2" xfId="47618"/>
    <cellStyle name="Output 2 7 3 3 3 10 3" xfId="55741"/>
    <cellStyle name="Output 2 7 3 3 3 11" xfId="41144"/>
    <cellStyle name="Output 2 7 3 3 3 12" xfId="47617"/>
    <cellStyle name="Output 2 7 3 3 3 13" xfId="55740"/>
    <cellStyle name="Output 2 7 3 3 3 2" xfId="2622"/>
    <cellStyle name="Output 2 7 3 3 3 2 2" xfId="36221"/>
    <cellStyle name="Output 2 7 3 3 3 2 3" xfId="47619"/>
    <cellStyle name="Output 2 7 3 3 3 2 4" xfId="55742"/>
    <cellStyle name="Output 2 7 3 3 3 3" xfId="2623"/>
    <cellStyle name="Output 2 7 3 3 3 3 2" xfId="36718"/>
    <cellStyle name="Output 2 7 3 3 3 3 3" xfId="47620"/>
    <cellStyle name="Output 2 7 3 3 3 3 4" xfId="55743"/>
    <cellStyle name="Output 2 7 3 3 3 4" xfId="23637"/>
    <cellStyle name="Output 2 7 3 3 3 4 2" xfId="37334"/>
    <cellStyle name="Output 2 7 3 3 3 4 3" xfId="47621"/>
    <cellStyle name="Output 2 7 3 3 3 4 4" xfId="55744"/>
    <cellStyle name="Output 2 7 3 3 3 5" xfId="23638"/>
    <cellStyle name="Output 2 7 3 3 3 5 2" xfId="37950"/>
    <cellStyle name="Output 2 7 3 3 3 5 3" xfId="47622"/>
    <cellStyle name="Output 2 7 3 3 3 5 4" xfId="55745"/>
    <cellStyle name="Output 2 7 3 3 3 6" xfId="38567"/>
    <cellStyle name="Output 2 7 3 3 3 6 2" xfId="47623"/>
    <cellStyle name="Output 2 7 3 3 3 6 3" xfId="55746"/>
    <cellStyle name="Output 2 7 3 3 3 7" xfId="39187"/>
    <cellStyle name="Output 2 7 3 3 3 7 2" xfId="47624"/>
    <cellStyle name="Output 2 7 3 3 3 7 3" xfId="55747"/>
    <cellStyle name="Output 2 7 3 3 3 8" xfId="39803"/>
    <cellStyle name="Output 2 7 3 3 3 8 2" xfId="47625"/>
    <cellStyle name="Output 2 7 3 3 3 8 3" xfId="55748"/>
    <cellStyle name="Output 2 7 3 3 3 9" xfId="40418"/>
    <cellStyle name="Output 2 7 3 3 3 9 2" xfId="47626"/>
    <cellStyle name="Output 2 7 3 3 3 9 3" xfId="55749"/>
    <cellStyle name="Output 2 7 3 3 4" xfId="2624"/>
    <cellStyle name="Output 2 7 3 3 4 10" xfId="47627"/>
    <cellStyle name="Output 2 7 3 3 4 11" xfId="55750"/>
    <cellStyle name="Output 2 7 3 3 4 2" xfId="23639"/>
    <cellStyle name="Output 2 7 3 3 4 2 2" xfId="47628"/>
    <cellStyle name="Output 2 7 3 3 4 2 3" xfId="55751"/>
    <cellStyle name="Output 2 7 3 3 4 3" xfId="23640"/>
    <cellStyle name="Output 2 7 3 3 4 3 2" xfId="47629"/>
    <cellStyle name="Output 2 7 3 3 4 3 3" xfId="55752"/>
    <cellStyle name="Output 2 7 3 3 4 4" xfId="23641"/>
    <cellStyle name="Output 2 7 3 3 4 4 2" xfId="47630"/>
    <cellStyle name="Output 2 7 3 3 4 4 3" xfId="55753"/>
    <cellStyle name="Output 2 7 3 3 4 5" xfId="23642"/>
    <cellStyle name="Output 2 7 3 3 4 5 2" xfId="47631"/>
    <cellStyle name="Output 2 7 3 3 4 5 3" xfId="55754"/>
    <cellStyle name="Output 2 7 3 3 4 6" xfId="36503"/>
    <cellStyle name="Output 2 7 3 3 4 6 2" xfId="47632"/>
    <cellStyle name="Output 2 7 3 3 4 6 3" xfId="55755"/>
    <cellStyle name="Output 2 7 3 3 4 7" xfId="47633"/>
    <cellStyle name="Output 2 7 3 3 4 7 2" xfId="55756"/>
    <cellStyle name="Output 2 7 3 3 4 8" xfId="47634"/>
    <cellStyle name="Output 2 7 3 3 4 8 2" xfId="55757"/>
    <cellStyle name="Output 2 7 3 3 4 9" xfId="47635"/>
    <cellStyle name="Output 2 7 3 3 4 9 2" xfId="55758"/>
    <cellStyle name="Output 2 7 3 3 5" xfId="1386"/>
    <cellStyle name="Output 2 7 3 3 5 2" xfId="23643"/>
    <cellStyle name="Output 2 7 3 3 5 3" xfId="23644"/>
    <cellStyle name="Output 2 7 3 3 5 4" xfId="23645"/>
    <cellStyle name="Output 2 7 3 3 5 5" xfId="23646"/>
    <cellStyle name="Output 2 7 3 3 5 6" xfId="37119"/>
    <cellStyle name="Output 2 7 3 3 5 7" xfId="47636"/>
    <cellStyle name="Output 2 7 3 3 5 8" xfId="55759"/>
    <cellStyle name="Output 2 7 3 3 6" xfId="3454"/>
    <cellStyle name="Output 2 7 3 3 6 2" xfId="23647"/>
    <cellStyle name="Output 2 7 3 3 6 3" xfId="23648"/>
    <cellStyle name="Output 2 7 3 3 6 4" xfId="23649"/>
    <cellStyle name="Output 2 7 3 3 6 5" xfId="23650"/>
    <cellStyle name="Output 2 7 3 3 6 6" xfId="37733"/>
    <cellStyle name="Output 2 7 3 3 6 7" xfId="47637"/>
    <cellStyle name="Output 2 7 3 3 6 8" xfId="55760"/>
    <cellStyle name="Output 2 7 3 3 7" xfId="3776"/>
    <cellStyle name="Output 2 7 3 3 7 2" xfId="23651"/>
    <cellStyle name="Output 2 7 3 3 7 3" xfId="23652"/>
    <cellStyle name="Output 2 7 3 3 7 4" xfId="23653"/>
    <cellStyle name="Output 2 7 3 3 7 5" xfId="23654"/>
    <cellStyle name="Output 2 7 3 3 7 6" xfId="38348"/>
    <cellStyle name="Output 2 7 3 3 7 7" xfId="47638"/>
    <cellStyle name="Output 2 7 3 3 7 8" xfId="55761"/>
    <cellStyle name="Output 2 7 3 3 8" xfId="23655"/>
    <cellStyle name="Output 2 7 3 3 8 2" xfId="23656"/>
    <cellStyle name="Output 2 7 3 3 8 3" xfId="23657"/>
    <cellStyle name="Output 2 7 3 3 8 4" xfId="23658"/>
    <cellStyle name="Output 2 7 3 3 8 5" xfId="23659"/>
    <cellStyle name="Output 2 7 3 3 8 6" xfId="38968"/>
    <cellStyle name="Output 2 7 3 3 8 7" xfId="47639"/>
    <cellStyle name="Output 2 7 3 3 8 8" xfId="55762"/>
    <cellStyle name="Output 2 7 3 3 9" xfId="23660"/>
    <cellStyle name="Output 2 7 3 3 9 2" xfId="23661"/>
    <cellStyle name="Output 2 7 3 3 9 3" xfId="23662"/>
    <cellStyle name="Output 2 7 3 3 9 4" xfId="23663"/>
    <cellStyle name="Output 2 7 3 3 9 5" xfId="23664"/>
    <cellStyle name="Output 2 7 3 3 9 6" xfId="39587"/>
    <cellStyle name="Output 2 7 3 3 9 7" xfId="47640"/>
    <cellStyle name="Output 2 7 3 3 9 8" xfId="55763"/>
    <cellStyle name="Output 2 7 3 4" xfId="528"/>
    <cellStyle name="Output 2 7 3 4 10" xfId="23665"/>
    <cellStyle name="Output 2 7 3 4 10 2" xfId="23666"/>
    <cellStyle name="Output 2 7 3 4 10 3" xfId="23667"/>
    <cellStyle name="Output 2 7 3 4 10 4" xfId="23668"/>
    <cellStyle name="Output 2 7 3 4 10 5" xfId="23669"/>
    <cellStyle name="Output 2 7 3 4 10 6" xfId="47641"/>
    <cellStyle name="Output 2 7 3 4 10 7" xfId="55764"/>
    <cellStyle name="Output 2 7 3 4 11" xfId="23670"/>
    <cellStyle name="Output 2 7 3 4 11 2" xfId="23671"/>
    <cellStyle name="Output 2 7 3 4 11 3" xfId="23672"/>
    <cellStyle name="Output 2 7 3 4 11 4" xfId="23673"/>
    <cellStyle name="Output 2 7 3 4 11 5" xfId="23674"/>
    <cellStyle name="Output 2 7 3 4 12" xfId="23675"/>
    <cellStyle name="Output 2 7 3 4 12 2" xfId="23676"/>
    <cellStyle name="Output 2 7 3 4 12 3" xfId="23677"/>
    <cellStyle name="Output 2 7 3 4 12 4" xfId="23678"/>
    <cellStyle name="Output 2 7 3 4 12 5" xfId="23679"/>
    <cellStyle name="Output 2 7 3 4 13" xfId="23680"/>
    <cellStyle name="Output 2 7 3 4 13 2" xfId="23681"/>
    <cellStyle name="Output 2 7 3 4 13 3" xfId="23682"/>
    <cellStyle name="Output 2 7 3 4 13 4" xfId="23683"/>
    <cellStyle name="Output 2 7 3 4 13 5" xfId="23684"/>
    <cellStyle name="Output 2 7 3 4 14" xfId="23685"/>
    <cellStyle name="Output 2 7 3 4 14 2" xfId="23686"/>
    <cellStyle name="Output 2 7 3 4 14 3" xfId="23687"/>
    <cellStyle name="Output 2 7 3 4 14 4" xfId="23688"/>
    <cellStyle name="Output 2 7 3 4 14 5" xfId="23689"/>
    <cellStyle name="Output 2 7 3 4 15" xfId="23690"/>
    <cellStyle name="Output 2 7 3 4 15 2" xfId="23691"/>
    <cellStyle name="Output 2 7 3 4 15 3" xfId="23692"/>
    <cellStyle name="Output 2 7 3 4 15 4" xfId="23693"/>
    <cellStyle name="Output 2 7 3 4 15 5" xfId="23694"/>
    <cellStyle name="Output 2 7 3 4 16" xfId="23695"/>
    <cellStyle name="Output 2 7 3 4 16 2" xfId="23696"/>
    <cellStyle name="Output 2 7 3 4 16 3" xfId="23697"/>
    <cellStyle name="Output 2 7 3 4 16 4" xfId="23698"/>
    <cellStyle name="Output 2 7 3 4 16 5" xfId="23699"/>
    <cellStyle name="Output 2 7 3 4 17" xfId="23700"/>
    <cellStyle name="Output 2 7 3 4 17 2" xfId="23701"/>
    <cellStyle name="Output 2 7 3 4 17 3" xfId="23702"/>
    <cellStyle name="Output 2 7 3 4 17 4" xfId="23703"/>
    <cellStyle name="Output 2 7 3 4 17 5" xfId="23704"/>
    <cellStyle name="Output 2 7 3 4 18" xfId="23705"/>
    <cellStyle name="Output 2 7 3 4 18 2" xfId="23706"/>
    <cellStyle name="Output 2 7 3 4 18 3" xfId="23707"/>
    <cellStyle name="Output 2 7 3 4 18 4" xfId="23708"/>
    <cellStyle name="Output 2 7 3 4 18 5" xfId="23709"/>
    <cellStyle name="Output 2 7 3 4 19" xfId="23710"/>
    <cellStyle name="Output 2 7 3 4 2" xfId="2625"/>
    <cellStyle name="Output 2 7 3 4 2 2" xfId="23711"/>
    <cellStyle name="Output 2 7 3 4 2 3" xfId="23712"/>
    <cellStyle name="Output 2 7 3 4 2 4" xfId="23713"/>
    <cellStyle name="Output 2 7 3 4 2 5" xfId="23714"/>
    <cellStyle name="Output 2 7 3 4 2 6" xfId="36332"/>
    <cellStyle name="Output 2 7 3 4 2 7" xfId="47642"/>
    <cellStyle name="Output 2 7 3 4 2 8" xfId="55765"/>
    <cellStyle name="Output 2 7 3 4 20" xfId="957"/>
    <cellStyle name="Output 2 7 3 4 21" xfId="35037"/>
    <cellStyle name="Output 2 7 3 4 22" xfId="40746"/>
    <cellStyle name="Output 2 7 3 4 23" xfId="41256"/>
    <cellStyle name="Output 2 7 3 4 3" xfId="2626"/>
    <cellStyle name="Output 2 7 3 4 3 2" xfId="23715"/>
    <cellStyle name="Output 2 7 3 4 3 3" xfId="23716"/>
    <cellStyle name="Output 2 7 3 4 3 4" xfId="23717"/>
    <cellStyle name="Output 2 7 3 4 3 5" xfId="23718"/>
    <cellStyle name="Output 2 7 3 4 3 6" xfId="36829"/>
    <cellStyle name="Output 2 7 3 4 3 7" xfId="47643"/>
    <cellStyle name="Output 2 7 3 4 3 8" xfId="55766"/>
    <cellStyle name="Output 2 7 3 4 4" xfId="1388"/>
    <cellStyle name="Output 2 7 3 4 4 2" xfId="23719"/>
    <cellStyle name="Output 2 7 3 4 4 3" xfId="23720"/>
    <cellStyle name="Output 2 7 3 4 4 4" xfId="23721"/>
    <cellStyle name="Output 2 7 3 4 4 5" xfId="23722"/>
    <cellStyle name="Output 2 7 3 4 4 6" xfId="37445"/>
    <cellStyle name="Output 2 7 3 4 4 7" xfId="47644"/>
    <cellStyle name="Output 2 7 3 4 4 8" xfId="55767"/>
    <cellStyle name="Output 2 7 3 4 5" xfId="3456"/>
    <cellStyle name="Output 2 7 3 4 5 2" xfId="23723"/>
    <cellStyle name="Output 2 7 3 4 5 3" xfId="23724"/>
    <cellStyle name="Output 2 7 3 4 5 4" xfId="23725"/>
    <cellStyle name="Output 2 7 3 4 5 5" xfId="23726"/>
    <cellStyle name="Output 2 7 3 4 5 6" xfId="38061"/>
    <cellStyle name="Output 2 7 3 4 5 7" xfId="47645"/>
    <cellStyle name="Output 2 7 3 4 5 8" xfId="55768"/>
    <cellStyle name="Output 2 7 3 4 6" xfId="3778"/>
    <cellStyle name="Output 2 7 3 4 6 2" xfId="23727"/>
    <cellStyle name="Output 2 7 3 4 6 3" xfId="23728"/>
    <cellStyle name="Output 2 7 3 4 6 4" xfId="23729"/>
    <cellStyle name="Output 2 7 3 4 6 5" xfId="23730"/>
    <cellStyle name="Output 2 7 3 4 6 6" xfId="38679"/>
    <cellStyle name="Output 2 7 3 4 6 7" xfId="47646"/>
    <cellStyle name="Output 2 7 3 4 6 8" xfId="55769"/>
    <cellStyle name="Output 2 7 3 4 7" xfId="23731"/>
    <cellStyle name="Output 2 7 3 4 7 2" xfId="23732"/>
    <cellStyle name="Output 2 7 3 4 7 3" xfId="23733"/>
    <cellStyle name="Output 2 7 3 4 7 4" xfId="23734"/>
    <cellStyle name="Output 2 7 3 4 7 5" xfId="23735"/>
    <cellStyle name="Output 2 7 3 4 7 6" xfId="39299"/>
    <cellStyle name="Output 2 7 3 4 7 7" xfId="47647"/>
    <cellStyle name="Output 2 7 3 4 7 8" xfId="55770"/>
    <cellStyle name="Output 2 7 3 4 8" xfId="23736"/>
    <cellStyle name="Output 2 7 3 4 8 2" xfId="23737"/>
    <cellStyle name="Output 2 7 3 4 8 3" xfId="23738"/>
    <cellStyle name="Output 2 7 3 4 8 4" xfId="23739"/>
    <cellStyle name="Output 2 7 3 4 8 5" xfId="23740"/>
    <cellStyle name="Output 2 7 3 4 8 6" xfId="39915"/>
    <cellStyle name="Output 2 7 3 4 8 7" xfId="47648"/>
    <cellStyle name="Output 2 7 3 4 8 8" xfId="55771"/>
    <cellStyle name="Output 2 7 3 4 9" xfId="23741"/>
    <cellStyle name="Output 2 7 3 4 9 2" xfId="23742"/>
    <cellStyle name="Output 2 7 3 4 9 3" xfId="23743"/>
    <cellStyle name="Output 2 7 3 4 9 4" xfId="23744"/>
    <cellStyle name="Output 2 7 3 4 9 5" xfId="23745"/>
    <cellStyle name="Output 2 7 3 4 9 6" xfId="40530"/>
    <cellStyle name="Output 2 7 3 4 9 7" xfId="47649"/>
    <cellStyle name="Output 2 7 3 4 9 8" xfId="55772"/>
    <cellStyle name="Output 2 7 3 5" xfId="2627"/>
    <cellStyle name="Output 2 7 3 5 10" xfId="34802"/>
    <cellStyle name="Output 2 7 3 5 10 2" xfId="47651"/>
    <cellStyle name="Output 2 7 3 5 10 3" xfId="55774"/>
    <cellStyle name="Output 2 7 3 5 11" xfId="41042"/>
    <cellStyle name="Output 2 7 3 5 12" xfId="47650"/>
    <cellStyle name="Output 2 7 3 5 13" xfId="55773"/>
    <cellStyle name="Output 2 7 3 5 2" xfId="2628"/>
    <cellStyle name="Output 2 7 3 5 2 2" xfId="36119"/>
    <cellStyle name="Output 2 7 3 5 2 3" xfId="47652"/>
    <cellStyle name="Output 2 7 3 5 2 4" xfId="55775"/>
    <cellStyle name="Output 2 7 3 5 3" xfId="2629"/>
    <cellStyle name="Output 2 7 3 5 3 2" xfId="36618"/>
    <cellStyle name="Output 2 7 3 5 3 3" xfId="47653"/>
    <cellStyle name="Output 2 7 3 5 3 4" xfId="55776"/>
    <cellStyle name="Output 2 7 3 5 4" xfId="23746"/>
    <cellStyle name="Output 2 7 3 5 4 2" xfId="37234"/>
    <cellStyle name="Output 2 7 3 5 4 3" xfId="47654"/>
    <cellStyle name="Output 2 7 3 5 4 4" xfId="55777"/>
    <cellStyle name="Output 2 7 3 5 5" xfId="23747"/>
    <cellStyle name="Output 2 7 3 5 5 2" xfId="37850"/>
    <cellStyle name="Output 2 7 3 5 5 3" xfId="47655"/>
    <cellStyle name="Output 2 7 3 5 5 4" xfId="55778"/>
    <cellStyle name="Output 2 7 3 5 6" xfId="38465"/>
    <cellStyle name="Output 2 7 3 5 6 2" xfId="47656"/>
    <cellStyle name="Output 2 7 3 5 6 3" xfId="55779"/>
    <cellStyle name="Output 2 7 3 5 7" xfId="39085"/>
    <cellStyle name="Output 2 7 3 5 7 2" xfId="47657"/>
    <cellStyle name="Output 2 7 3 5 7 3" xfId="55780"/>
    <cellStyle name="Output 2 7 3 5 8" xfId="39701"/>
    <cellStyle name="Output 2 7 3 5 8 2" xfId="47658"/>
    <cellStyle name="Output 2 7 3 5 8 3" xfId="55781"/>
    <cellStyle name="Output 2 7 3 5 9" xfId="40316"/>
    <cellStyle name="Output 2 7 3 5 9 2" xfId="47659"/>
    <cellStyle name="Output 2 7 3 5 9 3" xfId="55782"/>
    <cellStyle name="Output 2 7 3 6" xfId="1383"/>
    <cellStyle name="Output 2 7 3 6 10" xfId="47660"/>
    <cellStyle name="Output 2 7 3 6 11" xfId="55783"/>
    <cellStyle name="Output 2 7 3 6 2" xfId="23748"/>
    <cellStyle name="Output 2 7 3 6 2 2" xfId="47661"/>
    <cellStyle name="Output 2 7 3 6 2 3" xfId="55784"/>
    <cellStyle name="Output 2 7 3 6 3" xfId="23749"/>
    <cellStyle name="Output 2 7 3 6 3 2" xfId="47662"/>
    <cellStyle name="Output 2 7 3 6 3 3" xfId="55785"/>
    <cellStyle name="Output 2 7 3 6 4" xfId="23750"/>
    <cellStyle name="Output 2 7 3 6 4 2" xfId="47663"/>
    <cellStyle name="Output 2 7 3 6 4 3" xfId="55786"/>
    <cellStyle name="Output 2 7 3 6 5" xfId="23751"/>
    <cellStyle name="Output 2 7 3 6 5 2" xfId="47664"/>
    <cellStyle name="Output 2 7 3 6 5 3" xfId="55787"/>
    <cellStyle name="Output 2 7 3 6 6" xfId="35437"/>
    <cellStyle name="Output 2 7 3 6 6 2" xfId="47665"/>
    <cellStyle name="Output 2 7 3 6 6 3" xfId="55788"/>
    <cellStyle name="Output 2 7 3 6 7" xfId="47666"/>
    <cellStyle name="Output 2 7 3 6 7 2" xfId="55789"/>
    <cellStyle name="Output 2 7 3 6 8" xfId="47667"/>
    <cellStyle name="Output 2 7 3 6 8 2" xfId="55790"/>
    <cellStyle name="Output 2 7 3 6 9" xfId="47668"/>
    <cellStyle name="Output 2 7 3 6 9 2" xfId="55791"/>
    <cellStyle name="Output 2 7 3 7" xfId="3451"/>
    <cellStyle name="Output 2 7 3 7 2" xfId="23752"/>
    <cellStyle name="Output 2 7 3 7 3" xfId="23753"/>
    <cellStyle name="Output 2 7 3 7 4" xfId="23754"/>
    <cellStyle name="Output 2 7 3 7 5" xfId="23755"/>
    <cellStyle name="Output 2 7 3 7 6" xfId="35969"/>
    <cellStyle name="Output 2 7 3 7 7" xfId="47669"/>
    <cellStyle name="Output 2 7 3 7 8" xfId="55792"/>
    <cellStyle name="Output 2 7 3 8" xfId="3773"/>
    <cellStyle name="Output 2 7 3 8 2" xfId="23756"/>
    <cellStyle name="Output 2 7 3 8 3" xfId="23757"/>
    <cellStyle name="Output 2 7 3 8 4" xfId="23758"/>
    <cellStyle name="Output 2 7 3 8 5" xfId="23759"/>
    <cellStyle name="Output 2 7 3 8 6" xfId="35807"/>
    <cellStyle name="Output 2 7 3 8 7" xfId="47670"/>
    <cellStyle name="Output 2 7 3 8 8" xfId="55793"/>
    <cellStyle name="Output 2 7 3 9" xfId="23760"/>
    <cellStyle name="Output 2 7 3 9 2" xfId="23761"/>
    <cellStyle name="Output 2 7 3 9 3" xfId="23762"/>
    <cellStyle name="Output 2 7 3 9 4" xfId="23763"/>
    <cellStyle name="Output 2 7 3 9 5" xfId="23764"/>
    <cellStyle name="Output 2 7 3 9 6" xfId="37014"/>
    <cellStyle name="Output 2 7 3 9 7" xfId="47671"/>
    <cellStyle name="Output 2 7 3 9 8" xfId="55794"/>
    <cellStyle name="Output 2 7 4" xfId="410"/>
    <cellStyle name="Output 2 7 4 10" xfId="23765"/>
    <cellStyle name="Output 2 7 4 10 2" xfId="23766"/>
    <cellStyle name="Output 2 7 4 10 3" xfId="23767"/>
    <cellStyle name="Output 2 7 4 10 4" xfId="23768"/>
    <cellStyle name="Output 2 7 4 10 5" xfId="23769"/>
    <cellStyle name="Output 2 7 4 10 6" xfId="39588"/>
    <cellStyle name="Output 2 7 4 10 7" xfId="47672"/>
    <cellStyle name="Output 2 7 4 10 8" xfId="55795"/>
    <cellStyle name="Output 2 7 4 11" xfId="23770"/>
    <cellStyle name="Output 2 7 4 11 2" xfId="23771"/>
    <cellStyle name="Output 2 7 4 11 3" xfId="23772"/>
    <cellStyle name="Output 2 7 4 11 4" xfId="23773"/>
    <cellStyle name="Output 2 7 4 11 5" xfId="23774"/>
    <cellStyle name="Output 2 7 4 11 6" xfId="40204"/>
    <cellStyle name="Output 2 7 4 11 7" xfId="47673"/>
    <cellStyle name="Output 2 7 4 11 8" xfId="55796"/>
    <cellStyle name="Output 2 7 4 12" xfId="23775"/>
    <cellStyle name="Output 2 7 4 12 2" xfId="23776"/>
    <cellStyle name="Output 2 7 4 12 3" xfId="23777"/>
    <cellStyle name="Output 2 7 4 12 4" xfId="23778"/>
    <cellStyle name="Output 2 7 4 12 5" xfId="23779"/>
    <cellStyle name="Output 2 7 4 12 6" xfId="47674"/>
    <cellStyle name="Output 2 7 4 12 7" xfId="55797"/>
    <cellStyle name="Output 2 7 4 13" xfId="23780"/>
    <cellStyle name="Output 2 7 4 13 2" xfId="23781"/>
    <cellStyle name="Output 2 7 4 13 3" xfId="23782"/>
    <cellStyle name="Output 2 7 4 13 4" xfId="23783"/>
    <cellStyle name="Output 2 7 4 13 5" xfId="23784"/>
    <cellStyle name="Output 2 7 4 13 6" xfId="47675"/>
    <cellStyle name="Output 2 7 4 13 7" xfId="55798"/>
    <cellStyle name="Output 2 7 4 14" xfId="23785"/>
    <cellStyle name="Output 2 7 4 14 2" xfId="23786"/>
    <cellStyle name="Output 2 7 4 14 3" xfId="23787"/>
    <cellStyle name="Output 2 7 4 14 4" xfId="23788"/>
    <cellStyle name="Output 2 7 4 14 5" xfId="23789"/>
    <cellStyle name="Output 2 7 4 15" xfId="23790"/>
    <cellStyle name="Output 2 7 4 15 2" xfId="23791"/>
    <cellStyle name="Output 2 7 4 15 3" xfId="23792"/>
    <cellStyle name="Output 2 7 4 15 4" xfId="23793"/>
    <cellStyle name="Output 2 7 4 15 5" xfId="23794"/>
    <cellStyle name="Output 2 7 4 16" xfId="23795"/>
    <cellStyle name="Output 2 7 4 16 2" xfId="23796"/>
    <cellStyle name="Output 2 7 4 16 3" xfId="23797"/>
    <cellStyle name="Output 2 7 4 16 4" xfId="23798"/>
    <cellStyle name="Output 2 7 4 16 5" xfId="23799"/>
    <cellStyle name="Output 2 7 4 17" xfId="23800"/>
    <cellStyle name="Output 2 7 4 17 2" xfId="23801"/>
    <cellStyle name="Output 2 7 4 17 3" xfId="23802"/>
    <cellStyle name="Output 2 7 4 17 4" xfId="23803"/>
    <cellStyle name="Output 2 7 4 17 5" xfId="23804"/>
    <cellStyle name="Output 2 7 4 18" xfId="23805"/>
    <cellStyle name="Output 2 7 4 18 2" xfId="23806"/>
    <cellStyle name="Output 2 7 4 18 3" xfId="23807"/>
    <cellStyle name="Output 2 7 4 18 4" xfId="23808"/>
    <cellStyle name="Output 2 7 4 18 5" xfId="23809"/>
    <cellStyle name="Output 2 7 4 19" xfId="23810"/>
    <cellStyle name="Output 2 7 4 2" xfId="629"/>
    <cellStyle name="Output 2 7 4 2 10" xfId="23811"/>
    <cellStyle name="Output 2 7 4 2 10 2" xfId="23812"/>
    <cellStyle name="Output 2 7 4 2 10 3" xfId="23813"/>
    <cellStyle name="Output 2 7 4 2 10 4" xfId="23814"/>
    <cellStyle name="Output 2 7 4 2 10 5" xfId="23815"/>
    <cellStyle name="Output 2 7 4 2 10 6" xfId="47676"/>
    <cellStyle name="Output 2 7 4 2 10 7" xfId="55799"/>
    <cellStyle name="Output 2 7 4 2 11" xfId="23816"/>
    <cellStyle name="Output 2 7 4 2 11 2" xfId="23817"/>
    <cellStyle name="Output 2 7 4 2 11 3" xfId="23818"/>
    <cellStyle name="Output 2 7 4 2 11 4" xfId="23819"/>
    <cellStyle name="Output 2 7 4 2 11 5" xfId="23820"/>
    <cellStyle name="Output 2 7 4 2 12" xfId="23821"/>
    <cellStyle name="Output 2 7 4 2 12 2" xfId="23822"/>
    <cellStyle name="Output 2 7 4 2 12 3" xfId="23823"/>
    <cellStyle name="Output 2 7 4 2 12 4" xfId="23824"/>
    <cellStyle name="Output 2 7 4 2 12 5" xfId="23825"/>
    <cellStyle name="Output 2 7 4 2 13" xfId="23826"/>
    <cellStyle name="Output 2 7 4 2 13 2" xfId="23827"/>
    <cellStyle name="Output 2 7 4 2 13 3" xfId="23828"/>
    <cellStyle name="Output 2 7 4 2 13 4" xfId="23829"/>
    <cellStyle name="Output 2 7 4 2 13 5" xfId="23830"/>
    <cellStyle name="Output 2 7 4 2 14" xfId="23831"/>
    <cellStyle name="Output 2 7 4 2 14 2" xfId="23832"/>
    <cellStyle name="Output 2 7 4 2 14 3" xfId="23833"/>
    <cellStyle name="Output 2 7 4 2 14 4" xfId="23834"/>
    <cellStyle name="Output 2 7 4 2 14 5" xfId="23835"/>
    <cellStyle name="Output 2 7 4 2 15" xfId="23836"/>
    <cellStyle name="Output 2 7 4 2 15 2" xfId="23837"/>
    <cellStyle name="Output 2 7 4 2 15 3" xfId="23838"/>
    <cellStyle name="Output 2 7 4 2 15 4" xfId="23839"/>
    <cellStyle name="Output 2 7 4 2 15 5" xfId="23840"/>
    <cellStyle name="Output 2 7 4 2 16" xfId="23841"/>
    <cellStyle name="Output 2 7 4 2 16 2" xfId="23842"/>
    <cellStyle name="Output 2 7 4 2 16 3" xfId="23843"/>
    <cellStyle name="Output 2 7 4 2 16 4" xfId="23844"/>
    <cellStyle name="Output 2 7 4 2 16 5" xfId="23845"/>
    <cellStyle name="Output 2 7 4 2 17" xfId="23846"/>
    <cellStyle name="Output 2 7 4 2 17 2" xfId="23847"/>
    <cellStyle name="Output 2 7 4 2 17 3" xfId="23848"/>
    <cellStyle name="Output 2 7 4 2 17 4" xfId="23849"/>
    <cellStyle name="Output 2 7 4 2 17 5" xfId="23850"/>
    <cellStyle name="Output 2 7 4 2 18" xfId="23851"/>
    <cellStyle name="Output 2 7 4 2 18 2" xfId="23852"/>
    <cellStyle name="Output 2 7 4 2 18 3" xfId="23853"/>
    <cellStyle name="Output 2 7 4 2 18 4" xfId="23854"/>
    <cellStyle name="Output 2 7 4 2 18 5" xfId="23855"/>
    <cellStyle name="Output 2 7 4 2 19" xfId="23856"/>
    <cellStyle name="Output 2 7 4 2 2" xfId="2630"/>
    <cellStyle name="Output 2 7 4 2 2 2" xfId="23857"/>
    <cellStyle name="Output 2 7 4 2 2 3" xfId="23858"/>
    <cellStyle name="Output 2 7 4 2 2 4" xfId="23859"/>
    <cellStyle name="Output 2 7 4 2 2 5" xfId="23860"/>
    <cellStyle name="Output 2 7 4 2 2 6" xfId="36433"/>
    <cellStyle name="Output 2 7 4 2 2 7" xfId="47677"/>
    <cellStyle name="Output 2 7 4 2 2 8" xfId="55800"/>
    <cellStyle name="Output 2 7 4 2 20" xfId="1058"/>
    <cellStyle name="Output 2 7 4 2 21" xfId="35138"/>
    <cellStyle name="Output 2 7 4 2 22" xfId="41357"/>
    <cellStyle name="Output 2 7 4 2 3" xfId="2631"/>
    <cellStyle name="Output 2 7 4 2 3 2" xfId="23861"/>
    <cellStyle name="Output 2 7 4 2 3 3" xfId="23862"/>
    <cellStyle name="Output 2 7 4 2 3 4" xfId="23863"/>
    <cellStyle name="Output 2 7 4 2 3 5" xfId="23864"/>
    <cellStyle name="Output 2 7 4 2 3 6" xfId="36930"/>
    <cellStyle name="Output 2 7 4 2 3 7" xfId="47678"/>
    <cellStyle name="Output 2 7 4 2 3 8" xfId="55801"/>
    <cellStyle name="Output 2 7 4 2 4" xfId="1390"/>
    <cellStyle name="Output 2 7 4 2 4 2" xfId="23865"/>
    <cellStyle name="Output 2 7 4 2 4 3" xfId="23866"/>
    <cellStyle name="Output 2 7 4 2 4 4" xfId="23867"/>
    <cellStyle name="Output 2 7 4 2 4 5" xfId="23868"/>
    <cellStyle name="Output 2 7 4 2 4 6" xfId="37546"/>
    <cellStyle name="Output 2 7 4 2 4 7" xfId="47679"/>
    <cellStyle name="Output 2 7 4 2 4 8" xfId="55802"/>
    <cellStyle name="Output 2 7 4 2 5" xfId="3458"/>
    <cellStyle name="Output 2 7 4 2 5 2" xfId="23869"/>
    <cellStyle name="Output 2 7 4 2 5 3" xfId="23870"/>
    <cellStyle name="Output 2 7 4 2 5 4" xfId="23871"/>
    <cellStyle name="Output 2 7 4 2 5 5" xfId="23872"/>
    <cellStyle name="Output 2 7 4 2 5 6" xfId="38162"/>
    <cellStyle name="Output 2 7 4 2 5 7" xfId="47680"/>
    <cellStyle name="Output 2 7 4 2 5 8" xfId="55803"/>
    <cellStyle name="Output 2 7 4 2 6" xfId="3780"/>
    <cellStyle name="Output 2 7 4 2 6 2" xfId="23873"/>
    <cellStyle name="Output 2 7 4 2 6 3" xfId="23874"/>
    <cellStyle name="Output 2 7 4 2 6 4" xfId="23875"/>
    <cellStyle name="Output 2 7 4 2 6 5" xfId="23876"/>
    <cellStyle name="Output 2 7 4 2 6 6" xfId="38780"/>
    <cellStyle name="Output 2 7 4 2 6 7" xfId="47681"/>
    <cellStyle name="Output 2 7 4 2 6 8" xfId="55804"/>
    <cellStyle name="Output 2 7 4 2 7" xfId="23877"/>
    <cellStyle name="Output 2 7 4 2 7 2" xfId="23878"/>
    <cellStyle name="Output 2 7 4 2 7 3" xfId="23879"/>
    <cellStyle name="Output 2 7 4 2 7 4" xfId="23880"/>
    <cellStyle name="Output 2 7 4 2 7 5" xfId="23881"/>
    <cellStyle name="Output 2 7 4 2 7 6" xfId="39400"/>
    <cellStyle name="Output 2 7 4 2 7 7" xfId="47682"/>
    <cellStyle name="Output 2 7 4 2 7 8" xfId="55805"/>
    <cellStyle name="Output 2 7 4 2 8" xfId="23882"/>
    <cellStyle name="Output 2 7 4 2 8 2" xfId="23883"/>
    <cellStyle name="Output 2 7 4 2 8 3" xfId="23884"/>
    <cellStyle name="Output 2 7 4 2 8 4" xfId="23885"/>
    <cellStyle name="Output 2 7 4 2 8 5" xfId="23886"/>
    <cellStyle name="Output 2 7 4 2 8 6" xfId="40016"/>
    <cellStyle name="Output 2 7 4 2 8 7" xfId="47683"/>
    <cellStyle name="Output 2 7 4 2 8 8" xfId="55806"/>
    <cellStyle name="Output 2 7 4 2 9" xfId="23887"/>
    <cellStyle name="Output 2 7 4 2 9 2" xfId="23888"/>
    <cellStyle name="Output 2 7 4 2 9 3" xfId="23889"/>
    <cellStyle name="Output 2 7 4 2 9 4" xfId="23890"/>
    <cellStyle name="Output 2 7 4 2 9 5" xfId="23891"/>
    <cellStyle name="Output 2 7 4 2 9 6" xfId="40631"/>
    <cellStyle name="Output 2 7 4 2 9 7" xfId="47684"/>
    <cellStyle name="Output 2 7 4 2 9 8" xfId="55807"/>
    <cellStyle name="Output 2 7 4 20" xfId="846"/>
    <cellStyle name="Output 2 7 4 21" xfId="34690"/>
    <cellStyle name="Output 2 7 4 22" xfId="40930"/>
    <cellStyle name="Output 2 7 4 23" xfId="41491"/>
    <cellStyle name="Output 2 7 4 24" xfId="50578"/>
    <cellStyle name="Output 2 7 4 3" xfId="2632"/>
    <cellStyle name="Output 2 7 4 3 10" xfId="34603"/>
    <cellStyle name="Output 2 7 4 3 10 2" xfId="47686"/>
    <cellStyle name="Output 2 7 4 3 10 3" xfId="55809"/>
    <cellStyle name="Output 2 7 4 3 11" xfId="41145"/>
    <cellStyle name="Output 2 7 4 3 12" xfId="47685"/>
    <cellStyle name="Output 2 7 4 3 13" xfId="55808"/>
    <cellStyle name="Output 2 7 4 3 2" xfId="2633"/>
    <cellStyle name="Output 2 7 4 3 2 2" xfId="36222"/>
    <cellStyle name="Output 2 7 4 3 2 3" xfId="47687"/>
    <cellStyle name="Output 2 7 4 3 2 4" xfId="55810"/>
    <cellStyle name="Output 2 7 4 3 3" xfId="2634"/>
    <cellStyle name="Output 2 7 4 3 3 2" xfId="36719"/>
    <cellStyle name="Output 2 7 4 3 3 3" xfId="47688"/>
    <cellStyle name="Output 2 7 4 3 3 4" xfId="55811"/>
    <cellStyle name="Output 2 7 4 3 4" xfId="23892"/>
    <cellStyle name="Output 2 7 4 3 4 2" xfId="37335"/>
    <cellStyle name="Output 2 7 4 3 4 3" xfId="47689"/>
    <cellStyle name="Output 2 7 4 3 4 4" xfId="55812"/>
    <cellStyle name="Output 2 7 4 3 5" xfId="23893"/>
    <cellStyle name="Output 2 7 4 3 5 2" xfId="37951"/>
    <cellStyle name="Output 2 7 4 3 5 3" xfId="47690"/>
    <cellStyle name="Output 2 7 4 3 5 4" xfId="55813"/>
    <cellStyle name="Output 2 7 4 3 6" xfId="38568"/>
    <cellStyle name="Output 2 7 4 3 6 2" xfId="47691"/>
    <cellStyle name="Output 2 7 4 3 6 3" xfId="55814"/>
    <cellStyle name="Output 2 7 4 3 7" xfId="39188"/>
    <cellStyle name="Output 2 7 4 3 7 2" xfId="47692"/>
    <cellStyle name="Output 2 7 4 3 7 3" xfId="55815"/>
    <cellStyle name="Output 2 7 4 3 8" xfId="39804"/>
    <cellStyle name="Output 2 7 4 3 8 2" xfId="47693"/>
    <cellStyle name="Output 2 7 4 3 8 3" xfId="55816"/>
    <cellStyle name="Output 2 7 4 3 9" xfId="40419"/>
    <cellStyle name="Output 2 7 4 3 9 2" xfId="47694"/>
    <cellStyle name="Output 2 7 4 3 9 3" xfId="55817"/>
    <cellStyle name="Output 2 7 4 4" xfId="2635"/>
    <cellStyle name="Output 2 7 4 4 10" xfId="47695"/>
    <cellStyle name="Output 2 7 4 4 11" xfId="55818"/>
    <cellStyle name="Output 2 7 4 4 2" xfId="23894"/>
    <cellStyle name="Output 2 7 4 4 2 2" xfId="47696"/>
    <cellStyle name="Output 2 7 4 4 2 3" xfId="55819"/>
    <cellStyle name="Output 2 7 4 4 3" xfId="23895"/>
    <cellStyle name="Output 2 7 4 4 3 2" xfId="47697"/>
    <cellStyle name="Output 2 7 4 4 3 3" xfId="55820"/>
    <cellStyle name="Output 2 7 4 4 4" xfId="23896"/>
    <cellStyle name="Output 2 7 4 4 4 2" xfId="47698"/>
    <cellStyle name="Output 2 7 4 4 4 3" xfId="55821"/>
    <cellStyle name="Output 2 7 4 4 5" xfId="23897"/>
    <cellStyle name="Output 2 7 4 4 5 2" xfId="47699"/>
    <cellStyle name="Output 2 7 4 4 5 3" xfId="55822"/>
    <cellStyle name="Output 2 7 4 4 6" xfId="35667"/>
    <cellStyle name="Output 2 7 4 4 6 2" xfId="47700"/>
    <cellStyle name="Output 2 7 4 4 6 3" xfId="55823"/>
    <cellStyle name="Output 2 7 4 4 7" xfId="47701"/>
    <cellStyle name="Output 2 7 4 4 7 2" xfId="55824"/>
    <cellStyle name="Output 2 7 4 4 8" xfId="47702"/>
    <cellStyle name="Output 2 7 4 4 8 2" xfId="55825"/>
    <cellStyle name="Output 2 7 4 4 9" xfId="47703"/>
    <cellStyle name="Output 2 7 4 4 9 2" xfId="55826"/>
    <cellStyle name="Output 2 7 4 5" xfId="1389"/>
    <cellStyle name="Output 2 7 4 5 2" xfId="23898"/>
    <cellStyle name="Output 2 7 4 5 3" xfId="23899"/>
    <cellStyle name="Output 2 7 4 5 4" xfId="23900"/>
    <cellStyle name="Output 2 7 4 5 5" xfId="23901"/>
    <cellStyle name="Output 2 7 4 5 6" xfId="36504"/>
    <cellStyle name="Output 2 7 4 5 7" xfId="47704"/>
    <cellStyle name="Output 2 7 4 5 8" xfId="55827"/>
    <cellStyle name="Output 2 7 4 6" xfId="3457"/>
    <cellStyle name="Output 2 7 4 6 2" xfId="23902"/>
    <cellStyle name="Output 2 7 4 6 3" xfId="23903"/>
    <cellStyle name="Output 2 7 4 6 4" xfId="23904"/>
    <cellStyle name="Output 2 7 4 6 5" xfId="23905"/>
    <cellStyle name="Output 2 7 4 6 6" xfId="37120"/>
    <cellStyle name="Output 2 7 4 6 7" xfId="47705"/>
    <cellStyle name="Output 2 7 4 6 8" xfId="55828"/>
    <cellStyle name="Output 2 7 4 7" xfId="3779"/>
    <cellStyle name="Output 2 7 4 7 2" xfId="23906"/>
    <cellStyle name="Output 2 7 4 7 3" xfId="23907"/>
    <cellStyle name="Output 2 7 4 7 4" xfId="23908"/>
    <cellStyle name="Output 2 7 4 7 5" xfId="23909"/>
    <cellStyle name="Output 2 7 4 7 6" xfId="37734"/>
    <cellStyle name="Output 2 7 4 7 7" xfId="47706"/>
    <cellStyle name="Output 2 7 4 7 8" xfId="55829"/>
    <cellStyle name="Output 2 7 4 8" xfId="23910"/>
    <cellStyle name="Output 2 7 4 8 2" xfId="23911"/>
    <cellStyle name="Output 2 7 4 8 3" xfId="23912"/>
    <cellStyle name="Output 2 7 4 8 4" xfId="23913"/>
    <cellStyle name="Output 2 7 4 8 5" xfId="23914"/>
    <cellStyle name="Output 2 7 4 8 6" xfId="38349"/>
    <cellStyle name="Output 2 7 4 8 7" xfId="47707"/>
    <cellStyle name="Output 2 7 4 8 8" xfId="55830"/>
    <cellStyle name="Output 2 7 4 9" xfId="23915"/>
    <cellStyle name="Output 2 7 4 9 2" xfId="23916"/>
    <cellStyle name="Output 2 7 4 9 3" xfId="23917"/>
    <cellStyle name="Output 2 7 4 9 4" xfId="23918"/>
    <cellStyle name="Output 2 7 4 9 5" xfId="23919"/>
    <cellStyle name="Output 2 7 4 9 6" xfId="38969"/>
    <cellStyle name="Output 2 7 4 9 7" xfId="47708"/>
    <cellStyle name="Output 2 7 4 9 8" xfId="55831"/>
    <cellStyle name="Output 2 7 5" xfId="411"/>
    <cellStyle name="Output 2 7 5 10" xfId="23920"/>
    <cellStyle name="Output 2 7 5 10 2" xfId="23921"/>
    <cellStyle name="Output 2 7 5 10 3" xfId="23922"/>
    <cellStyle name="Output 2 7 5 10 4" xfId="23923"/>
    <cellStyle name="Output 2 7 5 10 5" xfId="23924"/>
    <cellStyle name="Output 2 7 5 10 6" xfId="40205"/>
    <cellStyle name="Output 2 7 5 10 7" xfId="47709"/>
    <cellStyle name="Output 2 7 5 10 8" xfId="55832"/>
    <cellStyle name="Output 2 7 5 11" xfId="23925"/>
    <cellStyle name="Output 2 7 5 11 2" xfId="23926"/>
    <cellStyle name="Output 2 7 5 11 3" xfId="23927"/>
    <cellStyle name="Output 2 7 5 11 4" xfId="23928"/>
    <cellStyle name="Output 2 7 5 11 5" xfId="23929"/>
    <cellStyle name="Output 2 7 5 11 6" xfId="47710"/>
    <cellStyle name="Output 2 7 5 11 7" xfId="55833"/>
    <cellStyle name="Output 2 7 5 12" xfId="23930"/>
    <cellStyle name="Output 2 7 5 12 2" xfId="23931"/>
    <cellStyle name="Output 2 7 5 12 3" xfId="23932"/>
    <cellStyle name="Output 2 7 5 12 4" xfId="23933"/>
    <cellStyle name="Output 2 7 5 12 5" xfId="23934"/>
    <cellStyle name="Output 2 7 5 12 6" xfId="47711"/>
    <cellStyle name="Output 2 7 5 12 7" xfId="55834"/>
    <cellStyle name="Output 2 7 5 13" xfId="23935"/>
    <cellStyle name="Output 2 7 5 13 2" xfId="23936"/>
    <cellStyle name="Output 2 7 5 13 3" xfId="23937"/>
    <cellStyle name="Output 2 7 5 13 4" xfId="23938"/>
    <cellStyle name="Output 2 7 5 13 5" xfId="23939"/>
    <cellStyle name="Output 2 7 5 13 6" xfId="47712"/>
    <cellStyle name="Output 2 7 5 13 7" xfId="55835"/>
    <cellStyle name="Output 2 7 5 14" xfId="23940"/>
    <cellStyle name="Output 2 7 5 14 2" xfId="23941"/>
    <cellStyle name="Output 2 7 5 14 3" xfId="23942"/>
    <cellStyle name="Output 2 7 5 14 4" xfId="23943"/>
    <cellStyle name="Output 2 7 5 14 5" xfId="23944"/>
    <cellStyle name="Output 2 7 5 15" xfId="23945"/>
    <cellStyle name="Output 2 7 5 15 2" xfId="23946"/>
    <cellStyle name="Output 2 7 5 15 3" xfId="23947"/>
    <cellStyle name="Output 2 7 5 15 4" xfId="23948"/>
    <cellStyle name="Output 2 7 5 15 5" xfId="23949"/>
    <cellStyle name="Output 2 7 5 16" xfId="23950"/>
    <cellStyle name="Output 2 7 5 16 2" xfId="23951"/>
    <cellStyle name="Output 2 7 5 16 3" xfId="23952"/>
    <cellStyle name="Output 2 7 5 16 4" xfId="23953"/>
    <cellStyle name="Output 2 7 5 16 5" xfId="23954"/>
    <cellStyle name="Output 2 7 5 17" xfId="23955"/>
    <cellStyle name="Output 2 7 5 17 2" xfId="23956"/>
    <cellStyle name="Output 2 7 5 17 3" xfId="23957"/>
    <cellStyle name="Output 2 7 5 17 4" xfId="23958"/>
    <cellStyle name="Output 2 7 5 17 5" xfId="23959"/>
    <cellStyle name="Output 2 7 5 18" xfId="23960"/>
    <cellStyle name="Output 2 7 5 18 2" xfId="23961"/>
    <cellStyle name="Output 2 7 5 18 3" xfId="23962"/>
    <cellStyle name="Output 2 7 5 18 4" xfId="23963"/>
    <cellStyle name="Output 2 7 5 18 5" xfId="23964"/>
    <cellStyle name="Output 2 7 5 19" xfId="23965"/>
    <cellStyle name="Output 2 7 5 2" xfId="630"/>
    <cellStyle name="Output 2 7 5 2 10" xfId="23966"/>
    <cellStyle name="Output 2 7 5 2 10 2" xfId="23967"/>
    <cellStyle name="Output 2 7 5 2 10 3" xfId="23968"/>
    <cellStyle name="Output 2 7 5 2 10 4" xfId="23969"/>
    <cellStyle name="Output 2 7 5 2 10 5" xfId="23970"/>
    <cellStyle name="Output 2 7 5 2 10 6" xfId="47713"/>
    <cellStyle name="Output 2 7 5 2 10 7" xfId="55836"/>
    <cellStyle name="Output 2 7 5 2 11" xfId="23971"/>
    <cellStyle name="Output 2 7 5 2 11 2" xfId="23972"/>
    <cellStyle name="Output 2 7 5 2 11 3" xfId="23973"/>
    <cellStyle name="Output 2 7 5 2 11 4" xfId="23974"/>
    <cellStyle name="Output 2 7 5 2 11 5" xfId="23975"/>
    <cellStyle name="Output 2 7 5 2 12" xfId="23976"/>
    <cellStyle name="Output 2 7 5 2 12 2" xfId="23977"/>
    <cellStyle name="Output 2 7 5 2 12 3" xfId="23978"/>
    <cellStyle name="Output 2 7 5 2 12 4" xfId="23979"/>
    <cellStyle name="Output 2 7 5 2 12 5" xfId="23980"/>
    <cellStyle name="Output 2 7 5 2 13" xfId="23981"/>
    <cellStyle name="Output 2 7 5 2 13 2" xfId="23982"/>
    <cellStyle name="Output 2 7 5 2 13 3" xfId="23983"/>
    <cellStyle name="Output 2 7 5 2 13 4" xfId="23984"/>
    <cellStyle name="Output 2 7 5 2 13 5" xfId="23985"/>
    <cellStyle name="Output 2 7 5 2 14" xfId="23986"/>
    <cellStyle name="Output 2 7 5 2 14 2" xfId="23987"/>
    <cellStyle name="Output 2 7 5 2 14 3" xfId="23988"/>
    <cellStyle name="Output 2 7 5 2 14 4" xfId="23989"/>
    <cellStyle name="Output 2 7 5 2 14 5" xfId="23990"/>
    <cellStyle name="Output 2 7 5 2 15" xfId="23991"/>
    <cellStyle name="Output 2 7 5 2 15 2" xfId="23992"/>
    <cellStyle name="Output 2 7 5 2 15 3" xfId="23993"/>
    <cellStyle name="Output 2 7 5 2 15 4" xfId="23994"/>
    <cellStyle name="Output 2 7 5 2 15 5" xfId="23995"/>
    <cellStyle name="Output 2 7 5 2 16" xfId="23996"/>
    <cellStyle name="Output 2 7 5 2 16 2" xfId="23997"/>
    <cellStyle name="Output 2 7 5 2 16 3" xfId="23998"/>
    <cellStyle name="Output 2 7 5 2 16 4" xfId="23999"/>
    <cellStyle name="Output 2 7 5 2 16 5" xfId="24000"/>
    <cellStyle name="Output 2 7 5 2 17" xfId="24001"/>
    <cellStyle name="Output 2 7 5 2 17 2" xfId="24002"/>
    <cellStyle name="Output 2 7 5 2 17 3" xfId="24003"/>
    <cellStyle name="Output 2 7 5 2 17 4" xfId="24004"/>
    <cellStyle name="Output 2 7 5 2 17 5" xfId="24005"/>
    <cellStyle name="Output 2 7 5 2 18" xfId="24006"/>
    <cellStyle name="Output 2 7 5 2 18 2" xfId="24007"/>
    <cellStyle name="Output 2 7 5 2 18 3" xfId="24008"/>
    <cellStyle name="Output 2 7 5 2 18 4" xfId="24009"/>
    <cellStyle name="Output 2 7 5 2 18 5" xfId="24010"/>
    <cellStyle name="Output 2 7 5 2 19" xfId="24011"/>
    <cellStyle name="Output 2 7 5 2 2" xfId="2636"/>
    <cellStyle name="Output 2 7 5 2 2 2" xfId="24012"/>
    <cellStyle name="Output 2 7 5 2 2 3" xfId="24013"/>
    <cellStyle name="Output 2 7 5 2 2 4" xfId="24014"/>
    <cellStyle name="Output 2 7 5 2 2 5" xfId="24015"/>
    <cellStyle name="Output 2 7 5 2 2 6" xfId="36434"/>
    <cellStyle name="Output 2 7 5 2 2 7" xfId="47714"/>
    <cellStyle name="Output 2 7 5 2 2 8" xfId="55837"/>
    <cellStyle name="Output 2 7 5 2 20" xfId="1059"/>
    <cellStyle name="Output 2 7 5 2 21" xfId="35139"/>
    <cellStyle name="Output 2 7 5 2 22" xfId="41358"/>
    <cellStyle name="Output 2 7 5 2 3" xfId="2637"/>
    <cellStyle name="Output 2 7 5 2 3 2" xfId="24016"/>
    <cellStyle name="Output 2 7 5 2 3 3" xfId="24017"/>
    <cellStyle name="Output 2 7 5 2 3 4" xfId="24018"/>
    <cellStyle name="Output 2 7 5 2 3 5" xfId="24019"/>
    <cellStyle name="Output 2 7 5 2 3 6" xfId="36931"/>
    <cellStyle name="Output 2 7 5 2 3 7" xfId="47715"/>
    <cellStyle name="Output 2 7 5 2 3 8" xfId="55838"/>
    <cellStyle name="Output 2 7 5 2 4" xfId="1392"/>
    <cellStyle name="Output 2 7 5 2 4 2" xfId="24020"/>
    <cellStyle name="Output 2 7 5 2 4 3" xfId="24021"/>
    <cellStyle name="Output 2 7 5 2 4 4" xfId="24022"/>
    <cellStyle name="Output 2 7 5 2 4 5" xfId="24023"/>
    <cellStyle name="Output 2 7 5 2 4 6" xfId="37547"/>
    <cellStyle name="Output 2 7 5 2 4 7" xfId="47716"/>
    <cellStyle name="Output 2 7 5 2 4 8" xfId="55839"/>
    <cellStyle name="Output 2 7 5 2 5" xfId="3460"/>
    <cellStyle name="Output 2 7 5 2 5 2" xfId="24024"/>
    <cellStyle name="Output 2 7 5 2 5 3" xfId="24025"/>
    <cellStyle name="Output 2 7 5 2 5 4" xfId="24026"/>
    <cellStyle name="Output 2 7 5 2 5 5" xfId="24027"/>
    <cellStyle name="Output 2 7 5 2 5 6" xfId="38163"/>
    <cellStyle name="Output 2 7 5 2 5 7" xfId="47717"/>
    <cellStyle name="Output 2 7 5 2 5 8" xfId="55840"/>
    <cellStyle name="Output 2 7 5 2 6" xfId="3782"/>
    <cellStyle name="Output 2 7 5 2 6 2" xfId="24028"/>
    <cellStyle name="Output 2 7 5 2 6 3" xfId="24029"/>
    <cellStyle name="Output 2 7 5 2 6 4" xfId="24030"/>
    <cellStyle name="Output 2 7 5 2 6 5" xfId="24031"/>
    <cellStyle name="Output 2 7 5 2 6 6" xfId="38781"/>
    <cellStyle name="Output 2 7 5 2 6 7" xfId="47718"/>
    <cellStyle name="Output 2 7 5 2 6 8" xfId="55841"/>
    <cellStyle name="Output 2 7 5 2 7" xfId="24032"/>
    <cellStyle name="Output 2 7 5 2 7 2" xfId="24033"/>
    <cellStyle name="Output 2 7 5 2 7 3" xfId="24034"/>
    <cellStyle name="Output 2 7 5 2 7 4" xfId="24035"/>
    <cellStyle name="Output 2 7 5 2 7 5" xfId="24036"/>
    <cellStyle name="Output 2 7 5 2 7 6" xfId="39401"/>
    <cellStyle name="Output 2 7 5 2 7 7" xfId="47719"/>
    <cellStyle name="Output 2 7 5 2 7 8" xfId="55842"/>
    <cellStyle name="Output 2 7 5 2 8" xfId="24037"/>
    <cellStyle name="Output 2 7 5 2 8 2" xfId="24038"/>
    <cellStyle name="Output 2 7 5 2 8 3" xfId="24039"/>
    <cellStyle name="Output 2 7 5 2 8 4" xfId="24040"/>
    <cellStyle name="Output 2 7 5 2 8 5" xfId="24041"/>
    <cellStyle name="Output 2 7 5 2 8 6" xfId="40017"/>
    <cellStyle name="Output 2 7 5 2 8 7" xfId="47720"/>
    <cellStyle name="Output 2 7 5 2 8 8" xfId="55843"/>
    <cellStyle name="Output 2 7 5 2 9" xfId="24042"/>
    <cellStyle name="Output 2 7 5 2 9 2" xfId="24043"/>
    <cellStyle name="Output 2 7 5 2 9 3" xfId="24044"/>
    <cellStyle name="Output 2 7 5 2 9 4" xfId="24045"/>
    <cellStyle name="Output 2 7 5 2 9 5" xfId="24046"/>
    <cellStyle name="Output 2 7 5 2 9 6" xfId="40632"/>
    <cellStyle name="Output 2 7 5 2 9 7" xfId="47721"/>
    <cellStyle name="Output 2 7 5 2 9 8" xfId="55844"/>
    <cellStyle name="Output 2 7 5 20" xfId="847"/>
    <cellStyle name="Output 2 7 5 21" xfId="34689"/>
    <cellStyle name="Output 2 7 5 22" xfId="40931"/>
    <cellStyle name="Output 2 7 5 23" xfId="41492"/>
    <cellStyle name="Output 2 7 5 24" xfId="50579"/>
    <cellStyle name="Output 2 7 5 3" xfId="2638"/>
    <cellStyle name="Output 2 7 5 3 10" xfId="34602"/>
    <cellStyle name="Output 2 7 5 3 10 2" xfId="47723"/>
    <cellStyle name="Output 2 7 5 3 10 3" xfId="55846"/>
    <cellStyle name="Output 2 7 5 3 11" xfId="41146"/>
    <cellStyle name="Output 2 7 5 3 12" xfId="47722"/>
    <cellStyle name="Output 2 7 5 3 13" xfId="55845"/>
    <cellStyle name="Output 2 7 5 3 2" xfId="2639"/>
    <cellStyle name="Output 2 7 5 3 2 2" xfId="36223"/>
    <cellStyle name="Output 2 7 5 3 2 3" xfId="47724"/>
    <cellStyle name="Output 2 7 5 3 2 4" xfId="55847"/>
    <cellStyle name="Output 2 7 5 3 3" xfId="2640"/>
    <cellStyle name="Output 2 7 5 3 3 2" xfId="36720"/>
    <cellStyle name="Output 2 7 5 3 3 3" xfId="47725"/>
    <cellStyle name="Output 2 7 5 3 3 4" xfId="55848"/>
    <cellStyle name="Output 2 7 5 3 4" xfId="24047"/>
    <cellStyle name="Output 2 7 5 3 4 2" xfId="37336"/>
    <cellStyle name="Output 2 7 5 3 4 3" xfId="47726"/>
    <cellStyle name="Output 2 7 5 3 4 4" xfId="55849"/>
    <cellStyle name="Output 2 7 5 3 5" xfId="24048"/>
    <cellStyle name="Output 2 7 5 3 5 2" xfId="37952"/>
    <cellStyle name="Output 2 7 5 3 5 3" xfId="47727"/>
    <cellStyle name="Output 2 7 5 3 5 4" xfId="55850"/>
    <cellStyle name="Output 2 7 5 3 6" xfId="38569"/>
    <cellStyle name="Output 2 7 5 3 6 2" xfId="47728"/>
    <cellStyle name="Output 2 7 5 3 6 3" xfId="55851"/>
    <cellStyle name="Output 2 7 5 3 7" xfId="39189"/>
    <cellStyle name="Output 2 7 5 3 7 2" xfId="47729"/>
    <cellStyle name="Output 2 7 5 3 7 3" xfId="55852"/>
    <cellStyle name="Output 2 7 5 3 8" xfId="39805"/>
    <cellStyle name="Output 2 7 5 3 8 2" xfId="47730"/>
    <cellStyle name="Output 2 7 5 3 8 3" xfId="55853"/>
    <cellStyle name="Output 2 7 5 3 9" xfId="40420"/>
    <cellStyle name="Output 2 7 5 3 9 2" xfId="47731"/>
    <cellStyle name="Output 2 7 5 3 9 3" xfId="55854"/>
    <cellStyle name="Output 2 7 5 4" xfId="2641"/>
    <cellStyle name="Output 2 7 5 4 10" xfId="47732"/>
    <cellStyle name="Output 2 7 5 4 11" xfId="55855"/>
    <cellStyle name="Output 2 7 5 4 2" xfId="24049"/>
    <cellStyle name="Output 2 7 5 4 2 2" xfId="47733"/>
    <cellStyle name="Output 2 7 5 4 2 3" xfId="55856"/>
    <cellStyle name="Output 2 7 5 4 3" xfId="24050"/>
    <cellStyle name="Output 2 7 5 4 3 2" xfId="47734"/>
    <cellStyle name="Output 2 7 5 4 3 3" xfId="55857"/>
    <cellStyle name="Output 2 7 5 4 4" xfId="24051"/>
    <cellStyle name="Output 2 7 5 4 4 2" xfId="47735"/>
    <cellStyle name="Output 2 7 5 4 4 3" xfId="55858"/>
    <cellStyle name="Output 2 7 5 4 5" xfId="24052"/>
    <cellStyle name="Output 2 7 5 4 5 2" xfId="47736"/>
    <cellStyle name="Output 2 7 5 4 5 3" xfId="55859"/>
    <cellStyle name="Output 2 7 5 4 6" xfId="36505"/>
    <cellStyle name="Output 2 7 5 4 6 2" xfId="47737"/>
    <cellStyle name="Output 2 7 5 4 6 3" xfId="55860"/>
    <cellStyle name="Output 2 7 5 4 7" xfId="47738"/>
    <cellStyle name="Output 2 7 5 4 7 2" xfId="55861"/>
    <cellStyle name="Output 2 7 5 4 8" xfId="47739"/>
    <cellStyle name="Output 2 7 5 4 8 2" xfId="55862"/>
    <cellStyle name="Output 2 7 5 4 9" xfId="47740"/>
    <cellStyle name="Output 2 7 5 4 9 2" xfId="55863"/>
    <cellStyle name="Output 2 7 5 5" xfId="1391"/>
    <cellStyle name="Output 2 7 5 5 2" xfId="24053"/>
    <cellStyle name="Output 2 7 5 5 3" xfId="24054"/>
    <cellStyle name="Output 2 7 5 5 4" xfId="24055"/>
    <cellStyle name="Output 2 7 5 5 5" xfId="24056"/>
    <cellStyle name="Output 2 7 5 5 6" xfId="37121"/>
    <cellStyle name="Output 2 7 5 5 7" xfId="47741"/>
    <cellStyle name="Output 2 7 5 5 8" xfId="55864"/>
    <cellStyle name="Output 2 7 5 6" xfId="3459"/>
    <cellStyle name="Output 2 7 5 6 2" xfId="24057"/>
    <cellStyle name="Output 2 7 5 6 3" xfId="24058"/>
    <cellStyle name="Output 2 7 5 6 4" xfId="24059"/>
    <cellStyle name="Output 2 7 5 6 5" xfId="24060"/>
    <cellStyle name="Output 2 7 5 6 6" xfId="37735"/>
    <cellStyle name="Output 2 7 5 6 7" xfId="47742"/>
    <cellStyle name="Output 2 7 5 6 8" xfId="55865"/>
    <cellStyle name="Output 2 7 5 7" xfId="3781"/>
    <cellStyle name="Output 2 7 5 7 2" xfId="24061"/>
    <cellStyle name="Output 2 7 5 7 3" xfId="24062"/>
    <cellStyle name="Output 2 7 5 7 4" xfId="24063"/>
    <cellStyle name="Output 2 7 5 7 5" xfId="24064"/>
    <cellStyle name="Output 2 7 5 7 6" xfId="38350"/>
    <cellStyle name="Output 2 7 5 7 7" xfId="47743"/>
    <cellStyle name="Output 2 7 5 7 8" xfId="55866"/>
    <cellStyle name="Output 2 7 5 8" xfId="24065"/>
    <cellStyle name="Output 2 7 5 8 2" xfId="24066"/>
    <cellStyle name="Output 2 7 5 8 3" xfId="24067"/>
    <cellStyle name="Output 2 7 5 8 4" xfId="24068"/>
    <cellStyle name="Output 2 7 5 8 5" xfId="24069"/>
    <cellStyle name="Output 2 7 5 8 6" xfId="38970"/>
    <cellStyle name="Output 2 7 5 8 7" xfId="47744"/>
    <cellStyle name="Output 2 7 5 8 8" xfId="55867"/>
    <cellStyle name="Output 2 7 5 9" xfId="24070"/>
    <cellStyle name="Output 2 7 5 9 2" xfId="24071"/>
    <cellStyle name="Output 2 7 5 9 3" xfId="24072"/>
    <cellStyle name="Output 2 7 5 9 4" xfId="24073"/>
    <cellStyle name="Output 2 7 5 9 5" xfId="24074"/>
    <cellStyle name="Output 2 7 5 9 6" xfId="39589"/>
    <cellStyle name="Output 2 7 5 9 7" xfId="47745"/>
    <cellStyle name="Output 2 7 5 9 8" xfId="55868"/>
    <cellStyle name="Output 2 7 6" xfId="490"/>
    <cellStyle name="Output 2 7 6 10" xfId="24075"/>
    <cellStyle name="Output 2 7 6 10 2" xfId="24076"/>
    <cellStyle name="Output 2 7 6 10 3" xfId="24077"/>
    <cellStyle name="Output 2 7 6 10 4" xfId="24078"/>
    <cellStyle name="Output 2 7 6 10 5" xfId="24079"/>
    <cellStyle name="Output 2 7 6 10 6" xfId="47746"/>
    <cellStyle name="Output 2 7 6 10 7" xfId="55869"/>
    <cellStyle name="Output 2 7 6 11" xfId="24080"/>
    <cellStyle name="Output 2 7 6 11 2" xfId="24081"/>
    <cellStyle name="Output 2 7 6 11 3" xfId="24082"/>
    <cellStyle name="Output 2 7 6 11 4" xfId="24083"/>
    <cellStyle name="Output 2 7 6 11 5" xfId="24084"/>
    <cellStyle name="Output 2 7 6 12" xfId="24085"/>
    <cellStyle name="Output 2 7 6 12 2" xfId="24086"/>
    <cellStyle name="Output 2 7 6 12 3" xfId="24087"/>
    <cellStyle name="Output 2 7 6 12 4" xfId="24088"/>
    <cellStyle name="Output 2 7 6 12 5" xfId="24089"/>
    <cellStyle name="Output 2 7 6 13" xfId="24090"/>
    <cellStyle name="Output 2 7 6 13 2" xfId="24091"/>
    <cellStyle name="Output 2 7 6 13 3" xfId="24092"/>
    <cellStyle name="Output 2 7 6 13 4" xfId="24093"/>
    <cellStyle name="Output 2 7 6 13 5" xfId="24094"/>
    <cellStyle name="Output 2 7 6 14" xfId="24095"/>
    <cellStyle name="Output 2 7 6 14 2" xfId="24096"/>
    <cellStyle name="Output 2 7 6 14 3" xfId="24097"/>
    <cellStyle name="Output 2 7 6 14 4" xfId="24098"/>
    <cellStyle name="Output 2 7 6 14 5" xfId="24099"/>
    <cellStyle name="Output 2 7 6 15" xfId="24100"/>
    <cellStyle name="Output 2 7 6 15 2" xfId="24101"/>
    <cellStyle name="Output 2 7 6 15 3" xfId="24102"/>
    <cellStyle name="Output 2 7 6 15 4" xfId="24103"/>
    <cellStyle name="Output 2 7 6 15 5" xfId="24104"/>
    <cellStyle name="Output 2 7 6 16" xfId="24105"/>
    <cellStyle name="Output 2 7 6 16 2" xfId="24106"/>
    <cellStyle name="Output 2 7 6 16 3" xfId="24107"/>
    <cellStyle name="Output 2 7 6 16 4" xfId="24108"/>
    <cellStyle name="Output 2 7 6 16 5" xfId="24109"/>
    <cellStyle name="Output 2 7 6 17" xfId="24110"/>
    <cellStyle name="Output 2 7 6 17 2" xfId="24111"/>
    <cellStyle name="Output 2 7 6 17 3" xfId="24112"/>
    <cellStyle name="Output 2 7 6 17 4" xfId="24113"/>
    <cellStyle name="Output 2 7 6 17 5" xfId="24114"/>
    <cellStyle name="Output 2 7 6 18" xfId="24115"/>
    <cellStyle name="Output 2 7 6 18 2" xfId="24116"/>
    <cellStyle name="Output 2 7 6 18 3" xfId="24117"/>
    <cellStyle name="Output 2 7 6 18 4" xfId="24118"/>
    <cellStyle name="Output 2 7 6 18 5" xfId="24119"/>
    <cellStyle name="Output 2 7 6 19" xfId="24120"/>
    <cellStyle name="Output 2 7 6 2" xfId="2642"/>
    <cellStyle name="Output 2 7 6 2 2" xfId="24121"/>
    <cellStyle name="Output 2 7 6 2 3" xfId="24122"/>
    <cellStyle name="Output 2 7 6 2 4" xfId="24123"/>
    <cellStyle name="Output 2 7 6 2 5" xfId="24124"/>
    <cellStyle name="Output 2 7 6 2 6" xfId="36294"/>
    <cellStyle name="Output 2 7 6 2 7" xfId="47747"/>
    <cellStyle name="Output 2 7 6 2 8" xfId="55870"/>
    <cellStyle name="Output 2 7 6 20" xfId="919"/>
    <cellStyle name="Output 2 7 6 21" xfId="34999"/>
    <cellStyle name="Output 2 7 6 22" xfId="40708"/>
    <cellStyle name="Output 2 7 6 23" xfId="41218"/>
    <cellStyle name="Output 2 7 6 3" xfId="2643"/>
    <cellStyle name="Output 2 7 6 3 2" xfId="24125"/>
    <cellStyle name="Output 2 7 6 3 3" xfId="24126"/>
    <cellStyle name="Output 2 7 6 3 4" xfId="24127"/>
    <cellStyle name="Output 2 7 6 3 5" xfId="24128"/>
    <cellStyle name="Output 2 7 6 3 6" xfId="36791"/>
    <cellStyle name="Output 2 7 6 3 7" xfId="47748"/>
    <cellStyle name="Output 2 7 6 3 8" xfId="55871"/>
    <cellStyle name="Output 2 7 6 4" xfId="1393"/>
    <cellStyle name="Output 2 7 6 4 2" xfId="24129"/>
    <cellStyle name="Output 2 7 6 4 3" xfId="24130"/>
    <cellStyle name="Output 2 7 6 4 4" xfId="24131"/>
    <cellStyle name="Output 2 7 6 4 5" xfId="24132"/>
    <cellStyle name="Output 2 7 6 4 6" xfId="37407"/>
    <cellStyle name="Output 2 7 6 4 7" xfId="47749"/>
    <cellStyle name="Output 2 7 6 4 8" xfId="55872"/>
    <cellStyle name="Output 2 7 6 5" xfId="3461"/>
    <cellStyle name="Output 2 7 6 5 2" xfId="24133"/>
    <cellStyle name="Output 2 7 6 5 3" xfId="24134"/>
    <cellStyle name="Output 2 7 6 5 4" xfId="24135"/>
    <cellStyle name="Output 2 7 6 5 5" xfId="24136"/>
    <cellStyle name="Output 2 7 6 5 6" xfId="38023"/>
    <cellStyle name="Output 2 7 6 5 7" xfId="47750"/>
    <cellStyle name="Output 2 7 6 5 8" xfId="55873"/>
    <cellStyle name="Output 2 7 6 6" xfId="3783"/>
    <cellStyle name="Output 2 7 6 6 2" xfId="24137"/>
    <cellStyle name="Output 2 7 6 6 3" xfId="24138"/>
    <cellStyle name="Output 2 7 6 6 4" xfId="24139"/>
    <cellStyle name="Output 2 7 6 6 5" xfId="24140"/>
    <cellStyle name="Output 2 7 6 6 6" xfId="38641"/>
    <cellStyle name="Output 2 7 6 6 7" xfId="47751"/>
    <cellStyle name="Output 2 7 6 6 8" xfId="55874"/>
    <cellStyle name="Output 2 7 6 7" xfId="24141"/>
    <cellStyle name="Output 2 7 6 7 2" xfId="24142"/>
    <cellStyle name="Output 2 7 6 7 3" xfId="24143"/>
    <cellStyle name="Output 2 7 6 7 4" xfId="24144"/>
    <cellStyle name="Output 2 7 6 7 5" xfId="24145"/>
    <cellStyle name="Output 2 7 6 7 6" xfId="39261"/>
    <cellStyle name="Output 2 7 6 7 7" xfId="47752"/>
    <cellStyle name="Output 2 7 6 7 8" xfId="55875"/>
    <cellStyle name="Output 2 7 6 8" xfId="24146"/>
    <cellStyle name="Output 2 7 6 8 2" xfId="24147"/>
    <cellStyle name="Output 2 7 6 8 3" xfId="24148"/>
    <cellStyle name="Output 2 7 6 8 4" xfId="24149"/>
    <cellStyle name="Output 2 7 6 8 5" xfId="24150"/>
    <cellStyle name="Output 2 7 6 8 6" xfId="39877"/>
    <cellStyle name="Output 2 7 6 8 7" xfId="47753"/>
    <cellStyle name="Output 2 7 6 8 8" xfId="55876"/>
    <cellStyle name="Output 2 7 6 9" xfId="24151"/>
    <cellStyle name="Output 2 7 6 9 2" xfId="24152"/>
    <cellStyle name="Output 2 7 6 9 3" xfId="24153"/>
    <cellStyle name="Output 2 7 6 9 4" xfId="24154"/>
    <cellStyle name="Output 2 7 6 9 5" xfId="24155"/>
    <cellStyle name="Output 2 7 6 9 6" xfId="40492"/>
    <cellStyle name="Output 2 7 6 9 7" xfId="47754"/>
    <cellStyle name="Output 2 7 6 9 8" xfId="55877"/>
    <cellStyle name="Output 2 7 7" xfId="2644"/>
    <cellStyle name="Output 2 7 7 10" xfId="34920"/>
    <cellStyle name="Output 2 7 7 10 2" xfId="47756"/>
    <cellStyle name="Output 2 7 7 10 3" xfId="55879"/>
    <cellStyle name="Output 2 7 7 11" xfId="41004"/>
    <cellStyle name="Output 2 7 7 12" xfId="47755"/>
    <cellStyle name="Output 2 7 7 13" xfId="55878"/>
    <cellStyle name="Output 2 7 7 2" xfId="2645"/>
    <cellStyle name="Output 2 7 7 2 2" xfId="36081"/>
    <cellStyle name="Output 2 7 7 2 3" xfId="47757"/>
    <cellStyle name="Output 2 7 7 2 4" xfId="55880"/>
    <cellStyle name="Output 2 7 7 3" xfId="2646"/>
    <cellStyle name="Output 2 7 7 3 2" xfId="36580"/>
    <cellStyle name="Output 2 7 7 3 3" xfId="47758"/>
    <cellStyle name="Output 2 7 7 3 4" xfId="55881"/>
    <cellStyle name="Output 2 7 7 4" xfId="24156"/>
    <cellStyle name="Output 2 7 7 4 2" xfId="37196"/>
    <cellStyle name="Output 2 7 7 4 3" xfId="47759"/>
    <cellStyle name="Output 2 7 7 4 4" xfId="55882"/>
    <cellStyle name="Output 2 7 7 5" xfId="24157"/>
    <cellStyle name="Output 2 7 7 5 2" xfId="37812"/>
    <cellStyle name="Output 2 7 7 5 3" xfId="47760"/>
    <cellStyle name="Output 2 7 7 5 4" xfId="55883"/>
    <cellStyle name="Output 2 7 7 6" xfId="38427"/>
    <cellStyle name="Output 2 7 7 6 2" xfId="47761"/>
    <cellStyle name="Output 2 7 7 6 3" xfId="55884"/>
    <cellStyle name="Output 2 7 7 7" xfId="39047"/>
    <cellStyle name="Output 2 7 7 7 2" xfId="47762"/>
    <cellStyle name="Output 2 7 7 7 3" xfId="55885"/>
    <cellStyle name="Output 2 7 7 8" xfId="39663"/>
    <cellStyle name="Output 2 7 7 8 2" xfId="47763"/>
    <cellStyle name="Output 2 7 7 8 3" xfId="55886"/>
    <cellStyle name="Output 2 7 7 9" xfId="40278"/>
    <cellStyle name="Output 2 7 7 9 2" xfId="47764"/>
    <cellStyle name="Output 2 7 7 9 3" xfId="55887"/>
    <cellStyle name="Output 2 7 8" xfId="1376"/>
    <cellStyle name="Output 2 7 8 10" xfId="47765"/>
    <cellStyle name="Output 2 7 8 11" xfId="55888"/>
    <cellStyle name="Output 2 7 8 2" xfId="24158"/>
    <cellStyle name="Output 2 7 8 2 2" xfId="47766"/>
    <cellStyle name="Output 2 7 8 2 3" xfId="55889"/>
    <cellStyle name="Output 2 7 8 3" xfId="24159"/>
    <cellStyle name="Output 2 7 8 3 2" xfId="47767"/>
    <cellStyle name="Output 2 7 8 3 3" xfId="55890"/>
    <cellStyle name="Output 2 7 8 4" xfId="24160"/>
    <cellStyle name="Output 2 7 8 4 2" xfId="47768"/>
    <cellStyle name="Output 2 7 8 4 3" xfId="55891"/>
    <cellStyle name="Output 2 7 8 5" xfId="24161"/>
    <cellStyle name="Output 2 7 8 5 2" xfId="47769"/>
    <cellStyle name="Output 2 7 8 5 3" xfId="55892"/>
    <cellStyle name="Output 2 7 8 6" xfId="35398"/>
    <cellStyle name="Output 2 7 8 6 2" xfId="47770"/>
    <cellStyle name="Output 2 7 8 6 3" xfId="55893"/>
    <cellStyle name="Output 2 7 8 7" xfId="47771"/>
    <cellStyle name="Output 2 7 8 7 2" xfId="55894"/>
    <cellStyle name="Output 2 7 8 8" xfId="47772"/>
    <cellStyle name="Output 2 7 8 8 2" xfId="55895"/>
    <cellStyle name="Output 2 7 8 9" xfId="47773"/>
    <cellStyle name="Output 2 7 8 9 2" xfId="55896"/>
    <cellStyle name="Output 2 7 9" xfId="3444"/>
    <cellStyle name="Output 2 7 9 2" xfId="24162"/>
    <cellStyle name="Output 2 7 9 3" xfId="24163"/>
    <cellStyle name="Output 2 7 9 4" xfId="24164"/>
    <cellStyle name="Output 2 7 9 5" xfId="24165"/>
    <cellStyle name="Output 2 7 9 6" xfId="35929"/>
    <cellStyle name="Output 2 7 9 7" xfId="47774"/>
    <cellStyle name="Output 2 7 9 8" xfId="55897"/>
    <cellStyle name="Output 2 8" xfId="299"/>
    <cellStyle name="Output 2 8 10" xfId="24166"/>
    <cellStyle name="Output 2 8 10 2" xfId="24167"/>
    <cellStyle name="Output 2 8 10 3" xfId="24168"/>
    <cellStyle name="Output 2 8 10 4" xfId="24169"/>
    <cellStyle name="Output 2 8 10 5" xfId="24170"/>
    <cellStyle name="Output 2 8 10 6" xfId="37627"/>
    <cellStyle name="Output 2 8 10 7" xfId="47775"/>
    <cellStyle name="Output 2 8 10 8" xfId="55898"/>
    <cellStyle name="Output 2 8 11" xfId="24171"/>
    <cellStyle name="Output 2 8 11 2" xfId="24172"/>
    <cellStyle name="Output 2 8 11 3" xfId="24173"/>
    <cellStyle name="Output 2 8 11 4" xfId="24174"/>
    <cellStyle name="Output 2 8 11 5" xfId="24175"/>
    <cellStyle name="Output 2 8 11 6" xfId="38244"/>
    <cellStyle name="Output 2 8 11 7" xfId="47776"/>
    <cellStyle name="Output 2 8 11 8" xfId="55899"/>
    <cellStyle name="Output 2 8 12" xfId="24176"/>
    <cellStyle name="Output 2 8 12 2" xfId="24177"/>
    <cellStyle name="Output 2 8 12 3" xfId="24178"/>
    <cellStyle name="Output 2 8 12 4" xfId="24179"/>
    <cellStyle name="Output 2 8 12 5" xfId="24180"/>
    <cellStyle name="Output 2 8 12 6" xfId="38866"/>
    <cellStyle name="Output 2 8 12 7" xfId="47777"/>
    <cellStyle name="Output 2 8 12 8" xfId="55900"/>
    <cellStyle name="Output 2 8 13" xfId="24181"/>
    <cellStyle name="Output 2 8 13 2" xfId="24182"/>
    <cellStyle name="Output 2 8 13 3" xfId="24183"/>
    <cellStyle name="Output 2 8 13 4" xfId="24184"/>
    <cellStyle name="Output 2 8 13 5" xfId="24185"/>
    <cellStyle name="Output 2 8 13 6" xfId="39486"/>
    <cellStyle name="Output 2 8 13 7" xfId="47778"/>
    <cellStyle name="Output 2 8 13 8" xfId="55901"/>
    <cellStyle name="Output 2 8 14" xfId="24186"/>
    <cellStyle name="Output 2 8 14 2" xfId="24187"/>
    <cellStyle name="Output 2 8 14 3" xfId="24188"/>
    <cellStyle name="Output 2 8 14 4" xfId="24189"/>
    <cellStyle name="Output 2 8 14 5" xfId="24190"/>
    <cellStyle name="Output 2 8 14 6" xfId="40104"/>
    <cellStyle name="Output 2 8 14 7" xfId="47779"/>
    <cellStyle name="Output 2 8 14 8" xfId="55902"/>
    <cellStyle name="Output 2 8 15" xfId="24191"/>
    <cellStyle name="Output 2 8 15 2" xfId="24192"/>
    <cellStyle name="Output 2 8 15 3" xfId="24193"/>
    <cellStyle name="Output 2 8 15 4" xfId="24194"/>
    <cellStyle name="Output 2 8 15 5" xfId="24195"/>
    <cellStyle name="Output 2 8 15 6" xfId="47780"/>
    <cellStyle name="Output 2 8 15 7" xfId="55903"/>
    <cellStyle name="Output 2 8 16" xfId="24196"/>
    <cellStyle name="Output 2 8 16 2" xfId="24197"/>
    <cellStyle name="Output 2 8 16 3" xfId="24198"/>
    <cellStyle name="Output 2 8 16 4" xfId="24199"/>
    <cellStyle name="Output 2 8 16 5" xfId="24200"/>
    <cellStyle name="Output 2 8 17" xfId="24201"/>
    <cellStyle name="Output 2 8 17 2" xfId="24202"/>
    <cellStyle name="Output 2 8 17 3" xfId="24203"/>
    <cellStyle name="Output 2 8 17 4" xfId="24204"/>
    <cellStyle name="Output 2 8 17 5" xfId="24205"/>
    <cellStyle name="Output 2 8 18" xfId="24206"/>
    <cellStyle name="Output 2 8 19" xfId="744"/>
    <cellStyle name="Output 2 8 2" xfId="412"/>
    <cellStyle name="Output 2 8 2 10" xfId="24207"/>
    <cellStyle name="Output 2 8 2 10 2" xfId="24208"/>
    <cellStyle name="Output 2 8 2 10 3" xfId="24209"/>
    <cellStyle name="Output 2 8 2 10 4" xfId="24210"/>
    <cellStyle name="Output 2 8 2 10 5" xfId="24211"/>
    <cellStyle name="Output 2 8 2 10 6" xfId="39590"/>
    <cellStyle name="Output 2 8 2 10 7" xfId="47781"/>
    <cellStyle name="Output 2 8 2 10 8" xfId="55904"/>
    <cellStyle name="Output 2 8 2 11" xfId="24212"/>
    <cellStyle name="Output 2 8 2 11 2" xfId="24213"/>
    <cellStyle name="Output 2 8 2 11 3" xfId="24214"/>
    <cellStyle name="Output 2 8 2 11 4" xfId="24215"/>
    <cellStyle name="Output 2 8 2 11 5" xfId="24216"/>
    <cellStyle name="Output 2 8 2 11 6" xfId="40206"/>
    <cellStyle name="Output 2 8 2 11 7" xfId="47782"/>
    <cellStyle name="Output 2 8 2 11 8" xfId="55905"/>
    <cellStyle name="Output 2 8 2 12" xfId="24217"/>
    <cellStyle name="Output 2 8 2 12 2" xfId="24218"/>
    <cellStyle name="Output 2 8 2 12 3" xfId="24219"/>
    <cellStyle name="Output 2 8 2 12 4" xfId="24220"/>
    <cellStyle name="Output 2 8 2 12 5" xfId="24221"/>
    <cellStyle name="Output 2 8 2 12 6" xfId="47783"/>
    <cellStyle name="Output 2 8 2 12 7" xfId="55906"/>
    <cellStyle name="Output 2 8 2 13" xfId="24222"/>
    <cellStyle name="Output 2 8 2 13 2" xfId="24223"/>
    <cellStyle name="Output 2 8 2 13 3" xfId="24224"/>
    <cellStyle name="Output 2 8 2 13 4" xfId="24225"/>
    <cellStyle name="Output 2 8 2 13 5" xfId="24226"/>
    <cellStyle name="Output 2 8 2 13 6" xfId="47784"/>
    <cellStyle name="Output 2 8 2 13 7" xfId="55907"/>
    <cellStyle name="Output 2 8 2 14" xfId="24227"/>
    <cellStyle name="Output 2 8 2 14 2" xfId="24228"/>
    <cellStyle name="Output 2 8 2 14 3" xfId="24229"/>
    <cellStyle name="Output 2 8 2 14 4" xfId="24230"/>
    <cellStyle name="Output 2 8 2 14 5" xfId="24231"/>
    <cellStyle name="Output 2 8 2 15" xfId="24232"/>
    <cellStyle name="Output 2 8 2 15 2" xfId="24233"/>
    <cellStyle name="Output 2 8 2 15 3" xfId="24234"/>
    <cellStyle name="Output 2 8 2 15 4" xfId="24235"/>
    <cellStyle name="Output 2 8 2 15 5" xfId="24236"/>
    <cellStyle name="Output 2 8 2 16" xfId="24237"/>
    <cellStyle name="Output 2 8 2 16 2" xfId="24238"/>
    <cellStyle name="Output 2 8 2 16 3" xfId="24239"/>
    <cellStyle name="Output 2 8 2 16 4" xfId="24240"/>
    <cellStyle name="Output 2 8 2 16 5" xfId="24241"/>
    <cellStyle name="Output 2 8 2 17" xfId="24242"/>
    <cellStyle name="Output 2 8 2 17 2" xfId="24243"/>
    <cellStyle name="Output 2 8 2 17 3" xfId="24244"/>
    <cellStyle name="Output 2 8 2 17 4" xfId="24245"/>
    <cellStyle name="Output 2 8 2 17 5" xfId="24246"/>
    <cellStyle name="Output 2 8 2 18" xfId="24247"/>
    <cellStyle name="Output 2 8 2 18 2" xfId="24248"/>
    <cellStyle name="Output 2 8 2 18 3" xfId="24249"/>
    <cellStyle name="Output 2 8 2 18 4" xfId="24250"/>
    <cellStyle name="Output 2 8 2 18 5" xfId="24251"/>
    <cellStyle name="Output 2 8 2 19" xfId="24252"/>
    <cellStyle name="Output 2 8 2 2" xfId="631"/>
    <cellStyle name="Output 2 8 2 2 10" xfId="24253"/>
    <cellStyle name="Output 2 8 2 2 10 2" xfId="24254"/>
    <cellStyle name="Output 2 8 2 2 10 3" xfId="24255"/>
    <cellStyle name="Output 2 8 2 2 10 4" xfId="24256"/>
    <cellStyle name="Output 2 8 2 2 10 5" xfId="24257"/>
    <cellStyle name="Output 2 8 2 2 10 6" xfId="47785"/>
    <cellStyle name="Output 2 8 2 2 10 7" xfId="55908"/>
    <cellStyle name="Output 2 8 2 2 11" xfId="24258"/>
    <cellStyle name="Output 2 8 2 2 11 2" xfId="24259"/>
    <cellStyle name="Output 2 8 2 2 11 3" xfId="24260"/>
    <cellStyle name="Output 2 8 2 2 11 4" xfId="24261"/>
    <cellStyle name="Output 2 8 2 2 11 5" xfId="24262"/>
    <cellStyle name="Output 2 8 2 2 12" xfId="24263"/>
    <cellStyle name="Output 2 8 2 2 12 2" xfId="24264"/>
    <cellStyle name="Output 2 8 2 2 12 3" xfId="24265"/>
    <cellStyle name="Output 2 8 2 2 12 4" xfId="24266"/>
    <cellStyle name="Output 2 8 2 2 12 5" xfId="24267"/>
    <cellStyle name="Output 2 8 2 2 13" xfId="24268"/>
    <cellStyle name="Output 2 8 2 2 13 2" xfId="24269"/>
    <cellStyle name="Output 2 8 2 2 13 3" xfId="24270"/>
    <cellStyle name="Output 2 8 2 2 13 4" xfId="24271"/>
    <cellStyle name="Output 2 8 2 2 13 5" xfId="24272"/>
    <cellStyle name="Output 2 8 2 2 14" xfId="24273"/>
    <cellStyle name="Output 2 8 2 2 14 2" xfId="24274"/>
    <cellStyle name="Output 2 8 2 2 14 3" xfId="24275"/>
    <cellStyle name="Output 2 8 2 2 14 4" xfId="24276"/>
    <cellStyle name="Output 2 8 2 2 14 5" xfId="24277"/>
    <cellStyle name="Output 2 8 2 2 15" xfId="24278"/>
    <cellStyle name="Output 2 8 2 2 15 2" xfId="24279"/>
    <cellStyle name="Output 2 8 2 2 15 3" xfId="24280"/>
    <cellStyle name="Output 2 8 2 2 15 4" xfId="24281"/>
    <cellStyle name="Output 2 8 2 2 15 5" xfId="24282"/>
    <cellStyle name="Output 2 8 2 2 16" xfId="24283"/>
    <cellStyle name="Output 2 8 2 2 16 2" xfId="24284"/>
    <cellStyle name="Output 2 8 2 2 16 3" xfId="24285"/>
    <cellStyle name="Output 2 8 2 2 16 4" xfId="24286"/>
    <cellStyle name="Output 2 8 2 2 16 5" xfId="24287"/>
    <cellStyle name="Output 2 8 2 2 17" xfId="24288"/>
    <cellStyle name="Output 2 8 2 2 17 2" xfId="24289"/>
    <cellStyle name="Output 2 8 2 2 17 3" xfId="24290"/>
    <cellStyle name="Output 2 8 2 2 17 4" xfId="24291"/>
    <cellStyle name="Output 2 8 2 2 17 5" xfId="24292"/>
    <cellStyle name="Output 2 8 2 2 18" xfId="24293"/>
    <cellStyle name="Output 2 8 2 2 18 2" xfId="24294"/>
    <cellStyle name="Output 2 8 2 2 18 3" xfId="24295"/>
    <cellStyle name="Output 2 8 2 2 18 4" xfId="24296"/>
    <cellStyle name="Output 2 8 2 2 18 5" xfId="24297"/>
    <cellStyle name="Output 2 8 2 2 19" xfId="24298"/>
    <cellStyle name="Output 2 8 2 2 2" xfId="2647"/>
    <cellStyle name="Output 2 8 2 2 2 2" xfId="24299"/>
    <cellStyle name="Output 2 8 2 2 2 3" xfId="24300"/>
    <cellStyle name="Output 2 8 2 2 2 4" xfId="24301"/>
    <cellStyle name="Output 2 8 2 2 2 5" xfId="24302"/>
    <cellStyle name="Output 2 8 2 2 2 6" xfId="36435"/>
    <cellStyle name="Output 2 8 2 2 2 7" xfId="47786"/>
    <cellStyle name="Output 2 8 2 2 2 8" xfId="55909"/>
    <cellStyle name="Output 2 8 2 2 20" xfId="1060"/>
    <cellStyle name="Output 2 8 2 2 21" xfId="35140"/>
    <cellStyle name="Output 2 8 2 2 22" xfId="41359"/>
    <cellStyle name="Output 2 8 2 2 3" xfId="2648"/>
    <cellStyle name="Output 2 8 2 2 3 2" xfId="24303"/>
    <cellStyle name="Output 2 8 2 2 3 3" xfId="24304"/>
    <cellStyle name="Output 2 8 2 2 3 4" xfId="24305"/>
    <cellStyle name="Output 2 8 2 2 3 5" xfId="24306"/>
    <cellStyle name="Output 2 8 2 2 3 6" xfId="36932"/>
    <cellStyle name="Output 2 8 2 2 3 7" xfId="47787"/>
    <cellStyle name="Output 2 8 2 2 3 8" xfId="55910"/>
    <cellStyle name="Output 2 8 2 2 4" xfId="1396"/>
    <cellStyle name="Output 2 8 2 2 4 2" xfId="24307"/>
    <cellStyle name="Output 2 8 2 2 4 3" xfId="24308"/>
    <cellStyle name="Output 2 8 2 2 4 4" xfId="24309"/>
    <cellStyle name="Output 2 8 2 2 4 5" xfId="24310"/>
    <cellStyle name="Output 2 8 2 2 4 6" xfId="37548"/>
    <cellStyle name="Output 2 8 2 2 4 7" xfId="47788"/>
    <cellStyle name="Output 2 8 2 2 4 8" xfId="55911"/>
    <cellStyle name="Output 2 8 2 2 5" xfId="3464"/>
    <cellStyle name="Output 2 8 2 2 5 2" xfId="24311"/>
    <cellStyle name="Output 2 8 2 2 5 3" xfId="24312"/>
    <cellStyle name="Output 2 8 2 2 5 4" xfId="24313"/>
    <cellStyle name="Output 2 8 2 2 5 5" xfId="24314"/>
    <cellStyle name="Output 2 8 2 2 5 6" xfId="38164"/>
    <cellStyle name="Output 2 8 2 2 5 7" xfId="47789"/>
    <cellStyle name="Output 2 8 2 2 5 8" xfId="55912"/>
    <cellStyle name="Output 2 8 2 2 6" xfId="3786"/>
    <cellStyle name="Output 2 8 2 2 6 2" xfId="24315"/>
    <cellStyle name="Output 2 8 2 2 6 3" xfId="24316"/>
    <cellStyle name="Output 2 8 2 2 6 4" xfId="24317"/>
    <cellStyle name="Output 2 8 2 2 6 5" xfId="24318"/>
    <cellStyle name="Output 2 8 2 2 6 6" xfId="38782"/>
    <cellStyle name="Output 2 8 2 2 6 7" xfId="47790"/>
    <cellStyle name="Output 2 8 2 2 6 8" xfId="55913"/>
    <cellStyle name="Output 2 8 2 2 7" xfId="24319"/>
    <cellStyle name="Output 2 8 2 2 7 2" xfId="24320"/>
    <cellStyle name="Output 2 8 2 2 7 3" xfId="24321"/>
    <cellStyle name="Output 2 8 2 2 7 4" xfId="24322"/>
    <cellStyle name="Output 2 8 2 2 7 5" xfId="24323"/>
    <cellStyle name="Output 2 8 2 2 7 6" xfId="39402"/>
    <cellStyle name="Output 2 8 2 2 7 7" xfId="47791"/>
    <cellStyle name="Output 2 8 2 2 7 8" xfId="55914"/>
    <cellStyle name="Output 2 8 2 2 8" xfId="24324"/>
    <cellStyle name="Output 2 8 2 2 8 2" xfId="24325"/>
    <cellStyle name="Output 2 8 2 2 8 3" xfId="24326"/>
    <cellStyle name="Output 2 8 2 2 8 4" xfId="24327"/>
    <cellStyle name="Output 2 8 2 2 8 5" xfId="24328"/>
    <cellStyle name="Output 2 8 2 2 8 6" xfId="40018"/>
    <cellStyle name="Output 2 8 2 2 8 7" xfId="47792"/>
    <cellStyle name="Output 2 8 2 2 8 8" xfId="55915"/>
    <cellStyle name="Output 2 8 2 2 9" xfId="24329"/>
    <cellStyle name="Output 2 8 2 2 9 2" xfId="24330"/>
    <cellStyle name="Output 2 8 2 2 9 3" xfId="24331"/>
    <cellStyle name="Output 2 8 2 2 9 4" xfId="24332"/>
    <cellStyle name="Output 2 8 2 2 9 5" xfId="24333"/>
    <cellStyle name="Output 2 8 2 2 9 6" xfId="40633"/>
    <cellStyle name="Output 2 8 2 2 9 7" xfId="47793"/>
    <cellStyle name="Output 2 8 2 2 9 8" xfId="55916"/>
    <cellStyle name="Output 2 8 2 20" xfId="848"/>
    <cellStyle name="Output 2 8 2 21" xfId="34688"/>
    <cellStyle name="Output 2 8 2 22" xfId="40932"/>
    <cellStyle name="Output 2 8 2 23" xfId="41493"/>
    <cellStyle name="Output 2 8 2 24" xfId="50580"/>
    <cellStyle name="Output 2 8 2 3" xfId="2649"/>
    <cellStyle name="Output 2 8 2 3 10" xfId="34601"/>
    <cellStyle name="Output 2 8 2 3 10 2" xfId="47795"/>
    <cellStyle name="Output 2 8 2 3 10 3" xfId="55918"/>
    <cellStyle name="Output 2 8 2 3 11" xfId="41147"/>
    <cellStyle name="Output 2 8 2 3 12" xfId="47794"/>
    <cellStyle name="Output 2 8 2 3 13" xfId="55917"/>
    <cellStyle name="Output 2 8 2 3 2" xfId="2650"/>
    <cellStyle name="Output 2 8 2 3 2 2" xfId="36224"/>
    <cellStyle name="Output 2 8 2 3 2 3" xfId="47796"/>
    <cellStyle name="Output 2 8 2 3 2 4" xfId="55919"/>
    <cellStyle name="Output 2 8 2 3 3" xfId="2651"/>
    <cellStyle name="Output 2 8 2 3 3 2" xfId="36721"/>
    <cellStyle name="Output 2 8 2 3 3 3" xfId="47797"/>
    <cellStyle name="Output 2 8 2 3 3 4" xfId="55920"/>
    <cellStyle name="Output 2 8 2 3 4" xfId="24334"/>
    <cellStyle name="Output 2 8 2 3 4 2" xfId="37337"/>
    <cellStyle name="Output 2 8 2 3 4 3" xfId="47798"/>
    <cellStyle name="Output 2 8 2 3 4 4" xfId="55921"/>
    <cellStyle name="Output 2 8 2 3 5" xfId="24335"/>
    <cellStyle name="Output 2 8 2 3 5 2" xfId="37953"/>
    <cellStyle name="Output 2 8 2 3 5 3" xfId="47799"/>
    <cellStyle name="Output 2 8 2 3 5 4" xfId="55922"/>
    <cellStyle name="Output 2 8 2 3 6" xfId="38570"/>
    <cellStyle name="Output 2 8 2 3 6 2" xfId="47800"/>
    <cellStyle name="Output 2 8 2 3 6 3" xfId="55923"/>
    <cellStyle name="Output 2 8 2 3 7" xfId="39190"/>
    <cellStyle name="Output 2 8 2 3 7 2" xfId="47801"/>
    <cellStyle name="Output 2 8 2 3 7 3" xfId="55924"/>
    <cellStyle name="Output 2 8 2 3 8" xfId="39806"/>
    <cellStyle name="Output 2 8 2 3 8 2" xfId="47802"/>
    <cellStyle name="Output 2 8 2 3 8 3" xfId="55925"/>
    <cellStyle name="Output 2 8 2 3 9" xfId="40421"/>
    <cellStyle name="Output 2 8 2 3 9 2" xfId="47803"/>
    <cellStyle name="Output 2 8 2 3 9 3" xfId="55926"/>
    <cellStyle name="Output 2 8 2 4" xfId="2652"/>
    <cellStyle name="Output 2 8 2 4 10" xfId="47804"/>
    <cellStyle name="Output 2 8 2 4 11" xfId="55927"/>
    <cellStyle name="Output 2 8 2 4 2" xfId="24336"/>
    <cellStyle name="Output 2 8 2 4 2 2" xfId="47805"/>
    <cellStyle name="Output 2 8 2 4 2 3" xfId="55928"/>
    <cellStyle name="Output 2 8 2 4 3" xfId="24337"/>
    <cellStyle name="Output 2 8 2 4 3 2" xfId="47806"/>
    <cellStyle name="Output 2 8 2 4 3 3" xfId="55929"/>
    <cellStyle name="Output 2 8 2 4 4" xfId="24338"/>
    <cellStyle name="Output 2 8 2 4 4 2" xfId="47807"/>
    <cellStyle name="Output 2 8 2 4 4 3" xfId="55930"/>
    <cellStyle name="Output 2 8 2 4 5" xfId="24339"/>
    <cellStyle name="Output 2 8 2 4 5 2" xfId="47808"/>
    <cellStyle name="Output 2 8 2 4 5 3" xfId="55931"/>
    <cellStyle name="Output 2 8 2 4 6" xfId="35707"/>
    <cellStyle name="Output 2 8 2 4 6 2" xfId="47809"/>
    <cellStyle name="Output 2 8 2 4 6 3" xfId="55932"/>
    <cellStyle name="Output 2 8 2 4 7" xfId="47810"/>
    <cellStyle name="Output 2 8 2 4 7 2" xfId="55933"/>
    <cellStyle name="Output 2 8 2 4 8" xfId="47811"/>
    <cellStyle name="Output 2 8 2 4 8 2" xfId="55934"/>
    <cellStyle name="Output 2 8 2 4 9" xfId="47812"/>
    <cellStyle name="Output 2 8 2 4 9 2" xfId="55935"/>
    <cellStyle name="Output 2 8 2 5" xfId="1395"/>
    <cellStyle name="Output 2 8 2 5 2" xfId="24340"/>
    <cellStyle name="Output 2 8 2 5 3" xfId="24341"/>
    <cellStyle name="Output 2 8 2 5 4" xfId="24342"/>
    <cellStyle name="Output 2 8 2 5 5" xfId="24343"/>
    <cellStyle name="Output 2 8 2 5 6" xfId="36506"/>
    <cellStyle name="Output 2 8 2 5 7" xfId="47813"/>
    <cellStyle name="Output 2 8 2 5 8" xfId="55936"/>
    <cellStyle name="Output 2 8 2 6" xfId="3463"/>
    <cellStyle name="Output 2 8 2 6 2" xfId="24344"/>
    <cellStyle name="Output 2 8 2 6 3" xfId="24345"/>
    <cellStyle name="Output 2 8 2 6 4" xfId="24346"/>
    <cellStyle name="Output 2 8 2 6 5" xfId="24347"/>
    <cellStyle name="Output 2 8 2 6 6" xfId="37122"/>
    <cellStyle name="Output 2 8 2 6 7" xfId="47814"/>
    <cellStyle name="Output 2 8 2 6 8" xfId="55937"/>
    <cellStyle name="Output 2 8 2 7" xfId="3785"/>
    <cellStyle name="Output 2 8 2 7 2" xfId="24348"/>
    <cellStyle name="Output 2 8 2 7 3" xfId="24349"/>
    <cellStyle name="Output 2 8 2 7 4" xfId="24350"/>
    <cellStyle name="Output 2 8 2 7 5" xfId="24351"/>
    <cellStyle name="Output 2 8 2 7 6" xfId="37736"/>
    <cellStyle name="Output 2 8 2 7 7" xfId="47815"/>
    <cellStyle name="Output 2 8 2 7 8" xfId="55938"/>
    <cellStyle name="Output 2 8 2 8" xfId="24352"/>
    <cellStyle name="Output 2 8 2 8 2" xfId="24353"/>
    <cellStyle name="Output 2 8 2 8 3" xfId="24354"/>
    <cellStyle name="Output 2 8 2 8 4" xfId="24355"/>
    <cellStyle name="Output 2 8 2 8 5" xfId="24356"/>
    <cellStyle name="Output 2 8 2 8 6" xfId="38351"/>
    <cellStyle name="Output 2 8 2 8 7" xfId="47816"/>
    <cellStyle name="Output 2 8 2 8 8" xfId="55939"/>
    <cellStyle name="Output 2 8 2 9" xfId="24357"/>
    <cellStyle name="Output 2 8 2 9 2" xfId="24358"/>
    <cellStyle name="Output 2 8 2 9 3" xfId="24359"/>
    <cellStyle name="Output 2 8 2 9 4" xfId="24360"/>
    <cellStyle name="Output 2 8 2 9 5" xfId="24361"/>
    <cellStyle name="Output 2 8 2 9 6" xfId="38971"/>
    <cellStyle name="Output 2 8 2 9 7" xfId="47817"/>
    <cellStyle name="Output 2 8 2 9 8" xfId="55940"/>
    <cellStyle name="Output 2 8 20" xfId="34834"/>
    <cellStyle name="Output 2 8 21" xfId="40828"/>
    <cellStyle name="Output 2 8 3" xfId="413"/>
    <cellStyle name="Output 2 8 3 10" xfId="24362"/>
    <cellStyle name="Output 2 8 3 10 2" xfId="24363"/>
    <cellStyle name="Output 2 8 3 10 3" xfId="24364"/>
    <cellStyle name="Output 2 8 3 10 4" xfId="24365"/>
    <cellStyle name="Output 2 8 3 10 5" xfId="24366"/>
    <cellStyle name="Output 2 8 3 10 6" xfId="40207"/>
    <cellStyle name="Output 2 8 3 10 7" xfId="47818"/>
    <cellStyle name="Output 2 8 3 10 8" xfId="55941"/>
    <cellStyle name="Output 2 8 3 11" xfId="24367"/>
    <cellStyle name="Output 2 8 3 11 2" xfId="24368"/>
    <cellStyle name="Output 2 8 3 11 3" xfId="24369"/>
    <cellStyle name="Output 2 8 3 11 4" xfId="24370"/>
    <cellStyle name="Output 2 8 3 11 5" xfId="24371"/>
    <cellStyle name="Output 2 8 3 11 6" xfId="47819"/>
    <cellStyle name="Output 2 8 3 11 7" xfId="55942"/>
    <cellStyle name="Output 2 8 3 12" xfId="24372"/>
    <cellStyle name="Output 2 8 3 12 2" xfId="24373"/>
    <cellStyle name="Output 2 8 3 12 3" xfId="24374"/>
    <cellStyle name="Output 2 8 3 12 4" xfId="24375"/>
    <cellStyle name="Output 2 8 3 12 5" xfId="24376"/>
    <cellStyle name="Output 2 8 3 12 6" xfId="47820"/>
    <cellStyle name="Output 2 8 3 12 7" xfId="55943"/>
    <cellStyle name="Output 2 8 3 13" xfId="24377"/>
    <cellStyle name="Output 2 8 3 13 2" xfId="24378"/>
    <cellStyle name="Output 2 8 3 13 3" xfId="24379"/>
    <cellStyle name="Output 2 8 3 13 4" xfId="24380"/>
    <cellStyle name="Output 2 8 3 13 5" xfId="24381"/>
    <cellStyle name="Output 2 8 3 13 6" xfId="47821"/>
    <cellStyle name="Output 2 8 3 13 7" xfId="55944"/>
    <cellStyle name="Output 2 8 3 14" xfId="24382"/>
    <cellStyle name="Output 2 8 3 14 2" xfId="24383"/>
    <cellStyle name="Output 2 8 3 14 3" xfId="24384"/>
    <cellStyle name="Output 2 8 3 14 4" xfId="24385"/>
    <cellStyle name="Output 2 8 3 14 5" xfId="24386"/>
    <cellStyle name="Output 2 8 3 15" xfId="24387"/>
    <cellStyle name="Output 2 8 3 15 2" xfId="24388"/>
    <cellStyle name="Output 2 8 3 15 3" xfId="24389"/>
    <cellStyle name="Output 2 8 3 15 4" xfId="24390"/>
    <cellStyle name="Output 2 8 3 15 5" xfId="24391"/>
    <cellStyle name="Output 2 8 3 16" xfId="24392"/>
    <cellStyle name="Output 2 8 3 16 2" xfId="24393"/>
    <cellStyle name="Output 2 8 3 16 3" xfId="24394"/>
    <cellStyle name="Output 2 8 3 16 4" xfId="24395"/>
    <cellStyle name="Output 2 8 3 16 5" xfId="24396"/>
    <cellStyle name="Output 2 8 3 17" xfId="24397"/>
    <cellStyle name="Output 2 8 3 17 2" xfId="24398"/>
    <cellStyle name="Output 2 8 3 17 3" xfId="24399"/>
    <cellStyle name="Output 2 8 3 17 4" xfId="24400"/>
    <cellStyle name="Output 2 8 3 17 5" xfId="24401"/>
    <cellStyle name="Output 2 8 3 18" xfId="24402"/>
    <cellStyle name="Output 2 8 3 18 2" xfId="24403"/>
    <cellStyle name="Output 2 8 3 18 3" xfId="24404"/>
    <cellStyle name="Output 2 8 3 18 4" xfId="24405"/>
    <cellStyle name="Output 2 8 3 18 5" xfId="24406"/>
    <cellStyle name="Output 2 8 3 19" xfId="24407"/>
    <cellStyle name="Output 2 8 3 2" xfId="632"/>
    <cellStyle name="Output 2 8 3 2 10" xfId="24408"/>
    <cellStyle name="Output 2 8 3 2 10 2" xfId="24409"/>
    <cellStyle name="Output 2 8 3 2 10 3" xfId="24410"/>
    <cellStyle name="Output 2 8 3 2 10 4" xfId="24411"/>
    <cellStyle name="Output 2 8 3 2 10 5" xfId="24412"/>
    <cellStyle name="Output 2 8 3 2 10 6" xfId="47822"/>
    <cellStyle name="Output 2 8 3 2 10 7" xfId="55945"/>
    <cellStyle name="Output 2 8 3 2 11" xfId="24413"/>
    <cellStyle name="Output 2 8 3 2 11 2" xfId="24414"/>
    <cellStyle name="Output 2 8 3 2 11 3" xfId="24415"/>
    <cellStyle name="Output 2 8 3 2 11 4" xfId="24416"/>
    <cellStyle name="Output 2 8 3 2 11 5" xfId="24417"/>
    <cellStyle name="Output 2 8 3 2 12" xfId="24418"/>
    <cellStyle name="Output 2 8 3 2 12 2" xfId="24419"/>
    <cellStyle name="Output 2 8 3 2 12 3" xfId="24420"/>
    <cellStyle name="Output 2 8 3 2 12 4" xfId="24421"/>
    <cellStyle name="Output 2 8 3 2 12 5" xfId="24422"/>
    <cellStyle name="Output 2 8 3 2 13" xfId="24423"/>
    <cellStyle name="Output 2 8 3 2 13 2" xfId="24424"/>
    <cellStyle name="Output 2 8 3 2 13 3" xfId="24425"/>
    <cellStyle name="Output 2 8 3 2 13 4" xfId="24426"/>
    <cellStyle name="Output 2 8 3 2 13 5" xfId="24427"/>
    <cellStyle name="Output 2 8 3 2 14" xfId="24428"/>
    <cellStyle name="Output 2 8 3 2 14 2" xfId="24429"/>
    <cellStyle name="Output 2 8 3 2 14 3" xfId="24430"/>
    <cellStyle name="Output 2 8 3 2 14 4" xfId="24431"/>
    <cellStyle name="Output 2 8 3 2 14 5" xfId="24432"/>
    <cellStyle name="Output 2 8 3 2 15" xfId="24433"/>
    <cellStyle name="Output 2 8 3 2 15 2" xfId="24434"/>
    <cellStyle name="Output 2 8 3 2 15 3" xfId="24435"/>
    <cellStyle name="Output 2 8 3 2 15 4" xfId="24436"/>
    <cellStyle name="Output 2 8 3 2 15 5" xfId="24437"/>
    <cellStyle name="Output 2 8 3 2 16" xfId="24438"/>
    <cellStyle name="Output 2 8 3 2 16 2" xfId="24439"/>
    <cellStyle name="Output 2 8 3 2 16 3" xfId="24440"/>
    <cellStyle name="Output 2 8 3 2 16 4" xfId="24441"/>
    <cellStyle name="Output 2 8 3 2 16 5" xfId="24442"/>
    <cellStyle name="Output 2 8 3 2 17" xfId="24443"/>
    <cellStyle name="Output 2 8 3 2 17 2" xfId="24444"/>
    <cellStyle name="Output 2 8 3 2 17 3" xfId="24445"/>
    <cellStyle name="Output 2 8 3 2 17 4" xfId="24446"/>
    <cellStyle name="Output 2 8 3 2 17 5" xfId="24447"/>
    <cellStyle name="Output 2 8 3 2 18" xfId="24448"/>
    <cellStyle name="Output 2 8 3 2 18 2" xfId="24449"/>
    <cellStyle name="Output 2 8 3 2 18 3" xfId="24450"/>
    <cellStyle name="Output 2 8 3 2 18 4" xfId="24451"/>
    <cellStyle name="Output 2 8 3 2 18 5" xfId="24452"/>
    <cellStyle name="Output 2 8 3 2 19" xfId="24453"/>
    <cellStyle name="Output 2 8 3 2 2" xfId="2653"/>
    <cellStyle name="Output 2 8 3 2 2 2" xfId="24454"/>
    <cellStyle name="Output 2 8 3 2 2 3" xfId="24455"/>
    <cellStyle name="Output 2 8 3 2 2 4" xfId="24456"/>
    <cellStyle name="Output 2 8 3 2 2 5" xfId="24457"/>
    <cellStyle name="Output 2 8 3 2 2 6" xfId="36436"/>
    <cellStyle name="Output 2 8 3 2 2 7" xfId="47823"/>
    <cellStyle name="Output 2 8 3 2 2 8" xfId="55946"/>
    <cellStyle name="Output 2 8 3 2 20" xfId="1061"/>
    <cellStyle name="Output 2 8 3 2 21" xfId="35141"/>
    <cellStyle name="Output 2 8 3 2 22" xfId="41360"/>
    <cellStyle name="Output 2 8 3 2 3" xfId="2654"/>
    <cellStyle name="Output 2 8 3 2 3 2" xfId="24458"/>
    <cellStyle name="Output 2 8 3 2 3 3" xfId="24459"/>
    <cellStyle name="Output 2 8 3 2 3 4" xfId="24460"/>
    <cellStyle name="Output 2 8 3 2 3 5" xfId="24461"/>
    <cellStyle name="Output 2 8 3 2 3 6" xfId="36933"/>
    <cellStyle name="Output 2 8 3 2 3 7" xfId="47824"/>
    <cellStyle name="Output 2 8 3 2 3 8" xfId="55947"/>
    <cellStyle name="Output 2 8 3 2 4" xfId="1398"/>
    <cellStyle name="Output 2 8 3 2 4 2" xfId="24462"/>
    <cellStyle name="Output 2 8 3 2 4 3" xfId="24463"/>
    <cellStyle name="Output 2 8 3 2 4 4" xfId="24464"/>
    <cellStyle name="Output 2 8 3 2 4 5" xfId="24465"/>
    <cellStyle name="Output 2 8 3 2 4 6" xfId="37549"/>
    <cellStyle name="Output 2 8 3 2 4 7" xfId="47825"/>
    <cellStyle name="Output 2 8 3 2 4 8" xfId="55948"/>
    <cellStyle name="Output 2 8 3 2 5" xfId="3466"/>
    <cellStyle name="Output 2 8 3 2 5 2" xfId="24466"/>
    <cellStyle name="Output 2 8 3 2 5 3" xfId="24467"/>
    <cellStyle name="Output 2 8 3 2 5 4" xfId="24468"/>
    <cellStyle name="Output 2 8 3 2 5 5" xfId="24469"/>
    <cellStyle name="Output 2 8 3 2 5 6" xfId="38165"/>
    <cellStyle name="Output 2 8 3 2 5 7" xfId="47826"/>
    <cellStyle name="Output 2 8 3 2 5 8" xfId="55949"/>
    <cellStyle name="Output 2 8 3 2 6" xfId="3788"/>
    <cellStyle name="Output 2 8 3 2 6 2" xfId="24470"/>
    <cellStyle name="Output 2 8 3 2 6 3" xfId="24471"/>
    <cellStyle name="Output 2 8 3 2 6 4" xfId="24472"/>
    <cellStyle name="Output 2 8 3 2 6 5" xfId="24473"/>
    <cellStyle name="Output 2 8 3 2 6 6" xfId="38783"/>
    <cellStyle name="Output 2 8 3 2 6 7" xfId="47827"/>
    <cellStyle name="Output 2 8 3 2 6 8" xfId="55950"/>
    <cellStyle name="Output 2 8 3 2 7" xfId="24474"/>
    <cellStyle name="Output 2 8 3 2 7 2" xfId="24475"/>
    <cellStyle name="Output 2 8 3 2 7 3" xfId="24476"/>
    <cellStyle name="Output 2 8 3 2 7 4" xfId="24477"/>
    <cellStyle name="Output 2 8 3 2 7 5" xfId="24478"/>
    <cellStyle name="Output 2 8 3 2 7 6" xfId="39403"/>
    <cellStyle name="Output 2 8 3 2 7 7" xfId="47828"/>
    <cellStyle name="Output 2 8 3 2 7 8" xfId="55951"/>
    <cellStyle name="Output 2 8 3 2 8" xfId="24479"/>
    <cellStyle name="Output 2 8 3 2 8 2" xfId="24480"/>
    <cellStyle name="Output 2 8 3 2 8 3" xfId="24481"/>
    <cellStyle name="Output 2 8 3 2 8 4" xfId="24482"/>
    <cellStyle name="Output 2 8 3 2 8 5" xfId="24483"/>
    <cellStyle name="Output 2 8 3 2 8 6" xfId="40019"/>
    <cellStyle name="Output 2 8 3 2 8 7" xfId="47829"/>
    <cellStyle name="Output 2 8 3 2 8 8" xfId="55952"/>
    <cellStyle name="Output 2 8 3 2 9" xfId="24484"/>
    <cellStyle name="Output 2 8 3 2 9 2" xfId="24485"/>
    <cellStyle name="Output 2 8 3 2 9 3" xfId="24486"/>
    <cellStyle name="Output 2 8 3 2 9 4" xfId="24487"/>
    <cellStyle name="Output 2 8 3 2 9 5" xfId="24488"/>
    <cellStyle name="Output 2 8 3 2 9 6" xfId="40634"/>
    <cellStyle name="Output 2 8 3 2 9 7" xfId="47830"/>
    <cellStyle name="Output 2 8 3 2 9 8" xfId="55953"/>
    <cellStyle name="Output 2 8 3 20" xfId="849"/>
    <cellStyle name="Output 2 8 3 21" xfId="34687"/>
    <cellStyle name="Output 2 8 3 22" xfId="40933"/>
    <cellStyle name="Output 2 8 3 23" xfId="41494"/>
    <cellStyle name="Output 2 8 3 24" xfId="50581"/>
    <cellStyle name="Output 2 8 3 3" xfId="2655"/>
    <cellStyle name="Output 2 8 3 3 10" xfId="34600"/>
    <cellStyle name="Output 2 8 3 3 10 2" xfId="47832"/>
    <cellStyle name="Output 2 8 3 3 10 3" xfId="55955"/>
    <cellStyle name="Output 2 8 3 3 11" xfId="41148"/>
    <cellStyle name="Output 2 8 3 3 12" xfId="47831"/>
    <cellStyle name="Output 2 8 3 3 13" xfId="55954"/>
    <cellStyle name="Output 2 8 3 3 2" xfId="2656"/>
    <cellStyle name="Output 2 8 3 3 2 2" xfId="36225"/>
    <cellStyle name="Output 2 8 3 3 2 3" xfId="47833"/>
    <cellStyle name="Output 2 8 3 3 2 4" xfId="55956"/>
    <cellStyle name="Output 2 8 3 3 3" xfId="2657"/>
    <cellStyle name="Output 2 8 3 3 3 2" xfId="36722"/>
    <cellStyle name="Output 2 8 3 3 3 3" xfId="47834"/>
    <cellStyle name="Output 2 8 3 3 3 4" xfId="55957"/>
    <cellStyle name="Output 2 8 3 3 4" xfId="24489"/>
    <cellStyle name="Output 2 8 3 3 4 2" xfId="37338"/>
    <cellStyle name="Output 2 8 3 3 4 3" xfId="47835"/>
    <cellStyle name="Output 2 8 3 3 4 4" xfId="55958"/>
    <cellStyle name="Output 2 8 3 3 5" xfId="24490"/>
    <cellStyle name="Output 2 8 3 3 5 2" xfId="37954"/>
    <cellStyle name="Output 2 8 3 3 5 3" xfId="47836"/>
    <cellStyle name="Output 2 8 3 3 5 4" xfId="55959"/>
    <cellStyle name="Output 2 8 3 3 6" xfId="38571"/>
    <cellStyle name="Output 2 8 3 3 6 2" xfId="47837"/>
    <cellStyle name="Output 2 8 3 3 6 3" xfId="55960"/>
    <cellStyle name="Output 2 8 3 3 7" xfId="39191"/>
    <cellStyle name="Output 2 8 3 3 7 2" xfId="47838"/>
    <cellStyle name="Output 2 8 3 3 7 3" xfId="55961"/>
    <cellStyle name="Output 2 8 3 3 8" xfId="39807"/>
    <cellStyle name="Output 2 8 3 3 8 2" xfId="47839"/>
    <cellStyle name="Output 2 8 3 3 8 3" xfId="55962"/>
    <cellStyle name="Output 2 8 3 3 9" xfId="40422"/>
    <cellStyle name="Output 2 8 3 3 9 2" xfId="47840"/>
    <cellStyle name="Output 2 8 3 3 9 3" xfId="55963"/>
    <cellStyle name="Output 2 8 3 4" xfId="2658"/>
    <cellStyle name="Output 2 8 3 4 10" xfId="47841"/>
    <cellStyle name="Output 2 8 3 4 11" xfId="55964"/>
    <cellStyle name="Output 2 8 3 4 2" xfId="24491"/>
    <cellStyle name="Output 2 8 3 4 2 2" xfId="47842"/>
    <cellStyle name="Output 2 8 3 4 2 3" xfId="55965"/>
    <cellStyle name="Output 2 8 3 4 3" xfId="24492"/>
    <cellStyle name="Output 2 8 3 4 3 2" xfId="47843"/>
    <cellStyle name="Output 2 8 3 4 3 3" xfId="55966"/>
    <cellStyle name="Output 2 8 3 4 4" xfId="24493"/>
    <cellStyle name="Output 2 8 3 4 4 2" xfId="47844"/>
    <cellStyle name="Output 2 8 3 4 4 3" xfId="55967"/>
    <cellStyle name="Output 2 8 3 4 5" xfId="24494"/>
    <cellStyle name="Output 2 8 3 4 5 2" xfId="47845"/>
    <cellStyle name="Output 2 8 3 4 5 3" xfId="55968"/>
    <cellStyle name="Output 2 8 3 4 6" xfId="36507"/>
    <cellStyle name="Output 2 8 3 4 6 2" xfId="47846"/>
    <cellStyle name="Output 2 8 3 4 6 3" xfId="55969"/>
    <cellStyle name="Output 2 8 3 4 7" xfId="47847"/>
    <cellStyle name="Output 2 8 3 4 7 2" xfId="55970"/>
    <cellStyle name="Output 2 8 3 4 8" xfId="47848"/>
    <cellStyle name="Output 2 8 3 4 8 2" xfId="55971"/>
    <cellStyle name="Output 2 8 3 4 9" xfId="47849"/>
    <cellStyle name="Output 2 8 3 4 9 2" xfId="55972"/>
    <cellStyle name="Output 2 8 3 5" xfId="1397"/>
    <cellStyle name="Output 2 8 3 5 2" xfId="24495"/>
    <cellStyle name="Output 2 8 3 5 3" xfId="24496"/>
    <cellStyle name="Output 2 8 3 5 4" xfId="24497"/>
    <cellStyle name="Output 2 8 3 5 5" xfId="24498"/>
    <cellStyle name="Output 2 8 3 5 6" xfId="37123"/>
    <cellStyle name="Output 2 8 3 5 7" xfId="47850"/>
    <cellStyle name="Output 2 8 3 5 8" xfId="55973"/>
    <cellStyle name="Output 2 8 3 6" xfId="3465"/>
    <cellStyle name="Output 2 8 3 6 2" xfId="24499"/>
    <cellStyle name="Output 2 8 3 6 3" xfId="24500"/>
    <cellStyle name="Output 2 8 3 6 4" xfId="24501"/>
    <cellStyle name="Output 2 8 3 6 5" xfId="24502"/>
    <cellStyle name="Output 2 8 3 6 6" xfId="37737"/>
    <cellStyle name="Output 2 8 3 6 7" xfId="47851"/>
    <cellStyle name="Output 2 8 3 6 8" xfId="55974"/>
    <cellStyle name="Output 2 8 3 7" xfId="3787"/>
    <cellStyle name="Output 2 8 3 7 2" xfId="24503"/>
    <cellStyle name="Output 2 8 3 7 3" xfId="24504"/>
    <cellStyle name="Output 2 8 3 7 4" xfId="24505"/>
    <cellStyle name="Output 2 8 3 7 5" xfId="24506"/>
    <cellStyle name="Output 2 8 3 7 6" xfId="38352"/>
    <cellStyle name="Output 2 8 3 7 7" xfId="47852"/>
    <cellStyle name="Output 2 8 3 7 8" xfId="55975"/>
    <cellStyle name="Output 2 8 3 8" xfId="24507"/>
    <cellStyle name="Output 2 8 3 8 2" xfId="24508"/>
    <cellStyle name="Output 2 8 3 8 3" xfId="24509"/>
    <cellStyle name="Output 2 8 3 8 4" xfId="24510"/>
    <cellStyle name="Output 2 8 3 8 5" xfId="24511"/>
    <cellStyle name="Output 2 8 3 8 6" xfId="38972"/>
    <cellStyle name="Output 2 8 3 8 7" xfId="47853"/>
    <cellStyle name="Output 2 8 3 8 8" xfId="55976"/>
    <cellStyle name="Output 2 8 3 9" xfId="24512"/>
    <cellStyle name="Output 2 8 3 9 2" xfId="24513"/>
    <cellStyle name="Output 2 8 3 9 3" xfId="24514"/>
    <cellStyle name="Output 2 8 3 9 4" xfId="24515"/>
    <cellStyle name="Output 2 8 3 9 5" xfId="24516"/>
    <cellStyle name="Output 2 8 3 9 6" xfId="39591"/>
    <cellStyle name="Output 2 8 3 9 7" xfId="47854"/>
    <cellStyle name="Output 2 8 3 9 8" xfId="55977"/>
    <cellStyle name="Output 2 8 4" xfId="529"/>
    <cellStyle name="Output 2 8 4 10" xfId="24517"/>
    <cellStyle name="Output 2 8 4 10 2" xfId="24518"/>
    <cellStyle name="Output 2 8 4 10 3" xfId="24519"/>
    <cellStyle name="Output 2 8 4 10 4" xfId="24520"/>
    <cellStyle name="Output 2 8 4 10 5" xfId="24521"/>
    <cellStyle name="Output 2 8 4 10 6" xfId="47855"/>
    <cellStyle name="Output 2 8 4 10 7" xfId="55978"/>
    <cellStyle name="Output 2 8 4 11" xfId="24522"/>
    <cellStyle name="Output 2 8 4 11 2" xfId="24523"/>
    <cellStyle name="Output 2 8 4 11 3" xfId="24524"/>
    <cellStyle name="Output 2 8 4 11 4" xfId="24525"/>
    <cellStyle name="Output 2 8 4 11 5" xfId="24526"/>
    <cellStyle name="Output 2 8 4 12" xfId="24527"/>
    <cellStyle name="Output 2 8 4 12 2" xfId="24528"/>
    <cellStyle name="Output 2 8 4 12 3" xfId="24529"/>
    <cellStyle name="Output 2 8 4 12 4" xfId="24530"/>
    <cellStyle name="Output 2 8 4 12 5" xfId="24531"/>
    <cellStyle name="Output 2 8 4 13" xfId="24532"/>
    <cellStyle name="Output 2 8 4 13 2" xfId="24533"/>
    <cellStyle name="Output 2 8 4 13 3" xfId="24534"/>
    <cellStyle name="Output 2 8 4 13 4" xfId="24535"/>
    <cellStyle name="Output 2 8 4 13 5" xfId="24536"/>
    <cellStyle name="Output 2 8 4 14" xfId="24537"/>
    <cellStyle name="Output 2 8 4 14 2" xfId="24538"/>
    <cellStyle name="Output 2 8 4 14 3" xfId="24539"/>
    <cellStyle name="Output 2 8 4 14 4" xfId="24540"/>
    <cellStyle name="Output 2 8 4 14 5" xfId="24541"/>
    <cellStyle name="Output 2 8 4 15" xfId="24542"/>
    <cellStyle name="Output 2 8 4 15 2" xfId="24543"/>
    <cellStyle name="Output 2 8 4 15 3" xfId="24544"/>
    <cellStyle name="Output 2 8 4 15 4" xfId="24545"/>
    <cellStyle name="Output 2 8 4 15 5" xfId="24546"/>
    <cellStyle name="Output 2 8 4 16" xfId="24547"/>
    <cellStyle name="Output 2 8 4 16 2" xfId="24548"/>
    <cellStyle name="Output 2 8 4 16 3" xfId="24549"/>
    <cellStyle name="Output 2 8 4 16 4" xfId="24550"/>
    <cellStyle name="Output 2 8 4 16 5" xfId="24551"/>
    <cellStyle name="Output 2 8 4 17" xfId="24552"/>
    <cellStyle name="Output 2 8 4 17 2" xfId="24553"/>
    <cellStyle name="Output 2 8 4 17 3" xfId="24554"/>
    <cellStyle name="Output 2 8 4 17 4" xfId="24555"/>
    <cellStyle name="Output 2 8 4 17 5" xfId="24556"/>
    <cellStyle name="Output 2 8 4 18" xfId="24557"/>
    <cellStyle name="Output 2 8 4 18 2" xfId="24558"/>
    <cellStyle name="Output 2 8 4 18 3" xfId="24559"/>
    <cellStyle name="Output 2 8 4 18 4" xfId="24560"/>
    <cellStyle name="Output 2 8 4 18 5" xfId="24561"/>
    <cellStyle name="Output 2 8 4 19" xfId="24562"/>
    <cellStyle name="Output 2 8 4 2" xfId="2659"/>
    <cellStyle name="Output 2 8 4 2 2" xfId="24563"/>
    <cellStyle name="Output 2 8 4 2 3" xfId="24564"/>
    <cellStyle name="Output 2 8 4 2 4" xfId="24565"/>
    <cellStyle name="Output 2 8 4 2 5" xfId="24566"/>
    <cellStyle name="Output 2 8 4 2 6" xfId="36333"/>
    <cellStyle name="Output 2 8 4 2 7" xfId="47856"/>
    <cellStyle name="Output 2 8 4 2 8" xfId="55979"/>
    <cellStyle name="Output 2 8 4 20" xfId="958"/>
    <cellStyle name="Output 2 8 4 21" xfId="35038"/>
    <cellStyle name="Output 2 8 4 22" xfId="40747"/>
    <cellStyle name="Output 2 8 4 23" xfId="41257"/>
    <cellStyle name="Output 2 8 4 3" xfId="2660"/>
    <cellStyle name="Output 2 8 4 3 2" xfId="24567"/>
    <cellStyle name="Output 2 8 4 3 3" xfId="24568"/>
    <cellStyle name="Output 2 8 4 3 4" xfId="24569"/>
    <cellStyle name="Output 2 8 4 3 5" xfId="24570"/>
    <cellStyle name="Output 2 8 4 3 6" xfId="36830"/>
    <cellStyle name="Output 2 8 4 3 7" xfId="47857"/>
    <cellStyle name="Output 2 8 4 3 8" xfId="55980"/>
    <cellStyle name="Output 2 8 4 4" xfId="1399"/>
    <cellStyle name="Output 2 8 4 4 2" xfId="24571"/>
    <cellStyle name="Output 2 8 4 4 3" xfId="24572"/>
    <cellStyle name="Output 2 8 4 4 4" xfId="24573"/>
    <cellStyle name="Output 2 8 4 4 5" xfId="24574"/>
    <cellStyle name="Output 2 8 4 4 6" xfId="37446"/>
    <cellStyle name="Output 2 8 4 4 7" xfId="47858"/>
    <cellStyle name="Output 2 8 4 4 8" xfId="55981"/>
    <cellStyle name="Output 2 8 4 5" xfId="3467"/>
    <cellStyle name="Output 2 8 4 5 2" xfId="24575"/>
    <cellStyle name="Output 2 8 4 5 3" xfId="24576"/>
    <cellStyle name="Output 2 8 4 5 4" xfId="24577"/>
    <cellStyle name="Output 2 8 4 5 5" xfId="24578"/>
    <cellStyle name="Output 2 8 4 5 6" xfId="38062"/>
    <cellStyle name="Output 2 8 4 5 7" xfId="47859"/>
    <cellStyle name="Output 2 8 4 5 8" xfId="55982"/>
    <cellStyle name="Output 2 8 4 6" xfId="3789"/>
    <cellStyle name="Output 2 8 4 6 2" xfId="24579"/>
    <cellStyle name="Output 2 8 4 6 3" xfId="24580"/>
    <cellStyle name="Output 2 8 4 6 4" xfId="24581"/>
    <cellStyle name="Output 2 8 4 6 5" xfId="24582"/>
    <cellStyle name="Output 2 8 4 6 6" xfId="38680"/>
    <cellStyle name="Output 2 8 4 6 7" xfId="47860"/>
    <cellStyle name="Output 2 8 4 6 8" xfId="55983"/>
    <cellStyle name="Output 2 8 4 7" xfId="24583"/>
    <cellStyle name="Output 2 8 4 7 2" xfId="24584"/>
    <cellStyle name="Output 2 8 4 7 3" xfId="24585"/>
    <cellStyle name="Output 2 8 4 7 4" xfId="24586"/>
    <cellStyle name="Output 2 8 4 7 5" xfId="24587"/>
    <cellStyle name="Output 2 8 4 7 6" xfId="39300"/>
    <cellStyle name="Output 2 8 4 7 7" xfId="47861"/>
    <cellStyle name="Output 2 8 4 7 8" xfId="55984"/>
    <cellStyle name="Output 2 8 4 8" xfId="24588"/>
    <cellStyle name="Output 2 8 4 8 2" xfId="24589"/>
    <cellStyle name="Output 2 8 4 8 3" xfId="24590"/>
    <cellStyle name="Output 2 8 4 8 4" xfId="24591"/>
    <cellStyle name="Output 2 8 4 8 5" xfId="24592"/>
    <cellStyle name="Output 2 8 4 8 6" xfId="39916"/>
    <cellStyle name="Output 2 8 4 8 7" xfId="47862"/>
    <cellStyle name="Output 2 8 4 8 8" xfId="55985"/>
    <cellStyle name="Output 2 8 4 9" xfId="24593"/>
    <cellStyle name="Output 2 8 4 9 2" xfId="24594"/>
    <cellStyle name="Output 2 8 4 9 3" xfId="24595"/>
    <cellStyle name="Output 2 8 4 9 4" xfId="24596"/>
    <cellStyle name="Output 2 8 4 9 5" xfId="24597"/>
    <cellStyle name="Output 2 8 4 9 6" xfId="40531"/>
    <cellStyle name="Output 2 8 4 9 7" xfId="47863"/>
    <cellStyle name="Output 2 8 4 9 8" xfId="55986"/>
    <cellStyle name="Output 2 8 5" xfId="2661"/>
    <cellStyle name="Output 2 8 5 10" xfId="34801"/>
    <cellStyle name="Output 2 8 5 10 2" xfId="47865"/>
    <cellStyle name="Output 2 8 5 10 3" xfId="55988"/>
    <cellStyle name="Output 2 8 5 11" xfId="41043"/>
    <cellStyle name="Output 2 8 5 12" xfId="47864"/>
    <cellStyle name="Output 2 8 5 13" xfId="55987"/>
    <cellStyle name="Output 2 8 5 2" xfId="2662"/>
    <cellStyle name="Output 2 8 5 2 2" xfId="36120"/>
    <cellStyle name="Output 2 8 5 2 3" xfId="47866"/>
    <cellStyle name="Output 2 8 5 2 4" xfId="55989"/>
    <cellStyle name="Output 2 8 5 3" xfId="2663"/>
    <cellStyle name="Output 2 8 5 3 2" xfId="36619"/>
    <cellStyle name="Output 2 8 5 3 3" xfId="47867"/>
    <cellStyle name="Output 2 8 5 3 4" xfId="55990"/>
    <cellStyle name="Output 2 8 5 4" xfId="24598"/>
    <cellStyle name="Output 2 8 5 4 2" xfId="37235"/>
    <cellStyle name="Output 2 8 5 4 3" xfId="47868"/>
    <cellStyle name="Output 2 8 5 4 4" xfId="55991"/>
    <cellStyle name="Output 2 8 5 5" xfId="24599"/>
    <cellStyle name="Output 2 8 5 5 2" xfId="37851"/>
    <cellStyle name="Output 2 8 5 5 3" xfId="47869"/>
    <cellStyle name="Output 2 8 5 5 4" xfId="55992"/>
    <cellStyle name="Output 2 8 5 6" xfId="38466"/>
    <cellStyle name="Output 2 8 5 6 2" xfId="47870"/>
    <cellStyle name="Output 2 8 5 6 3" xfId="55993"/>
    <cellStyle name="Output 2 8 5 7" xfId="39086"/>
    <cellStyle name="Output 2 8 5 7 2" xfId="47871"/>
    <cellStyle name="Output 2 8 5 7 3" xfId="55994"/>
    <cellStyle name="Output 2 8 5 8" xfId="39702"/>
    <cellStyle name="Output 2 8 5 8 2" xfId="47872"/>
    <cellStyle name="Output 2 8 5 8 3" xfId="55995"/>
    <cellStyle name="Output 2 8 5 9" xfId="40317"/>
    <cellStyle name="Output 2 8 5 9 2" xfId="47873"/>
    <cellStyle name="Output 2 8 5 9 3" xfId="55996"/>
    <cellStyle name="Output 2 8 6" xfId="1394"/>
    <cellStyle name="Output 2 8 6 10" xfId="47874"/>
    <cellStyle name="Output 2 8 6 11" xfId="55997"/>
    <cellStyle name="Output 2 8 6 2" xfId="24600"/>
    <cellStyle name="Output 2 8 6 2 2" xfId="47875"/>
    <cellStyle name="Output 2 8 6 2 3" xfId="55998"/>
    <cellStyle name="Output 2 8 6 3" xfId="24601"/>
    <cellStyle name="Output 2 8 6 3 2" xfId="47876"/>
    <cellStyle name="Output 2 8 6 3 3" xfId="55999"/>
    <cellStyle name="Output 2 8 6 4" xfId="24602"/>
    <cellStyle name="Output 2 8 6 4 2" xfId="47877"/>
    <cellStyle name="Output 2 8 6 4 3" xfId="56000"/>
    <cellStyle name="Output 2 8 6 5" xfId="24603"/>
    <cellStyle name="Output 2 8 6 5 2" xfId="47878"/>
    <cellStyle name="Output 2 8 6 5 3" xfId="56001"/>
    <cellStyle name="Output 2 8 6 6" xfId="35438"/>
    <cellStyle name="Output 2 8 6 6 2" xfId="47879"/>
    <cellStyle name="Output 2 8 6 6 3" xfId="56002"/>
    <cellStyle name="Output 2 8 6 7" xfId="47880"/>
    <cellStyle name="Output 2 8 6 7 2" xfId="56003"/>
    <cellStyle name="Output 2 8 6 8" xfId="47881"/>
    <cellStyle name="Output 2 8 6 8 2" xfId="56004"/>
    <cellStyle name="Output 2 8 6 9" xfId="47882"/>
    <cellStyle name="Output 2 8 6 9 2" xfId="56005"/>
    <cellStyle name="Output 2 8 7" xfId="3462"/>
    <cellStyle name="Output 2 8 7 2" xfId="24604"/>
    <cellStyle name="Output 2 8 7 3" xfId="24605"/>
    <cellStyle name="Output 2 8 7 4" xfId="24606"/>
    <cellStyle name="Output 2 8 7 5" xfId="24607"/>
    <cellStyle name="Output 2 8 7 6" xfId="35970"/>
    <cellStyle name="Output 2 8 7 7" xfId="47883"/>
    <cellStyle name="Output 2 8 7 8" xfId="56006"/>
    <cellStyle name="Output 2 8 8" xfId="3784"/>
    <cellStyle name="Output 2 8 8 2" xfId="24608"/>
    <cellStyle name="Output 2 8 8 3" xfId="24609"/>
    <cellStyle name="Output 2 8 8 4" xfId="24610"/>
    <cellStyle name="Output 2 8 8 5" xfId="24611"/>
    <cellStyle name="Output 2 8 8 6" xfId="35806"/>
    <cellStyle name="Output 2 8 8 7" xfId="47884"/>
    <cellStyle name="Output 2 8 8 8" xfId="56007"/>
    <cellStyle name="Output 2 8 9" xfId="24612"/>
    <cellStyle name="Output 2 8 9 2" xfId="24613"/>
    <cellStyle name="Output 2 8 9 3" xfId="24614"/>
    <cellStyle name="Output 2 8 9 4" xfId="24615"/>
    <cellStyle name="Output 2 8 9 5" xfId="24616"/>
    <cellStyle name="Output 2 8 9 6" xfId="37015"/>
    <cellStyle name="Output 2 8 9 7" xfId="47885"/>
    <cellStyle name="Output 2 8 9 8" xfId="56008"/>
    <cellStyle name="Output 2 9" xfId="300"/>
    <cellStyle name="Output 2 9 10" xfId="24617"/>
    <cellStyle name="Output 2 9 10 2" xfId="24618"/>
    <cellStyle name="Output 2 9 10 3" xfId="24619"/>
    <cellStyle name="Output 2 9 10 4" xfId="24620"/>
    <cellStyle name="Output 2 9 10 5" xfId="24621"/>
    <cellStyle name="Output 2 9 10 6" xfId="37628"/>
    <cellStyle name="Output 2 9 10 7" xfId="47886"/>
    <cellStyle name="Output 2 9 10 8" xfId="56009"/>
    <cellStyle name="Output 2 9 11" xfId="24622"/>
    <cellStyle name="Output 2 9 11 2" xfId="24623"/>
    <cellStyle name="Output 2 9 11 3" xfId="24624"/>
    <cellStyle name="Output 2 9 11 4" xfId="24625"/>
    <cellStyle name="Output 2 9 11 5" xfId="24626"/>
    <cellStyle name="Output 2 9 11 6" xfId="38245"/>
    <cellStyle name="Output 2 9 11 7" xfId="47887"/>
    <cellStyle name="Output 2 9 11 8" xfId="56010"/>
    <cellStyle name="Output 2 9 12" xfId="24627"/>
    <cellStyle name="Output 2 9 12 2" xfId="24628"/>
    <cellStyle name="Output 2 9 12 3" xfId="24629"/>
    <cellStyle name="Output 2 9 12 4" xfId="24630"/>
    <cellStyle name="Output 2 9 12 5" xfId="24631"/>
    <cellStyle name="Output 2 9 12 6" xfId="38867"/>
    <cellStyle name="Output 2 9 12 7" xfId="47888"/>
    <cellStyle name="Output 2 9 12 8" xfId="56011"/>
    <cellStyle name="Output 2 9 13" xfId="24632"/>
    <cellStyle name="Output 2 9 13 2" xfId="24633"/>
    <cellStyle name="Output 2 9 13 3" xfId="24634"/>
    <cellStyle name="Output 2 9 13 4" xfId="24635"/>
    <cellStyle name="Output 2 9 13 5" xfId="24636"/>
    <cellStyle name="Output 2 9 13 6" xfId="39487"/>
    <cellStyle name="Output 2 9 13 7" xfId="47889"/>
    <cellStyle name="Output 2 9 13 8" xfId="56012"/>
    <cellStyle name="Output 2 9 14" xfId="24637"/>
    <cellStyle name="Output 2 9 14 2" xfId="24638"/>
    <cellStyle name="Output 2 9 14 3" xfId="24639"/>
    <cellStyle name="Output 2 9 14 4" xfId="24640"/>
    <cellStyle name="Output 2 9 14 5" xfId="24641"/>
    <cellStyle name="Output 2 9 14 6" xfId="40105"/>
    <cellStyle name="Output 2 9 14 7" xfId="47890"/>
    <cellStyle name="Output 2 9 14 8" xfId="56013"/>
    <cellStyle name="Output 2 9 15" xfId="24642"/>
    <cellStyle name="Output 2 9 15 2" xfId="24643"/>
    <cellStyle name="Output 2 9 15 3" xfId="24644"/>
    <cellStyle name="Output 2 9 15 4" xfId="24645"/>
    <cellStyle name="Output 2 9 15 5" xfId="24646"/>
    <cellStyle name="Output 2 9 15 6" xfId="47891"/>
    <cellStyle name="Output 2 9 15 7" xfId="56014"/>
    <cellStyle name="Output 2 9 16" xfId="24647"/>
    <cellStyle name="Output 2 9 16 2" xfId="24648"/>
    <cellStyle name="Output 2 9 16 3" xfId="24649"/>
    <cellStyle name="Output 2 9 16 4" xfId="24650"/>
    <cellStyle name="Output 2 9 16 5" xfId="24651"/>
    <cellStyle name="Output 2 9 17" xfId="24652"/>
    <cellStyle name="Output 2 9 17 2" xfId="24653"/>
    <cellStyle name="Output 2 9 17 3" xfId="24654"/>
    <cellStyle name="Output 2 9 17 4" xfId="24655"/>
    <cellStyle name="Output 2 9 17 5" xfId="24656"/>
    <cellStyle name="Output 2 9 18" xfId="24657"/>
    <cellStyle name="Output 2 9 19" xfId="745"/>
    <cellStyle name="Output 2 9 2" xfId="414"/>
    <cellStyle name="Output 2 9 2 10" xfId="24658"/>
    <cellStyle name="Output 2 9 2 10 2" xfId="24659"/>
    <cellStyle name="Output 2 9 2 10 3" xfId="24660"/>
    <cellStyle name="Output 2 9 2 10 4" xfId="24661"/>
    <cellStyle name="Output 2 9 2 10 5" xfId="24662"/>
    <cellStyle name="Output 2 9 2 10 6" xfId="39592"/>
    <cellStyle name="Output 2 9 2 10 7" xfId="47892"/>
    <cellStyle name="Output 2 9 2 10 8" xfId="56015"/>
    <cellStyle name="Output 2 9 2 11" xfId="24663"/>
    <cellStyle name="Output 2 9 2 11 2" xfId="24664"/>
    <cellStyle name="Output 2 9 2 11 3" xfId="24665"/>
    <cellStyle name="Output 2 9 2 11 4" xfId="24666"/>
    <cellStyle name="Output 2 9 2 11 5" xfId="24667"/>
    <cellStyle name="Output 2 9 2 11 6" xfId="40208"/>
    <cellStyle name="Output 2 9 2 11 7" xfId="47893"/>
    <cellStyle name="Output 2 9 2 11 8" xfId="56016"/>
    <cellStyle name="Output 2 9 2 12" xfId="24668"/>
    <cellStyle name="Output 2 9 2 12 2" xfId="24669"/>
    <cellStyle name="Output 2 9 2 12 3" xfId="24670"/>
    <cellStyle name="Output 2 9 2 12 4" xfId="24671"/>
    <cellStyle name="Output 2 9 2 12 5" xfId="24672"/>
    <cellStyle name="Output 2 9 2 12 6" xfId="47894"/>
    <cellStyle name="Output 2 9 2 12 7" xfId="56017"/>
    <cellStyle name="Output 2 9 2 13" xfId="24673"/>
    <cellStyle name="Output 2 9 2 13 2" xfId="24674"/>
    <cellStyle name="Output 2 9 2 13 3" xfId="24675"/>
    <cellStyle name="Output 2 9 2 13 4" xfId="24676"/>
    <cellStyle name="Output 2 9 2 13 5" xfId="24677"/>
    <cellStyle name="Output 2 9 2 13 6" xfId="47895"/>
    <cellStyle name="Output 2 9 2 13 7" xfId="56018"/>
    <cellStyle name="Output 2 9 2 14" xfId="24678"/>
    <cellStyle name="Output 2 9 2 14 2" xfId="24679"/>
    <cellStyle name="Output 2 9 2 14 3" xfId="24680"/>
    <cellStyle name="Output 2 9 2 14 4" xfId="24681"/>
    <cellStyle name="Output 2 9 2 14 5" xfId="24682"/>
    <cellStyle name="Output 2 9 2 15" xfId="24683"/>
    <cellStyle name="Output 2 9 2 15 2" xfId="24684"/>
    <cellStyle name="Output 2 9 2 15 3" xfId="24685"/>
    <cellStyle name="Output 2 9 2 15 4" xfId="24686"/>
    <cellStyle name="Output 2 9 2 15 5" xfId="24687"/>
    <cellStyle name="Output 2 9 2 16" xfId="24688"/>
    <cellStyle name="Output 2 9 2 16 2" xfId="24689"/>
    <cellStyle name="Output 2 9 2 16 3" xfId="24690"/>
    <cellStyle name="Output 2 9 2 16 4" xfId="24691"/>
    <cellStyle name="Output 2 9 2 16 5" xfId="24692"/>
    <cellStyle name="Output 2 9 2 17" xfId="24693"/>
    <cellStyle name="Output 2 9 2 17 2" xfId="24694"/>
    <cellStyle name="Output 2 9 2 17 3" xfId="24695"/>
    <cellStyle name="Output 2 9 2 17 4" xfId="24696"/>
    <cellStyle name="Output 2 9 2 17 5" xfId="24697"/>
    <cellStyle name="Output 2 9 2 18" xfId="24698"/>
    <cellStyle name="Output 2 9 2 18 2" xfId="24699"/>
    <cellStyle name="Output 2 9 2 18 3" xfId="24700"/>
    <cellStyle name="Output 2 9 2 18 4" xfId="24701"/>
    <cellStyle name="Output 2 9 2 18 5" xfId="24702"/>
    <cellStyle name="Output 2 9 2 19" xfId="24703"/>
    <cellStyle name="Output 2 9 2 2" xfId="633"/>
    <cellStyle name="Output 2 9 2 2 10" xfId="24704"/>
    <cellStyle name="Output 2 9 2 2 10 2" xfId="24705"/>
    <cellStyle name="Output 2 9 2 2 10 3" xfId="24706"/>
    <cellStyle name="Output 2 9 2 2 10 4" xfId="24707"/>
    <cellStyle name="Output 2 9 2 2 10 5" xfId="24708"/>
    <cellStyle name="Output 2 9 2 2 10 6" xfId="47896"/>
    <cellStyle name="Output 2 9 2 2 10 7" xfId="56019"/>
    <cellStyle name="Output 2 9 2 2 11" xfId="24709"/>
    <cellStyle name="Output 2 9 2 2 11 2" xfId="24710"/>
    <cellStyle name="Output 2 9 2 2 11 3" xfId="24711"/>
    <cellStyle name="Output 2 9 2 2 11 4" xfId="24712"/>
    <cellStyle name="Output 2 9 2 2 11 5" xfId="24713"/>
    <cellStyle name="Output 2 9 2 2 12" xfId="24714"/>
    <cellStyle name="Output 2 9 2 2 12 2" xfId="24715"/>
    <cellStyle name="Output 2 9 2 2 12 3" xfId="24716"/>
    <cellStyle name="Output 2 9 2 2 12 4" xfId="24717"/>
    <cellStyle name="Output 2 9 2 2 12 5" xfId="24718"/>
    <cellStyle name="Output 2 9 2 2 13" xfId="24719"/>
    <cellStyle name="Output 2 9 2 2 13 2" xfId="24720"/>
    <cellStyle name="Output 2 9 2 2 13 3" xfId="24721"/>
    <cellStyle name="Output 2 9 2 2 13 4" xfId="24722"/>
    <cellStyle name="Output 2 9 2 2 13 5" xfId="24723"/>
    <cellStyle name="Output 2 9 2 2 14" xfId="24724"/>
    <cellStyle name="Output 2 9 2 2 14 2" xfId="24725"/>
    <cellStyle name="Output 2 9 2 2 14 3" xfId="24726"/>
    <cellStyle name="Output 2 9 2 2 14 4" xfId="24727"/>
    <cellStyle name="Output 2 9 2 2 14 5" xfId="24728"/>
    <cellStyle name="Output 2 9 2 2 15" xfId="24729"/>
    <cellStyle name="Output 2 9 2 2 15 2" xfId="24730"/>
    <cellStyle name="Output 2 9 2 2 15 3" xfId="24731"/>
    <cellStyle name="Output 2 9 2 2 15 4" xfId="24732"/>
    <cellStyle name="Output 2 9 2 2 15 5" xfId="24733"/>
    <cellStyle name="Output 2 9 2 2 16" xfId="24734"/>
    <cellStyle name="Output 2 9 2 2 16 2" xfId="24735"/>
    <cellStyle name="Output 2 9 2 2 16 3" xfId="24736"/>
    <cellStyle name="Output 2 9 2 2 16 4" xfId="24737"/>
    <cellStyle name="Output 2 9 2 2 16 5" xfId="24738"/>
    <cellStyle name="Output 2 9 2 2 17" xfId="24739"/>
    <cellStyle name="Output 2 9 2 2 17 2" xfId="24740"/>
    <cellStyle name="Output 2 9 2 2 17 3" xfId="24741"/>
    <cellStyle name="Output 2 9 2 2 17 4" xfId="24742"/>
    <cellStyle name="Output 2 9 2 2 17 5" xfId="24743"/>
    <cellStyle name="Output 2 9 2 2 18" xfId="24744"/>
    <cellStyle name="Output 2 9 2 2 18 2" xfId="24745"/>
    <cellStyle name="Output 2 9 2 2 18 3" xfId="24746"/>
    <cellStyle name="Output 2 9 2 2 18 4" xfId="24747"/>
    <cellStyle name="Output 2 9 2 2 18 5" xfId="24748"/>
    <cellStyle name="Output 2 9 2 2 19" xfId="24749"/>
    <cellStyle name="Output 2 9 2 2 2" xfId="2664"/>
    <cellStyle name="Output 2 9 2 2 2 2" xfId="24750"/>
    <cellStyle name="Output 2 9 2 2 2 3" xfId="24751"/>
    <cellStyle name="Output 2 9 2 2 2 4" xfId="24752"/>
    <cellStyle name="Output 2 9 2 2 2 5" xfId="24753"/>
    <cellStyle name="Output 2 9 2 2 2 6" xfId="36437"/>
    <cellStyle name="Output 2 9 2 2 2 7" xfId="47897"/>
    <cellStyle name="Output 2 9 2 2 2 8" xfId="56020"/>
    <cellStyle name="Output 2 9 2 2 20" xfId="1062"/>
    <cellStyle name="Output 2 9 2 2 21" xfId="35142"/>
    <cellStyle name="Output 2 9 2 2 22" xfId="41361"/>
    <cellStyle name="Output 2 9 2 2 3" xfId="2665"/>
    <cellStyle name="Output 2 9 2 2 3 2" xfId="24754"/>
    <cellStyle name="Output 2 9 2 2 3 3" xfId="24755"/>
    <cellStyle name="Output 2 9 2 2 3 4" xfId="24756"/>
    <cellStyle name="Output 2 9 2 2 3 5" xfId="24757"/>
    <cellStyle name="Output 2 9 2 2 3 6" xfId="36934"/>
    <cellStyle name="Output 2 9 2 2 3 7" xfId="47898"/>
    <cellStyle name="Output 2 9 2 2 3 8" xfId="56021"/>
    <cellStyle name="Output 2 9 2 2 4" xfId="1402"/>
    <cellStyle name="Output 2 9 2 2 4 2" xfId="24758"/>
    <cellStyle name="Output 2 9 2 2 4 3" xfId="24759"/>
    <cellStyle name="Output 2 9 2 2 4 4" xfId="24760"/>
    <cellStyle name="Output 2 9 2 2 4 5" xfId="24761"/>
    <cellStyle name="Output 2 9 2 2 4 6" xfId="37550"/>
    <cellStyle name="Output 2 9 2 2 4 7" xfId="47899"/>
    <cellStyle name="Output 2 9 2 2 4 8" xfId="56022"/>
    <cellStyle name="Output 2 9 2 2 5" xfId="3470"/>
    <cellStyle name="Output 2 9 2 2 5 2" xfId="24762"/>
    <cellStyle name="Output 2 9 2 2 5 3" xfId="24763"/>
    <cellStyle name="Output 2 9 2 2 5 4" xfId="24764"/>
    <cellStyle name="Output 2 9 2 2 5 5" xfId="24765"/>
    <cellStyle name="Output 2 9 2 2 5 6" xfId="38166"/>
    <cellStyle name="Output 2 9 2 2 5 7" xfId="47900"/>
    <cellStyle name="Output 2 9 2 2 5 8" xfId="56023"/>
    <cellStyle name="Output 2 9 2 2 6" xfId="3792"/>
    <cellStyle name="Output 2 9 2 2 6 2" xfId="24766"/>
    <cellStyle name="Output 2 9 2 2 6 3" xfId="24767"/>
    <cellStyle name="Output 2 9 2 2 6 4" xfId="24768"/>
    <cellStyle name="Output 2 9 2 2 6 5" xfId="24769"/>
    <cellStyle name="Output 2 9 2 2 6 6" xfId="38784"/>
    <cellStyle name="Output 2 9 2 2 6 7" xfId="47901"/>
    <cellStyle name="Output 2 9 2 2 6 8" xfId="56024"/>
    <cellStyle name="Output 2 9 2 2 7" xfId="24770"/>
    <cellStyle name="Output 2 9 2 2 7 2" xfId="24771"/>
    <cellStyle name="Output 2 9 2 2 7 3" xfId="24772"/>
    <cellStyle name="Output 2 9 2 2 7 4" xfId="24773"/>
    <cellStyle name="Output 2 9 2 2 7 5" xfId="24774"/>
    <cellStyle name="Output 2 9 2 2 7 6" xfId="39404"/>
    <cellStyle name="Output 2 9 2 2 7 7" xfId="47902"/>
    <cellStyle name="Output 2 9 2 2 7 8" xfId="56025"/>
    <cellStyle name="Output 2 9 2 2 8" xfId="24775"/>
    <cellStyle name="Output 2 9 2 2 8 2" xfId="24776"/>
    <cellStyle name="Output 2 9 2 2 8 3" xfId="24777"/>
    <cellStyle name="Output 2 9 2 2 8 4" xfId="24778"/>
    <cellStyle name="Output 2 9 2 2 8 5" xfId="24779"/>
    <cellStyle name="Output 2 9 2 2 8 6" xfId="40020"/>
    <cellStyle name="Output 2 9 2 2 8 7" xfId="47903"/>
    <cellStyle name="Output 2 9 2 2 8 8" xfId="56026"/>
    <cellStyle name="Output 2 9 2 2 9" xfId="24780"/>
    <cellStyle name="Output 2 9 2 2 9 2" xfId="24781"/>
    <cellStyle name="Output 2 9 2 2 9 3" xfId="24782"/>
    <cellStyle name="Output 2 9 2 2 9 4" xfId="24783"/>
    <cellStyle name="Output 2 9 2 2 9 5" xfId="24784"/>
    <cellStyle name="Output 2 9 2 2 9 6" xfId="40635"/>
    <cellStyle name="Output 2 9 2 2 9 7" xfId="47904"/>
    <cellStyle name="Output 2 9 2 2 9 8" xfId="56027"/>
    <cellStyle name="Output 2 9 2 20" xfId="850"/>
    <cellStyle name="Output 2 9 2 21" xfId="34686"/>
    <cellStyle name="Output 2 9 2 22" xfId="40934"/>
    <cellStyle name="Output 2 9 2 23" xfId="41495"/>
    <cellStyle name="Output 2 9 2 24" xfId="50582"/>
    <cellStyle name="Output 2 9 2 3" xfId="2666"/>
    <cellStyle name="Output 2 9 2 3 10" xfId="34599"/>
    <cellStyle name="Output 2 9 2 3 10 2" xfId="47906"/>
    <cellStyle name="Output 2 9 2 3 10 3" xfId="56029"/>
    <cellStyle name="Output 2 9 2 3 11" xfId="41149"/>
    <cellStyle name="Output 2 9 2 3 12" xfId="47905"/>
    <cellStyle name="Output 2 9 2 3 13" xfId="56028"/>
    <cellStyle name="Output 2 9 2 3 2" xfId="2667"/>
    <cellStyle name="Output 2 9 2 3 2 2" xfId="36226"/>
    <cellStyle name="Output 2 9 2 3 2 3" xfId="47907"/>
    <cellStyle name="Output 2 9 2 3 2 4" xfId="56030"/>
    <cellStyle name="Output 2 9 2 3 3" xfId="2668"/>
    <cellStyle name="Output 2 9 2 3 3 2" xfId="36723"/>
    <cellStyle name="Output 2 9 2 3 3 3" xfId="47908"/>
    <cellStyle name="Output 2 9 2 3 3 4" xfId="56031"/>
    <cellStyle name="Output 2 9 2 3 4" xfId="24785"/>
    <cellStyle name="Output 2 9 2 3 4 2" xfId="37339"/>
    <cellStyle name="Output 2 9 2 3 4 3" xfId="47909"/>
    <cellStyle name="Output 2 9 2 3 4 4" xfId="56032"/>
    <cellStyle name="Output 2 9 2 3 5" xfId="24786"/>
    <cellStyle name="Output 2 9 2 3 5 2" xfId="37955"/>
    <cellStyle name="Output 2 9 2 3 5 3" xfId="47910"/>
    <cellStyle name="Output 2 9 2 3 5 4" xfId="56033"/>
    <cellStyle name="Output 2 9 2 3 6" xfId="38572"/>
    <cellStyle name="Output 2 9 2 3 6 2" xfId="47911"/>
    <cellStyle name="Output 2 9 2 3 6 3" xfId="56034"/>
    <cellStyle name="Output 2 9 2 3 7" xfId="39192"/>
    <cellStyle name="Output 2 9 2 3 7 2" xfId="47912"/>
    <cellStyle name="Output 2 9 2 3 7 3" xfId="56035"/>
    <cellStyle name="Output 2 9 2 3 8" xfId="39808"/>
    <cellStyle name="Output 2 9 2 3 8 2" xfId="47913"/>
    <cellStyle name="Output 2 9 2 3 8 3" xfId="56036"/>
    <cellStyle name="Output 2 9 2 3 9" xfId="40423"/>
    <cellStyle name="Output 2 9 2 3 9 2" xfId="47914"/>
    <cellStyle name="Output 2 9 2 3 9 3" xfId="56037"/>
    <cellStyle name="Output 2 9 2 4" xfId="2669"/>
    <cellStyle name="Output 2 9 2 4 10" xfId="47915"/>
    <cellStyle name="Output 2 9 2 4 11" xfId="56038"/>
    <cellStyle name="Output 2 9 2 4 2" xfId="24787"/>
    <cellStyle name="Output 2 9 2 4 2 2" xfId="47916"/>
    <cellStyle name="Output 2 9 2 4 2 3" xfId="56039"/>
    <cellStyle name="Output 2 9 2 4 3" xfId="24788"/>
    <cellStyle name="Output 2 9 2 4 3 2" xfId="47917"/>
    <cellStyle name="Output 2 9 2 4 3 3" xfId="56040"/>
    <cellStyle name="Output 2 9 2 4 4" xfId="24789"/>
    <cellStyle name="Output 2 9 2 4 4 2" xfId="47918"/>
    <cellStyle name="Output 2 9 2 4 4 3" xfId="56041"/>
    <cellStyle name="Output 2 9 2 4 5" xfId="24790"/>
    <cellStyle name="Output 2 9 2 4 5 2" xfId="47919"/>
    <cellStyle name="Output 2 9 2 4 5 3" xfId="56042"/>
    <cellStyle name="Output 2 9 2 4 6" xfId="35708"/>
    <cellStyle name="Output 2 9 2 4 6 2" xfId="47920"/>
    <cellStyle name="Output 2 9 2 4 6 3" xfId="56043"/>
    <cellStyle name="Output 2 9 2 4 7" xfId="47921"/>
    <cellStyle name="Output 2 9 2 4 7 2" xfId="56044"/>
    <cellStyle name="Output 2 9 2 4 8" xfId="47922"/>
    <cellStyle name="Output 2 9 2 4 8 2" xfId="56045"/>
    <cellStyle name="Output 2 9 2 4 9" xfId="47923"/>
    <cellStyle name="Output 2 9 2 4 9 2" xfId="56046"/>
    <cellStyle name="Output 2 9 2 5" xfId="1401"/>
    <cellStyle name="Output 2 9 2 5 2" xfId="24791"/>
    <cellStyle name="Output 2 9 2 5 3" xfId="24792"/>
    <cellStyle name="Output 2 9 2 5 4" xfId="24793"/>
    <cellStyle name="Output 2 9 2 5 5" xfId="24794"/>
    <cellStyle name="Output 2 9 2 5 6" xfId="36508"/>
    <cellStyle name="Output 2 9 2 5 7" xfId="47924"/>
    <cellStyle name="Output 2 9 2 5 8" xfId="56047"/>
    <cellStyle name="Output 2 9 2 6" xfId="3469"/>
    <cellStyle name="Output 2 9 2 6 2" xfId="24795"/>
    <cellStyle name="Output 2 9 2 6 3" xfId="24796"/>
    <cellStyle name="Output 2 9 2 6 4" xfId="24797"/>
    <cellStyle name="Output 2 9 2 6 5" xfId="24798"/>
    <cellStyle name="Output 2 9 2 6 6" xfId="37124"/>
    <cellStyle name="Output 2 9 2 6 7" xfId="47925"/>
    <cellStyle name="Output 2 9 2 6 8" xfId="56048"/>
    <cellStyle name="Output 2 9 2 7" xfId="3791"/>
    <cellStyle name="Output 2 9 2 7 2" xfId="24799"/>
    <cellStyle name="Output 2 9 2 7 3" xfId="24800"/>
    <cellStyle name="Output 2 9 2 7 4" xfId="24801"/>
    <cellStyle name="Output 2 9 2 7 5" xfId="24802"/>
    <cellStyle name="Output 2 9 2 7 6" xfId="37738"/>
    <cellStyle name="Output 2 9 2 7 7" xfId="47926"/>
    <cellStyle name="Output 2 9 2 7 8" xfId="56049"/>
    <cellStyle name="Output 2 9 2 8" xfId="24803"/>
    <cellStyle name="Output 2 9 2 8 2" xfId="24804"/>
    <cellStyle name="Output 2 9 2 8 3" xfId="24805"/>
    <cellStyle name="Output 2 9 2 8 4" xfId="24806"/>
    <cellStyle name="Output 2 9 2 8 5" xfId="24807"/>
    <cellStyle name="Output 2 9 2 8 6" xfId="38353"/>
    <cellStyle name="Output 2 9 2 8 7" xfId="47927"/>
    <cellStyle name="Output 2 9 2 8 8" xfId="56050"/>
    <cellStyle name="Output 2 9 2 9" xfId="24808"/>
    <cellStyle name="Output 2 9 2 9 2" xfId="24809"/>
    <cellStyle name="Output 2 9 2 9 3" xfId="24810"/>
    <cellStyle name="Output 2 9 2 9 4" xfId="24811"/>
    <cellStyle name="Output 2 9 2 9 5" xfId="24812"/>
    <cellStyle name="Output 2 9 2 9 6" xfId="38973"/>
    <cellStyle name="Output 2 9 2 9 7" xfId="47928"/>
    <cellStyle name="Output 2 9 2 9 8" xfId="56051"/>
    <cellStyle name="Output 2 9 20" xfId="34944"/>
    <cellStyle name="Output 2 9 21" xfId="40829"/>
    <cellStyle name="Output 2 9 3" xfId="415"/>
    <cellStyle name="Output 2 9 3 10" xfId="24813"/>
    <cellStyle name="Output 2 9 3 10 2" xfId="24814"/>
    <cellStyle name="Output 2 9 3 10 3" xfId="24815"/>
    <cellStyle name="Output 2 9 3 10 4" xfId="24816"/>
    <cellStyle name="Output 2 9 3 10 5" xfId="24817"/>
    <cellStyle name="Output 2 9 3 10 6" xfId="40209"/>
    <cellStyle name="Output 2 9 3 10 7" xfId="47929"/>
    <cellStyle name="Output 2 9 3 10 8" xfId="56052"/>
    <cellStyle name="Output 2 9 3 11" xfId="24818"/>
    <cellStyle name="Output 2 9 3 11 2" xfId="24819"/>
    <cellStyle name="Output 2 9 3 11 3" xfId="24820"/>
    <cellStyle name="Output 2 9 3 11 4" xfId="24821"/>
    <cellStyle name="Output 2 9 3 11 5" xfId="24822"/>
    <cellStyle name="Output 2 9 3 11 6" xfId="47930"/>
    <cellStyle name="Output 2 9 3 11 7" xfId="56053"/>
    <cellStyle name="Output 2 9 3 12" xfId="24823"/>
    <cellStyle name="Output 2 9 3 12 2" xfId="24824"/>
    <cellStyle name="Output 2 9 3 12 3" xfId="24825"/>
    <cellStyle name="Output 2 9 3 12 4" xfId="24826"/>
    <cellStyle name="Output 2 9 3 12 5" xfId="24827"/>
    <cellStyle name="Output 2 9 3 12 6" xfId="47931"/>
    <cellStyle name="Output 2 9 3 12 7" xfId="56054"/>
    <cellStyle name="Output 2 9 3 13" xfId="24828"/>
    <cellStyle name="Output 2 9 3 13 2" xfId="24829"/>
    <cellStyle name="Output 2 9 3 13 3" xfId="24830"/>
    <cellStyle name="Output 2 9 3 13 4" xfId="24831"/>
    <cellStyle name="Output 2 9 3 13 5" xfId="24832"/>
    <cellStyle name="Output 2 9 3 13 6" xfId="47932"/>
    <cellStyle name="Output 2 9 3 13 7" xfId="56055"/>
    <cellStyle name="Output 2 9 3 14" xfId="24833"/>
    <cellStyle name="Output 2 9 3 14 2" xfId="24834"/>
    <cellStyle name="Output 2 9 3 14 3" xfId="24835"/>
    <cellStyle name="Output 2 9 3 14 4" xfId="24836"/>
    <cellStyle name="Output 2 9 3 14 5" xfId="24837"/>
    <cellStyle name="Output 2 9 3 15" xfId="24838"/>
    <cellStyle name="Output 2 9 3 15 2" xfId="24839"/>
    <cellStyle name="Output 2 9 3 15 3" xfId="24840"/>
    <cellStyle name="Output 2 9 3 15 4" xfId="24841"/>
    <cellStyle name="Output 2 9 3 15 5" xfId="24842"/>
    <cellStyle name="Output 2 9 3 16" xfId="24843"/>
    <cellStyle name="Output 2 9 3 16 2" xfId="24844"/>
    <cellStyle name="Output 2 9 3 16 3" xfId="24845"/>
    <cellStyle name="Output 2 9 3 16 4" xfId="24846"/>
    <cellStyle name="Output 2 9 3 16 5" xfId="24847"/>
    <cellStyle name="Output 2 9 3 17" xfId="24848"/>
    <cellStyle name="Output 2 9 3 17 2" xfId="24849"/>
    <cellStyle name="Output 2 9 3 17 3" xfId="24850"/>
    <cellStyle name="Output 2 9 3 17 4" xfId="24851"/>
    <cellStyle name="Output 2 9 3 17 5" xfId="24852"/>
    <cellStyle name="Output 2 9 3 18" xfId="24853"/>
    <cellStyle name="Output 2 9 3 18 2" xfId="24854"/>
    <cellStyle name="Output 2 9 3 18 3" xfId="24855"/>
    <cellStyle name="Output 2 9 3 18 4" xfId="24856"/>
    <cellStyle name="Output 2 9 3 18 5" xfId="24857"/>
    <cellStyle name="Output 2 9 3 19" xfId="24858"/>
    <cellStyle name="Output 2 9 3 2" xfId="634"/>
    <cellStyle name="Output 2 9 3 2 10" xfId="24859"/>
    <cellStyle name="Output 2 9 3 2 10 2" xfId="24860"/>
    <cellStyle name="Output 2 9 3 2 10 3" xfId="24861"/>
    <cellStyle name="Output 2 9 3 2 10 4" xfId="24862"/>
    <cellStyle name="Output 2 9 3 2 10 5" xfId="24863"/>
    <cellStyle name="Output 2 9 3 2 10 6" xfId="47933"/>
    <cellStyle name="Output 2 9 3 2 10 7" xfId="56056"/>
    <cellStyle name="Output 2 9 3 2 11" xfId="24864"/>
    <cellStyle name="Output 2 9 3 2 11 2" xfId="24865"/>
    <cellStyle name="Output 2 9 3 2 11 3" xfId="24866"/>
    <cellStyle name="Output 2 9 3 2 11 4" xfId="24867"/>
    <cellStyle name="Output 2 9 3 2 11 5" xfId="24868"/>
    <cellStyle name="Output 2 9 3 2 12" xfId="24869"/>
    <cellStyle name="Output 2 9 3 2 12 2" xfId="24870"/>
    <cellStyle name="Output 2 9 3 2 12 3" xfId="24871"/>
    <cellStyle name="Output 2 9 3 2 12 4" xfId="24872"/>
    <cellStyle name="Output 2 9 3 2 12 5" xfId="24873"/>
    <cellStyle name="Output 2 9 3 2 13" xfId="24874"/>
    <cellStyle name="Output 2 9 3 2 13 2" xfId="24875"/>
    <cellStyle name="Output 2 9 3 2 13 3" xfId="24876"/>
    <cellStyle name="Output 2 9 3 2 13 4" xfId="24877"/>
    <cellStyle name="Output 2 9 3 2 13 5" xfId="24878"/>
    <cellStyle name="Output 2 9 3 2 14" xfId="24879"/>
    <cellStyle name="Output 2 9 3 2 14 2" xfId="24880"/>
    <cellStyle name="Output 2 9 3 2 14 3" xfId="24881"/>
    <cellStyle name="Output 2 9 3 2 14 4" xfId="24882"/>
    <cellStyle name="Output 2 9 3 2 14 5" xfId="24883"/>
    <cellStyle name="Output 2 9 3 2 15" xfId="24884"/>
    <cellStyle name="Output 2 9 3 2 15 2" xfId="24885"/>
    <cellStyle name="Output 2 9 3 2 15 3" xfId="24886"/>
    <cellStyle name="Output 2 9 3 2 15 4" xfId="24887"/>
    <cellStyle name="Output 2 9 3 2 15 5" xfId="24888"/>
    <cellStyle name="Output 2 9 3 2 16" xfId="24889"/>
    <cellStyle name="Output 2 9 3 2 16 2" xfId="24890"/>
    <cellStyle name="Output 2 9 3 2 16 3" xfId="24891"/>
    <cellStyle name="Output 2 9 3 2 16 4" xfId="24892"/>
    <cellStyle name="Output 2 9 3 2 16 5" xfId="24893"/>
    <cellStyle name="Output 2 9 3 2 17" xfId="24894"/>
    <cellStyle name="Output 2 9 3 2 17 2" xfId="24895"/>
    <cellStyle name="Output 2 9 3 2 17 3" xfId="24896"/>
    <cellStyle name="Output 2 9 3 2 17 4" xfId="24897"/>
    <cellStyle name="Output 2 9 3 2 17 5" xfId="24898"/>
    <cellStyle name="Output 2 9 3 2 18" xfId="24899"/>
    <cellStyle name="Output 2 9 3 2 18 2" xfId="24900"/>
    <cellStyle name="Output 2 9 3 2 18 3" xfId="24901"/>
    <cellStyle name="Output 2 9 3 2 18 4" xfId="24902"/>
    <cellStyle name="Output 2 9 3 2 18 5" xfId="24903"/>
    <cellStyle name="Output 2 9 3 2 19" xfId="24904"/>
    <cellStyle name="Output 2 9 3 2 2" xfId="2670"/>
    <cellStyle name="Output 2 9 3 2 2 2" xfId="24905"/>
    <cellStyle name="Output 2 9 3 2 2 3" xfId="24906"/>
    <cellStyle name="Output 2 9 3 2 2 4" xfId="24907"/>
    <cellStyle name="Output 2 9 3 2 2 5" xfId="24908"/>
    <cellStyle name="Output 2 9 3 2 2 6" xfId="36438"/>
    <cellStyle name="Output 2 9 3 2 2 7" xfId="47934"/>
    <cellStyle name="Output 2 9 3 2 2 8" xfId="56057"/>
    <cellStyle name="Output 2 9 3 2 20" xfId="1063"/>
    <cellStyle name="Output 2 9 3 2 21" xfId="35143"/>
    <cellStyle name="Output 2 9 3 2 22" xfId="41362"/>
    <cellStyle name="Output 2 9 3 2 3" xfId="2671"/>
    <cellStyle name="Output 2 9 3 2 3 2" xfId="24909"/>
    <cellStyle name="Output 2 9 3 2 3 3" xfId="24910"/>
    <cellStyle name="Output 2 9 3 2 3 4" xfId="24911"/>
    <cellStyle name="Output 2 9 3 2 3 5" xfId="24912"/>
    <cellStyle name="Output 2 9 3 2 3 6" xfId="36935"/>
    <cellStyle name="Output 2 9 3 2 3 7" xfId="47935"/>
    <cellStyle name="Output 2 9 3 2 3 8" xfId="56058"/>
    <cellStyle name="Output 2 9 3 2 4" xfId="1404"/>
    <cellStyle name="Output 2 9 3 2 4 2" xfId="24913"/>
    <cellStyle name="Output 2 9 3 2 4 3" xfId="24914"/>
    <cellStyle name="Output 2 9 3 2 4 4" xfId="24915"/>
    <cellStyle name="Output 2 9 3 2 4 5" xfId="24916"/>
    <cellStyle name="Output 2 9 3 2 4 6" xfId="37551"/>
    <cellStyle name="Output 2 9 3 2 4 7" xfId="47936"/>
    <cellStyle name="Output 2 9 3 2 4 8" xfId="56059"/>
    <cellStyle name="Output 2 9 3 2 5" xfId="3472"/>
    <cellStyle name="Output 2 9 3 2 5 2" xfId="24917"/>
    <cellStyle name="Output 2 9 3 2 5 3" xfId="24918"/>
    <cellStyle name="Output 2 9 3 2 5 4" xfId="24919"/>
    <cellStyle name="Output 2 9 3 2 5 5" xfId="24920"/>
    <cellStyle name="Output 2 9 3 2 5 6" xfId="38167"/>
    <cellStyle name="Output 2 9 3 2 5 7" xfId="47937"/>
    <cellStyle name="Output 2 9 3 2 5 8" xfId="56060"/>
    <cellStyle name="Output 2 9 3 2 6" xfId="3794"/>
    <cellStyle name="Output 2 9 3 2 6 2" xfId="24921"/>
    <cellStyle name="Output 2 9 3 2 6 3" xfId="24922"/>
    <cellStyle name="Output 2 9 3 2 6 4" xfId="24923"/>
    <cellStyle name="Output 2 9 3 2 6 5" xfId="24924"/>
    <cellStyle name="Output 2 9 3 2 6 6" xfId="38785"/>
    <cellStyle name="Output 2 9 3 2 6 7" xfId="47938"/>
    <cellStyle name="Output 2 9 3 2 6 8" xfId="56061"/>
    <cellStyle name="Output 2 9 3 2 7" xfId="24925"/>
    <cellStyle name="Output 2 9 3 2 7 2" xfId="24926"/>
    <cellStyle name="Output 2 9 3 2 7 3" xfId="24927"/>
    <cellStyle name="Output 2 9 3 2 7 4" xfId="24928"/>
    <cellStyle name="Output 2 9 3 2 7 5" xfId="24929"/>
    <cellStyle name="Output 2 9 3 2 7 6" xfId="39405"/>
    <cellStyle name="Output 2 9 3 2 7 7" xfId="47939"/>
    <cellStyle name="Output 2 9 3 2 7 8" xfId="56062"/>
    <cellStyle name="Output 2 9 3 2 8" xfId="24930"/>
    <cellStyle name="Output 2 9 3 2 8 2" xfId="24931"/>
    <cellStyle name="Output 2 9 3 2 8 3" xfId="24932"/>
    <cellStyle name="Output 2 9 3 2 8 4" xfId="24933"/>
    <cellStyle name="Output 2 9 3 2 8 5" xfId="24934"/>
    <cellStyle name="Output 2 9 3 2 8 6" xfId="40021"/>
    <cellStyle name="Output 2 9 3 2 8 7" xfId="47940"/>
    <cellStyle name="Output 2 9 3 2 8 8" xfId="56063"/>
    <cellStyle name="Output 2 9 3 2 9" xfId="24935"/>
    <cellStyle name="Output 2 9 3 2 9 2" xfId="24936"/>
    <cellStyle name="Output 2 9 3 2 9 3" xfId="24937"/>
    <cellStyle name="Output 2 9 3 2 9 4" xfId="24938"/>
    <cellStyle name="Output 2 9 3 2 9 5" xfId="24939"/>
    <cellStyle name="Output 2 9 3 2 9 6" xfId="40636"/>
    <cellStyle name="Output 2 9 3 2 9 7" xfId="47941"/>
    <cellStyle name="Output 2 9 3 2 9 8" xfId="56064"/>
    <cellStyle name="Output 2 9 3 20" xfId="851"/>
    <cellStyle name="Output 2 9 3 21" xfId="34685"/>
    <cellStyle name="Output 2 9 3 22" xfId="40935"/>
    <cellStyle name="Output 2 9 3 23" xfId="41496"/>
    <cellStyle name="Output 2 9 3 24" xfId="50583"/>
    <cellStyle name="Output 2 9 3 3" xfId="2672"/>
    <cellStyle name="Output 2 9 3 3 10" xfId="34598"/>
    <cellStyle name="Output 2 9 3 3 10 2" xfId="47943"/>
    <cellStyle name="Output 2 9 3 3 10 3" xfId="56066"/>
    <cellStyle name="Output 2 9 3 3 11" xfId="41150"/>
    <cellStyle name="Output 2 9 3 3 12" xfId="47942"/>
    <cellStyle name="Output 2 9 3 3 13" xfId="56065"/>
    <cellStyle name="Output 2 9 3 3 2" xfId="2673"/>
    <cellStyle name="Output 2 9 3 3 2 2" xfId="36227"/>
    <cellStyle name="Output 2 9 3 3 2 3" xfId="47944"/>
    <cellStyle name="Output 2 9 3 3 2 4" xfId="56067"/>
    <cellStyle name="Output 2 9 3 3 3" xfId="2674"/>
    <cellStyle name="Output 2 9 3 3 3 2" xfId="36724"/>
    <cellStyle name="Output 2 9 3 3 3 3" xfId="47945"/>
    <cellStyle name="Output 2 9 3 3 3 4" xfId="56068"/>
    <cellStyle name="Output 2 9 3 3 4" xfId="24940"/>
    <cellStyle name="Output 2 9 3 3 4 2" xfId="37340"/>
    <cellStyle name="Output 2 9 3 3 4 3" xfId="47946"/>
    <cellStyle name="Output 2 9 3 3 4 4" xfId="56069"/>
    <cellStyle name="Output 2 9 3 3 5" xfId="24941"/>
    <cellStyle name="Output 2 9 3 3 5 2" xfId="37956"/>
    <cellStyle name="Output 2 9 3 3 5 3" xfId="47947"/>
    <cellStyle name="Output 2 9 3 3 5 4" xfId="56070"/>
    <cellStyle name="Output 2 9 3 3 6" xfId="38573"/>
    <cellStyle name="Output 2 9 3 3 6 2" xfId="47948"/>
    <cellStyle name="Output 2 9 3 3 6 3" xfId="56071"/>
    <cellStyle name="Output 2 9 3 3 7" xfId="39193"/>
    <cellStyle name="Output 2 9 3 3 7 2" xfId="47949"/>
    <cellStyle name="Output 2 9 3 3 7 3" xfId="56072"/>
    <cellStyle name="Output 2 9 3 3 8" xfId="39809"/>
    <cellStyle name="Output 2 9 3 3 8 2" xfId="47950"/>
    <cellStyle name="Output 2 9 3 3 8 3" xfId="56073"/>
    <cellStyle name="Output 2 9 3 3 9" xfId="40424"/>
    <cellStyle name="Output 2 9 3 3 9 2" xfId="47951"/>
    <cellStyle name="Output 2 9 3 3 9 3" xfId="56074"/>
    <cellStyle name="Output 2 9 3 4" xfId="2675"/>
    <cellStyle name="Output 2 9 3 4 10" xfId="47952"/>
    <cellStyle name="Output 2 9 3 4 11" xfId="56075"/>
    <cellStyle name="Output 2 9 3 4 2" xfId="24942"/>
    <cellStyle name="Output 2 9 3 4 2 2" xfId="47953"/>
    <cellStyle name="Output 2 9 3 4 2 3" xfId="56076"/>
    <cellStyle name="Output 2 9 3 4 3" xfId="24943"/>
    <cellStyle name="Output 2 9 3 4 3 2" xfId="47954"/>
    <cellStyle name="Output 2 9 3 4 3 3" xfId="56077"/>
    <cellStyle name="Output 2 9 3 4 4" xfId="24944"/>
    <cellStyle name="Output 2 9 3 4 4 2" xfId="47955"/>
    <cellStyle name="Output 2 9 3 4 4 3" xfId="56078"/>
    <cellStyle name="Output 2 9 3 4 5" xfId="24945"/>
    <cellStyle name="Output 2 9 3 4 5 2" xfId="47956"/>
    <cellStyle name="Output 2 9 3 4 5 3" xfId="56079"/>
    <cellStyle name="Output 2 9 3 4 6" xfId="36509"/>
    <cellStyle name="Output 2 9 3 4 6 2" xfId="47957"/>
    <cellStyle name="Output 2 9 3 4 6 3" xfId="56080"/>
    <cellStyle name="Output 2 9 3 4 7" xfId="47958"/>
    <cellStyle name="Output 2 9 3 4 7 2" xfId="56081"/>
    <cellStyle name="Output 2 9 3 4 8" xfId="47959"/>
    <cellStyle name="Output 2 9 3 4 8 2" xfId="56082"/>
    <cellStyle name="Output 2 9 3 4 9" xfId="47960"/>
    <cellStyle name="Output 2 9 3 4 9 2" xfId="56083"/>
    <cellStyle name="Output 2 9 3 5" xfId="1403"/>
    <cellStyle name="Output 2 9 3 5 2" xfId="24946"/>
    <cellStyle name="Output 2 9 3 5 3" xfId="24947"/>
    <cellStyle name="Output 2 9 3 5 4" xfId="24948"/>
    <cellStyle name="Output 2 9 3 5 5" xfId="24949"/>
    <cellStyle name="Output 2 9 3 5 6" xfId="37125"/>
    <cellStyle name="Output 2 9 3 5 7" xfId="47961"/>
    <cellStyle name="Output 2 9 3 5 8" xfId="56084"/>
    <cellStyle name="Output 2 9 3 6" xfId="3471"/>
    <cellStyle name="Output 2 9 3 6 2" xfId="24950"/>
    <cellStyle name="Output 2 9 3 6 3" xfId="24951"/>
    <cellStyle name="Output 2 9 3 6 4" xfId="24952"/>
    <cellStyle name="Output 2 9 3 6 5" xfId="24953"/>
    <cellStyle name="Output 2 9 3 6 6" xfId="37739"/>
    <cellStyle name="Output 2 9 3 6 7" xfId="47962"/>
    <cellStyle name="Output 2 9 3 6 8" xfId="56085"/>
    <cellStyle name="Output 2 9 3 7" xfId="3793"/>
    <cellStyle name="Output 2 9 3 7 2" xfId="24954"/>
    <cellStyle name="Output 2 9 3 7 3" xfId="24955"/>
    <cellStyle name="Output 2 9 3 7 4" xfId="24956"/>
    <cellStyle name="Output 2 9 3 7 5" xfId="24957"/>
    <cellStyle name="Output 2 9 3 7 6" xfId="38354"/>
    <cellStyle name="Output 2 9 3 7 7" xfId="47963"/>
    <cellStyle name="Output 2 9 3 7 8" xfId="56086"/>
    <cellStyle name="Output 2 9 3 8" xfId="24958"/>
    <cellStyle name="Output 2 9 3 8 2" xfId="24959"/>
    <cellStyle name="Output 2 9 3 8 3" xfId="24960"/>
    <cellStyle name="Output 2 9 3 8 4" xfId="24961"/>
    <cellStyle name="Output 2 9 3 8 5" xfId="24962"/>
    <cellStyle name="Output 2 9 3 8 6" xfId="38974"/>
    <cellStyle name="Output 2 9 3 8 7" xfId="47964"/>
    <cellStyle name="Output 2 9 3 8 8" xfId="56087"/>
    <cellStyle name="Output 2 9 3 9" xfId="24963"/>
    <cellStyle name="Output 2 9 3 9 2" xfId="24964"/>
    <cellStyle name="Output 2 9 3 9 3" xfId="24965"/>
    <cellStyle name="Output 2 9 3 9 4" xfId="24966"/>
    <cellStyle name="Output 2 9 3 9 5" xfId="24967"/>
    <cellStyle name="Output 2 9 3 9 6" xfId="39593"/>
    <cellStyle name="Output 2 9 3 9 7" xfId="47965"/>
    <cellStyle name="Output 2 9 3 9 8" xfId="56088"/>
    <cellStyle name="Output 2 9 4" xfId="530"/>
    <cellStyle name="Output 2 9 4 10" xfId="24968"/>
    <cellStyle name="Output 2 9 4 10 2" xfId="24969"/>
    <cellStyle name="Output 2 9 4 10 3" xfId="24970"/>
    <cellStyle name="Output 2 9 4 10 4" xfId="24971"/>
    <cellStyle name="Output 2 9 4 10 5" xfId="24972"/>
    <cellStyle name="Output 2 9 4 10 6" xfId="47966"/>
    <cellStyle name="Output 2 9 4 10 7" xfId="56089"/>
    <cellStyle name="Output 2 9 4 11" xfId="24973"/>
    <cellStyle name="Output 2 9 4 11 2" xfId="24974"/>
    <cellStyle name="Output 2 9 4 11 3" xfId="24975"/>
    <cellStyle name="Output 2 9 4 11 4" xfId="24976"/>
    <cellStyle name="Output 2 9 4 11 5" xfId="24977"/>
    <cellStyle name="Output 2 9 4 12" xfId="24978"/>
    <cellStyle name="Output 2 9 4 12 2" xfId="24979"/>
    <cellStyle name="Output 2 9 4 12 3" xfId="24980"/>
    <cellStyle name="Output 2 9 4 12 4" xfId="24981"/>
    <cellStyle name="Output 2 9 4 12 5" xfId="24982"/>
    <cellStyle name="Output 2 9 4 13" xfId="24983"/>
    <cellStyle name="Output 2 9 4 13 2" xfId="24984"/>
    <cellStyle name="Output 2 9 4 13 3" xfId="24985"/>
    <cellStyle name="Output 2 9 4 13 4" xfId="24986"/>
    <cellStyle name="Output 2 9 4 13 5" xfId="24987"/>
    <cellStyle name="Output 2 9 4 14" xfId="24988"/>
    <cellStyle name="Output 2 9 4 14 2" xfId="24989"/>
    <cellStyle name="Output 2 9 4 14 3" xfId="24990"/>
    <cellStyle name="Output 2 9 4 14 4" xfId="24991"/>
    <cellStyle name="Output 2 9 4 14 5" xfId="24992"/>
    <cellStyle name="Output 2 9 4 15" xfId="24993"/>
    <cellStyle name="Output 2 9 4 15 2" xfId="24994"/>
    <cellStyle name="Output 2 9 4 15 3" xfId="24995"/>
    <cellStyle name="Output 2 9 4 15 4" xfId="24996"/>
    <cellStyle name="Output 2 9 4 15 5" xfId="24997"/>
    <cellStyle name="Output 2 9 4 16" xfId="24998"/>
    <cellStyle name="Output 2 9 4 16 2" xfId="24999"/>
    <cellStyle name="Output 2 9 4 16 3" xfId="25000"/>
    <cellStyle name="Output 2 9 4 16 4" xfId="25001"/>
    <cellStyle name="Output 2 9 4 16 5" xfId="25002"/>
    <cellStyle name="Output 2 9 4 17" xfId="25003"/>
    <cellStyle name="Output 2 9 4 17 2" xfId="25004"/>
    <cellStyle name="Output 2 9 4 17 3" xfId="25005"/>
    <cellStyle name="Output 2 9 4 17 4" xfId="25006"/>
    <cellStyle name="Output 2 9 4 17 5" xfId="25007"/>
    <cellStyle name="Output 2 9 4 18" xfId="25008"/>
    <cellStyle name="Output 2 9 4 18 2" xfId="25009"/>
    <cellStyle name="Output 2 9 4 18 3" xfId="25010"/>
    <cellStyle name="Output 2 9 4 18 4" xfId="25011"/>
    <cellStyle name="Output 2 9 4 18 5" xfId="25012"/>
    <cellStyle name="Output 2 9 4 19" xfId="25013"/>
    <cellStyle name="Output 2 9 4 2" xfId="2676"/>
    <cellStyle name="Output 2 9 4 2 2" xfId="25014"/>
    <cellStyle name="Output 2 9 4 2 3" xfId="25015"/>
    <cellStyle name="Output 2 9 4 2 4" xfId="25016"/>
    <cellStyle name="Output 2 9 4 2 5" xfId="25017"/>
    <cellStyle name="Output 2 9 4 2 6" xfId="36334"/>
    <cellStyle name="Output 2 9 4 2 7" xfId="47967"/>
    <cellStyle name="Output 2 9 4 2 8" xfId="56090"/>
    <cellStyle name="Output 2 9 4 20" xfId="959"/>
    <cellStyle name="Output 2 9 4 21" xfId="35039"/>
    <cellStyle name="Output 2 9 4 22" xfId="40748"/>
    <cellStyle name="Output 2 9 4 23" xfId="41258"/>
    <cellStyle name="Output 2 9 4 3" xfId="2677"/>
    <cellStyle name="Output 2 9 4 3 2" xfId="25018"/>
    <cellStyle name="Output 2 9 4 3 3" xfId="25019"/>
    <cellStyle name="Output 2 9 4 3 4" xfId="25020"/>
    <cellStyle name="Output 2 9 4 3 5" xfId="25021"/>
    <cellStyle name="Output 2 9 4 3 6" xfId="36831"/>
    <cellStyle name="Output 2 9 4 3 7" xfId="47968"/>
    <cellStyle name="Output 2 9 4 3 8" xfId="56091"/>
    <cellStyle name="Output 2 9 4 4" xfId="1405"/>
    <cellStyle name="Output 2 9 4 4 2" xfId="25022"/>
    <cellStyle name="Output 2 9 4 4 3" xfId="25023"/>
    <cellStyle name="Output 2 9 4 4 4" xfId="25024"/>
    <cellStyle name="Output 2 9 4 4 5" xfId="25025"/>
    <cellStyle name="Output 2 9 4 4 6" xfId="37447"/>
    <cellStyle name="Output 2 9 4 4 7" xfId="47969"/>
    <cellStyle name="Output 2 9 4 4 8" xfId="56092"/>
    <cellStyle name="Output 2 9 4 5" xfId="3473"/>
    <cellStyle name="Output 2 9 4 5 2" xfId="25026"/>
    <cellStyle name="Output 2 9 4 5 3" xfId="25027"/>
    <cellStyle name="Output 2 9 4 5 4" xfId="25028"/>
    <cellStyle name="Output 2 9 4 5 5" xfId="25029"/>
    <cellStyle name="Output 2 9 4 5 6" xfId="38063"/>
    <cellStyle name="Output 2 9 4 5 7" xfId="47970"/>
    <cellStyle name="Output 2 9 4 5 8" xfId="56093"/>
    <cellStyle name="Output 2 9 4 6" xfId="3795"/>
    <cellStyle name="Output 2 9 4 6 2" xfId="25030"/>
    <cellStyle name="Output 2 9 4 6 3" xfId="25031"/>
    <cellStyle name="Output 2 9 4 6 4" xfId="25032"/>
    <cellStyle name="Output 2 9 4 6 5" xfId="25033"/>
    <cellStyle name="Output 2 9 4 6 6" xfId="38681"/>
    <cellStyle name="Output 2 9 4 6 7" xfId="47971"/>
    <cellStyle name="Output 2 9 4 6 8" xfId="56094"/>
    <cellStyle name="Output 2 9 4 7" xfId="25034"/>
    <cellStyle name="Output 2 9 4 7 2" xfId="25035"/>
    <cellStyle name="Output 2 9 4 7 3" xfId="25036"/>
    <cellStyle name="Output 2 9 4 7 4" xfId="25037"/>
    <cellStyle name="Output 2 9 4 7 5" xfId="25038"/>
    <cellStyle name="Output 2 9 4 7 6" xfId="39301"/>
    <cellStyle name="Output 2 9 4 7 7" xfId="47972"/>
    <cellStyle name="Output 2 9 4 7 8" xfId="56095"/>
    <cellStyle name="Output 2 9 4 8" xfId="25039"/>
    <cellStyle name="Output 2 9 4 8 2" xfId="25040"/>
    <cellStyle name="Output 2 9 4 8 3" xfId="25041"/>
    <cellStyle name="Output 2 9 4 8 4" xfId="25042"/>
    <cellStyle name="Output 2 9 4 8 5" xfId="25043"/>
    <cellStyle name="Output 2 9 4 8 6" xfId="39917"/>
    <cellStyle name="Output 2 9 4 8 7" xfId="47973"/>
    <cellStyle name="Output 2 9 4 8 8" xfId="56096"/>
    <cellStyle name="Output 2 9 4 9" xfId="25044"/>
    <cellStyle name="Output 2 9 4 9 2" xfId="25045"/>
    <cellStyle name="Output 2 9 4 9 3" xfId="25046"/>
    <cellStyle name="Output 2 9 4 9 4" xfId="25047"/>
    <cellStyle name="Output 2 9 4 9 5" xfId="25048"/>
    <cellStyle name="Output 2 9 4 9 6" xfId="40532"/>
    <cellStyle name="Output 2 9 4 9 7" xfId="47974"/>
    <cellStyle name="Output 2 9 4 9 8" xfId="56097"/>
    <cellStyle name="Output 2 9 5" xfId="2678"/>
    <cellStyle name="Output 2 9 5 10" xfId="34739"/>
    <cellStyle name="Output 2 9 5 10 2" xfId="47976"/>
    <cellStyle name="Output 2 9 5 10 3" xfId="56099"/>
    <cellStyle name="Output 2 9 5 11" xfId="41044"/>
    <cellStyle name="Output 2 9 5 12" xfId="47975"/>
    <cellStyle name="Output 2 9 5 13" xfId="56098"/>
    <cellStyle name="Output 2 9 5 2" xfId="2679"/>
    <cellStyle name="Output 2 9 5 2 2" xfId="36121"/>
    <cellStyle name="Output 2 9 5 2 3" xfId="47977"/>
    <cellStyle name="Output 2 9 5 2 4" xfId="56100"/>
    <cellStyle name="Output 2 9 5 3" xfId="2680"/>
    <cellStyle name="Output 2 9 5 3 2" xfId="36620"/>
    <cellStyle name="Output 2 9 5 3 3" xfId="47978"/>
    <cellStyle name="Output 2 9 5 3 4" xfId="56101"/>
    <cellStyle name="Output 2 9 5 4" xfId="25049"/>
    <cellStyle name="Output 2 9 5 4 2" xfId="37236"/>
    <cellStyle name="Output 2 9 5 4 3" xfId="47979"/>
    <cellStyle name="Output 2 9 5 4 4" xfId="56102"/>
    <cellStyle name="Output 2 9 5 5" xfId="25050"/>
    <cellStyle name="Output 2 9 5 5 2" xfId="37852"/>
    <cellStyle name="Output 2 9 5 5 3" xfId="47980"/>
    <cellStyle name="Output 2 9 5 5 4" xfId="56103"/>
    <cellStyle name="Output 2 9 5 6" xfId="38467"/>
    <cellStyle name="Output 2 9 5 6 2" xfId="47981"/>
    <cellStyle name="Output 2 9 5 6 3" xfId="56104"/>
    <cellStyle name="Output 2 9 5 7" xfId="39087"/>
    <cellStyle name="Output 2 9 5 7 2" xfId="47982"/>
    <cellStyle name="Output 2 9 5 7 3" xfId="56105"/>
    <cellStyle name="Output 2 9 5 8" xfId="39703"/>
    <cellStyle name="Output 2 9 5 8 2" xfId="47983"/>
    <cellStyle name="Output 2 9 5 8 3" xfId="56106"/>
    <cellStyle name="Output 2 9 5 9" xfId="40318"/>
    <cellStyle name="Output 2 9 5 9 2" xfId="47984"/>
    <cellStyle name="Output 2 9 5 9 3" xfId="56107"/>
    <cellStyle name="Output 2 9 6" xfId="1400"/>
    <cellStyle name="Output 2 9 6 10" xfId="47985"/>
    <cellStyle name="Output 2 9 6 11" xfId="56108"/>
    <cellStyle name="Output 2 9 6 2" xfId="25051"/>
    <cellStyle name="Output 2 9 6 2 2" xfId="47986"/>
    <cellStyle name="Output 2 9 6 2 3" xfId="56109"/>
    <cellStyle name="Output 2 9 6 3" xfId="25052"/>
    <cellStyle name="Output 2 9 6 3 2" xfId="47987"/>
    <cellStyle name="Output 2 9 6 3 3" xfId="56110"/>
    <cellStyle name="Output 2 9 6 4" xfId="25053"/>
    <cellStyle name="Output 2 9 6 4 2" xfId="47988"/>
    <cellStyle name="Output 2 9 6 4 3" xfId="56111"/>
    <cellStyle name="Output 2 9 6 5" xfId="25054"/>
    <cellStyle name="Output 2 9 6 5 2" xfId="47989"/>
    <cellStyle name="Output 2 9 6 5 3" xfId="56112"/>
    <cellStyle name="Output 2 9 6 6" xfId="35439"/>
    <cellStyle name="Output 2 9 6 6 2" xfId="47990"/>
    <cellStyle name="Output 2 9 6 6 3" xfId="56113"/>
    <cellStyle name="Output 2 9 6 7" xfId="47991"/>
    <cellStyle name="Output 2 9 6 7 2" xfId="56114"/>
    <cellStyle name="Output 2 9 6 8" xfId="47992"/>
    <cellStyle name="Output 2 9 6 8 2" xfId="56115"/>
    <cellStyle name="Output 2 9 6 9" xfId="47993"/>
    <cellStyle name="Output 2 9 6 9 2" xfId="56116"/>
    <cellStyle name="Output 2 9 7" xfId="3468"/>
    <cellStyle name="Output 2 9 7 2" xfId="25055"/>
    <cellStyle name="Output 2 9 7 3" xfId="25056"/>
    <cellStyle name="Output 2 9 7 4" xfId="25057"/>
    <cellStyle name="Output 2 9 7 5" xfId="25058"/>
    <cellStyle name="Output 2 9 7 6" xfId="35971"/>
    <cellStyle name="Output 2 9 7 7" xfId="47994"/>
    <cellStyle name="Output 2 9 7 8" xfId="56117"/>
    <cellStyle name="Output 2 9 8" xfId="3790"/>
    <cellStyle name="Output 2 9 8 2" xfId="25059"/>
    <cellStyle name="Output 2 9 8 3" xfId="25060"/>
    <cellStyle name="Output 2 9 8 4" xfId="25061"/>
    <cellStyle name="Output 2 9 8 5" xfId="25062"/>
    <cellStyle name="Output 2 9 8 6" xfId="35805"/>
    <cellStyle name="Output 2 9 8 7" xfId="47995"/>
    <cellStyle name="Output 2 9 8 8" xfId="56118"/>
    <cellStyle name="Output 2 9 9" xfId="25063"/>
    <cellStyle name="Output 2 9 9 2" xfId="25064"/>
    <cellStyle name="Output 2 9 9 3" xfId="25065"/>
    <cellStyle name="Output 2 9 9 4" xfId="25066"/>
    <cellStyle name="Output 2 9 9 5" xfId="25067"/>
    <cellStyle name="Output 2 9 9 6" xfId="37016"/>
    <cellStyle name="Output 2 9 9 7" xfId="47996"/>
    <cellStyle name="Output 2 9 9 8" xfId="56119"/>
    <cellStyle name="Output 3" xfId="47997"/>
    <cellStyle name="Output Line Items" xfId="2681"/>
    <cellStyle name="Percent" xfId="40763" builtinId="5"/>
    <cellStyle name="Percent [2]" xfId="188"/>
    <cellStyle name="Percent 2" xfId="189"/>
    <cellStyle name="Percent 2 2" xfId="2682"/>
    <cellStyle name="Percent 2 2 2" xfId="2683"/>
    <cellStyle name="Percent 2 2 3" xfId="47998"/>
    <cellStyle name="Percent 2 3" xfId="2684"/>
    <cellStyle name="Percent 2 3 2" xfId="2685"/>
    <cellStyle name="Percent 2 4" xfId="2686"/>
    <cellStyle name="Percent 2 5" xfId="47999"/>
    <cellStyle name="Percent 2 5 2" xfId="48000"/>
    <cellStyle name="Percent 3" xfId="190"/>
    <cellStyle name="Percent 3 2" xfId="2687"/>
    <cellStyle name="Percent 3 2 2" xfId="48001"/>
    <cellStyle name="Percent 3 3" xfId="2688"/>
    <cellStyle name="Percent 3 3 2" xfId="2689"/>
    <cellStyle name="Percent 3 3 2 2" xfId="48002"/>
    <cellStyle name="Percent 3 3 3" xfId="2690"/>
    <cellStyle name="Percent 3 4" xfId="48003"/>
    <cellStyle name="Percent 3 5" xfId="48004"/>
    <cellStyle name="Percent 3 6" xfId="48005"/>
    <cellStyle name="Percent 4" xfId="2691"/>
    <cellStyle name="Percent 4 2" xfId="2692"/>
    <cellStyle name="Percent 4 2 2" xfId="48006"/>
    <cellStyle name="Percent 4 3" xfId="48007"/>
    <cellStyle name="Percent 4 3 2" xfId="48008"/>
    <cellStyle name="Percent 4 4" xfId="48009"/>
    <cellStyle name="Percent 5" xfId="48010"/>
    <cellStyle name="Percent 5 2" xfId="48011"/>
    <cellStyle name="Percent 5 3" xfId="48012"/>
    <cellStyle name="Percent 6" xfId="48013"/>
    <cellStyle name="Percentage" xfId="191"/>
    <cellStyle name="Percenѵ" xfId="48014"/>
    <cellStyle name="Percenѵ 10" xfId="48015"/>
    <cellStyle name="Percenѵ 10 2" xfId="48016"/>
    <cellStyle name="Percenѵ 10 2 2" xfId="48017"/>
    <cellStyle name="Percenѵ 10 3" xfId="48018"/>
    <cellStyle name="Percenѵ 10 3 2" xfId="48019"/>
    <cellStyle name="Percenѵ 10 4" xfId="48020"/>
    <cellStyle name="Percenѵ 11" xfId="48021"/>
    <cellStyle name="Percenѵ 11 2" xfId="48022"/>
    <cellStyle name="Percenѵ 11 2 2" xfId="48023"/>
    <cellStyle name="Percenѵ 11 3" xfId="48024"/>
    <cellStyle name="Percenѵ 12" xfId="48025"/>
    <cellStyle name="Percenѵ 12 2" xfId="48026"/>
    <cellStyle name="Percenѵ 12 2 2" xfId="48027"/>
    <cellStyle name="Percenѵ 12 3" xfId="48028"/>
    <cellStyle name="Percenѵ 12 3 2" xfId="48029"/>
    <cellStyle name="Percenѵ 12 4" xfId="48030"/>
    <cellStyle name="Percenѵ 13" xfId="48031"/>
    <cellStyle name="Percenѵ 13 2" xfId="48032"/>
    <cellStyle name="Percenѵ 13 2 2" xfId="48033"/>
    <cellStyle name="Percenѵ 13 3" xfId="48034"/>
    <cellStyle name="Percenѵ 14" xfId="48035"/>
    <cellStyle name="Percenѵ 14 2" xfId="48036"/>
    <cellStyle name="Percenѵ 14 2 2" xfId="48037"/>
    <cellStyle name="Percenѵ 14 3" xfId="48038"/>
    <cellStyle name="Percenѵ 14 4" xfId="48039"/>
    <cellStyle name="Percenѵ 15" xfId="48040"/>
    <cellStyle name="Percenѵ 15 2" xfId="48041"/>
    <cellStyle name="Percenѵ 15 2 2" xfId="48042"/>
    <cellStyle name="Percenѵ 15 3" xfId="48043"/>
    <cellStyle name="Percenѵ 15 4" xfId="48044"/>
    <cellStyle name="Percenѵ 16" xfId="48045"/>
    <cellStyle name="Percenѵ 16 2" xfId="48046"/>
    <cellStyle name="Percenѵ 17" xfId="48047"/>
    <cellStyle name="Percenѵ 17 2" xfId="48048"/>
    <cellStyle name="Percenѵ 18" xfId="48049"/>
    <cellStyle name="Percenѵ 18 2" xfId="48050"/>
    <cellStyle name="Percenѵ 19" xfId="48051"/>
    <cellStyle name="Percenѵ 2" xfId="48052"/>
    <cellStyle name="Percenѵ 2 2" xfId="48053"/>
    <cellStyle name="Percenѵ 20" xfId="48054"/>
    <cellStyle name="Percenѵ 20 2" xfId="48055"/>
    <cellStyle name="Percenѵ 21" xfId="48056"/>
    <cellStyle name="Percenѵ 21 2" xfId="48057"/>
    <cellStyle name="Percenѵ 3" xfId="48058"/>
    <cellStyle name="Percenѵ 3 2" xfId="48059"/>
    <cellStyle name="Percenѵ 3 2 2" xfId="48060"/>
    <cellStyle name="Percenѵ 3 3" xfId="48061"/>
    <cellStyle name="Percenѵ 4" xfId="48062"/>
    <cellStyle name="Percenѵ 4 2" xfId="48063"/>
    <cellStyle name="Percenѵ 4 2 2" xfId="48064"/>
    <cellStyle name="Percenѵ 4 3" xfId="48065"/>
    <cellStyle name="Percenѵ 5" xfId="48066"/>
    <cellStyle name="Percenѵ 5 2" xfId="48067"/>
    <cellStyle name="Percenѵ 5 2 2" xfId="48068"/>
    <cellStyle name="Percenѵ 5 3" xfId="48069"/>
    <cellStyle name="Percenѵ 5 3 2" xfId="48070"/>
    <cellStyle name="Percenѵ 5 4" xfId="48071"/>
    <cellStyle name="Percenѵ 6" xfId="48072"/>
    <cellStyle name="Percenѵ 6 2" xfId="48073"/>
    <cellStyle name="Percenѵ 6 2 2" xfId="48074"/>
    <cellStyle name="Percenѵ 6 3" xfId="48075"/>
    <cellStyle name="Percenѵ 7" xfId="48076"/>
    <cellStyle name="Percenѵ 7 2" xfId="48077"/>
    <cellStyle name="Percenѵ 7 2 2" xfId="48078"/>
    <cellStyle name="Percenѵ 7 3" xfId="48079"/>
    <cellStyle name="Percenѵ 8" xfId="48080"/>
    <cellStyle name="Percenѵ 8 2" xfId="48081"/>
    <cellStyle name="Percenѵ 8 2 2" xfId="48082"/>
    <cellStyle name="Percenѵ 8 3" xfId="48083"/>
    <cellStyle name="Percenѵ 9" xfId="48084"/>
    <cellStyle name="Percenѵ 9 2" xfId="48085"/>
    <cellStyle name="Percenѵ 9 2 2" xfId="48086"/>
    <cellStyle name="Percenѵ 9 3" xfId="48087"/>
    <cellStyle name="Period Title" xfId="192"/>
    <cellStyle name="Period Title 2" xfId="35615"/>
    <cellStyle name="Period Title 3" xfId="35347"/>
    <cellStyle name="PSChar" xfId="193"/>
    <cellStyle name="PSChar 2" xfId="35616"/>
    <cellStyle name="PSChar 3" xfId="35348"/>
    <cellStyle name="PSDate" xfId="194"/>
    <cellStyle name="PSDec" xfId="195"/>
    <cellStyle name="PSDetail" xfId="196"/>
    <cellStyle name="PSDetail 2" xfId="416"/>
    <cellStyle name="PSHeading" xfId="197"/>
    <cellStyle name="PSHeading 2" xfId="417"/>
    <cellStyle name="PSHeading 2 2" xfId="635"/>
    <cellStyle name="PSHeading 2 2 10" xfId="41363"/>
    <cellStyle name="PSHeading 2 2 2" xfId="1406"/>
    <cellStyle name="PSHeading 2 2 2 2" xfId="25068"/>
    <cellStyle name="PSHeading 2 2 2 3" xfId="25069"/>
    <cellStyle name="PSHeading 2 2 2 4" xfId="48088"/>
    <cellStyle name="PSHeading 2 2 3" xfId="3476"/>
    <cellStyle name="PSHeading 2 2 3 2" xfId="25070"/>
    <cellStyle name="PSHeading 2 2 3 3" xfId="25071"/>
    <cellStyle name="PSHeading 2 2 3 4" xfId="48089"/>
    <cellStyle name="PSHeading 2 2 4" xfId="25072"/>
    <cellStyle name="PSHeading 2 2 5" xfId="34965"/>
    <cellStyle name="PSHeading 2 2 5 2" xfId="38168"/>
    <cellStyle name="PSHeading 2 2 6" xfId="38786"/>
    <cellStyle name="PSHeading 2 2 7" xfId="39406"/>
    <cellStyle name="PSHeading 2 2 8" xfId="40022"/>
    <cellStyle name="PSHeading 2 2 9" xfId="40637"/>
    <cellStyle name="PSHeading 2 3" xfId="3475"/>
    <cellStyle name="PSHeading 2 3 2" xfId="25073"/>
    <cellStyle name="PSHeading 2 3 2 2" xfId="48091"/>
    <cellStyle name="PSHeading 2 3 3" xfId="25074"/>
    <cellStyle name="PSHeading 2 3 4" xfId="35617"/>
    <cellStyle name="PSHeading 2 3 5" xfId="48090"/>
    <cellStyle name="PSHeading 2 4" xfId="25075"/>
    <cellStyle name="PSHeading 2 4 2" xfId="25076"/>
    <cellStyle name="PSHeading 2 4 3" xfId="25077"/>
    <cellStyle name="PSHeading 2 4 4" xfId="35729"/>
    <cellStyle name="PSHeading 2 5" xfId="25078"/>
    <cellStyle name="PSHeading 2 6" xfId="38355"/>
    <cellStyle name="PSHeading 2 7" xfId="38975"/>
    <cellStyle name="PSHeading 2 8" xfId="39594"/>
    <cellStyle name="PSHeading 3" xfId="469"/>
    <cellStyle name="PSHeading 3 10" xfId="41197"/>
    <cellStyle name="PSHeading 3 2" xfId="1407"/>
    <cellStyle name="PSHeading 3 2 2" xfId="25079"/>
    <cellStyle name="PSHeading 3 2 3" xfId="25080"/>
    <cellStyle name="PSHeading 3 2 4" xfId="48092"/>
    <cellStyle name="PSHeading 3 3" xfId="3477"/>
    <cellStyle name="PSHeading 3 3 2" xfId="25081"/>
    <cellStyle name="PSHeading 3 3 3" xfId="25082"/>
    <cellStyle name="PSHeading 3 3 4" xfId="48093"/>
    <cellStyle name="PSHeading 3 4" xfId="25083"/>
    <cellStyle name="PSHeading 3 5" xfId="898"/>
    <cellStyle name="PSHeading 3 6" xfId="34859"/>
    <cellStyle name="PSHeading 3 6 2" xfId="38620"/>
    <cellStyle name="PSHeading 3 7" xfId="39240"/>
    <cellStyle name="PSHeading 3 8" xfId="39856"/>
    <cellStyle name="PSHeading 3 9" xfId="40471"/>
    <cellStyle name="PSHeading 4" xfId="3474"/>
    <cellStyle name="PSHeading 4 2" xfId="25084"/>
    <cellStyle name="PSHeading 4 2 2" xfId="48095"/>
    <cellStyle name="PSHeading 4 3" xfId="25085"/>
    <cellStyle name="PSHeading 4 4" xfId="35349"/>
    <cellStyle name="PSHeading 4 5" xfId="48094"/>
    <cellStyle name="PSHeading 5" xfId="25086"/>
    <cellStyle name="PSHeading 5 2" xfId="35728"/>
    <cellStyle name="PSHeading 6" xfId="35881"/>
    <cellStyle name="PSHeading 7" xfId="35898"/>
    <cellStyle name="PSHeading 8" xfId="38260"/>
    <cellStyle name="PSHeading 9" xfId="38882"/>
    <cellStyle name="PSInt" xfId="198"/>
    <cellStyle name="PSSpacer" xfId="199"/>
    <cellStyle name="PSSpacer 2" xfId="35618"/>
    <cellStyle name="PSSpacer 3" xfId="35350"/>
    <cellStyle name="Ratio" xfId="200"/>
    <cellStyle name="Right Date" xfId="201"/>
    <cellStyle name="Right Number" xfId="202"/>
    <cellStyle name="Right Year" xfId="203"/>
    <cellStyle name="SAPError" xfId="204"/>
    <cellStyle name="SAPError 2" xfId="35619"/>
    <cellStyle name="SAPError 3" xfId="35351"/>
    <cellStyle name="SAPKey" xfId="205"/>
    <cellStyle name="SAPKey 2" xfId="35620"/>
    <cellStyle name="SAPKey 3" xfId="35352"/>
    <cellStyle name="SAPLocked" xfId="206"/>
    <cellStyle name="SAPLocked 2" xfId="35621"/>
    <cellStyle name="SAPLocked 3" xfId="35353"/>
    <cellStyle name="SAPOutput" xfId="207"/>
    <cellStyle name="SAPOutput 2" xfId="35622"/>
    <cellStyle name="SAPOutput 3" xfId="35354"/>
    <cellStyle name="SAPSpace" xfId="208"/>
    <cellStyle name="SAPSpace 2" xfId="35623"/>
    <cellStyle name="SAPSpace 3" xfId="35355"/>
    <cellStyle name="SAPText" xfId="209"/>
    <cellStyle name="SAPText 2" xfId="35624"/>
    <cellStyle name="SAPText 3" xfId="35356"/>
    <cellStyle name="SAPUnLocked" xfId="210"/>
    <cellStyle name="SAPUnLocked 2" xfId="35625"/>
    <cellStyle name="SAPUnLocked 3" xfId="35357"/>
    <cellStyle name="Sheet Title" xfId="211"/>
    <cellStyle name="Sheet Title 2" xfId="35626"/>
    <cellStyle name="Sheet Title 3" xfId="35358"/>
    <cellStyle name="Sheet Title." xfId="48096"/>
    <cellStyle name="Style 1" xfId="212"/>
    <cellStyle name="Style 1 2" xfId="7"/>
    <cellStyle name="Style 1 2 2" xfId="35460"/>
    <cellStyle name="Style 1 2 3" xfId="35192"/>
    <cellStyle name="Style 1 3" xfId="35627"/>
    <cellStyle name="Style 1 4" xfId="35359"/>
    <cellStyle name="Style2" xfId="213"/>
    <cellStyle name="Style2 2" xfId="35628"/>
    <cellStyle name="Style2 3" xfId="35360"/>
    <cellStyle name="Style3" xfId="214"/>
    <cellStyle name="Style3 2" xfId="35629"/>
    <cellStyle name="Style3 3" xfId="35361"/>
    <cellStyle name="Style4" xfId="215"/>
    <cellStyle name="Style5" xfId="216"/>
    <cellStyle name="Table Head Green" xfId="217"/>
    <cellStyle name="Table Head Green 2" xfId="258"/>
    <cellStyle name="Table Head Green 2 2" xfId="418"/>
    <cellStyle name="Table Head Green 2 2 2" xfId="2693"/>
    <cellStyle name="Table Head Green 2 2 2 2" xfId="35668"/>
    <cellStyle name="Table Head Green 2 3" xfId="2694"/>
    <cellStyle name="Table Head Green 2 3 2" xfId="35399"/>
    <cellStyle name="Table Head Green 2 4" xfId="2695"/>
    <cellStyle name="Table Head Green 3" xfId="419"/>
    <cellStyle name="Table Head Green 3 2" xfId="2696"/>
    <cellStyle name="Table Head Green 3 2 2" xfId="35630"/>
    <cellStyle name="Table Head Green 4" xfId="2697"/>
    <cellStyle name="Table Head Green 4 2" xfId="35362"/>
    <cellStyle name="Table Head Green 5" xfId="2698"/>
    <cellStyle name="Table Head_pldt" xfId="218"/>
    <cellStyle name="Table Source" xfId="219"/>
    <cellStyle name="Table Source 2" xfId="35631"/>
    <cellStyle name="Table Source 3" xfId="35363"/>
    <cellStyle name="Table Units" xfId="220"/>
    <cellStyle name="Table Units 2" xfId="420"/>
    <cellStyle name="Table Units 2 2" xfId="35632"/>
    <cellStyle name="Table Units 3" xfId="35364"/>
    <cellStyle name="Text" xfId="221"/>
    <cellStyle name="Text 2" xfId="222"/>
    <cellStyle name="Text 2 2" xfId="35633"/>
    <cellStyle name="Text 2 3" xfId="35365"/>
    <cellStyle name="Text Head 1" xfId="223"/>
    <cellStyle name="Text Head 1 2" xfId="35634"/>
    <cellStyle name="Text Head 1 3" xfId="35366"/>
    <cellStyle name="Text Head 2" xfId="224"/>
    <cellStyle name="Text Head 2 2" xfId="35635"/>
    <cellStyle name="Text Head 2 3" xfId="35367"/>
    <cellStyle name="Text Indent 2" xfId="225"/>
    <cellStyle name="Text Indent 2 2" xfId="35636"/>
    <cellStyle name="Text Indent 2 3" xfId="35368"/>
    <cellStyle name="Theirs" xfId="226"/>
    <cellStyle name="Title 2" xfId="227"/>
    <cellStyle name="Title 2 2" xfId="2699"/>
    <cellStyle name="Title 2 2 2" xfId="2700"/>
    <cellStyle name="Title 2 2 3" xfId="2701"/>
    <cellStyle name="Title 2 2 4" xfId="35637"/>
    <cellStyle name="Title 2 3" xfId="35369"/>
    <cellStyle name="Title 3" xfId="48097"/>
    <cellStyle name="TOC 1" xfId="228"/>
    <cellStyle name="TOC 1 2" xfId="35638"/>
    <cellStyle name="TOC 1 3" xfId="35370"/>
    <cellStyle name="TOC 2" xfId="229"/>
    <cellStyle name="TOC 2 2" xfId="35639"/>
    <cellStyle name="TOC 2 3" xfId="35371"/>
    <cellStyle name="TOC 3" xfId="230"/>
    <cellStyle name="TOC 3 2" xfId="35640"/>
    <cellStyle name="TOC 3 3" xfId="35372"/>
    <cellStyle name="Total 2" xfId="231"/>
    <cellStyle name="Total 2 10" xfId="421"/>
    <cellStyle name="Total 2 10 10" xfId="25087"/>
    <cellStyle name="Total 2 10 10 2" xfId="25088"/>
    <cellStyle name="Total 2 10 10 3" xfId="25089"/>
    <cellStyle name="Total 2 10 10 4" xfId="25090"/>
    <cellStyle name="Total 2 10 10 5" xfId="25091"/>
    <cellStyle name="Total 2 10 10 6" xfId="39595"/>
    <cellStyle name="Total 2 10 10 7" xfId="48098"/>
    <cellStyle name="Total 2 10 10 8" xfId="56120"/>
    <cellStyle name="Total 2 10 11" xfId="25092"/>
    <cellStyle name="Total 2 10 11 2" xfId="25093"/>
    <cellStyle name="Total 2 10 11 3" xfId="25094"/>
    <cellStyle name="Total 2 10 11 4" xfId="25095"/>
    <cellStyle name="Total 2 10 11 5" xfId="25096"/>
    <cellStyle name="Total 2 10 11 6" xfId="40210"/>
    <cellStyle name="Total 2 10 11 7" xfId="48099"/>
    <cellStyle name="Total 2 10 11 8" xfId="56121"/>
    <cellStyle name="Total 2 10 12" xfId="25097"/>
    <cellStyle name="Total 2 10 12 2" xfId="25098"/>
    <cellStyle name="Total 2 10 12 3" xfId="25099"/>
    <cellStyle name="Total 2 10 12 4" xfId="25100"/>
    <cellStyle name="Total 2 10 12 5" xfId="25101"/>
    <cellStyle name="Total 2 10 12 6" xfId="48100"/>
    <cellStyle name="Total 2 10 12 7" xfId="56122"/>
    <cellStyle name="Total 2 10 13" xfId="25102"/>
    <cellStyle name="Total 2 10 13 2" xfId="25103"/>
    <cellStyle name="Total 2 10 13 3" xfId="25104"/>
    <cellStyle name="Total 2 10 13 4" xfId="25105"/>
    <cellStyle name="Total 2 10 13 5" xfId="25106"/>
    <cellStyle name="Total 2 10 13 6" xfId="48101"/>
    <cellStyle name="Total 2 10 13 7" xfId="56123"/>
    <cellStyle name="Total 2 10 14" xfId="25107"/>
    <cellStyle name="Total 2 10 14 2" xfId="25108"/>
    <cellStyle name="Total 2 10 14 3" xfId="25109"/>
    <cellStyle name="Total 2 10 14 4" xfId="25110"/>
    <cellStyle name="Total 2 10 14 5" xfId="25111"/>
    <cellStyle name="Total 2 10 15" xfId="25112"/>
    <cellStyle name="Total 2 10 15 2" xfId="25113"/>
    <cellStyle name="Total 2 10 15 3" xfId="25114"/>
    <cellStyle name="Total 2 10 15 4" xfId="25115"/>
    <cellStyle name="Total 2 10 15 5" xfId="25116"/>
    <cellStyle name="Total 2 10 16" xfId="25117"/>
    <cellStyle name="Total 2 10 16 2" xfId="25118"/>
    <cellStyle name="Total 2 10 16 3" xfId="25119"/>
    <cellStyle name="Total 2 10 16 4" xfId="25120"/>
    <cellStyle name="Total 2 10 16 5" xfId="25121"/>
    <cellStyle name="Total 2 10 17" xfId="25122"/>
    <cellStyle name="Total 2 10 17 2" xfId="25123"/>
    <cellStyle name="Total 2 10 17 3" xfId="25124"/>
    <cellStyle name="Total 2 10 17 4" xfId="25125"/>
    <cellStyle name="Total 2 10 17 5" xfId="25126"/>
    <cellStyle name="Total 2 10 18" xfId="25127"/>
    <cellStyle name="Total 2 10 18 2" xfId="25128"/>
    <cellStyle name="Total 2 10 18 3" xfId="25129"/>
    <cellStyle name="Total 2 10 18 4" xfId="25130"/>
    <cellStyle name="Total 2 10 18 5" xfId="25131"/>
    <cellStyle name="Total 2 10 19" xfId="25132"/>
    <cellStyle name="Total 2 10 2" xfId="636"/>
    <cellStyle name="Total 2 10 2 10" xfId="25133"/>
    <cellStyle name="Total 2 10 2 10 2" xfId="25134"/>
    <cellStyle name="Total 2 10 2 10 3" xfId="25135"/>
    <cellStyle name="Total 2 10 2 10 4" xfId="25136"/>
    <cellStyle name="Total 2 10 2 10 5" xfId="25137"/>
    <cellStyle name="Total 2 10 2 10 6" xfId="48102"/>
    <cellStyle name="Total 2 10 2 10 7" xfId="56124"/>
    <cellStyle name="Total 2 10 2 11" xfId="25138"/>
    <cellStyle name="Total 2 10 2 11 2" xfId="25139"/>
    <cellStyle name="Total 2 10 2 11 3" xfId="25140"/>
    <cellStyle name="Total 2 10 2 11 4" xfId="25141"/>
    <cellStyle name="Total 2 10 2 11 5" xfId="25142"/>
    <cellStyle name="Total 2 10 2 12" xfId="25143"/>
    <cellStyle name="Total 2 10 2 12 2" xfId="25144"/>
    <cellStyle name="Total 2 10 2 12 3" xfId="25145"/>
    <cellStyle name="Total 2 10 2 12 4" xfId="25146"/>
    <cellStyle name="Total 2 10 2 12 5" xfId="25147"/>
    <cellStyle name="Total 2 10 2 13" xfId="25148"/>
    <cellStyle name="Total 2 10 2 13 2" xfId="25149"/>
    <cellStyle name="Total 2 10 2 13 3" xfId="25150"/>
    <cellStyle name="Total 2 10 2 13 4" xfId="25151"/>
    <cellStyle name="Total 2 10 2 13 5" xfId="25152"/>
    <cellStyle name="Total 2 10 2 14" xfId="25153"/>
    <cellStyle name="Total 2 10 2 14 2" xfId="25154"/>
    <cellStyle name="Total 2 10 2 14 3" xfId="25155"/>
    <cellStyle name="Total 2 10 2 14 4" xfId="25156"/>
    <cellStyle name="Total 2 10 2 14 5" xfId="25157"/>
    <cellStyle name="Total 2 10 2 15" xfId="25158"/>
    <cellStyle name="Total 2 10 2 15 2" xfId="25159"/>
    <cellStyle name="Total 2 10 2 15 3" xfId="25160"/>
    <cellStyle name="Total 2 10 2 15 4" xfId="25161"/>
    <cellStyle name="Total 2 10 2 15 5" xfId="25162"/>
    <cellStyle name="Total 2 10 2 16" xfId="25163"/>
    <cellStyle name="Total 2 10 2 16 2" xfId="25164"/>
    <cellStyle name="Total 2 10 2 16 3" xfId="25165"/>
    <cellStyle name="Total 2 10 2 16 4" xfId="25166"/>
    <cellStyle name="Total 2 10 2 16 5" xfId="25167"/>
    <cellStyle name="Total 2 10 2 17" xfId="25168"/>
    <cellStyle name="Total 2 10 2 17 2" xfId="25169"/>
    <cellStyle name="Total 2 10 2 17 3" xfId="25170"/>
    <cellStyle name="Total 2 10 2 17 4" xfId="25171"/>
    <cellStyle name="Total 2 10 2 17 5" xfId="25172"/>
    <cellStyle name="Total 2 10 2 18" xfId="25173"/>
    <cellStyle name="Total 2 10 2 18 2" xfId="25174"/>
    <cellStyle name="Total 2 10 2 18 3" xfId="25175"/>
    <cellStyle name="Total 2 10 2 18 4" xfId="25176"/>
    <cellStyle name="Total 2 10 2 18 5" xfId="25177"/>
    <cellStyle name="Total 2 10 2 19" xfId="25178"/>
    <cellStyle name="Total 2 10 2 2" xfId="2702"/>
    <cellStyle name="Total 2 10 2 2 2" xfId="25179"/>
    <cellStyle name="Total 2 10 2 2 2 2" xfId="48104"/>
    <cellStyle name="Total 2 10 2 2 2 3" xfId="56126"/>
    <cellStyle name="Total 2 10 2 2 3" xfId="25180"/>
    <cellStyle name="Total 2 10 2 2 4" xfId="25181"/>
    <cellStyle name="Total 2 10 2 2 5" xfId="25182"/>
    <cellStyle name="Total 2 10 2 2 6" xfId="36439"/>
    <cellStyle name="Total 2 10 2 2 7" xfId="48103"/>
    <cellStyle name="Total 2 10 2 2 8" xfId="56125"/>
    <cellStyle name="Total 2 10 2 20" xfId="1064"/>
    <cellStyle name="Total 2 10 2 21" xfId="35144"/>
    <cellStyle name="Total 2 10 2 22" xfId="41364"/>
    <cellStyle name="Total 2 10 2 3" xfId="2703"/>
    <cellStyle name="Total 2 10 2 3 2" xfId="25183"/>
    <cellStyle name="Total 2 10 2 3 3" xfId="25184"/>
    <cellStyle name="Total 2 10 2 3 4" xfId="25185"/>
    <cellStyle name="Total 2 10 2 3 5" xfId="25186"/>
    <cellStyle name="Total 2 10 2 3 6" xfId="36936"/>
    <cellStyle name="Total 2 10 2 3 7" xfId="48105"/>
    <cellStyle name="Total 2 10 2 3 8" xfId="56127"/>
    <cellStyle name="Total 2 10 2 4" xfId="1410"/>
    <cellStyle name="Total 2 10 2 4 2" xfId="25187"/>
    <cellStyle name="Total 2 10 2 4 3" xfId="25188"/>
    <cellStyle name="Total 2 10 2 4 4" xfId="25189"/>
    <cellStyle name="Total 2 10 2 4 5" xfId="25190"/>
    <cellStyle name="Total 2 10 2 4 6" xfId="37552"/>
    <cellStyle name="Total 2 10 2 4 7" xfId="48106"/>
    <cellStyle name="Total 2 10 2 4 8" xfId="56128"/>
    <cellStyle name="Total 2 10 2 5" xfId="3480"/>
    <cellStyle name="Total 2 10 2 5 2" xfId="25191"/>
    <cellStyle name="Total 2 10 2 5 3" xfId="25192"/>
    <cellStyle name="Total 2 10 2 5 4" xfId="25193"/>
    <cellStyle name="Total 2 10 2 5 5" xfId="25194"/>
    <cellStyle name="Total 2 10 2 5 6" xfId="38169"/>
    <cellStyle name="Total 2 10 2 5 7" xfId="48107"/>
    <cellStyle name="Total 2 10 2 5 8" xfId="56129"/>
    <cellStyle name="Total 2 10 2 6" xfId="3798"/>
    <cellStyle name="Total 2 10 2 6 2" xfId="25195"/>
    <cellStyle name="Total 2 10 2 6 3" xfId="25196"/>
    <cellStyle name="Total 2 10 2 6 4" xfId="25197"/>
    <cellStyle name="Total 2 10 2 6 5" xfId="25198"/>
    <cellStyle name="Total 2 10 2 6 6" xfId="38787"/>
    <cellStyle name="Total 2 10 2 6 7" xfId="48108"/>
    <cellStyle name="Total 2 10 2 6 8" xfId="56130"/>
    <cellStyle name="Total 2 10 2 7" xfId="25199"/>
    <cellStyle name="Total 2 10 2 7 2" xfId="25200"/>
    <cellStyle name="Total 2 10 2 7 3" xfId="25201"/>
    <cellStyle name="Total 2 10 2 7 4" xfId="25202"/>
    <cellStyle name="Total 2 10 2 7 5" xfId="25203"/>
    <cellStyle name="Total 2 10 2 7 6" xfId="39407"/>
    <cellStyle name="Total 2 10 2 7 7" xfId="48109"/>
    <cellStyle name="Total 2 10 2 7 8" xfId="56131"/>
    <cellStyle name="Total 2 10 2 8" xfId="25204"/>
    <cellStyle name="Total 2 10 2 8 2" xfId="25205"/>
    <cellStyle name="Total 2 10 2 8 3" xfId="25206"/>
    <cellStyle name="Total 2 10 2 8 4" xfId="25207"/>
    <cellStyle name="Total 2 10 2 8 5" xfId="25208"/>
    <cellStyle name="Total 2 10 2 8 6" xfId="40023"/>
    <cellStyle name="Total 2 10 2 8 7" xfId="48110"/>
    <cellStyle name="Total 2 10 2 8 8" xfId="56132"/>
    <cellStyle name="Total 2 10 2 9" xfId="25209"/>
    <cellStyle name="Total 2 10 2 9 2" xfId="25210"/>
    <cellStyle name="Total 2 10 2 9 3" xfId="25211"/>
    <cellStyle name="Total 2 10 2 9 4" xfId="25212"/>
    <cellStyle name="Total 2 10 2 9 5" xfId="25213"/>
    <cellStyle name="Total 2 10 2 9 6" xfId="40638"/>
    <cellStyle name="Total 2 10 2 9 7" xfId="48111"/>
    <cellStyle name="Total 2 10 2 9 8" xfId="56133"/>
    <cellStyle name="Total 2 10 20" xfId="852"/>
    <cellStyle name="Total 2 10 21" xfId="34684"/>
    <cellStyle name="Total 2 10 22" xfId="40936"/>
    <cellStyle name="Total 2 10 23" xfId="41497"/>
    <cellStyle name="Total 2 10 24" xfId="50584"/>
    <cellStyle name="Total 2 10 3" xfId="2704"/>
    <cellStyle name="Total 2 10 3 10" xfId="34597"/>
    <cellStyle name="Total 2 10 3 10 2" xfId="48113"/>
    <cellStyle name="Total 2 10 3 10 3" xfId="56135"/>
    <cellStyle name="Total 2 10 3 11" xfId="41151"/>
    <cellStyle name="Total 2 10 3 12" xfId="48112"/>
    <cellStyle name="Total 2 10 3 13" xfId="56134"/>
    <cellStyle name="Total 2 10 3 2" xfId="2705"/>
    <cellStyle name="Total 2 10 3 2 2" xfId="36228"/>
    <cellStyle name="Total 2 10 3 2 3" xfId="48114"/>
    <cellStyle name="Total 2 10 3 2 4" xfId="56136"/>
    <cellStyle name="Total 2 10 3 3" xfId="2706"/>
    <cellStyle name="Total 2 10 3 3 2" xfId="36725"/>
    <cellStyle name="Total 2 10 3 3 3" xfId="48115"/>
    <cellStyle name="Total 2 10 3 3 4" xfId="56137"/>
    <cellStyle name="Total 2 10 3 4" xfId="25214"/>
    <cellStyle name="Total 2 10 3 4 2" xfId="37341"/>
    <cellStyle name="Total 2 10 3 4 3" xfId="48116"/>
    <cellStyle name="Total 2 10 3 4 4" xfId="56138"/>
    <cellStyle name="Total 2 10 3 5" xfId="25215"/>
    <cellStyle name="Total 2 10 3 5 2" xfId="37957"/>
    <cellStyle name="Total 2 10 3 5 3" xfId="48117"/>
    <cellStyle name="Total 2 10 3 5 4" xfId="56139"/>
    <cellStyle name="Total 2 10 3 6" xfId="38574"/>
    <cellStyle name="Total 2 10 3 6 2" xfId="48118"/>
    <cellStyle name="Total 2 10 3 6 3" xfId="56140"/>
    <cellStyle name="Total 2 10 3 7" xfId="39194"/>
    <cellStyle name="Total 2 10 3 7 2" xfId="48119"/>
    <cellStyle name="Total 2 10 3 7 3" xfId="56141"/>
    <cellStyle name="Total 2 10 3 8" xfId="39810"/>
    <cellStyle name="Total 2 10 3 8 2" xfId="48120"/>
    <cellStyle name="Total 2 10 3 8 3" xfId="56142"/>
    <cellStyle name="Total 2 10 3 9" xfId="40425"/>
    <cellStyle name="Total 2 10 3 9 2" xfId="48121"/>
    <cellStyle name="Total 2 10 3 9 3" xfId="56143"/>
    <cellStyle name="Total 2 10 4" xfId="2707"/>
    <cellStyle name="Total 2 10 4 10" xfId="48122"/>
    <cellStyle name="Total 2 10 4 11" xfId="56144"/>
    <cellStyle name="Total 2 10 4 2" xfId="25216"/>
    <cellStyle name="Total 2 10 4 2 2" xfId="48123"/>
    <cellStyle name="Total 2 10 4 2 3" xfId="56145"/>
    <cellStyle name="Total 2 10 4 3" xfId="25217"/>
    <cellStyle name="Total 2 10 4 3 2" xfId="48124"/>
    <cellStyle name="Total 2 10 4 3 3" xfId="56146"/>
    <cellStyle name="Total 2 10 4 4" xfId="25218"/>
    <cellStyle name="Total 2 10 4 4 2" xfId="48125"/>
    <cellStyle name="Total 2 10 4 4 3" xfId="56147"/>
    <cellStyle name="Total 2 10 4 5" xfId="25219"/>
    <cellStyle name="Total 2 10 4 5 2" xfId="48126"/>
    <cellStyle name="Total 2 10 4 5 3" xfId="56148"/>
    <cellStyle name="Total 2 10 4 6" xfId="35641"/>
    <cellStyle name="Total 2 10 4 6 2" xfId="48127"/>
    <cellStyle name="Total 2 10 4 6 3" xfId="56149"/>
    <cellStyle name="Total 2 10 4 7" xfId="48128"/>
    <cellStyle name="Total 2 10 4 7 2" xfId="56150"/>
    <cellStyle name="Total 2 10 4 8" xfId="48129"/>
    <cellStyle name="Total 2 10 4 8 2" xfId="56151"/>
    <cellStyle name="Total 2 10 4 9" xfId="48130"/>
    <cellStyle name="Total 2 10 4 9 2" xfId="56152"/>
    <cellStyle name="Total 2 10 5" xfId="1409"/>
    <cellStyle name="Total 2 10 5 2" xfId="25220"/>
    <cellStyle name="Total 2 10 5 3" xfId="25221"/>
    <cellStyle name="Total 2 10 5 4" xfId="25222"/>
    <cellStyle name="Total 2 10 5 5" xfId="25223"/>
    <cellStyle name="Total 2 10 5 6" xfId="36513"/>
    <cellStyle name="Total 2 10 5 7" xfId="48131"/>
    <cellStyle name="Total 2 10 5 8" xfId="56153"/>
    <cellStyle name="Total 2 10 6" xfId="3479"/>
    <cellStyle name="Total 2 10 6 2" xfId="25224"/>
    <cellStyle name="Total 2 10 6 3" xfId="25225"/>
    <cellStyle name="Total 2 10 6 4" xfId="25226"/>
    <cellStyle name="Total 2 10 6 5" xfId="25227"/>
    <cellStyle name="Total 2 10 6 6" xfId="37129"/>
    <cellStyle name="Total 2 10 6 7" xfId="48132"/>
    <cellStyle name="Total 2 10 6 8" xfId="56154"/>
    <cellStyle name="Total 2 10 7" xfId="3797"/>
    <cellStyle name="Total 2 10 7 2" xfId="25228"/>
    <cellStyle name="Total 2 10 7 3" xfId="25229"/>
    <cellStyle name="Total 2 10 7 4" xfId="25230"/>
    <cellStyle name="Total 2 10 7 5" xfId="25231"/>
    <cellStyle name="Total 2 10 7 6" xfId="37743"/>
    <cellStyle name="Total 2 10 7 7" xfId="48133"/>
    <cellStyle name="Total 2 10 7 8" xfId="56155"/>
    <cellStyle name="Total 2 10 8" xfId="25232"/>
    <cellStyle name="Total 2 10 8 2" xfId="25233"/>
    <cellStyle name="Total 2 10 8 3" xfId="25234"/>
    <cellStyle name="Total 2 10 8 4" xfId="25235"/>
    <cellStyle name="Total 2 10 8 5" xfId="25236"/>
    <cellStyle name="Total 2 10 8 6" xfId="38359"/>
    <cellStyle name="Total 2 10 8 7" xfId="48134"/>
    <cellStyle name="Total 2 10 8 8" xfId="56156"/>
    <cellStyle name="Total 2 10 9" xfId="25237"/>
    <cellStyle name="Total 2 10 9 2" xfId="25238"/>
    <cellStyle name="Total 2 10 9 3" xfId="25239"/>
    <cellStyle name="Total 2 10 9 4" xfId="25240"/>
    <cellStyle name="Total 2 10 9 5" xfId="25241"/>
    <cellStyle name="Total 2 10 9 6" xfId="38979"/>
    <cellStyle name="Total 2 10 9 7" xfId="48135"/>
    <cellStyle name="Total 2 10 9 8" xfId="56157"/>
    <cellStyle name="Total 2 11" xfId="422"/>
    <cellStyle name="Total 2 11 10" xfId="25242"/>
    <cellStyle name="Total 2 11 10 2" xfId="25243"/>
    <cellStyle name="Total 2 11 10 3" xfId="25244"/>
    <cellStyle name="Total 2 11 10 4" xfId="25245"/>
    <cellStyle name="Total 2 11 10 5" xfId="25246"/>
    <cellStyle name="Total 2 11 10 6" xfId="40211"/>
    <cellStyle name="Total 2 11 10 7" xfId="48136"/>
    <cellStyle name="Total 2 11 10 8" xfId="56158"/>
    <cellStyle name="Total 2 11 11" xfId="25247"/>
    <cellStyle name="Total 2 11 11 2" xfId="25248"/>
    <cellStyle name="Total 2 11 11 3" xfId="25249"/>
    <cellStyle name="Total 2 11 11 4" xfId="25250"/>
    <cellStyle name="Total 2 11 11 5" xfId="25251"/>
    <cellStyle name="Total 2 11 11 6" xfId="48137"/>
    <cellStyle name="Total 2 11 11 7" xfId="56159"/>
    <cellStyle name="Total 2 11 12" xfId="25252"/>
    <cellStyle name="Total 2 11 12 2" xfId="25253"/>
    <cellStyle name="Total 2 11 12 3" xfId="25254"/>
    <cellStyle name="Total 2 11 12 4" xfId="25255"/>
    <cellStyle name="Total 2 11 12 5" xfId="25256"/>
    <cellStyle name="Total 2 11 12 6" xfId="48138"/>
    <cellStyle name="Total 2 11 12 7" xfId="56160"/>
    <cellStyle name="Total 2 11 13" xfId="25257"/>
    <cellStyle name="Total 2 11 13 2" xfId="25258"/>
    <cellStyle name="Total 2 11 13 3" xfId="25259"/>
    <cellStyle name="Total 2 11 13 4" xfId="25260"/>
    <cellStyle name="Total 2 11 13 5" xfId="25261"/>
    <cellStyle name="Total 2 11 13 6" xfId="48139"/>
    <cellStyle name="Total 2 11 13 7" xfId="56161"/>
    <cellStyle name="Total 2 11 14" xfId="25262"/>
    <cellStyle name="Total 2 11 14 2" xfId="25263"/>
    <cellStyle name="Total 2 11 14 3" xfId="25264"/>
    <cellStyle name="Total 2 11 14 4" xfId="25265"/>
    <cellStyle name="Total 2 11 14 5" xfId="25266"/>
    <cellStyle name="Total 2 11 15" xfId="25267"/>
    <cellStyle name="Total 2 11 15 2" xfId="25268"/>
    <cellStyle name="Total 2 11 15 3" xfId="25269"/>
    <cellStyle name="Total 2 11 15 4" xfId="25270"/>
    <cellStyle name="Total 2 11 15 5" xfId="25271"/>
    <cellStyle name="Total 2 11 16" xfId="25272"/>
    <cellStyle name="Total 2 11 16 2" xfId="25273"/>
    <cellStyle name="Total 2 11 16 3" xfId="25274"/>
    <cellStyle name="Total 2 11 16 4" xfId="25275"/>
    <cellStyle name="Total 2 11 16 5" xfId="25276"/>
    <cellStyle name="Total 2 11 17" xfId="25277"/>
    <cellStyle name="Total 2 11 17 2" xfId="25278"/>
    <cellStyle name="Total 2 11 17 3" xfId="25279"/>
    <cellStyle name="Total 2 11 17 4" xfId="25280"/>
    <cellStyle name="Total 2 11 17 5" xfId="25281"/>
    <cellStyle name="Total 2 11 18" xfId="25282"/>
    <cellStyle name="Total 2 11 18 2" xfId="25283"/>
    <cellStyle name="Total 2 11 18 3" xfId="25284"/>
    <cellStyle name="Total 2 11 18 4" xfId="25285"/>
    <cellStyle name="Total 2 11 18 5" xfId="25286"/>
    <cellStyle name="Total 2 11 19" xfId="25287"/>
    <cellStyle name="Total 2 11 2" xfId="637"/>
    <cellStyle name="Total 2 11 2 10" xfId="25288"/>
    <cellStyle name="Total 2 11 2 10 2" xfId="25289"/>
    <cellStyle name="Total 2 11 2 10 3" xfId="25290"/>
    <cellStyle name="Total 2 11 2 10 4" xfId="25291"/>
    <cellStyle name="Total 2 11 2 10 5" xfId="25292"/>
    <cellStyle name="Total 2 11 2 10 6" xfId="48140"/>
    <cellStyle name="Total 2 11 2 10 7" xfId="56162"/>
    <cellStyle name="Total 2 11 2 11" xfId="25293"/>
    <cellStyle name="Total 2 11 2 11 2" xfId="25294"/>
    <cellStyle name="Total 2 11 2 11 3" xfId="25295"/>
    <cellStyle name="Total 2 11 2 11 4" xfId="25296"/>
    <cellStyle name="Total 2 11 2 11 5" xfId="25297"/>
    <cellStyle name="Total 2 11 2 12" xfId="25298"/>
    <cellStyle name="Total 2 11 2 12 2" xfId="25299"/>
    <cellStyle name="Total 2 11 2 12 3" xfId="25300"/>
    <cellStyle name="Total 2 11 2 12 4" xfId="25301"/>
    <cellStyle name="Total 2 11 2 12 5" xfId="25302"/>
    <cellStyle name="Total 2 11 2 13" xfId="25303"/>
    <cellStyle name="Total 2 11 2 13 2" xfId="25304"/>
    <cellStyle name="Total 2 11 2 13 3" xfId="25305"/>
    <cellStyle name="Total 2 11 2 13 4" xfId="25306"/>
    <cellStyle name="Total 2 11 2 13 5" xfId="25307"/>
    <cellStyle name="Total 2 11 2 14" xfId="25308"/>
    <cellStyle name="Total 2 11 2 14 2" xfId="25309"/>
    <cellStyle name="Total 2 11 2 14 3" xfId="25310"/>
    <cellStyle name="Total 2 11 2 14 4" xfId="25311"/>
    <cellStyle name="Total 2 11 2 14 5" xfId="25312"/>
    <cellStyle name="Total 2 11 2 15" xfId="25313"/>
    <cellStyle name="Total 2 11 2 15 2" xfId="25314"/>
    <cellStyle name="Total 2 11 2 15 3" xfId="25315"/>
    <cellStyle name="Total 2 11 2 15 4" xfId="25316"/>
    <cellStyle name="Total 2 11 2 15 5" xfId="25317"/>
    <cellStyle name="Total 2 11 2 16" xfId="25318"/>
    <cellStyle name="Total 2 11 2 16 2" xfId="25319"/>
    <cellStyle name="Total 2 11 2 16 3" xfId="25320"/>
    <cellStyle name="Total 2 11 2 16 4" xfId="25321"/>
    <cellStyle name="Total 2 11 2 16 5" xfId="25322"/>
    <cellStyle name="Total 2 11 2 17" xfId="25323"/>
    <cellStyle name="Total 2 11 2 17 2" xfId="25324"/>
    <cellStyle name="Total 2 11 2 17 3" xfId="25325"/>
    <cellStyle name="Total 2 11 2 17 4" xfId="25326"/>
    <cellStyle name="Total 2 11 2 17 5" xfId="25327"/>
    <cellStyle name="Total 2 11 2 18" xfId="25328"/>
    <cellStyle name="Total 2 11 2 18 2" xfId="25329"/>
    <cellStyle name="Total 2 11 2 18 3" xfId="25330"/>
    <cellStyle name="Total 2 11 2 18 4" xfId="25331"/>
    <cellStyle name="Total 2 11 2 18 5" xfId="25332"/>
    <cellStyle name="Total 2 11 2 19" xfId="25333"/>
    <cellStyle name="Total 2 11 2 2" xfId="2708"/>
    <cellStyle name="Total 2 11 2 2 2" xfId="25334"/>
    <cellStyle name="Total 2 11 2 2 2 2" xfId="48142"/>
    <cellStyle name="Total 2 11 2 2 2 3" xfId="56164"/>
    <cellStyle name="Total 2 11 2 2 3" xfId="25335"/>
    <cellStyle name="Total 2 11 2 2 4" xfId="25336"/>
    <cellStyle name="Total 2 11 2 2 5" xfId="25337"/>
    <cellStyle name="Total 2 11 2 2 6" xfId="36440"/>
    <cellStyle name="Total 2 11 2 2 7" xfId="48141"/>
    <cellStyle name="Total 2 11 2 2 8" xfId="56163"/>
    <cellStyle name="Total 2 11 2 20" xfId="1065"/>
    <cellStyle name="Total 2 11 2 21" xfId="35145"/>
    <cellStyle name="Total 2 11 2 22" xfId="41365"/>
    <cellStyle name="Total 2 11 2 3" xfId="2709"/>
    <cellStyle name="Total 2 11 2 3 2" xfId="25338"/>
    <cellStyle name="Total 2 11 2 3 3" xfId="25339"/>
    <cellStyle name="Total 2 11 2 3 4" xfId="25340"/>
    <cellStyle name="Total 2 11 2 3 5" xfId="25341"/>
    <cellStyle name="Total 2 11 2 3 6" xfId="36937"/>
    <cellStyle name="Total 2 11 2 3 7" xfId="48143"/>
    <cellStyle name="Total 2 11 2 3 8" xfId="56165"/>
    <cellStyle name="Total 2 11 2 4" xfId="1412"/>
    <cellStyle name="Total 2 11 2 4 2" xfId="25342"/>
    <cellStyle name="Total 2 11 2 4 3" xfId="25343"/>
    <cellStyle name="Total 2 11 2 4 4" xfId="25344"/>
    <cellStyle name="Total 2 11 2 4 5" xfId="25345"/>
    <cellStyle name="Total 2 11 2 4 6" xfId="37553"/>
    <cellStyle name="Total 2 11 2 4 7" xfId="48144"/>
    <cellStyle name="Total 2 11 2 4 8" xfId="56166"/>
    <cellStyle name="Total 2 11 2 5" xfId="3482"/>
    <cellStyle name="Total 2 11 2 5 2" xfId="25346"/>
    <cellStyle name="Total 2 11 2 5 3" xfId="25347"/>
    <cellStyle name="Total 2 11 2 5 4" xfId="25348"/>
    <cellStyle name="Total 2 11 2 5 5" xfId="25349"/>
    <cellStyle name="Total 2 11 2 5 6" xfId="38170"/>
    <cellStyle name="Total 2 11 2 5 7" xfId="48145"/>
    <cellStyle name="Total 2 11 2 5 8" xfId="56167"/>
    <cellStyle name="Total 2 11 2 6" xfId="3800"/>
    <cellStyle name="Total 2 11 2 6 2" xfId="25350"/>
    <cellStyle name="Total 2 11 2 6 3" xfId="25351"/>
    <cellStyle name="Total 2 11 2 6 4" xfId="25352"/>
    <cellStyle name="Total 2 11 2 6 5" xfId="25353"/>
    <cellStyle name="Total 2 11 2 6 6" xfId="38788"/>
    <cellStyle name="Total 2 11 2 6 7" xfId="48146"/>
    <cellStyle name="Total 2 11 2 6 8" xfId="56168"/>
    <cellStyle name="Total 2 11 2 7" xfId="25354"/>
    <cellStyle name="Total 2 11 2 7 2" xfId="25355"/>
    <cellStyle name="Total 2 11 2 7 3" xfId="25356"/>
    <cellStyle name="Total 2 11 2 7 4" xfId="25357"/>
    <cellStyle name="Total 2 11 2 7 5" xfId="25358"/>
    <cellStyle name="Total 2 11 2 7 6" xfId="39408"/>
    <cellStyle name="Total 2 11 2 7 7" xfId="48147"/>
    <cellStyle name="Total 2 11 2 7 8" xfId="56169"/>
    <cellStyle name="Total 2 11 2 8" xfId="25359"/>
    <cellStyle name="Total 2 11 2 8 2" xfId="25360"/>
    <cellStyle name="Total 2 11 2 8 3" xfId="25361"/>
    <cellStyle name="Total 2 11 2 8 4" xfId="25362"/>
    <cellStyle name="Total 2 11 2 8 5" xfId="25363"/>
    <cellStyle name="Total 2 11 2 8 6" xfId="40024"/>
    <cellStyle name="Total 2 11 2 8 7" xfId="48148"/>
    <cellStyle name="Total 2 11 2 8 8" xfId="56170"/>
    <cellStyle name="Total 2 11 2 9" xfId="25364"/>
    <cellStyle name="Total 2 11 2 9 2" xfId="25365"/>
    <cellStyle name="Total 2 11 2 9 3" xfId="25366"/>
    <cellStyle name="Total 2 11 2 9 4" xfId="25367"/>
    <cellStyle name="Total 2 11 2 9 5" xfId="25368"/>
    <cellStyle name="Total 2 11 2 9 6" xfId="40639"/>
    <cellStyle name="Total 2 11 2 9 7" xfId="48149"/>
    <cellStyle name="Total 2 11 2 9 8" xfId="56171"/>
    <cellStyle name="Total 2 11 20" xfId="853"/>
    <cellStyle name="Total 2 11 21" xfId="34683"/>
    <cellStyle name="Total 2 11 22" xfId="40937"/>
    <cellStyle name="Total 2 11 23" xfId="41498"/>
    <cellStyle name="Total 2 11 24" xfId="50585"/>
    <cellStyle name="Total 2 11 3" xfId="2710"/>
    <cellStyle name="Total 2 11 3 10" xfId="34596"/>
    <cellStyle name="Total 2 11 3 10 2" xfId="48151"/>
    <cellStyle name="Total 2 11 3 10 3" xfId="56173"/>
    <cellStyle name="Total 2 11 3 11" xfId="41152"/>
    <cellStyle name="Total 2 11 3 12" xfId="48150"/>
    <cellStyle name="Total 2 11 3 13" xfId="56172"/>
    <cellStyle name="Total 2 11 3 2" xfId="2711"/>
    <cellStyle name="Total 2 11 3 2 2" xfId="36229"/>
    <cellStyle name="Total 2 11 3 2 3" xfId="48152"/>
    <cellStyle name="Total 2 11 3 2 4" xfId="56174"/>
    <cellStyle name="Total 2 11 3 3" xfId="2712"/>
    <cellStyle name="Total 2 11 3 3 2" xfId="36726"/>
    <cellStyle name="Total 2 11 3 3 3" xfId="48153"/>
    <cellStyle name="Total 2 11 3 3 4" xfId="56175"/>
    <cellStyle name="Total 2 11 3 4" xfId="25369"/>
    <cellStyle name="Total 2 11 3 4 2" xfId="37342"/>
    <cellStyle name="Total 2 11 3 4 3" xfId="48154"/>
    <cellStyle name="Total 2 11 3 4 4" xfId="56176"/>
    <cellStyle name="Total 2 11 3 5" xfId="25370"/>
    <cellStyle name="Total 2 11 3 5 2" xfId="37958"/>
    <cellStyle name="Total 2 11 3 5 3" xfId="48155"/>
    <cellStyle name="Total 2 11 3 5 4" xfId="56177"/>
    <cellStyle name="Total 2 11 3 6" xfId="38575"/>
    <cellStyle name="Total 2 11 3 6 2" xfId="48156"/>
    <cellStyle name="Total 2 11 3 6 3" xfId="56178"/>
    <cellStyle name="Total 2 11 3 7" xfId="39195"/>
    <cellStyle name="Total 2 11 3 7 2" xfId="48157"/>
    <cellStyle name="Total 2 11 3 7 3" xfId="56179"/>
    <cellStyle name="Total 2 11 3 8" xfId="39811"/>
    <cellStyle name="Total 2 11 3 8 2" xfId="48158"/>
    <cellStyle name="Total 2 11 3 8 3" xfId="56180"/>
    <cellStyle name="Total 2 11 3 9" xfId="40426"/>
    <cellStyle name="Total 2 11 3 9 2" xfId="48159"/>
    <cellStyle name="Total 2 11 3 9 3" xfId="56181"/>
    <cellStyle name="Total 2 11 4" xfId="2713"/>
    <cellStyle name="Total 2 11 4 10" xfId="48160"/>
    <cellStyle name="Total 2 11 4 11" xfId="56182"/>
    <cellStyle name="Total 2 11 4 2" xfId="25371"/>
    <cellStyle name="Total 2 11 4 2 2" xfId="48161"/>
    <cellStyle name="Total 2 11 4 2 3" xfId="56183"/>
    <cellStyle name="Total 2 11 4 3" xfId="25372"/>
    <cellStyle name="Total 2 11 4 3 2" xfId="48162"/>
    <cellStyle name="Total 2 11 4 3 3" xfId="56184"/>
    <cellStyle name="Total 2 11 4 4" xfId="25373"/>
    <cellStyle name="Total 2 11 4 4 2" xfId="48163"/>
    <cellStyle name="Total 2 11 4 4 3" xfId="56185"/>
    <cellStyle name="Total 2 11 4 5" xfId="25374"/>
    <cellStyle name="Total 2 11 4 5 2" xfId="48164"/>
    <cellStyle name="Total 2 11 4 5 3" xfId="56186"/>
    <cellStyle name="Total 2 11 4 6" xfId="36514"/>
    <cellStyle name="Total 2 11 4 6 2" xfId="48165"/>
    <cellStyle name="Total 2 11 4 6 3" xfId="56187"/>
    <cellStyle name="Total 2 11 4 7" xfId="48166"/>
    <cellStyle name="Total 2 11 4 7 2" xfId="56188"/>
    <cellStyle name="Total 2 11 4 8" xfId="48167"/>
    <cellStyle name="Total 2 11 4 8 2" xfId="56189"/>
    <cellStyle name="Total 2 11 4 9" xfId="48168"/>
    <cellStyle name="Total 2 11 4 9 2" xfId="56190"/>
    <cellStyle name="Total 2 11 5" xfId="1411"/>
    <cellStyle name="Total 2 11 5 2" xfId="25375"/>
    <cellStyle name="Total 2 11 5 3" xfId="25376"/>
    <cellStyle name="Total 2 11 5 4" xfId="25377"/>
    <cellStyle name="Total 2 11 5 5" xfId="25378"/>
    <cellStyle name="Total 2 11 5 6" xfId="37130"/>
    <cellStyle name="Total 2 11 5 7" xfId="48169"/>
    <cellStyle name="Total 2 11 5 8" xfId="56191"/>
    <cellStyle name="Total 2 11 6" xfId="3481"/>
    <cellStyle name="Total 2 11 6 2" xfId="25379"/>
    <cellStyle name="Total 2 11 6 3" xfId="25380"/>
    <cellStyle name="Total 2 11 6 4" xfId="25381"/>
    <cellStyle name="Total 2 11 6 5" xfId="25382"/>
    <cellStyle name="Total 2 11 6 6" xfId="37744"/>
    <cellStyle name="Total 2 11 6 7" xfId="48170"/>
    <cellStyle name="Total 2 11 6 8" xfId="56192"/>
    <cellStyle name="Total 2 11 7" xfId="3799"/>
    <cellStyle name="Total 2 11 7 2" xfId="25383"/>
    <cellStyle name="Total 2 11 7 3" xfId="25384"/>
    <cellStyle name="Total 2 11 7 4" xfId="25385"/>
    <cellStyle name="Total 2 11 7 5" xfId="25386"/>
    <cellStyle name="Total 2 11 7 6" xfId="38360"/>
    <cellStyle name="Total 2 11 7 7" xfId="48171"/>
    <cellStyle name="Total 2 11 7 8" xfId="56193"/>
    <cellStyle name="Total 2 11 8" xfId="25387"/>
    <cellStyle name="Total 2 11 8 2" xfId="25388"/>
    <cellStyle name="Total 2 11 8 3" xfId="25389"/>
    <cellStyle name="Total 2 11 8 4" xfId="25390"/>
    <cellStyle name="Total 2 11 8 5" xfId="25391"/>
    <cellStyle name="Total 2 11 8 6" xfId="38980"/>
    <cellStyle name="Total 2 11 8 7" xfId="48172"/>
    <cellStyle name="Total 2 11 8 8" xfId="56194"/>
    <cellStyle name="Total 2 11 9" xfId="25392"/>
    <cellStyle name="Total 2 11 9 2" xfId="25393"/>
    <cellStyle name="Total 2 11 9 3" xfId="25394"/>
    <cellStyle name="Total 2 11 9 4" xfId="25395"/>
    <cellStyle name="Total 2 11 9 5" xfId="25396"/>
    <cellStyle name="Total 2 11 9 6" xfId="39596"/>
    <cellStyle name="Total 2 11 9 7" xfId="48173"/>
    <cellStyle name="Total 2 11 9 8" xfId="56195"/>
    <cellStyle name="Total 2 12" xfId="470"/>
    <cellStyle name="Total 2 12 10" xfId="25397"/>
    <cellStyle name="Total 2 12 10 2" xfId="25398"/>
    <cellStyle name="Total 2 12 10 3" xfId="25399"/>
    <cellStyle name="Total 2 12 10 4" xfId="25400"/>
    <cellStyle name="Total 2 12 10 5" xfId="25401"/>
    <cellStyle name="Total 2 12 10 6" xfId="48174"/>
    <cellStyle name="Total 2 12 10 7" xfId="56196"/>
    <cellStyle name="Total 2 12 11" xfId="25402"/>
    <cellStyle name="Total 2 12 11 2" xfId="25403"/>
    <cellStyle name="Total 2 12 11 3" xfId="25404"/>
    <cellStyle name="Total 2 12 11 4" xfId="25405"/>
    <cellStyle name="Total 2 12 11 5" xfId="25406"/>
    <cellStyle name="Total 2 12 12" xfId="25407"/>
    <cellStyle name="Total 2 12 12 2" xfId="25408"/>
    <cellStyle name="Total 2 12 12 3" xfId="25409"/>
    <cellStyle name="Total 2 12 12 4" xfId="25410"/>
    <cellStyle name="Total 2 12 12 5" xfId="25411"/>
    <cellStyle name="Total 2 12 13" xfId="25412"/>
    <cellStyle name="Total 2 12 13 2" xfId="25413"/>
    <cellStyle name="Total 2 12 13 3" xfId="25414"/>
    <cellStyle name="Total 2 12 13 4" xfId="25415"/>
    <cellStyle name="Total 2 12 13 5" xfId="25416"/>
    <cellStyle name="Total 2 12 14" xfId="25417"/>
    <cellStyle name="Total 2 12 14 2" xfId="25418"/>
    <cellStyle name="Total 2 12 14 3" xfId="25419"/>
    <cellStyle name="Total 2 12 14 4" xfId="25420"/>
    <cellStyle name="Total 2 12 14 5" xfId="25421"/>
    <cellStyle name="Total 2 12 15" xfId="25422"/>
    <cellStyle name="Total 2 12 15 2" xfId="25423"/>
    <cellStyle name="Total 2 12 15 3" xfId="25424"/>
    <cellStyle name="Total 2 12 15 4" xfId="25425"/>
    <cellStyle name="Total 2 12 15 5" xfId="25426"/>
    <cellStyle name="Total 2 12 16" xfId="25427"/>
    <cellStyle name="Total 2 12 16 2" xfId="25428"/>
    <cellStyle name="Total 2 12 16 3" xfId="25429"/>
    <cellStyle name="Total 2 12 16 4" xfId="25430"/>
    <cellStyle name="Total 2 12 16 5" xfId="25431"/>
    <cellStyle name="Total 2 12 17" xfId="25432"/>
    <cellStyle name="Total 2 12 17 2" xfId="25433"/>
    <cellStyle name="Total 2 12 17 3" xfId="25434"/>
    <cellStyle name="Total 2 12 17 4" xfId="25435"/>
    <cellStyle name="Total 2 12 17 5" xfId="25436"/>
    <cellStyle name="Total 2 12 18" xfId="25437"/>
    <cellStyle name="Total 2 12 18 2" xfId="25438"/>
    <cellStyle name="Total 2 12 18 3" xfId="25439"/>
    <cellStyle name="Total 2 12 18 4" xfId="25440"/>
    <cellStyle name="Total 2 12 18 5" xfId="25441"/>
    <cellStyle name="Total 2 12 19" xfId="25442"/>
    <cellStyle name="Total 2 12 2" xfId="2714"/>
    <cellStyle name="Total 2 12 2 2" xfId="2715"/>
    <cellStyle name="Total 2 12 2 2 2" xfId="48176"/>
    <cellStyle name="Total 2 12 2 2 3" xfId="56198"/>
    <cellStyle name="Total 2 12 2 3" xfId="25443"/>
    <cellStyle name="Total 2 12 2 4" xfId="25444"/>
    <cellStyle name="Total 2 12 2 5" xfId="25445"/>
    <cellStyle name="Total 2 12 2 6" xfId="36274"/>
    <cellStyle name="Total 2 12 2 7" xfId="48175"/>
    <cellStyle name="Total 2 12 2 8" xfId="56197"/>
    <cellStyle name="Total 2 12 20" xfId="899"/>
    <cellStyle name="Total 2 12 21" xfId="34979"/>
    <cellStyle name="Total 2 12 22" xfId="40688"/>
    <cellStyle name="Total 2 12 23" xfId="41198"/>
    <cellStyle name="Total 2 12 3" xfId="2716"/>
    <cellStyle name="Total 2 12 3 2" xfId="25446"/>
    <cellStyle name="Total 2 12 3 3" xfId="25447"/>
    <cellStyle name="Total 2 12 3 4" xfId="25448"/>
    <cellStyle name="Total 2 12 3 5" xfId="25449"/>
    <cellStyle name="Total 2 12 3 6" xfId="36771"/>
    <cellStyle name="Total 2 12 3 7" xfId="48177"/>
    <cellStyle name="Total 2 12 3 8" xfId="56199"/>
    <cellStyle name="Total 2 12 4" xfId="2717"/>
    <cellStyle name="Total 2 12 4 2" xfId="25450"/>
    <cellStyle name="Total 2 12 4 3" xfId="25451"/>
    <cellStyle name="Total 2 12 4 4" xfId="25452"/>
    <cellStyle name="Total 2 12 4 5" xfId="25453"/>
    <cellStyle name="Total 2 12 4 6" xfId="37387"/>
    <cellStyle name="Total 2 12 4 7" xfId="48178"/>
    <cellStyle name="Total 2 12 4 8" xfId="56200"/>
    <cellStyle name="Total 2 12 5" xfId="1413"/>
    <cellStyle name="Total 2 12 5 2" xfId="25454"/>
    <cellStyle name="Total 2 12 5 3" xfId="25455"/>
    <cellStyle name="Total 2 12 5 4" xfId="25456"/>
    <cellStyle name="Total 2 12 5 5" xfId="25457"/>
    <cellStyle name="Total 2 12 5 6" xfId="38003"/>
    <cellStyle name="Total 2 12 5 7" xfId="48179"/>
    <cellStyle name="Total 2 12 5 8" xfId="56201"/>
    <cellStyle name="Total 2 12 6" xfId="3483"/>
    <cellStyle name="Total 2 12 6 2" xfId="25458"/>
    <cellStyle name="Total 2 12 6 3" xfId="25459"/>
    <cellStyle name="Total 2 12 6 4" xfId="25460"/>
    <cellStyle name="Total 2 12 6 5" xfId="25461"/>
    <cellStyle name="Total 2 12 6 6" xfId="38621"/>
    <cellStyle name="Total 2 12 6 7" xfId="48180"/>
    <cellStyle name="Total 2 12 6 8" xfId="56202"/>
    <cellStyle name="Total 2 12 7" xfId="3801"/>
    <cellStyle name="Total 2 12 7 2" xfId="25462"/>
    <cellStyle name="Total 2 12 7 3" xfId="25463"/>
    <cellStyle name="Total 2 12 7 4" xfId="25464"/>
    <cellStyle name="Total 2 12 7 5" xfId="25465"/>
    <cellStyle name="Total 2 12 7 6" xfId="39241"/>
    <cellStyle name="Total 2 12 7 7" xfId="48181"/>
    <cellStyle name="Total 2 12 7 8" xfId="56203"/>
    <cellStyle name="Total 2 12 8" xfId="25466"/>
    <cellStyle name="Total 2 12 8 2" xfId="25467"/>
    <cellStyle name="Total 2 12 8 3" xfId="25468"/>
    <cellStyle name="Total 2 12 8 4" xfId="25469"/>
    <cellStyle name="Total 2 12 8 5" xfId="25470"/>
    <cellStyle name="Total 2 12 8 6" xfId="39857"/>
    <cellStyle name="Total 2 12 8 7" xfId="48182"/>
    <cellStyle name="Total 2 12 8 8" xfId="56204"/>
    <cellStyle name="Total 2 12 9" xfId="25471"/>
    <cellStyle name="Total 2 12 9 2" xfId="25472"/>
    <cellStyle name="Total 2 12 9 3" xfId="25473"/>
    <cellStyle name="Total 2 12 9 4" xfId="25474"/>
    <cellStyle name="Total 2 12 9 5" xfId="25475"/>
    <cellStyle name="Total 2 12 9 6" xfId="40472"/>
    <cellStyle name="Total 2 12 9 7" xfId="48183"/>
    <cellStyle name="Total 2 12 9 8" xfId="56205"/>
    <cellStyle name="Total 2 13" xfId="2718"/>
    <cellStyle name="Total 2 13 10" xfId="34815"/>
    <cellStyle name="Total 2 13 10 2" xfId="48185"/>
    <cellStyle name="Total 2 13 10 3" xfId="56207"/>
    <cellStyle name="Total 2 13 11" xfId="40983"/>
    <cellStyle name="Total 2 13 12" xfId="48184"/>
    <cellStyle name="Total 2 13 13" xfId="56206"/>
    <cellStyle name="Total 2 13 2" xfId="2719"/>
    <cellStyle name="Total 2 13 2 2" xfId="36061"/>
    <cellStyle name="Total 2 13 2 3" xfId="48186"/>
    <cellStyle name="Total 2 13 2 4" xfId="56208"/>
    <cellStyle name="Total 2 13 3" xfId="2720"/>
    <cellStyle name="Total 2 13 3 2" xfId="36560"/>
    <cellStyle name="Total 2 13 3 3" xfId="48187"/>
    <cellStyle name="Total 2 13 3 4" xfId="56209"/>
    <cellStyle name="Total 2 13 4" xfId="25476"/>
    <cellStyle name="Total 2 13 4 2" xfId="37176"/>
    <cellStyle name="Total 2 13 4 3" xfId="48188"/>
    <cellStyle name="Total 2 13 4 4" xfId="56210"/>
    <cellStyle name="Total 2 13 5" xfId="25477"/>
    <cellStyle name="Total 2 13 5 2" xfId="37791"/>
    <cellStyle name="Total 2 13 5 3" xfId="48189"/>
    <cellStyle name="Total 2 13 5 4" xfId="56211"/>
    <cellStyle name="Total 2 13 6" xfId="38406"/>
    <cellStyle name="Total 2 13 6 2" xfId="48190"/>
    <cellStyle name="Total 2 13 6 3" xfId="56212"/>
    <cellStyle name="Total 2 13 7" xfId="39026"/>
    <cellStyle name="Total 2 13 7 2" xfId="48191"/>
    <cellStyle name="Total 2 13 7 3" xfId="56213"/>
    <cellStyle name="Total 2 13 8" xfId="39642"/>
    <cellStyle name="Total 2 13 8 2" xfId="48192"/>
    <cellStyle name="Total 2 13 8 3" xfId="56214"/>
    <cellStyle name="Total 2 13 9" xfId="40257"/>
    <cellStyle name="Total 2 13 9 2" xfId="48193"/>
    <cellStyle name="Total 2 13 9 3" xfId="56215"/>
    <cellStyle name="Total 2 14" xfId="2721"/>
    <cellStyle name="Total 2 14 10" xfId="48194"/>
    <cellStyle name="Total 2 14 11" xfId="56216"/>
    <cellStyle name="Total 2 14 2" xfId="2722"/>
    <cellStyle name="Total 2 14 2 2" xfId="48195"/>
    <cellStyle name="Total 2 14 2 3" xfId="56217"/>
    <cellStyle name="Total 2 14 3" xfId="2723"/>
    <cellStyle name="Total 2 14 3 2" xfId="48196"/>
    <cellStyle name="Total 2 14 3 3" xfId="56218"/>
    <cellStyle name="Total 2 14 4" xfId="25478"/>
    <cellStyle name="Total 2 14 4 2" xfId="48197"/>
    <cellStyle name="Total 2 14 4 3" xfId="56219"/>
    <cellStyle name="Total 2 14 5" xfId="25479"/>
    <cellStyle name="Total 2 14 5 2" xfId="48198"/>
    <cellStyle name="Total 2 14 5 3" xfId="56220"/>
    <cellStyle name="Total 2 14 6" xfId="35373"/>
    <cellStyle name="Total 2 14 6 2" xfId="48199"/>
    <cellStyle name="Total 2 14 6 3" xfId="56221"/>
    <cellStyle name="Total 2 14 7" xfId="48200"/>
    <cellStyle name="Total 2 14 7 2" xfId="56222"/>
    <cellStyle name="Total 2 14 8" xfId="48201"/>
    <cellStyle name="Total 2 14 8 2" xfId="56223"/>
    <cellStyle name="Total 2 14 9" xfId="48202"/>
    <cellStyle name="Total 2 14 9 2" xfId="56224"/>
    <cellStyle name="Total 2 15" xfId="1408"/>
    <cellStyle name="Total 2 15 2" xfId="25480"/>
    <cellStyle name="Total 2 15 3" xfId="25481"/>
    <cellStyle name="Total 2 15 4" xfId="25482"/>
    <cellStyle name="Total 2 15 5" xfId="25483"/>
    <cellStyle name="Total 2 15 6" xfId="35901"/>
    <cellStyle name="Total 2 15 7" xfId="48203"/>
    <cellStyle name="Total 2 15 8" xfId="56225"/>
    <cellStyle name="Total 2 16" xfId="3478"/>
    <cellStyle name="Total 2 16 2" xfId="25484"/>
    <cellStyle name="Total 2 16 3" xfId="25485"/>
    <cellStyle name="Total 2 16 4" xfId="25486"/>
    <cellStyle name="Total 2 16 5" xfId="25487"/>
    <cellStyle name="Total 2 16 6" xfId="35837"/>
    <cellStyle name="Total 2 16 7" xfId="48204"/>
    <cellStyle name="Total 2 16 8" xfId="56226"/>
    <cellStyle name="Total 2 17" xfId="3796"/>
    <cellStyle name="Total 2 17 2" xfId="25488"/>
    <cellStyle name="Total 2 17 3" xfId="25489"/>
    <cellStyle name="Total 2 17 4" xfId="25490"/>
    <cellStyle name="Total 2 17 5" xfId="25491"/>
    <cellStyle name="Total 2 17 6" xfId="36025"/>
    <cellStyle name="Total 2 17 7" xfId="48205"/>
    <cellStyle name="Total 2 17 8" xfId="56227"/>
    <cellStyle name="Total 2 18" xfId="25492"/>
    <cellStyle name="Total 2 18 2" xfId="25493"/>
    <cellStyle name="Total 2 18 3" xfId="25494"/>
    <cellStyle name="Total 2 18 4" xfId="25495"/>
    <cellStyle name="Total 2 18 5" xfId="25496"/>
    <cellStyle name="Total 2 18 6" xfId="48206"/>
    <cellStyle name="Total 2 18 7" xfId="56228"/>
    <cellStyle name="Total 2 19" xfId="25497"/>
    <cellStyle name="Total 2 19 2" xfId="25498"/>
    <cellStyle name="Total 2 19 3" xfId="25499"/>
    <cellStyle name="Total 2 19 4" xfId="25500"/>
    <cellStyle name="Total 2 19 5" xfId="25501"/>
    <cellStyle name="Total 2 19 6" xfId="48207"/>
    <cellStyle name="Total 2 19 7" xfId="56229"/>
    <cellStyle name="Total 2 2" xfId="238"/>
    <cellStyle name="Total 2 2 10" xfId="3802"/>
    <cellStyle name="Total 2 2 10 2" xfId="25502"/>
    <cellStyle name="Total 2 2 10 3" xfId="25503"/>
    <cellStyle name="Total 2 2 10 4" xfId="25504"/>
    <cellStyle name="Total 2 2 10 5" xfId="25505"/>
    <cellStyle name="Total 2 2 10 6" xfId="35835"/>
    <cellStyle name="Total 2 2 10 7" xfId="48208"/>
    <cellStyle name="Total 2 2 10 8" xfId="56230"/>
    <cellStyle name="Total 2 2 11" xfId="25506"/>
    <cellStyle name="Total 2 2 11 2" xfId="25507"/>
    <cellStyle name="Total 2 2 11 3" xfId="25508"/>
    <cellStyle name="Total 2 2 11 4" xfId="25509"/>
    <cellStyle name="Total 2 2 11 5" xfId="25510"/>
    <cellStyle name="Total 2 2 11 6" xfId="36030"/>
    <cellStyle name="Total 2 2 11 7" xfId="48209"/>
    <cellStyle name="Total 2 2 11 8" xfId="56231"/>
    <cellStyle name="Total 2 2 12" xfId="25511"/>
    <cellStyle name="Total 2 2 12 2" xfId="25512"/>
    <cellStyle name="Total 2 2 12 3" xfId="25513"/>
    <cellStyle name="Total 2 2 12 4" xfId="25514"/>
    <cellStyle name="Total 2 2 12 5" xfId="25515"/>
    <cellStyle name="Total 2 2 12 6" xfId="35906"/>
    <cellStyle name="Total 2 2 12 7" xfId="48210"/>
    <cellStyle name="Total 2 2 12 8" xfId="56232"/>
    <cellStyle name="Total 2 2 13" xfId="25516"/>
    <cellStyle name="Total 2 2 13 2" xfId="25517"/>
    <cellStyle name="Total 2 2 13 3" xfId="25518"/>
    <cellStyle name="Total 2 2 13 4" xfId="25519"/>
    <cellStyle name="Total 2 2 13 5" xfId="25520"/>
    <cellStyle name="Total 2 2 13 6" xfId="35884"/>
    <cellStyle name="Total 2 2 13 7" xfId="48211"/>
    <cellStyle name="Total 2 2 13 8" xfId="56233"/>
    <cellStyle name="Total 2 2 14" xfId="25521"/>
    <cellStyle name="Total 2 2 14 2" xfId="25522"/>
    <cellStyle name="Total 2 2 14 3" xfId="25523"/>
    <cellStyle name="Total 2 2 14 4" xfId="25524"/>
    <cellStyle name="Total 2 2 14 5" xfId="25525"/>
    <cellStyle name="Total 2 2 14 6" xfId="35872"/>
    <cellStyle name="Total 2 2 14 7" xfId="48212"/>
    <cellStyle name="Total 2 2 14 8" xfId="56234"/>
    <cellStyle name="Total 2 2 15" xfId="25526"/>
    <cellStyle name="Total 2 2 15 2" xfId="25527"/>
    <cellStyle name="Total 2 2 15 3" xfId="25528"/>
    <cellStyle name="Total 2 2 15 4" xfId="25529"/>
    <cellStyle name="Total 2 2 15 5" xfId="25530"/>
    <cellStyle name="Total 2 2 15 6" xfId="35875"/>
    <cellStyle name="Total 2 2 15 7" xfId="48213"/>
    <cellStyle name="Total 2 2 15 8" xfId="56235"/>
    <cellStyle name="Total 2 2 16" xfId="25531"/>
    <cellStyle name="Total 2 2 16 2" xfId="25532"/>
    <cellStyle name="Total 2 2 16 3" xfId="25533"/>
    <cellStyle name="Total 2 2 16 4" xfId="25534"/>
    <cellStyle name="Total 2 2 16 5" xfId="25535"/>
    <cellStyle name="Total 2 2 16 6" xfId="38262"/>
    <cellStyle name="Total 2 2 16 7" xfId="48214"/>
    <cellStyle name="Total 2 2 16 8" xfId="56236"/>
    <cellStyle name="Total 2 2 17" xfId="25536"/>
    <cellStyle name="Total 2 2 17 2" xfId="25537"/>
    <cellStyle name="Total 2 2 17 3" xfId="25538"/>
    <cellStyle name="Total 2 2 17 4" xfId="25539"/>
    <cellStyle name="Total 2 2 17 5" xfId="25540"/>
    <cellStyle name="Total 2 2 17 6" xfId="48215"/>
    <cellStyle name="Total 2 2 17 7" xfId="56237"/>
    <cellStyle name="Total 2 2 18" xfId="25541"/>
    <cellStyle name="Total 2 2 18 2" xfId="25542"/>
    <cellStyle name="Total 2 2 18 3" xfId="25543"/>
    <cellStyle name="Total 2 2 18 4" xfId="25544"/>
    <cellStyle name="Total 2 2 18 5" xfId="25545"/>
    <cellStyle name="Total 2 2 19" xfId="25546"/>
    <cellStyle name="Total 2 2 19 2" xfId="25547"/>
    <cellStyle name="Total 2 2 19 3" xfId="25548"/>
    <cellStyle name="Total 2 2 19 4" xfId="25549"/>
    <cellStyle name="Total 2 2 19 5" xfId="25550"/>
    <cellStyle name="Total 2 2 2" xfId="301"/>
    <cellStyle name="Total 2 2 2 10" xfId="25551"/>
    <cellStyle name="Total 2 2 2 10 2" xfId="25552"/>
    <cellStyle name="Total 2 2 2 10 3" xfId="25553"/>
    <cellStyle name="Total 2 2 2 10 4" xfId="25554"/>
    <cellStyle name="Total 2 2 2 10 5" xfId="25555"/>
    <cellStyle name="Total 2 2 2 10 6" xfId="37629"/>
    <cellStyle name="Total 2 2 2 10 7" xfId="48216"/>
    <cellStyle name="Total 2 2 2 10 8" xfId="56238"/>
    <cellStyle name="Total 2 2 2 11" xfId="25556"/>
    <cellStyle name="Total 2 2 2 11 2" xfId="25557"/>
    <cellStyle name="Total 2 2 2 11 3" xfId="25558"/>
    <cellStyle name="Total 2 2 2 11 4" xfId="25559"/>
    <cellStyle name="Total 2 2 2 11 5" xfId="25560"/>
    <cellStyle name="Total 2 2 2 11 6" xfId="38246"/>
    <cellStyle name="Total 2 2 2 11 7" xfId="48217"/>
    <cellStyle name="Total 2 2 2 11 8" xfId="56239"/>
    <cellStyle name="Total 2 2 2 12" xfId="25561"/>
    <cellStyle name="Total 2 2 2 12 2" xfId="25562"/>
    <cellStyle name="Total 2 2 2 12 3" xfId="25563"/>
    <cellStyle name="Total 2 2 2 12 4" xfId="25564"/>
    <cellStyle name="Total 2 2 2 12 5" xfId="25565"/>
    <cellStyle name="Total 2 2 2 12 6" xfId="38868"/>
    <cellStyle name="Total 2 2 2 12 7" xfId="48218"/>
    <cellStyle name="Total 2 2 2 12 8" xfId="56240"/>
    <cellStyle name="Total 2 2 2 13" xfId="25566"/>
    <cellStyle name="Total 2 2 2 13 2" xfId="25567"/>
    <cellStyle name="Total 2 2 2 13 3" xfId="25568"/>
    <cellStyle name="Total 2 2 2 13 4" xfId="25569"/>
    <cellStyle name="Total 2 2 2 13 5" xfId="25570"/>
    <cellStyle name="Total 2 2 2 13 6" xfId="39488"/>
    <cellStyle name="Total 2 2 2 13 7" xfId="48219"/>
    <cellStyle name="Total 2 2 2 13 8" xfId="56241"/>
    <cellStyle name="Total 2 2 2 14" xfId="25571"/>
    <cellStyle name="Total 2 2 2 14 2" xfId="25572"/>
    <cellStyle name="Total 2 2 2 14 3" xfId="25573"/>
    <cellStyle name="Total 2 2 2 14 4" xfId="25574"/>
    <cellStyle name="Total 2 2 2 14 5" xfId="25575"/>
    <cellStyle name="Total 2 2 2 14 6" xfId="40106"/>
    <cellStyle name="Total 2 2 2 14 7" xfId="48220"/>
    <cellStyle name="Total 2 2 2 14 8" xfId="56242"/>
    <cellStyle name="Total 2 2 2 15" xfId="25576"/>
    <cellStyle name="Total 2 2 2 15 2" xfId="25577"/>
    <cellStyle name="Total 2 2 2 15 3" xfId="25578"/>
    <cellStyle name="Total 2 2 2 15 4" xfId="25579"/>
    <cellStyle name="Total 2 2 2 15 5" xfId="25580"/>
    <cellStyle name="Total 2 2 2 15 6" xfId="48221"/>
    <cellStyle name="Total 2 2 2 15 7" xfId="56243"/>
    <cellStyle name="Total 2 2 2 16" xfId="25581"/>
    <cellStyle name="Total 2 2 2 16 2" xfId="25582"/>
    <cellStyle name="Total 2 2 2 16 3" xfId="25583"/>
    <cellStyle name="Total 2 2 2 16 4" xfId="25584"/>
    <cellStyle name="Total 2 2 2 16 5" xfId="25585"/>
    <cellStyle name="Total 2 2 2 17" xfId="25586"/>
    <cellStyle name="Total 2 2 2 17 2" xfId="25587"/>
    <cellStyle name="Total 2 2 2 17 3" xfId="25588"/>
    <cellStyle name="Total 2 2 2 17 4" xfId="25589"/>
    <cellStyle name="Total 2 2 2 17 5" xfId="25590"/>
    <cellStyle name="Total 2 2 2 18" xfId="25591"/>
    <cellStyle name="Total 2 2 2 19" xfId="746"/>
    <cellStyle name="Total 2 2 2 2" xfId="423"/>
    <cellStyle name="Total 2 2 2 2 10" xfId="25592"/>
    <cellStyle name="Total 2 2 2 2 10 2" xfId="25593"/>
    <cellStyle name="Total 2 2 2 2 10 3" xfId="25594"/>
    <cellStyle name="Total 2 2 2 2 10 4" xfId="25595"/>
    <cellStyle name="Total 2 2 2 2 10 5" xfId="25596"/>
    <cellStyle name="Total 2 2 2 2 10 6" xfId="39597"/>
    <cellStyle name="Total 2 2 2 2 10 7" xfId="48222"/>
    <cellStyle name="Total 2 2 2 2 10 8" xfId="56244"/>
    <cellStyle name="Total 2 2 2 2 11" xfId="25597"/>
    <cellStyle name="Total 2 2 2 2 11 2" xfId="25598"/>
    <cellStyle name="Total 2 2 2 2 11 3" xfId="25599"/>
    <cellStyle name="Total 2 2 2 2 11 4" xfId="25600"/>
    <cellStyle name="Total 2 2 2 2 11 5" xfId="25601"/>
    <cellStyle name="Total 2 2 2 2 11 6" xfId="40212"/>
    <cellStyle name="Total 2 2 2 2 11 7" xfId="48223"/>
    <cellStyle name="Total 2 2 2 2 11 8" xfId="56245"/>
    <cellStyle name="Total 2 2 2 2 12" xfId="25602"/>
    <cellStyle name="Total 2 2 2 2 12 2" xfId="25603"/>
    <cellStyle name="Total 2 2 2 2 12 3" xfId="25604"/>
    <cellStyle name="Total 2 2 2 2 12 4" xfId="25605"/>
    <cellStyle name="Total 2 2 2 2 12 5" xfId="25606"/>
    <cellStyle name="Total 2 2 2 2 12 6" xfId="48224"/>
    <cellStyle name="Total 2 2 2 2 12 7" xfId="56246"/>
    <cellStyle name="Total 2 2 2 2 13" xfId="25607"/>
    <cellStyle name="Total 2 2 2 2 13 2" xfId="25608"/>
    <cellStyle name="Total 2 2 2 2 13 3" xfId="25609"/>
    <cellStyle name="Total 2 2 2 2 13 4" xfId="25610"/>
    <cellStyle name="Total 2 2 2 2 13 5" xfId="25611"/>
    <cellStyle name="Total 2 2 2 2 13 6" xfId="48225"/>
    <cellStyle name="Total 2 2 2 2 13 7" xfId="56247"/>
    <cellStyle name="Total 2 2 2 2 14" xfId="25612"/>
    <cellStyle name="Total 2 2 2 2 14 2" xfId="25613"/>
    <cellStyle name="Total 2 2 2 2 14 3" xfId="25614"/>
    <cellStyle name="Total 2 2 2 2 14 4" xfId="25615"/>
    <cellStyle name="Total 2 2 2 2 14 5" xfId="25616"/>
    <cellStyle name="Total 2 2 2 2 15" xfId="25617"/>
    <cellStyle name="Total 2 2 2 2 15 2" xfId="25618"/>
    <cellStyle name="Total 2 2 2 2 15 3" xfId="25619"/>
    <cellStyle name="Total 2 2 2 2 15 4" xfId="25620"/>
    <cellStyle name="Total 2 2 2 2 15 5" xfId="25621"/>
    <cellStyle name="Total 2 2 2 2 16" xfId="25622"/>
    <cellStyle name="Total 2 2 2 2 16 2" xfId="25623"/>
    <cellStyle name="Total 2 2 2 2 16 3" xfId="25624"/>
    <cellStyle name="Total 2 2 2 2 16 4" xfId="25625"/>
    <cellStyle name="Total 2 2 2 2 16 5" xfId="25626"/>
    <cellStyle name="Total 2 2 2 2 17" xfId="25627"/>
    <cellStyle name="Total 2 2 2 2 17 2" xfId="25628"/>
    <cellStyle name="Total 2 2 2 2 17 3" xfId="25629"/>
    <cellStyle name="Total 2 2 2 2 17 4" xfId="25630"/>
    <cellStyle name="Total 2 2 2 2 17 5" xfId="25631"/>
    <cellStyle name="Total 2 2 2 2 18" xfId="25632"/>
    <cellStyle name="Total 2 2 2 2 18 2" xfId="25633"/>
    <cellStyle name="Total 2 2 2 2 18 3" xfId="25634"/>
    <cellStyle name="Total 2 2 2 2 18 4" xfId="25635"/>
    <cellStyle name="Total 2 2 2 2 18 5" xfId="25636"/>
    <cellStyle name="Total 2 2 2 2 19" xfId="25637"/>
    <cellStyle name="Total 2 2 2 2 2" xfId="638"/>
    <cellStyle name="Total 2 2 2 2 2 10" xfId="25638"/>
    <cellStyle name="Total 2 2 2 2 2 10 2" xfId="25639"/>
    <cellStyle name="Total 2 2 2 2 2 10 3" xfId="25640"/>
    <cellStyle name="Total 2 2 2 2 2 10 4" xfId="25641"/>
    <cellStyle name="Total 2 2 2 2 2 10 5" xfId="25642"/>
    <cellStyle name="Total 2 2 2 2 2 10 6" xfId="48226"/>
    <cellStyle name="Total 2 2 2 2 2 10 7" xfId="56248"/>
    <cellStyle name="Total 2 2 2 2 2 11" xfId="25643"/>
    <cellStyle name="Total 2 2 2 2 2 11 2" xfId="25644"/>
    <cellStyle name="Total 2 2 2 2 2 11 3" xfId="25645"/>
    <cellStyle name="Total 2 2 2 2 2 11 4" xfId="25646"/>
    <cellStyle name="Total 2 2 2 2 2 11 5" xfId="25647"/>
    <cellStyle name="Total 2 2 2 2 2 12" xfId="25648"/>
    <cellStyle name="Total 2 2 2 2 2 12 2" xfId="25649"/>
    <cellStyle name="Total 2 2 2 2 2 12 3" xfId="25650"/>
    <cellStyle name="Total 2 2 2 2 2 12 4" xfId="25651"/>
    <cellStyle name="Total 2 2 2 2 2 12 5" xfId="25652"/>
    <cellStyle name="Total 2 2 2 2 2 13" xfId="25653"/>
    <cellStyle name="Total 2 2 2 2 2 13 2" xfId="25654"/>
    <cellStyle name="Total 2 2 2 2 2 13 3" xfId="25655"/>
    <cellStyle name="Total 2 2 2 2 2 13 4" xfId="25656"/>
    <cellStyle name="Total 2 2 2 2 2 13 5" xfId="25657"/>
    <cellStyle name="Total 2 2 2 2 2 14" xfId="25658"/>
    <cellStyle name="Total 2 2 2 2 2 14 2" xfId="25659"/>
    <cellStyle name="Total 2 2 2 2 2 14 3" xfId="25660"/>
    <cellStyle name="Total 2 2 2 2 2 14 4" xfId="25661"/>
    <cellStyle name="Total 2 2 2 2 2 14 5" xfId="25662"/>
    <cellStyle name="Total 2 2 2 2 2 15" xfId="25663"/>
    <cellStyle name="Total 2 2 2 2 2 15 2" xfId="25664"/>
    <cellStyle name="Total 2 2 2 2 2 15 3" xfId="25665"/>
    <cellStyle name="Total 2 2 2 2 2 15 4" xfId="25666"/>
    <cellStyle name="Total 2 2 2 2 2 15 5" xfId="25667"/>
    <cellStyle name="Total 2 2 2 2 2 16" xfId="25668"/>
    <cellStyle name="Total 2 2 2 2 2 16 2" xfId="25669"/>
    <cellStyle name="Total 2 2 2 2 2 16 3" xfId="25670"/>
    <cellStyle name="Total 2 2 2 2 2 16 4" xfId="25671"/>
    <cellStyle name="Total 2 2 2 2 2 16 5" xfId="25672"/>
    <cellStyle name="Total 2 2 2 2 2 17" xfId="25673"/>
    <cellStyle name="Total 2 2 2 2 2 17 2" xfId="25674"/>
    <cellStyle name="Total 2 2 2 2 2 17 3" xfId="25675"/>
    <cellStyle name="Total 2 2 2 2 2 17 4" xfId="25676"/>
    <cellStyle name="Total 2 2 2 2 2 17 5" xfId="25677"/>
    <cellStyle name="Total 2 2 2 2 2 18" xfId="25678"/>
    <cellStyle name="Total 2 2 2 2 2 18 2" xfId="25679"/>
    <cellStyle name="Total 2 2 2 2 2 18 3" xfId="25680"/>
    <cellStyle name="Total 2 2 2 2 2 18 4" xfId="25681"/>
    <cellStyle name="Total 2 2 2 2 2 18 5" xfId="25682"/>
    <cellStyle name="Total 2 2 2 2 2 19" xfId="25683"/>
    <cellStyle name="Total 2 2 2 2 2 2" xfId="2724"/>
    <cellStyle name="Total 2 2 2 2 2 2 2" xfId="25684"/>
    <cellStyle name="Total 2 2 2 2 2 2 2 2" xfId="48228"/>
    <cellStyle name="Total 2 2 2 2 2 2 2 3" xfId="56250"/>
    <cellStyle name="Total 2 2 2 2 2 2 3" xfId="25685"/>
    <cellStyle name="Total 2 2 2 2 2 2 4" xfId="25686"/>
    <cellStyle name="Total 2 2 2 2 2 2 5" xfId="25687"/>
    <cellStyle name="Total 2 2 2 2 2 2 6" xfId="36441"/>
    <cellStyle name="Total 2 2 2 2 2 2 7" xfId="48227"/>
    <cellStyle name="Total 2 2 2 2 2 2 8" xfId="56249"/>
    <cellStyle name="Total 2 2 2 2 2 20" xfId="1066"/>
    <cellStyle name="Total 2 2 2 2 2 21" xfId="35146"/>
    <cellStyle name="Total 2 2 2 2 2 22" xfId="41366"/>
    <cellStyle name="Total 2 2 2 2 2 3" xfId="2725"/>
    <cellStyle name="Total 2 2 2 2 2 3 2" xfId="25688"/>
    <cellStyle name="Total 2 2 2 2 2 3 3" xfId="25689"/>
    <cellStyle name="Total 2 2 2 2 2 3 4" xfId="25690"/>
    <cellStyle name="Total 2 2 2 2 2 3 5" xfId="25691"/>
    <cellStyle name="Total 2 2 2 2 2 3 6" xfId="36938"/>
    <cellStyle name="Total 2 2 2 2 2 3 7" xfId="48229"/>
    <cellStyle name="Total 2 2 2 2 2 3 8" xfId="56251"/>
    <cellStyle name="Total 2 2 2 2 2 4" xfId="1417"/>
    <cellStyle name="Total 2 2 2 2 2 4 2" xfId="25692"/>
    <cellStyle name="Total 2 2 2 2 2 4 3" xfId="25693"/>
    <cellStyle name="Total 2 2 2 2 2 4 4" xfId="25694"/>
    <cellStyle name="Total 2 2 2 2 2 4 5" xfId="25695"/>
    <cellStyle name="Total 2 2 2 2 2 4 6" xfId="37554"/>
    <cellStyle name="Total 2 2 2 2 2 4 7" xfId="48230"/>
    <cellStyle name="Total 2 2 2 2 2 4 8" xfId="56252"/>
    <cellStyle name="Total 2 2 2 2 2 5" xfId="3487"/>
    <cellStyle name="Total 2 2 2 2 2 5 2" xfId="25696"/>
    <cellStyle name="Total 2 2 2 2 2 5 3" xfId="25697"/>
    <cellStyle name="Total 2 2 2 2 2 5 4" xfId="25698"/>
    <cellStyle name="Total 2 2 2 2 2 5 5" xfId="25699"/>
    <cellStyle name="Total 2 2 2 2 2 5 6" xfId="38171"/>
    <cellStyle name="Total 2 2 2 2 2 5 7" xfId="48231"/>
    <cellStyle name="Total 2 2 2 2 2 5 8" xfId="56253"/>
    <cellStyle name="Total 2 2 2 2 2 6" xfId="3805"/>
    <cellStyle name="Total 2 2 2 2 2 6 2" xfId="25700"/>
    <cellStyle name="Total 2 2 2 2 2 6 3" xfId="25701"/>
    <cellStyle name="Total 2 2 2 2 2 6 4" xfId="25702"/>
    <cellStyle name="Total 2 2 2 2 2 6 5" xfId="25703"/>
    <cellStyle name="Total 2 2 2 2 2 6 6" xfId="38789"/>
    <cellStyle name="Total 2 2 2 2 2 6 7" xfId="48232"/>
    <cellStyle name="Total 2 2 2 2 2 6 8" xfId="56254"/>
    <cellStyle name="Total 2 2 2 2 2 7" xfId="25704"/>
    <cellStyle name="Total 2 2 2 2 2 7 2" xfId="25705"/>
    <cellStyle name="Total 2 2 2 2 2 7 3" xfId="25706"/>
    <cellStyle name="Total 2 2 2 2 2 7 4" xfId="25707"/>
    <cellStyle name="Total 2 2 2 2 2 7 5" xfId="25708"/>
    <cellStyle name="Total 2 2 2 2 2 7 6" xfId="39409"/>
    <cellStyle name="Total 2 2 2 2 2 7 7" xfId="48233"/>
    <cellStyle name="Total 2 2 2 2 2 7 8" xfId="56255"/>
    <cellStyle name="Total 2 2 2 2 2 8" xfId="25709"/>
    <cellStyle name="Total 2 2 2 2 2 8 2" xfId="25710"/>
    <cellStyle name="Total 2 2 2 2 2 8 3" xfId="25711"/>
    <cellStyle name="Total 2 2 2 2 2 8 4" xfId="25712"/>
    <cellStyle name="Total 2 2 2 2 2 8 5" xfId="25713"/>
    <cellStyle name="Total 2 2 2 2 2 8 6" xfId="40025"/>
    <cellStyle name="Total 2 2 2 2 2 8 7" xfId="48234"/>
    <cellStyle name="Total 2 2 2 2 2 8 8" xfId="56256"/>
    <cellStyle name="Total 2 2 2 2 2 9" xfId="25714"/>
    <cellStyle name="Total 2 2 2 2 2 9 2" xfId="25715"/>
    <cellStyle name="Total 2 2 2 2 2 9 3" xfId="25716"/>
    <cellStyle name="Total 2 2 2 2 2 9 4" xfId="25717"/>
    <cellStyle name="Total 2 2 2 2 2 9 5" xfId="25718"/>
    <cellStyle name="Total 2 2 2 2 2 9 6" xfId="40640"/>
    <cellStyle name="Total 2 2 2 2 2 9 7" xfId="48235"/>
    <cellStyle name="Total 2 2 2 2 2 9 8" xfId="56257"/>
    <cellStyle name="Total 2 2 2 2 20" xfId="854"/>
    <cellStyle name="Total 2 2 2 2 21" xfId="34682"/>
    <cellStyle name="Total 2 2 2 2 22" xfId="40938"/>
    <cellStyle name="Total 2 2 2 2 23" xfId="41499"/>
    <cellStyle name="Total 2 2 2 2 24" xfId="50586"/>
    <cellStyle name="Total 2 2 2 2 3" xfId="2726"/>
    <cellStyle name="Total 2 2 2 2 3 10" xfId="34595"/>
    <cellStyle name="Total 2 2 2 2 3 10 2" xfId="48237"/>
    <cellStyle name="Total 2 2 2 2 3 10 3" xfId="56259"/>
    <cellStyle name="Total 2 2 2 2 3 11" xfId="41153"/>
    <cellStyle name="Total 2 2 2 2 3 12" xfId="48236"/>
    <cellStyle name="Total 2 2 2 2 3 13" xfId="56258"/>
    <cellStyle name="Total 2 2 2 2 3 2" xfId="2727"/>
    <cellStyle name="Total 2 2 2 2 3 2 2" xfId="36230"/>
    <cellStyle name="Total 2 2 2 2 3 2 3" xfId="48238"/>
    <cellStyle name="Total 2 2 2 2 3 2 4" xfId="56260"/>
    <cellStyle name="Total 2 2 2 2 3 3" xfId="2728"/>
    <cellStyle name="Total 2 2 2 2 3 3 2" xfId="36727"/>
    <cellStyle name="Total 2 2 2 2 3 3 3" xfId="48239"/>
    <cellStyle name="Total 2 2 2 2 3 3 4" xfId="56261"/>
    <cellStyle name="Total 2 2 2 2 3 4" xfId="25719"/>
    <cellStyle name="Total 2 2 2 2 3 4 2" xfId="37343"/>
    <cellStyle name="Total 2 2 2 2 3 4 3" xfId="48240"/>
    <cellStyle name="Total 2 2 2 2 3 4 4" xfId="56262"/>
    <cellStyle name="Total 2 2 2 2 3 5" xfId="25720"/>
    <cellStyle name="Total 2 2 2 2 3 5 2" xfId="37959"/>
    <cellStyle name="Total 2 2 2 2 3 5 3" xfId="48241"/>
    <cellStyle name="Total 2 2 2 2 3 5 4" xfId="56263"/>
    <cellStyle name="Total 2 2 2 2 3 6" xfId="38576"/>
    <cellStyle name="Total 2 2 2 2 3 6 2" xfId="48242"/>
    <cellStyle name="Total 2 2 2 2 3 6 3" xfId="56264"/>
    <cellStyle name="Total 2 2 2 2 3 7" xfId="39196"/>
    <cellStyle name="Total 2 2 2 2 3 7 2" xfId="48243"/>
    <cellStyle name="Total 2 2 2 2 3 7 3" xfId="56265"/>
    <cellStyle name="Total 2 2 2 2 3 8" xfId="39812"/>
    <cellStyle name="Total 2 2 2 2 3 8 2" xfId="48244"/>
    <cellStyle name="Total 2 2 2 2 3 8 3" xfId="56266"/>
    <cellStyle name="Total 2 2 2 2 3 9" xfId="40427"/>
    <cellStyle name="Total 2 2 2 2 3 9 2" xfId="48245"/>
    <cellStyle name="Total 2 2 2 2 3 9 3" xfId="56267"/>
    <cellStyle name="Total 2 2 2 2 4" xfId="2729"/>
    <cellStyle name="Total 2 2 2 2 4 10" xfId="48246"/>
    <cellStyle name="Total 2 2 2 2 4 11" xfId="56268"/>
    <cellStyle name="Total 2 2 2 2 4 2" xfId="25721"/>
    <cellStyle name="Total 2 2 2 2 4 2 2" xfId="48247"/>
    <cellStyle name="Total 2 2 2 2 4 2 3" xfId="56269"/>
    <cellStyle name="Total 2 2 2 2 4 3" xfId="25722"/>
    <cellStyle name="Total 2 2 2 2 4 3 2" xfId="48248"/>
    <cellStyle name="Total 2 2 2 2 4 3 3" xfId="56270"/>
    <cellStyle name="Total 2 2 2 2 4 4" xfId="25723"/>
    <cellStyle name="Total 2 2 2 2 4 4 2" xfId="48249"/>
    <cellStyle name="Total 2 2 2 2 4 4 3" xfId="56271"/>
    <cellStyle name="Total 2 2 2 2 4 5" xfId="25724"/>
    <cellStyle name="Total 2 2 2 2 4 5 2" xfId="48250"/>
    <cellStyle name="Total 2 2 2 2 4 5 3" xfId="56272"/>
    <cellStyle name="Total 2 2 2 2 4 6" xfId="35709"/>
    <cellStyle name="Total 2 2 2 2 4 6 2" xfId="48251"/>
    <cellStyle name="Total 2 2 2 2 4 6 3" xfId="56273"/>
    <cellStyle name="Total 2 2 2 2 4 7" xfId="48252"/>
    <cellStyle name="Total 2 2 2 2 4 7 2" xfId="56274"/>
    <cellStyle name="Total 2 2 2 2 4 8" xfId="48253"/>
    <cellStyle name="Total 2 2 2 2 4 8 2" xfId="56275"/>
    <cellStyle name="Total 2 2 2 2 4 9" xfId="48254"/>
    <cellStyle name="Total 2 2 2 2 4 9 2" xfId="56276"/>
    <cellStyle name="Total 2 2 2 2 5" xfId="1416"/>
    <cellStyle name="Total 2 2 2 2 5 2" xfId="25725"/>
    <cellStyle name="Total 2 2 2 2 5 3" xfId="25726"/>
    <cellStyle name="Total 2 2 2 2 5 4" xfId="25727"/>
    <cellStyle name="Total 2 2 2 2 5 5" xfId="25728"/>
    <cellStyle name="Total 2 2 2 2 5 6" xfId="36515"/>
    <cellStyle name="Total 2 2 2 2 5 7" xfId="48255"/>
    <cellStyle name="Total 2 2 2 2 5 8" xfId="56277"/>
    <cellStyle name="Total 2 2 2 2 6" xfId="3486"/>
    <cellStyle name="Total 2 2 2 2 6 2" xfId="25729"/>
    <cellStyle name="Total 2 2 2 2 6 3" xfId="25730"/>
    <cellStyle name="Total 2 2 2 2 6 4" xfId="25731"/>
    <cellStyle name="Total 2 2 2 2 6 5" xfId="25732"/>
    <cellStyle name="Total 2 2 2 2 6 6" xfId="37131"/>
    <cellStyle name="Total 2 2 2 2 6 7" xfId="48256"/>
    <cellStyle name="Total 2 2 2 2 6 8" xfId="56278"/>
    <cellStyle name="Total 2 2 2 2 7" xfId="3804"/>
    <cellStyle name="Total 2 2 2 2 7 2" xfId="25733"/>
    <cellStyle name="Total 2 2 2 2 7 3" xfId="25734"/>
    <cellStyle name="Total 2 2 2 2 7 4" xfId="25735"/>
    <cellStyle name="Total 2 2 2 2 7 5" xfId="25736"/>
    <cellStyle name="Total 2 2 2 2 7 6" xfId="37745"/>
    <cellStyle name="Total 2 2 2 2 7 7" xfId="48257"/>
    <cellStyle name="Total 2 2 2 2 7 8" xfId="56279"/>
    <cellStyle name="Total 2 2 2 2 8" xfId="25737"/>
    <cellStyle name="Total 2 2 2 2 8 2" xfId="25738"/>
    <cellStyle name="Total 2 2 2 2 8 3" xfId="25739"/>
    <cellStyle name="Total 2 2 2 2 8 4" xfId="25740"/>
    <cellStyle name="Total 2 2 2 2 8 5" xfId="25741"/>
    <cellStyle name="Total 2 2 2 2 8 6" xfId="38361"/>
    <cellStyle name="Total 2 2 2 2 8 7" xfId="48258"/>
    <cellStyle name="Total 2 2 2 2 8 8" xfId="56280"/>
    <cellStyle name="Total 2 2 2 2 9" xfId="25742"/>
    <cellStyle name="Total 2 2 2 2 9 2" xfId="25743"/>
    <cellStyle name="Total 2 2 2 2 9 3" xfId="25744"/>
    <cellStyle name="Total 2 2 2 2 9 4" xfId="25745"/>
    <cellStyle name="Total 2 2 2 2 9 5" xfId="25746"/>
    <cellStyle name="Total 2 2 2 2 9 6" xfId="38981"/>
    <cellStyle name="Total 2 2 2 2 9 7" xfId="48259"/>
    <cellStyle name="Total 2 2 2 2 9 8" xfId="56281"/>
    <cellStyle name="Total 2 2 2 20" xfId="34833"/>
    <cellStyle name="Total 2 2 2 21" xfId="40830"/>
    <cellStyle name="Total 2 2 2 3" xfId="424"/>
    <cellStyle name="Total 2 2 2 3 10" xfId="25747"/>
    <cellStyle name="Total 2 2 2 3 10 2" xfId="25748"/>
    <cellStyle name="Total 2 2 2 3 10 3" xfId="25749"/>
    <cellStyle name="Total 2 2 2 3 10 4" xfId="25750"/>
    <cellStyle name="Total 2 2 2 3 10 5" xfId="25751"/>
    <cellStyle name="Total 2 2 2 3 10 6" xfId="40213"/>
    <cellStyle name="Total 2 2 2 3 10 7" xfId="48260"/>
    <cellStyle name="Total 2 2 2 3 10 8" xfId="56282"/>
    <cellStyle name="Total 2 2 2 3 11" xfId="25752"/>
    <cellStyle name="Total 2 2 2 3 11 2" xfId="25753"/>
    <cellStyle name="Total 2 2 2 3 11 3" xfId="25754"/>
    <cellStyle name="Total 2 2 2 3 11 4" xfId="25755"/>
    <cellStyle name="Total 2 2 2 3 11 5" xfId="25756"/>
    <cellStyle name="Total 2 2 2 3 11 6" xfId="48261"/>
    <cellStyle name="Total 2 2 2 3 11 7" xfId="56283"/>
    <cellStyle name="Total 2 2 2 3 12" xfId="25757"/>
    <cellStyle name="Total 2 2 2 3 12 2" xfId="25758"/>
    <cellStyle name="Total 2 2 2 3 12 3" xfId="25759"/>
    <cellStyle name="Total 2 2 2 3 12 4" xfId="25760"/>
    <cellStyle name="Total 2 2 2 3 12 5" xfId="25761"/>
    <cellStyle name="Total 2 2 2 3 12 6" xfId="48262"/>
    <cellStyle name="Total 2 2 2 3 12 7" xfId="56284"/>
    <cellStyle name="Total 2 2 2 3 13" xfId="25762"/>
    <cellStyle name="Total 2 2 2 3 13 2" xfId="25763"/>
    <cellStyle name="Total 2 2 2 3 13 3" xfId="25764"/>
    <cellStyle name="Total 2 2 2 3 13 4" xfId="25765"/>
    <cellStyle name="Total 2 2 2 3 13 5" xfId="25766"/>
    <cellStyle name="Total 2 2 2 3 13 6" xfId="48263"/>
    <cellStyle name="Total 2 2 2 3 13 7" xfId="56285"/>
    <cellStyle name="Total 2 2 2 3 14" xfId="25767"/>
    <cellStyle name="Total 2 2 2 3 14 2" xfId="25768"/>
    <cellStyle name="Total 2 2 2 3 14 3" xfId="25769"/>
    <cellStyle name="Total 2 2 2 3 14 4" xfId="25770"/>
    <cellStyle name="Total 2 2 2 3 14 5" xfId="25771"/>
    <cellStyle name="Total 2 2 2 3 15" xfId="25772"/>
    <cellStyle name="Total 2 2 2 3 15 2" xfId="25773"/>
    <cellStyle name="Total 2 2 2 3 15 3" xfId="25774"/>
    <cellStyle name="Total 2 2 2 3 15 4" xfId="25775"/>
    <cellStyle name="Total 2 2 2 3 15 5" xfId="25776"/>
    <cellStyle name="Total 2 2 2 3 16" xfId="25777"/>
    <cellStyle name="Total 2 2 2 3 16 2" xfId="25778"/>
    <cellStyle name="Total 2 2 2 3 16 3" xfId="25779"/>
    <cellStyle name="Total 2 2 2 3 16 4" xfId="25780"/>
    <cellStyle name="Total 2 2 2 3 16 5" xfId="25781"/>
    <cellStyle name="Total 2 2 2 3 17" xfId="25782"/>
    <cellStyle name="Total 2 2 2 3 17 2" xfId="25783"/>
    <cellStyle name="Total 2 2 2 3 17 3" xfId="25784"/>
    <cellStyle name="Total 2 2 2 3 17 4" xfId="25785"/>
    <cellStyle name="Total 2 2 2 3 17 5" xfId="25786"/>
    <cellStyle name="Total 2 2 2 3 18" xfId="25787"/>
    <cellStyle name="Total 2 2 2 3 18 2" xfId="25788"/>
    <cellStyle name="Total 2 2 2 3 18 3" xfId="25789"/>
    <cellStyle name="Total 2 2 2 3 18 4" xfId="25790"/>
    <cellStyle name="Total 2 2 2 3 18 5" xfId="25791"/>
    <cellStyle name="Total 2 2 2 3 19" xfId="25792"/>
    <cellStyle name="Total 2 2 2 3 2" xfId="639"/>
    <cellStyle name="Total 2 2 2 3 2 10" xfId="25793"/>
    <cellStyle name="Total 2 2 2 3 2 10 2" xfId="25794"/>
    <cellStyle name="Total 2 2 2 3 2 10 3" xfId="25795"/>
    <cellStyle name="Total 2 2 2 3 2 10 4" xfId="25796"/>
    <cellStyle name="Total 2 2 2 3 2 10 5" xfId="25797"/>
    <cellStyle name="Total 2 2 2 3 2 10 6" xfId="48264"/>
    <cellStyle name="Total 2 2 2 3 2 10 7" xfId="56286"/>
    <cellStyle name="Total 2 2 2 3 2 11" xfId="25798"/>
    <cellStyle name="Total 2 2 2 3 2 11 2" xfId="25799"/>
    <cellStyle name="Total 2 2 2 3 2 11 3" xfId="25800"/>
    <cellStyle name="Total 2 2 2 3 2 11 4" xfId="25801"/>
    <cellStyle name="Total 2 2 2 3 2 11 5" xfId="25802"/>
    <cellStyle name="Total 2 2 2 3 2 12" xfId="25803"/>
    <cellStyle name="Total 2 2 2 3 2 12 2" xfId="25804"/>
    <cellStyle name="Total 2 2 2 3 2 12 3" xfId="25805"/>
    <cellStyle name="Total 2 2 2 3 2 12 4" xfId="25806"/>
    <cellStyle name="Total 2 2 2 3 2 12 5" xfId="25807"/>
    <cellStyle name="Total 2 2 2 3 2 13" xfId="25808"/>
    <cellStyle name="Total 2 2 2 3 2 13 2" xfId="25809"/>
    <cellStyle name="Total 2 2 2 3 2 13 3" xfId="25810"/>
    <cellStyle name="Total 2 2 2 3 2 13 4" xfId="25811"/>
    <cellStyle name="Total 2 2 2 3 2 13 5" xfId="25812"/>
    <cellStyle name="Total 2 2 2 3 2 14" xfId="25813"/>
    <cellStyle name="Total 2 2 2 3 2 14 2" xfId="25814"/>
    <cellStyle name="Total 2 2 2 3 2 14 3" xfId="25815"/>
    <cellStyle name="Total 2 2 2 3 2 14 4" xfId="25816"/>
    <cellStyle name="Total 2 2 2 3 2 14 5" xfId="25817"/>
    <cellStyle name="Total 2 2 2 3 2 15" xfId="25818"/>
    <cellStyle name="Total 2 2 2 3 2 15 2" xfId="25819"/>
    <cellStyle name="Total 2 2 2 3 2 15 3" xfId="25820"/>
    <cellStyle name="Total 2 2 2 3 2 15 4" xfId="25821"/>
    <cellStyle name="Total 2 2 2 3 2 15 5" xfId="25822"/>
    <cellStyle name="Total 2 2 2 3 2 16" xfId="25823"/>
    <cellStyle name="Total 2 2 2 3 2 16 2" xfId="25824"/>
    <cellStyle name="Total 2 2 2 3 2 16 3" xfId="25825"/>
    <cellStyle name="Total 2 2 2 3 2 16 4" xfId="25826"/>
    <cellStyle name="Total 2 2 2 3 2 16 5" xfId="25827"/>
    <cellStyle name="Total 2 2 2 3 2 17" xfId="25828"/>
    <cellStyle name="Total 2 2 2 3 2 17 2" xfId="25829"/>
    <cellStyle name="Total 2 2 2 3 2 17 3" xfId="25830"/>
    <cellStyle name="Total 2 2 2 3 2 17 4" xfId="25831"/>
    <cellStyle name="Total 2 2 2 3 2 17 5" xfId="25832"/>
    <cellStyle name="Total 2 2 2 3 2 18" xfId="25833"/>
    <cellStyle name="Total 2 2 2 3 2 18 2" xfId="25834"/>
    <cellStyle name="Total 2 2 2 3 2 18 3" xfId="25835"/>
    <cellStyle name="Total 2 2 2 3 2 18 4" xfId="25836"/>
    <cellStyle name="Total 2 2 2 3 2 18 5" xfId="25837"/>
    <cellStyle name="Total 2 2 2 3 2 19" xfId="25838"/>
    <cellStyle name="Total 2 2 2 3 2 2" xfId="2730"/>
    <cellStyle name="Total 2 2 2 3 2 2 2" xfId="25839"/>
    <cellStyle name="Total 2 2 2 3 2 2 2 2" xfId="48266"/>
    <cellStyle name="Total 2 2 2 3 2 2 2 3" xfId="56288"/>
    <cellStyle name="Total 2 2 2 3 2 2 3" xfId="25840"/>
    <cellStyle name="Total 2 2 2 3 2 2 4" xfId="25841"/>
    <cellStyle name="Total 2 2 2 3 2 2 5" xfId="25842"/>
    <cellStyle name="Total 2 2 2 3 2 2 6" xfId="36442"/>
    <cellStyle name="Total 2 2 2 3 2 2 7" xfId="48265"/>
    <cellStyle name="Total 2 2 2 3 2 2 8" xfId="56287"/>
    <cellStyle name="Total 2 2 2 3 2 20" xfId="1067"/>
    <cellStyle name="Total 2 2 2 3 2 21" xfId="35147"/>
    <cellStyle name="Total 2 2 2 3 2 22" xfId="41367"/>
    <cellStyle name="Total 2 2 2 3 2 3" xfId="2731"/>
    <cellStyle name="Total 2 2 2 3 2 3 2" xfId="25843"/>
    <cellStyle name="Total 2 2 2 3 2 3 3" xfId="25844"/>
    <cellStyle name="Total 2 2 2 3 2 3 4" xfId="25845"/>
    <cellStyle name="Total 2 2 2 3 2 3 5" xfId="25846"/>
    <cellStyle name="Total 2 2 2 3 2 3 6" xfId="36939"/>
    <cellStyle name="Total 2 2 2 3 2 3 7" xfId="48267"/>
    <cellStyle name="Total 2 2 2 3 2 3 8" xfId="56289"/>
    <cellStyle name="Total 2 2 2 3 2 4" xfId="1419"/>
    <cellStyle name="Total 2 2 2 3 2 4 2" xfId="25847"/>
    <cellStyle name="Total 2 2 2 3 2 4 3" xfId="25848"/>
    <cellStyle name="Total 2 2 2 3 2 4 4" xfId="25849"/>
    <cellStyle name="Total 2 2 2 3 2 4 5" xfId="25850"/>
    <cellStyle name="Total 2 2 2 3 2 4 6" xfId="37555"/>
    <cellStyle name="Total 2 2 2 3 2 4 7" xfId="48268"/>
    <cellStyle name="Total 2 2 2 3 2 4 8" xfId="56290"/>
    <cellStyle name="Total 2 2 2 3 2 5" xfId="3489"/>
    <cellStyle name="Total 2 2 2 3 2 5 2" xfId="25851"/>
    <cellStyle name="Total 2 2 2 3 2 5 3" xfId="25852"/>
    <cellStyle name="Total 2 2 2 3 2 5 4" xfId="25853"/>
    <cellStyle name="Total 2 2 2 3 2 5 5" xfId="25854"/>
    <cellStyle name="Total 2 2 2 3 2 5 6" xfId="38172"/>
    <cellStyle name="Total 2 2 2 3 2 5 7" xfId="48269"/>
    <cellStyle name="Total 2 2 2 3 2 5 8" xfId="56291"/>
    <cellStyle name="Total 2 2 2 3 2 6" xfId="3807"/>
    <cellStyle name="Total 2 2 2 3 2 6 2" xfId="25855"/>
    <cellStyle name="Total 2 2 2 3 2 6 3" xfId="25856"/>
    <cellStyle name="Total 2 2 2 3 2 6 4" xfId="25857"/>
    <cellStyle name="Total 2 2 2 3 2 6 5" xfId="25858"/>
    <cellStyle name="Total 2 2 2 3 2 6 6" xfId="38790"/>
    <cellStyle name="Total 2 2 2 3 2 6 7" xfId="48270"/>
    <cellStyle name="Total 2 2 2 3 2 6 8" xfId="56292"/>
    <cellStyle name="Total 2 2 2 3 2 7" xfId="25859"/>
    <cellStyle name="Total 2 2 2 3 2 7 2" xfId="25860"/>
    <cellStyle name="Total 2 2 2 3 2 7 3" xfId="25861"/>
    <cellStyle name="Total 2 2 2 3 2 7 4" xfId="25862"/>
    <cellStyle name="Total 2 2 2 3 2 7 5" xfId="25863"/>
    <cellStyle name="Total 2 2 2 3 2 7 6" xfId="39410"/>
    <cellStyle name="Total 2 2 2 3 2 7 7" xfId="48271"/>
    <cellStyle name="Total 2 2 2 3 2 7 8" xfId="56293"/>
    <cellStyle name="Total 2 2 2 3 2 8" xfId="25864"/>
    <cellStyle name="Total 2 2 2 3 2 8 2" xfId="25865"/>
    <cellStyle name="Total 2 2 2 3 2 8 3" xfId="25866"/>
    <cellStyle name="Total 2 2 2 3 2 8 4" xfId="25867"/>
    <cellStyle name="Total 2 2 2 3 2 8 5" xfId="25868"/>
    <cellStyle name="Total 2 2 2 3 2 8 6" xfId="40026"/>
    <cellStyle name="Total 2 2 2 3 2 8 7" xfId="48272"/>
    <cellStyle name="Total 2 2 2 3 2 8 8" xfId="56294"/>
    <cellStyle name="Total 2 2 2 3 2 9" xfId="25869"/>
    <cellStyle name="Total 2 2 2 3 2 9 2" xfId="25870"/>
    <cellStyle name="Total 2 2 2 3 2 9 3" xfId="25871"/>
    <cellStyle name="Total 2 2 2 3 2 9 4" xfId="25872"/>
    <cellStyle name="Total 2 2 2 3 2 9 5" xfId="25873"/>
    <cellStyle name="Total 2 2 2 3 2 9 6" xfId="40641"/>
    <cellStyle name="Total 2 2 2 3 2 9 7" xfId="48273"/>
    <cellStyle name="Total 2 2 2 3 2 9 8" xfId="56295"/>
    <cellStyle name="Total 2 2 2 3 20" xfId="855"/>
    <cellStyle name="Total 2 2 2 3 21" xfId="34681"/>
    <cellStyle name="Total 2 2 2 3 22" xfId="40939"/>
    <cellStyle name="Total 2 2 2 3 23" xfId="41500"/>
    <cellStyle name="Total 2 2 2 3 24" xfId="50587"/>
    <cellStyle name="Total 2 2 2 3 3" xfId="2732"/>
    <cellStyle name="Total 2 2 2 3 3 10" xfId="34594"/>
    <cellStyle name="Total 2 2 2 3 3 10 2" xfId="48275"/>
    <cellStyle name="Total 2 2 2 3 3 10 3" xfId="56297"/>
    <cellStyle name="Total 2 2 2 3 3 11" xfId="41154"/>
    <cellStyle name="Total 2 2 2 3 3 12" xfId="48274"/>
    <cellStyle name="Total 2 2 2 3 3 13" xfId="56296"/>
    <cellStyle name="Total 2 2 2 3 3 2" xfId="2733"/>
    <cellStyle name="Total 2 2 2 3 3 2 2" xfId="36231"/>
    <cellStyle name="Total 2 2 2 3 3 2 3" xfId="48276"/>
    <cellStyle name="Total 2 2 2 3 3 2 4" xfId="56298"/>
    <cellStyle name="Total 2 2 2 3 3 3" xfId="2734"/>
    <cellStyle name="Total 2 2 2 3 3 3 2" xfId="36728"/>
    <cellStyle name="Total 2 2 2 3 3 3 3" xfId="48277"/>
    <cellStyle name="Total 2 2 2 3 3 3 4" xfId="56299"/>
    <cellStyle name="Total 2 2 2 3 3 4" xfId="25874"/>
    <cellStyle name="Total 2 2 2 3 3 4 2" xfId="37344"/>
    <cellStyle name="Total 2 2 2 3 3 4 3" xfId="48278"/>
    <cellStyle name="Total 2 2 2 3 3 4 4" xfId="56300"/>
    <cellStyle name="Total 2 2 2 3 3 5" xfId="25875"/>
    <cellStyle name="Total 2 2 2 3 3 5 2" xfId="37960"/>
    <cellStyle name="Total 2 2 2 3 3 5 3" xfId="48279"/>
    <cellStyle name="Total 2 2 2 3 3 5 4" xfId="56301"/>
    <cellStyle name="Total 2 2 2 3 3 6" xfId="38577"/>
    <cellStyle name="Total 2 2 2 3 3 6 2" xfId="48280"/>
    <cellStyle name="Total 2 2 2 3 3 6 3" xfId="56302"/>
    <cellStyle name="Total 2 2 2 3 3 7" xfId="39197"/>
    <cellStyle name="Total 2 2 2 3 3 7 2" xfId="48281"/>
    <cellStyle name="Total 2 2 2 3 3 7 3" xfId="56303"/>
    <cellStyle name="Total 2 2 2 3 3 8" xfId="39813"/>
    <cellStyle name="Total 2 2 2 3 3 8 2" xfId="48282"/>
    <cellStyle name="Total 2 2 2 3 3 8 3" xfId="56304"/>
    <cellStyle name="Total 2 2 2 3 3 9" xfId="40428"/>
    <cellStyle name="Total 2 2 2 3 3 9 2" xfId="48283"/>
    <cellStyle name="Total 2 2 2 3 3 9 3" xfId="56305"/>
    <cellStyle name="Total 2 2 2 3 4" xfId="2735"/>
    <cellStyle name="Total 2 2 2 3 4 10" xfId="48284"/>
    <cellStyle name="Total 2 2 2 3 4 11" xfId="56306"/>
    <cellStyle name="Total 2 2 2 3 4 2" xfId="25876"/>
    <cellStyle name="Total 2 2 2 3 4 2 2" xfId="48285"/>
    <cellStyle name="Total 2 2 2 3 4 2 3" xfId="56307"/>
    <cellStyle name="Total 2 2 2 3 4 3" xfId="25877"/>
    <cellStyle name="Total 2 2 2 3 4 3 2" xfId="48286"/>
    <cellStyle name="Total 2 2 2 3 4 3 3" xfId="56308"/>
    <cellStyle name="Total 2 2 2 3 4 4" xfId="25878"/>
    <cellStyle name="Total 2 2 2 3 4 4 2" xfId="48287"/>
    <cellStyle name="Total 2 2 2 3 4 4 3" xfId="56309"/>
    <cellStyle name="Total 2 2 2 3 4 5" xfId="25879"/>
    <cellStyle name="Total 2 2 2 3 4 5 2" xfId="48288"/>
    <cellStyle name="Total 2 2 2 3 4 5 3" xfId="56310"/>
    <cellStyle name="Total 2 2 2 3 4 6" xfId="36516"/>
    <cellStyle name="Total 2 2 2 3 4 6 2" xfId="48289"/>
    <cellStyle name="Total 2 2 2 3 4 6 3" xfId="56311"/>
    <cellStyle name="Total 2 2 2 3 4 7" xfId="48290"/>
    <cellStyle name="Total 2 2 2 3 4 7 2" xfId="56312"/>
    <cellStyle name="Total 2 2 2 3 4 8" xfId="48291"/>
    <cellStyle name="Total 2 2 2 3 4 8 2" xfId="56313"/>
    <cellStyle name="Total 2 2 2 3 4 9" xfId="48292"/>
    <cellStyle name="Total 2 2 2 3 4 9 2" xfId="56314"/>
    <cellStyle name="Total 2 2 2 3 5" xfId="1418"/>
    <cellStyle name="Total 2 2 2 3 5 2" xfId="25880"/>
    <cellStyle name="Total 2 2 2 3 5 3" xfId="25881"/>
    <cellStyle name="Total 2 2 2 3 5 4" xfId="25882"/>
    <cellStyle name="Total 2 2 2 3 5 5" xfId="25883"/>
    <cellStyle name="Total 2 2 2 3 5 6" xfId="37132"/>
    <cellStyle name="Total 2 2 2 3 5 7" xfId="48293"/>
    <cellStyle name="Total 2 2 2 3 5 8" xfId="56315"/>
    <cellStyle name="Total 2 2 2 3 6" xfId="3488"/>
    <cellStyle name="Total 2 2 2 3 6 2" xfId="25884"/>
    <cellStyle name="Total 2 2 2 3 6 3" xfId="25885"/>
    <cellStyle name="Total 2 2 2 3 6 4" xfId="25886"/>
    <cellStyle name="Total 2 2 2 3 6 5" xfId="25887"/>
    <cellStyle name="Total 2 2 2 3 6 6" xfId="37746"/>
    <cellStyle name="Total 2 2 2 3 6 7" xfId="48294"/>
    <cellStyle name="Total 2 2 2 3 6 8" xfId="56316"/>
    <cellStyle name="Total 2 2 2 3 7" xfId="3806"/>
    <cellStyle name="Total 2 2 2 3 7 2" xfId="25888"/>
    <cellStyle name="Total 2 2 2 3 7 3" xfId="25889"/>
    <cellStyle name="Total 2 2 2 3 7 4" xfId="25890"/>
    <cellStyle name="Total 2 2 2 3 7 5" xfId="25891"/>
    <cellStyle name="Total 2 2 2 3 7 6" xfId="38362"/>
    <cellStyle name="Total 2 2 2 3 7 7" xfId="48295"/>
    <cellStyle name="Total 2 2 2 3 7 8" xfId="56317"/>
    <cellStyle name="Total 2 2 2 3 8" xfId="25892"/>
    <cellStyle name="Total 2 2 2 3 8 2" xfId="25893"/>
    <cellStyle name="Total 2 2 2 3 8 3" xfId="25894"/>
    <cellStyle name="Total 2 2 2 3 8 4" xfId="25895"/>
    <cellStyle name="Total 2 2 2 3 8 5" xfId="25896"/>
    <cellStyle name="Total 2 2 2 3 8 6" xfId="38982"/>
    <cellStyle name="Total 2 2 2 3 8 7" xfId="48296"/>
    <cellStyle name="Total 2 2 2 3 8 8" xfId="56318"/>
    <cellStyle name="Total 2 2 2 3 9" xfId="25897"/>
    <cellStyle name="Total 2 2 2 3 9 2" xfId="25898"/>
    <cellStyle name="Total 2 2 2 3 9 3" xfId="25899"/>
    <cellStyle name="Total 2 2 2 3 9 4" xfId="25900"/>
    <cellStyle name="Total 2 2 2 3 9 5" xfId="25901"/>
    <cellStyle name="Total 2 2 2 3 9 6" xfId="39598"/>
    <cellStyle name="Total 2 2 2 3 9 7" xfId="48297"/>
    <cellStyle name="Total 2 2 2 3 9 8" xfId="56319"/>
    <cellStyle name="Total 2 2 2 4" xfId="531"/>
    <cellStyle name="Total 2 2 2 4 10" xfId="25902"/>
    <cellStyle name="Total 2 2 2 4 10 2" xfId="25903"/>
    <cellStyle name="Total 2 2 2 4 10 3" xfId="25904"/>
    <cellStyle name="Total 2 2 2 4 10 4" xfId="25905"/>
    <cellStyle name="Total 2 2 2 4 10 5" xfId="25906"/>
    <cellStyle name="Total 2 2 2 4 10 6" xfId="48298"/>
    <cellStyle name="Total 2 2 2 4 10 7" xfId="56320"/>
    <cellStyle name="Total 2 2 2 4 11" xfId="25907"/>
    <cellStyle name="Total 2 2 2 4 11 2" xfId="25908"/>
    <cellStyle name="Total 2 2 2 4 11 3" xfId="25909"/>
    <cellStyle name="Total 2 2 2 4 11 4" xfId="25910"/>
    <cellStyle name="Total 2 2 2 4 11 5" xfId="25911"/>
    <cellStyle name="Total 2 2 2 4 12" xfId="25912"/>
    <cellStyle name="Total 2 2 2 4 12 2" xfId="25913"/>
    <cellStyle name="Total 2 2 2 4 12 3" xfId="25914"/>
    <cellStyle name="Total 2 2 2 4 12 4" xfId="25915"/>
    <cellStyle name="Total 2 2 2 4 12 5" xfId="25916"/>
    <cellStyle name="Total 2 2 2 4 13" xfId="25917"/>
    <cellStyle name="Total 2 2 2 4 13 2" xfId="25918"/>
    <cellStyle name="Total 2 2 2 4 13 3" xfId="25919"/>
    <cellStyle name="Total 2 2 2 4 13 4" xfId="25920"/>
    <cellStyle name="Total 2 2 2 4 13 5" xfId="25921"/>
    <cellStyle name="Total 2 2 2 4 14" xfId="25922"/>
    <cellStyle name="Total 2 2 2 4 14 2" xfId="25923"/>
    <cellStyle name="Total 2 2 2 4 14 3" xfId="25924"/>
    <cellStyle name="Total 2 2 2 4 14 4" xfId="25925"/>
    <cellStyle name="Total 2 2 2 4 14 5" xfId="25926"/>
    <cellStyle name="Total 2 2 2 4 15" xfId="25927"/>
    <cellStyle name="Total 2 2 2 4 15 2" xfId="25928"/>
    <cellStyle name="Total 2 2 2 4 15 3" xfId="25929"/>
    <cellStyle name="Total 2 2 2 4 15 4" xfId="25930"/>
    <cellStyle name="Total 2 2 2 4 15 5" xfId="25931"/>
    <cellStyle name="Total 2 2 2 4 16" xfId="25932"/>
    <cellStyle name="Total 2 2 2 4 16 2" xfId="25933"/>
    <cellStyle name="Total 2 2 2 4 16 3" xfId="25934"/>
    <cellStyle name="Total 2 2 2 4 16 4" xfId="25935"/>
    <cellStyle name="Total 2 2 2 4 16 5" xfId="25936"/>
    <cellStyle name="Total 2 2 2 4 17" xfId="25937"/>
    <cellStyle name="Total 2 2 2 4 17 2" xfId="25938"/>
    <cellStyle name="Total 2 2 2 4 17 3" xfId="25939"/>
    <cellStyle name="Total 2 2 2 4 17 4" xfId="25940"/>
    <cellStyle name="Total 2 2 2 4 17 5" xfId="25941"/>
    <cellStyle name="Total 2 2 2 4 18" xfId="25942"/>
    <cellStyle name="Total 2 2 2 4 18 2" xfId="25943"/>
    <cellStyle name="Total 2 2 2 4 18 3" xfId="25944"/>
    <cellStyle name="Total 2 2 2 4 18 4" xfId="25945"/>
    <cellStyle name="Total 2 2 2 4 18 5" xfId="25946"/>
    <cellStyle name="Total 2 2 2 4 19" xfId="25947"/>
    <cellStyle name="Total 2 2 2 4 2" xfId="2736"/>
    <cellStyle name="Total 2 2 2 4 2 2" xfId="25948"/>
    <cellStyle name="Total 2 2 2 4 2 2 2" xfId="48300"/>
    <cellStyle name="Total 2 2 2 4 2 2 3" xfId="56322"/>
    <cellStyle name="Total 2 2 2 4 2 3" xfId="25949"/>
    <cellStyle name="Total 2 2 2 4 2 4" xfId="25950"/>
    <cellStyle name="Total 2 2 2 4 2 5" xfId="25951"/>
    <cellStyle name="Total 2 2 2 4 2 6" xfId="36335"/>
    <cellStyle name="Total 2 2 2 4 2 7" xfId="48299"/>
    <cellStyle name="Total 2 2 2 4 2 8" xfId="56321"/>
    <cellStyle name="Total 2 2 2 4 20" xfId="960"/>
    <cellStyle name="Total 2 2 2 4 21" xfId="35040"/>
    <cellStyle name="Total 2 2 2 4 22" xfId="40749"/>
    <cellStyle name="Total 2 2 2 4 23" xfId="41259"/>
    <cellStyle name="Total 2 2 2 4 3" xfId="2737"/>
    <cellStyle name="Total 2 2 2 4 3 2" xfId="25952"/>
    <cellStyle name="Total 2 2 2 4 3 3" xfId="25953"/>
    <cellStyle name="Total 2 2 2 4 3 4" xfId="25954"/>
    <cellStyle name="Total 2 2 2 4 3 5" xfId="25955"/>
    <cellStyle name="Total 2 2 2 4 3 6" xfId="36832"/>
    <cellStyle name="Total 2 2 2 4 3 7" xfId="48301"/>
    <cellStyle name="Total 2 2 2 4 3 8" xfId="56323"/>
    <cellStyle name="Total 2 2 2 4 4" xfId="1420"/>
    <cellStyle name="Total 2 2 2 4 4 2" xfId="25956"/>
    <cellStyle name="Total 2 2 2 4 4 3" xfId="25957"/>
    <cellStyle name="Total 2 2 2 4 4 4" xfId="25958"/>
    <cellStyle name="Total 2 2 2 4 4 5" xfId="25959"/>
    <cellStyle name="Total 2 2 2 4 4 6" xfId="37448"/>
    <cellStyle name="Total 2 2 2 4 4 7" xfId="48302"/>
    <cellStyle name="Total 2 2 2 4 4 8" xfId="56324"/>
    <cellStyle name="Total 2 2 2 4 5" xfId="3490"/>
    <cellStyle name="Total 2 2 2 4 5 2" xfId="25960"/>
    <cellStyle name="Total 2 2 2 4 5 3" xfId="25961"/>
    <cellStyle name="Total 2 2 2 4 5 4" xfId="25962"/>
    <cellStyle name="Total 2 2 2 4 5 5" xfId="25963"/>
    <cellStyle name="Total 2 2 2 4 5 6" xfId="38064"/>
    <cellStyle name="Total 2 2 2 4 5 7" xfId="48303"/>
    <cellStyle name="Total 2 2 2 4 5 8" xfId="56325"/>
    <cellStyle name="Total 2 2 2 4 6" xfId="3808"/>
    <cellStyle name="Total 2 2 2 4 6 2" xfId="25964"/>
    <cellStyle name="Total 2 2 2 4 6 3" xfId="25965"/>
    <cellStyle name="Total 2 2 2 4 6 4" xfId="25966"/>
    <cellStyle name="Total 2 2 2 4 6 5" xfId="25967"/>
    <cellStyle name="Total 2 2 2 4 6 6" xfId="38682"/>
    <cellStyle name="Total 2 2 2 4 6 7" xfId="48304"/>
    <cellStyle name="Total 2 2 2 4 6 8" xfId="56326"/>
    <cellStyle name="Total 2 2 2 4 7" xfId="25968"/>
    <cellStyle name="Total 2 2 2 4 7 2" xfId="25969"/>
    <cellStyle name="Total 2 2 2 4 7 3" xfId="25970"/>
    <cellStyle name="Total 2 2 2 4 7 4" xfId="25971"/>
    <cellStyle name="Total 2 2 2 4 7 5" xfId="25972"/>
    <cellStyle name="Total 2 2 2 4 7 6" xfId="39302"/>
    <cellStyle name="Total 2 2 2 4 7 7" xfId="48305"/>
    <cellStyle name="Total 2 2 2 4 7 8" xfId="56327"/>
    <cellStyle name="Total 2 2 2 4 8" xfId="25973"/>
    <cellStyle name="Total 2 2 2 4 8 2" xfId="25974"/>
    <cellStyle name="Total 2 2 2 4 8 3" xfId="25975"/>
    <cellStyle name="Total 2 2 2 4 8 4" xfId="25976"/>
    <cellStyle name="Total 2 2 2 4 8 5" xfId="25977"/>
    <cellStyle name="Total 2 2 2 4 8 6" xfId="39918"/>
    <cellStyle name="Total 2 2 2 4 8 7" xfId="48306"/>
    <cellStyle name="Total 2 2 2 4 8 8" xfId="56328"/>
    <cellStyle name="Total 2 2 2 4 9" xfId="25978"/>
    <cellStyle name="Total 2 2 2 4 9 2" xfId="25979"/>
    <cellStyle name="Total 2 2 2 4 9 3" xfId="25980"/>
    <cellStyle name="Total 2 2 2 4 9 4" xfId="25981"/>
    <cellStyle name="Total 2 2 2 4 9 5" xfId="25982"/>
    <cellStyle name="Total 2 2 2 4 9 6" xfId="40533"/>
    <cellStyle name="Total 2 2 2 4 9 7" xfId="48307"/>
    <cellStyle name="Total 2 2 2 4 9 8" xfId="56329"/>
    <cellStyle name="Total 2 2 2 5" xfId="2738"/>
    <cellStyle name="Total 2 2 2 5 10" xfId="34644"/>
    <cellStyle name="Total 2 2 2 5 10 2" xfId="48309"/>
    <cellStyle name="Total 2 2 2 5 10 3" xfId="56331"/>
    <cellStyle name="Total 2 2 2 5 11" xfId="41045"/>
    <cellStyle name="Total 2 2 2 5 12" xfId="48308"/>
    <cellStyle name="Total 2 2 2 5 13" xfId="56330"/>
    <cellStyle name="Total 2 2 2 5 2" xfId="2739"/>
    <cellStyle name="Total 2 2 2 5 2 2" xfId="36122"/>
    <cellStyle name="Total 2 2 2 5 2 3" xfId="48310"/>
    <cellStyle name="Total 2 2 2 5 2 4" xfId="56332"/>
    <cellStyle name="Total 2 2 2 5 3" xfId="2740"/>
    <cellStyle name="Total 2 2 2 5 3 2" xfId="36621"/>
    <cellStyle name="Total 2 2 2 5 3 3" xfId="48311"/>
    <cellStyle name="Total 2 2 2 5 3 4" xfId="56333"/>
    <cellStyle name="Total 2 2 2 5 4" xfId="25983"/>
    <cellStyle name="Total 2 2 2 5 4 2" xfId="37237"/>
    <cellStyle name="Total 2 2 2 5 4 3" xfId="48312"/>
    <cellStyle name="Total 2 2 2 5 4 4" xfId="56334"/>
    <cellStyle name="Total 2 2 2 5 5" xfId="25984"/>
    <cellStyle name="Total 2 2 2 5 5 2" xfId="37853"/>
    <cellStyle name="Total 2 2 2 5 5 3" xfId="48313"/>
    <cellStyle name="Total 2 2 2 5 5 4" xfId="56335"/>
    <cellStyle name="Total 2 2 2 5 6" xfId="38468"/>
    <cellStyle name="Total 2 2 2 5 6 2" xfId="48314"/>
    <cellStyle name="Total 2 2 2 5 6 3" xfId="56336"/>
    <cellStyle name="Total 2 2 2 5 7" xfId="39088"/>
    <cellStyle name="Total 2 2 2 5 7 2" xfId="48315"/>
    <cellStyle name="Total 2 2 2 5 7 3" xfId="56337"/>
    <cellStyle name="Total 2 2 2 5 8" xfId="39704"/>
    <cellStyle name="Total 2 2 2 5 8 2" xfId="48316"/>
    <cellStyle name="Total 2 2 2 5 8 3" xfId="56338"/>
    <cellStyle name="Total 2 2 2 5 9" xfId="40319"/>
    <cellStyle name="Total 2 2 2 5 9 2" xfId="48317"/>
    <cellStyle name="Total 2 2 2 5 9 3" xfId="56339"/>
    <cellStyle name="Total 2 2 2 6" xfId="1415"/>
    <cellStyle name="Total 2 2 2 6 10" xfId="48318"/>
    <cellStyle name="Total 2 2 2 6 11" xfId="56340"/>
    <cellStyle name="Total 2 2 2 6 2" xfId="25985"/>
    <cellStyle name="Total 2 2 2 6 2 2" xfId="48319"/>
    <cellStyle name="Total 2 2 2 6 2 3" xfId="56341"/>
    <cellStyle name="Total 2 2 2 6 3" xfId="25986"/>
    <cellStyle name="Total 2 2 2 6 3 2" xfId="48320"/>
    <cellStyle name="Total 2 2 2 6 3 3" xfId="56342"/>
    <cellStyle name="Total 2 2 2 6 4" xfId="25987"/>
    <cellStyle name="Total 2 2 2 6 4 2" xfId="48321"/>
    <cellStyle name="Total 2 2 2 6 4 3" xfId="56343"/>
    <cellStyle name="Total 2 2 2 6 5" xfId="25988"/>
    <cellStyle name="Total 2 2 2 6 5 2" xfId="48322"/>
    <cellStyle name="Total 2 2 2 6 5 3" xfId="56344"/>
    <cellStyle name="Total 2 2 2 6 6" xfId="35440"/>
    <cellStyle name="Total 2 2 2 6 6 2" xfId="48323"/>
    <cellStyle name="Total 2 2 2 6 6 3" xfId="56345"/>
    <cellStyle name="Total 2 2 2 6 7" xfId="48324"/>
    <cellStyle name="Total 2 2 2 6 7 2" xfId="56346"/>
    <cellStyle name="Total 2 2 2 6 8" xfId="48325"/>
    <cellStyle name="Total 2 2 2 6 8 2" xfId="56347"/>
    <cellStyle name="Total 2 2 2 6 9" xfId="48326"/>
    <cellStyle name="Total 2 2 2 6 9 2" xfId="56348"/>
    <cellStyle name="Total 2 2 2 7" xfId="3485"/>
    <cellStyle name="Total 2 2 2 7 2" xfId="25989"/>
    <cellStyle name="Total 2 2 2 7 3" xfId="25990"/>
    <cellStyle name="Total 2 2 2 7 4" xfId="25991"/>
    <cellStyle name="Total 2 2 2 7 5" xfId="25992"/>
    <cellStyle name="Total 2 2 2 7 6" xfId="35972"/>
    <cellStyle name="Total 2 2 2 7 7" xfId="48327"/>
    <cellStyle name="Total 2 2 2 7 8" xfId="56349"/>
    <cellStyle name="Total 2 2 2 8" xfId="3803"/>
    <cellStyle name="Total 2 2 2 8 2" xfId="25993"/>
    <cellStyle name="Total 2 2 2 8 3" xfId="25994"/>
    <cellStyle name="Total 2 2 2 8 4" xfId="25995"/>
    <cellStyle name="Total 2 2 2 8 5" xfId="25996"/>
    <cellStyle name="Total 2 2 2 8 6" xfId="35804"/>
    <cellStyle name="Total 2 2 2 8 7" xfId="48328"/>
    <cellStyle name="Total 2 2 2 8 8" xfId="56350"/>
    <cellStyle name="Total 2 2 2 9" xfId="25997"/>
    <cellStyle name="Total 2 2 2 9 2" xfId="25998"/>
    <cellStyle name="Total 2 2 2 9 3" xfId="25999"/>
    <cellStyle name="Total 2 2 2 9 4" xfId="26000"/>
    <cellStyle name="Total 2 2 2 9 5" xfId="26001"/>
    <cellStyle name="Total 2 2 2 9 6" xfId="37017"/>
    <cellStyle name="Total 2 2 2 9 7" xfId="48329"/>
    <cellStyle name="Total 2 2 2 9 8" xfId="56351"/>
    <cellStyle name="Total 2 2 20" xfId="26002"/>
    <cellStyle name="Total 2 2 21" xfId="686"/>
    <cellStyle name="Total 2 2 22" xfId="34900"/>
    <cellStyle name="Total 2 2 23" xfId="40771"/>
    <cellStyle name="Total 2 2 3" xfId="302"/>
    <cellStyle name="Total 2 2 3 10" xfId="26003"/>
    <cellStyle name="Total 2 2 3 10 2" xfId="26004"/>
    <cellStyle name="Total 2 2 3 10 3" xfId="26005"/>
    <cellStyle name="Total 2 2 3 10 4" xfId="26006"/>
    <cellStyle name="Total 2 2 3 10 5" xfId="26007"/>
    <cellStyle name="Total 2 2 3 10 6" xfId="37630"/>
    <cellStyle name="Total 2 2 3 10 7" xfId="48330"/>
    <cellStyle name="Total 2 2 3 10 8" xfId="56352"/>
    <cellStyle name="Total 2 2 3 11" xfId="26008"/>
    <cellStyle name="Total 2 2 3 11 2" xfId="26009"/>
    <cellStyle name="Total 2 2 3 11 3" xfId="26010"/>
    <cellStyle name="Total 2 2 3 11 4" xfId="26011"/>
    <cellStyle name="Total 2 2 3 11 5" xfId="26012"/>
    <cellStyle name="Total 2 2 3 11 6" xfId="38247"/>
    <cellStyle name="Total 2 2 3 11 7" xfId="48331"/>
    <cellStyle name="Total 2 2 3 11 8" xfId="56353"/>
    <cellStyle name="Total 2 2 3 12" xfId="26013"/>
    <cellStyle name="Total 2 2 3 12 2" xfId="26014"/>
    <cellStyle name="Total 2 2 3 12 3" xfId="26015"/>
    <cellStyle name="Total 2 2 3 12 4" xfId="26016"/>
    <cellStyle name="Total 2 2 3 12 5" xfId="26017"/>
    <cellStyle name="Total 2 2 3 12 6" xfId="38869"/>
    <cellStyle name="Total 2 2 3 12 7" xfId="48332"/>
    <cellStyle name="Total 2 2 3 12 8" xfId="56354"/>
    <cellStyle name="Total 2 2 3 13" xfId="26018"/>
    <cellStyle name="Total 2 2 3 13 2" xfId="26019"/>
    <cellStyle name="Total 2 2 3 13 3" xfId="26020"/>
    <cellStyle name="Total 2 2 3 13 4" xfId="26021"/>
    <cellStyle name="Total 2 2 3 13 5" xfId="26022"/>
    <cellStyle name="Total 2 2 3 13 6" xfId="39489"/>
    <cellStyle name="Total 2 2 3 13 7" xfId="48333"/>
    <cellStyle name="Total 2 2 3 13 8" xfId="56355"/>
    <cellStyle name="Total 2 2 3 14" xfId="26023"/>
    <cellStyle name="Total 2 2 3 14 2" xfId="26024"/>
    <cellStyle name="Total 2 2 3 14 3" xfId="26025"/>
    <cellStyle name="Total 2 2 3 14 4" xfId="26026"/>
    <cellStyle name="Total 2 2 3 14 5" xfId="26027"/>
    <cellStyle name="Total 2 2 3 14 6" xfId="40107"/>
    <cellStyle name="Total 2 2 3 14 7" xfId="48334"/>
    <cellStyle name="Total 2 2 3 14 8" xfId="56356"/>
    <cellStyle name="Total 2 2 3 15" xfId="26028"/>
    <cellStyle name="Total 2 2 3 15 2" xfId="26029"/>
    <cellStyle name="Total 2 2 3 15 3" xfId="26030"/>
    <cellStyle name="Total 2 2 3 15 4" xfId="26031"/>
    <cellStyle name="Total 2 2 3 15 5" xfId="26032"/>
    <cellStyle name="Total 2 2 3 15 6" xfId="48335"/>
    <cellStyle name="Total 2 2 3 15 7" xfId="56357"/>
    <cellStyle name="Total 2 2 3 16" xfId="26033"/>
    <cellStyle name="Total 2 2 3 16 2" xfId="26034"/>
    <cellStyle name="Total 2 2 3 16 3" xfId="26035"/>
    <cellStyle name="Total 2 2 3 16 4" xfId="26036"/>
    <cellStyle name="Total 2 2 3 16 5" xfId="26037"/>
    <cellStyle name="Total 2 2 3 17" xfId="26038"/>
    <cellStyle name="Total 2 2 3 17 2" xfId="26039"/>
    <cellStyle name="Total 2 2 3 17 3" xfId="26040"/>
    <cellStyle name="Total 2 2 3 17 4" xfId="26041"/>
    <cellStyle name="Total 2 2 3 17 5" xfId="26042"/>
    <cellStyle name="Total 2 2 3 18" xfId="26043"/>
    <cellStyle name="Total 2 2 3 19" xfId="747"/>
    <cellStyle name="Total 2 2 3 2" xfId="425"/>
    <cellStyle name="Total 2 2 3 2 10" xfId="26044"/>
    <cellStyle name="Total 2 2 3 2 10 2" xfId="26045"/>
    <cellStyle name="Total 2 2 3 2 10 3" xfId="26046"/>
    <cellStyle name="Total 2 2 3 2 10 4" xfId="26047"/>
    <cellStyle name="Total 2 2 3 2 10 5" xfId="26048"/>
    <cellStyle name="Total 2 2 3 2 10 6" xfId="39599"/>
    <cellStyle name="Total 2 2 3 2 10 7" xfId="48336"/>
    <cellStyle name="Total 2 2 3 2 10 8" xfId="56358"/>
    <cellStyle name="Total 2 2 3 2 11" xfId="26049"/>
    <cellStyle name="Total 2 2 3 2 11 2" xfId="26050"/>
    <cellStyle name="Total 2 2 3 2 11 3" xfId="26051"/>
    <cellStyle name="Total 2 2 3 2 11 4" xfId="26052"/>
    <cellStyle name="Total 2 2 3 2 11 5" xfId="26053"/>
    <cellStyle name="Total 2 2 3 2 11 6" xfId="40214"/>
    <cellStyle name="Total 2 2 3 2 11 7" xfId="48337"/>
    <cellStyle name="Total 2 2 3 2 11 8" xfId="56359"/>
    <cellStyle name="Total 2 2 3 2 12" xfId="26054"/>
    <cellStyle name="Total 2 2 3 2 12 2" xfId="26055"/>
    <cellStyle name="Total 2 2 3 2 12 3" xfId="26056"/>
    <cellStyle name="Total 2 2 3 2 12 4" xfId="26057"/>
    <cellStyle name="Total 2 2 3 2 12 5" xfId="26058"/>
    <cellStyle name="Total 2 2 3 2 12 6" xfId="48338"/>
    <cellStyle name="Total 2 2 3 2 12 7" xfId="56360"/>
    <cellStyle name="Total 2 2 3 2 13" xfId="26059"/>
    <cellStyle name="Total 2 2 3 2 13 2" xfId="26060"/>
    <cellStyle name="Total 2 2 3 2 13 3" xfId="26061"/>
    <cellStyle name="Total 2 2 3 2 13 4" xfId="26062"/>
    <cellStyle name="Total 2 2 3 2 13 5" xfId="26063"/>
    <cellStyle name="Total 2 2 3 2 13 6" xfId="48339"/>
    <cellStyle name="Total 2 2 3 2 13 7" xfId="56361"/>
    <cellStyle name="Total 2 2 3 2 14" xfId="26064"/>
    <cellStyle name="Total 2 2 3 2 14 2" xfId="26065"/>
    <cellStyle name="Total 2 2 3 2 14 3" xfId="26066"/>
    <cellStyle name="Total 2 2 3 2 14 4" xfId="26067"/>
    <cellStyle name="Total 2 2 3 2 14 5" xfId="26068"/>
    <cellStyle name="Total 2 2 3 2 15" xfId="26069"/>
    <cellStyle name="Total 2 2 3 2 15 2" xfId="26070"/>
    <cellStyle name="Total 2 2 3 2 15 3" xfId="26071"/>
    <cellStyle name="Total 2 2 3 2 15 4" xfId="26072"/>
    <cellStyle name="Total 2 2 3 2 15 5" xfId="26073"/>
    <cellStyle name="Total 2 2 3 2 16" xfId="26074"/>
    <cellStyle name="Total 2 2 3 2 16 2" xfId="26075"/>
    <cellStyle name="Total 2 2 3 2 16 3" xfId="26076"/>
    <cellStyle name="Total 2 2 3 2 16 4" xfId="26077"/>
    <cellStyle name="Total 2 2 3 2 16 5" xfId="26078"/>
    <cellStyle name="Total 2 2 3 2 17" xfId="26079"/>
    <cellStyle name="Total 2 2 3 2 17 2" xfId="26080"/>
    <cellStyle name="Total 2 2 3 2 17 3" xfId="26081"/>
    <cellStyle name="Total 2 2 3 2 17 4" xfId="26082"/>
    <cellStyle name="Total 2 2 3 2 17 5" xfId="26083"/>
    <cellStyle name="Total 2 2 3 2 18" xfId="26084"/>
    <cellStyle name="Total 2 2 3 2 18 2" xfId="26085"/>
    <cellStyle name="Total 2 2 3 2 18 3" xfId="26086"/>
    <cellStyle name="Total 2 2 3 2 18 4" xfId="26087"/>
    <cellStyle name="Total 2 2 3 2 18 5" xfId="26088"/>
    <cellStyle name="Total 2 2 3 2 19" xfId="26089"/>
    <cellStyle name="Total 2 2 3 2 2" xfId="640"/>
    <cellStyle name="Total 2 2 3 2 2 10" xfId="26090"/>
    <cellStyle name="Total 2 2 3 2 2 10 2" xfId="26091"/>
    <cellStyle name="Total 2 2 3 2 2 10 3" xfId="26092"/>
    <cellStyle name="Total 2 2 3 2 2 10 4" xfId="26093"/>
    <cellStyle name="Total 2 2 3 2 2 10 5" xfId="26094"/>
    <cellStyle name="Total 2 2 3 2 2 10 6" xfId="48340"/>
    <cellStyle name="Total 2 2 3 2 2 10 7" xfId="56362"/>
    <cellStyle name="Total 2 2 3 2 2 11" xfId="26095"/>
    <cellStyle name="Total 2 2 3 2 2 11 2" xfId="26096"/>
    <cellStyle name="Total 2 2 3 2 2 11 3" xfId="26097"/>
    <cellStyle name="Total 2 2 3 2 2 11 4" xfId="26098"/>
    <cellStyle name="Total 2 2 3 2 2 11 5" xfId="26099"/>
    <cellStyle name="Total 2 2 3 2 2 12" xfId="26100"/>
    <cellStyle name="Total 2 2 3 2 2 12 2" xfId="26101"/>
    <cellStyle name="Total 2 2 3 2 2 12 3" xfId="26102"/>
    <cellStyle name="Total 2 2 3 2 2 12 4" xfId="26103"/>
    <cellStyle name="Total 2 2 3 2 2 12 5" xfId="26104"/>
    <cellStyle name="Total 2 2 3 2 2 13" xfId="26105"/>
    <cellStyle name="Total 2 2 3 2 2 13 2" xfId="26106"/>
    <cellStyle name="Total 2 2 3 2 2 13 3" xfId="26107"/>
    <cellStyle name="Total 2 2 3 2 2 13 4" xfId="26108"/>
    <cellStyle name="Total 2 2 3 2 2 13 5" xfId="26109"/>
    <cellStyle name="Total 2 2 3 2 2 14" xfId="26110"/>
    <cellStyle name="Total 2 2 3 2 2 14 2" xfId="26111"/>
    <cellStyle name="Total 2 2 3 2 2 14 3" xfId="26112"/>
    <cellStyle name="Total 2 2 3 2 2 14 4" xfId="26113"/>
    <cellStyle name="Total 2 2 3 2 2 14 5" xfId="26114"/>
    <cellStyle name="Total 2 2 3 2 2 15" xfId="26115"/>
    <cellStyle name="Total 2 2 3 2 2 15 2" xfId="26116"/>
    <cellStyle name="Total 2 2 3 2 2 15 3" xfId="26117"/>
    <cellStyle name="Total 2 2 3 2 2 15 4" xfId="26118"/>
    <cellStyle name="Total 2 2 3 2 2 15 5" xfId="26119"/>
    <cellStyle name="Total 2 2 3 2 2 16" xfId="26120"/>
    <cellStyle name="Total 2 2 3 2 2 16 2" xfId="26121"/>
    <cellStyle name="Total 2 2 3 2 2 16 3" xfId="26122"/>
    <cellStyle name="Total 2 2 3 2 2 16 4" xfId="26123"/>
    <cellStyle name="Total 2 2 3 2 2 16 5" xfId="26124"/>
    <cellStyle name="Total 2 2 3 2 2 17" xfId="26125"/>
    <cellStyle name="Total 2 2 3 2 2 17 2" xfId="26126"/>
    <cellStyle name="Total 2 2 3 2 2 17 3" xfId="26127"/>
    <cellStyle name="Total 2 2 3 2 2 17 4" xfId="26128"/>
    <cellStyle name="Total 2 2 3 2 2 17 5" xfId="26129"/>
    <cellStyle name="Total 2 2 3 2 2 18" xfId="26130"/>
    <cellStyle name="Total 2 2 3 2 2 18 2" xfId="26131"/>
    <cellStyle name="Total 2 2 3 2 2 18 3" xfId="26132"/>
    <cellStyle name="Total 2 2 3 2 2 18 4" xfId="26133"/>
    <cellStyle name="Total 2 2 3 2 2 18 5" xfId="26134"/>
    <cellStyle name="Total 2 2 3 2 2 19" xfId="26135"/>
    <cellStyle name="Total 2 2 3 2 2 2" xfId="2741"/>
    <cellStyle name="Total 2 2 3 2 2 2 2" xfId="26136"/>
    <cellStyle name="Total 2 2 3 2 2 2 2 2" xfId="48342"/>
    <cellStyle name="Total 2 2 3 2 2 2 2 3" xfId="56364"/>
    <cellStyle name="Total 2 2 3 2 2 2 3" xfId="26137"/>
    <cellStyle name="Total 2 2 3 2 2 2 4" xfId="26138"/>
    <cellStyle name="Total 2 2 3 2 2 2 5" xfId="26139"/>
    <cellStyle name="Total 2 2 3 2 2 2 6" xfId="36443"/>
    <cellStyle name="Total 2 2 3 2 2 2 7" xfId="48341"/>
    <cellStyle name="Total 2 2 3 2 2 2 8" xfId="56363"/>
    <cellStyle name="Total 2 2 3 2 2 20" xfId="1068"/>
    <cellStyle name="Total 2 2 3 2 2 21" xfId="35148"/>
    <cellStyle name="Total 2 2 3 2 2 22" xfId="41368"/>
    <cellStyle name="Total 2 2 3 2 2 3" xfId="2742"/>
    <cellStyle name="Total 2 2 3 2 2 3 2" xfId="26140"/>
    <cellStyle name="Total 2 2 3 2 2 3 3" xfId="26141"/>
    <cellStyle name="Total 2 2 3 2 2 3 4" xfId="26142"/>
    <cellStyle name="Total 2 2 3 2 2 3 5" xfId="26143"/>
    <cellStyle name="Total 2 2 3 2 2 3 6" xfId="36940"/>
    <cellStyle name="Total 2 2 3 2 2 3 7" xfId="48343"/>
    <cellStyle name="Total 2 2 3 2 2 3 8" xfId="56365"/>
    <cellStyle name="Total 2 2 3 2 2 4" xfId="1423"/>
    <cellStyle name="Total 2 2 3 2 2 4 2" xfId="26144"/>
    <cellStyle name="Total 2 2 3 2 2 4 3" xfId="26145"/>
    <cellStyle name="Total 2 2 3 2 2 4 4" xfId="26146"/>
    <cellStyle name="Total 2 2 3 2 2 4 5" xfId="26147"/>
    <cellStyle name="Total 2 2 3 2 2 4 6" xfId="37556"/>
    <cellStyle name="Total 2 2 3 2 2 4 7" xfId="48344"/>
    <cellStyle name="Total 2 2 3 2 2 4 8" xfId="56366"/>
    <cellStyle name="Total 2 2 3 2 2 5" xfId="3493"/>
    <cellStyle name="Total 2 2 3 2 2 5 2" xfId="26148"/>
    <cellStyle name="Total 2 2 3 2 2 5 3" xfId="26149"/>
    <cellStyle name="Total 2 2 3 2 2 5 4" xfId="26150"/>
    <cellStyle name="Total 2 2 3 2 2 5 5" xfId="26151"/>
    <cellStyle name="Total 2 2 3 2 2 5 6" xfId="38173"/>
    <cellStyle name="Total 2 2 3 2 2 5 7" xfId="48345"/>
    <cellStyle name="Total 2 2 3 2 2 5 8" xfId="56367"/>
    <cellStyle name="Total 2 2 3 2 2 6" xfId="3811"/>
    <cellStyle name="Total 2 2 3 2 2 6 2" xfId="26152"/>
    <cellStyle name="Total 2 2 3 2 2 6 3" xfId="26153"/>
    <cellStyle name="Total 2 2 3 2 2 6 4" xfId="26154"/>
    <cellStyle name="Total 2 2 3 2 2 6 5" xfId="26155"/>
    <cellStyle name="Total 2 2 3 2 2 6 6" xfId="38791"/>
    <cellStyle name="Total 2 2 3 2 2 6 7" xfId="48346"/>
    <cellStyle name="Total 2 2 3 2 2 6 8" xfId="56368"/>
    <cellStyle name="Total 2 2 3 2 2 7" xfId="26156"/>
    <cellStyle name="Total 2 2 3 2 2 7 2" xfId="26157"/>
    <cellStyle name="Total 2 2 3 2 2 7 3" xfId="26158"/>
    <cellStyle name="Total 2 2 3 2 2 7 4" xfId="26159"/>
    <cellStyle name="Total 2 2 3 2 2 7 5" xfId="26160"/>
    <cellStyle name="Total 2 2 3 2 2 7 6" xfId="39411"/>
    <cellStyle name="Total 2 2 3 2 2 7 7" xfId="48347"/>
    <cellStyle name="Total 2 2 3 2 2 7 8" xfId="56369"/>
    <cellStyle name="Total 2 2 3 2 2 8" xfId="26161"/>
    <cellStyle name="Total 2 2 3 2 2 8 2" xfId="26162"/>
    <cellStyle name="Total 2 2 3 2 2 8 3" xfId="26163"/>
    <cellStyle name="Total 2 2 3 2 2 8 4" xfId="26164"/>
    <cellStyle name="Total 2 2 3 2 2 8 5" xfId="26165"/>
    <cellStyle name="Total 2 2 3 2 2 8 6" xfId="40027"/>
    <cellStyle name="Total 2 2 3 2 2 8 7" xfId="48348"/>
    <cellStyle name="Total 2 2 3 2 2 8 8" xfId="56370"/>
    <cellStyle name="Total 2 2 3 2 2 9" xfId="26166"/>
    <cellStyle name="Total 2 2 3 2 2 9 2" xfId="26167"/>
    <cellStyle name="Total 2 2 3 2 2 9 3" xfId="26168"/>
    <cellStyle name="Total 2 2 3 2 2 9 4" xfId="26169"/>
    <cellStyle name="Total 2 2 3 2 2 9 5" xfId="26170"/>
    <cellStyle name="Total 2 2 3 2 2 9 6" xfId="40642"/>
    <cellStyle name="Total 2 2 3 2 2 9 7" xfId="48349"/>
    <cellStyle name="Total 2 2 3 2 2 9 8" xfId="56371"/>
    <cellStyle name="Total 2 2 3 2 20" xfId="856"/>
    <cellStyle name="Total 2 2 3 2 21" xfId="34680"/>
    <cellStyle name="Total 2 2 3 2 22" xfId="40940"/>
    <cellStyle name="Total 2 2 3 2 23" xfId="41501"/>
    <cellStyle name="Total 2 2 3 2 24" xfId="50588"/>
    <cellStyle name="Total 2 2 3 2 3" xfId="2743"/>
    <cellStyle name="Total 2 2 3 2 3 10" xfId="34593"/>
    <cellStyle name="Total 2 2 3 2 3 10 2" xfId="48351"/>
    <cellStyle name="Total 2 2 3 2 3 10 3" xfId="56373"/>
    <cellStyle name="Total 2 2 3 2 3 11" xfId="41155"/>
    <cellStyle name="Total 2 2 3 2 3 12" xfId="48350"/>
    <cellStyle name="Total 2 2 3 2 3 13" xfId="56372"/>
    <cellStyle name="Total 2 2 3 2 3 2" xfId="2744"/>
    <cellStyle name="Total 2 2 3 2 3 2 2" xfId="36232"/>
    <cellStyle name="Total 2 2 3 2 3 2 3" xfId="48352"/>
    <cellStyle name="Total 2 2 3 2 3 2 4" xfId="56374"/>
    <cellStyle name="Total 2 2 3 2 3 3" xfId="2745"/>
    <cellStyle name="Total 2 2 3 2 3 3 2" xfId="36729"/>
    <cellStyle name="Total 2 2 3 2 3 3 3" xfId="48353"/>
    <cellStyle name="Total 2 2 3 2 3 3 4" xfId="56375"/>
    <cellStyle name="Total 2 2 3 2 3 4" xfId="26171"/>
    <cellStyle name="Total 2 2 3 2 3 4 2" xfId="37345"/>
    <cellStyle name="Total 2 2 3 2 3 4 3" xfId="48354"/>
    <cellStyle name="Total 2 2 3 2 3 4 4" xfId="56376"/>
    <cellStyle name="Total 2 2 3 2 3 5" xfId="26172"/>
    <cellStyle name="Total 2 2 3 2 3 5 2" xfId="37961"/>
    <cellStyle name="Total 2 2 3 2 3 5 3" xfId="48355"/>
    <cellStyle name="Total 2 2 3 2 3 5 4" xfId="56377"/>
    <cellStyle name="Total 2 2 3 2 3 6" xfId="38578"/>
    <cellStyle name="Total 2 2 3 2 3 6 2" xfId="48356"/>
    <cellStyle name="Total 2 2 3 2 3 6 3" xfId="56378"/>
    <cellStyle name="Total 2 2 3 2 3 7" xfId="39198"/>
    <cellStyle name="Total 2 2 3 2 3 7 2" xfId="48357"/>
    <cellStyle name="Total 2 2 3 2 3 7 3" xfId="56379"/>
    <cellStyle name="Total 2 2 3 2 3 8" xfId="39814"/>
    <cellStyle name="Total 2 2 3 2 3 8 2" xfId="48358"/>
    <cellStyle name="Total 2 2 3 2 3 8 3" xfId="56380"/>
    <cellStyle name="Total 2 2 3 2 3 9" xfId="40429"/>
    <cellStyle name="Total 2 2 3 2 3 9 2" xfId="48359"/>
    <cellStyle name="Total 2 2 3 2 3 9 3" xfId="56381"/>
    <cellStyle name="Total 2 2 3 2 4" xfId="2746"/>
    <cellStyle name="Total 2 2 3 2 4 10" xfId="48360"/>
    <cellStyle name="Total 2 2 3 2 4 11" xfId="56382"/>
    <cellStyle name="Total 2 2 3 2 4 2" xfId="26173"/>
    <cellStyle name="Total 2 2 3 2 4 2 2" xfId="48361"/>
    <cellStyle name="Total 2 2 3 2 4 2 3" xfId="56383"/>
    <cellStyle name="Total 2 2 3 2 4 3" xfId="26174"/>
    <cellStyle name="Total 2 2 3 2 4 3 2" xfId="48362"/>
    <cellStyle name="Total 2 2 3 2 4 3 3" xfId="56384"/>
    <cellStyle name="Total 2 2 3 2 4 4" xfId="26175"/>
    <cellStyle name="Total 2 2 3 2 4 4 2" xfId="48363"/>
    <cellStyle name="Total 2 2 3 2 4 4 3" xfId="56385"/>
    <cellStyle name="Total 2 2 3 2 4 5" xfId="26176"/>
    <cellStyle name="Total 2 2 3 2 4 5 2" xfId="48364"/>
    <cellStyle name="Total 2 2 3 2 4 5 3" xfId="56386"/>
    <cellStyle name="Total 2 2 3 2 4 6" xfId="35710"/>
    <cellStyle name="Total 2 2 3 2 4 6 2" xfId="48365"/>
    <cellStyle name="Total 2 2 3 2 4 6 3" xfId="56387"/>
    <cellStyle name="Total 2 2 3 2 4 7" xfId="48366"/>
    <cellStyle name="Total 2 2 3 2 4 7 2" xfId="56388"/>
    <cellStyle name="Total 2 2 3 2 4 8" xfId="48367"/>
    <cellStyle name="Total 2 2 3 2 4 8 2" xfId="56389"/>
    <cellStyle name="Total 2 2 3 2 4 9" xfId="48368"/>
    <cellStyle name="Total 2 2 3 2 4 9 2" xfId="56390"/>
    <cellStyle name="Total 2 2 3 2 5" xfId="1422"/>
    <cellStyle name="Total 2 2 3 2 5 2" xfId="26177"/>
    <cellStyle name="Total 2 2 3 2 5 3" xfId="26178"/>
    <cellStyle name="Total 2 2 3 2 5 4" xfId="26179"/>
    <cellStyle name="Total 2 2 3 2 5 5" xfId="26180"/>
    <cellStyle name="Total 2 2 3 2 5 6" xfId="36517"/>
    <cellStyle name="Total 2 2 3 2 5 7" xfId="48369"/>
    <cellStyle name="Total 2 2 3 2 5 8" xfId="56391"/>
    <cellStyle name="Total 2 2 3 2 6" xfId="3492"/>
    <cellStyle name="Total 2 2 3 2 6 2" xfId="26181"/>
    <cellStyle name="Total 2 2 3 2 6 3" xfId="26182"/>
    <cellStyle name="Total 2 2 3 2 6 4" xfId="26183"/>
    <cellStyle name="Total 2 2 3 2 6 5" xfId="26184"/>
    <cellStyle name="Total 2 2 3 2 6 6" xfId="37133"/>
    <cellStyle name="Total 2 2 3 2 6 7" xfId="48370"/>
    <cellStyle name="Total 2 2 3 2 6 8" xfId="56392"/>
    <cellStyle name="Total 2 2 3 2 7" xfId="3810"/>
    <cellStyle name="Total 2 2 3 2 7 2" xfId="26185"/>
    <cellStyle name="Total 2 2 3 2 7 3" xfId="26186"/>
    <cellStyle name="Total 2 2 3 2 7 4" xfId="26187"/>
    <cellStyle name="Total 2 2 3 2 7 5" xfId="26188"/>
    <cellStyle name="Total 2 2 3 2 7 6" xfId="37747"/>
    <cellStyle name="Total 2 2 3 2 7 7" xfId="48371"/>
    <cellStyle name="Total 2 2 3 2 7 8" xfId="56393"/>
    <cellStyle name="Total 2 2 3 2 8" xfId="26189"/>
    <cellStyle name="Total 2 2 3 2 8 2" xfId="26190"/>
    <cellStyle name="Total 2 2 3 2 8 3" xfId="26191"/>
    <cellStyle name="Total 2 2 3 2 8 4" xfId="26192"/>
    <cellStyle name="Total 2 2 3 2 8 5" xfId="26193"/>
    <cellStyle name="Total 2 2 3 2 8 6" xfId="38363"/>
    <cellStyle name="Total 2 2 3 2 8 7" xfId="48372"/>
    <cellStyle name="Total 2 2 3 2 8 8" xfId="56394"/>
    <cellStyle name="Total 2 2 3 2 9" xfId="26194"/>
    <cellStyle name="Total 2 2 3 2 9 2" xfId="26195"/>
    <cellStyle name="Total 2 2 3 2 9 3" xfId="26196"/>
    <cellStyle name="Total 2 2 3 2 9 4" xfId="26197"/>
    <cellStyle name="Total 2 2 3 2 9 5" xfId="26198"/>
    <cellStyle name="Total 2 2 3 2 9 6" xfId="38983"/>
    <cellStyle name="Total 2 2 3 2 9 7" xfId="48373"/>
    <cellStyle name="Total 2 2 3 2 9 8" xfId="56395"/>
    <cellStyle name="Total 2 2 3 20" xfId="34727"/>
    <cellStyle name="Total 2 2 3 21" xfId="40831"/>
    <cellStyle name="Total 2 2 3 3" xfId="426"/>
    <cellStyle name="Total 2 2 3 3 10" xfId="26199"/>
    <cellStyle name="Total 2 2 3 3 10 2" xfId="26200"/>
    <cellStyle name="Total 2 2 3 3 10 3" xfId="26201"/>
    <cellStyle name="Total 2 2 3 3 10 4" xfId="26202"/>
    <cellStyle name="Total 2 2 3 3 10 5" xfId="26203"/>
    <cellStyle name="Total 2 2 3 3 10 6" xfId="40215"/>
    <cellStyle name="Total 2 2 3 3 10 7" xfId="48374"/>
    <cellStyle name="Total 2 2 3 3 10 8" xfId="56396"/>
    <cellStyle name="Total 2 2 3 3 11" xfId="26204"/>
    <cellStyle name="Total 2 2 3 3 11 2" xfId="26205"/>
    <cellStyle name="Total 2 2 3 3 11 3" xfId="26206"/>
    <cellStyle name="Total 2 2 3 3 11 4" xfId="26207"/>
    <cellStyle name="Total 2 2 3 3 11 5" xfId="26208"/>
    <cellStyle name="Total 2 2 3 3 11 6" xfId="48375"/>
    <cellStyle name="Total 2 2 3 3 11 7" xfId="56397"/>
    <cellStyle name="Total 2 2 3 3 12" xfId="26209"/>
    <cellStyle name="Total 2 2 3 3 12 2" xfId="26210"/>
    <cellStyle name="Total 2 2 3 3 12 3" xfId="26211"/>
    <cellStyle name="Total 2 2 3 3 12 4" xfId="26212"/>
    <cellStyle name="Total 2 2 3 3 12 5" xfId="26213"/>
    <cellStyle name="Total 2 2 3 3 12 6" xfId="48376"/>
    <cellStyle name="Total 2 2 3 3 12 7" xfId="56398"/>
    <cellStyle name="Total 2 2 3 3 13" xfId="26214"/>
    <cellStyle name="Total 2 2 3 3 13 2" xfId="26215"/>
    <cellStyle name="Total 2 2 3 3 13 3" xfId="26216"/>
    <cellStyle name="Total 2 2 3 3 13 4" xfId="26217"/>
    <cellStyle name="Total 2 2 3 3 13 5" xfId="26218"/>
    <cellStyle name="Total 2 2 3 3 13 6" xfId="48377"/>
    <cellStyle name="Total 2 2 3 3 13 7" xfId="56399"/>
    <cellStyle name="Total 2 2 3 3 14" xfId="26219"/>
    <cellStyle name="Total 2 2 3 3 14 2" xfId="26220"/>
    <cellStyle name="Total 2 2 3 3 14 3" xfId="26221"/>
    <cellStyle name="Total 2 2 3 3 14 4" xfId="26222"/>
    <cellStyle name="Total 2 2 3 3 14 5" xfId="26223"/>
    <cellStyle name="Total 2 2 3 3 15" xfId="26224"/>
    <cellStyle name="Total 2 2 3 3 15 2" xfId="26225"/>
    <cellStyle name="Total 2 2 3 3 15 3" xfId="26226"/>
    <cellStyle name="Total 2 2 3 3 15 4" xfId="26227"/>
    <cellStyle name="Total 2 2 3 3 15 5" xfId="26228"/>
    <cellStyle name="Total 2 2 3 3 16" xfId="26229"/>
    <cellStyle name="Total 2 2 3 3 16 2" xfId="26230"/>
    <cellStyle name="Total 2 2 3 3 16 3" xfId="26231"/>
    <cellStyle name="Total 2 2 3 3 16 4" xfId="26232"/>
    <cellStyle name="Total 2 2 3 3 16 5" xfId="26233"/>
    <cellStyle name="Total 2 2 3 3 17" xfId="26234"/>
    <cellStyle name="Total 2 2 3 3 17 2" xfId="26235"/>
    <cellStyle name="Total 2 2 3 3 17 3" xfId="26236"/>
    <cellStyle name="Total 2 2 3 3 17 4" xfId="26237"/>
    <cellStyle name="Total 2 2 3 3 17 5" xfId="26238"/>
    <cellStyle name="Total 2 2 3 3 18" xfId="26239"/>
    <cellStyle name="Total 2 2 3 3 18 2" xfId="26240"/>
    <cellStyle name="Total 2 2 3 3 18 3" xfId="26241"/>
    <cellStyle name="Total 2 2 3 3 18 4" xfId="26242"/>
    <cellStyle name="Total 2 2 3 3 18 5" xfId="26243"/>
    <cellStyle name="Total 2 2 3 3 19" xfId="26244"/>
    <cellStyle name="Total 2 2 3 3 2" xfId="641"/>
    <cellStyle name="Total 2 2 3 3 2 10" xfId="26245"/>
    <cellStyle name="Total 2 2 3 3 2 10 2" xfId="26246"/>
    <cellStyle name="Total 2 2 3 3 2 10 3" xfId="26247"/>
    <cellStyle name="Total 2 2 3 3 2 10 4" xfId="26248"/>
    <cellStyle name="Total 2 2 3 3 2 10 5" xfId="26249"/>
    <cellStyle name="Total 2 2 3 3 2 10 6" xfId="48378"/>
    <cellStyle name="Total 2 2 3 3 2 10 7" xfId="56400"/>
    <cellStyle name="Total 2 2 3 3 2 11" xfId="26250"/>
    <cellStyle name="Total 2 2 3 3 2 11 2" xfId="26251"/>
    <cellStyle name="Total 2 2 3 3 2 11 3" xfId="26252"/>
    <cellStyle name="Total 2 2 3 3 2 11 4" xfId="26253"/>
    <cellStyle name="Total 2 2 3 3 2 11 5" xfId="26254"/>
    <cellStyle name="Total 2 2 3 3 2 12" xfId="26255"/>
    <cellStyle name="Total 2 2 3 3 2 12 2" xfId="26256"/>
    <cellStyle name="Total 2 2 3 3 2 12 3" xfId="26257"/>
    <cellStyle name="Total 2 2 3 3 2 12 4" xfId="26258"/>
    <cellStyle name="Total 2 2 3 3 2 12 5" xfId="26259"/>
    <cellStyle name="Total 2 2 3 3 2 13" xfId="26260"/>
    <cellStyle name="Total 2 2 3 3 2 13 2" xfId="26261"/>
    <cellStyle name="Total 2 2 3 3 2 13 3" xfId="26262"/>
    <cellStyle name="Total 2 2 3 3 2 13 4" xfId="26263"/>
    <cellStyle name="Total 2 2 3 3 2 13 5" xfId="26264"/>
    <cellStyle name="Total 2 2 3 3 2 14" xfId="26265"/>
    <cellStyle name="Total 2 2 3 3 2 14 2" xfId="26266"/>
    <cellStyle name="Total 2 2 3 3 2 14 3" xfId="26267"/>
    <cellStyle name="Total 2 2 3 3 2 14 4" xfId="26268"/>
    <cellStyle name="Total 2 2 3 3 2 14 5" xfId="26269"/>
    <cellStyle name="Total 2 2 3 3 2 15" xfId="26270"/>
    <cellStyle name="Total 2 2 3 3 2 15 2" xfId="26271"/>
    <cellStyle name="Total 2 2 3 3 2 15 3" xfId="26272"/>
    <cellStyle name="Total 2 2 3 3 2 15 4" xfId="26273"/>
    <cellStyle name="Total 2 2 3 3 2 15 5" xfId="26274"/>
    <cellStyle name="Total 2 2 3 3 2 16" xfId="26275"/>
    <cellStyle name="Total 2 2 3 3 2 16 2" xfId="26276"/>
    <cellStyle name="Total 2 2 3 3 2 16 3" xfId="26277"/>
    <cellStyle name="Total 2 2 3 3 2 16 4" xfId="26278"/>
    <cellStyle name="Total 2 2 3 3 2 16 5" xfId="26279"/>
    <cellStyle name="Total 2 2 3 3 2 17" xfId="26280"/>
    <cellStyle name="Total 2 2 3 3 2 17 2" xfId="26281"/>
    <cellStyle name="Total 2 2 3 3 2 17 3" xfId="26282"/>
    <cellStyle name="Total 2 2 3 3 2 17 4" xfId="26283"/>
    <cellStyle name="Total 2 2 3 3 2 17 5" xfId="26284"/>
    <cellStyle name="Total 2 2 3 3 2 18" xfId="26285"/>
    <cellStyle name="Total 2 2 3 3 2 18 2" xfId="26286"/>
    <cellStyle name="Total 2 2 3 3 2 18 3" xfId="26287"/>
    <cellStyle name="Total 2 2 3 3 2 18 4" xfId="26288"/>
    <cellStyle name="Total 2 2 3 3 2 18 5" xfId="26289"/>
    <cellStyle name="Total 2 2 3 3 2 19" xfId="26290"/>
    <cellStyle name="Total 2 2 3 3 2 2" xfId="2747"/>
    <cellStyle name="Total 2 2 3 3 2 2 2" xfId="26291"/>
    <cellStyle name="Total 2 2 3 3 2 2 2 2" xfId="48380"/>
    <cellStyle name="Total 2 2 3 3 2 2 2 3" xfId="56402"/>
    <cellStyle name="Total 2 2 3 3 2 2 3" xfId="26292"/>
    <cellStyle name="Total 2 2 3 3 2 2 4" xfId="26293"/>
    <cellStyle name="Total 2 2 3 3 2 2 5" xfId="26294"/>
    <cellStyle name="Total 2 2 3 3 2 2 6" xfId="36444"/>
    <cellStyle name="Total 2 2 3 3 2 2 7" xfId="48379"/>
    <cellStyle name="Total 2 2 3 3 2 2 8" xfId="56401"/>
    <cellStyle name="Total 2 2 3 3 2 20" xfId="1069"/>
    <cellStyle name="Total 2 2 3 3 2 21" xfId="35149"/>
    <cellStyle name="Total 2 2 3 3 2 22" xfId="41369"/>
    <cellStyle name="Total 2 2 3 3 2 3" xfId="2748"/>
    <cellStyle name="Total 2 2 3 3 2 3 2" xfId="26295"/>
    <cellStyle name="Total 2 2 3 3 2 3 3" xfId="26296"/>
    <cellStyle name="Total 2 2 3 3 2 3 4" xfId="26297"/>
    <cellStyle name="Total 2 2 3 3 2 3 5" xfId="26298"/>
    <cellStyle name="Total 2 2 3 3 2 3 6" xfId="36941"/>
    <cellStyle name="Total 2 2 3 3 2 3 7" xfId="48381"/>
    <cellStyle name="Total 2 2 3 3 2 3 8" xfId="56403"/>
    <cellStyle name="Total 2 2 3 3 2 4" xfId="1425"/>
    <cellStyle name="Total 2 2 3 3 2 4 2" xfId="26299"/>
    <cellStyle name="Total 2 2 3 3 2 4 3" xfId="26300"/>
    <cellStyle name="Total 2 2 3 3 2 4 4" xfId="26301"/>
    <cellStyle name="Total 2 2 3 3 2 4 5" xfId="26302"/>
    <cellStyle name="Total 2 2 3 3 2 4 6" xfId="37557"/>
    <cellStyle name="Total 2 2 3 3 2 4 7" xfId="48382"/>
    <cellStyle name="Total 2 2 3 3 2 4 8" xfId="56404"/>
    <cellStyle name="Total 2 2 3 3 2 5" xfId="3495"/>
    <cellStyle name="Total 2 2 3 3 2 5 2" xfId="26303"/>
    <cellStyle name="Total 2 2 3 3 2 5 3" xfId="26304"/>
    <cellStyle name="Total 2 2 3 3 2 5 4" xfId="26305"/>
    <cellStyle name="Total 2 2 3 3 2 5 5" xfId="26306"/>
    <cellStyle name="Total 2 2 3 3 2 5 6" xfId="38174"/>
    <cellStyle name="Total 2 2 3 3 2 5 7" xfId="48383"/>
    <cellStyle name="Total 2 2 3 3 2 5 8" xfId="56405"/>
    <cellStyle name="Total 2 2 3 3 2 6" xfId="3813"/>
    <cellStyle name="Total 2 2 3 3 2 6 2" xfId="26307"/>
    <cellStyle name="Total 2 2 3 3 2 6 3" xfId="26308"/>
    <cellStyle name="Total 2 2 3 3 2 6 4" xfId="26309"/>
    <cellStyle name="Total 2 2 3 3 2 6 5" xfId="26310"/>
    <cellStyle name="Total 2 2 3 3 2 6 6" xfId="38792"/>
    <cellStyle name="Total 2 2 3 3 2 6 7" xfId="48384"/>
    <cellStyle name="Total 2 2 3 3 2 6 8" xfId="56406"/>
    <cellStyle name="Total 2 2 3 3 2 7" xfId="26311"/>
    <cellStyle name="Total 2 2 3 3 2 7 2" xfId="26312"/>
    <cellStyle name="Total 2 2 3 3 2 7 3" xfId="26313"/>
    <cellStyle name="Total 2 2 3 3 2 7 4" xfId="26314"/>
    <cellStyle name="Total 2 2 3 3 2 7 5" xfId="26315"/>
    <cellStyle name="Total 2 2 3 3 2 7 6" xfId="39412"/>
    <cellStyle name="Total 2 2 3 3 2 7 7" xfId="48385"/>
    <cellStyle name="Total 2 2 3 3 2 7 8" xfId="56407"/>
    <cellStyle name="Total 2 2 3 3 2 8" xfId="26316"/>
    <cellStyle name="Total 2 2 3 3 2 8 2" xfId="26317"/>
    <cellStyle name="Total 2 2 3 3 2 8 3" xfId="26318"/>
    <cellStyle name="Total 2 2 3 3 2 8 4" xfId="26319"/>
    <cellStyle name="Total 2 2 3 3 2 8 5" xfId="26320"/>
    <cellStyle name="Total 2 2 3 3 2 8 6" xfId="40028"/>
    <cellStyle name="Total 2 2 3 3 2 8 7" xfId="48386"/>
    <cellStyle name="Total 2 2 3 3 2 8 8" xfId="56408"/>
    <cellStyle name="Total 2 2 3 3 2 9" xfId="26321"/>
    <cellStyle name="Total 2 2 3 3 2 9 2" xfId="26322"/>
    <cellStyle name="Total 2 2 3 3 2 9 3" xfId="26323"/>
    <cellStyle name="Total 2 2 3 3 2 9 4" xfId="26324"/>
    <cellStyle name="Total 2 2 3 3 2 9 5" xfId="26325"/>
    <cellStyle name="Total 2 2 3 3 2 9 6" xfId="40643"/>
    <cellStyle name="Total 2 2 3 3 2 9 7" xfId="48387"/>
    <cellStyle name="Total 2 2 3 3 2 9 8" xfId="56409"/>
    <cellStyle name="Total 2 2 3 3 20" xfId="857"/>
    <cellStyle name="Total 2 2 3 3 21" xfId="34679"/>
    <cellStyle name="Total 2 2 3 3 22" xfId="40941"/>
    <cellStyle name="Total 2 2 3 3 23" xfId="41502"/>
    <cellStyle name="Total 2 2 3 3 24" xfId="50589"/>
    <cellStyle name="Total 2 2 3 3 3" xfId="2749"/>
    <cellStyle name="Total 2 2 3 3 3 10" xfId="34592"/>
    <cellStyle name="Total 2 2 3 3 3 10 2" xfId="48389"/>
    <cellStyle name="Total 2 2 3 3 3 10 3" xfId="56411"/>
    <cellStyle name="Total 2 2 3 3 3 11" xfId="41156"/>
    <cellStyle name="Total 2 2 3 3 3 12" xfId="48388"/>
    <cellStyle name="Total 2 2 3 3 3 13" xfId="56410"/>
    <cellStyle name="Total 2 2 3 3 3 2" xfId="2750"/>
    <cellStyle name="Total 2 2 3 3 3 2 2" xfId="36233"/>
    <cellStyle name="Total 2 2 3 3 3 2 3" xfId="48390"/>
    <cellStyle name="Total 2 2 3 3 3 2 4" xfId="56412"/>
    <cellStyle name="Total 2 2 3 3 3 3" xfId="2751"/>
    <cellStyle name="Total 2 2 3 3 3 3 2" xfId="36730"/>
    <cellStyle name="Total 2 2 3 3 3 3 3" xfId="48391"/>
    <cellStyle name="Total 2 2 3 3 3 3 4" xfId="56413"/>
    <cellStyle name="Total 2 2 3 3 3 4" xfId="26326"/>
    <cellStyle name="Total 2 2 3 3 3 4 2" xfId="37346"/>
    <cellStyle name="Total 2 2 3 3 3 4 3" xfId="48392"/>
    <cellStyle name="Total 2 2 3 3 3 4 4" xfId="56414"/>
    <cellStyle name="Total 2 2 3 3 3 5" xfId="26327"/>
    <cellStyle name="Total 2 2 3 3 3 5 2" xfId="37962"/>
    <cellStyle name="Total 2 2 3 3 3 5 3" xfId="48393"/>
    <cellStyle name="Total 2 2 3 3 3 5 4" xfId="56415"/>
    <cellStyle name="Total 2 2 3 3 3 6" xfId="38579"/>
    <cellStyle name="Total 2 2 3 3 3 6 2" xfId="48394"/>
    <cellStyle name="Total 2 2 3 3 3 6 3" xfId="56416"/>
    <cellStyle name="Total 2 2 3 3 3 7" xfId="39199"/>
    <cellStyle name="Total 2 2 3 3 3 7 2" xfId="48395"/>
    <cellStyle name="Total 2 2 3 3 3 7 3" xfId="56417"/>
    <cellStyle name="Total 2 2 3 3 3 8" xfId="39815"/>
    <cellStyle name="Total 2 2 3 3 3 8 2" xfId="48396"/>
    <cellStyle name="Total 2 2 3 3 3 8 3" xfId="56418"/>
    <cellStyle name="Total 2 2 3 3 3 9" xfId="40430"/>
    <cellStyle name="Total 2 2 3 3 3 9 2" xfId="48397"/>
    <cellStyle name="Total 2 2 3 3 3 9 3" xfId="56419"/>
    <cellStyle name="Total 2 2 3 3 4" xfId="2752"/>
    <cellStyle name="Total 2 2 3 3 4 10" xfId="48398"/>
    <cellStyle name="Total 2 2 3 3 4 11" xfId="56420"/>
    <cellStyle name="Total 2 2 3 3 4 2" xfId="26328"/>
    <cellStyle name="Total 2 2 3 3 4 2 2" xfId="48399"/>
    <cellStyle name="Total 2 2 3 3 4 2 3" xfId="56421"/>
    <cellStyle name="Total 2 2 3 3 4 3" xfId="26329"/>
    <cellStyle name="Total 2 2 3 3 4 3 2" xfId="48400"/>
    <cellStyle name="Total 2 2 3 3 4 3 3" xfId="56422"/>
    <cellStyle name="Total 2 2 3 3 4 4" xfId="26330"/>
    <cellStyle name="Total 2 2 3 3 4 4 2" xfId="48401"/>
    <cellStyle name="Total 2 2 3 3 4 4 3" xfId="56423"/>
    <cellStyle name="Total 2 2 3 3 4 5" xfId="26331"/>
    <cellStyle name="Total 2 2 3 3 4 5 2" xfId="48402"/>
    <cellStyle name="Total 2 2 3 3 4 5 3" xfId="56424"/>
    <cellStyle name="Total 2 2 3 3 4 6" xfId="36518"/>
    <cellStyle name="Total 2 2 3 3 4 6 2" xfId="48403"/>
    <cellStyle name="Total 2 2 3 3 4 6 3" xfId="56425"/>
    <cellStyle name="Total 2 2 3 3 4 7" xfId="48404"/>
    <cellStyle name="Total 2 2 3 3 4 7 2" xfId="56426"/>
    <cellStyle name="Total 2 2 3 3 4 8" xfId="48405"/>
    <cellStyle name="Total 2 2 3 3 4 8 2" xfId="56427"/>
    <cellStyle name="Total 2 2 3 3 4 9" xfId="48406"/>
    <cellStyle name="Total 2 2 3 3 4 9 2" xfId="56428"/>
    <cellStyle name="Total 2 2 3 3 5" xfId="1424"/>
    <cellStyle name="Total 2 2 3 3 5 2" xfId="26332"/>
    <cellStyle name="Total 2 2 3 3 5 3" xfId="26333"/>
    <cellStyle name="Total 2 2 3 3 5 4" xfId="26334"/>
    <cellStyle name="Total 2 2 3 3 5 5" xfId="26335"/>
    <cellStyle name="Total 2 2 3 3 5 6" xfId="37134"/>
    <cellStyle name="Total 2 2 3 3 5 7" xfId="48407"/>
    <cellStyle name="Total 2 2 3 3 5 8" xfId="56429"/>
    <cellStyle name="Total 2 2 3 3 6" xfId="3494"/>
    <cellStyle name="Total 2 2 3 3 6 2" xfId="26336"/>
    <cellStyle name="Total 2 2 3 3 6 3" xfId="26337"/>
    <cellStyle name="Total 2 2 3 3 6 4" xfId="26338"/>
    <cellStyle name="Total 2 2 3 3 6 5" xfId="26339"/>
    <cellStyle name="Total 2 2 3 3 6 6" xfId="37748"/>
    <cellStyle name="Total 2 2 3 3 6 7" xfId="48408"/>
    <cellStyle name="Total 2 2 3 3 6 8" xfId="56430"/>
    <cellStyle name="Total 2 2 3 3 7" xfId="3812"/>
    <cellStyle name="Total 2 2 3 3 7 2" xfId="26340"/>
    <cellStyle name="Total 2 2 3 3 7 3" xfId="26341"/>
    <cellStyle name="Total 2 2 3 3 7 4" xfId="26342"/>
    <cellStyle name="Total 2 2 3 3 7 5" xfId="26343"/>
    <cellStyle name="Total 2 2 3 3 7 6" xfId="38364"/>
    <cellStyle name="Total 2 2 3 3 7 7" xfId="48409"/>
    <cellStyle name="Total 2 2 3 3 7 8" xfId="56431"/>
    <cellStyle name="Total 2 2 3 3 8" xfId="26344"/>
    <cellStyle name="Total 2 2 3 3 8 2" xfId="26345"/>
    <cellStyle name="Total 2 2 3 3 8 3" xfId="26346"/>
    <cellStyle name="Total 2 2 3 3 8 4" xfId="26347"/>
    <cellStyle name="Total 2 2 3 3 8 5" xfId="26348"/>
    <cellStyle name="Total 2 2 3 3 8 6" xfId="38984"/>
    <cellStyle name="Total 2 2 3 3 8 7" xfId="48410"/>
    <cellStyle name="Total 2 2 3 3 8 8" xfId="56432"/>
    <cellStyle name="Total 2 2 3 3 9" xfId="26349"/>
    <cellStyle name="Total 2 2 3 3 9 2" xfId="26350"/>
    <cellStyle name="Total 2 2 3 3 9 3" xfId="26351"/>
    <cellStyle name="Total 2 2 3 3 9 4" xfId="26352"/>
    <cellStyle name="Total 2 2 3 3 9 5" xfId="26353"/>
    <cellStyle name="Total 2 2 3 3 9 6" xfId="39600"/>
    <cellStyle name="Total 2 2 3 3 9 7" xfId="48411"/>
    <cellStyle name="Total 2 2 3 3 9 8" xfId="56433"/>
    <cellStyle name="Total 2 2 3 4" xfId="532"/>
    <cellStyle name="Total 2 2 3 4 10" xfId="26354"/>
    <cellStyle name="Total 2 2 3 4 10 2" xfId="26355"/>
    <cellStyle name="Total 2 2 3 4 10 3" xfId="26356"/>
    <cellStyle name="Total 2 2 3 4 10 4" xfId="26357"/>
    <cellStyle name="Total 2 2 3 4 10 5" xfId="26358"/>
    <cellStyle name="Total 2 2 3 4 10 6" xfId="48412"/>
    <cellStyle name="Total 2 2 3 4 10 7" xfId="56434"/>
    <cellStyle name="Total 2 2 3 4 11" xfId="26359"/>
    <cellStyle name="Total 2 2 3 4 11 2" xfId="26360"/>
    <cellStyle name="Total 2 2 3 4 11 3" xfId="26361"/>
    <cellStyle name="Total 2 2 3 4 11 4" xfId="26362"/>
    <cellStyle name="Total 2 2 3 4 11 5" xfId="26363"/>
    <cellStyle name="Total 2 2 3 4 12" xfId="26364"/>
    <cellStyle name="Total 2 2 3 4 12 2" xfId="26365"/>
    <cellStyle name="Total 2 2 3 4 12 3" xfId="26366"/>
    <cellStyle name="Total 2 2 3 4 12 4" xfId="26367"/>
    <cellStyle name="Total 2 2 3 4 12 5" xfId="26368"/>
    <cellStyle name="Total 2 2 3 4 13" xfId="26369"/>
    <cellStyle name="Total 2 2 3 4 13 2" xfId="26370"/>
    <cellStyle name="Total 2 2 3 4 13 3" xfId="26371"/>
    <cellStyle name="Total 2 2 3 4 13 4" xfId="26372"/>
    <cellStyle name="Total 2 2 3 4 13 5" xfId="26373"/>
    <cellStyle name="Total 2 2 3 4 14" xfId="26374"/>
    <cellStyle name="Total 2 2 3 4 14 2" xfId="26375"/>
    <cellStyle name="Total 2 2 3 4 14 3" xfId="26376"/>
    <cellStyle name="Total 2 2 3 4 14 4" xfId="26377"/>
    <cellStyle name="Total 2 2 3 4 14 5" xfId="26378"/>
    <cellStyle name="Total 2 2 3 4 15" xfId="26379"/>
    <cellStyle name="Total 2 2 3 4 15 2" xfId="26380"/>
    <cellStyle name="Total 2 2 3 4 15 3" xfId="26381"/>
    <cellStyle name="Total 2 2 3 4 15 4" xfId="26382"/>
    <cellStyle name="Total 2 2 3 4 15 5" xfId="26383"/>
    <cellStyle name="Total 2 2 3 4 16" xfId="26384"/>
    <cellStyle name="Total 2 2 3 4 16 2" xfId="26385"/>
    <cellStyle name="Total 2 2 3 4 16 3" xfId="26386"/>
    <cellStyle name="Total 2 2 3 4 16 4" xfId="26387"/>
    <cellStyle name="Total 2 2 3 4 16 5" xfId="26388"/>
    <cellStyle name="Total 2 2 3 4 17" xfId="26389"/>
    <cellStyle name="Total 2 2 3 4 17 2" xfId="26390"/>
    <cellStyle name="Total 2 2 3 4 17 3" xfId="26391"/>
    <cellStyle name="Total 2 2 3 4 17 4" xfId="26392"/>
    <cellStyle name="Total 2 2 3 4 17 5" xfId="26393"/>
    <cellStyle name="Total 2 2 3 4 18" xfId="26394"/>
    <cellStyle name="Total 2 2 3 4 18 2" xfId="26395"/>
    <cellStyle name="Total 2 2 3 4 18 3" xfId="26396"/>
    <cellStyle name="Total 2 2 3 4 18 4" xfId="26397"/>
    <cellStyle name="Total 2 2 3 4 18 5" xfId="26398"/>
    <cellStyle name="Total 2 2 3 4 19" xfId="26399"/>
    <cellStyle name="Total 2 2 3 4 2" xfId="2753"/>
    <cellStyle name="Total 2 2 3 4 2 2" xfId="26400"/>
    <cellStyle name="Total 2 2 3 4 2 2 2" xfId="48414"/>
    <cellStyle name="Total 2 2 3 4 2 2 3" xfId="56436"/>
    <cellStyle name="Total 2 2 3 4 2 3" xfId="26401"/>
    <cellStyle name="Total 2 2 3 4 2 4" xfId="26402"/>
    <cellStyle name="Total 2 2 3 4 2 5" xfId="26403"/>
    <cellStyle name="Total 2 2 3 4 2 6" xfId="36336"/>
    <cellStyle name="Total 2 2 3 4 2 7" xfId="48413"/>
    <cellStyle name="Total 2 2 3 4 2 8" xfId="56435"/>
    <cellStyle name="Total 2 2 3 4 20" xfId="961"/>
    <cellStyle name="Total 2 2 3 4 21" xfId="35041"/>
    <cellStyle name="Total 2 2 3 4 22" xfId="40750"/>
    <cellStyle name="Total 2 2 3 4 23" xfId="41260"/>
    <cellStyle name="Total 2 2 3 4 3" xfId="2754"/>
    <cellStyle name="Total 2 2 3 4 3 2" xfId="26404"/>
    <cellStyle name="Total 2 2 3 4 3 3" xfId="26405"/>
    <cellStyle name="Total 2 2 3 4 3 4" xfId="26406"/>
    <cellStyle name="Total 2 2 3 4 3 5" xfId="26407"/>
    <cellStyle name="Total 2 2 3 4 3 6" xfId="36833"/>
    <cellStyle name="Total 2 2 3 4 3 7" xfId="48415"/>
    <cellStyle name="Total 2 2 3 4 3 8" xfId="56437"/>
    <cellStyle name="Total 2 2 3 4 4" xfId="1426"/>
    <cellStyle name="Total 2 2 3 4 4 2" xfId="26408"/>
    <cellStyle name="Total 2 2 3 4 4 3" xfId="26409"/>
    <cellStyle name="Total 2 2 3 4 4 4" xfId="26410"/>
    <cellStyle name="Total 2 2 3 4 4 5" xfId="26411"/>
    <cellStyle name="Total 2 2 3 4 4 6" xfId="37449"/>
    <cellStyle name="Total 2 2 3 4 4 7" xfId="48416"/>
    <cellStyle name="Total 2 2 3 4 4 8" xfId="56438"/>
    <cellStyle name="Total 2 2 3 4 5" xfId="3496"/>
    <cellStyle name="Total 2 2 3 4 5 2" xfId="26412"/>
    <cellStyle name="Total 2 2 3 4 5 3" xfId="26413"/>
    <cellStyle name="Total 2 2 3 4 5 4" xfId="26414"/>
    <cellStyle name="Total 2 2 3 4 5 5" xfId="26415"/>
    <cellStyle name="Total 2 2 3 4 5 6" xfId="38065"/>
    <cellStyle name="Total 2 2 3 4 5 7" xfId="48417"/>
    <cellStyle name="Total 2 2 3 4 5 8" xfId="56439"/>
    <cellStyle name="Total 2 2 3 4 6" xfId="3814"/>
    <cellStyle name="Total 2 2 3 4 6 2" xfId="26416"/>
    <cellStyle name="Total 2 2 3 4 6 3" xfId="26417"/>
    <cellStyle name="Total 2 2 3 4 6 4" xfId="26418"/>
    <cellStyle name="Total 2 2 3 4 6 5" xfId="26419"/>
    <cellStyle name="Total 2 2 3 4 6 6" xfId="38683"/>
    <cellStyle name="Total 2 2 3 4 6 7" xfId="48418"/>
    <cellStyle name="Total 2 2 3 4 6 8" xfId="56440"/>
    <cellStyle name="Total 2 2 3 4 7" xfId="26420"/>
    <cellStyle name="Total 2 2 3 4 7 2" xfId="26421"/>
    <cellStyle name="Total 2 2 3 4 7 3" xfId="26422"/>
    <cellStyle name="Total 2 2 3 4 7 4" xfId="26423"/>
    <cellStyle name="Total 2 2 3 4 7 5" xfId="26424"/>
    <cellStyle name="Total 2 2 3 4 7 6" xfId="39303"/>
    <cellStyle name="Total 2 2 3 4 7 7" xfId="48419"/>
    <cellStyle name="Total 2 2 3 4 7 8" xfId="56441"/>
    <cellStyle name="Total 2 2 3 4 8" xfId="26425"/>
    <cellStyle name="Total 2 2 3 4 8 2" xfId="26426"/>
    <cellStyle name="Total 2 2 3 4 8 3" xfId="26427"/>
    <cellStyle name="Total 2 2 3 4 8 4" xfId="26428"/>
    <cellStyle name="Total 2 2 3 4 8 5" xfId="26429"/>
    <cellStyle name="Total 2 2 3 4 8 6" xfId="39919"/>
    <cellStyle name="Total 2 2 3 4 8 7" xfId="48420"/>
    <cellStyle name="Total 2 2 3 4 8 8" xfId="56442"/>
    <cellStyle name="Total 2 2 3 4 9" xfId="26430"/>
    <cellStyle name="Total 2 2 3 4 9 2" xfId="26431"/>
    <cellStyle name="Total 2 2 3 4 9 3" xfId="26432"/>
    <cellStyle name="Total 2 2 3 4 9 4" xfId="26433"/>
    <cellStyle name="Total 2 2 3 4 9 5" xfId="26434"/>
    <cellStyle name="Total 2 2 3 4 9 6" xfId="40534"/>
    <cellStyle name="Total 2 2 3 4 9 7" xfId="48421"/>
    <cellStyle name="Total 2 2 3 4 9 8" xfId="56443"/>
    <cellStyle name="Total 2 2 3 5" xfId="2755"/>
    <cellStyle name="Total 2 2 3 5 10" xfId="34643"/>
    <cellStyle name="Total 2 2 3 5 10 2" xfId="48423"/>
    <cellStyle name="Total 2 2 3 5 10 3" xfId="56445"/>
    <cellStyle name="Total 2 2 3 5 11" xfId="41046"/>
    <cellStyle name="Total 2 2 3 5 12" xfId="48422"/>
    <cellStyle name="Total 2 2 3 5 13" xfId="56444"/>
    <cellStyle name="Total 2 2 3 5 2" xfId="2756"/>
    <cellStyle name="Total 2 2 3 5 2 2" xfId="36123"/>
    <cellStyle name="Total 2 2 3 5 2 3" xfId="48424"/>
    <cellStyle name="Total 2 2 3 5 2 4" xfId="56446"/>
    <cellStyle name="Total 2 2 3 5 3" xfId="2757"/>
    <cellStyle name="Total 2 2 3 5 3 2" xfId="36622"/>
    <cellStyle name="Total 2 2 3 5 3 3" xfId="48425"/>
    <cellStyle name="Total 2 2 3 5 3 4" xfId="56447"/>
    <cellStyle name="Total 2 2 3 5 4" xfId="26435"/>
    <cellStyle name="Total 2 2 3 5 4 2" xfId="37238"/>
    <cellStyle name="Total 2 2 3 5 4 3" xfId="48426"/>
    <cellStyle name="Total 2 2 3 5 4 4" xfId="56448"/>
    <cellStyle name="Total 2 2 3 5 5" xfId="26436"/>
    <cellStyle name="Total 2 2 3 5 5 2" xfId="37854"/>
    <cellStyle name="Total 2 2 3 5 5 3" xfId="48427"/>
    <cellStyle name="Total 2 2 3 5 5 4" xfId="56449"/>
    <cellStyle name="Total 2 2 3 5 6" xfId="38469"/>
    <cellStyle name="Total 2 2 3 5 6 2" xfId="48428"/>
    <cellStyle name="Total 2 2 3 5 6 3" xfId="56450"/>
    <cellStyle name="Total 2 2 3 5 7" xfId="39089"/>
    <cellStyle name="Total 2 2 3 5 7 2" xfId="48429"/>
    <cellStyle name="Total 2 2 3 5 7 3" xfId="56451"/>
    <cellStyle name="Total 2 2 3 5 8" xfId="39705"/>
    <cellStyle name="Total 2 2 3 5 8 2" xfId="48430"/>
    <cellStyle name="Total 2 2 3 5 8 3" xfId="56452"/>
    <cellStyle name="Total 2 2 3 5 9" xfId="40320"/>
    <cellStyle name="Total 2 2 3 5 9 2" xfId="48431"/>
    <cellStyle name="Total 2 2 3 5 9 3" xfId="56453"/>
    <cellStyle name="Total 2 2 3 6" xfId="1421"/>
    <cellStyle name="Total 2 2 3 6 10" xfId="48432"/>
    <cellStyle name="Total 2 2 3 6 11" xfId="56454"/>
    <cellStyle name="Total 2 2 3 6 2" xfId="26437"/>
    <cellStyle name="Total 2 2 3 6 2 2" xfId="48433"/>
    <cellStyle name="Total 2 2 3 6 2 3" xfId="56455"/>
    <cellStyle name="Total 2 2 3 6 3" xfId="26438"/>
    <cellStyle name="Total 2 2 3 6 3 2" xfId="48434"/>
    <cellStyle name="Total 2 2 3 6 3 3" xfId="56456"/>
    <cellStyle name="Total 2 2 3 6 4" xfId="26439"/>
    <cellStyle name="Total 2 2 3 6 4 2" xfId="48435"/>
    <cellStyle name="Total 2 2 3 6 4 3" xfId="56457"/>
    <cellStyle name="Total 2 2 3 6 5" xfId="26440"/>
    <cellStyle name="Total 2 2 3 6 5 2" xfId="48436"/>
    <cellStyle name="Total 2 2 3 6 5 3" xfId="56458"/>
    <cellStyle name="Total 2 2 3 6 6" xfId="35441"/>
    <cellStyle name="Total 2 2 3 6 6 2" xfId="48437"/>
    <cellStyle name="Total 2 2 3 6 6 3" xfId="56459"/>
    <cellStyle name="Total 2 2 3 6 7" xfId="48438"/>
    <cellStyle name="Total 2 2 3 6 7 2" xfId="56460"/>
    <cellStyle name="Total 2 2 3 6 8" xfId="48439"/>
    <cellStyle name="Total 2 2 3 6 8 2" xfId="56461"/>
    <cellStyle name="Total 2 2 3 6 9" xfId="48440"/>
    <cellStyle name="Total 2 2 3 6 9 2" xfId="56462"/>
    <cellStyle name="Total 2 2 3 7" xfId="3491"/>
    <cellStyle name="Total 2 2 3 7 2" xfId="26441"/>
    <cellStyle name="Total 2 2 3 7 3" xfId="26442"/>
    <cellStyle name="Total 2 2 3 7 4" xfId="26443"/>
    <cellStyle name="Total 2 2 3 7 5" xfId="26444"/>
    <cellStyle name="Total 2 2 3 7 6" xfId="35973"/>
    <cellStyle name="Total 2 2 3 7 7" xfId="48441"/>
    <cellStyle name="Total 2 2 3 7 8" xfId="56463"/>
    <cellStyle name="Total 2 2 3 8" xfId="3809"/>
    <cellStyle name="Total 2 2 3 8 2" xfId="26445"/>
    <cellStyle name="Total 2 2 3 8 3" xfId="26446"/>
    <cellStyle name="Total 2 2 3 8 4" xfId="26447"/>
    <cellStyle name="Total 2 2 3 8 5" xfId="26448"/>
    <cellStyle name="Total 2 2 3 8 6" xfId="35803"/>
    <cellStyle name="Total 2 2 3 8 7" xfId="48442"/>
    <cellStyle name="Total 2 2 3 8 8" xfId="56464"/>
    <cellStyle name="Total 2 2 3 9" xfId="26449"/>
    <cellStyle name="Total 2 2 3 9 2" xfId="26450"/>
    <cellStyle name="Total 2 2 3 9 3" xfId="26451"/>
    <cellStyle name="Total 2 2 3 9 4" xfId="26452"/>
    <cellStyle name="Total 2 2 3 9 5" xfId="26453"/>
    <cellStyle name="Total 2 2 3 9 6" xfId="37018"/>
    <cellStyle name="Total 2 2 3 9 7" xfId="48443"/>
    <cellStyle name="Total 2 2 3 9 8" xfId="56465"/>
    <cellStyle name="Total 2 2 4" xfId="427"/>
    <cellStyle name="Total 2 2 4 10" xfId="26454"/>
    <cellStyle name="Total 2 2 4 10 2" xfId="26455"/>
    <cellStyle name="Total 2 2 4 10 3" xfId="26456"/>
    <cellStyle name="Total 2 2 4 10 4" xfId="26457"/>
    <cellStyle name="Total 2 2 4 10 5" xfId="26458"/>
    <cellStyle name="Total 2 2 4 10 6" xfId="39601"/>
    <cellStyle name="Total 2 2 4 10 7" xfId="48444"/>
    <cellStyle name="Total 2 2 4 10 8" xfId="56466"/>
    <cellStyle name="Total 2 2 4 11" xfId="26459"/>
    <cellStyle name="Total 2 2 4 11 2" xfId="26460"/>
    <cellStyle name="Total 2 2 4 11 3" xfId="26461"/>
    <cellStyle name="Total 2 2 4 11 4" xfId="26462"/>
    <cellStyle name="Total 2 2 4 11 5" xfId="26463"/>
    <cellStyle name="Total 2 2 4 11 6" xfId="40216"/>
    <cellStyle name="Total 2 2 4 11 7" xfId="48445"/>
    <cellStyle name="Total 2 2 4 11 8" xfId="56467"/>
    <cellStyle name="Total 2 2 4 12" xfId="26464"/>
    <cellStyle name="Total 2 2 4 12 2" xfId="26465"/>
    <cellStyle name="Total 2 2 4 12 3" xfId="26466"/>
    <cellStyle name="Total 2 2 4 12 4" xfId="26467"/>
    <cellStyle name="Total 2 2 4 12 5" xfId="26468"/>
    <cellStyle name="Total 2 2 4 12 6" xfId="48446"/>
    <cellStyle name="Total 2 2 4 12 7" xfId="56468"/>
    <cellStyle name="Total 2 2 4 13" xfId="26469"/>
    <cellStyle name="Total 2 2 4 13 2" xfId="26470"/>
    <cellStyle name="Total 2 2 4 13 3" xfId="26471"/>
    <cellStyle name="Total 2 2 4 13 4" xfId="26472"/>
    <cellStyle name="Total 2 2 4 13 5" xfId="26473"/>
    <cellStyle name="Total 2 2 4 13 6" xfId="48447"/>
    <cellStyle name="Total 2 2 4 13 7" xfId="56469"/>
    <cellStyle name="Total 2 2 4 14" xfId="26474"/>
    <cellStyle name="Total 2 2 4 14 2" xfId="26475"/>
    <cellStyle name="Total 2 2 4 14 3" xfId="26476"/>
    <cellStyle name="Total 2 2 4 14 4" xfId="26477"/>
    <cellStyle name="Total 2 2 4 14 5" xfId="26478"/>
    <cellStyle name="Total 2 2 4 15" xfId="26479"/>
    <cellStyle name="Total 2 2 4 15 2" xfId="26480"/>
    <cellStyle name="Total 2 2 4 15 3" xfId="26481"/>
    <cellStyle name="Total 2 2 4 15 4" xfId="26482"/>
    <cellStyle name="Total 2 2 4 15 5" xfId="26483"/>
    <cellStyle name="Total 2 2 4 16" xfId="26484"/>
    <cellStyle name="Total 2 2 4 16 2" xfId="26485"/>
    <cellStyle name="Total 2 2 4 16 3" xfId="26486"/>
    <cellStyle name="Total 2 2 4 16 4" xfId="26487"/>
    <cellStyle name="Total 2 2 4 16 5" xfId="26488"/>
    <cellStyle name="Total 2 2 4 17" xfId="26489"/>
    <cellStyle name="Total 2 2 4 17 2" xfId="26490"/>
    <cellStyle name="Total 2 2 4 17 3" xfId="26491"/>
    <cellStyle name="Total 2 2 4 17 4" xfId="26492"/>
    <cellStyle name="Total 2 2 4 17 5" xfId="26493"/>
    <cellStyle name="Total 2 2 4 18" xfId="26494"/>
    <cellStyle name="Total 2 2 4 18 2" xfId="26495"/>
    <cellStyle name="Total 2 2 4 18 3" xfId="26496"/>
    <cellStyle name="Total 2 2 4 18 4" xfId="26497"/>
    <cellStyle name="Total 2 2 4 18 5" xfId="26498"/>
    <cellStyle name="Total 2 2 4 19" xfId="26499"/>
    <cellStyle name="Total 2 2 4 2" xfId="642"/>
    <cellStyle name="Total 2 2 4 2 10" xfId="26500"/>
    <cellStyle name="Total 2 2 4 2 10 2" xfId="26501"/>
    <cellStyle name="Total 2 2 4 2 10 3" xfId="26502"/>
    <cellStyle name="Total 2 2 4 2 10 4" xfId="26503"/>
    <cellStyle name="Total 2 2 4 2 10 5" xfId="26504"/>
    <cellStyle name="Total 2 2 4 2 10 6" xfId="48448"/>
    <cellStyle name="Total 2 2 4 2 10 7" xfId="56470"/>
    <cellStyle name="Total 2 2 4 2 11" xfId="26505"/>
    <cellStyle name="Total 2 2 4 2 11 2" xfId="26506"/>
    <cellStyle name="Total 2 2 4 2 11 3" xfId="26507"/>
    <cellStyle name="Total 2 2 4 2 11 4" xfId="26508"/>
    <cellStyle name="Total 2 2 4 2 11 5" xfId="26509"/>
    <cellStyle name="Total 2 2 4 2 12" xfId="26510"/>
    <cellStyle name="Total 2 2 4 2 12 2" xfId="26511"/>
    <cellStyle name="Total 2 2 4 2 12 3" xfId="26512"/>
    <cellStyle name="Total 2 2 4 2 12 4" xfId="26513"/>
    <cellStyle name="Total 2 2 4 2 12 5" xfId="26514"/>
    <cellStyle name="Total 2 2 4 2 13" xfId="26515"/>
    <cellStyle name="Total 2 2 4 2 13 2" xfId="26516"/>
    <cellStyle name="Total 2 2 4 2 13 3" xfId="26517"/>
    <cellStyle name="Total 2 2 4 2 13 4" xfId="26518"/>
    <cellStyle name="Total 2 2 4 2 13 5" xfId="26519"/>
    <cellStyle name="Total 2 2 4 2 14" xfId="26520"/>
    <cellStyle name="Total 2 2 4 2 14 2" xfId="26521"/>
    <cellStyle name="Total 2 2 4 2 14 3" xfId="26522"/>
    <cellStyle name="Total 2 2 4 2 14 4" xfId="26523"/>
    <cellStyle name="Total 2 2 4 2 14 5" xfId="26524"/>
    <cellStyle name="Total 2 2 4 2 15" xfId="26525"/>
    <cellStyle name="Total 2 2 4 2 15 2" xfId="26526"/>
    <cellStyle name="Total 2 2 4 2 15 3" xfId="26527"/>
    <cellStyle name="Total 2 2 4 2 15 4" xfId="26528"/>
    <cellStyle name="Total 2 2 4 2 15 5" xfId="26529"/>
    <cellStyle name="Total 2 2 4 2 16" xfId="26530"/>
    <cellStyle name="Total 2 2 4 2 16 2" xfId="26531"/>
    <cellStyle name="Total 2 2 4 2 16 3" xfId="26532"/>
    <cellStyle name="Total 2 2 4 2 16 4" xfId="26533"/>
    <cellStyle name="Total 2 2 4 2 16 5" xfId="26534"/>
    <cellStyle name="Total 2 2 4 2 17" xfId="26535"/>
    <cellStyle name="Total 2 2 4 2 17 2" xfId="26536"/>
    <cellStyle name="Total 2 2 4 2 17 3" xfId="26537"/>
    <cellStyle name="Total 2 2 4 2 17 4" xfId="26538"/>
    <cellStyle name="Total 2 2 4 2 17 5" xfId="26539"/>
    <cellStyle name="Total 2 2 4 2 18" xfId="26540"/>
    <cellStyle name="Total 2 2 4 2 18 2" xfId="26541"/>
    <cellStyle name="Total 2 2 4 2 18 3" xfId="26542"/>
    <cellStyle name="Total 2 2 4 2 18 4" xfId="26543"/>
    <cellStyle name="Total 2 2 4 2 18 5" xfId="26544"/>
    <cellStyle name="Total 2 2 4 2 19" xfId="26545"/>
    <cellStyle name="Total 2 2 4 2 2" xfId="2758"/>
    <cellStyle name="Total 2 2 4 2 2 2" xfId="26546"/>
    <cellStyle name="Total 2 2 4 2 2 2 2" xfId="48450"/>
    <cellStyle name="Total 2 2 4 2 2 2 3" xfId="56472"/>
    <cellStyle name="Total 2 2 4 2 2 3" xfId="26547"/>
    <cellStyle name="Total 2 2 4 2 2 4" xfId="26548"/>
    <cellStyle name="Total 2 2 4 2 2 5" xfId="26549"/>
    <cellStyle name="Total 2 2 4 2 2 6" xfId="36445"/>
    <cellStyle name="Total 2 2 4 2 2 7" xfId="48449"/>
    <cellStyle name="Total 2 2 4 2 2 8" xfId="56471"/>
    <cellStyle name="Total 2 2 4 2 20" xfId="1070"/>
    <cellStyle name="Total 2 2 4 2 21" xfId="35150"/>
    <cellStyle name="Total 2 2 4 2 22" xfId="41370"/>
    <cellStyle name="Total 2 2 4 2 3" xfId="2759"/>
    <cellStyle name="Total 2 2 4 2 3 2" xfId="26550"/>
    <cellStyle name="Total 2 2 4 2 3 3" xfId="26551"/>
    <cellStyle name="Total 2 2 4 2 3 4" xfId="26552"/>
    <cellStyle name="Total 2 2 4 2 3 5" xfId="26553"/>
    <cellStyle name="Total 2 2 4 2 3 6" xfId="36942"/>
    <cellStyle name="Total 2 2 4 2 3 7" xfId="48451"/>
    <cellStyle name="Total 2 2 4 2 3 8" xfId="56473"/>
    <cellStyle name="Total 2 2 4 2 4" xfId="1428"/>
    <cellStyle name="Total 2 2 4 2 4 2" xfId="26554"/>
    <cellStyle name="Total 2 2 4 2 4 3" xfId="26555"/>
    <cellStyle name="Total 2 2 4 2 4 4" xfId="26556"/>
    <cellStyle name="Total 2 2 4 2 4 5" xfId="26557"/>
    <cellStyle name="Total 2 2 4 2 4 6" xfId="37558"/>
    <cellStyle name="Total 2 2 4 2 4 7" xfId="48452"/>
    <cellStyle name="Total 2 2 4 2 4 8" xfId="56474"/>
    <cellStyle name="Total 2 2 4 2 5" xfId="3498"/>
    <cellStyle name="Total 2 2 4 2 5 2" xfId="26558"/>
    <cellStyle name="Total 2 2 4 2 5 3" xfId="26559"/>
    <cellStyle name="Total 2 2 4 2 5 4" xfId="26560"/>
    <cellStyle name="Total 2 2 4 2 5 5" xfId="26561"/>
    <cellStyle name="Total 2 2 4 2 5 6" xfId="38175"/>
    <cellStyle name="Total 2 2 4 2 5 7" xfId="48453"/>
    <cellStyle name="Total 2 2 4 2 5 8" xfId="56475"/>
    <cellStyle name="Total 2 2 4 2 6" xfId="3816"/>
    <cellStyle name="Total 2 2 4 2 6 2" xfId="26562"/>
    <cellStyle name="Total 2 2 4 2 6 3" xfId="26563"/>
    <cellStyle name="Total 2 2 4 2 6 4" xfId="26564"/>
    <cellStyle name="Total 2 2 4 2 6 5" xfId="26565"/>
    <cellStyle name="Total 2 2 4 2 6 6" xfId="38793"/>
    <cellStyle name="Total 2 2 4 2 6 7" xfId="48454"/>
    <cellStyle name="Total 2 2 4 2 6 8" xfId="56476"/>
    <cellStyle name="Total 2 2 4 2 7" xfId="26566"/>
    <cellStyle name="Total 2 2 4 2 7 2" xfId="26567"/>
    <cellStyle name="Total 2 2 4 2 7 3" xfId="26568"/>
    <cellStyle name="Total 2 2 4 2 7 4" xfId="26569"/>
    <cellStyle name="Total 2 2 4 2 7 5" xfId="26570"/>
    <cellStyle name="Total 2 2 4 2 7 6" xfId="39413"/>
    <cellStyle name="Total 2 2 4 2 7 7" xfId="48455"/>
    <cellStyle name="Total 2 2 4 2 7 8" xfId="56477"/>
    <cellStyle name="Total 2 2 4 2 8" xfId="26571"/>
    <cellStyle name="Total 2 2 4 2 8 2" xfId="26572"/>
    <cellStyle name="Total 2 2 4 2 8 3" xfId="26573"/>
    <cellStyle name="Total 2 2 4 2 8 4" xfId="26574"/>
    <cellStyle name="Total 2 2 4 2 8 5" xfId="26575"/>
    <cellStyle name="Total 2 2 4 2 8 6" xfId="40029"/>
    <cellStyle name="Total 2 2 4 2 8 7" xfId="48456"/>
    <cellStyle name="Total 2 2 4 2 8 8" xfId="56478"/>
    <cellStyle name="Total 2 2 4 2 9" xfId="26576"/>
    <cellStyle name="Total 2 2 4 2 9 2" xfId="26577"/>
    <cellStyle name="Total 2 2 4 2 9 3" xfId="26578"/>
    <cellStyle name="Total 2 2 4 2 9 4" xfId="26579"/>
    <cellStyle name="Total 2 2 4 2 9 5" xfId="26580"/>
    <cellStyle name="Total 2 2 4 2 9 6" xfId="40644"/>
    <cellStyle name="Total 2 2 4 2 9 7" xfId="48457"/>
    <cellStyle name="Total 2 2 4 2 9 8" xfId="56479"/>
    <cellStyle name="Total 2 2 4 20" xfId="858"/>
    <cellStyle name="Total 2 2 4 21" xfId="34678"/>
    <cellStyle name="Total 2 2 4 22" xfId="40942"/>
    <cellStyle name="Total 2 2 4 23" xfId="41503"/>
    <cellStyle name="Total 2 2 4 24" xfId="50590"/>
    <cellStyle name="Total 2 2 4 3" xfId="2760"/>
    <cellStyle name="Total 2 2 4 3 10" xfId="34591"/>
    <cellStyle name="Total 2 2 4 3 10 2" xfId="48459"/>
    <cellStyle name="Total 2 2 4 3 10 3" xfId="56481"/>
    <cellStyle name="Total 2 2 4 3 11" xfId="41157"/>
    <cellStyle name="Total 2 2 4 3 12" xfId="48458"/>
    <cellStyle name="Total 2 2 4 3 13" xfId="56480"/>
    <cellStyle name="Total 2 2 4 3 2" xfId="2761"/>
    <cellStyle name="Total 2 2 4 3 2 2" xfId="36234"/>
    <cellStyle name="Total 2 2 4 3 2 3" xfId="48460"/>
    <cellStyle name="Total 2 2 4 3 2 4" xfId="56482"/>
    <cellStyle name="Total 2 2 4 3 3" xfId="2762"/>
    <cellStyle name="Total 2 2 4 3 3 2" xfId="36731"/>
    <cellStyle name="Total 2 2 4 3 3 3" xfId="48461"/>
    <cellStyle name="Total 2 2 4 3 3 4" xfId="56483"/>
    <cellStyle name="Total 2 2 4 3 4" xfId="26581"/>
    <cellStyle name="Total 2 2 4 3 4 2" xfId="37347"/>
    <cellStyle name="Total 2 2 4 3 4 3" xfId="48462"/>
    <cellStyle name="Total 2 2 4 3 4 4" xfId="56484"/>
    <cellStyle name="Total 2 2 4 3 5" xfId="26582"/>
    <cellStyle name="Total 2 2 4 3 5 2" xfId="37963"/>
    <cellStyle name="Total 2 2 4 3 5 3" xfId="48463"/>
    <cellStyle name="Total 2 2 4 3 5 4" xfId="56485"/>
    <cellStyle name="Total 2 2 4 3 6" xfId="38580"/>
    <cellStyle name="Total 2 2 4 3 6 2" xfId="48464"/>
    <cellStyle name="Total 2 2 4 3 6 3" xfId="56486"/>
    <cellStyle name="Total 2 2 4 3 7" xfId="39200"/>
    <cellStyle name="Total 2 2 4 3 7 2" xfId="48465"/>
    <cellStyle name="Total 2 2 4 3 7 3" xfId="56487"/>
    <cellStyle name="Total 2 2 4 3 8" xfId="39816"/>
    <cellStyle name="Total 2 2 4 3 8 2" xfId="48466"/>
    <cellStyle name="Total 2 2 4 3 8 3" xfId="56488"/>
    <cellStyle name="Total 2 2 4 3 9" xfId="40431"/>
    <cellStyle name="Total 2 2 4 3 9 2" xfId="48467"/>
    <cellStyle name="Total 2 2 4 3 9 3" xfId="56489"/>
    <cellStyle name="Total 2 2 4 4" xfId="2763"/>
    <cellStyle name="Total 2 2 4 4 10" xfId="48468"/>
    <cellStyle name="Total 2 2 4 4 11" xfId="56490"/>
    <cellStyle name="Total 2 2 4 4 2" xfId="26583"/>
    <cellStyle name="Total 2 2 4 4 2 2" xfId="48469"/>
    <cellStyle name="Total 2 2 4 4 2 3" xfId="56491"/>
    <cellStyle name="Total 2 2 4 4 3" xfId="26584"/>
    <cellStyle name="Total 2 2 4 4 3 2" xfId="48470"/>
    <cellStyle name="Total 2 2 4 4 3 3" xfId="56492"/>
    <cellStyle name="Total 2 2 4 4 4" xfId="26585"/>
    <cellStyle name="Total 2 2 4 4 4 2" xfId="48471"/>
    <cellStyle name="Total 2 2 4 4 4 3" xfId="56493"/>
    <cellStyle name="Total 2 2 4 4 5" xfId="26586"/>
    <cellStyle name="Total 2 2 4 4 5 2" xfId="48472"/>
    <cellStyle name="Total 2 2 4 4 5 3" xfId="56494"/>
    <cellStyle name="Total 2 2 4 4 6" xfId="35648"/>
    <cellStyle name="Total 2 2 4 4 6 2" xfId="48473"/>
    <cellStyle name="Total 2 2 4 4 6 3" xfId="56495"/>
    <cellStyle name="Total 2 2 4 4 7" xfId="48474"/>
    <cellStyle name="Total 2 2 4 4 7 2" xfId="56496"/>
    <cellStyle name="Total 2 2 4 4 8" xfId="48475"/>
    <cellStyle name="Total 2 2 4 4 8 2" xfId="56497"/>
    <cellStyle name="Total 2 2 4 4 9" xfId="48476"/>
    <cellStyle name="Total 2 2 4 4 9 2" xfId="56498"/>
    <cellStyle name="Total 2 2 4 5" xfId="1427"/>
    <cellStyle name="Total 2 2 4 5 2" xfId="26587"/>
    <cellStyle name="Total 2 2 4 5 3" xfId="26588"/>
    <cellStyle name="Total 2 2 4 5 4" xfId="26589"/>
    <cellStyle name="Total 2 2 4 5 5" xfId="26590"/>
    <cellStyle name="Total 2 2 4 5 6" xfId="36519"/>
    <cellStyle name="Total 2 2 4 5 7" xfId="48477"/>
    <cellStyle name="Total 2 2 4 5 8" xfId="56499"/>
    <cellStyle name="Total 2 2 4 6" xfId="3497"/>
    <cellStyle name="Total 2 2 4 6 2" xfId="26591"/>
    <cellStyle name="Total 2 2 4 6 3" xfId="26592"/>
    <cellStyle name="Total 2 2 4 6 4" xfId="26593"/>
    <cellStyle name="Total 2 2 4 6 5" xfId="26594"/>
    <cellStyle name="Total 2 2 4 6 6" xfId="37135"/>
    <cellStyle name="Total 2 2 4 6 7" xfId="48478"/>
    <cellStyle name="Total 2 2 4 6 8" xfId="56500"/>
    <cellStyle name="Total 2 2 4 7" xfId="3815"/>
    <cellStyle name="Total 2 2 4 7 2" xfId="26595"/>
    <cellStyle name="Total 2 2 4 7 3" xfId="26596"/>
    <cellStyle name="Total 2 2 4 7 4" xfId="26597"/>
    <cellStyle name="Total 2 2 4 7 5" xfId="26598"/>
    <cellStyle name="Total 2 2 4 7 6" xfId="37749"/>
    <cellStyle name="Total 2 2 4 7 7" xfId="48479"/>
    <cellStyle name="Total 2 2 4 7 8" xfId="56501"/>
    <cellStyle name="Total 2 2 4 8" xfId="26599"/>
    <cellStyle name="Total 2 2 4 8 2" xfId="26600"/>
    <cellStyle name="Total 2 2 4 8 3" xfId="26601"/>
    <cellStyle name="Total 2 2 4 8 4" xfId="26602"/>
    <cellStyle name="Total 2 2 4 8 5" xfId="26603"/>
    <cellStyle name="Total 2 2 4 8 6" xfId="38365"/>
    <cellStyle name="Total 2 2 4 8 7" xfId="48480"/>
    <cellStyle name="Total 2 2 4 8 8" xfId="56502"/>
    <cellStyle name="Total 2 2 4 9" xfId="26604"/>
    <cellStyle name="Total 2 2 4 9 2" xfId="26605"/>
    <cellStyle name="Total 2 2 4 9 3" xfId="26606"/>
    <cellStyle name="Total 2 2 4 9 4" xfId="26607"/>
    <cellStyle name="Total 2 2 4 9 5" xfId="26608"/>
    <cellStyle name="Total 2 2 4 9 6" xfId="38985"/>
    <cellStyle name="Total 2 2 4 9 7" xfId="48481"/>
    <cellStyle name="Total 2 2 4 9 8" xfId="56503"/>
    <cellStyle name="Total 2 2 5" xfId="428"/>
    <cellStyle name="Total 2 2 5 10" xfId="26609"/>
    <cellStyle name="Total 2 2 5 10 2" xfId="26610"/>
    <cellStyle name="Total 2 2 5 10 3" xfId="26611"/>
    <cellStyle name="Total 2 2 5 10 4" xfId="26612"/>
    <cellStyle name="Total 2 2 5 10 5" xfId="26613"/>
    <cellStyle name="Total 2 2 5 10 6" xfId="40217"/>
    <cellStyle name="Total 2 2 5 10 7" xfId="48482"/>
    <cellStyle name="Total 2 2 5 10 8" xfId="56504"/>
    <cellStyle name="Total 2 2 5 11" xfId="26614"/>
    <cellStyle name="Total 2 2 5 11 2" xfId="26615"/>
    <cellStyle name="Total 2 2 5 11 3" xfId="26616"/>
    <cellStyle name="Total 2 2 5 11 4" xfId="26617"/>
    <cellStyle name="Total 2 2 5 11 5" xfId="26618"/>
    <cellStyle name="Total 2 2 5 11 6" xfId="48483"/>
    <cellStyle name="Total 2 2 5 11 7" xfId="56505"/>
    <cellStyle name="Total 2 2 5 12" xfId="26619"/>
    <cellStyle name="Total 2 2 5 12 2" xfId="26620"/>
    <cellStyle name="Total 2 2 5 12 3" xfId="26621"/>
    <cellStyle name="Total 2 2 5 12 4" xfId="26622"/>
    <cellStyle name="Total 2 2 5 12 5" xfId="26623"/>
    <cellStyle name="Total 2 2 5 12 6" xfId="48484"/>
    <cellStyle name="Total 2 2 5 12 7" xfId="56506"/>
    <cellStyle name="Total 2 2 5 13" xfId="26624"/>
    <cellStyle name="Total 2 2 5 13 2" xfId="26625"/>
    <cellStyle name="Total 2 2 5 13 3" xfId="26626"/>
    <cellStyle name="Total 2 2 5 13 4" xfId="26627"/>
    <cellStyle name="Total 2 2 5 13 5" xfId="26628"/>
    <cellStyle name="Total 2 2 5 13 6" xfId="48485"/>
    <cellStyle name="Total 2 2 5 13 7" xfId="56507"/>
    <cellStyle name="Total 2 2 5 14" xfId="26629"/>
    <cellStyle name="Total 2 2 5 14 2" xfId="26630"/>
    <cellStyle name="Total 2 2 5 14 3" xfId="26631"/>
    <cellStyle name="Total 2 2 5 14 4" xfId="26632"/>
    <cellStyle name="Total 2 2 5 14 5" xfId="26633"/>
    <cellStyle name="Total 2 2 5 15" xfId="26634"/>
    <cellStyle name="Total 2 2 5 15 2" xfId="26635"/>
    <cellStyle name="Total 2 2 5 15 3" xfId="26636"/>
    <cellStyle name="Total 2 2 5 15 4" xfId="26637"/>
    <cellStyle name="Total 2 2 5 15 5" xfId="26638"/>
    <cellStyle name="Total 2 2 5 16" xfId="26639"/>
    <cellStyle name="Total 2 2 5 16 2" xfId="26640"/>
    <cellStyle name="Total 2 2 5 16 3" xfId="26641"/>
    <cellStyle name="Total 2 2 5 16 4" xfId="26642"/>
    <cellStyle name="Total 2 2 5 16 5" xfId="26643"/>
    <cellStyle name="Total 2 2 5 17" xfId="26644"/>
    <cellStyle name="Total 2 2 5 17 2" xfId="26645"/>
    <cellStyle name="Total 2 2 5 17 3" xfId="26646"/>
    <cellStyle name="Total 2 2 5 17 4" xfId="26647"/>
    <cellStyle name="Total 2 2 5 17 5" xfId="26648"/>
    <cellStyle name="Total 2 2 5 18" xfId="26649"/>
    <cellStyle name="Total 2 2 5 18 2" xfId="26650"/>
    <cellStyle name="Total 2 2 5 18 3" xfId="26651"/>
    <cellStyle name="Total 2 2 5 18 4" xfId="26652"/>
    <cellStyle name="Total 2 2 5 18 5" xfId="26653"/>
    <cellStyle name="Total 2 2 5 19" xfId="26654"/>
    <cellStyle name="Total 2 2 5 2" xfId="643"/>
    <cellStyle name="Total 2 2 5 2 10" xfId="26655"/>
    <cellStyle name="Total 2 2 5 2 10 2" xfId="26656"/>
    <cellStyle name="Total 2 2 5 2 10 3" xfId="26657"/>
    <cellStyle name="Total 2 2 5 2 10 4" xfId="26658"/>
    <cellStyle name="Total 2 2 5 2 10 5" xfId="26659"/>
    <cellStyle name="Total 2 2 5 2 10 6" xfId="48486"/>
    <cellStyle name="Total 2 2 5 2 10 7" xfId="56508"/>
    <cellStyle name="Total 2 2 5 2 11" xfId="26660"/>
    <cellStyle name="Total 2 2 5 2 11 2" xfId="26661"/>
    <cellStyle name="Total 2 2 5 2 11 3" xfId="26662"/>
    <cellStyle name="Total 2 2 5 2 11 4" xfId="26663"/>
    <cellStyle name="Total 2 2 5 2 11 5" xfId="26664"/>
    <cellStyle name="Total 2 2 5 2 12" xfId="26665"/>
    <cellStyle name="Total 2 2 5 2 12 2" xfId="26666"/>
    <cellStyle name="Total 2 2 5 2 12 3" xfId="26667"/>
    <cellStyle name="Total 2 2 5 2 12 4" xfId="26668"/>
    <cellStyle name="Total 2 2 5 2 12 5" xfId="26669"/>
    <cellStyle name="Total 2 2 5 2 13" xfId="26670"/>
    <cellStyle name="Total 2 2 5 2 13 2" xfId="26671"/>
    <cellStyle name="Total 2 2 5 2 13 3" xfId="26672"/>
    <cellStyle name="Total 2 2 5 2 13 4" xfId="26673"/>
    <cellStyle name="Total 2 2 5 2 13 5" xfId="26674"/>
    <cellStyle name="Total 2 2 5 2 14" xfId="26675"/>
    <cellStyle name="Total 2 2 5 2 14 2" xfId="26676"/>
    <cellStyle name="Total 2 2 5 2 14 3" xfId="26677"/>
    <cellStyle name="Total 2 2 5 2 14 4" xfId="26678"/>
    <cellStyle name="Total 2 2 5 2 14 5" xfId="26679"/>
    <cellStyle name="Total 2 2 5 2 15" xfId="26680"/>
    <cellStyle name="Total 2 2 5 2 15 2" xfId="26681"/>
    <cellStyle name="Total 2 2 5 2 15 3" xfId="26682"/>
    <cellStyle name="Total 2 2 5 2 15 4" xfId="26683"/>
    <cellStyle name="Total 2 2 5 2 15 5" xfId="26684"/>
    <cellStyle name="Total 2 2 5 2 16" xfId="26685"/>
    <cellStyle name="Total 2 2 5 2 16 2" xfId="26686"/>
    <cellStyle name="Total 2 2 5 2 16 3" xfId="26687"/>
    <cellStyle name="Total 2 2 5 2 16 4" xfId="26688"/>
    <cellStyle name="Total 2 2 5 2 16 5" xfId="26689"/>
    <cellStyle name="Total 2 2 5 2 17" xfId="26690"/>
    <cellStyle name="Total 2 2 5 2 17 2" xfId="26691"/>
    <cellStyle name="Total 2 2 5 2 17 3" xfId="26692"/>
    <cellStyle name="Total 2 2 5 2 17 4" xfId="26693"/>
    <cellStyle name="Total 2 2 5 2 17 5" xfId="26694"/>
    <cellStyle name="Total 2 2 5 2 18" xfId="26695"/>
    <cellStyle name="Total 2 2 5 2 18 2" xfId="26696"/>
    <cellStyle name="Total 2 2 5 2 18 3" xfId="26697"/>
    <cellStyle name="Total 2 2 5 2 18 4" xfId="26698"/>
    <cellStyle name="Total 2 2 5 2 18 5" xfId="26699"/>
    <cellStyle name="Total 2 2 5 2 19" xfId="26700"/>
    <cellStyle name="Total 2 2 5 2 2" xfId="2764"/>
    <cellStyle name="Total 2 2 5 2 2 2" xfId="26701"/>
    <cellStyle name="Total 2 2 5 2 2 2 2" xfId="48488"/>
    <cellStyle name="Total 2 2 5 2 2 2 3" xfId="56510"/>
    <cellStyle name="Total 2 2 5 2 2 3" xfId="26702"/>
    <cellStyle name="Total 2 2 5 2 2 4" xfId="26703"/>
    <cellStyle name="Total 2 2 5 2 2 5" xfId="26704"/>
    <cellStyle name="Total 2 2 5 2 2 6" xfId="36446"/>
    <cellStyle name="Total 2 2 5 2 2 7" xfId="48487"/>
    <cellStyle name="Total 2 2 5 2 2 8" xfId="56509"/>
    <cellStyle name="Total 2 2 5 2 20" xfId="1071"/>
    <cellStyle name="Total 2 2 5 2 21" xfId="35151"/>
    <cellStyle name="Total 2 2 5 2 22" xfId="41371"/>
    <cellStyle name="Total 2 2 5 2 3" xfId="2765"/>
    <cellStyle name="Total 2 2 5 2 3 2" xfId="26705"/>
    <cellStyle name="Total 2 2 5 2 3 3" xfId="26706"/>
    <cellStyle name="Total 2 2 5 2 3 4" xfId="26707"/>
    <cellStyle name="Total 2 2 5 2 3 5" xfId="26708"/>
    <cellStyle name="Total 2 2 5 2 3 6" xfId="36943"/>
    <cellStyle name="Total 2 2 5 2 3 7" xfId="48489"/>
    <cellStyle name="Total 2 2 5 2 3 8" xfId="56511"/>
    <cellStyle name="Total 2 2 5 2 4" xfId="1430"/>
    <cellStyle name="Total 2 2 5 2 4 2" xfId="26709"/>
    <cellStyle name="Total 2 2 5 2 4 3" xfId="26710"/>
    <cellStyle name="Total 2 2 5 2 4 4" xfId="26711"/>
    <cellStyle name="Total 2 2 5 2 4 5" xfId="26712"/>
    <cellStyle name="Total 2 2 5 2 4 6" xfId="37559"/>
    <cellStyle name="Total 2 2 5 2 4 7" xfId="48490"/>
    <cellStyle name="Total 2 2 5 2 4 8" xfId="56512"/>
    <cellStyle name="Total 2 2 5 2 5" xfId="3500"/>
    <cellStyle name="Total 2 2 5 2 5 2" xfId="26713"/>
    <cellStyle name="Total 2 2 5 2 5 3" xfId="26714"/>
    <cellStyle name="Total 2 2 5 2 5 4" xfId="26715"/>
    <cellStyle name="Total 2 2 5 2 5 5" xfId="26716"/>
    <cellStyle name="Total 2 2 5 2 5 6" xfId="38176"/>
    <cellStyle name="Total 2 2 5 2 5 7" xfId="48491"/>
    <cellStyle name="Total 2 2 5 2 5 8" xfId="56513"/>
    <cellStyle name="Total 2 2 5 2 6" xfId="3818"/>
    <cellStyle name="Total 2 2 5 2 6 2" xfId="26717"/>
    <cellStyle name="Total 2 2 5 2 6 3" xfId="26718"/>
    <cellStyle name="Total 2 2 5 2 6 4" xfId="26719"/>
    <cellStyle name="Total 2 2 5 2 6 5" xfId="26720"/>
    <cellStyle name="Total 2 2 5 2 6 6" xfId="38794"/>
    <cellStyle name="Total 2 2 5 2 6 7" xfId="48492"/>
    <cellStyle name="Total 2 2 5 2 6 8" xfId="56514"/>
    <cellStyle name="Total 2 2 5 2 7" xfId="26721"/>
    <cellStyle name="Total 2 2 5 2 7 2" xfId="26722"/>
    <cellStyle name="Total 2 2 5 2 7 3" xfId="26723"/>
    <cellStyle name="Total 2 2 5 2 7 4" xfId="26724"/>
    <cellStyle name="Total 2 2 5 2 7 5" xfId="26725"/>
    <cellStyle name="Total 2 2 5 2 7 6" xfId="39414"/>
    <cellStyle name="Total 2 2 5 2 7 7" xfId="48493"/>
    <cellStyle name="Total 2 2 5 2 7 8" xfId="56515"/>
    <cellStyle name="Total 2 2 5 2 8" xfId="26726"/>
    <cellStyle name="Total 2 2 5 2 8 2" xfId="26727"/>
    <cellStyle name="Total 2 2 5 2 8 3" xfId="26728"/>
    <cellStyle name="Total 2 2 5 2 8 4" xfId="26729"/>
    <cellStyle name="Total 2 2 5 2 8 5" xfId="26730"/>
    <cellStyle name="Total 2 2 5 2 8 6" xfId="40030"/>
    <cellStyle name="Total 2 2 5 2 8 7" xfId="48494"/>
    <cellStyle name="Total 2 2 5 2 8 8" xfId="56516"/>
    <cellStyle name="Total 2 2 5 2 9" xfId="26731"/>
    <cellStyle name="Total 2 2 5 2 9 2" xfId="26732"/>
    <cellStyle name="Total 2 2 5 2 9 3" xfId="26733"/>
    <cellStyle name="Total 2 2 5 2 9 4" xfId="26734"/>
    <cellStyle name="Total 2 2 5 2 9 5" xfId="26735"/>
    <cellStyle name="Total 2 2 5 2 9 6" xfId="40645"/>
    <cellStyle name="Total 2 2 5 2 9 7" xfId="48495"/>
    <cellStyle name="Total 2 2 5 2 9 8" xfId="56517"/>
    <cellStyle name="Total 2 2 5 20" xfId="859"/>
    <cellStyle name="Total 2 2 5 21" xfId="34677"/>
    <cellStyle name="Total 2 2 5 22" xfId="40943"/>
    <cellStyle name="Total 2 2 5 23" xfId="41504"/>
    <cellStyle name="Total 2 2 5 24" xfId="50591"/>
    <cellStyle name="Total 2 2 5 3" xfId="2766"/>
    <cellStyle name="Total 2 2 5 3 10" xfId="34590"/>
    <cellStyle name="Total 2 2 5 3 10 2" xfId="48497"/>
    <cellStyle name="Total 2 2 5 3 10 3" xfId="56519"/>
    <cellStyle name="Total 2 2 5 3 11" xfId="41158"/>
    <cellStyle name="Total 2 2 5 3 12" xfId="48496"/>
    <cellStyle name="Total 2 2 5 3 13" xfId="56518"/>
    <cellStyle name="Total 2 2 5 3 2" xfId="2767"/>
    <cellStyle name="Total 2 2 5 3 2 2" xfId="36235"/>
    <cellStyle name="Total 2 2 5 3 2 3" xfId="48498"/>
    <cellStyle name="Total 2 2 5 3 2 4" xfId="56520"/>
    <cellStyle name="Total 2 2 5 3 3" xfId="2768"/>
    <cellStyle name="Total 2 2 5 3 3 2" xfId="36732"/>
    <cellStyle name="Total 2 2 5 3 3 3" xfId="48499"/>
    <cellStyle name="Total 2 2 5 3 3 4" xfId="56521"/>
    <cellStyle name="Total 2 2 5 3 4" xfId="26736"/>
    <cellStyle name="Total 2 2 5 3 4 2" xfId="37348"/>
    <cellStyle name="Total 2 2 5 3 4 3" xfId="48500"/>
    <cellStyle name="Total 2 2 5 3 4 4" xfId="56522"/>
    <cellStyle name="Total 2 2 5 3 5" xfId="26737"/>
    <cellStyle name="Total 2 2 5 3 5 2" xfId="37964"/>
    <cellStyle name="Total 2 2 5 3 5 3" xfId="48501"/>
    <cellStyle name="Total 2 2 5 3 5 4" xfId="56523"/>
    <cellStyle name="Total 2 2 5 3 6" xfId="38581"/>
    <cellStyle name="Total 2 2 5 3 6 2" xfId="48502"/>
    <cellStyle name="Total 2 2 5 3 6 3" xfId="56524"/>
    <cellStyle name="Total 2 2 5 3 7" xfId="39201"/>
    <cellStyle name="Total 2 2 5 3 7 2" xfId="48503"/>
    <cellStyle name="Total 2 2 5 3 7 3" xfId="56525"/>
    <cellStyle name="Total 2 2 5 3 8" xfId="39817"/>
    <cellStyle name="Total 2 2 5 3 8 2" xfId="48504"/>
    <cellStyle name="Total 2 2 5 3 8 3" xfId="56526"/>
    <cellStyle name="Total 2 2 5 3 9" xfId="40432"/>
    <cellStyle name="Total 2 2 5 3 9 2" xfId="48505"/>
    <cellStyle name="Total 2 2 5 3 9 3" xfId="56527"/>
    <cellStyle name="Total 2 2 5 4" xfId="2769"/>
    <cellStyle name="Total 2 2 5 4 10" xfId="48506"/>
    <cellStyle name="Total 2 2 5 4 11" xfId="56528"/>
    <cellStyle name="Total 2 2 5 4 2" xfId="26738"/>
    <cellStyle name="Total 2 2 5 4 2 2" xfId="48507"/>
    <cellStyle name="Total 2 2 5 4 2 3" xfId="56529"/>
    <cellStyle name="Total 2 2 5 4 3" xfId="26739"/>
    <cellStyle name="Total 2 2 5 4 3 2" xfId="48508"/>
    <cellStyle name="Total 2 2 5 4 3 3" xfId="56530"/>
    <cellStyle name="Total 2 2 5 4 4" xfId="26740"/>
    <cellStyle name="Total 2 2 5 4 4 2" xfId="48509"/>
    <cellStyle name="Total 2 2 5 4 4 3" xfId="56531"/>
    <cellStyle name="Total 2 2 5 4 5" xfId="26741"/>
    <cellStyle name="Total 2 2 5 4 5 2" xfId="48510"/>
    <cellStyle name="Total 2 2 5 4 5 3" xfId="56532"/>
    <cellStyle name="Total 2 2 5 4 6" xfId="36520"/>
    <cellStyle name="Total 2 2 5 4 6 2" xfId="48511"/>
    <cellStyle name="Total 2 2 5 4 6 3" xfId="56533"/>
    <cellStyle name="Total 2 2 5 4 7" xfId="48512"/>
    <cellStyle name="Total 2 2 5 4 7 2" xfId="56534"/>
    <cellStyle name="Total 2 2 5 4 8" xfId="48513"/>
    <cellStyle name="Total 2 2 5 4 8 2" xfId="56535"/>
    <cellStyle name="Total 2 2 5 4 9" xfId="48514"/>
    <cellStyle name="Total 2 2 5 4 9 2" xfId="56536"/>
    <cellStyle name="Total 2 2 5 5" xfId="1429"/>
    <cellStyle name="Total 2 2 5 5 2" xfId="26742"/>
    <cellStyle name="Total 2 2 5 5 3" xfId="26743"/>
    <cellStyle name="Total 2 2 5 5 4" xfId="26744"/>
    <cellStyle name="Total 2 2 5 5 5" xfId="26745"/>
    <cellStyle name="Total 2 2 5 5 6" xfId="37136"/>
    <cellStyle name="Total 2 2 5 5 7" xfId="48515"/>
    <cellStyle name="Total 2 2 5 5 8" xfId="56537"/>
    <cellStyle name="Total 2 2 5 6" xfId="3499"/>
    <cellStyle name="Total 2 2 5 6 2" xfId="26746"/>
    <cellStyle name="Total 2 2 5 6 3" xfId="26747"/>
    <cellStyle name="Total 2 2 5 6 4" xfId="26748"/>
    <cellStyle name="Total 2 2 5 6 5" xfId="26749"/>
    <cellStyle name="Total 2 2 5 6 6" xfId="37750"/>
    <cellStyle name="Total 2 2 5 6 7" xfId="48516"/>
    <cellStyle name="Total 2 2 5 6 8" xfId="56538"/>
    <cellStyle name="Total 2 2 5 7" xfId="3817"/>
    <cellStyle name="Total 2 2 5 7 2" xfId="26750"/>
    <cellStyle name="Total 2 2 5 7 3" xfId="26751"/>
    <cellStyle name="Total 2 2 5 7 4" xfId="26752"/>
    <cellStyle name="Total 2 2 5 7 5" xfId="26753"/>
    <cellStyle name="Total 2 2 5 7 6" xfId="38366"/>
    <cellStyle name="Total 2 2 5 7 7" xfId="48517"/>
    <cellStyle name="Total 2 2 5 7 8" xfId="56539"/>
    <cellStyle name="Total 2 2 5 8" xfId="26754"/>
    <cellStyle name="Total 2 2 5 8 2" xfId="26755"/>
    <cellStyle name="Total 2 2 5 8 3" xfId="26756"/>
    <cellStyle name="Total 2 2 5 8 4" xfId="26757"/>
    <cellStyle name="Total 2 2 5 8 5" xfId="26758"/>
    <cellStyle name="Total 2 2 5 8 6" xfId="38986"/>
    <cellStyle name="Total 2 2 5 8 7" xfId="48518"/>
    <cellStyle name="Total 2 2 5 8 8" xfId="56540"/>
    <cellStyle name="Total 2 2 5 9" xfId="26759"/>
    <cellStyle name="Total 2 2 5 9 2" xfId="26760"/>
    <cellStyle name="Total 2 2 5 9 3" xfId="26761"/>
    <cellStyle name="Total 2 2 5 9 4" xfId="26762"/>
    <cellStyle name="Total 2 2 5 9 5" xfId="26763"/>
    <cellStyle name="Total 2 2 5 9 6" xfId="39602"/>
    <cellStyle name="Total 2 2 5 9 7" xfId="48519"/>
    <cellStyle name="Total 2 2 5 9 8" xfId="56541"/>
    <cellStyle name="Total 2 2 6" xfId="472"/>
    <cellStyle name="Total 2 2 6 10" xfId="26764"/>
    <cellStyle name="Total 2 2 6 10 2" xfId="26765"/>
    <cellStyle name="Total 2 2 6 10 3" xfId="26766"/>
    <cellStyle name="Total 2 2 6 10 4" xfId="26767"/>
    <cellStyle name="Total 2 2 6 10 5" xfId="26768"/>
    <cellStyle name="Total 2 2 6 10 6" xfId="48520"/>
    <cellStyle name="Total 2 2 6 10 7" xfId="56542"/>
    <cellStyle name="Total 2 2 6 11" xfId="26769"/>
    <cellStyle name="Total 2 2 6 11 2" xfId="26770"/>
    <cellStyle name="Total 2 2 6 11 3" xfId="26771"/>
    <cellStyle name="Total 2 2 6 11 4" xfId="26772"/>
    <cellStyle name="Total 2 2 6 11 5" xfId="26773"/>
    <cellStyle name="Total 2 2 6 12" xfId="26774"/>
    <cellStyle name="Total 2 2 6 12 2" xfId="26775"/>
    <cellStyle name="Total 2 2 6 12 3" xfId="26776"/>
    <cellStyle name="Total 2 2 6 12 4" xfId="26777"/>
    <cellStyle name="Total 2 2 6 12 5" xfId="26778"/>
    <cellStyle name="Total 2 2 6 13" xfId="26779"/>
    <cellStyle name="Total 2 2 6 13 2" xfId="26780"/>
    <cellStyle name="Total 2 2 6 13 3" xfId="26781"/>
    <cellStyle name="Total 2 2 6 13 4" xfId="26782"/>
    <cellStyle name="Total 2 2 6 13 5" xfId="26783"/>
    <cellStyle name="Total 2 2 6 14" xfId="26784"/>
    <cellStyle name="Total 2 2 6 14 2" xfId="26785"/>
    <cellStyle name="Total 2 2 6 14 3" xfId="26786"/>
    <cellStyle name="Total 2 2 6 14 4" xfId="26787"/>
    <cellStyle name="Total 2 2 6 14 5" xfId="26788"/>
    <cellStyle name="Total 2 2 6 15" xfId="26789"/>
    <cellStyle name="Total 2 2 6 15 2" xfId="26790"/>
    <cellStyle name="Total 2 2 6 15 3" xfId="26791"/>
    <cellStyle name="Total 2 2 6 15 4" xfId="26792"/>
    <cellStyle name="Total 2 2 6 15 5" xfId="26793"/>
    <cellStyle name="Total 2 2 6 16" xfId="26794"/>
    <cellStyle name="Total 2 2 6 16 2" xfId="26795"/>
    <cellStyle name="Total 2 2 6 16 3" xfId="26796"/>
    <cellStyle name="Total 2 2 6 16 4" xfId="26797"/>
    <cellStyle name="Total 2 2 6 16 5" xfId="26798"/>
    <cellStyle name="Total 2 2 6 17" xfId="26799"/>
    <cellStyle name="Total 2 2 6 17 2" xfId="26800"/>
    <cellStyle name="Total 2 2 6 17 3" xfId="26801"/>
    <cellStyle name="Total 2 2 6 17 4" xfId="26802"/>
    <cellStyle name="Total 2 2 6 17 5" xfId="26803"/>
    <cellStyle name="Total 2 2 6 18" xfId="26804"/>
    <cellStyle name="Total 2 2 6 18 2" xfId="26805"/>
    <cellStyle name="Total 2 2 6 18 3" xfId="26806"/>
    <cellStyle name="Total 2 2 6 18 4" xfId="26807"/>
    <cellStyle name="Total 2 2 6 18 5" xfId="26808"/>
    <cellStyle name="Total 2 2 6 19" xfId="26809"/>
    <cellStyle name="Total 2 2 6 2" xfId="2770"/>
    <cellStyle name="Total 2 2 6 2 2" xfId="26810"/>
    <cellStyle name="Total 2 2 6 2 2 2" xfId="48522"/>
    <cellStyle name="Total 2 2 6 2 2 3" xfId="56544"/>
    <cellStyle name="Total 2 2 6 2 3" xfId="26811"/>
    <cellStyle name="Total 2 2 6 2 4" xfId="26812"/>
    <cellStyle name="Total 2 2 6 2 5" xfId="26813"/>
    <cellStyle name="Total 2 2 6 2 6" xfId="36276"/>
    <cellStyle name="Total 2 2 6 2 7" xfId="48521"/>
    <cellStyle name="Total 2 2 6 2 8" xfId="56543"/>
    <cellStyle name="Total 2 2 6 20" xfId="901"/>
    <cellStyle name="Total 2 2 6 21" xfId="34981"/>
    <cellStyle name="Total 2 2 6 22" xfId="40690"/>
    <cellStyle name="Total 2 2 6 23" xfId="41200"/>
    <cellStyle name="Total 2 2 6 3" xfId="2771"/>
    <cellStyle name="Total 2 2 6 3 2" xfId="26814"/>
    <cellStyle name="Total 2 2 6 3 3" xfId="26815"/>
    <cellStyle name="Total 2 2 6 3 4" xfId="26816"/>
    <cellStyle name="Total 2 2 6 3 5" xfId="26817"/>
    <cellStyle name="Total 2 2 6 3 6" xfId="36773"/>
    <cellStyle name="Total 2 2 6 3 7" xfId="48523"/>
    <cellStyle name="Total 2 2 6 3 8" xfId="56545"/>
    <cellStyle name="Total 2 2 6 4" xfId="1431"/>
    <cellStyle name="Total 2 2 6 4 2" xfId="26818"/>
    <cellStyle name="Total 2 2 6 4 3" xfId="26819"/>
    <cellStyle name="Total 2 2 6 4 4" xfId="26820"/>
    <cellStyle name="Total 2 2 6 4 5" xfId="26821"/>
    <cellStyle name="Total 2 2 6 4 6" xfId="37389"/>
    <cellStyle name="Total 2 2 6 4 7" xfId="48524"/>
    <cellStyle name="Total 2 2 6 4 8" xfId="56546"/>
    <cellStyle name="Total 2 2 6 5" xfId="3501"/>
    <cellStyle name="Total 2 2 6 5 2" xfId="26822"/>
    <cellStyle name="Total 2 2 6 5 3" xfId="26823"/>
    <cellStyle name="Total 2 2 6 5 4" xfId="26824"/>
    <cellStyle name="Total 2 2 6 5 5" xfId="26825"/>
    <cellStyle name="Total 2 2 6 5 6" xfId="38005"/>
    <cellStyle name="Total 2 2 6 5 7" xfId="48525"/>
    <cellStyle name="Total 2 2 6 5 8" xfId="56547"/>
    <cellStyle name="Total 2 2 6 6" xfId="3819"/>
    <cellStyle name="Total 2 2 6 6 2" xfId="26826"/>
    <cellStyle name="Total 2 2 6 6 3" xfId="26827"/>
    <cellStyle name="Total 2 2 6 6 4" xfId="26828"/>
    <cellStyle name="Total 2 2 6 6 5" xfId="26829"/>
    <cellStyle name="Total 2 2 6 6 6" xfId="38623"/>
    <cellStyle name="Total 2 2 6 6 7" xfId="48526"/>
    <cellStyle name="Total 2 2 6 6 8" xfId="56548"/>
    <cellStyle name="Total 2 2 6 7" xfId="26830"/>
    <cellStyle name="Total 2 2 6 7 2" xfId="26831"/>
    <cellStyle name="Total 2 2 6 7 3" xfId="26832"/>
    <cellStyle name="Total 2 2 6 7 4" xfId="26833"/>
    <cellStyle name="Total 2 2 6 7 5" xfId="26834"/>
    <cellStyle name="Total 2 2 6 7 6" xfId="39243"/>
    <cellStyle name="Total 2 2 6 7 7" xfId="48527"/>
    <cellStyle name="Total 2 2 6 7 8" xfId="56549"/>
    <cellStyle name="Total 2 2 6 8" xfId="26835"/>
    <cellStyle name="Total 2 2 6 8 2" xfId="26836"/>
    <cellStyle name="Total 2 2 6 8 3" xfId="26837"/>
    <cellStyle name="Total 2 2 6 8 4" xfId="26838"/>
    <cellStyle name="Total 2 2 6 8 5" xfId="26839"/>
    <cellStyle name="Total 2 2 6 8 6" xfId="39859"/>
    <cellStyle name="Total 2 2 6 8 7" xfId="48528"/>
    <cellStyle name="Total 2 2 6 8 8" xfId="56550"/>
    <cellStyle name="Total 2 2 6 9" xfId="26840"/>
    <cellStyle name="Total 2 2 6 9 2" xfId="26841"/>
    <cellStyle name="Total 2 2 6 9 3" xfId="26842"/>
    <cellStyle name="Total 2 2 6 9 4" xfId="26843"/>
    <cellStyle name="Total 2 2 6 9 5" xfId="26844"/>
    <cellStyle name="Total 2 2 6 9 6" xfId="40474"/>
    <cellStyle name="Total 2 2 6 9 7" xfId="48529"/>
    <cellStyle name="Total 2 2 6 9 8" xfId="56551"/>
    <cellStyle name="Total 2 2 7" xfId="2772"/>
    <cellStyle name="Total 2 2 7 10" xfId="34925"/>
    <cellStyle name="Total 2 2 7 10 2" xfId="48531"/>
    <cellStyle name="Total 2 2 7 10 3" xfId="56553"/>
    <cellStyle name="Total 2 2 7 11" xfId="40985"/>
    <cellStyle name="Total 2 2 7 12" xfId="48530"/>
    <cellStyle name="Total 2 2 7 13" xfId="56552"/>
    <cellStyle name="Total 2 2 7 2" xfId="2773"/>
    <cellStyle name="Total 2 2 7 2 2" xfId="36063"/>
    <cellStyle name="Total 2 2 7 2 3" xfId="48532"/>
    <cellStyle name="Total 2 2 7 2 4" xfId="56554"/>
    <cellStyle name="Total 2 2 7 3" xfId="2774"/>
    <cellStyle name="Total 2 2 7 3 2" xfId="36562"/>
    <cellStyle name="Total 2 2 7 3 3" xfId="48533"/>
    <cellStyle name="Total 2 2 7 3 4" xfId="56555"/>
    <cellStyle name="Total 2 2 7 4" xfId="26845"/>
    <cellStyle name="Total 2 2 7 4 2" xfId="37178"/>
    <cellStyle name="Total 2 2 7 4 3" xfId="48534"/>
    <cellStyle name="Total 2 2 7 4 4" xfId="56556"/>
    <cellStyle name="Total 2 2 7 5" xfId="26846"/>
    <cellStyle name="Total 2 2 7 5 2" xfId="37793"/>
    <cellStyle name="Total 2 2 7 5 3" xfId="48535"/>
    <cellStyle name="Total 2 2 7 5 4" xfId="56557"/>
    <cellStyle name="Total 2 2 7 6" xfId="38408"/>
    <cellStyle name="Total 2 2 7 6 2" xfId="48536"/>
    <cellStyle name="Total 2 2 7 6 3" xfId="56558"/>
    <cellStyle name="Total 2 2 7 7" xfId="39028"/>
    <cellStyle name="Total 2 2 7 7 2" xfId="48537"/>
    <cellStyle name="Total 2 2 7 7 3" xfId="56559"/>
    <cellStyle name="Total 2 2 7 8" xfId="39644"/>
    <cellStyle name="Total 2 2 7 8 2" xfId="48538"/>
    <cellStyle name="Total 2 2 7 8 3" xfId="56560"/>
    <cellStyle name="Total 2 2 7 9" xfId="40259"/>
    <cellStyle name="Total 2 2 7 9 2" xfId="48539"/>
    <cellStyle name="Total 2 2 7 9 3" xfId="56561"/>
    <cellStyle name="Total 2 2 8" xfId="1414"/>
    <cellStyle name="Total 2 2 8 10" xfId="48540"/>
    <cellStyle name="Total 2 2 8 11" xfId="56562"/>
    <cellStyle name="Total 2 2 8 2" xfId="26847"/>
    <cellStyle name="Total 2 2 8 2 2" xfId="48541"/>
    <cellStyle name="Total 2 2 8 2 3" xfId="56563"/>
    <cellStyle name="Total 2 2 8 3" xfId="26848"/>
    <cellStyle name="Total 2 2 8 3 2" xfId="48542"/>
    <cellStyle name="Total 2 2 8 3 3" xfId="56564"/>
    <cellStyle name="Total 2 2 8 4" xfId="26849"/>
    <cellStyle name="Total 2 2 8 4 2" xfId="48543"/>
    <cellStyle name="Total 2 2 8 4 3" xfId="56565"/>
    <cellStyle name="Total 2 2 8 5" xfId="26850"/>
    <cellStyle name="Total 2 2 8 5 2" xfId="48544"/>
    <cellStyle name="Total 2 2 8 5 3" xfId="56566"/>
    <cellStyle name="Total 2 2 8 6" xfId="35379"/>
    <cellStyle name="Total 2 2 8 6 2" xfId="48545"/>
    <cellStyle name="Total 2 2 8 6 3" xfId="56567"/>
    <cellStyle name="Total 2 2 8 7" xfId="48546"/>
    <cellStyle name="Total 2 2 8 7 2" xfId="56568"/>
    <cellStyle name="Total 2 2 8 8" xfId="48547"/>
    <cellStyle name="Total 2 2 8 8 2" xfId="56569"/>
    <cellStyle name="Total 2 2 8 9" xfId="48548"/>
    <cellStyle name="Total 2 2 8 9 2" xfId="56570"/>
    <cellStyle name="Total 2 2 9" xfId="3484"/>
    <cellStyle name="Total 2 2 9 2" xfId="26851"/>
    <cellStyle name="Total 2 2 9 3" xfId="26852"/>
    <cellStyle name="Total 2 2 9 4" xfId="26853"/>
    <cellStyle name="Total 2 2 9 5" xfId="26854"/>
    <cellStyle name="Total 2 2 9 6" xfId="35908"/>
    <cellStyle name="Total 2 2 9 7" xfId="48549"/>
    <cellStyle name="Total 2 2 9 8" xfId="56571"/>
    <cellStyle name="Total 2 20" xfId="26855"/>
    <cellStyle name="Total 2 20 2" xfId="26856"/>
    <cellStyle name="Total 2 20 3" xfId="26857"/>
    <cellStyle name="Total 2 20 4" xfId="26858"/>
    <cellStyle name="Total 2 20 5" xfId="26859"/>
    <cellStyle name="Total 2 20 6" xfId="48550"/>
    <cellStyle name="Total 2 20 7" xfId="56572"/>
    <cellStyle name="Total 2 21" xfId="26860"/>
    <cellStyle name="Total 2 21 2" xfId="26861"/>
    <cellStyle name="Total 2 21 3" xfId="26862"/>
    <cellStyle name="Total 2 21 4" xfId="26863"/>
    <cellStyle name="Total 2 21 5" xfId="26864"/>
    <cellStyle name="Total 2 21 6" xfId="48551"/>
    <cellStyle name="Total 2 21 7" xfId="56573"/>
    <cellStyle name="Total 2 22" xfId="26865"/>
    <cellStyle name="Total 2 22 2" xfId="26866"/>
    <cellStyle name="Total 2 22 3" xfId="26867"/>
    <cellStyle name="Total 2 22 4" xfId="26868"/>
    <cellStyle name="Total 2 22 5" xfId="26869"/>
    <cellStyle name="Total 2 22 6" xfId="48552"/>
    <cellStyle name="Total 2 22 7" xfId="56574"/>
    <cellStyle name="Total 2 23" xfId="26870"/>
    <cellStyle name="Total 2 23 2" xfId="26871"/>
    <cellStyle name="Total 2 23 3" xfId="26872"/>
    <cellStyle name="Total 2 23 4" xfId="26873"/>
    <cellStyle name="Total 2 23 5" xfId="26874"/>
    <cellStyle name="Total 2 23 6" xfId="48553"/>
    <cellStyle name="Total 2 23 7" xfId="56575"/>
    <cellStyle name="Total 2 24" xfId="26875"/>
    <cellStyle name="Total 2 24 2" xfId="26876"/>
    <cellStyle name="Total 2 24 3" xfId="26877"/>
    <cellStyle name="Total 2 24 4" xfId="26878"/>
    <cellStyle name="Total 2 24 5" xfId="26879"/>
    <cellStyle name="Total 2 25" xfId="26880"/>
    <cellStyle name="Total 2 25 2" xfId="26881"/>
    <cellStyle name="Total 2 25 3" xfId="26882"/>
    <cellStyle name="Total 2 25 4" xfId="26883"/>
    <cellStyle name="Total 2 25 5" xfId="26884"/>
    <cellStyle name="Total 2 26" xfId="26885"/>
    <cellStyle name="Total 2 27" xfId="684"/>
    <cellStyle name="Total 2 28" xfId="34964"/>
    <cellStyle name="Total 2 29" xfId="40769"/>
    <cellStyle name="Total 2 3" xfId="259"/>
    <cellStyle name="Total 2 3 10" xfId="3820"/>
    <cellStyle name="Total 2 3 10 2" xfId="26886"/>
    <cellStyle name="Total 2 3 10 3" xfId="26887"/>
    <cellStyle name="Total 2 3 10 4" xfId="26888"/>
    <cellStyle name="Total 2 3 10 5" xfId="26889"/>
    <cellStyle name="Total 2 3 10 6" xfId="35824"/>
    <cellStyle name="Total 2 3 10 7" xfId="48554"/>
    <cellStyle name="Total 2 3 10 8" xfId="56576"/>
    <cellStyle name="Total 2 3 11" xfId="26890"/>
    <cellStyle name="Total 2 3 11 2" xfId="26891"/>
    <cellStyle name="Total 2 3 11 3" xfId="26892"/>
    <cellStyle name="Total 2 3 11 4" xfId="26893"/>
    <cellStyle name="Total 2 3 11 5" xfId="26894"/>
    <cellStyle name="Total 2 3 11 6" xfId="36052"/>
    <cellStyle name="Total 2 3 11 7" xfId="48555"/>
    <cellStyle name="Total 2 3 11 8" xfId="56577"/>
    <cellStyle name="Total 2 3 12" xfId="26895"/>
    <cellStyle name="Total 2 3 12 2" xfId="26896"/>
    <cellStyle name="Total 2 3 12 3" xfId="26897"/>
    <cellStyle name="Total 2 3 12 4" xfId="26898"/>
    <cellStyle name="Total 2 3 12 5" xfId="26899"/>
    <cellStyle name="Total 2 3 12 6" xfId="35845"/>
    <cellStyle name="Total 2 3 12 7" xfId="48556"/>
    <cellStyle name="Total 2 3 12 8" xfId="56578"/>
    <cellStyle name="Total 2 3 13" xfId="26900"/>
    <cellStyle name="Total 2 3 13 2" xfId="26901"/>
    <cellStyle name="Total 2 3 13 3" xfId="26902"/>
    <cellStyle name="Total 2 3 13 4" xfId="26903"/>
    <cellStyle name="Total 2 3 13 5" xfId="26904"/>
    <cellStyle name="Total 2 3 13 6" xfId="35894"/>
    <cellStyle name="Total 2 3 13 7" xfId="48557"/>
    <cellStyle name="Total 2 3 13 8" xfId="56579"/>
    <cellStyle name="Total 2 3 14" xfId="26905"/>
    <cellStyle name="Total 2 3 14 2" xfId="26906"/>
    <cellStyle name="Total 2 3 14 3" xfId="26907"/>
    <cellStyle name="Total 2 3 14 4" xfId="26908"/>
    <cellStyle name="Total 2 3 14 5" xfId="26909"/>
    <cellStyle name="Total 2 3 14 6" xfId="35834"/>
    <cellStyle name="Total 2 3 14 7" xfId="48558"/>
    <cellStyle name="Total 2 3 14 8" xfId="56580"/>
    <cellStyle name="Total 2 3 15" xfId="26910"/>
    <cellStyle name="Total 2 3 15 2" xfId="26911"/>
    <cellStyle name="Total 2 3 15 3" xfId="26912"/>
    <cellStyle name="Total 2 3 15 4" xfId="26913"/>
    <cellStyle name="Total 2 3 15 5" xfId="26914"/>
    <cellStyle name="Total 2 3 15 6" xfId="36032"/>
    <cellStyle name="Total 2 3 15 7" xfId="48559"/>
    <cellStyle name="Total 2 3 15 8" xfId="56581"/>
    <cellStyle name="Total 2 3 16" xfId="26915"/>
    <cellStyle name="Total 2 3 16 2" xfId="26916"/>
    <cellStyle name="Total 2 3 16 3" xfId="26917"/>
    <cellStyle name="Total 2 3 16 4" xfId="26918"/>
    <cellStyle name="Total 2 3 16 5" xfId="26919"/>
    <cellStyle name="Total 2 3 16 6" xfId="40066"/>
    <cellStyle name="Total 2 3 16 7" xfId="48560"/>
    <cellStyle name="Total 2 3 16 8" xfId="56582"/>
    <cellStyle name="Total 2 3 17" xfId="26920"/>
    <cellStyle name="Total 2 3 17 2" xfId="26921"/>
    <cellStyle name="Total 2 3 17 3" xfId="26922"/>
    <cellStyle name="Total 2 3 17 4" xfId="26923"/>
    <cellStyle name="Total 2 3 17 5" xfId="26924"/>
    <cellStyle name="Total 2 3 17 6" xfId="48561"/>
    <cellStyle name="Total 2 3 17 7" xfId="56583"/>
    <cellStyle name="Total 2 3 18" xfId="26925"/>
    <cellStyle name="Total 2 3 18 2" xfId="26926"/>
    <cellStyle name="Total 2 3 18 3" xfId="26927"/>
    <cellStyle name="Total 2 3 18 4" xfId="26928"/>
    <cellStyle name="Total 2 3 18 5" xfId="26929"/>
    <cellStyle name="Total 2 3 19" xfId="26930"/>
    <cellStyle name="Total 2 3 19 2" xfId="26931"/>
    <cellStyle name="Total 2 3 19 3" xfId="26932"/>
    <cellStyle name="Total 2 3 19 4" xfId="26933"/>
    <cellStyle name="Total 2 3 19 5" xfId="26934"/>
    <cellStyle name="Total 2 3 2" xfId="303"/>
    <cellStyle name="Total 2 3 2 10" xfId="26935"/>
    <cellStyle name="Total 2 3 2 10 2" xfId="26936"/>
    <cellStyle name="Total 2 3 2 10 3" xfId="26937"/>
    <cellStyle name="Total 2 3 2 10 4" xfId="26938"/>
    <cellStyle name="Total 2 3 2 10 5" xfId="26939"/>
    <cellStyle name="Total 2 3 2 10 6" xfId="37631"/>
    <cellStyle name="Total 2 3 2 10 7" xfId="48562"/>
    <cellStyle name="Total 2 3 2 10 8" xfId="56584"/>
    <cellStyle name="Total 2 3 2 11" xfId="26940"/>
    <cellStyle name="Total 2 3 2 11 2" xfId="26941"/>
    <cellStyle name="Total 2 3 2 11 3" xfId="26942"/>
    <cellStyle name="Total 2 3 2 11 4" xfId="26943"/>
    <cellStyle name="Total 2 3 2 11 5" xfId="26944"/>
    <cellStyle name="Total 2 3 2 11 6" xfId="38248"/>
    <cellStyle name="Total 2 3 2 11 7" xfId="48563"/>
    <cellStyle name="Total 2 3 2 11 8" xfId="56585"/>
    <cellStyle name="Total 2 3 2 12" xfId="26945"/>
    <cellStyle name="Total 2 3 2 12 2" xfId="26946"/>
    <cellStyle name="Total 2 3 2 12 3" xfId="26947"/>
    <cellStyle name="Total 2 3 2 12 4" xfId="26948"/>
    <cellStyle name="Total 2 3 2 12 5" xfId="26949"/>
    <cellStyle name="Total 2 3 2 12 6" xfId="38870"/>
    <cellStyle name="Total 2 3 2 12 7" xfId="48564"/>
    <cellStyle name="Total 2 3 2 12 8" xfId="56586"/>
    <cellStyle name="Total 2 3 2 13" xfId="26950"/>
    <cellStyle name="Total 2 3 2 13 2" xfId="26951"/>
    <cellStyle name="Total 2 3 2 13 3" xfId="26952"/>
    <cellStyle name="Total 2 3 2 13 4" xfId="26953"/>
    <cellStyle name="Total 2 3 2 13 5" xfId="26954"/>
    <cellStyle name="Total 2 3 2 13 6" xfId="39490"/>
    <cellStyle name="Total 2 3 2 13 7" xfId="48565"/>
    <cellStyle name="Total 2 3 2 13 8" xfId="56587"/>
    <cellStyle name="Total 2 3 2 14" xfId="26955"/>
    <cellStyle name="Total 2 3 2 14 2" xfId="26956"/>
    <cellStyle name="Total 2 3 2 14 3" xfId="26957"/>
    <cellStyle name="Total 2 3 2 14 4" xfId="26958"/>
    <cellStyle name="Total 2 3 2 14 5" xfId="26959"/>
    <cellStyle name="Total 2 3 2 14 6" xfId="40108"/>
    <cellStyle name="Total 2 3 2 14 7" xfId="48566"/>
    <cellStyle name="Total 2 3 2 14 8" xfId="56588"/>
    <cellStyle name="Total 2 3 2 15" xfId="26960"/>
    <cellStyle name="Total 2 3 2 15 2" xfId="26961"/>
    <cellStyle name="Total 2 3 2 15 3" xfId="26962"/>
    <cellStyle name="Total 2 3 2 15 4" xfId="26963"/>
    <cellStyle name="Total 2 3 2 15 5" xfId="26964"/>
    <cellStyle name="Total 2 3 2 15 6" xfId="48567"/>
    <cellStyle name="Total 2 3 2 15 7" xfId="56589"/>
    <cellStyle name="Total 2 3 2 16" xfId="26965"/>
    <cellStyle name="Total 2 3 2 16 2" xfId="26966"/>
    <cellStyle name="Total 2 3 2 16 3" xfId="26967"/>
    <cellStyle name="Total 2 3 2 16 4" xfId="26968"/>
    <cellStyle name="Total 2 3 2 16 5" xfId="26969"/>
    <cellStyle name="Total 2 3 2 17" xfId="26970"/>
    <cellStyle name="Total 2 3 2 17 2" xfId="26971"/>
    <cellStyle name="Total 2 3 2 17 3" xfId="26972"/>
    <cellStyle name="Total 2 3 2 17 4" xfId="26973"/>
    <cellStyle name="Total 2 3 2 17 5" xfId="26974"/>
    <cellStyle name="Total 2 3 2 18" xfId="26975"/>
    <cellStyle name="Total 2 3 2 19" xfId="748"/>
    <cellStyle name="Total 2 3 2 2" xfId="429"/>
    <cellStyle name="Total 2 3 2 2 10" xfId="26976"/>
    <cellStyle name="Total 2 3 2 2 10 2" xfId="26977"/>
    <cellStyle name="Total 2 3 2 2 10 3" xfId="26978"/>
    <cellStyle name="Total 2 3 2 2 10 4" xfId="26979"/>
    <cellStyle name="Total 2 3 2 2 10 5" xfId="26980"/>
    <cellStyle name="Total 2 3 2 2 10 6" xfId="39603"/>
    <cellStyle name="Total 2 3 2 2 10 7" xfId="48568"/>
    <cellStyle name="Total 2 3 2 2 10 8" xfId="56590"/>
    <cellStyle name="Total 2 3 2 2 11" xfId="26981"/>
    <cellStyle name="Total 2 3 2 2 11 2" xfId="26982"/>
    <cellStyle name="Total 2 3 2 2 11 3" xfId="26983"/>
    <cellStyle name="Total 2 3 2 2 11 4" xfId="26984"/>
    <cellStyle name="Total 2 3 2 2 11 5" xfId="26985"/>
    <cellStyle name="Total 2 3 2 2 11 6" xfId="40218"/>
    <cellStyle name="Total 2 3 2 2 11 7" xfId="48569"/>
    <cellStyle name="Total 2 3 2 2 11 8" xfId="56591"/>
    <cellStyle name="Total 2 3 2 2 12" xfId="26986"/>
    <cellStyle name="Total 2 3 2 2 12 2" xfId="26987"/>
    <cellStyle name="Total 2 3 2 2 12 3" xfId="26988"/>
    <cellStyle name="Total 2 3 2 2 12 4" xfId="26989"/>
    <cellStyle name="Total 2 3 2 2 12 5" xfId="26990"/>
    <cellStyle name="Total 2 3 2 2 12 6" xfId="48570"/>
    <cellStyle name="Total 2 3 2 2 12 7" xfId="56592"/>
    <cellStyle name="Total 2 3 2 2 13" xfId="26991"/>
    <cellStyle name="Total 2 3 2 2 13 2" xfId="26992"/>
    <cellStyle name="Total 2 3 2 2 13 3" xfId="26993"/>
    <cellStyle name="Total 2 3 2 2 13 4" xfId="26994"/>
    <cellStyle name="Total 2 3 2 2 13 5" xfId="26995"/>
    <cellStyle name="Total 2 3 2 2 13 6" xfId="48571"/>
    <cellStyle name="Total 2 3 2 2 13 7" xfId="56593"/>
    <cellStyle name="Total 2 3 2 2 14" xfId="26996"/>
    <cellStyle name="Total 2 3 2 2 14 2" xfId="26997"/>
    <cellStyle name="Total 2 3 2 2 14 3" xfId="26998"/>
    <cellStyle name="Total 2 3 2 2 14 4" xfId="26999"/>
    <cellStyle name="Total 2 3 2 2 14 5" xfId="27000"/>
    <cellStyle name="Total 2 3 2 2 15" xfId="27001"/>
    <cellStyle name="Total 2 3 2 2 15 2" xfId="27002"/>
    <cellStyle name="Total 2 3 2 2 15 3" xfId="27003"/>
    <cellStyle name="Total 2 3 2 2 15 4" xfId="27004"/>
    <cellStyle name="Total 2 3 2 2 15 5" xfId="27005"/>
    <cellStyle name="Total 2 3 2 2 16" xfId="27006"/>
    <cellStyle name="Total 2 3 2 2 16 2" xfId="27007"/>
    <cellStyle name="Total 2 3 2 2 16 3" xfId="27008"/>
    <cellStyle name="Total 2 3 2 2 16 4" xfId="27009"/>
    <cellStyle name="Total 2 3 2 2 16 5" xfId="27010"/>
    <cellStyle name="Total 2 3 2 2 17" xfId="27011"/>
    <cellStyle name="Total 2 3 2 2 17 2" xfId="27012"/>
    <cellStyle name="Total 2 3 2 2 17 3" xfId="27013"/>
    <cellStyle name="Total 2 3 2 2 17 4" xfId="27014"/>
    <cellStyle name="Total 2 3 2 2 17 5" xfId="27015"/>
    <cellStyle name="Total 2 3 2 2 18" xfId="27016"/>
    <cellStyle name="Total 2 3 2 2 18 2" xfId="27017"/>
    <cellStyle name="Total 2 3 2 2 18 3" xfId="27018"/>
    <cellStyle name="Total 2 3 2 2 18 4" xfId="27019"/>
    <cellStyle name="Total 2 3 2 2 18 5" xfId="27020"/>
    <cellStyle name="Total 2 3 2 2 19" xfId="27021"/>
    <cellStyle name="Total 2 3 2 2 2" xfId="644"/>
    <cellStyle name="Total 2 3 2 2 2 10" xfId="27022"/>
    <cellStyle name="Total 2 3 2 2 2 10 2" xfId="27023"/>
    <cellStyle name="Total 2 3 2 2 2 10 3" xfId="27024"/>
    <cellStyle name="Total 2 3 2 2 2 10 4" xfId="27025"/>
    <cellStyle name="Total 2 3 2 2 2 10 5" xfId="27026"/>
    <cellStyle name="Total 2 3 2 2 2 10 6" xfId="48572"/>
    <cellStyle name="Total 2 3 2 2 2 10 7" xfId="56594"/>
    <cellStyle name="Total 2 3 2 2 2 11" xfId="27027"/>
    <cellStyle name="Total 2 3 2 2 2 11 2" xfId="27028"/>
    <cellStyle name="Total 2 3 2 2 2 11 3" xfId="27029"/>
    <cellStyle name="Total 2 3 2 2 2 11 4" xfId="27030"/>
    <cellStyle name="Total 2 3 2 2 2 11 5" xfId="27031"/>
    <cellStyle name="Total 2 3 2 2 2 12" xfId="27032"/>
    <cellStyle name="Total 2 3 2 2 2 12 2" xfId="27033"/>
    <cellStyle name="Total 2 3 2 2 2 12 3" xfId="27034"/>
    <cellStyle name="Total 2 3 2 2 2 12 4" xfId="27035"/>
    <cellStyle name="Total 2 3 2 2 2 12 5" xfId="27036"/>
    <cellStyle name="Total 2 3 2 2 2 13" xfId="27037"/>
    <cellStyle name="Total 2 3 2 2 2 13 2" xfId="27038"/>
    <cellStyle name="Total 2 3 2 2 2 13 3" xfId="27039"/>
    <cellStyle name="Total 2 3 2 2 2 13 4" xfId="27040"/>
    <cellStyle name="Total 2 3 2 2 2 13 5" xfId="27041"/>
    <cellStyle name="Total 2 3 2 2 2 14" xfId="27042"/>
    <cellStyle name="Total 2 3 2 2 2 14 2" xfId="27043"/>
    <cellStyle name="Total 2 3 2 2 2 14 3" xfId="27044"/>
    <cellStyle name="Total 2 3 2 2 2 14 4" xfId="27045"/>
    <cellStyle name="Total 2 3 2 2 2 14 5" xfId="27046"/>
    <cellStyle name="Total 2 3 2 2 2 15" xfId="27047"/>
    <cellStyle name="Total 2 3 2 2 2 15 2" xfId="27048"/>
    <cellStyle name="Total 2 3 2 2 2 15 3" xfId="27049"/>
    <cellStyle name="Total 2 3 2 2 2 15 4" xfId="27050"/>
    <cellStyle name="Total 2 3 2 2 2 15 5" xfId="27051"/>
    <cellStyle name="Total 2 3 2 2 2 16" xfId="27052"/>
    <cellStyle name="Total 2 3 2 2 2 16 2" xfId="27053"/>
    <cellStyle name="Total 2 3 2 2 2 16 3" xfId="27054"/>
    <cellStyle name="Total 2 3 2 2 2 16 4" xfId="27055"/>
    <cellStyle name="Total 2 3 2 2 2 16 5" xfId="27056"/>
    <cellStyle name="Total 2 3 2 2 2 17" xfId="27057"/>
    <cellStyle name="Total 2 3 2 2 2 17 2" xfId="27058"/>
    <cellStyle name="Total 2 3 2 2 2 17 3" xfId="27059"/>
    <cellStyle name="Total 2 3 2 2 2 17 4" xfId="27060"/>
    <cellStyle name="Total 2 3 2 2 2 17 5" xfId="27061"/>
    <cellStyle name="Total 2 3 2 2 2 18" xfId="27062"/>
    <cellStyle name="Total 2 3 2 2 2 18 2" xfId="27063"/>
    <cellStyle name="Total 2 3 2 2 2 18 3" xfId="27064"/>
    <cellStyle name="Total 2 3 2 2 2 18 4" xfId="27065"/>
    <cellStyle name="Total 2 3 2 2 2 18 5" xfId="27066"/>
    <cellStyle name="Total 2 3 2 2 2 19" xfId="27067"/>
    <cellStyle name="Total 2 3 2 2 2 2" xfId="2775"/>
    <cellStyle name="Total 2 3 2 2 2 2 2" xfId="27068"/>
    <cellStyle name="Total 2 3 2 2 2 2 2 2" xfId="48574"/>
    <cellStyle name="Total 2 3 2 2 2 2 2 3" xfId="56596"/>
    <cellStyle name="Total 2 3 2 2 2 2 3" xfId="27069"/>
    <cellStyle name="Total 2 3 2 2 2 2 4" xfId="27070"/>
    <cellStyle name="Total 2 3 2 2 2 2 5" xfId="27071"/>
    <cellStyle name="Total 2 3 2 2 2 2 6" xfId="36447"/>
    <cellStyle name="Total 2 3 2 2 2 2 7" xfId="48573"/>
    <cellStyle name="Total 2 3 2 2 2 2 8" xfId="56595"/>
    <cellStyle name="Total 2 3 2 2 2 20" xfId="1072"/>
    <cellStyle name="Total 2 3 2 2 2 21" xfId="35152"/>
    <cellStyle name="Total 2 3 2 2 2 22" xfId="41372"/>
    <cellStyle name="Total 2 3 2 2 2 3" xfId="2776"/>
    <cellStyle name="Total 2 3 2 2 2 3 2" xfId="27072"/>
    <cellStyle name="Total 2 3 2 2 2 3 3" xfId="27073"/>
    <cellStyle name="Total 2 3 2 2 2 3 4" xfId="27074"/>
    <cellStyle name="Total 2 3 2 2 2 3 5" xfId="27075"/>
    <cellStyle name="Total 2 3 2 2 2 3 6" xfId="36944"/>
    <cellStyle name="Total 2 3 2 2 2 3 7" xfId="48575"/>
    <cellStyle name="Total 2 3 2 2 2 3 8" xfId="56597"/>
    <cellStyle name="Total 2 3 2 2 2 4" xfId="1435"/>
    <cellStyle name="Total 2 3 2 2 2 4 2" xfId="27076"/>
    <cellStyle name="Total 2 3 2 2 2 4 3" xfId="27077"/>
    <cellStyle name="Total 2 3 2 2 2 4 4" xfId="27078"/>
    <cellStyle name="Total 2 3 2 2 2 4 5" xfId="27079"/>
    <cellStyle name="Total 2 3 2 2 2 4 6" xfId="37560"/>
    <cellStyle name="Total 2 3 2 2 2 4 7" xfId="48576"/>
    <cellStyle name="Total 2 3 2 2 2 4 8" xfId="56598"/>
    <cellStyle name="Total 2 3 2 2 2 5" xfId="3505"/>
    <cellStyle name="Total 2 3 2 2 2 5 2" xfId="27080"/>
    <cellStyle name="Total 2 3 2 2 2 5 3" xfId="27081"/>
    <cellStyle name="Total 2 3 2 2 2 5 4" xfId="27082"/>
    <cellStyle name="Total 2 3 2 2 2 5 5" xfId="27083"/>
    <cellStyle name="Total 2 3 2 2 2 5 6" xfId="38177"/>
    <cellStyle name="Total 2 3 2 2 2 5 7" xfId="48577"/>
    <cellStyle name="Total 2 3 2 2 2 5 8" xfId="56599"/>
    <cellStyle name="Total 2 3 2 2 2 6" xfId="3823"/>
    <cellStyle name="Total 2 3 2 2 2 6 2" xfId="27084"/>
    <cellStyle name="Total 2 3 2 2 2 6 3" xfId="27085"/>
    <cellStyle name="Total 2 3 2 2 2 6 4" xfId="27086"/>
    <cellStyle name="Total 2 3 2 2 2 6 5" xfId="27087"/>
    <cellStyle name="Total 2 3 2 2 2 6 6" xfId="38795"/>
    <cellStyle name="Total 2 3 2 2 2 6 7" xfId="48578"/>
    <cellStyle name="Total 2 3 2 2 2 6 8" xfId="56600"/>
    <cellStyle name="Total 2 3 2 2 2 7" xfId="27088"/>
    <cellStyle name="Total 2 3 2 2 2 7 2" xfId="27089"/>
    <cellStyle name="Total 2 3 2 2 2 7 3" xfId="27090"/>
    <cellStyle name="Total 2 3 2 2 2 7 4" xfId="27091"/>
    <cellStyle name="Total 2 3 2 2 2 7 5" xfId="27092"/>
    <cellStyle name="Total 2 3 2 2 2 7 6" xfId="39415"/>
    <cellStyle name="Total 2 3 2 2 2 7 7" xfId="48579"/>
    <cellStyle name="Total 2 3 2 2 2 7 8" xfId="56601"/>
    <cellStyle name="Total 2 3 2 2 2 8" xfId="27093"/>
    <cellStyle name="Total 2 3 2 2 2 8 2" xfId="27094"/>
    <cellStyle name="Total 2 3 2 2 2 8 3" xfId="27095"/>
    <cellStyle name="Total 2 3 2 2 2 8 4" xfId="27096"/>
    <cellStyle name="Total 2 3 2 2 2 8 5" xfId="27097"/>
    <cellStyle name="Total 2 3 2 2 2 8 6" xfId="40031"/>
    <cellStyle name="Total 2 3 2 2 2 8 7" xfId="48580"/>
    <cellStyle name="Total 2 3 2 2 2 8 8" xfId="56602"/>
    <cellStyle name="Total 2 3 2 2 2 9" xfId="27098"/>
    <cellStyle name="Total 2 3 2 2 2 9 2" xfId="27099"/>
    <cellStyle name="Total 2 3 2 2 2 9 3" xfId="27100"/>
    <cellStyle name="Total 2 3 2 2 2 9 4" xfId="27101"/>
    <cellStyle name="Total 2 3 2 2 2 9 5" xfId="27102"/>
    <cellStyle name="Total 2 3 2 2 2 9 6" xfId="40646"/>
    <cellStyle name="Total 2 3 2 2 2 9 7" xfId="48581"/>
    <cellStyle name="Total 2 3 2 2 2 9 8" xfId="56603"/>
    <cellStyle name="Total 2 3 2 2 20" xfId="860"/>
    <cellStyle name="Total 2 3 2 2 21" xfId="34676"/>
    <cellStyle name="Total 2 3 2 2 22" xfId="40944"/>
    <cellStyle name="Total 2 3 2 2 23" xfId="41505"/>
    <cellStyle name="Total 2 3 2 2 24" xfId="50592"/>
    <cellStyle name="Total 2 3 2 2 3" xfId="2777"/>
    <cellStyle name="Total 2 3 2 2 3 10" xfId="34589"/>
    <cellStyle name="Total 2 3 2 2 3 10 2" xfId="48583"/>
    <cellStyle name="Total 2 3 2 2 3 10 3" xfId="56605"/>
    <cellStyle name="Total 2 3 2 2 3 11" xfId="41159"/>
    <cellStyle name="Total 2 3 2 2 3 12" xfId="48582"/>
    <cellStyle name="Total 2 3 2 2 3 13" xfId="56604"/>
    <cellStyle name="Total 2 3 2 2 3 2" xfId="2778"/>
    <cellStyle name="Total 2 3 2 2 3 2 2" xfId="36236"/>
    <cellStyle name="Total 2 3 2 2 3 2 3" xfId="48584"/>
    <cellStyle name="Total 2 3 2 2 3 2 4" xfId="56606"/>
    <cellStyle name="Total 2 3 2 2 3 3" xfId="2779"/>
    <cellStyle name="Total 2 3 2 2 3 3 2" xfId="36733"/>
    <cellStyle name="Total 2 3 2 2 3 3 3" xfId="48585"/>
    <cellStyle name="Total 2 3 2 2 3 3 4" xfId="56607"/>
    <cellStyle name="Total 2 3 2 2 3 4" xfId="27103"/>
    <cellStyle name="Total 2 3 2 2 3 4 2" xfId="37349"/>
    <cellStyle name="Total 2 3 2 2 3 4 3" xfId="48586"/>
    <cellStyle name="Total 2 3 2 2 3 4 4" xfId="56608"/>
    <cellStyle name="Total 2 3 2 2 3 5" xfId="27104"/>
    <cellStyle name="Total 2 3 2 2 3 5 2" xfId="37965"/>
    <cellStyle name="Total 2 3 2 2 3 5 3" xfId="48587"/>
    <cellStyle name="Total 2 3 2 2 3 5 4" xfId="56609"/>
    <cellStyle name="Total 2 3 2 2 3 6" xfId="38582"/>
    <cellStyle name="Total 2 3 2 2 3 6 2" xfId="48588"/>
    <cellStyle name="Total 2 3 2 2 3 6 3" xfId="56610"/>
    <cellStyle name="Total 2 3 2 2 3 7" xfId="39202"/>
    <cellStyle name="Total 2 3 2 2 3 7 2" xfId="48589"/>
    <cellStyle name="Total 2 3 2 2 3 7 3" xfId="56611"/>
    <cellStyle name="Total 2 3 2 2 3 8" xfId="39818"/>
    <cellStyle name="Total 2 3 2 2 3 8 2" xfId="48590"/>
    <cellStyle name="Total 2 3 2 2 3 8 3" xfId="56612"/>
    <cellStyle name="Total 2 3 2 2 3 9" xfId="40433"/>
    <cellStyle name="Total 2 3 2 2 3 9 2" xfId="48591"/>
    <cellStyle name="Total 2 3 2 2 3 9 3" xfId="56613"/>
    <cellStyle name="Total 2 3 2 2 4" xfId="2780"/>
    <cellStyle name="Total 2 3 2 2 4 10" xfId="48592"/>
    <cellStyle name="Total 2 3 2 2 4 11" xfId="56614"/>
    <cellStyle name="Total 2 3 2 2 4 2" xfId="27105"/>
    <cellStyle name="Total 2 3 2 2 4 2 2" xfId="48593"/>
    <cellStyle name="Total 2 3 2 2 4 2 3" xfId="56615"/>
    <cellStyle name="Total 2 3 2 2 4 3" xfId="27106"/>
    <cellStyle name="Total 2 3 2 2 4 3 2" xfId="48594"/>
    <cellStyle name="Total 2 3 2 2 4 3 3" xfId="56616"/>
    <cellStyle name="Total 2 3 2 2 4 4" xfId="27107"/>
    <cellStyle name="Total 2 3 2 2 4 4 2" xfId="48595"/>
    <cellStyle name="Total 2 3 2 2 4 4 3" xfId="56617"/>
    <cellStyle name="Total 2 3 2 2 4 5" xfId="27108"/>
    <cellStyle name="Total 2 3 2 2 4 5 2" xfId="48596"/>
    <cellStyle name="Total 2 3 2 2 4 5 3" xfId="56618"/>
    <cellStyle name="Total 2 3 2 2 4 6" xfId="35711"/>
    <cellStyle name="Total 2 3 2 2 4 6 2" xfId="48597"/>
    <cellStyle name="Total 2 3 2 2 4 6 3" xfId="56619"/>
    <cellStyle name="Total 2 3 2 2 4 7" xfId="48598"/>
    <cellStyle name="Total 2 3 2 2 4 7 2" xfId="56620"/>
    <cellStyle name="Total 2 3 2 2 4 8" xfId="48599"/>
    <cellStyle name="Total 2 3 2 2 4 8 2" xfId="56621"/>
    <cellStyle name="Total 2 3 2 2 4 9" xfId="48600"/>
    <cellStyle name="Total 2 3 2 2 4 9 2" xfId="56622"/>
    <cellStyle name="Total 2 3 2 2 5" xfId="1434"/>
    <cellStyle name="Total 2 3 2 2 5 2" xfId="27109"/>
    <cellStyle name="Total 2 3 2 2 5 3" xfId="27110"/>
    <cellStyle name="Total 2 3 2 2 5 4" xfId="27111"/>
    <cellStyle name="Total 2 3 2 2 5 5" xfId="27112"/>
    <cellStyle name="Total 2 3 2 2 5 6" xfId="36521"/>
    <cellStyle name="Total 2 3 2 2 5 7" xfId="48601"/>
    <cellStyle name="Total 2 3 2 2 5 8" xfId="56623"/>
    <cellStyle name="Total 2 3 2 2 6" xfId="3504"/>
    <cellStyle name="Total 2 3 2 2 6 2" xfId="27113"/>
    <cellStyle name="Total 2 3 2 2 6 3" xfId="27114"/>
    <cellStyle name="Total 2 3 2 2 6 4" xfId="27115"/>
    <cellStyle name="Total 2 3 2 2 6 5" xfId="27116"/>
    <cellStyle name="Total 2 3 2 2 6 6" xfId="37137"/>
    <cellStyle name="Total 2 3 2 2 6 7" xfId="48602"/>
    <cellStyle name="Total 2 3 2 2 6 8" xfId="56624"/>
    <cellStyle name="Total 2 3 2 2 7" xfId="3822"/>
    <cellStyle name="Total 2 3 2 2 7 2" xfId="27117"/>
    <cellStyle name="Total 2 3 2 2 7 3" xfId="27118"/>
    <cellStyle name="Total 2 3 2 2 7 4" xfId="27119"/>
    <cellStyle name="Total 2 3 2 2 7 5" xfId="27120"/>
    <cellStyle name="Total 2 3 2 2 7 6" xfId="37751"/>
    <cellStyle name="Total 2 3 2 2 7 7" xfId="48603"/>
    <cellStyle name="Total 2 3 2 2 7 8" xfId="56625"/>
    <cellStyle name="Total 2 3 2 2 8" xfId="27121"/>
    <cellStyle name="Total 2 3 2 2 8 2" xfId="27122"/>
    <cellStyle name="Total 2 3 2 2 8 3" xfId="27123"/>
    <cellStyle name="Total 2 3 2 2 8 4" xfId="27124"/>
    <cellStyle name="Total 2 3 2 2 8 5" xfId="27125"/>
    <cellStyle name="Total 2 3 2 2 8 6" xfId="38367"/>
    <cellStyle name="Total 2 3 2 2 8 7" xfId="48604"/>
    <cellStyle name="Total 2 3 2 2 8 8" xfId="56626"/>
    <cellStyle name="Total 2 3 2 2 9" xfId="27126"/>
    <cellStyle name="Total 2 3 2 2 9 2" xfId="27127"/>
    <cellStyle name="Total 2 3 2 2 9 3" xfId="27128"/>
    <cellStyle name="Total 2 3 2 2 9 4" xfId="27129"/>
    <cellStyle name="Total 2 3 2 2 9 5" xfId="27130"/>
    <cellStyle name="Total 2 3 2 2 9 6" xfId="38987"/>
    <cellStyle name="Total 2 3 2 2 9 7" xfId="48605"/>
    <cellStyle name="Total 2 3 2 2 9 8" xfId="56627"/>
    <cellStyle name="Total 2 3 2 20" xfId="34857"/>
    <cellStyle name="Total 2 3 2 21" xfId="40832"/>
    <cellStyle name="Total 2 3 2 3" xfId="430"/>
    <cellStyle name="Total 2 3 2 3 10" xfId="27131"/>
    <cellStyle name="Total 2 3 2 3 10 2" xfId="27132"/>
    <cellStyle name="Total 2 3 2 3 10 3" xfId="27133"/>
    <cellStyle name="Total 2 3 2 3 10 4" xfId="27134"/>
    <cellStyle name="Total 2 3 2 3 10 5" xfId="27135"/>
    <cellStyle name="Total 2 3 2 3 10 6" xfId="40219"/>
    <cellStyle name="Total 2 3 2 3 10 7" xfId="48606"/>
    <cellStyle name="Total 2 3 2 3 10 8" xfId="56628"/>
    <cellStyle name="Total 2 3 2 3 11" xfId="27136"/>
    <cellStyle name="Total 2 3 2 3 11 2" xfId="27137"/>
    <cellStyle name="Total 2 3 2 3 11 3" xfId="27138"/>
    <cellStyle name="Total 2 3 2 3 11 4" xfId="27139"/>
    <cellStyle name="Total 2 3 2 3 11 5" xfId="27140"/>
    <cellStyle name="Total 2 3 2 3 11 6" xfId="48607"/>
    <cellStyle name="Total 2 3 2 3 11 7" xfId="56629"/>
    <cellStyle name="Total 2 3 2 3 12" xfId="27141"/>
    <cellStyle name="Total 2 3 2 3 12 2" xfId="27142"/>
    <cellStyle name="Total 2 3 2 3 12 3" xfId="27143"/>
    <cellStyle name="Total 2 3 2 3 12 4" xfId="27144"/>
    <cellStyle name="Total 2 3 2 3 12 5" xfId="27145"/>
    <cellStyle name="Total 2 3 2 3 12 6" xfId="48608"/>
    <cellStyle name="Total 2 3 2 3 12 7" xfId="56630"/>
    <cellStyle name="Total 2 3 2 3 13" xfId="27146"/>
    <cellStyle name="Total 2 3 2 3 13 2" xfId="27147"/>
    <cellStyle name="Total 2 3 2 3 13 3" xfId="27148"/>
    <cellStyle name="Total 2 3 2 3 13 4" xfId="27149"/>
    <cellStyle name="Total 2 3 2 3 13 5" xfId="27150"/>
    <cellStyle name="Total 2 3 2 3 13 6" xfId="48609"/>
    <cellStyle name="Total 2 3 2 3 13 7" xfId="56631"/>
    <cellStyle name="Total 2 3 2 3 14" xfId="27151"/>
    <cellStyle name="Total 2 3 2 3 14 2" xfId="27152"/>
    <cellStyle name="Total 2 3 2 3 14 3" xfId="27153"/>
    <cellStyle name="Total 2 3 2 3 14 4" xfId="27154"/>
    <cellStyle name="Total 2 3 2 3 14 5" xfId="27155"/>
    <cellStyle name="Total 2 3 2 3 15" xfId="27156"/>
    <cellStyle name="Total 2 3 2 3 15 2" xfId="27157"/>
    <cellStyle name="Total 2 3 2 3 15 3" xfId="27158"/>
    <cellStyle name="Total 2 3 2 3 15 4" xfId="27159"/>
    <cellStyle name="Total 2 3 2 3 15 5" xfId="27160"/>
    <cellStyle name="Total 2 3 2 3 16" xfId="27161"/>
    <cellStyle name="Total 2 3 2 3 16 2" xfId="27162"/>
    <cellStyle name="Total 2 3 2 3 16 3" xfId="27163"/>
    <cellStyle name="Total 2 3 2 3 16 4" xfId="27164"/>
    <cellStyle name="Total 2 3 2 3 16 5" xfId="27165"/>
    <cellStyle name="Total 2 3 2 3 17" xfId="27166"/>
    <cellStyle name="Total 2 3 2 3 17 2" xfId="27167"/>
    <cellStyle name="Total 2 3 2 3 17 3" xfId="27168"/>
    <cellStyle name="Total 2 3 2 3 17 4" xfId="27169"/>
    <cellStyle name="Total 2 3 2 3 17 5" xfId="27170"/>
    <cellStyle name="Total 2 3 2 3 18" xfId="27171"/>
    <cellStyle name="Total 2 3 2 3 18 2" xfId="27172"/>
    <cellStyle name="Total 2 3 2 3 18 3" xfId="27173"/>
    <cellStyle name="Total 2 3 2 3 18 4" xfId="27174"/>
    <cellStyle name="Total 2 3 2 3 18 5" xfId="27175"/>
    <cellStyle name="Total 2 3 2 3 19" xfId="27176"/>
    <cellStyle name="Total 2 3 2 3 2" xfId="645"/>
    <cellStyle name="Total 2 3 2 3 2 10" xfId="27177"/>
    <cellStyle name="Total 2 3 2 3 2 10 2" xfId="27178"/>
    <cellStyle name="Total 2 3 2 3 2 10 3" xfId="27179"/>
    <cellStyle name="Total 2 3 2 3 2 10 4" xfId="27180"/>
    <cellStyle name="Total 2 3 2 3 2 10 5" xfId="27181"/>
    <cellStyle name="Total 2 3 2 3 2 10 6" xfId="48610"/>
    <cellStyle name="Total 2 3 2 3 2 10 7" xfId="56632"/>
    <cellStyle name="Total 2 3 2 3 2 11" xfId="27182"/>
    <cellStyle name="Total 2 3 2 3 2 11 2" xfId="27183"/>
    <cellStyle name="Total 2 3 2 3 2 11 3" xfId="27184"/>
    <cellStyle name="Total 2 3 2 3 2 11 4" xfId="27185"/>
    <cellStyle name="Total 2 3 2 3 2 11 5" xfId="27186"/>
    <cellStyle name="Total 2 3 2 3 2 12" xfId="27187"/>
    <cellStyle name="Total 2 3 2 3 2 12 2" xfId="27188"/>
    <cellStyle name="Total 2 3 2 3 2 12 3" xfId="27189"/>
    <cellStyle name="Total 2 3 2 3 2 12 4" xfId="27190"/>
    <cellStyle name="Total 2 3 2 3 2 12 5" xfId="27191"/>
    <cellStyle name="Total 2 3 2 3 2 13" xfId="27192"/>
    <cellStyle name="Total 2 3 2 3 2 13 2" xfId="27193"/>
    <cellStyle name="Total 2 3 2 3 2 13 3" xfId="27194"/>
    <cellStyle name="Total 2 3 2 3 2 13 4" xfId="27195"/>
    <cellStyle name="Total 2 3 2 3 2 13 5" xfId="27196"/>
    <cellStyle name="Total 2 3 2 3 2 14" xfId="27197"/>
    <cellStyle name="Total 2 3 2 3 2 14 2" xfId="27198"/>
    <cellStyle name="Total 2 3 2 3 2 14 3" xfId="27199"/>
    <cellStyle name="Total 2 3 2 3 2 14 4" xfId="27200"/>
    <cellStyle name="Total 2 3 2 3 2 14 5" xfId="27201"/>
    <cellStyle name="Total 2 3 2 3 2 15" xfId="27202"/>
    <cellStyle name="Total 2 3 2 3 2 15 2" xfId="27203"/>
    <cellStyle name="Total 2 3 2 3 2 15 3" xfId="27204"/>
    <cellStyle name="Total 2 3 2 3 2 15 4" xfId="27205"/>
    <cellStyle name="Total 2 3 2 3 2 15 5" xfId="27206"/>
    <cellStyle name="Total 2 3 2 3 2 16" xfId="27207"/>
    <cellStyle name="Total 2 3 2 3 2 16 2" xfId="27208"/>
    <cellStyle name="Total 2 3 2 3 2 16 3" xfId="27209"/>
    <cellStyle name="Total 2 3 2 3 2 16 4" xfId="27210"/>
    <cellStyle name="Total 2 3 2 3 2 16 5" xfId="27211"/>
    <cellStyle name="Total 2 3 2 3 2 17" xfId="27212"/>
    <cellStyle name="Total 2 3 2 3 2 17 2" xfId="27213"/>
    <cellStyle name="Total 2 3 2 3 2 17 3" xfId="27214"/>
    <cellStyle name="Total 2 3 2 3 2 17 4" xfId="27215"/>
    <cellStyle name="Total 2 3 2 3 2 17 5" xfId="27216"/>
    <cellStyle name="Total 2 3 2 3 2 18" xfId="27217"/>
    <cellStyle name="Total 2 3 2 3 2 18 2" xfId="27218"/>
    <cellStyle name="Total 2 3 2 3 2 18 3" xfId="27219"/>
    <cellStyle name="Total 2 3 2 3 2 18 4" xfId="27220"/>
    <cellStyle name="Total 2 3 2 3 2 18 5" xfId="27221"/>
    <cellStyle name="Total 2 3 2 3 2 19" xfId="27222"/>
    <cellStyle name="Total 2 3 2 3 2 2" xfId="2781"/>
    <cellStyle name="Total 2 3 2 3 2 2 2" xfId="27223"/>
    <cellStyle name="Total 2 3 2 3 2 2 2 2" xfId="48612"/>
    <cellStyle name="Total 2 3 2 3 2 2 2 3" xfId="56634"/>
    <cellStyle name="Total 2 3 2 3 2 2 3" xfId="27224"/>
    <cellStyle name="Total 2 3 2 3 2 2 4" xfId="27225"/>
    <cellStyle name="Total 2 3 2 3 2 2 5" xfId="27226"/>
    <cellStyle name="Total 2 3 2 3 2 2 6" xfId="36448"/>
    <cellStyle name="Total 2 3 2 3 2 2 7" xfId="48611"/>
    <cellStyle name="Total 2 3 2 3 2 2 8" xfId="56633"/>
    <cellStyle name="Total 2 3 2 3 2 20" xfId="1073"/>
    <cellStyle name="Total 2 3 2 3 2 21" xfId="35153"/>
    <cellStyle name="Total 2 3 2 3 2 22" xfId="41373"/>
    <cellStyle name="Total 2 3 2 3 2 3" xfId="2782"/>
    <cellStyle name="Total 2 3 2 3 2 3 2" xfId="27227"/>
    <cellStyle name="Total 2 3 2 3 2 3 3" xfId="27228"/>
    <cellStyle name="Total 2 3 2 3 2 3 4" xfId="27229"/>
    <cellStyle name="Total 2 3 2 3 2 3 5" xfId="27230"/>
    <cellStyle name="Total 2 3 2 3 2 3 6" xfId="36945"/>
    <cellStyle name="Total 2 3 2 3 2 3 7" xfId="48613"/>
    <cellStyle name="Total 2 3 2 3 2 3 8" xfId="56635"/>
    <cellStyle name="Total 2 3 2 3 2 4" xfId="1437"/>
    <cellStyle name="Total 2 3 2 3 2 4 2" xfId="27231"/>
    <cellStyle name="Total 2 3 2 3 2 4 3" xfId="27232"/>
    <cellStyle name="Total 2 3 2 3 2 4 4" xfId="27233"/>
    <cellStyle name="Total 2 3 2 3 2 4 5" xfId="27234"/>
    <cellStyle name="Total 2 3 2 3 2 4 6" xfId="37561"/>
    <cellStyle name="Total 2 3 2 3 2 4 7" xfId="48614"/>
    <cellStyle name="Total 2 3 2 3 2 4 8" xfId="56636"/>
    <cellStyle name="Total 2 3 2 3 2 5" xfId="3507"/>
    <cellStyle name="Total 2 3 2 3 2 5 2" xfId="27235"/>
    <cellStyle name="Total 2 3 2 3 2 5 3" xfId="27236"/>
    <cellStyle name="Total 2 3 2 3 2 5 4" xfId="27237"/>
    <cellStyle name="Total 2 3 2 3 2 5 5" xfId="27238"/>
    <cellStyle name="Total 2 3 2 3 2 5 6" xfId="38178"/>
    <cellStyle name="Total 2 3 2 3 2 5 7" xfId="48615"/>
    <cellStyle name="Total 2 3 2 3 2 5 8" xfId="56637"/>
    <cellStyle name="Total 2 3 2 3 2 6" xfId="3825"/>
    <cellStyle name="Total 2 3 2 3 2 6 2" xfId="27239"/>
    <cellStyle name="Total 2 3 2 3 2 6 3" xfId="27240"/>
    <cellStyle name="Total 2 3 2 3 2 6 4" xfId="27241"/>
    <cellStyle name="Total 2 3 2 3 2 6 5" xfId="27242"/>
    <cellStyle name="Total 2 3 2 3 2 6 6" xfId="38796"/>
    <cellStyle name="Total 2 3 2 3 2 6 7" xfId="48616"/>
    <cellStyle name="Total 2 3 2 3 2 6 8" xfId="56638"/>
    <cellStyle name="Total 2 3 2 3 2 7" xfId="27243"/>
    <cellStyle name="Total 2 3 2 3 2 7 2" xfId="27244"/>
    <cellStyle name="Total 2 3 2 3 2 7 3" xfId="27245"/>
    <cellStyle name="Total 2 3 2 3 2 7 4" xfId="27246"/>
    <cellStyle name="Total 2 3 2 3 2 7 5" xfId="27247"/>
    <cellStyle name="Total 2 3 2 3 2 7 6" xfId="39416"/>
    <cellStyle name="Total 2 3 2 3 2 7 7" xfId="48617"/>
    <cellStyle name="Total 2 3 2 3 2 7 8" xfId="56639"/>
    <cellStyle name="Total 2 3 2 3 2 8" xfId="27248"/>
    <cellStyle name="Total 2 3 2 3 2 8 2" xfId="27249"/>
    <cellStyle name="Total 2 3 2 3 2 8 3" xfId="27250"/>
    <cellStyle name="Total 2 3 2 3 2 8 4" xfId="27251"/>
    <cellStyle name="Total 2 3 2 3 2 8 5" xfId="27252"/>
    <cellStyle name="Total 2 3 2 3 2 8 6" xfId="40032"/>
    <cellStyle name="Total 2 3 2 3 2 8 7" xfId="48618"/>
    <cellStyle name="Total 2 3 2 3 2 8 8" xfId="56640"/>
    <cellStyle name="Total 2 3 2 3 2 9" xfId="27253"/>
    <cellStyle name="Total 2 3 2 3 2 9 2" xfId="27254"/>
    <cellStyle name="Total 2 3 2 3 2 9 3" xfId="27255"/>
    <cellStyle name="Total 2 3 2 3 2 9 4" xfId="27256"/>
    <cellStyle name="Total 2 3 2 3 2 9 5" xfId="27257"/>
    <cellStyle name="Total 2 3 2 3 2 9 6" xfId="40647"/>
    <cellStyle name="Total 2 3 2 3 2 9 7" xfId="48619"/>
    <cellStyle name="Total 2 3 2 3 2 9 8" xfId="56641"/>
    <cellStyle name="Total 2 3 2 3 20" xfId="861"/>
    <cellStyle name="Total 2 3 2 3 21" xfId="34675"/>
    <cellStyle name="Total 2 3 2 3 22" xfId="40945"/>
    <cellStyle name="Total 2 3 2 3 23" xfId="41506"/>
    <cellStyle name="Total 2 3 2 3 24" xfId="50593"/>
    <cellStyle name="Total 2 3 2 3 3" xfId="2783"/>
    <cellStyle name="Total 2 3 2 3 3 10" xfId="34588"/>
    <cellStyle name="Total 2 3 2 3 3 10 2" xfId="48621"/>
    <cellStyle name="Total 2 3 2 3 3 10 3" xfId="56643"/>
    <cellStyle name="Total 2 3 2 3 3 11" xfId="41160"/>
    <cellStyle name="Total 2 3 2 3 3 12" xfId="48620"/>
    <cellStyle name="Total 2 3 2 3 3 13" xfId="56642"/>
    <cellStyle name="Total 2 3 2 3 3 2" xfId="2784"/>
    <cellStyle name="Total 2 3 2 3 3 2 2" xfId="36237"/>
    <cellStyle name="Total 2 3 2 3 3 2 3" xfId="48622"/>
    <cellStyle name="Total 2 3 2 3 3 2 4" xfId="56644"/>
    <cellStyle name="Total 2 3 2 3 3 3" xfId="2785"/>
    <cellStyle name="Total 2 3 2 3 3 3 2" xfId="36734"/>
    <cellStyle name="Total 2 3 2 3 3 3 3" xfId="48623"/>
    <cellStyle name="Total 2 3 2 3 3 3 4" xfId="56645"/>
    <cellStyle name="Total 2 3 2 3 3 4" xfId="27258"/>
    <cellStyle name="Total 2 3 2 3 3 4 2" xfId="37350"/>
    <cellStyle name="Total 2 3 2 3 3 4 3" xfId="48624"/>
    <cellStyle name="Total 2 3 2 3 3 4 4" xfId="56646"/>
    <cellStyle name="Total 2 3 2 3 3 5" xfId="27259"/>
    <cellStyle name="Total 2 3 2 3 3 5 2" xfId="37966"/>
    <cellStyle name="Total 2 3 2 3 3 5 3" xfId="48625"/>
    <cellStyle name="Total 2 3 2 3 3 5 4" xfId="56647"/>
    <cellStyle name="Total 2 3 2 3 3 6" xfId="38583"/>
    <cellStyle name="Total 2 3 2 3 3 6 2" xfId="48626"/>
    <cellStyle name="Total 2 3 2 3 3 6 3" xfId="56648"/>
    <cellStyle name="Total 2 3 2 3 3 7" xfId="39203"/>
    <cellStyle name="Total 2 3 2 3 3 7 2" xfId="48627"/>
    <cellStyle name="Total 2 3 2 3 3 7 3" xfId="56649"/>
    <cellStyle name="Total 2 3 2 3 3 8" xfId="39819"/>
    <cellStyle name="Total 2 3 2 3 3 8 2" xfId="48628"/>
    <cellStyle name="Total 2 3 2 3 3 8 3" xfId="56650"/>
    <cellStyle name="Total 2 3 2 3 3 9" xfId="40434"/>
    <cellStyle name="Total 2 3 2 3 3 9 2" xfId="48629"/>
    <cellStyle name="Total 2 3 2 3 3 9 3" xfId="56651"/>
    <cellStyle name="Total 2 3 2 3 4" xfId="2786"/>
    <cellStyle name="Total 2 3 2 3 4 10" xfId="48630"/>
    <cellStyle name="Total 2 3 2 3 4 11" xfId="56652"/>
    <cellStyle name="Total 2 3 2 3 4 2" xfId="27260"/>
    <cellStyle name="Total 2 3 2 3 4 2 2" xfId="48631"/>
    <cellStyle name="Total 2 3 2 3 4 2 3" xfId="56653"/>
    <cellStyle name="Total 2 3 2 3 4 3" xfId="27261"/>
    <cellStyle name="Total 2 3 2 3 4 3 2" xfId="48632"/>
    <cellStyle name="Total 2 3 2 3 4 3 3" xfId="56654"/>
    <cellStyle name="Total 2 3 2 3 4 4" xfId="27262"/>
    <cellStyle name="Total 2 3 2 3 4 4 2" xfId="48633"/>
    <cellStyle name="Total 2 3 2 3 4 4 3" xfId="56655"/>
    <cellStyle name="Total 2 3 2 3 4 5" xfId="27263"/>
    <cellStyle name="Total 2 3 2 3 4 5 2" xfId="48634"/>
    <cellStyle name="Total 2 3 2 3 4 5 3" xfId="56656"/>
    <cellStyle name="Total 2 3 2 3 4 6" xfId="36522"/>
    <cellStyle name="Total 2 3 2 3 4 6 2" xfId="48635"/>
    <cellStyle name="Total 2 3 2 3 4 6 3" xfId="56657"/>
    <cellStyle name="Total 2 3 2 3 4 7" xfId="48636"/>
    <cellStyle name="Total 2 3 2 3 4 7 2" xfId="56658"/>
    <cellStyle name="Total 2 3 2 3 4 8" xfId="48637"/>
    <cellStyle name="Total 2 3 2 3 4 8 2" xfId="56659"/>
    <cellStyle name="Total 2 3 2 3 4 9" xfId="48638"/>
    <cellStyle name="Total 2 3 2 3 4 9 2" xfId="56660"/>
    <cellStyle name="Total 2 3 2 3 5" xfId="1436"/>
    <cellStyle name="Total 2 3 2 3 5 2" xfId="27264"/>
    <cellStyle name="Total 2 3 2 3 5 3" xfId="27265"/>
    <cellStyle name="Total 2 3 2 3 5 4" xfId="27266"/>
    <cellStyle name="Total 2 3 2 3 5 5" xfId="27267"/>
    <cellStyle name="Total 2 3 2 3 5 6" xfId="37138"/>
    <cellStyle name="Total 2 3 2 3 5 7" xfId="48639"/>
    <cellStyle name="Total 2 3 2 3 5 8" xfId="56661"/>
    <cellStyle name="Total 2 3 2 3 6" xfId="3506"/>
    <cellStyle name="Total 2 3 2 3 6 2" xfId="27268"/>
    <cellStyle name="Total 2 3 2 3 6 3" xfId="27269"/>
    <cellStyle name="Total 2 3 2 3 6 4" xfId="27270"/>
    <cellStyle name="Total 2 3 2 3 6 5" xfId="27271"/>
    <cellStyle name="Total 2 3 2 3 6 6" xfId="37752"/>
    <cellStyle name="Total 2 3 2 3 6 7" xfId="48640"/>
    <cellStyle name="Total 2 3 2 3 6 8" xfId="56662"/>
    <cellStyle name="Total 2 3 2 3 7" xfId="3824"/>
    <cellStyle name="Total 2 3 2 3 7 2" xfId="27272"/>
    <cellStyle name="Total 2 3 2 3 7 3" xfId="27273"/>
    <cellStyle name="Total 2 3 2 3 7 4" xfId="27274"/>
    <cellStyle name="Total 2 3 2 3 7 5" xfId="27275"/>
    <cellStyle name="Total 2 3 2 3 7 6" xfId="38368"/>
    <cellStyle name="Total 2 3 2 3 7 7" xfId="48641"/>
    <cellStyle name="Total 2 3 2 3 7 8" xfId="56663"/>
    <cellStyle name="Total 2 3 2 3 8" xfId="27276"/>
    <cellStyle name="Total 2 3 2 3 8 2" xfId="27277"/>
    <cellStyle name="Total 2 3 2 3 8 3" xfId="27278"/>
    <cellStyle name="Total 2 3 2 3 8 4" xfId="27279"/>
    <cellStyle name="Total 2 3 2 3 8 5" xfId="27280"/>
    <cellStyle name="Total 2 3 2 3 8 6" xfId="38988"/>
    <cellStyle name="Total 2 3 2 3 8 7" xfId="48642"/>
    <cellStyle name="Total 2 3 2 3 8 8" xfId="56664"/>
    <cellStyle name="Total 2 3 2 3 9" xfId="27281"/>
    <cellStyle name="Total 2 3 2 3 9 2" xfId="27282"/>
    <cellStyle name="Total 2 3 2 3 9 3" xfId="27283"/>
    <cellStyle name="Total 2 3 2 3 9 4" xfId="27284"/>
    <cellStyle name="Total 2 3 2 3 9 5" xfId="27285"/>
    <cellStyle name="Total 2 3 2 3 9 6" xfId="39604"/>
    <cellStyle name="Total 2 3 2 3 9 7" xfId="48643"/>
    <cellStyle name="Total 2 3 2 3 9 8" xfId="56665"/>
    <cellStyle name="Total 2 3 2 4" xfId="533"/>
    <cellStyle name="Total 2 3 2 4 10" xfId="27286"/>
    <cellStyle name="Total 2 3 2 4 10 2" xfId="27287"/>
    <cellStyle name="Total 2 3 2 4 10 3" xfId="27288"/>
    <cellStyle name="Total 2 3 2 4 10 4" xfId="27289"/>
    <cellStyle name="Total 2 3 2 4 10 5" xfId="27290"/>
    <cellStyle name="Total 2 3 2 4 10 6" xfId="48644"/>
    <cellStyle name="Total 2 3 2 4 10 7" xfId="56666"/>
    <cellStyle name="Total 2 3 2 4 11" xfId="27291"/>
    <cellStyle name="Total 2 3 2 4 11 2" xfId="27292"/>
    <cellStyle name="Total 2 3 2 4 11 3" xfId="27293"/>
    <cellStyle name="Total 2 3 2 4 11 4" xfId="27294"/>
    <cellStyle name="Total 2 3 2 4 11 5" xfId="27295"/>
    <cellStyle name="Total 2 3 2 4 12" xfId="27296"/>
    <cellStyle name="Total 2 3 2 4 12 2" xfId="27297"/>
    <cellStyle name="Total 2 3 2 4 12 3" xfId="27298"/>
    <cellStyle name="Total 2 3 2 4 12 4" xfId="27299"/>
    <cellStyle name="Total 2 3 2 4 12 5" xfId="27300"/>
    <cellStyle name="Total 2 3 2 4 13" xfId="27301"/>
    <cellStyle name="Total 2 3 2 4 13 2" xfId="27302"/>
    <cellStyle name="Total 2 3 2 4 13 3" xfId="27303"/>
    <cellStyle name="Total 2 3 2 4 13 4" xfId="27304"/>
    <cellStyle name="Total 2 3 2 4 13 5" xfId="27305"/>
    <cellStyle name="Total 2 3 2 4 14" xfId="27306"/>
    <cellStyle name="Total 2 3 2 4 14 2" xfId="27307"/>
    <cellStyle name="Total 2 3 2 4 14 3" xfId="27308"/>
    <cellStyle name="Total 2 3 2 4 14 4" xfId="27309"/>
    <cellStyle name="Total 2 3 2 4 14 5" xfId="27310"/>
    <cellStyle name="Total 2 3 2 4 15" xfId="27311"/>
    <cellStyle name="Total 2 3 2 4 15 2" xfId="27312"/>
    <cellStyle name="Total 2 3 2 4 15 3" xfId="27313"/>
    <cellStyle name="Total 2 3 2 4 15 4" xfId="27314"/>
    <cellStyle name="Total 2 3 2 4 15 5" xfId="27315"/>
    <cellStyle name="Total 2 3 2 4 16" xfId="27316"/>
    <cellStyle name="Total 2 3 2 4 16 2" xfId="27317"/>
    <cellStyle name="Total 2 3 2 4 16 3" xfId="27318"/>
    <cellStyle name="Total 2 3 2 4 16 4" xfId="27319"/>
    <cellStyle name="Total 2 3 2 4 16 5" xfId="27320"/>
    <cellStyle name="Total 2 3 2 4 17" xfId="27321"/>
    <cellStyle name="Total 2 3 2 4 17 2" xfId="27322"/>
    <cellStyle name="Total 2 3 2 4 17 3" xfId="27323"/>
    <cellStyle name="Total 2 3 2 4 17 4" xfId="27324"/>
    <cellStyle name="Total 2 3 2 4 17 5" xfId="27325"/>
    <cellStyle name="Total 2 3 2 4 18" xfId="27326"/>
    <cellStyle name="Total 2 3 2 4 18 2" xfId="27327"/>
    <cellStyle name="Total 2 3 2 4 18 3" xfId="27328"/>
    <cellStyle name="Total 2 3 2 4 18 4" xfId="27329"/>
    <cellStyle name="Total 2 3 2 4 18 5" xfId="27330"/>
    <cellStyle name="Total 2 3 2 4 19" xfId="27331"/>
    <cellStyle name="Total 2 3 2 4 2" xfId="2787"/>
    <cellStyle name="Total 2 3 2 4 2 2" xfId="27332"/>
    <cellStyle name="Total 2 3 2 4 2 2 2" xfId="48646"/>
    <cellStyle name="Total 2 3 2 4 2 2 3" xfId="56668"/>
    <cellStyle name="Total 2 3 2 4 2 3" xfId="27333"/>
    <cellStyle name="Total 2 3 2 4 2 4" xfId="27334"/>
    <cellStyle name="Total 2 3 2 4 2 5" xfId="27335"/>
    <cellStyle name="Total 2 3 2 4 2 6" xfId="36337"/>
    <cellStyle name="Total 2 3 2 4 2 7" xfId="48645"/>
    <cellStyle name="Total 2 3 2 4 2 8" xfId="56667"/>
    <cellStyle name="Total 2 3 2 4 20" xfId="962"/>
    <cellStyle name="Total 2 3 2 4 21" xfId="35042"/>
    <cellStyle name="Total 2 3 2 4 22" xfId="40751"/>
    <cellStyle name="Total 2 3 2 4 23" xfId="41261"/>
    <cellStyle name="Total 2 3 2 4 3" xfId="2788"/>
    <cellStyle name="Total 2 3 2 4 3 2" xfId="27336"/>
    <cellStyle name="Total 2 3 2 4 3 3" xfId="27337"/>
    <cellStyle name="Total 2 3 2 4 3 4" xfId="27338"/>
    <cellStyle name="Total 2 3 2 4 3 5" xfId="27339"/>
    <cellStyle name="Total 2 3 2 4 3 6" xfId="36834"/>
    <cellStyle name="Total 2 3 2 4 3 7" xfId="48647"/>
    <cellStyle name="Total 2 3 2 4 3 8" xfId="56669"/>
    <cellStyle name="Total 2 3 2 4 4" xfId="1438"/>
    <cellStyle name="Total 2 3 2 4 4 2" xfId="27340"/>
    <cellStyle name="Total 2 3 2 4 4 3" xfId="27341"/>
    <cellStyle name="Total 2 3 2 4 4 4" xfId="27342"/>
    <cellStyle name="Total 2 3 2 4 4 5" xfId="27343"/>
    <cellStyle name="Total 2 3 2 4 4 6" xfId="37450"/>
    <cellStyle name="Total 2 3 2 4 4 7" xfId="48648"/>
    <cellStyle name="Total 2 3 2 4 4 8" xfId="56670"/>
    <cellStyle name="Total 2 3 2 4 5" xfId="3508"/>
    <cellStyle name="Total 2 3 2 4 5 2" xfId="27344"/>
    <cellStyle name="Total 2 3 2 4 5 3" xfId="27345"/>
    <cellStyle name="Total 2 3 2 4 5 4" xfId="27346"/>
    <cellStyle name="Total 2 3 2 4 5 5" xfId="27347"/>
    <cellStyle name="Total 2 3 2 4 5 6" xfId="38066"/>
    <cellStyle name="Total 2 3 2 4 5 7" xfId="48649"/>
    <cellStyle name="Total 2 3 2 4 5 8" xfId="56671"/>
    <cellStyle name="Total 2 3 2 4 6" xfId="3826"/>
    <cellStyle name="Total 2 3 2 4 6 2" xfId="27348"/>
    <cellStyle name="Total 2 3 2 4 6 3" xfId="27349"/>
    <cellStyle name="Total 2 3 2 4 6 4" xfId="27350"/>
    <cellStyle name="Total 2 3 2 4 6 5" xfId="27351"/>
    <cellStyle name="Total 2 3 2 4 6 6" xfId="38684"/>
    <cellStyle name="Total 2 3 2 4 6 7" xfId="48650"/>
    <cellStyle name="Total 2 3 2 4 6 8" xfId="56672"/>
    <cellStyle name="Total 2 3 2 4 7" xfId="27352"/>
    <cellStyle name="Total 2 3 2 4 7 2" xfId="27353"/>
    <cellStyle name="Total 2 3 2 4 7 3" xfId="27354"/>
    <cellStyle name="Total 2 3 2 4 7 4" xfId="27355"/>
    <cellStyle name="Total 2 3 2 4 7 5" xfId="27356"/>
    <cellStyle name="Total 2 3 2 4 7 6" xfId="39304"/>
    <cellStyle name="Total 2 3 2 4 7 7" xfId="48651"/>
    <cellStyle name="Total 2 3 2 4 7 8" xfId="56673"/>
    <cellStyle name="Total 2 3 2 4 8" xfId="27357"/>
    <cellStyle name="Total 2 3 2 4 8 2" xfId="27358"/>
    <cellStyle name="Total 2 3 2 4 8 3" xfId="27359"/>
    <cellStyle name="Total 2 3 2 4 8 4" xfId="27360"/>
    <cellStyle name="Total 2 3 2 4 8 5" xfId="27361"/>
    <cellStyle name="Total 2 3 2 4 8 6" xfId="39920"/>
    <cellStyle name="Total 2 3 2 4 8 7" xfId="48652"/>
    <cellStyle name="Total 2 3 2 4 8 8" xfId="56674"/>
    <cellStyle name="Total 2 3 2 4 9" xfId="27362"/>
    <cellStyle name="Total 2 3 2 4 9 2" xfId="27363"/>
    <cellStyle name="Total 2 3 2 4 9 3" xfId="27364"/>
    <cellStyle name="Total 2 3 2 4 9 4" xfId="27365"/>
    <cellStyle name="Total 2 3 2 4 9 5" xfId="27366"/>
    <cellStyle name="Total 2 3 2 4 9 6" xfId="40535"/>
    <cellStyle name="Total 2 3 2 4 9 7" xfId="48653"/>
    <cellStyle name="Total 2 3 2 4 9 8" xfId="56675"/>
    <cellStyle name="Total 2 3 2 5" xfId="2789"/>
    <cellStyle name="Total 2 3 2 5 10" xfId="34642"/>
    <cellStyle name="Total 2 3 2 5 10 2" xfId="48655"/>
    <cellStyle name="Total 2 3 2 5 10 3" xfId="56677"/>
    <cellStyle name="Total 2 3 2 5 11" xfId="41047"/>
    <cellStyle name="Total 2 3 2 5 12" xfId="48654"/>
    <cellStyle name="Total 2 3 2 5 13" xfId="56676"/>
    <cellStyle name="Total 2 3 2 5 2" xfId="2790"/>
    <cellStyle name="Total 2 3 2 5 2 2" xfId="36124"/>
    <cellStyle name="Total 2 3 2 5 2 3" xfId="48656"/>
    <cellStyle name="Total 2 3 2 5 2 4" xfId="56678"/>
    <cellStyle name="Total 2 3 2 5 3" xfId="2791"/>
    <cellStyle name="Total 2 3 2 5 3 2" xfId="36623"/>
    <cellStyle name="Total 2 3 2 5 3 3" xfId="48657"/>
    <cellStyle name="Total 2 3 2 5 3 4" xfId="56679"/>
    <cellStyle name="Total 2 3 2 5 4" xfId="27367"/>
    <cellStyle name="Total 2 3 2 5 4 2" xfId="37239"/>
    <cellStyle name="Total 2 3 2 5 4 3" xfId="48658"/>
    <cellStyle name="Total 2 3 2 5 4 4" xfId="56680"/>
    <cellStyle name="Total 2 3 2 5 5" xfId="27368"/>
    <cellStyle name="Total 2 3 2 5 5 2" xfId="37855"/>
    <cellStyle name="Total 2 3 2 5 5 3" xfId="48659"/>
    <cellStyle name="Total 2 3 2 5 5 4" xfId="56681"/>
    <cellStyle name="Total 2 3 2 5 6" xfId="38470"/>
    <cellStyle name="Total 2 3 2 5 6 2" xfId="48660"/>
    <cellStyle name="Total 2 3 2 5 6 3" xfId="56682"/>
    <cellStyle name="Total 2 3 2 5 7" xfId="39090"/>
    <cellStyle name="Total 2 3 2 5 7 2" xfId="48661"/>
    <cellStyle name="Total 2 3 2 5 7 3" xfId="56683"/>
    <cellStyle name="Total 2 3 2 5 8" xfId="39706"/>
    <cellStyle name="Total 2 3 2 5 8 2" xfId="48662"/>
    <cellStyle name="Total 2 3 2 5 8 3" xfId="56684"/>
    <cellStyle name="Total 2 3 2 5 9" xfId="40321"/>
    <cellStyle name="Total 2 3 2 5 9 2" xfId="48663"/>
    <cellStyle name="Total 2 3 2 5 9 3" xfId="56685"/>
    <cellStyle name="Total 2 3 2 6" xfId="1433"/>
    <cellStyle name="Total 2 3 2 6 10" xfId="48664"/>
    <cellStyle name="Total 2 3 2 6 11" xfId="56686"/>
    <cellStyle name="Total 2 3 2 6 2" xfId="27369"/>
    <cellStyle name="Total 2 3 2 6 2 2" xfId="48665"/>
    <cellStyle name="Total 2 3 2 6 2 3" xfId="56687"/>
    <cellStyle name="Total 2 3 2 6 3" xfId="27370"/>
    <cellStyle name="Total 2 3 2 6 3 2" xfId="48666"/>
    <cellStyle name="Total 2 3 2 6 3 3" xfId="56688"/>
    <cellStyle name="Total 2 3 2 6 4" xfId="27371"/>
    <cellStyle name="Total 2 3 2 6 4 2" xfId="48667"/>
    <cellStyle name="Total 2 3 2 6 4 3" xfId="56689"/>
    <cellStyle name="Total 2 3 2 6 5" xfId="27372"/>
    <cellStyle name="Total 2 3 2 6 5 2" xfId="48668"/>
    <cellStyle name="Total 2 3 2 6 5 3" xfId="56690"/>
    <cellStyle name="Total 2 3 2 6 6" xfId="35442"/>
    <cellStyle name="Total 2 3 2 6 6 2" xfId="48669"/>
    <cellStyle name="Total 2 3 2 6 6 3" xfId="56691"/>
    <cellStyle name="Total 2 3 2 6 7" xfId="48670"/>
    <cellStyle name="Total 2 3 2 6 7 2" xfId="56692"/>
    <cellStyle name="Total 2 3 2 6 8" xfId="48671"/>
    <cellStyle name="Total 2 3 2 6 8 2" xfId="56693"/>
    <cellStyle name="Total 2 3 2 6 9" xfId="48672"/>
    <cellStyle name="Total 2 3 2 6 9 2" xfId="56694"/>
    <cellStyle name="Total 2 3 2 7" xfId="3503"/>
    <cellStyle name="Total 2 3 2 7 2" xfId="27373"/>
    <cellStyle name="Total 2 3 2 7 3" xfId="27374"/>
    <cellStyle name="Total 2 3 2 7 4" xfId="27375"/>
    <cellStyle name="Total 2 3 2 7 5" xfId="27376"/>
    <cellStyle name="Total 2 3 2 7 6" xfId="35974"/>
    <cellStyle name="Total 2 3 2 7 7" xfId="48673"/>
    <cellStyle name="Total 2 3 2 7 8" xfId="56695"/>
    <cellStyle name="Total 2 3 2 8" xfId="3821"/>
    <cellStyle name="Total 2 3 2 8 2" xfId="27377"/>
    <cellStyle name="Total 2 3 2 8 3" xfId="27378"/>
    <cellStyle name="Total 2 3 2 8 4" xfId="27379"/>
    <cellStyle name="Total 2 3 2 8 5" xfId="27380"/>
    <cellStyle name="Total 2 3 2 8 6" xfId="35802"/>
    <cellStyle name="Total 2 3 2 8 7" xfId="48674"/>
    <cellStyle name="Total 2 3 2 8 8" xfId="56696"/>
    <cellStyle name="Total 2 3 2 9" xfId="27381"/>
    <cellStyle name="Total 2 3 2 9 2" xfId="27382"/>
    <cellStyle name="Total 2 3 2 9 3" xfId="27383"/>
    <cellStyle name="Total 2 3 2 9 4" xfId="27384"/>
    <cellStyle name="Total 2 3 2 9 5" xfId="27385"/>
    <cellStyle name="Total 2 3 2 9 6" xfId="37019"/>
    <cellStyle name="Total 2 3 2 9 7" xfId="48675"/>
    <cellStyle name="Total 2 3 2 9 8" xfId="56697"/>
    <cellStyle name="Total 2 3 20" xfId="27386"/>
    <cellStyle name="Total 2 3 21" xfId="706"/>
    <cellStyle name="Total 2 3 22" xfId="34773"/>
    <cellStyle name="Total 2 3 23" xfId="40790"/>
    <cellStyle name="Total 2 3 3" xfId="304"/>
    <cellStyle name="Total 2 3 3 10" xfId="27387"/>
    <cellStyle name="Total 2 3 3 10 2" xfId="27388"/>
    <cellStyle name="Total 2 3 3 10 3" xfId="27389"/>
    <cellStyle name="Total 2 3 3 10 4" xfId="27390"/>
    <cellStyle name="Total 2 3 3 10 5" xfId="27391"/>
    <cellStyle name="Total 2 3 3 10 6" xfId="37632"/>
    <cellStyle name="Total 2 3 3 10 7" xfId="48676"/>
    <cellStyle name="Total 2 3 3 10 8" xfId="56698"/>
    <cellStyle name="Total 2 3 3 11" xfId="27392"/>
    <cellStyle name="Total 2 3 3 11 2" xfId="27393"/>
    <cellStyle name="Total 2 3 3 11 3" xfId="27394"/>
    <cellStyle name="Total 2 3 3 11 4" xfId="27395"/>
    <cellStyle name="Total 2 3 3 11 5" xfId="27396"/>
    <cellStyle name="Total 2 3 3 11 6" xfId="38249"/>
    <cellStyle name="Total 2 3 3 11 7" xfId="48677"/>
    <cellStyle name="Total 2 3 3 11 8" xfId="56699"/>
    <cellStyle name="Total 2 3 3 12" xfId="27397"/>
    <cellStyle name="Total 2 3 3 12 2" xfId="27398"/>
    <cellStyle name="Total 2 3 3 12 3" xfId="27399"/>
    <cellStyle name="Total 2 3 3 12 4" xfId="27400"/>
    <cellStyle name="Total 2 3 3 12 5" xfId="27401"/>
    <cellStyle name="Total 2 3 3 12 6" xfId="38871"/>
    <cellStyle name="Total 2 3 3 12 7" xfId="48678"/>
    <cellStyle name="Total 2 3 3 12 8" xfId="56700"/>
    <cellStyle name="Total 2 3 3 13" xfId="27402"/>
    <cellStyle name="Total 2 3 3 13 2" xfId="27403"/>
    <cellStyle name="Total 2 3 3 13 3" xfId="27404"/>
    <cellStyle name="Total 2 3 3 13 4" xfId="27405"/>
    <cellStyle name="Total 2 3 3 13 5" xfId="27406"/>
    <cellStyle name="Total 2 3 3 13 6" xfId="39491"/>
    <cellStyle name="Total 2 3 3 13 7" xfId="48679"/>
    <cellStyle name="Total 2 3 3 13 8" xfId="56701"/>
    <cellStyle name="Total 2 3 3 14" xfId="27407"/>
    <cellStyle name="Total 2 3 3 14 2" xfId="27408"/>
    <cellStyle name="Total 2 3 3 14 3" xfId="27409"/>
    <cellStyle name="Total 2 3 3 14 4" xfId="27410"/>
    <cellStyle name="Total 2 3 3 14 5" xfId="27411"/>
    <cellStyle name="Total 2 3 3 14 6" xfId="40109"/>
    <cellStyle name="Total 2 3 3 14 7" xfId="48680"/>
    <cellStyle name="Total 2 3 3 14 8" xfId="56702"/>
    <cellStyle name="Total 2 3 3 15" xfId="27412"/>
    <cellStyle name="Total 2 3 3 15 2" xfId="27413"/>
    <cellStyle name="Total 2 3 3 15 3" xfId="27414"/>
    <cellStyle name="Total 2 3 3 15 4" xfId="27415"/>
    <cellStyle name="Total 2 3 3 15 5" xfId="27416"/>
    <cellStyle name="Total 2 3 3 15 6" xfId="48681"/>
    <cellStyle name="Total 2 3 3 15 7" xfId="56703"/>
    <cellStyle name="Total 2 3 3 16" xfId="27417"/>
    <cellStyle name="Total 2 3 3 16 2" xfId="27418"/>
    <cellStyle name="Total 2 3 3 16 3" xfId="27419"/>
    <cellStyle name="Total 2 3 3 16 4" xfId="27420"/>
    <cellStyle name="Total 2 3 3 16 5" xfId="27421"/>
    <cellStyle name="Total 2 3 3 17" xfId="27422"/>
    <cellStyle name="Total 2 3 3 17 2" xfId="27423"/>
    <cellStyle name="Total 2 3 3 17 3" xfId="27424"/>
    <cellStyle name="Total 2 3 3 17 4" xfId="27425"/>
    <cellStyle name="Total 2 3 3 17 5" xfId="27426"/>
    <cellStyle name="Total 2 3 3 18" xfId="27427"/>
    <cellStyle name="Total 2 3 3 19" xfId="749"/>
    <cellStyle name="Total 2 3 3 2" xfId="431"/>
    <cellStyle name="Total 2 3 3 2 10" xfId="27428"/>
    <cellStyle name="Total 2 3 3 2 10 2" xfId="27429"/>
    <cellStyle name="Total 2 3 3 2 10 3" xfId="27430"/>
    <cellStyle name="Total 2 3 3 2 10 4" xfId="27431"/>
    <cellStyle name="Total 2 3 3 2 10 5" xfId="27432"/>
    <cellStyle name="Total 2 3 3 2 10 6" xfId="39605"/>
    <cellStyle name="Total 2 3 3 2 10 7" xfId="48682"/>
    <cellStyle name="Total 2 3 3 2 10 8" xfId="56704"/>
    <cellStyle name="Total 2 3 3 2 11" xfId="27433"/>
    <cellStyle name="Total 2 3 3 2 11 2" xfId="27434"/>
    <cellStyle name="Total 2 3 3 2 11 3" xfId="27435"/>
    <cellStyle name="Total 2 3 3 2 11 4" xfId="27436"/>
    <cellStyle name="Total 2 3 3 2 11 5" xfId="27437"/>
    <cellStyle name="Total 2 3 3 2 11 6" xfId="40220"/>
    <cellStyle name="Total 2 3 3 2 11 7" xfId="48683"/>
    <cellStyle name="Total 2 3 3 2 11 8" xfId="56705"/>
    <cellStyle name="Total 2 3 3 2 12" xfId="27438"/>
    <cellStyle name="Total 2 3 3 2 12 2" xfId="27439"/>
    <cellStyle name="Total 2 3 3 2 12 3" xfId="27440"/>
    <cellStyle name="Total 2 3 3 2 12 4" xfId="27441"/>
    <cellStyle name="Total 2 3 3 2 12 5" xfId="27442"/>
    <cellStyle name="Total 2 3 3 2 12 6" xfId="48684"/>
    <cellStyle name="Total 2 3 3 2 12 7" xfId="56706"/>
    <cellStyle name="Total 2 3 3 2 13" xfId="27443"/>
    <cellStyle name="Total 2 3 3 2 13 2" xfId="27444"/>
    <cellStyle name="Total 2 3 3 2 13 3" xfId="27445"/>
    <cellStyle name="Total 2 3 3 2 13 4" xfId="27446"/>
    <cellStyle name="Total 2 3 3 2 13 5" xfId="27447"/>
    <cellStyle name="Total 2 3 3 2 13 6" xfId="48685"/>
    <cellStyle name="Total 2 3 3 2 13 7" xfId="56707"/>
    <cellStyle name="Total 2 3 3 2 14" xfId="27448"/>
    <cellStyle name="Total 2 3 3 2 14 2" xfId="27449"/>
    <cellStyle name="Total 2 3 3 2 14 3" xfId="27450"/>
    <cellStyle name="Total 2 3 3 2 14 4" xfId="27451"/>
    <cellStyle name="Total 2 3 3 2 14 5" xfId="27452"/>
    <cellStyle name="Total 2 3 3 2 15" xfId="27453"/>
    <cellStyle name="Total 2 3 3 2 15 2" xfId="27454"/>
    <cellStyle name="Total 2 3 3 2 15 3" xfId="27455"/>
    <cellStyle name="Total 2 3 3 2 15 4" xfId="27456"/>
    <cellStyle name="Total 2 3 3 2 15 5" xfId="27457"/>
    <cellStyle name="Total 2 3 3 2 16" xfId="27458"/>
    <cellStyle name="Total 2 3 3 2 16 2" xfId="27459"/>
    <cellStyle name="Total 2 3 3 2 16 3" xfId="27460"/>
    <cellStyle name="Total 2 3 3 2 16 4" xfId="27461"/>
    <cellStyle name="Total 2 3 3 2 16 5" xfId="27462"/>
    <cellStyle name="Total 2 3 3 2 17" xfId="27463"/>
    <cellStyle name="Total 2 3 3 2 17 2" xfId="27464"/>
    <cellStyle name="Total 2 3 3 2 17 3" xfId="27465"/>
    <cellStyle name="Total 2 3 3 2 17 4" xfId="27466"/>
    <cellStyle name="Total 2 3 3 2 17 5" xfId="27467"/>
    <cellStyle name="Total 2 3 3 2 18" xfId="27468"/>
    <cellStyle name="Total 2 3 3 2 18 2" xfId="27469"/>
    <cellStyle name="Total 2 3 3 2 18 3" xfId="27470"/>
    <cellStyle name="Total 2 3 3 2 18 4" xfId="27471"/>
    <cellStyle name="Total 2 3 3 2 18 5" xfId="27472"/>
    <cellStyle name="Total 2 3 3 2 19" xfId="27473"/>
    <cellStyle name="Total 2 3 3 2 2" xfId="646"/>
    <cellStyle name="Total 2 3 3 2 2 10" xfId="27474"/>
    <cellStyle name="Total 2 3 3 2 2 10 2" xfId="27475"/>
    <cellStyle name="Total 2 3 3 2 2 10 3" xfId="27476"/>
    <cellStyle name="Total 2 3 3 2 2 10 4" xfId="27477"/>
    <cellStyle name="Total 2 3 3 2 2 10 5" xfId="27478"/>
    <cellStyle name="Total 2 3 3 2 2 10 6" xfId="48686"/>
    <cellStyle name="Total 2 3 3 2 2 10 7" xfId="56708"/>
    <cellStyle name="Total 2 3 3 2 2 11" xfId="27479"/>
    <cellStyle name="Total 2 3 3 2 2 11 2" xfId="27480"/>
    <cellStyle name="Total 2 3 3 2 2 11 3" xfId="27481"/>
    <cellStyle name="Total 2 3 3 2 2 11 4" xfId="27482"/>
    <cellStyle name="Total 2 3 3 2 2 11 5" xfId="27483"/>
    <cellStyle name="Total 2 3 3 2 2 12" xfId="27484"/>
    <cellStyle name="Total 2 3 3 2 2 12 2" xfId="27485"/>
    <cellStyle name="Total 2 3 3 2 2 12 3" xfId="27486"/>
    <cellStyle name="Total 2 3 3 2 2 12 4" xfId="27487"/>
    <cellStyle name="Total 2 3 3 2 2 12 5" xfId="27488"/>
    <cellStyle name="Total 2 3 3 2 2 13" xfId="27489"/>
    <cellStyle name="Total 2 3 3 2 2 13 2" xfId="27490"/>
    <cellStyle name="Total 2 3 3 2 2 13 3" xfId="27491"/>
    <cellStyle name="Total 2 3 3 2 2 13 4" xfId="27492"/>
    <cellStyle name="Total 2 3 3 2 2 13 5" xfId="27493"/>
    <cellStyle name="Total 2 3 3 2 2 14" xfId="27494"/>
    <cellStyle name="Total 2 3 3 2 2 14 2" xfId="27495"/>
    <cellStyle name="Total 2 3 3 2 2 14 3" xfId="27496"/>
    <cellStyle name="Total 2 3 3 2 2 14 4" xfId="27497"/>
    <cellStyle name="Total 2 3 3 2 2 14 5" xfId="27498"/>
    <cellStyle name="Total 2 3 3 2 2 15" xfId="27499"/>
    <cellStyle name="Total 2 3 3 2 2 15 2" xfId="27500"/>
    <cellStyle name="Total 2 3 3 2 2 15 3" xfId="27501"/>
    <cellStyle name="Total 2 3 3 2 2 15 4" xfId="27502"/>
    <cellStyle name="Total 2 3 3 2 2 15 5" xfId="27503"/>
    <cellStyle name="Total 2 3 3 2 2 16" xfId="27504"/>
    <cellStyle name="Total 2 3 3 2 2 16 2" xfId="27505"/>
    <cellStyle name="Total 2 3 3 2 2 16 3" xfId="27506"/>
    <cellStyle name="Total 2 3 3 2 2 16 4" xfId="27507"/>
    <cellStyle name="Total 2 3 3 2 2 16 5" xfId="27508"/>
    <cellStyle name="Total 2 3 3 2 2 17" xfId="27509"/>
    <cellStyle name="Total 2 3 3 2 2 17 2" xfId="27510"/>
    <cellStyle name="Total 2 3 3 2 2 17 3" xfId="27511"/>
    <cellStyle name="Total 2 3 3 2 2 17 4" xfId="27512"/>
    <cellStyle name="Total 2 3 3 2 2 17 5" xfId="27513"/>
    <cellStyle name="Total 2 3 3 2 2 18" xfId="27514"/>
    <cellStyle name="Total 2 3 3 2 2 18 2" xfId="27515"/>
    <cellStyle name="Total 2 3 3 2 2 18 3" xfId="27516"/>
    <cellStyle name="Total 2 3 3 2 2 18 4" xfId="27517"/>
    <cellStyle name="Total 2 3 3 2 2 18 5" xfId="27518"/>
    <cellStyle name="Total 2 3 3 2 2 19" xfId="27519"/>
    <cellStyle name="Total 2 3 3 2 2 2" xfId="2792"/>
    <cellStyle name="Total 2 3 3 2 2 2 2" xfId="27520"/>
    <cellStyle name="Total 2 3 3 2 2 2 2 2" xfId="48688"/>
    <cellStyle name="Total 2 3 3 2 2 2 2 3" xfId="56710"/>
    <cellStyle name="Total 2 3 3 2 2 2 3" xfId="27521"/>
    <cellStyle name="Total 2 3 3 2 2 2 4" xfId="27522"/>
    <cellStyle name="Total 2 3 3 2 2 2 5" xfId="27523"/>
    <cellStyle name="Total 2 3 3 2 2 2 6" xfId="36449"/>
    <cellStyle name="Total 2 3 3 2 2 2 7" xfId="48687"/>
    <cellStyle name="Total 2 3 3 2 2 2 8" xfId="56709"/>
    <cellStyle name="Total 2 3 3 2 2 20" xfId="1074"/>
    <cellStyle name="Total 2 3 3 2 2 21" xfId="35154"/>
    <cellStyle name="Total 2 3 3 2 2 22" xfId="41374"/>
    <cellStyle name="Total 2 3 3 2 2 3" xfId="2793"/>
    <cellStyle name="Total 2 3 3 2 2 3 2" xfId="27524"/>
    <cellStyle name="Total 2 3 3 2 2 3 3" xfId="27525"/>
    <cellStyle name="Total 2 3 3 2 2 3 4" xfId="27526"/>
    <cellStyle name="Total 2 3 3 2 2 3 5" xfId="27527"/>
    <cellStyle name="Total 2 3 3 2 2 3 6" xfId="36946"/>
    <cellStyle name="Total 2 3 3 2 2 3 7" xfId="48689"/>
    <cellStyle name="Total 2 3 3 2 2 3 8" xfId="56711"/>
    <cellStyle name="Total 2 3 3 2 2 4" xfId="1441"/>
    <cellStyle name="Total 2 3 3 2 2 4 2" xfId="27528"/>
    <cellStyle name="Total 2 3 3 2 2 4 3" xfId="27529"/>
    <cellStyle name="Total 2 3 3 2 2 4 4" xfId="27530"/>
    <cellStyle name="Total 2 3 3 2 2 4 5" xfId="27531"/>
    <cellStyle name="Total 2 3 3 2 2 4 6" xfId="37562"/>
    <cellStyle name="Total 2 3 3 2 2 4 7" xfId="48690"/>
    <cellStyle name="Total 2 3 3 2 2 4 8" xfId="56712"/>
    <cellStyle name="Total 2 3 3 2 2 5" xfId="3511"/>
    <cellStyle name="Total 2 3 3 2 2 5 2" xfId="27532"/>
    <cellStyle name="Total 2 3 3 2 2 5 3" xfId="27533"/>
    <cellStyle name="Total 2 3 3 2 2 5 4" xfId="27534"/>
    <cellStyle name="Total 2 3 3 2 2 5 5" xfId="27535"/>
    <cellStyle name="Total 2 3 3 2 2 5 6" xfId="38179"/>
    <cellStyle name="Total 2 3 3 2 2 5 7" xfId="48691"/>
    <cellStyle name="Total 2 3 3 2 2 5 8" xfId="56713"/>
    <cellStyle name="Total 2 3 3 2 2 6" xfId="3829"/>
    <cellStyle name="Total 2 3 3 2 2 6 2" xfId="27536"/>
    <cellStyle name="Total 2 3 3 2 2 6 3" xfId="27537"/>
    <cellStyle name="Total 2 3 3 2 2 6 4" xfId="27538"/>
    <cellStyle name="Total 2 3 3 2 2 6 5" xfId="27539"/>
    <cellStyle name="Total 2 3 3 2 2 6 6" xfId="38797"/>
    <cellStyle name="Total 2 3 3 2 2 6 7" xfId="48692"/>
    <cellStyle name="Total 2 3 3 2 2 6 8" xfId="56714"/>
    <cellStyle name="Total 2 3 3 2 2 7" xfId="27540"/>
    <cellStyle name="Total 2 3 3 2 2 7 2" xfId="27541"/>
    <cellStyle name="Total 2 3 3 2 2 7 3" xfId="27542"/>
    <cellStyle name="Total 2 3 3 2 2 7 4" xfId="27543"/>
    <cellStyle name="Total 2 3 3 2 2 7 5" xfId="27544"/>
    <cellStyle name="Total 2 3 3 2 2 7 6" xfId="39417"/>
    <cellStyle name="Total 2 3 3 2 2 7 7" xfId="48693"/>
    <cellStyle name="Total 2 3 3 2 2 7 8" xfId="56715"/>
    <cellStyle name="Total 2 3 3 2 2 8" xfId="27545"/>
    <cellStyle name="Total 2 3 3 2 2 8 2" xfId="27546"/>
    <cellStyle name="Total 2 3 3 2 2 8 3" xfId="27547"/>
    <cellStyle name="Total 2 3 3 2 2 8 4" xfId="27548"/>
    <cellStyle name="Total 2 3 3 2 2 8 5" xfId="27549"/>
    <cellStyle name="Total 2 3 3 2 2 8 6" xfId="40033"/>
    <cellStyle name="Total 2 3 3 2 2 8 7" xfId="48694"/>
    <cellStyle name="Total 2 3 3 2 2 8 8" xfId="56716"/>
    <cellStyle name="Total 2 3 3 2 2 9" xfId="27550"/>
    <cellStyle name="Total 2 3 3 2 2 9 2" xfId="27551"/>
    <cellStyle name="Total 2 3 3 2 2 9 3" xfId="27552"/>
    <cellStyle name="Total 2 3 3 2 2 9 4" xfId="27553"/>
    <cellStyle name="Total 2 3 3 2 2 9 5" xfId="27554"/>
    <cellStyle name="Total 2 3 3 2 2 9 6" xfId="40648"/>
    <cellStyle name="Total 2 3 3 2 2 9 7" xfId="48695"/>
    <cellStyle name="Total 2 3 3 2 2 9 8" xfId="56717"/>
    <cellStyle name="Total 2 3 3 2 20" xfId="862"/>
    <cellStyle name="Total 2 3 3 2 21" xfId="34674"/>
    <cellStyle name="Total 2 3 3 2 22" xfId="40946"/>
    <cellStyle name="Total 2 3 3 2 23" xfId="41507"/>
    <cellStyle name="Total 2 3 3 2 24" xfId="50594"/>
    <cellStyle name="Total 2 3 3 2 3" xfId="2794"/>
    <cellStyle name="Total 2 3 3 2 3 10" xfId="34587"/>
    <cellStyle name="Total 2 3 3 2 3 10 2" xfId="48697"/>
    <cellStyle name="Total 2 3 3 2 3 10 3" xfId="56719"/>
    <cellStyle name="Total 2 3 3 2 3 11" xfId="41161"/>
    <cellStyle name="Total 2 3 3 2 3 12" xfId="48696"/>
    <cellStyle name="Total 2 3 3 2 3 13" xfId="56718"/>
    <cellStyle name="Total 2 3 3 2 3 2" xfId="2795"/>
    <cellStyle name="Total 2 3 3 2 3 2 2" xfId="36238"/>
    <cellStyle name="Total 2 3 3 2 3 2 3" xfId="48698"/>
    <cellStyle name="Total 2 3 3 2 3 2 4" xfId="56720"/>
    <cellStyle name="Total 2 3 3 2 3 3" xfId="2796"/>
    <cellStyle name="Total 2 3 3 2 3 3 2" xfId="36735"/>
    <cellStyle name="Total 2 3 3 2 3 3 3" xfId="48699"/>
    <cellStyle name="Total 2 3 3 2 3 3 4" xfId="56721"/>
    <cellStyle name="Total 2 3 3 2 3 4" xfId="27555"/>
    <cellStyle name="Total 2 3 3 2 3 4 2" xfId="37351"/>
    <cellStyle name="Total 2 3 3 2 3 4 3" xfId="48700"/>
    <cellStyle name="Total 2 3 3 2 3 4 4" xfId="56722"/>
    <cellStyle name="Total 2 3 3 2 3 5" xfId="27556"/>
    <cellStyle name="Total 2 3 3 2 3 5 2" xfId="37967"/>
    <cellStyle name="Total 2 3 3 2 3 5 3" xfId="48701"/>
    <cellStyle name="Total 2 3 3 2 3 5 4" xfId="56723"/>
    <cellStyle name="Total 2 3 3 2 3 6" xfId="38584"/>
    <cellStyle name="Total 2 3 3 2 3 6 2" xfId="48702"/>
    <cellStyle name="Total 2 3 3 2 3 6 3" xfId="56724"/>
    <cellStyle name="Total 2 3 3 2 3 7" xfId="39204"/>
    <cellStyle name="Total 2 3 3 2 3 7 2" xfId="48703"/>
    <cellStyle name="Total 2 3 3 2 3 7 3" xfId="56725"/>
    <cellStyle name="Total 2 3 3 2 3 8" xfId="39820"/>
    <cellStyle name="Total 2 3 3 2 3 8 2" xfId="48704"/>
    <cellStyle name="Total 2 3 3 2 3 8 3" xfId="56726"/>
    <cellStyle name="Total 2 3 3 2 3 9" xfId="40435"/>
    <cellStyle name="Total 2 3 3 2 3 9 2" xfId="48705"/>
    <cellStyle name="Total 2 3 3 2 3 9 3" xfId="56727"/>
    <cellStyle name="Total 2 3 3 2 4" xfId="2797"/>
    <cellStyle name="Total 2 3 3 2 4 10" xfId="48706"/>
    <cellStyle name="Total 2 3 3 2 4 11" xfId="56728"/>
    <cellStyle name="Total 2 3 3 2 4 2" xfId="27557"/>
    <cellStyle name="Total 2 3 3 2 4 2 2" xfId="48707"/>
    <cellStyle name="Total 2 3 3 2 4 2 3" xfId="56729"/>
    <cellStyle name="Total 2 3 3 2 4 3" xfId="27558"/>
    <cellStyle name="Total 2 3 3 2 4 3 2" xfId="48708"/>
    <cellStyle name="Total 2 3 3 2 4 3 3" xfId="56730"/>
    <cellStyle name="Total 2 3 3 2 4 4" xfId="27559"/>
    <cellStyle name="Total 2 3 3 2 4 4 2" xfId="48709"/>
    <cellStyle name="Total 2 3 3 2 4 4 3" xfId="56731"/>
    <cellStyle name="Total 2 3 3 2 4 5" xfId="27560"/>
    <cellStyle name="Total 2 3 3 2 4 5 2" xfId="48710"/>
    <cellStyle name="Total 2 3 3 2 4 5 3" xfId="56732"/>
    <cellStyle name="Total 2 3 3 2 4 6" xfId="35712"/>
    <cellStyle name="Total 2 3 3 2 4 6 2" xfId="48711"/>
    <cellStyle name="Total 2 3 3 2 4 6 3" xfId="56733"/>
    <cellStyle name="Total 2 3 3 2 4 7" xfId="48712"/>
    <cellStyle name="Total 2 3 3 2 4 7 2" xfId="56734"/>
    <cellStyle name="Total 2 3 3 2 4 8" xfId="48713"/>
    <cellStyle name="Total 2 3 3 2 4 8 2" xfId="56735"/>
    <cellStyle name="Total 2 3 3 2 4 9" xfId="48714"/>
    <cellStyle name="Total 2 3 3 2 4 9 2" xfId="56736"/>
    <cellStyle name="Total 2 3 3 2 5" xfId="1440"/>
    <cellStyle name="Total 2 3 3 2 5 2" xfId="27561"/>
    <cellStyle name="Total 2 3 3 2 5 3" xfId="27562"/>
    <cellStyle name="Total 2 3 3 2 5 4" xfId="27563"/>
    <cellStyle name="Total 2 3 3 2 5 5" xfId="27564"/>
    <cellStyle name="Total 2 3 3 2 5 6" xfId="36523"/>
    <cellStyle name="Total 2 3 3 2 5 7" xfId="48715"/>
    <cellStyle name="Total 2 3 3 2 5 8" xfId="56737"/>
    <cellStyle name="Total 2 3 3 2 6" xfId="3510"/>
    <cellStyle name="Total 2 3 3 2 6 2" xfId="27565"/>
    <cellStyle name="Total 2 3 3 2 6 3" xfId="27566"/>
    <cellStyle name="Total 2 3 3 2 6 4" xfId="27567"/>
    <cellStyle name="Total 2 3 3 2 6 5" xfId="27568"/>
    <cellStyle name="Total 2 3 3 2 6 6" xfId="37139"/>
    <cellStyle name="Total 2 3 3 2 6 7" xfId="48716"/>
    <cellStyle name="Total 2 3 3 2 6 8" xfId="56738"/>
    <cellStyle name="Total 2 3 3 2 7" xfId="3828"/>
    <cellStyle name="Total 2 3 3 2 7 2" xfId="27569"/>
    <cellStyle name="Total 2 3 3 2 7 3" xfId="27570"/>
    <cellStyle name="Total 2 3 3 2 7 4" xfId="27571"/>
    <cellStyle name="Total 2 3 3 2 7 5" xfId="27572"/>
    <cellStyle name="Total 2 3 3 2 7 6" xfId="37753"/>
    <cellStyle name="Total 2 3 3 2 7 7" xfId="48717"/>
    <cellStyle name="Total 2 3 3 2 7 8" xfId="56739"/>
    <cellStyle name="Total 2 3 3 2 8" xfId="27573"/>
    <cellStyle name="Total 2 3 3 2 8 2" xfId="27574"/>
    <cellStyle name="Total 2 3 3 2 8 3" xfId="27575"/>
    <cellStyle name="Total 2 3 3 2 8 4" xfId="27576"/>
    <cellStyle name="Total 2 3 3 2 8 5" xfId="27577"/>
    <cellStyle name="Total 2 3 3 2 8 6" xfId="38369"/>
    <cellStyle name="Total 2 3 3 2 8 7" xfId="48718"/>
    <cellStyle name="Total 2 3 3 2 8 8" xfId="56740"/>
    <cellStyle name="Total 2 3 3 2 9" xfId="27578"/>
    <cellStyle name="Total 2 3 3 2 9 2" xfId="27579"/>
    <cellStyle name="Total 2 3 3 2 9 3" xfId="27580"/>
    <cellStyle name="Total 2 3 3 2 9 4" xfId="27581"/>
    <cellStyle name="Total 2 3 3 2 9 5" xfId="27582"/>
    <cellStyle name="Total 2 3 3 2 9 6" xfId="38989"/>
    <cellStyle name="Total 2 3 3 2 9 7" xfId="48719"/>
    <cellStyle name="Total 2 3 3 2 9 8" xfId="56741"/>
    <cellStyle name="Total 2 3 3 20" xfId="34943"/>
    <cellStyle name="Total 2 3 3 21" xfId="40833"/>
    <cellStyle name="Total 2 3 3 3" xfId="432"/>
    <cellStyle name="Total 2 3 3 3 10" xfId="27583"/>
    <cellStyle name="Total 2 3 3 3 10 2" xfId="27584"/>
    <cellStyle name="Total 2 3 3 3 10 3" xfId="27585"/>
    <cellStyle name="Total 2 3 3 3 10 4" xfId="27586"/>
    <cellStyle name="Total 2 3 3 3 10 5" xfId="27587"/>
    <cellStyle name="Total 2 3 3 3 10 6" xfId="40221"/>
    <cellStyle name="Total 2 3 3 3 10 7" xfId="48720"/>
    <cellStyle name="Total 2 3 3 3 10 8" xfId="56742"/>
    <cellStyle name="Total 2 3 3 3 11" xfId="27588"/>
    <cellStyle name="Total 2 3 3 3 11 2" xfId="27589"/>
    <cellStyle name="Total 2 3 3 3 11 3" xfId="27590"/>
    <cellStyle name="Total 2 3 3 3 11 4" xfId="27591"/>
    <cellStyle name="Total 2 3 3 3 11 5" xfId="27592"/>
    <cellStyle name="Total 2 3 3 3 11 6" xfId="48721"/>
    <cellStyle name="Total 2 3 3 3 11 7" xfId="56743"/>
    <cellStyle name="Total 2 3 3 3 12" xfId="27593"/>
    <cellStyle name="Total 2 3 3 3 12 2" xfId="27594"/>
    <cellStyle name="Total 2 3 3 3 12 3" xfId="27595"/>
    <cellStyle name="Total 2 3 3 3 12 4" xfId="27596"/>
    <cellStyle name="Total 2 3 3 3 12 5" xfId="27597"/>
    <cellStyle name="Total 2 3 3 3 12 6" xfId="48722"/>
    <cellStyle name="Total 2 3 3 3 12 7" xfId="56744"/>
    <cellStyle name="Total 2 3 3 3 13" xfId="27598"/>
    <cellStyle name="Total 2 3 3 3 13 2" xfId="27599"/>
    <cellStyle name="Total 2 3 3 3 13 3" xfId="27600"/>
    <cellStyle name="Total 2 3 3 3 13 4" xfId="27601"/>
    <cellStyle name="Total 2 3 3 3 13 5" xfId="27602"/>
    <cellStyle name="Total 2 3 3 3 13 6" xfId="48723"/>
    <cellStyle name="Total 2 3 3 3 13 7" xfId="56745"/>
    <cellStyle name="Total 2 3 3 3 14" xfId="27603"/>
    <cellStyle name="Total 2 3 3 3 14 2" xfId="27604"/>
    <cellStyle name="Total 2 3 3 3 14 3" xfId="27605"/>
    <cellStyle name="Total 2 3 3 3 14 4" xfId="27606"/>
    <cellStyle name="Total 2 3 3 3 14 5" xfId="27607"/>
    <cellStyle name="Total 2 3 3 3 15" xfId="27608"/>
    <cellStyle name="Total 2 3 3 3 15 2" xfId="27609"/>
    <cellStyle name="Total 2 3 3 3 15 3" xfId="27610"/>
    <cellStyle name="Total 2 3 3 3 15 4" xfId="27611"/>
    <cellStyle name="Total 2 3 3 3 15 5" xfId="27612"/>
    <cellStyle name="Total 2 3 3 3 16" xfId="27613"/>
    <cellStyle name="Total 2 3 3 3 16 2" xfId="27614"/>
    <cellStyle name="Total 2 3 3 3 16 3" xfId="27615"/>
    <cellStyle name="Total 2 3 3 3 16 4" xfId="27616"/>
    <cellStyle name="Total 2 3 3 3 16 5" xfId="27617"/>
    <cellStyle name="Total 2 3 3 3 17" xfId="27618"/>
    <cellStyle name="Total 2 3 3 3 17 2" xfId="27619"/>
    <cellStyle name="Total 2 3 3 3 17 3" xfId="27620"/>
    <cellStyle name="Total 2 3 3 3 17 4" xfId="27621"/>
    <cellStyle name="Total 2 3 3 3 17 5" xfId="27622"/>
    <cellStyle name="Total 2 3 3 3 18" xfId="27623"/>
    <cellStyle name="Total 2 3 3 3 18 2" xfId="27624"/>
    <cellStyle name="Total 2 3 3 3 18 3" xfId="27625"/>
    <cellStyle name="Total 2 3 3 3 18 4" xfId="27626"/>
    <cellStyle name="Total 2 3 3 3 18 5" xfId="27627"/>
    <cellStyle name="Total 2 3 3 3 19" xfId="27628"/>
    <cellStyle name="Total 2 3 3 3 2" xfId="647"/>
    <cellStyle name="Total 2 3 3 3 2 10" xfId="27629"/>
    <cellStyle name="Total 2 3 3 3 2 10 2" xfId="27630"/>
    <cellStyle name="Total 2 3 3 3 2 10 3" xfId="27631"/>
    <cellStyle name="Total 2 3 3 3 2 10 4" xfId="27632"/>
    <cellStyle name="Total 2 3 3 3 2 10 5" xfId="27633"/>
    <cellStyle name="Total 2 3 3 3 2 10 6" xfId="48724"/>
    <cellStyle name="Total 2 3 3 3 2 10 7" xfId="56746"/>
    <cellStyle name="Total 2 3 3 3 2 11" xfId="27634"/>
    <cellStyle name="Total 2 3 3 3 2 11 2" xfId="27635"/>
    <cellStyle name="Total 2 3 3 3 2 11 3" xfId="27636"/>
    <cellStyle name="Total 2 3 3 3 2 11 4" xfId="27637"/>
    <cellStyle name="Total 2 3 3 3 2 11 5" xfId="27638"/>
    <cellStyle name="Total 2 3 3 3 2 12" xfId="27639"/>
    <cellStyle name="Total 2 3 3 3 2 12 2" xfId="27640"/>
    <cellStyle name="Total 2 3 3 3 2 12 3" xfId="27641"/>
    <cellStyle name="Total 2 3 3 3 2 12 4" xfId="27642"/>
    <cellStyle name="Total 2 3 3 3 2 12 5" xfId="27643"/>
    <cellStyle name="Total 2 3 3 3 2 13" xfId="27644"/>
    <cellStyle name="Total 2 3 3 3 2 13 2" xfId="27645"/>
    <cellStyle name="Total 2 3 3 3 2 13 3" xfId="27646"/>
    <cellStyle name="Total 2 3 3 3 2 13 4" xfId="27647"/>
    <cellStyle name="Total 2 3 3 3 2 13 5" xfId="27648"/>
    <cellStyle name="Total 2 3 3 3 2 14" xfId="27649"/>
    <cellStyle name="Total 2 3 3 3 2 14 2" xfId="27650"/>
    <cellStyle name="Total 2 3 3 3 2 14 3" xfId="27651"/>
    <cellStyle name="Total 2 3 3 3 2 14 4" xfId="27652"/>
    <cellStyle name="Total 2 3 3 3 2 14 5" xfId="27653"/>
    <cellStyle name="Total 2 3 3 3 2 15" xfId="27654"/>
    <cellStyle name="Total 2 3 3 3 2 15 2" xfId="27655"/>
    <cellStyle name="Total 2 3 3 3 2 15 3" xfId="27656"/>
    <cellStyle name="Total 2 3 3 3 2 15 4" xfId="27657"/>
    <cellStyle name="Total 2 3 3 3 2 15 5" xfId="27658"/>
    <cellStyle name="Total 2 3 3 3 2 16" xfId="27659"/>
    <cellStyle name="Total 2 3 3 3 2 16 2" xfId="27660"/>
    <cellStyle name="Total 2 3 3 3 2 16 3" xfId="27661"/>
    <cellStyle name="Total 2 3 3 3 2 16 4" xfId="27662"/>
    <cellStyle name="Total 2 3 3 3 2 16 5" xfId="27663"/>
    <cellStyle name="Total 2 3 3 3 2 17" xfId="27664"/>
    <cellStyle name="Total 2 3 3 3 2 17 2" xfId="27665"/>
    <cellStyle name="Total 2 3 3 3 2 17 3" xfId="27666"/>
    <cellStyle name="Total 2 3 3 3 2 17 4" xfId="27667"/>
    <cellStyle name="Total 2 3 3 3 2 17 5" xfId="27668"/>
    <cellStyle name="Total 2 3 3 3 2 18" xfId="27669"/>
    <cellStyle name="Total 2 3 3 3 2 18 2" xfId="27670"/>
    <cellStyle name="Total 2 3 3 3 2 18 3" xfId="27671"/>
    <cellStyle name="Total 2 3 3 3 2 18 4" xfId="27672"/>
    <cellStyle name="Total 2 3 3 3 2 18 5" xfId="27673"/>
    <cellStyle name="Total 2 3 3 3 2 19" xfId="27674"/>
    <cellStyle name="Total 2 3 3 3 2 2" xfId="2798"/>
    <cellStyle name="Total 2 3 3 3 2 2 2" xfId="27675"/>
    <cellStyle name="Total 2 3 3 3 2 2 2 2" xfId="48726"/>
    <cellStyle name="Total 2 3 3 3 2 2 2 3" xfId="56748"/>
    <cellStyle name="Total 2 3 3 3 2 2 3" xfId="27676"/>
    <cellStyle name="Total 2 3 3 3 2 2 4" xfId="27677"/>
    <cellStyle name="Total 2 3 3 3 2 2 5" xfId="27678"/>
    <cellStyle name="Total 2 3 3 3 2 2 6" xfId="36450"/>
    <cellStyle name="Total 2 3 3 3 2 2 7" xfId="48725"/>
    <cellStyle name="Total 2 3 3 3 2 2 8" xfId="56747"/>
    <cellStyle name="Total 2 3 3 3 2 20" xfId="1075"/>
    <cellStyle name="Total 2 3 3 3 2 21" xfId="35155"/>
    <cellStyle name="Total 2 3 3 3 2 22" xfId="41375"/>
    <cellStyle name="Total 2 3 3 3 2 3" xfId="2799"/>
    <cellStyle name="Total 2 3 3 3 2 3 2" xfId="27679"/>
    <cellStyle name="Total 2 3 3 3 2 3 3" xfId="27680"/>
    <cellStyle name="Total 2 3 3 3 2 3 4" xfId="27681"/>
    <cellStyle name="Total 2 3 3 3 2 3 5" xfId="27682"/>
    <cellStyle name="Total 2 3 3 3 2 3 6" xfId="36947"/>
    <cellStyle name="Total 2 3 3 3 2 3 7" xfId="48727"/>
    <cellStyle name="Total 2 3 3 3 2 3 8" xfId="56749"/>
    <cellStyle name="Total 2 3 3 3 2 4" xfId="1443"/>
    <cellStyle name="Total 2 3 3 3 2 4 2" xfId="27683"/>
    <cellStyle name="Total 2 3 3 3 2 4 3" xfId="27684"/>
    <cellStyle name="Total 2 3 3 3 2 4 4" xfId="27685"/>
    <cellStyle name="Total 2 3 3 3 2 4 5" xfId="27686"/>
    <cellStyle name="Total 2 3 3 3 2 4 6" xfId="37563"/>
    <cellStyle name="Total 2 3 3 3 2 4 7" xfId="48728"/>
    <cellStyle name="Total 2 3 3 3 2 4 8" xfId="56750"/>
    <cellStyle name="Total 2 3 3 3 2 5" xfId="3513"/>
    <cellStyle name="Total 2 3 3 3 2 5 2" xfId="27687"/>
    <cellStyle name="Total 2 3 3 3 2 5 3" xfId="27688"/>
    <cellStyle name="Total 2 3 3 3 2 5 4" xfId="27689"/>
    <cellStyle name="Total 2 3 3 3 2 5 5" xfId="27690"/>
    <cellStyle name="Total 2 3 3 3 2 5 6" xfId="38180"/>
    <cellStyle name="Total 2 3 3 3 2 5 7" xfId="48729"/>
    <cellStyle name="Total 2 3 3 3 2 5 8" xfId="56751"/>
    <cellStyle name="Total 2 3 3 3 2 6" xfId="3831"/>
    <cellStyle name="Total 2 3 3 3 2 6 2" xfId="27691"/>
    <cellStyle name="Total 2 3 3 3 2 6 3" xfId="27692"/>
    <cellStyle name="Total 2 3 3 3 2 6 4" xfId="27693"/>
    <cellStyle name="Total 2 3 3 3 2 6 5" xfId="27694"/>
    <cellStyle name="Total 2 3 3 3 2 6 6" xfId="38798"/>
    <cellStyle name="Total 2 3 3 3 2 6 7" xfId="48730"/>
    <cellStyle name="Total 2 3 3 3 2 6 8" xfId="56752"/>
    <cellStyle name="Total 2 3 3 3 2 7" xfId="27695"/>
    <cellStyle name="Total 2 3 3 3 2 7 2" xfId="27696"/>
    <cellStyle name="Total 2 3 3 3 2 7 3" xfId="27697"/>
    <cellStyle name="Total 2 3 3 3 2 7 4" xfId="27698"/>
    <cellStyle name="Total 2 3 3 3 2 7 5" xfId="27699"/>
    <cellStyle name="Total 2 3 3 3 2 7 6" xfId="39418"/>
    <cellStyle name="Total 2 3 3 3 2 7 7" xfId="48731"/>
    <cellStyle name="Total 2 3 3 3 2 7 8" xfId="56753"/>
    <cellStyle name="Total 2 3 3 3 2 8" xfId="27700"/>
    <cellStyle name="Total 2 3 3 3 2 8 2" xfId="27701"/>
    <cellStyle name="Total 2 3 3 3 2 8 3" xfId="27702"/>
    <cellStyle name="Total 2 3 3 3 2 8 4" xfId="27703"/>
    <cellStyle name="Total 2 3 3 3 2 8 5" xfId="27704"/>
    <cellStyle name="Total 2 3 3 3 2 8 6" xfId="40034"/>
    <cellStyle name="Total 2 3 3 3 2 8 7" xfId="48732"/>
    <cellStyle name="Total 2 3 3 3 2 8 8" xfId="56754"/>
    <cellStyle name="Total 2 3 3 3 2 9" xfId="27705"/>
    <cellStyle name="Total 2 3 3 3 2 9 2" xfId="27706"/>
    <cellStyle name="Total 2 3 3 3 2 9 3" xfId="27707"/>
    <cellStyle name="Total 2 3 3 3 2 9 4" xfId="27708"/>
    <cellStyle name="Total 2 3 3 3 2 9 5" xfId="27709"/>
    <cellStyle name="Total 2 3 3 3 2 9 6" xfId="40649"/>
    <cellStyle name="Total 2 3 3 3 2 9 7" xfId="48733"/>
    <cellStyle name="Total 2 3 3 3 2 9 8" xfId="56755"/>
    <cellStyle name="Total 2 3 3 3 20" xfId="863"/>
    <cellStyle name="Total 2 3 3 3 21" xfId="34673"/>
    <cellStyle name="Total 2 3 3 3 22" xfId="40947"/>
    <cellStyle name="Total 2 3 3 3 23" xfId="41508"/>
    <cellStyle name="Total 2 3 3 3 24" xfId="50595"/>
    <cellStyle name="Total 2 3 3 3 3" xfId="2800"/>
    <cellStyle name="Total 2 3 3 3 3 10" xfId="34586"/>
    <cellStyle name="Total 2 3 3 3 3 10 2" xfId="48735"/>
    <cellStyle name="Total 2 3 3 3 3 10 3" xfId="56757"/>
    <cellStyle name="Total 2 3 3 3 3 11" xfId="41162"/>
    <cellStyle name="Total 2 3 3 3 3 12" xfId="48734"/>
    <cellStyle name="Total 2 3 3 3 3 13" xfId="56756"/>
    <cellStyle name="Total 2 3 3 3 3 2" xfId="2801"/>
    <cellStyle name="Total 2 3 3 3 3 2 2" xfId="36239"/>
    <cellStyle name="Total 2 3 3 3 3 2 3" xfId="48736"/>
    <cellStyle name="Total 2 3 3 3 3 2 4" xfId="56758"/>
    <cellStyle name="Total 2 3 3 3 3 3" xfId="2802"/>
    <cellStyle name="Total 2 3 3 3 3 3 2" xfId="36736"/>
    <cellStyle name="Total 2 3 3 3 3 3 3" xfId="48737"/>
    <cellStyle name="Total 2 3 3 3 3 3 4" xfId="56759"/>
    <cellStyle name="Total 2 3 3 3 3 4" xfId="27710"/>
    <cellStyle name="Total 2 3 3 3 3 4 2" xfId="37352"/>
    <cellStyle name="Total 2 3 3 3 3 4 3" xfId="48738"/>
    <cellStyle name="Total 2 3 3 3 3 4 4" xfId="56760"/>
    <cellStyle name="Total 2 3 3 3 3 5" xfId="27711"/>
    <cellStyle name="Total 2 3 3 3 3 5 2" xfId="37968"/>
    <cellStyle name="Total 2 3 3 3 3 5 3" xfId="48739"/>
    <cellStyle name="Total 2 3 3 3 3 5 4" xfId="56761"/>
    <cellStyle name="Total 2 3 3 3 3 6" xfId="38585"/>
    <cellStyle name="Total 2 3 3 3 3 6 2" xfId="48740"/>
    <cellStyle name="Total 2 3 3 3 3 6 3" xfId="56762"/>
    <cellStyle name="Total 2 3 3 3 3 7" xfId="39205"/>
    <cellStyle name="Total 2 3 3 3 3 7 2" xfId="48741"/>
    <cellStyle name="Total 2 3 3 3 3 7 3" xfId="56763"/>
    <cellStyle name="Total 2 3 3 3 3 8" xfId="39821"/>
    <cellStyle name="Total 2 3 3 3 3 8 2" xfId="48742"/>
    <cellStyle name="Total 2 3 3 3 3 8 3" xfId="56764"/>
    <cellStyle name="Total 2 3 3 3 3 9" xfId="40436"/>
    <cellStyle name="Total 2 3 3 3 3 9 2" xfId="48743"/>
    <cellStyle name="Total 2 3 3 3 3 9 3" xfId="56765"/>
    <cellStyle name="Total 2 3 3 3 4" xfId="2803"/>
    <cellStyle name="Total 2 3 3 3 4 10" xfId="48744"/>
    <cellStyle name="Total 2 3 3 3 4 11" xfId="56766"/>
    <cellStyle name="Total 2 3 3 3 4 2" xfId="27712"/>
    <cellStyle name="Total 2 3 3 3 4 2 2" xfId="48745"/>
    <cellStyle name="Total 2 3 3 3 4 2 3" xfId="56767"/>
    <cellStyle name="Total 2 3 3 3 4 3" xfId="27713"/>
    <cellStyle name="Total 2 3 3 3 4 3 2" xfId="48746"/>
    <cellStyle name="Total 2 3 3 3 4 3 3" xfId="56768"/>
    <cellStyle name="Total 2 3 3 3 4 4" xfId="27714"/>
    <cellStyle name="Total 2 3 3 3 4 4 2" xfId="48747"/>
    <cellStyle name="Total 2 3 3 3 4 4 3" xfId="56769"/>
    <cellStyle name="Total 2 3 3 3 4 5" xfId="27715"/>
    <cellStyle name="Total 2 3 3 3 4 5 2" xfId="48748"/>
    <cellStyle name="Total 2 3 3 3 4 5 3" xfId="56770"/>
    <cellStyle name="Total 2 3 3 3 4 6" xfId="36524"/>
    <cellStyle name="Total 2 3 3 3 4 6 2" xfId="48749"/>
    <cellStyle name="Total 2 3 3 3 4 6 3" xfId="56771"/>
    <cellStyle name="Total 2 3 3 3 4 7" xfId="48750"/>
    <cellStyle name="Total 2 3 3 3 4 7 2" xfId="56772"/>
    <cellStyle name="Total 2 3 3 3 4 8" xfId="48751"/>
    <cellStyle name="Total 2 3 3 3 4 8 2" xfId="56773"/>
    <cellStyle name="Total 2 3 3 3 4 9" xfId="48752"/>
    <cellStyle name="Total 2 3 3 3 4 9 2" xfId="56774"/>
    <cellStyle name="Total 2 3 3 3 5" xfId="1442"/>
    <cellStyle name="Total 2 3 3 3 5 2" xfId="27716"/>
    <cellStyle name="Total 2 3 3 3 5 3" xfId="27717"/>
    <cellStyle name="Total 2 3 3 3 5 4" xfId="27718"/>
    <cellStyle name="Total 2 3 3 3 5 5" xfId="27719"/>
    <cellStyle name="Total 2 3 3 3 5 6" xfId="37140"/>
    <cellStyle name="Total 2 3 3 3 5 7" xfId="48753"/>
    <cellStyle name="Total 2 3 3 3 5 8" xfId="56775"/>
    <cellStyle name="Total 2 3 3 3 6" xfId="3512"/>
    <cellStyle name="Total 2 3 3 3 6 2" xfId="27720"/>
    <cellStyle name="Total 2 3 3 3 6 3" xfId="27721"/>
    <cellStyle name="Total 2 3 3 3 6 4" xfId="27722"/>
    <cellStyle name="Total 2 3 3 3 6 5" xfId="27723"/>
    <cellStyle name="Total 2 3 3 3 6 6" xfId="37754"/>
    <cellStyle name="Total 2 3 3 3 6 7" xfId="48754"/>
    <cellStyle name="Total 2 3 3 3 6 8" xfId="56776"/>
    <cellStyle name="Total 2 3 3 3 7" xfId="3830"/>
    <cellStyle name="Total 2 3 3 3 7 2" xfId="27724"/>
    <cellStyle name="Total 2 3 3 3 7 3" xfId="27725"/>
    <cellStyle name="Total 2 3 3 3 7 4" xfId="27726"/>
    <cellStyle name="Total 2 3 3 3 7 5" xfId="27727"/>
    <cellStyle name="Total 2 3 3 3 7 6" xfId="38370"/>
    <cellStyle name="Total 2 3 3 3 7 7" xfId="48755"/>
    <cellStyle name="Total 2 3 3 3 7 8" xfId="56777"/>
    <cellStyle name="Total 2 3 3 3 8" xfId="27728"/>
    <cellStyle name="Total 2 3 3 3 8 2" xfId="27729"/>
    <cellStyle name="Total 2 3 3 3 8 3" xfId="27730"/>
    <cellStyle name="Total 2 3 3 3 8 4" xfId="27731"/>
    <cellStyle name="Total 2 3 3 3 8 5" xfId="27732"/>
    <cellStyle name="Total 2 3 3 3 8 6" xfId="38990"/>
    <cellStyle name="Total 2 3 3 3 8 7" xfId="48756"/>
    <cellStyle name="Total 2 3 3 3 8 8" xfId="56778"/>
    <cellStyle name="Total 2 3 3 3 9" xfId="27733"/>
    <cellStyle name="Total 2 3 3 3 9 2" xfId="27734"/>
    <cellStyle name="Total 2 3 3 3 9 3" xfId="27735"/>
    <cellStyle name="Total 2 3 3 3 9 4" xfId="27736"/>
    <cellStyle name="Total 2 3 3 3 9 5" xfId="27737"/>
    <cellStyle name="Total 2 3 3 3 9 6" xfId="39606"/>
    <cellStyle name="Total 2 3 3 3 9 7" xfId="48757"/>
    <cellStyle name="Total 2 3 3 3 9 8" xfId="56779"/>
    <cellStyle name="Total 2 3 3 4" xfId="534"/>
    <cellStyle name="Total 2 3 3 4 10" xfId="27738"/>
    <cellStyle name="Total 2 3 3 4 10 2" xfId="27739"/>
    <cellStyle name="Total 2 3 3 4 10 3" xfId="27740"/>
    <cellStyle name="Total 2 3 3 4 10 4" xfId="27741"/>
    <cellStyle name="Total 2 3 3 4 10 5" xfId="27742"/>
    <cellStyle name="Total 2 3 3 4 10 6" xfId="48758"/>
    <cellStyle name="Total 2 3 3 4 10 7" xfId="56780"/>
    <cellStyle name="Total 2 3 3 4 11" xfId="27743"/>
    <cellStyle name="Total 2 3 3 4 11 2" xfId="27744"/>
    <cellStyle name="Total 2 3 3 4 11 3" xfId="27745"/>
    <cellStyle name="Total 2 3 3 4 11 4" xfId="27746"/>
    <cellStyle name="Total 2 3 3 4 11 5" xfId="27747"/>
    <cellStyle name="Total 2 3 3 4 12" xfId="27748"/>
    <cellStyle name="Total 2 3 3 4 12 2" xfId="27749"/>
    <cellStyle name="Total 2 3 3 4 12 3" xfId="27750"/>
    <cellStyle name="Total 2 3 3 4 12 4" xfId="27751"/>
    <cellStyle name="Total 2 3 3 4 12 5" xfId="27752"/>
    <cellStyle name="Total 2 3 3 4 13" xfId="27753"/>
    <cellStyle name="Total 2 3 3 4 13 2" xfId="27754"/>
    <cellStyle name="Total 2 3 3 4 13 3" xfId="27755"/>
    <cellStyle name="Total 2 3 3 4 13 4" xfId="27756"/>
    <cellStyle name="Total 2 3 3 4 13 5" xfId="27757"/>
    <cellStyle name="Total 2 3 3 4 14" xfId="27758"/>
    <cellStyle name="Total 2 3 3 4 14 2" xfId="27759"/>
    <cellStyle name="Total 2 3 3 4 14 3" xfId="27760"/>
    <cellStyle name="Total 2 3 3 4 14 4" xfId="27761"/>
    <cellStyle name="Total 2 3 3 4 14 5" xfId="27762"/>
    <cellStyle name="Total 2 3 3 4 15" xfId="27763"/>
    <cellStyle name="Total 2 3 3 4 15 2" xfId="27764"/>
    <cellStyle name="Total 2 3 3 4 15 3" xfId="27765"/>
    <cellStyle name="Total 2 3 3 4 15 4" xfId="27766"/>
    <cellStyle name="Total 2 3 3 4 15 5" xfId="27767"/>
    <cellStyle name="Total 2 3 3 4 16" xfId="27768"/>
    <cellStyle name="Total 2 3 3 4 16 2" xfId="27769"/>
    <cellStyle name="Total 2 3 3 4 16 3" xfId="27770"/>
    <cellStyle name="Total 2 3 3 4 16 4" xfId="27771"/>
    <cellStyle name="Total 2 3 3 4 16 5" xfId="27772"/>
    <cellStyle name="Total 2 3 3 4 17" xfId="27773"/>
    <cellStyle name="Total 2 3 3 4 17 2" xfId="27774"/>
    <cellStyle name="Total 2 3 3 4 17 3" xfId="27775"/>
    <cellStyle name="Total 2 3 3 4 17 4" xfId="27776"/>
    <cellStyle name="Total 2 3 3 4 17 5" xfId="27777"/>
    <cellStyle name="Total 2 3 3 4 18" xfId="27778"/>
    <cellStyle name="Total 2 3 3 4 18 2" xfId="27779"/>
    <cellStyle name="Total 2 3 3 4 18 3" xfId="27780"/>
    <cellStyle name="Total 2 3 3 4 18 4" xfId="27781"/>
    <cellStyle name="Total 2 3 3 4 18 5" xfId="27782"/>
    <cellStyle name="Total 2 3 3 4 19" xfId="27783"/>
    <cellStyle name="Total 2 3 3 4 2" xfId="2804"/>
    <cellStyle name="Total 2 3 3 4 2 2" xfId="27784"/>
    <cellStyle name="Total 2 3 3 4 2 2 2" xfId="48760"/>
    <cellStyle name="Total 2 3 3 4 2 2 3" xfId="56782"/>
    <cellStyle name="Total 2 3 3 4 2 3" xfId="27785"/>
    <cellStyle name="Total 2 3 3 4 2 4" xfId="27786"/>
    <cellStyle name="Total 2 3 3 4 2 5" xfId="27787"/>
    <cellStyle name="Total 2 3 3 4 2 6" xfId="36338"/>
    <cellStyle name="Total 2 3 3 4 2 7" xfId="48759"/>
    <cellStyle name="Total 2 3 3 4 2 8" xfId="56781"/>
    <cellStyle name="Total 2 3 3 4 20" xfId="963"/>
    <cellStyle name="Total 2 3 3 4 21" xfId="35043"/>
    <cellStyle name="Total 2 3 3 4 22" xfId="40752"/>
    <cellStyle name="Total 2 3 3 4 23" xfId="41262"/>
    <cellStyle name="Total 2 3 3 4 3" xfId="2805"/>
    <cellStyle name="Total 2 3 3 4 3 2" xfId="27788"/>
    <cellStyle name="Total 2 3 3 4 3 3" xfId="27789"/>
    <cellStyle name="Total 2 3 3 4 3 4" xfId="27790"/>
    <cellStyle name="Total 2 3 3 4 3 5" xfId="27791"/>
    <cellStyle name="Total 2 3 3 4 3 6" xfId="36835"/>
    <cellStyle name="Total 2 3 3 4 3 7" xfId="48761"/>
    <cellStyle name="Total 2 3 3 4 3 8" xfId="56783"/>
    <cellStyle name="Total 2 3 3 4 4" xfId="1444"/>
    <cellStyle name="Total 2 3 3 4 4 2" xfId="27792"/>
    <cellStyle name="Total 2 3 3 4 4 3" xfId="27793"/>
    <cellStyle name="Total 2 3 3 4 4 4" xfId="27794"/>
    <cellStyle name="Total 2 3 3 4 4 5" xfId="27795"/>
    <cellStyle name="Total 2 3 3 4 4 6" xfId="37451"/>
    <cellStyle name="Total 2 3 3 4 4 7" xfId="48762"/>
    <cellStyle name="Total 2 3 3 4 4 8" xfId="56784"/>
    <cellStyle name="Total 2 3 3 4 5" xfId="3514"/>
    <cellStyle name="Total 2 3 3 4 5 2" xfId="27796"/>
    <cellStyle name="Total 2 3 3 4 5 3" xfId="27797"/>
    <cellStyle name="Total 2 3 3 4 5 4" xfId="27798"/>
    <cellStyle name="Total 2 3 3 4 5 5" xfId="27799"/>
    <cellStyle name="Total 2 3 3 4 5 6" xfId="38067"/>
    <cellStyle name="Total 2 3 3 4 5 7" xfId="48763"/>
    <cellStyle name="Total 2 3 3 4 5 8" xfId="56785"/>
    <cellStyle name="Total 2 3 3 4 6" xfId="3832"/>
    <cellStyle name="Total 2 3 3 4 6 2" xfId="27800"/>
    <cellStyle name="Total 2 3 3 4 6 3" xfId="27801"/>
    <cellStyle name="Total 2 3 3 4 6 4" xfId="27802"/>
    <cellStyle name="Total 2 3 3 4 6 5" xfId="27803"/>
    <cellStyle name="Total 2 3 3 4 6 6" xfId="38685"/>
    <cellStyle name="Total 2 3 3 4 6 7" xfId="48764"/>
    <cellStyle name="Total 2 3 3 4 6 8" xfId="56786"/>
    <cellStyle name="Total 2 3 3 4 7" xfId="27804"/>
    <cellStyle name="Total 2 3 3 4 7 2" xfId="27805"/>
    <cellStyle name="Total 2 3 3 4 7 3" xfId="27806"/>
    <cellStyle name="Total 2 3 3 4 7 4" xfId="27807"/>
    <cellStyle name="Total 2 3 3 4 7 5" xfId="27808"/>
    <cellStyle name="Total 2 3 3 4 7 6" xfId="39305"/>
    <cellStyle name="Total 2 3 3 4 7 7" xfId="48765"/>
    <cellStyle name="Total 2 3 3 4 7 8" xfId="56787"/>
    <cellStyle name="Total 2 3 3 4 8" xfId="27809"/>
    <cellStyle name="Total 2 3 3 4 8 2" xfId="27810"/>
    <cellStyle name="Total 2 3 3 4 8 3" xfId="27811"/>
    <cellStyle name="Total 2 3 3 4 8 4" xfId="27812"/>
    <cellStyle name="Total 2 3 3 4 8 5" xfId="27813"/>
    <cellStyle name="Total 2 3 3 4 8 6" xfId="39921"/>
    <cellStyle name="Total 2 3 3 4 8 7" xfId="48766"/>
    <cellStyle name="Total 2 3 3 4 8 8" xfId="56788"/>
    <cellStyle name="Total 2 3 3 4 9" xfId="27814"/>
    <cellStyle name="Total 2 3 3 4 9 2" xfId="27815"/>
    <cellStyle name="Total 2 3 3 4 9 3" xfId="27816"/>
    <cellStyle name="Total 2 3 3 4 9 4" xfId="27817"/>
    <cellStyle name="Total 2 3 3 4 9 5" xfId="27818"/>
    <cellStyle name="Total 2 3 3 4 9 6" xfId="40536"/>
    <cellStyle name="Total 2 3 3 4 9 7" xfId="48767"/>
    <cellStyle name="Total 2 3 3 4 9 8" xfId="56789"/>
    <cellStyle name="Total 2 3 3 5" xfId="2806"/>
    <cellStyle name="Total 2 3 3 5 10" xfId="34641"/>
    <cellStyle name="Total 2 3 3 5 10 2" xfId="48769"/>
    <cellStyle name="Total 2 3 3 5 10 3" xfId="56791"/>
    <cellStyle name="Total 2 3 3 5 11" xfId="41048"/>
    <cellStyle name="Total 2 3 3 5 12" xfId="48768"/>
    <cellStyle name="Total 2 3 3 5 13" xfId="56790"/>
    <cellStyle name="Total 2 3 3 5 2" xfId="2807"/>
    <cellStyle name="Total 2 3 3 5 2 2" xfId="36125"/>
    <cellStyle name="Total 2 3 3 5 2 3" xfId="48770"/>
    <cellStyle name="Total 2 3 3 5 2 4" xfId="56792"/>
    <cellStyle name="Total 2 3 3 5 3" xfId="2808"/>
    <cellStyle name="Total 2 3 3 5 3 2" xfId="36624"/>
    <cellStyle name="Total 2 3 3 5 3 3" xfId="48771"/>
    <cellStyle name="Total 2 3 3 5 3 4" xfId="56793"/>
    <cellStyle name="Total 2 3 3 5 4" xfId="27819"/>
    <cellStyle name="Total 2 3 3 5 4 2" xfId="37240"/>
    <cellStyle name="Total 2 3 3 5 4 3" xfId="48772"/>
    <cellStyle name="Total 2 3 3 5 4 4" xfId="56794"/>
    <cellStyle name="Total 2 3 3 5 5" xfId="27820"/>
    <cellStyle name="Total 2 3 3 5 5 2" xfId="37856"/>
    <cellStyle name="Total 2 3 3 5 5 3" xfId="48773"/>
    <cellStyle name="Total 2 3 3 5 5 4" xfId="56795"/>
    <cellStyle name="Total 2 3 3 5 6" xfId="38471"/>
    <cellStyle name="Total 2 3 3 5 6 2" xfId="48774"/>
    <cellStyle name="Total 2 3 3 5 6 3" xfId="56796"/>
    <cellStyle name="Total 2 3 3 5 7" xfId="39091"/>
    <cellStyle name="Total 2 3 3 5 7 2" xfId="48775"/>
    <cellStyle name="Total 2 3 3 5 7 3" xfId="56797"/>
    <cellStyle name="Total 2 3 3 5 8" xfId="39707"/>
    <cellStyle name="Total 2 3 3 5 8 2" xfId="48776"/>
    <cellStyle name="Total 2 3 3 5 8 3" xfId="56798"/>
    <cellStyle name="Total 2 3 3 5 9" xfId="40322"/>
    <cellStyle name="Total 2 3 3 5 9 2" xfId="48777"/>
    <cellStyle name="Total 2 3 3 5 9 3" xfId="56799"/>
    <cellStyle name="Total 2 3 3 6" xfId="1439"/>
    <cellStyle name="Total 2 3 3 6 10" xfId="48778"/>
    <cellStyle name="Total 2 3 3 6 11" xfId="56800"/>
    <cellStyle name="Total 2 3 3 6 2" xfId="27821"/>
    <cellStyle name="Total 2 3 3 6 2 2" xfId="48779"/>
    <cellStyle name="Total 2 3 3 6 2 3" xfId="56801"/>
    <cellStyle name="Total 2 3 3 6 3" xfId="27822"/>
    <cellStyle name="Total 2 3 3 6 3 2" xfId="48780"/>
    <cellStyle name="Total 2 3 3 6 3 3" xfId="56802"/>
    <cellStyle name="Total 2 3 3 6 4" xfId="27823"/>
    <cellStyle name="Total 2 3 3 6 4 2" xfId="48781"/>
    <cellStyle name="Total 2 3 3 6 4 3" xfId="56803"/>
    <cellStyle name="Total 2 3 3 6 5" xfId="27824"/>
    <cellStyle name="Total 2 3 3 6 5 2" xfId="48782"/>
    <cellStyle name="Total 2 3 3 6 5 3" xfId="56804"/>
    <cellStyle name="Total 2 3 3 6 6" xfId="35443"/>
    <cellStyle name="Total 2 3 3 6 6 2" xfId="48783"/>
    <cellStyle name="Total 2 3 3 6 6 3" xfId="56805"/>
    <cellStyle name="Total 2 3 3 6 7" xfId="48784"/>
    <cellStyle name="Total 2 3 3 6 7 2" xfId="56806"/>
    <cellStyle name="Total 2 3 3 6 8" xfId="48785"/>
    <cellStyle name="Total 2 3 3 6 8 2" xfId="56807"/>
    <cellStyle name="Total 2 3 3 6 9" xfId="48786"/>
    <cellStyle name="Total 2 3 3 6 9 2" xfId="56808"/>
    <cellStyle name="Total 2 3 3 7" xfId="3509"/>
    <cellStyle name="Total 2 3 3 7 2" xfId="27825"/>
    <cellStyle name="Total 2 3 3 7 3" xfId="27826"/>
    <cellStyle name="Total 2 3 3 7 4" xfId="27827"/>
    <cellStyle name="Total 2 3 3 7 5" xfId="27828"/>
    <cellStyle name="Total 2 3 3 7 6" xfId="35975"/>
    <cellStyle name="Total 2 3 3 7 7" xfId="48787"/>
    <cellStyle name="Total 2 3 3 7 8" xfId="56809"/>
    <cellStyle name="Total 2 3 3 8" xfId="3827"/>
    <cellStyle name="Total 2 3 3 8 2" xfId="27829"/>
    <cellStyle name="Total 2 3 3 8 3" xfId="27830"/>
    <cellStyle name="Total 2 3 3 8 4" xfId="27831"/>
    <cellStyle name="Total 2 3 3 8 5" xfId="27832"/>
    <cellStyle name="Total 2 3 3 8 6" xfId="35801"/>
    <cellStyle name="Total 2 3 3 8 7" xfId="48788"/>
    <cellStyle name="Total 2 3 3 8 8" xfId="56810"/>
    <cellStyle name="Total 2 3 3 9" xfId="27833"/>
    <cellStyle name="Total 2 3 3 9 2" xfId="27834"/>
    <cellStyle name="Total 2 3 3 9 3" xfId="27835"/>
    <cellStyle name="Total 2 3 3 9 4" xfId="27836"/>
    <cellStyle name="Total 2 3 3 9 5" xfId="27837"/>
    <cellStyle name="Total 2 3 3 9 6" xfId="37020"/>
    <cellStyle name="Total 2 3 3 9 7" xfId="48789"/>
    <cellStyle name="Total 2 3 3 9 8" xfId="56811"/>
    <cellStyle name="Total 2 3 4" xfId="433"/>
    <cellStyle name="Total 2 3 4 10" xfId="27838"/>
    <cellStyle name="Total 2 3 4 10 2" xfId="27839"/>
    <cellStyle name="Total 2 3 4 10 3" xfId="27840"/>
    <cellStyle name="Total 2 3 4 10 4" xfId="27841"/>
    <cellStyle name="Total 2 3 4 10 5" xfId="27842"/>
    <cellStyle name="Total 2 3 4 10 6" xfId="39607"/>
    <cellStyle name="Total 2 3 4 10 7" xfId="48790"/>
    <cellStyle name="Total 2 3 4 10 8" xfId="56812"/>
    <cellStyle name="Total 2 3 4 11" xfId="27843"/>
    <cellStyle name="Total 2 3 4 11 2" xfId="27844"/>
    <cellStyle name="Total 2 3 4 11 3" xfId="27845"/>
    <cellStyle name="Total 2 3 4 11 4" xfId="27846"/>
    <cellStyle name="Total 2 3 4 11 5" xfId="27847"/>
    <cellStyle name="Total 2 3 4 11 6" xfId="40222"/>
    <cellStyle name="Total 2 3 4 11 7" xfId="48791"/>
    <cellStyle name="Total 2 3 4 11 8" xfId="56813"/>
    <cellStyle name="Total 2 3 4 12" xfId="27848"/>
    <cellStyle name="Total 2 3 4 12 2" xfId="27849"/>
    <cellStyle name="Total 2 3 4 12 3" xfId="27850"/>
    <cellStyle name="Total 2 3 4 12 4" xfId="27851"/>
    <cellStyle name="Total 2 3 4 12 5" xfId="27852"/>
    <cellStyle name="Total 2 3 4 12 6" xfId="48792"/>
    <cellStyle name="Total 2 3 4 12 7" xfId="56814"/>
    <cellStyle name="Total 2 3 4 13" xfId="27853"/>
    <cellStyle name="Total 2 3 4 13 2" xfId="27854"/>
    <cellStyle name="Total 2 3 4 13 3" xfId="27855"/>
    <cellStyle name="Total 2 3 4 13 4" xfId="27856"/>
    <cellStyle name="Total 2 3 4 13 5" xfId="27857"/>
    <cellStyle name="Total 2 3 4 13 6" xfId="48793"/>
    <cellStyle name="Total 2 3 4 13 7" xfId="56815"/>
    <cellStyle name="Total 2 3 4 14" xfId="27858"/>
    <cellStyle name="Total 2 3 4 14 2" xfId="27859"/>
    <cellStyle name="Total 2 3 4 14 3" xfId="27860"/>
    <cellStyle name="Total 2 3 4 14 4" xfId="27861"/>
    <cellStyle name="Total 2 3 4 14 5" xfId="27862"/>
    <cellStyle name="Total 2 3 4 15" xfId="27863"/>
    <cellStyle name="Total 2 3 4 15 2" xfId="27864"/>
    <cellStyle name="Total 2 3 4 15 3" xfId="27865"/>
    <cellStyle name="Total 2 3 4 15 4" xfId="27866"/>
    <cellStyle name="Total 2 3 4 15 5" xfId="27867"/>
    <cellStyle name="Total 2 3 4 16" xfId="27868"/>
    <cellStyle name="Total 2 3 4 16 2" xfId="27869"/>
    <cellStyle name="Total 2 3 4 16 3" xfId="27870"/>
    <cellStyle name="Total 2 3 4 16 4" xfId="27871"/>
    <cellStyle name="Total 2 3 4 16 5" xfId="27872"/>
    <cellStyle name="Total 2 3 4 17" xfId="27873"/>
    <cellStyle name="Total 2 3 4 17 2" xfId="27874"/>
    <cellStyle name="Total 2 3 4 17 3" xfId="27875"/>
    <cellStyle name="Total 2 3 4 17 4" xfId="27876"/>
    <cellStyle name="Total 2 3 4 17 5" xfId="27877"/>
    <cellStyle name="Total 2 3 4 18" xfId="27878"/>
    <cellStyle name="Total 2 3 4 18 2" xfId="27879"/>
    <cellStyle name="Total 2 3 4 18 3" xfId="27880"/>
    <cellStyle name="Total 2 3 4 18 4" xfId="27881"/>
    <cellStyle name="Total 2 3 4 18 5" xfId="27882"/>
    <cellStyle name="Total 2 3 4 19" xfId="27883"/>
    <cellStyle name="Total 2 3 4 2" xfId="648"/>
    <cellStyle name="Total 2 3 4 2 10" xfId="27884"/>
    <cellStyle name="Total 2 3 4 2 10 2" xfId="27885"/>
    <cellStyle name="Total 2 3 4 2 10 3" xfId="27886"/>
    <cellStyle name="Total 2 3 4 2 10 4" xfId="27887"/>
    <cellStyle name="Total 2 3 4 2 10 5" xfId="27888"/>
    <cellStyle name="Total 2 3 4 2 10 6" xfId="48794"/>
    <cellStyle name="Total 2 3 4 2 10 7" xfId="56816"/>
    <cellStyle name="Total 2 3 4 2 11" xfId="27889"/>
    <cellStyle name="Total 2 3 4 2 11 2" xfId="27890"/>
    <cellStyle name="Total 2 3 4 2 11 3" xfId="27891"/>
    <cellStyle name="Total 2 3 4 2 11 4" xfId="27892"/>
    <cellStyle name="Total 2 3 4 2 11 5" xfId="27893"/>
    <cellStyle name="Total 2 3 4 2 12" xfId="27894"/>
    <cellStyle name="Total 2 3 4 2 12 2" xfId="27895"/>
    <cellStyle name="Total 2 3 4 2 12 3" xfId="27896"/>
    <cellStyle name="Total 2 3 4 2 12 4" xfId="27897"/>
    <cellStyle name="Total 2 3 4 2 12 5" xfId="27898"/>
    <cellStyle name="Total 2 3 4 2 13" xfId="27899"/>
    <cellStyle name="Total 2 3 4 2 13 2" xfId="27900"/>
    <cellStyle name="Total 2 3 4 2 13 3" xfId="27901"/>
    <cellStyle name="Total 2 3 4 2 13 4" xfId="27902"/>
    <cellStyle name="Total 2 3 4 2 13 5" xfId="27903"/>
    <cellStyle name="Total 2 3 4 2 14" xfId="27904"/>
    <cellStyle name="Total 2 3 4 2 14 2" xfId="27905"/>
    <cellStyle name="Total 2 3 4 2 14 3" xfId="27906"/>
    <cellStyle name="Total 2 3 4 2 14 4" xfId="27907"/>
    <cellStyle name="Total 2 3 4 2 14 5" xfId="27908"/>
    <cellStyle name="Total 2 3 4 2 15" xfId="27909"/>
    <cellStyle name="Total 2 3 4 2 15 2" xfId="27910"/>
    <cellStyle name="Total 2 3 4 2 15 3" xfId="27911"/>
    <cellStyle name="Total 2 3 4 2 15 4" xfId="27912"/>
    <cellStyle name="Total 2 3 4 2 15 5" xfId="27913"/>
    <cellStyle name="Total 2 3 4 2 16" xfId="27914"/>
    <cellStyle name="Total 2 3 4 2 16 2" xfId="27915"/>
    <cellStyle name="Total 2 3 4 2 16 3" xfId="27916"/>
    <cellStyle name="Total 2 3 4 2 16 4" xfId="27917"/>
    <cellStyle name="Total 2 3 4 2 16 5" xfId="27918"/>
    <cellStyle name="Total 2 3 4 2 17" xfId="27919"/>
    <cellStyle name="Total 2 3 4 2 17 2" xfId="27920"/>
    <cellStyle name="Total 2 3 4 2 17 3" xfId="27921"/>
    <cellStyle name="Total 2 3 4 2 17 4" xfId="27922"/>
    <cellStyle name="Total 2 3 4 2 17 5" xfId="27923"/>
    <cellStyle name="Total 2 3 4 2 18" xfId="27924"/>
    <cellStyle name="Total 2 3 4 2 18 2" xfId="27925"/>
    <cellStyle name="Total 2 3 4 2 18 3" xfId="27926"/>
    <cellStyle name="Total 2 3 4 2 18 4" xfId="27927"/>
    <cellStyle name="Total 2 3 4 2 18 5" xfId="27928"/>
    <cellStyle name="Total 2 3 4 2 19" xfId="27929"/>
    <cellStyle name="Total 2 3 4 2 2" xfId="2809"/>
    <cellStyle name="Total 2 3 4 2 2 2" xfId="27930"/>
    <cellStyle name="Total 2 3 4 2 2 2 2" xfId="48796"/>
    <cellStyle name="Total 2 3 4 2 2 2 3" xfId="56818"/>
    <cellStyle name="Total 2 3 4 2 2 3" xfId="27931"/>
    <cellStyle name="Total 2 3 4 2 2 4" xfId="27932"/>
    <cellStyle name="Total 2 3 4 2 2 5" xfId="27933"/>
    <cellStyle name="Total 2 3 4 2 2 6" xfId="36451"/>
    <cellStyle name="Total 2 3 4 2 2 7" xfId="48795"/>
    <cellStyle name="Total 2 3 4 2 2 8" xfId="56817"/>
    <cellStyle name="Total 2 3 4 2 20" xfId="1076"/>
    <cellStyle name="Total 2 3 4 2 21" xfId="35156"/>
    <cellStyle name="Total 2 3 4 2 22" xfId="41376"/>
    <cellStyle name="Total 2 3 4 2 3" xfId="2810"/>
    <cellStyle name="Total 2 3 4 2 3 2" xfId="27934"/>
    <cellStyle name="Total 2 3 4 2 3 3" xfId="27935"/>
    <cellStyle name="Total 2 3 4 2 3 4" xfId="27936"/>
    <cellStyle name="Total 2 3 4 2 3 5" xfId="27937"/>
    <cellStyle name="Total 2 3 4 2 3 6" xfId="36948"/>
    <cellStyle name="Total 2 3 4 2 3 7" xfId="48797"/>
    <cellStyle name="Total 2 3 4 2 3 8" xfId="56819"/>
    <cellStyle name="Total 2 3 4 2 4" xfId="1446"/>
    <cellStyle name="Total 2 3 4 2 4 2" xfId="27938"/>
    <cellStyle name="Total 2 3 4 2 4 3" xfId="27939"/>
    <cellStyle name="Total 2 3 4 2 4 4" xfId="27940"/>
    <cellStyle name="Total 2 3 4 2 4 5" xfId="27941"/>
    <cellStyle name="Total 2 3 4 2 4 6" xfId="37564"/>
    <cellStyle name="Total 2 3 4 2 4 7" xfId="48798"/>
    <cellStyle name="Total 2 3 4 2 4 8" xfId="56820"/>
    <cellStyle name="Total 2 3 4 2 5" xfId="3516"/>
    <cellStyle name="Total 2 3 4 2 5 2" xfId="27942"/>
    <cellStyle name="Total 2 3 4 2 5 3" xfId="27943"/>
    <cellStyle name="Total 2 3 4 2 5 4" xfId="27944"/>
    <cellStyle name="Total 2 3 4 2 5 5" xfId="27945"/>
    <cellStyle name="Total 2 3 4 2 5 6" xfId="38181"/>
    <cellStyle name="Total 2 3 4 2 5 7" xfId="48799"/>
    <cellStyle name="Total 2 3 4 2 5 8" xfId="56821"/>
    <cellStyle name="Total 2 3 4 2 6" xfId="3834"/>
    <cellStyle name="Total 2 3 4 2 6 2" xfId="27946"/>
    <cellStyle name="Total 2 3 4 2 6 3" xfId="27947"/>
    <cellStyle name="Total 2 3 4 2 6 4" xfId="27948"/>
    <cellStyle name="Total 2 3 4 2 6 5" xfId="27949"/>
    <cellStyle name="Total 2 3 4 2 6 6" xfId="38799"/>
    <cellStyle name="Total 2 3 4 2 6 7" xfId="48800"/>
    <cellStyle name="Total 2 3 4 2 6 8" xfId="56822"/>
    <cellStyle name="Total 2 3 4 2 7" xfId="27950"/>
    <cellStyle name="Total 2 3 4 2 7 2" xfId="27951"/>
    <cellStyle name="Total 2 3 4 2 7 3" xfId="27952"/>
    <cellStyle name="Total 2 3 4 2 7 4" xfId="27953"/>
    <cellStyle name="Total 2 3 4 2 7 5" xfId="27954"/>
    <cellStyle name="Total 2 3 4 2 7 6" xfId="39419"/>
    <cellStyle name="Total 2 3 4 2 7 7" xfId="48801"/>
    <cellStyle name="Total 2 3 4 2 7 8" xfId="56823"/>
    <cellStyle name="Total 2 3 4 2 8" xfId="27955"/>
    <cellStyle name="Total 2 3 4 2 8 2" xfId="27956"/>
    <cellStyle name="Total 2 3 4 2 8 3" xfId="27957"/>
    <cellStyle name="Total 2 3 4 2 8 4" xfId="27958"/>
    <cellStyle name="Total 2 3 4 2 8 5" xfId="27959"/>
    <cellStyle name="Total 2 3 4 2 8 6" xfId="40035"/>
    <cellStyle name="Total 2 3 4 2 8 7" xfId="48802"/>
    <cellStyle name="Total 2 3 4 2 8 8" xfId="56824"/>
    <cellStyle name="Total 2 3 4 2 9" xfId="27960"/>
    <cellStyle name="Total 2 3 4 2 9 2" xfId="27961"/>
    <cellStyle name="Total 2 3 4 2 9 3" xfId="27962"/>
    <cellStyle name="Total 2 3 4 2 9 4" xfId="27963"/>
    <cellStyle name="Total 2 3 4 2 9 5" xfId="27964"/>
    <cellStyle name="Total 2 3 4 2 9 6" xfId="40650"/>
    <cellStyle name="Total 2 3 4 2 9 7" xfId="48803"/>
    <cellStyle name="Total 2 3 4 2 9 8" xfId="56825"/>
    <cellStyle name="Total 2 3 4 20" xfId="864"/>
    <cellStyle name="Total 2 3 4 21" xfId="34672"/>
    <cellStyle name="Total 2 3 4 22" xfId="40948"/>
    <cellStyle name="Total 2 3 4 23" xfId="41509"/>
    <cellStyle name="Total 2 3 4 24" xfId="50596"/>
    <cellStyle name="Total 2 3 4 3" xfId="2811"/>
    <cellStyle name="Total 2 3 4 3 10" xfId="34585"/>
    <cellStyle name="Total 2 3 4 3 10 2" xfId="48805"/>
    <cellStyle name="Total 2 3 4 3 10 3" xfId="56827"/>
    <cellStyle name="Total 2 3 4 3 11" xfId="41163"/>
    <cellStyle name="Total 2 3 4 3 12" xfId="48804"/>
    <cellStyle name="Total 2 3 4 3 13" xfId="56826"/>
    <cellStyle name="Total 2 3 4 3 2" xfId="2812"/>
    <cellStyle name="Total 2 3 4 3 2 2" xfId="36240"/>
    <cellStyle name="Total 2 3 4 3 2 3" xfId="48806"/>
    <cellStyle name="Total 2 3 4 3 2 4" xfId="56828"/>
    <cellStyle name="Total 2 3 4 3 3" xfId="2813"/>
    <cellStyle name="Total 2 3 4 3 3 2" xfId="36737"/>
    <cellStyle name="Total 2 3 4 3 3 3" xfId="48807"/>
    <cellStyle name="Total 2 3 4 3 3 4" xfId="56829"/>
    <cellStyle name="Total 2 3 4 3 4" xfId="27965"/>
    <cellStyle name="Total 2 3 4 3 4 2" xfId="37353"/>
    <cellStyle name="Total 2 3 4 3 4 3" xfId="48808"/>
    <cellStyle name="Total 2 3 4 3 4 4" xfId="56830"/>
    <cellStyle name="Total 2 3 4 3 5" xfId="27966"/>
    <cellStyle name="Total 2 3 4 3 5 2" xfId="37969"/>
    <cellStyle name="Total 2 3 4 3 5 3" xfId="48809"/>
    <cellStyle name="Total 2 3 4 3 5 4" xfId="56831"/>
    <cellStyle name="Total 2 3 4 3 6" xfId="38586"/>
    <cellStyle name="Total 2 3 4 3 6 2" xfId="48810"/>
    <cellStyle name="Total 2 3 4 3 6 3" xfId="56832"/>
    <cellStyle name="Total 2 3 4 3 7" xfId="39206"/>
    <cellStyle name="Total 2 3 4 3 7 2" xfId="48811"/>
    <cellStyle name="Total 2 3 4 3 7 3" xfId="56833"/>
    <cellStyle name="Total 2 3 4 3 8" xfId="39822"/>
    <cellStyle name="Total 2 3 4 3 8 2" xfId="48812"/>
    <cellStyle name="Total 2 3 4 3 8 3" xfId="56834"/>
    <cellStyle name="Total 2 3 4 3 9" xfId="40437"/>
    <cellStyle name="Total 2 3 4 3 9 2" xfId="48813"/>
    <cellStyle name="Total 2 3 4 3 9 3" xfId="56835"/>
    <cellStyle name="Total 2 3 4 4" xfId="2814"/>
    <cellStyle name="Total 2 3 4 4 10" xfId="48814"/>
    <cellStyle name="Total 2 3 4 4 11" xfId="56836"/>
    <cellStyle name="Total 2 3 4 4 2" xfId="27967"/>
    <cellStyle name="Total 2 3 4 4 2 2" xfId="48815"/>
    <cellStyle name="Total 2 3 4 4 2 3" xfId="56837"/>
    <cellStyle name="Total 2 3 4 4 3" xfId="27968"/>
    <cellStyle name="Total 2 3 4 4 3 2" xfId="48816"/>
    <cellStyle name="Total 2 3 4 4 3 3" xfId="56838"/>
    <cellStyle name="Total 2 3 4 4 4" xfId="27969"/>
    <cellStyle name="Total 2 3 4 4 4 2" xfId="48817"/>
    <cellStyle name="Total 2 3 4 4 4 3" xfId="56839"/>
    <cellStyle name="Total 2 3 4 4 5" xfId="27970"/>
    <cellStyle name="Total 2 3 4 4 5 2" xfId="48818"/>
    <cellStyle name="Total 2 3 4 4 5 3" xfId="56840"/>
    <cellStyle name="Total 2 3 4 4 6" xfId="35669"/>
    <cellStyle name="Total 2 3 4 4 6 2" xfId="48819"/>
    <cellStyle name="Total 2 3 4 4 6 3" xfId="56841"/>
    <cellStyle name="Total 2 3 4 4 7" xfId="48820"/>
    <cellStyle name="Total 2 3 4 4 7 2" xfId="56842"/>
    <cellStyle name="Total 2 3 4 4 8" xfId="48821"/>
    <cellStyle name="Total 2 3 4 4 8 2" xfId="56843"/>
    <cellStyle name="Total 2 3 4 4 9" xfId="48822"/>
    <cellStyle name="Total 2 3 4 4 9 2" xfId="56844"/>
    <cellStyle name="Total 2 3 4 5" xfId="1445"/>
    <cellStyle name="Total 2 3 4 5 2" xfId="27971"/>
    <cellStyle name="Total 2 3 4 5 3" xfId="27972"/>
    <cellStyle name="Total 2 3 4 5 4" xfId="27973"/>
    <cellStyle name="Total 2 3 4 5 5" xfId="27974"/>
    <cellStyle name="Total 2 3 4 5 6" xfId="36525"/>
    <cellStyle name="Total 2 3 4 5 7" xfId="48823"/>
    <cellStyle name="Total 2 3 4 5 8" xfId="56845"/>
    <cellStyle name="Total 2 3 4 6" xfId="3515"/>
    <cellStyle name="Total 2 3 4 6 2" xfId="27975"/>
    <cellStyle name="Total 2 3 4 6 3" xfId="27976"/>
    <cellStyle name="Total 2 3 4 6 4" xfId="27977"/>
    <cellStyle name="Total 2 3 4 6 5" xfId="27978"/>
    <cellStyle name="Total 2 3 4 6 6" xfId="37141"/>
    <cellStyle name="Total 2 3 4 6 7" xfId="48824"/>
    <cellStyle name="Total 2 3 4 6 8" xfId="56846"/>
    <cellStyle name="Total 2 3 4 7" xfId="3833"/>
    <cellStyle name="Total 2 3 4 7 2" xfId="27979"/>
    <cellStyle name="Total 2 3 4 7 3" xfId="27980"/>
    <cellStyle name="Total 2 3 4 7 4" xfId="27981"/>
    <cellStyle name="Total 2 3 4 7 5" xfId="27982"/>
    <cellStyle name="Total 2 3 4 7 6" xfId="37755"/>
    <cellStyle name="Total 2 3 4 7 7" xfId="48825"/>
    <cellStyle name="Total 2 3 4 7 8" xfId="56847"/>
    <cellStyle name="Total 2 3 4 8" xfId="27983"/>
    <cellStyle name="Total 2 3 4 8 2" xfId="27984"/>
    <cellStyle name="Total 2 3 4 8 3" xfId="27985"/>
    <cellStyle name="Total 2 3 4 8 4" xfId="27986"/>
    <cellStyle name="Total 2 3 4 8 5" xfId="27987"/>
    <cellStyle name="Total 2 3 4 8 6" xfId="38371"/>
    <cellStyle name="Total 2 3 4 8 7" xfId="48826"/>
    <cellStyle name="Total 2 3 4 8 8" xfId="56848"/>
    <cellStyle name="Total 2 3 4 9" xfId="27988"/>
    <cellStyle name="Total 2 3 4 9 2" xfId="27989"/>
    <cellStyle name="Total 2 3 4 9 3" xfId="27990"/>
    <cellStyle name="Total 2 3 4 9 4" xfId="27991"/>
    <cellStyle name="Total 2 3 4 9 5" xfId="27992"/>
    <cellStyle name="Total 2 3 4 9 6" xfId="38991"/>
    <cellStyle name="Total 2 3 4 9 7" xfId="48827"/>
    <cellStyle name="Total 2 3 4 9 8" xfId="56849"/>
    <cellStyle name="Total 2 3 5" xfId="434"/>
    <cellStyle name="Total 2 3 5 10" xfId="27993"/>
    <cellStyle name="Total 2 3 5 10 2" xfId="27994"/>
    <cellStyle name="Total 2 3 5 10 3" xfId="27995"/>
    <cellStyle name="Total 2 3 5 10 4" xfId="27996"/>
    <cellStyle name="Total 2 3 5 10 5" xfId="27997"/>
    <cellStyle name="Total 2 3 5 10 6" xfId="40223"/>
    <cellStyle name="Total 2 3 5 10 7" xfId="48828"/>
    <cellStyle name="Total 2 3 5 10 8" xfId="56850"/>
    <cellStyle name="Total 2 3 5 11" xfId="27998"/>
    <cellStyle name="Total 2 3 5 11 2" xfId="27999"/>
    <cellStyle name="Total 2 3 5 11 3" xfId="28000"/>
    <cellStyle name="Total 2 3 5 11 4" xfId="28001"/>
    <cellStyle name="Total 2 3 5 11 5" xfId="28002"/>
    <cellStyle name="Total 2 3 5 11 6" xfId="48829"/>
    <cellStyle name="Total 2 3 5 11 7" xfId="56851"/>
    <cellStyle name="Total 2 3 5 12" xfId="28003"/>
    <cellStyle name="Total 2 3 5 12 2" xfId="28004"/>
    <cellStyle name="Total 2 3 5 12 3" xfId="28005"/>
    <cellStyle name="Total 2 3 5 12 4" xfId="28006"/>
    <cellStyle name="Total 2 3 5 12 5" xfId="28007"/>
    <cellStyle name="Total 2 3 5 12 6" xfId="48830"/>
    <cellStyle name="Total 2 3 5 12 7" xfId="56852"/>
    <cellStyle name="Total 2 3 5 13" xfId="28008"/>
    <cellStyle name="Total 2 3 5 13 2" xfId="28009"/>
    <cellStyle name="Total 2 3 5 13 3" xfId="28010"/>
    <cellStyle name="Total 2 3 5 13 4" xfId="28011"/>
    <cellStyle name="Total 2 3 5 13 5" xfId="28012"/>
    <cellStyle name="Total 2 3 5 13 6" xfId="48831"/>
    <cellStyle name="Total 2 3 5 13 7" xfId="56853"/>
    <cellStyle name="Total 2 3 5 14" xfId="28013"/>
    <cellStyle name="Total 2 3 5 14 2" xfId="28014"/>
    <cellStyle name="Total 2 3 5 14 3" xfId="28015"/>
    <cellStyle name="Total 2 3 5 14 4" xfId="28016"/>
    <cellStyle name="Total 2 3 5 14 5" xfId="28017"/>
    <cellStyle name="Total 2 3 5 15" xfId="28018"/>
    <cellStyle name="Total 2 3 5 15 2" xfId="28019"/>
    <cellStyle name="Total 2 3 5 15 3" xfId="28020"/>
    <cellStyle name="Total 2 3 5 15 4" xfId="28021"/>
    <cellStyle name="Total 2 3 5 15 5" xfId="28022"/>
    <cellStyle name="Total 2 3 5 16" xfId="28023"/>
    <cellStyle name="Total 2 3 5 16 2" xfId="28024"/>
    <cellStyle name="Total 2 3 5 16 3" xfId="28025"/>
    <cellStyle name="Total 2 3 5 16 4" xfId="28026"/>
    <cellStyle name="Total 2 3 5 16 5" xfId="28027"/>
    <cellStyle name="Total 2 3 5 17" xfId="28028"/>
    <cellStyle name="Total 2 3 5 17 2" xfId="28029"/>
    <cellStyle name="Total 2 3 5 17 3" xfId="28030"/>
    <cellStyle name="Total 2 3 5 17 4" xfId="28031"/>
    <cellStyle name="Total 2 3 5 17 5" xfId="28032"/>
    <cellStyle name="Total 2 3 5 18" xfId="28033"/>
    <cellStyle name="Total 2 3 5 18 2" xfId="28034"/>
    <cellStyle name="Total 2 3 5 18 3" xfId="28035"/>
    <cellStyle name="Total 2 3 5 18 4" xfId="28036"/>
    <cellStyle name="Total 2 3 5 18 5" xfId="28037"/>
    <cellStyle name="Total 2 3 5 19" xfId="28038"/>
    <cellStyle name="Total 2 3 5 2" xfId="649"/>
    <cellStyle name="Total 2 3 5 2 10" xfId="28039"/>
    <cellStyle name="Total 2 3 5 2 10 2" xfId="28040"/>
    <cellStyle name="Total 2 3 5 2 10 3" xfId="28041"/>
    <cellStyle name="Total 2 3 5 2 10 4" xfId="28042"/>
    <cellStyle name="Total 2 3 5 2 10 5" xfId="28043"/>
    <cellStyle name="Total 2 3 5 2 10 6" xfId="48832"/>
    <cellStyle name="Total 2 3 5 2 10 7" xfId="56854"/>
    <cellStyle name="Total 2 3 5 2 11" xfId="28044"/>
    <cellStyle name="Total 2 3 5 2 11 2" xfId="28045"/>
    <cellStyle name="Total 2 3 5 2 11 3" xfId="28046"/>
    <cellStyle name="Total 2 3 5 2 11 4" xfId="28047"/>
    <cellStyle name="Total 2 3 5 2 11 5" xfId="28048"/>
    <cellStyle name="Total 2 3 5 2 12" xfId="28049"/>
    <cellStyle name="Total 2 3 5 2 12 2" xfId="28050"/>
    <cellStyle name="Total 2 3 5 2 12 3" xfId="28051"/>
    <cellStyle name="Total 2 3 5 2 12 4" xfId="28052"/>
    <cellStyle name="Total 2 3 5 2 12 5" xfId="28053"/>
    <cellStyle name="Total 2 3 5 2 13" xfId="28054"/>
    <cellStyle name="Total 2 3 5 2 13 2" xfId="28055"/>
    <cellStyle name="Total 2 3 5 2 13 3" xfId="28056"/>
    <cellStyle name="Total 2 3 5 2 13 4" xfId="28057"/>
    <cellStyle name="Total 2 3 5 2 13 5" xfId="28058"/>
    <cellStyle name="Total 2 3 5 2 14" xfId="28059"/>
    <cellStyle name="Total 2 3 5 2 14 2" xfId="28060"/>
    <cellStyle name="Total 2 3 5 2 14 3" xfId="28061"/>
    <cellStyle name="Total 2 3 5 2 14 4" xfId="28062"/>
    <cellStyle name="Total 2 3 5 2 14 5" xfId="28063"/>
    <cellStyle name="Total 2 3 5 2 15" xfId="28064"/>
    <cellStyle name="Total 2 3 5 2 15 2" xfId="28065"/>
    <cellStyle name="Total 2 3 5 2 15 3" xfId="28066"/>
    <cellStyle name="Total 2 3 5 2 15 4" xfId="28067"/>
    <cellStyle name="Total 2 3 5 2 15 5" xfId="28068"/>
    <cellStyle name="Total 2 3 5 2 16" xfId="28069"/>
    <cellStyle name="Total 2 3 5 2 16 2" xfId="28070"/>
    <cellStyle name="Total 2 3 5 2 16 3" xfId="28071"/>
    <cellStyle name="Total 2 3 5 2 16 4" xfId="28072"/>
    <cellStyle name="Total 2 3 5 2 16 5" xfId="28073"/>
    <cellStyle name="Total 2 3 5 2 17" xfId="28074"/>
    <cellStyle name="Total 2 3 5 2 17 2" xfId="28075"/>
    <cellStyle name="Total 2 3 5 2 17 3" xfId="28076"/>
    <cellStyle name="Total 2 3 5 2 17 4" xfId="28077"/>
    <cellStyle name="Total 2 3 5 2 17 5" xfId="28078"/>
    <cellStyle name="Total 2 3 5 2 18" xfId="28079"/>
    <cellStyle name="Total 2 3 5 2 18 2" xfId="28080"/>
    <cellStyle name="Total 2 3 5 2 18 3" xfId="28081"/>
    <cellStyle name="Total 2 3 5 2 18 4" xfId="28082"/>
    <cellStyle name="Total 2 3 5 2 18 5" xfId="28083"/>
    <cellStyle name="Total 2 3 5 2 19" xfId="28084"/>
    <cellStyle name="Total 2 3 5 2 2" xfId="2815"/>
    <cellStyle name="Total 2 3 5 2 2 2" xfId="28085"/>
    <cellStyle name="Total 2 3 5 2 2 2 2" xfId="48834"/>
    <cellStyle name="Total 2 3 5 2 2 2 3" xfId="56856"/>
    <cellStyle name="Total 2 3 5 2 2 3" xfId="28086"/>
    <cellStyle name="Total 2 3 5 2 2 4" xfId="28087"/>
    <cellStyle name="Total 2 3 5 2 2 5" xfId="28088"/>
    <cellStyle name="Total 2 3 5 2 2 6" xfId="36452"/>
    <cellStyle name="Total 2 3 5 2 2 7" xfId="48833"/>
    <cellStyle name="Total 2 3 5 2 2 8" xfId="56855"/>
    <cellStyle name="Total 2 3 5 2 20" xfId="1077"/>
    <cellStyle name="Total 2 3 5 2 21" xfId="35157"/>
    <cellStyle name="Total 2 3 5 2 22" xfId="41377"/>
    <cellStyle name="Total 2 3 5 2 3" xfId="2816"/>
    <cellStyle name="Total 2 3 5 2 3 2" xfId="28089"/>
    <cellStyle name="Total 2 3 5 2 3 3" xfId="28090"/>
    <cellStyle name="Total 2 3 5 2 3 4" xfId="28091"/>
    <cellStyle name="Total 2 3 5 2 3 5" xfId="28092"/>
    <cellStyle name="Total 2 3 5 2 3 6" xfId="36949"/>
    <cellStyle name="Total 2 3 5 2 3 7" xfId="48835"/>
    <cellStyle name="Total 2 3 5 2 3 8" xfId="56857"/>
    <cellStyle name="Total 2 3 5 2 4" xfId="1448"/>
    <cellStyle name="Total 2 3 5 2 4 2" xfId="28093"/>
    <cellStyle name="Total 2 3 5 2 4 3" xfId="28094"/>
    <cellStyle name="Total 2 3 5 2 4 4" xfId="28095"/>
    <cellStyle name="Total 2 3 5 2 4 5" xfId="28096"/>
    <cellStyle name="Total 2 3 5 2 4 6" xfId="37565"/>
    <cellStyle name="Total 2 3 5 2 4 7" xfId="48836"/>
    <cellStyle name="Total 2 3 5 2 4 8" xfId="56858"/>
    <cellStyle name="Total 2 3 5 2 5" xfId="3518"/>
    <cellStyle name="Total 2 3 5 2 5 2" xfId="28097"/>
    <cellStyle name="Total 2 3 5 2 5 3" xfId="28098"/>
    <cellStyle name="Total 2 3 5 2 5 4" xfId="28099"/>
    <cellStyle name="Total 2 3 5 2 5 5" xfId="28100"/>
    <cellStyle name="Total 2 3 5 2 5 6" xfId="38182"/>
    <cellStyle name="Total 2 3 5 2 5 7" xfId="48837"/>
    <cellStyle name="Total 2 3 5 2 5 8" xfId="56859"/>
    <cellStyle name="Total 2 3 5 2 6" xfId="3836"/>
    <cellStyle name="Total 2 3 5 2 6 2" xfId="28101"/>
    <cellStyle name="Total 2 3 5 2 6 3" xfId="28102"/>
    <cellStyle name="Total 2 3 5 2 6 4" xfId="28103"/>
    <cellStyle name="Total 2 3 5 2 6 5" xfId="28104"/>
    <cellStyle name="Total 2 3 5 2 6 6" xfId="38800"/>
    <cellStyle name="Total 2 3 5 2 6 7" xfId="48838"/>
    <cellStyle name="Total 2 3 5 2 6 8" xfId="56860"/>
    <cellStyle name="Total 2 3 5 2 7" xfId="28105"/>
    <cellStyle name="Total 2 3 5 2 7 2" xfId="28106"/>
    <cellStyle name="Total 2 3 5 2 7 3" xfId="28107"/>
    <cellStyle name="Total 2 3 5 2 7 4" xfId="28108"/>
    <cellStyle name="Total 2 3 5 2 7 5" xfId="28109"/>
    <cellStyle name="Total 2 3 5 2 7 6" xfId="39420"/>
    <cellStyle name="Total 2 3 5 2 7 7" xfId="48839"/>
    <cellStyle name="Total 2 3 5 2 7 8" xfId="56861"/>
    <cellStyle name="Total 2 3 5 2 8" xfId="28110"/>
    <cellStyle name="Total 2 3 5 2 8 2" xfId="28111"/>
    <cellStyle name="Total 2 3 5 2 8 3" xfId="28112"/>
    <cellStyle name="Total 2 3 5 2 8 4" xfId="28113"/>
    <cellStyle name="Total 2 3 5 2 8 5" xfId="28114"/>
    <cellStyle name="Total 2 3 5 2 8 6" xfId="40036"/>
    <cellStyle name="Total 2 3 5 2 8 7" xfId="48840"/>
    <cellStyle name="Total 2 3 5 2 8 8" xfId="56862"/>
    <cellStyle name="Total 2 3 5 2 9" xfId="28115"/>
    <cellStyle name="Total 2 3 5 2 9 2" xfId="28116"/>
    <cellStyle name="Total 2 3 5 2 9 3" xfId="28117"/>
    <cellStyle name="Total 2 3 5 2 9 4" xfId="28118"/>
    <cellStyle name="Total 2 3 5 2 9 5" xfId="28119"/>
    <cellStyle name="Total 2 3 5 2 9 6" xfId="40651"/>
    <cellStyle name="Total 2 3 5 2 9 7" xfId="48841"/>
    <cellStyle name="Total 2 3 5 2 9 8" xfId="56863"/>
    <cellStyle name="Total 2 3 5 20" xfId="865"/>
    <cellStyle name="Total 2 3 5 21" xfId="34671"/>
    <cellStyle name="Total 2 3 5 22" xfId="40949"/>
    <cellStyle name="Total 2 3 5 23" xfId="41510"/>
    <cellStyle name="Total 2 3 5 24" xfId="50597"/>
    <cellStyle name="Total 2 3 5 3" xfId="2817"/>
    <cellStyle name="Total 2 3 5 3 10" xfId="34584"/>
    <cellStyle name="Total 2 3 5 3 10 2" xfId="48843"/>
    <cellStyle name="Total 2 3 5 3 10 3" xfId="56865"/>
    <cellStyle name="Total 2 3 5 3 11" xfId="41164"/>
    <cellStyle name="Total 2 3 5 3 12" xfId="48842"/>
    <cellStyle name="Total 2 3 5 3 13" xfId="56864"/>
    <cellStyle name="Total 2 3 5 3 2" xfId="2818"/>
    <cellStyle name="Total 2 3 5 3 2 2" xfId="36241"/>
    <cellStyle name="Total 2 3 5 3 2 3" xfId="48844"/>
    <cellStyle name="Total 2 3 5 3 2 4" xfId="56866"/>
    <cellStyle name="Total 2 3 5 3 3" xfId="2819"/>
    <cellStyle name="Total 2 3 5 3 3 2" xfId="36738"/>
    <cellStyle name="Total 2 3 5 3 3 3" xfId="48845"/>
    <cellStyle name="Total 2 3 5 3 3 4" xfId="56867"/>
    <cellStyle name="Total 2 3 5 3 4" xfId="28120"/>
    <cellStyle name="Total 2 3 5 3 4 2" xfId="37354"/>
    <cellStyle name="Total 2 3 5 3 4 3" xfId="48846"/>
    <cellStyle name="Total 2 3 5 3 4 4" xfId="56868"/>
    <cellStyle name="Total 2 3 5 3 5" xfId="28121"/>
    <cellStyle name="Total 2 3 5 3 5 2" xfId="37970"/>
    <cellStyle name="Total 2 3 5 3 5 3" xfId="48847"/>
    <cellStyle name="Total 2 3 5 3 5 4" xfId="56869"/>
    <cellStyle name="Total 2 3 5 3 6" xfId="38587"/>
    <cellStyle name="Total 2 3 5 3 6 2" xfId="48848"/>
    <cellStyle name="Total 2 3 5 3 6 3" xfId="56870"/>
    <cellStyle name="Total 2 3 5 3 7" xfId="39207"/>
    <cellStyle name="Total 2 3 5 3 7 2" xfId="48849"/>
    <cellStyle name="Total 2 3 5 3 7 3" xfId="56871"/>
    <cellStyle name="Total 2 3 5 3 8" xfId="39823"/>
    <cellStyle name="Total 2 3 5 3 8 2" xfId="48850"/>
    <cellStyle name="Total 2 3 5 3 8 3" xfId="56872"/>
    <cellStyle name="Total 2 3 5 3 9" xfId="40438"/>
    <cellStyle name="Total 2 3 5 3 9 2" xfId="48851"/>
    <cellStyle name="Total 2 3 5 3 9 3" xfId="56873"/>
    <cellStyle name="Total 2 3 5 4" xfId="2820"/>
    <cellStyle name="Total 2 3 5 4 10" xfId="48852"/>
    <cellStyle name="Total 2 3 5 4 11" xfId="56874"/>
    <cellStyle name="Total 2 3 5 4 2" xfId="28122"/>
    <cellStyle name="Total 2 3 5 4 2 2" xfId="48853"/>
    <cellStyle name="Total 2 3 5 4 2 3" xfId="56875"/>
    <cellStyle name="Total 2 3 5 4 3" xfId="28123"/>
    <cellStyle name="Total 2 3 5 4 3 2" xfId="48854"/>
    <cellStyle name="Total 2 3 5 4 3 3" xfId="56876"/>
    <cellStyle name="Total 2 3 5 4 4" xfId="28124"/>
    <cellStyle name="Total 2 3 5 4 4 2" xfId="48855"/>
    <cellStyle name="Total 2 3 5 4 4 3" xfId="56877"/>
    <cellStyle name="Total 2 3 5 4 5" xfId="28125"/>
    <cellStyle name="Total 2 3 5 4 5 2" xfId="48856"/>
    <cellStyle name="Total 2 3 5 4 5 3" xfId="56878"/>
    <cellStyle name="Total 2 3 5 4 6" xfId="36526"/>
    <cellStyle name="Total 2 3 5 4 6 2" xfId="48857"/>
    <cellStyle name="Total 2 3 5 4 6 3" xfId="56879"/>
    <cellStyle name="Total 2 3 5 4 7" xfId="48858"/>
    <cellStyle name="Total 2 3 5 4 7 2" xfId="56880"/>
    <cellStyle name="Total 2 3 5 4 8" xfId="48859"/>
    <cellStyle name="Total 2 3 5 4 8 2" xfId="56881"/>
    <cellStyle name="Total 2 3 5 4 9" xfId="48860"/>
    <cellStyle name="Total 2 3 5 4 9 2" xfId="56882"/>
    <cellStyle name="Total 2 3 5 5" xfId="1447"/>
    <cellStyle name="Total 2 3 5 5 2" xfId="28126"/>
    <cellStyle name="Total 2 3 5 5 3" xfId="28127"/>
    <cellStyle name="Total 2 3 5 5 4" xfId="28128"/>
    <cellStyle name="Total 2 3 5 5 5" xfId="28129"/>
    <cellStyle name="Total 2 3 5 5 6" xfId="37142"/>
    <cellStyle name="Total 2 3 5 5 7" xfId="48861"/>
    <cellStyle name="Total 2 3 5 5 8" xfId="56883"/>
    <cellStyle name="Total 2 3 5 6" xfId="3517"/>
    <cellStyle name="Total 2 3 5 6 2" xfId="28130"/>
    <cellStyle name="Total 2 3 5 6 3" xfId="28131"/>
    <cellStyle name="Total 2 3 5 6 4" xfId="28132"/>
    <cellStyle name="Total 2 3 5 6 5" xfId="28133"/>
    <cellStyle name="Total 2 3 5 6 6" xfId="37756"/>
    <cellStyle name="Total 2 3 5 6 7" xfId="48862"/>
    <cellStyle name="Total 2 3 5 6 8" xfId="56884"/>
    <cellStyle name="Total 2 3 5 7" xfId="3835"/>
    <cellStyle name="Total 2 3 5 7 2" xfId="28134"/>
    <cellStyle name="Total 2 3 5 7 3" xfId="28135"/>
    <cellStyle name="Total 2 3 5 7 4" xfId="28136"/>
    <cellStyle name="Total 2 3 5 7 5" xfId="28137"/>
    <cellStyle name="Total 2 3 5 7 6" xfId="38372"/>
    <cellStyle name="Total 2 3 5 7 7" xfId="48863"/>
    <cellStyle name="Total 2 3 5 7 8" xfId="56885"/>
    <cellStyle name="Total 2 3 5 8" xfId="28138"/>
    <cellStyle name="Total 2 3 5 8 2" xfId="28139"/>
    <cellStyle name="Total 2 3 5 8 3" xfId="28140"/>
    <cellStyle name="Total 2 3 5 8 4" xfId="28141"/>
    <cellStyle name="Total 2 3 5 8 5" xfId="28142"/>
    <cellStyle name="Total 2 3 5 8 6" xfId="38992"/>
    <cellStyle name="Total 2 3 5 8 7" xfId="48864"/>
    <cellStyle name="Total 2 3 5 8 8" xfId="56886"/>
    <cellStyle name="Total 2 3 5 9" xfId="28143"/>
    <cellStyle name="Total 2 3 5 9 2" xfId="28144"/>
    <cellStyle name="Total 2 3 5 9 3" xfId="28145"/>
    <cellStyle name="Total 2 3 5 9 4" xfId="28146"/>
    <cellStyle name="Total 2 3 5 9 5" xfId="28147"/>
    <cellStyle name="Total 2 3 5 9 6" xfId="39608"/>
    <cellStyle name="Total 2 3 5 9 7" xfId="48865"/>
    <cellStyle name="Total 2 3 5 9 8" xfId="56887"/>
    <cellStyle name="Total 2 3 6" xfId="491"/>
    <cellStyle name="Total 2 3 6 10" xfId="28148"/>
    <cellStyle name="Total 2 3 6 10 2" xfId="28149"/>
    <cellStyle name="Total 2 3 6 10 3" xfId="28150"/>
    <cellStyle name="Total 2 3 6 10 4" xfId="28151"/>
    <cellStyle name="Total 2 3 6 10 5" xfId="28152"/>
    <cellStyle name="Total 2 3 6 10 6" xfId="48866"/>
    <cellStyle name="Total 2 3 6 10 7" xfId="56888"/>
    <cellStyle name="Total 2 3 6 11" xfId="28153"/>
    <cellStyle name="Total 2 3 6 11 2" xfId="28154"/>
    <cellStyle name="Total 2 3 6 11 3" xfId="28155"/>
    <cellStyle name="Total 2 3 6 11 4" xfId="28156"/>
    <cellStyle name="Total 2 3 6 11 5" xfId="28157"/>
    <cellStyle name="Total 2 3 6 12" xfId="28158"/>
    <cellStyle name="Total 2 3 6 12 2" xfId="28159"/>
    <cellStyle name="Total 2 3 6 12 3" xfId="28160"/>
    <cellStyle name="Total 2 3 6 12 4" xfId="28161"/>
    <cellStyle name="Total 2 3 6 12 5" xfId="28162"/>
    <cellStyle name="Total 2 3 6 13" xfId="28163"/>
    <cellStyle name="Total 2 3 6 13 2" xfId="28164"/>
    <cellStyle name="Total 2 3 6 13 3" xfId="28165"/>
    <cellStyle name="Total 2 3 6 13 4" xfId="28166"/>
    <cellStyle name="Total 2 3 6 13 5" xfId="28167"/>
    <cellStyle name="Total 2 3 6 14" xfId="28168"/>
    <cellStyle name="Total 2 3 6 14 2" xfId="28169"/>
    <cellStyle name="Total 2 3 6 14 3" xfId="28170"/>
    <cellStyle name="Total 2 3 6 14 4" xfId="28171"/>
    <cellStyle name="Total 2 3 6 14 5" xfId="28172"/>
    <cellStyle name="Total 2 3 6 15" xfId="28173"/>
    <cellStyle name="Total 2 3 6 15 2" xfId="28174"/>
    <cellStyle name="Total 2 3 6 15 3" xfId="28175"/>
    <cellStyle name="Total 2 3 6 15 4" xfId="28176"/>
    <cellStyle name="Total 2 3 6 15 5" xfId="28177"/>
    <cellStyle name="Total 2 3 6 16" xfId="28178"/>
    <cellStyle name="Total 2 3 6 16 2" xfId="28179"/>
    <cellStyle name="Total 2 3 6 16 3" xfId="28180"/>
    <cellStyle name="Total 2 3 6 16 4" xfId="28181"/>
    <cellStyle name="Total 2 3 6 16 5" xfId="28182"/>
    <cellStyle name="Total 2 3 6 17" xfId="28183"/>
    <cellStyle name="Total 2 3 6 17 2" xfId="28184"/>
    <cellStyle name="Total 2 3 6 17 3" xfId="28185"/>
    <cellStyle name="Total 2 3 6 17 4" xfId="28186"/>
    <cellStyle name="Total 2 3 6 17 5" xfId="28187"/>
    <cellStyle name="Total 2 3 6 18" xfId="28188"/>
    <cellStyle name="Total 2 3 6 18 2" xfId="28189"/>
    <cellStyle name="Total 2 3 6 18 3" xfId="28190"/>
    <cellStyle name="Total 2 3 6 18 4" xfId="28191"/>
    <cellStyle name="Total 2 3 6 18 5" xfId="28192"/>
    <cellStyle name="Total 2 3 6 19" xfId="28193"/>
    <cellStyle name="Total 2 3 6 2" xfId="2821"/>
    <cellStyle name="Total 2 3 6 2 2" xfId="28194"/>
    <cellStyle name="Total 2 3 6 2 2 2" xfId="48868"/>
    <cellStyle name="Total 2 3 6 2 2 3" xfId="56890"/>
    <cellStyle name="Total 2 3 6 2 3" xfId="28195"/>
    <cellStyle name="Total 2 3 6 2 4" xfId="28196"/>
    <cellStyle name="Total 2 3 6 2 5" xfId="28197"/>
    <cellStyle name="Total 2 3 6 2 6" xfId="36295"/>
    <cellStyle name="Total 2 3 6 2 7" xfId="48867"/>
    <cellStyle name="Total 2 3 6 2 8" xfId="56889"/>
    <cellStyle name="Total 2 3 6 20" xfId="920"/>
    <cellStyle name="Total 2 3 6 21" xfId="35000"/>
    <cellStyle name="Total 2 3 6 22" xfId="40709"/>
    <cellStyle name="Total 2 3 6 23" xfId="41219"/>
    <cellStyle name="Total 2 3 6 3" xfId="2822"/>
    <cellStyle name="Total 2 3 6 3 2" xfId="28198"/>
    <cellStyle name="Total 2 3 6 3 3" xfId="28199"/>
    <cellStyle name="Total 2 3 6 3 4" xfId="28200"/>
    <cellStyle name="Total 2 3 6 3 5" xfId="28201"/>
    <cellStyle name="Total 2 3 6 3 6" xfId="36792"/>
    <cellStyle name="Total 2 3 6 3 7" xfId="48869"/>
    <cellStyle name="Total 2 3 6 3 8" xfId="56891"/>
    <cellStyle name="Total 2 3 6 4" xfId="1449"/>
    <cellStyle name="Total 2 3 6 4 2" xfId="28202"/>
    <cellStyle name="Total 2 3 6 4 3" xfId="28203"/>
    <cellStyle name="Total 2 3 6 4 4" xfId="28204"/>
    <cellStyle name="Total 2 3 6 4 5" xfId="28205"/>
    <cellStyle name="Total 2 3 6 4 6" xfId="37408"/>
    <cellStyle name="Total 2 3 6 4 7" xfId="48870"/>
    <cellStyle name="Total 2 3 6 4 8" xfId="56892"/>
    <cellStyle name="Total 2 3 6 5" xfId="3519"/>
    <cellStyle name="Total 2 3 6 5 2" xfId="28206"/>
    <cellStyle name="Total 2 3 6 5 3" xfId="28207"/>
    <cellStyle name="Total 2 3 6 5 4" xfId="28208"/>
    <cellStyle name="Total 2 3 6 5 5" xfId="28209"/>
    <cellStyle name="Total 2 3 6 5 6" xfId="38024"/>
    <cellStyle name="Total 2 3 6 5 7" xfId="48871"/>
    <cellStyle name="Total 2 3 6 5 8" xfId="56893"/>
    <cellStyle name="Total 2 3 6 6" xfId="3837"/>
    <cellStyle name="Total 2 3 6 6 2" xfId="28210"/>
    <cellStyle name="Total 2 3 6 6 3" xfId="28211"/>
    <cellStyle name="Total 2 3 6 6 4" xfId="28212"/>
    <cellStyle name="Total 2 3 6 6 5" xfId="28213"/>
    <cellStyle name="Total 2 3 6 6 6" xfId="38642"/>
    <cellStyle name="Total 2 3 6 6 7" xfId="48872"/>
    <cellStyle name="Total 2 3 6 6 8" xfId="56894"/>
    <cellStyle name="Total 2 3 6 7" xfId="28214"/>
    <cellStyle name="Total 2 3 6 7 2" xfId="28215"/>
    <cellStyle name="Total 2 3 6 7 3" xfId="28216"/>
    <cellStyle name="Total 2 3 6 7 4" xfId="28217"/>
    <cellStyle name="Total 2 3 6 7 5" xfId="28218"/>
    <cellStyle name="Total 2 3 6 7 6" xfId="39262"/>
    <cellStyle name="Total 2 3 6 7 7" xfId="48873"/>
    <cellStyle name="Total 2 3 6 7 8" xfId="56895"/>
    <cellStyle name="Total 2 3 6 8" xfId="28219"/>
    <cellStyle name="Total 2 3 6 8 2" xfId="28220"/>
    <cellStyle name="Total 2 3 6 8 3" xfId="28221"/>
    <cellStyle name="Total 2 3 6 8 4" xfId="28222"/>
    <cellStyle name="Total 2 3 6 8 5" xfId="28223"/>
    <cellStyle name="Total 2 3 6 8 6" xfId="39878"/>
    <cellStyle name="Total 2 3 6 8 7" xfId="48874"/>
    <cellStyle name="Total 2 3 6 8 8" xfId="56896"/>
    <cellStyle name="Total 2 3 6 9" xfId="28224"/>
    <cellStyle name="Total 2 3 6 9 2" xfId="28225"/>
    <cellStyle name="Total 2 3 6 9 3" xfId="28226"/>
    <cellStyle name="Total 2 3 6 9 4" xfId="28227"/>
    <cellStyle name="Total 2 3 6 9 5" xfId="28228"/>
    <cellStyle name="Total 2 3 6 9 6" xfId="40493"/>
    <cellStyle name="Total 2 3 6 9 7" xfId="48875"/>
    <cellStyle name="Total 2 3 6 9 8" xfId="56897"/>
    <cellStyle name="Total 2 3 7" xfId="2823"/>
    <cellStyle name="Total 2 3 7 10" xfId="34809"/>
    <cellStyle name="Total 2 3 7 10 2" xfId="48877"/>
    <cellStyle name="Total 2 3 7 10 3" xfId="56899"/>
    <cellStyle name="Total 2 3 7 11" xfId="41005"/>
    <cellStyle name="Total 2 3 7 12" xfId="48876"/>
    <cellStyle name="Total 2 3 7 13" xfId="56898"/>
    <cellStyle name="Total 2 3 7 2" xfId="2824"/>
    <cellStyle name="Total 2 3 7 2 2" xfId="36082"/>
    <cellStyle name="Total 2 3 7 2 3" xfId="48878"/>
    <cellStyle name="Total 2 3 7 2 4" xfId="56900"/>
    <cellStyle name="Total 2 3 7 3" xfId="2825"/>
    <cellStyle name="Total 2 3 7 3 2" xfId="36581"/>
    <cellStyle name="Total 2 3 7 3 3" xfId="48879"/>
    <cellStyle name="Total 2 3 7 3 4" xfId="56901"/>
    <cellStyle name="Total 2 3 7 4" xfId="28229"/>
    <cellStyle name="Total 2 3 7 4 2" xfId="37197"/>
    <cellStyle name="Total 2 3 7 4 3" xfId="48880"/>
    <cellStyle name="Total 2 3 7 4 4" xfId="56902"/>
    <cellStyle name="Total 2 3 7 5" xfId="28230"/>
    <cellStyle name="Total 2 3 7 5 2" xfId="37813"/>
    <cellStyle name="Total 2 3 7 5 3" xfId="48881"/>
    <cellStyle name="Total 2 3 7 5 4" xfId="56903"/>
    <cellStyle name="Total 2 3 7 6" xfId="38428"/>
    <cellStyle name="Total 2 3 7 6 2" xfId="48882"/>
    <cellStyle name="Total 2 3 7 6 3" xfId="56904"/>
    <cellStyle name="Total 2 3 7 7" xfId="39048"/>
    <cellStyle name="Total 2 3 7 7 2" xfId="48883"/>
    <cellStyle name="Total 2 3 7 7 3" xfId="56905"/>
    <cellStyle name="Total 2 3 7 8" xfId="39664"/>
    <cellStyle name="Total 2 3 7 8 2" xfId="48884"/>
    <cellStyle name="Total 2 3 7 8 3" xfId="56906"/>
    <cellStyle name="Total 2 3 7 9" xfId="40279"/>
    <cellStyle name="Total 2 3 7 9 2" xfId="48885"/>
    <cellStyle name="Total 2 3 7 9 3" xfId="56907"/>
    <cellStyle name="Total 2 3 8" xfId="1432"/>
    <cellStyle name="Total 2 3 8 10" xfId="48886"/>
    <cellStyle name="Total 2 3 8 11" xfId="56908"/>
    <cellStyle name="Total 2 3 8 2" xfId="28231"/>
    <cellStyle name="Total 2 3 8 2 2" xfId="48887"/>
    <cellStyle name="Total 2 3 8 2 3" xfId="56909"/>
    <cellStyle name="Total 2 3 8 3" xfId="28232"/>
    <cellStyle name="Total 2 3 8 3 2" xfId="48888"/>
    <cellStyle name="Total 2 3 8 3 3" xfId="56910"/>
    <cellStyle name="Total 2 3 8 4" xfId="28233"/>
    <cellStyle name="Total 2 3 8 4 2" xfId="48889"/>
    <cellStyle name="Total 2 3 8 4 3" xfId="56911"/>
    <cellStyle name="Total 2 3 8 5" xfId="28234"/>
    <cellStyle name="Total 2 3 8 5 2" xfId="48890"/>
    <cellStyle name="Total 2 3 8 5 3" xfId="56912"/>
    <cellStyle name="Total 2 3 8 6" xfId="35400"/>
    <cellStyle name="Total 2 3 8 6 2" xfId="48891"/>
    <cellStyle name="Total 2 3 8 6 3" xfId="56913"/>
    <cellStyle name="Total 2 3 8 7" xfId="48892"/>
    <cellStyle name="Total 2 3 8 7 2" xfId="56914"/>
    <cellStyle name="Total 2 3 8 8" xfId="48893"/>
    <cellStyle name="Total 2 3 8 8 2" xfId="56915"/>
    <cellStyle name="Total 2 3 8 9" xfId="48894"/>
    <cellStyle name="Total 2 3 8 9 2" xfId="56916"/>
    <cellStyle name="Total 2 3 9" xfId="3502"/>
    <cellStyle name="Total 2 3 9 2" xfId="28235"/>
    <cellStyle name="Total 2 3 9 3" xfId="28236"/>
    <cellStyle name="Total 2 3 9 4" xfId="28237"/>
    <cellStyle name="Total 2 3 9 5" xfId="28238"/>
    <cellStyle name="Total 2 3 9 6" xfId="35931"/>
    <cellStyle name="Total 2 3 9 7" xfId="48895"/>
    <cellStyle name="Total 2 3 9 8" xfId="56917"/>
    <cellStyle name="Total 2 4" xfId="260"/>
    <cellStyle name="Total 2 4 10" xfId="3838"/>
    <cellStyle name="Total 2 4 10 2" xfId="28239"/>
    <cellStyle name="Total 2 4 10 3" xfId="28240"/>
    <cellStyle name="Total 2 4 10 4" xfId="28241"/>
    <cellStyle name="Total 2 4 10 5" xfId="28242"/>
    <cellStyle name="Total 2 4 10 6" xfId="35989"/>
    <cellStyle name="Total 2 4 10 7" xfId="48896"/>
    <cellStyle name="Total 2 4 10 8" xfId="56918"/>
    <cellStyle name="Total 2 4 11" xfId="28243"/>
    <cellStyle name="Total 2 4 11 2" xfId="28244"/>
    <cellStyle name="Total 2 4 11 3" xfId="28245"/>
    <cellStyle name="Total 2 4 11 4" xfId="28246"/>
    <cellStyle name="Total 2 4 11 5" xfId="28247"/>
    <cellStyle name="Total 2 4 11 6" xfId="36978"/>
    <cellStyle name="Total 2 4 11 7" xfId="48897"/>
    <cellStyle name="Total 2 4 11 8" xfId="56919"/>
    <cellStyle name="Total 2 4 12" xfId="28248"/>
    <cellStyle name="Total 2 4 12 2" xfId="28249"/>
    <cellStyle name="Total 2 4 12 3" xfId="28250"/>
    <cellStyle name="Total 2 4 12 4" xfId="28251"/>
    <cellStyle name="Total 2 4 12 5" xfId="28252"/>
    <cellStyle name="Total 2 4 12 6" xfId="35844"/>
    <cellStyle name="Total 2 4 12 7" xfId="48898"/>
    <cellStyle name="Total 2 4 12 8" xfId="56920"/>
    <cellStyle name="Total 2 4 13" xfId="28253"/>
    <cellStyle name="Total 2 4 13 2" xfId="28254"/>
    <cellStyle name="Total 2 4 13 3" xfId="28255"/>
    <cellStyle name="Total 2 4 13 4" xfId="28256"/>
    <cellStyle name="Total 2 4 13 5" xfId="28257"/>
    <cellStyle name="Total 2 4 13 6" xfId="35895"/>
    <cellStyle name="Total 2 4 13 7" xfId="48899"/>
    <cellStyle name="Total 2 4 13 8" xfId="56921"/>
    <cellStyle name="Total 2 4 14" xfId="28258"/>
    <cellStyle name="Total 2 4 14 2" xfId="28259"/>
    <cellStyle name="Total 2 4 14 3" xfId="28260"/>
    <cellStyle name="Total 2 4 14 4" xfId="28261"/>
    <cellStyle name="Total 2 4 14 5" xfId="28262"/>
    <cellStyle name="Total 2 4 14 6" xfId="38829"/>
    <cellStyle name="Total 2 4 14 7" xfId="48900"/>
    <cellStyle name="Total 2 4 14 8" xfId="56922"/>
    <cellStyle name="Total 2 4 15" xfId="28263"/>
    <cellStyle name="Total 2 4 15 2" xfId="28264"/>
    <cellStyle name="Total 2 4 15 3" xfId="28265"/>
    <cellStyle name="Total 2 4 15 4" xfId="28266"/>
    <cellStyle name="Total 2 4 15 5" xfId="28267"/>
    <cellStyle name="Total 2 4 15 6" xfId="39449"/>
    <cellStyle name="Total 2 4 15 7" xfId="48901"/>
    <cellStyle name="Total 2 4 15 8" xfId="56923"/>
    <cellStyle name="Total 2 4 16" xfId="28268"/>
    <cellStyle name="Total 2 4 16 2" xfId="28269"/>
    <cellStyle name="Total 2 4 16 3" xfId="28270"/>
    <cellStyle name="Total 2 4 16 4" xfId="28271"/>
    <cellStyle name="Total 2 4 16 5" xfId="28272"/>
    <cellStyle name="Total 2 4 16 6" xfId="40067"/>
    <cellStyle name="Total 2 4 16 7" xfId="48902"/>
    <cellStyle name="Total 2 4 16 8" xfId="56924"/>
    <cellStyle name="Total 2 4 17" xfId="28273"/>
    <cellStyle name="Total 2 4 17 2" xfId="28274"/>
    <cellStyle name="Total 2 4 17 3" xfId="28275"/>
    <cellStyle name="Total 2 4 17 4" xfId="28276"/>
    <cellStyle name="Total 2 4 17 5" xfId="28277"/>
    <cellStyle name="Total 2 4 17 6" xfId="48903"/>
    <cellStyle name="Total 2 4 17 7" xfId="56925"/>
    <cellStyle name="Total 2 4 18" xfId="28278"/>
    <cellStyle name="Total 2 4 18 2" xfId="28279"/>
    <cellStyle name="Total 2 4 18 3" xfId="28280"/>
    <cellStyle name="Total 2 4 18 4" xfId="28281"/>
    <cellStyle name="Total 2 4 18 5" xfId="28282"/>
    <cellStyle name="Total 2 4 19" xfId="28283"/>
    <cellStyle name="Total 2 4 19 2" xfId="28284"/>
    <cellStyle name="Total 2 4 19 3" xfId="28285"/>
    <cellStyle name="Total 2 4 19 4" xfId="28286"/>
    <cellStyle name="Total 2 4 19 5" xfId="28287"/>
    <cellStyle name="Total 2 4 2" xfId="305"/>
    <cellStyle name="Total 2 4 2 10" xfId="28288"/>
    <cellStyle name="Total 2 4 2 10 2" xfId="28289"/>
    <cellStyle name="Total 2 4 2 10 3" xfId="28290"/>
    <cellStyle name="Total 2 4 2 10 4" xfId="28291"/>
    <cellStyle name="Total 2 4 2 10 5" xfId="28292"/>
    <cellStyle name="Total 2 4 2 10 6" xfId="37633"/>
    <cellStyle name="Total 2 4 2 10 7" xfId="48904"/>
    <cellStyle name="Total 2 4 2 10 8" xfId="56926"/>
    <cellStyle name="Total 2 4 2 11" xfId="28293"/>
    <cellStyle name="Total 2 4 2 11 2" xfId="28294"/>
    <cellStyle name="Total 2 4 2 11 3" xfId="28295"/>
    <cellStyle name="Total 2 4 2 11 4" xfId="28296"/>
    <cellStyle name="Total 2 4 2 11 5" xfId="28297"/>
    <cellStyle name="Total 2 4 2 11 6" xfId="38250"/>
    <cellStyle name="Total 2 4 2 11 7" xfId="48905"/>
    <cellStyle name="Total 2 4 2 11 8" xfId="56927"/>
    <cellStyle name="Total 2 4 2 12" xfId="28298"/>
    <cellStyle name="Total 2 4 2 12 2" xfId="28299"/>
    <cellStyle name="Total 2 4 2 12 3" xfId="28300"/>
    <cellStyle name="Total 2 4 2 12 4" xfId="28301"/>
    <cellStyle name="Total 2 4 2 12 5" xfId="28302"/>
    <cellStyle name="Total 2 4 2 12 6" xfId="38872"/>
    <cellStyle name="Total 2 4 2 12 7" xfId="48906"/>
    <cellStyle name="Total 2 4 2 12 8" xfId="56928"/>
    <cellStyle name="Total 2 4 2 13" xfId="28303"/>
    <cellStyle name="Total 2 4 2 13 2" xfId="28304"/>
    <cellStyle name="Total 2 4 2 13 3" xfId="28305"/>
    <cellStyle name="Total 2 4 2 13 4" xfId="28306"/>
    <cellStyle name="Total 2 4 2 13 5" xfId="28307"/>
    <cellStyle name="Total 2 4 2 13 6" xfId="39492"/>
    <cellStyle name="Total 2 4 2 13 7" xfId="48907"/>
    <cellStyle name="Total 2 4 2 13 8" xfId="56929"/>
    <cellStyle name="Total 2 4 2 14" xfId="28308"/>
    <cellStyle name="Total 2 4 2 14 2" xfId="28309"/>
    <cellStyle name="Total 2 4 2 14 3" xfId="28310"/>
    <cellStyle name="Total 2 4 2 14 4" xfId="28311"/>
    <cellStyle name="Total 2 4 2 14 5" xfId="28312"/>
    <cellStyle name="Total 2 4 2 14 6" xfId="40110"/>
    <cellStyle name="Total 2 4 2 14 7" xfId="48908"/>
    <cellStyle name="Total 2 4 2 14 8" xfId="56930"/>
    <cellStyle name="Total 2 4 2 15" xfId="28313"/>
    <cellStyle name="Total 2 4 2 15 2" xfId="28314"/>
    <cellStyle name="Total 2 4 2 15 3" xfId="28315"/>
    <cellStyle name="Total 2 4 2 15 4" xfId="28316"/>
    <cellStyle name="Total 2 4 2 15 5" xfId="28317"/>
    <cellStyle name="Total 2 4 2 15 6" xfId="48909"/>
    <cellStyle name="Total 2 4 2 15 7" xfId="56931"/>
    <cellStyle name="Total 2 4 2 16" xfId="28318"/>
    <cellStyle name="Total 2 4 2 16 2" xfId="28319"/>
    <cellStyle name="Total 2 4 2 16 3" xfId="28320"/>
    <cellStyle name="Total 2 4 2 16 4" xfId="28321"/>
    <cellStyle name="Total 2 4 2 16 5" xfId="28322"/>
    <cellStyle name="Total 2 4 2 17" xfId="28323"/>
    <cellStyle name="Total 2 4 2 17 2" xfId="28324"/>
    <cellStyle name="Total 2 4 2 17 3" xfId="28325"/>
    <cellStyle name="Total 2 4 2 17 4" xfId="28326"/>
    <cellStyle name="Total 2 4 2 17 5" xfId="28327"/>
    <cellStyle name="Total 2 4 2 18" xfId="28328"/>
    <cellStyle name="Total 2 4 2 19" xfId="750"/>
    <cellStyle name="Total 2 4 2 2" xfId="435"/>
    <cellStyle name="Total 2 4 2 2 10" xfId="28329"/>
    <cellStyle name="Total 2 4 2 2 10 2" xfId="28330"/>
    <cellStyle name="Total 2 4 2 2 10 3" xfId="28331"/>
    <cellStyle name="Total 2 4 2 2 10 4" xfId="28332"/>
    <cellStyle name="Total 2 4 2 2 10 5" xfId="28333"/>
    <cellStyle name="Total 2 4 2 2 10 6" xfId="39609"/>
    <cellStyle name="Total 2 4 2 2 10 7" xfId="48910"/>
    <cellStyle name="Total 2 4 2 2 10 8" xfId="56932"/>
    <cellStyle name="Total 2 4 2 2 11" xfId="28334"/>
    <cellStyle name="Total 2 4 2 2 11 2" xfId="28335"/>
    <cellStyle name="Total 2 4 2 2 11 3" xfId="28336"/>
    <cellStyle name="Total 2 4 2 2 11 4" xfId="28337"/>
    <cellStyle name="Total 2 4 2 2 11 5" xfId="28338"/>
    <cellStyle name="Total 2 4 2 2 11 6" xfId="40224"/>
    <cellStyle name="Total 2 4 2 2 11 7" xfId="48911"/>
    <cellStyle name="Total 2 4 2 2 11 8" xfId="56933"/>
    <cellStyle name="Total 2 4 2 2 12" xfId="28339"/>
    <cellStyle name="Total 2 4 2 2 12 2" xfId="28340"/>
    <cellStyle name="Total 2 4 2 2 12 3" xfId="28341"/>
    <cellStyle name="Total 2 4 2 2 12 4" xfId="28342"/>
    <cellStyle name="Total 2 4 2 2 12 5" xfId="28343"/>
    <cellStyle name="Total 2 4 2 2 12 6" xfId="48912"/>
    <cellStyle name="Total 2 4 2 2 12 7" xfId="56934"/>
    <cellStyle name="Total 2 4 2 2 13" xfId="28344"/>
    <cellStyle name="Total 2 4 2 2 13 2" xfId="28345"/>
    <cellStyle name="Total 2 4 2 2 13 3" xfId="28346"/>
    <cellStyle name="Total 2 4 2 2 13 4" xfId="28347"/>
    <cellStyle name="Total 2 4 2 2 13 5" xfId="28348"/>
    <cellStyle name="Total 2 4 2 2 13 6" xfId="48913"/>
    <cellStyle name="Total 2 4 2 2 13 7" xfId="56935"/>
    <cellStyle name="Total 2 4 2 2 14" xfId="28349"/>
    <cellStyle name="Total 2 4 2 2 14 2" xfId="28350"/>
    <cellStyle name="Total 2 4 2 2 14 3" xfId="28351"/>
    <cellStyle name="Total 2 4 2 2 14 4" xfId="28352"/>
    <cellStyle name="Total 2 4 2 2 14 5" xfId="28353"/>
    <cellStyle name="Total 2 4 2 2 15" xfId="28354"/>
    <cellStyle name="Total 2 4 2 2 15 2" xfId="28355"/>
    <cellStyle name="Total 2 4 2 2 15 3" xfId="28356"/>
    <cellStyle name="Total 2 4 2 2 15 4" xfId="28357"/>
    <cellStyle name="Total 2 4 2 2 15 5" xfId="28358"/>
    <cellStyle name="Total 2 4 2 2 16" xfId="28359"/>
    <cellStyle name="Total 2 4 2 2 16 2" xfId="28360"/>
    <cellStyle name="Total 2 4 2 2 16 3" xfId="28361"/>
    <cellStyle name="Total 2 4 2 2 16 4" xfId="28362"/>
    <cellStyle name="Total 2 4 2 2 16 5" xfId="28363"/>
    <cellStyle name="Total 2 4 2 2 17" xfId="28364"/>
    <cellStyle name="Total 2 4 2 2 17 2" xfId="28365"/>
    <cellStyle name="Total 2 4 2 2 17 3" xfId="28366"/>
    <cellStyle name="Total 2 4 2 2 17 4" xfId="28367"/>
    <cellStyle name="Total 2 4 2 2 17 5" xfId="28368"/>
    <cellStyle name="Total 2 4 2 2 18" xfId="28369"/>
    <cellStyle name="Total 2 4 2 2 18 2" xfId="28370"/>
    <cellStyle name="Total 2 4 2 2 18 3" xfId="28371"/>
    <cellStyle name="Total 2 4 2 2 18 4" xfId="28372"/>
    <cellStyle name="Total 2 4 2 2 18 5" xfId="28373"/>
    <cellStyle name="Total 2 4 2 2 19" xfId="28374"/>
    <cellStyle name="Total 2 4 2 2 2" xfId="650"/>
    <cellStyle name="Total 2 4 2 2 2 10" xfId="28375"/>
    <cellStyle name="Total 2 4 2 2 2 10 2" xfId="28376"/>
    <cellStyle name="Total 2 4 2 2 2 10 3" xfId="28377"/>
    <cellStyle name="Total 2 4 2 2 2 10 4" xfId="28378"/>
    <cellStyle name="Total 2 4 2 2 2 10 5" xfId="28379"/>
    <cellStyle name="Total 2 4 2 2 2 10 6" xfId="48914"/>
    <cellStyle name="Total 2 4 2 2 2 10 7" xfId="56936"/>
    <cellStyle name="Total 2 4 2 2 2 11" xfId="28380"/>
    <cellStyle name="Total 2 4 2 2 2 11 2" xfId="28381"/>
    <cellStyle name="Total 2 4 2 2 2 11 3" xfId="28382"/>
    <cellStyle name="Total 2 4 2 2 2 11 4" xfId="28383"/>
    <cellStyle name="Total 2 4 2 2 2 11 5" xfId="28384"/>
    <cellStyle name="Total 2 4 2 2 2 12" xfId="28385"/>
    <cellStyle name="Total 2 4 2 2 2 12 2" xfId="28386"/>
    <cellStyle name="Total 2 4 2 2 2 12 3" xfId="28387"/>
    <cellStyle name="Total 2 4 2 2 2 12 4" xfId="28388"/>
    <cellStyle name="Total 2 4 2 2 2 12 5" xfId="28389"/>
    <cellStyle name="Total 2 4 2 2 2 13" xfId="28390"/>
    <cellStyle name="Total 2 4 2 2 2 13 2" xfId="28391"/>
    <cellStyle name="Total 2 4 2 2 2 13 3" xfId="28392"/>
    <cellStyle name="Total 2 4 2 2 2 13 4" xfId="28393"/>
    <cellStyle name="Total 2 4 2 2 2 13 5" xfId="28394"/>
    <cellStyle name="Total 2 4 2 2 2 14" xfId="28395"/>
    <cellStyle name="Total 2 4 2 2 2 14 2" xfId="28396"/>
    <cellStyle name="Total 2 4 2 2 2 14 3" xfId="28397"/>
    <cellStyle name="Total 2 4 2 2 2 14 4" xfId="28398"/>
    <cellStyle name="Total 2 4 2 2 2 14 5" xfId="28399"/>
    <cellStyle name="Total 2 4 2 2 2 15" xfId="28400"/>
    <cellStyle name="Total 2 4 2 2 2 15 2" xfId="28401"/>
    <cellStyle name="Total 2 4 2 2 2 15 3" xfId="28402"/>
    <cellStyle name="Total 2 4 2 2 2 15 4" xfId="28403"/>
    <cellStyle name="Total 2 4 2 2 2 15 5" xfId="28404"/>
    <cellStyle name="Total 2 4 2 2 2 16" xfId="28405"/>
    <cellStyle name="Total 2 4 2 2 2 16 2" xfId="28406"/>
    <cellStyle name="Total 2 4 2 2 2 16 3" xfId="28407"/>
    <cellStyle name="Total 2 4 2 2 2 16 4" xfId="28408"/>
    <cellStyle name="Total 2 4 2 2 2 16 5" xfId="28409"/>
    <cellStyle name="Total 2 4 2 2 2 17" xfId="28410"/>
    <cellStyle name="Total 2 4 2 2 2 17 2" xfId="28411"/>
    <cellStyle name="Total 2 4 2 2 2 17 3" xfId="28412"/>
    <cellStyle name="Total 2 4 2 2 2 17 4" xfId="28413"/>
    <cellStyle name="Total 2 4 2 2 2 17 5" xfId="28414"/>
    <cellStyle name="Total 2 4 2 2 2 18" xfId="28415"/>
    <cellStyle name="Total 2 4 2 2 2 18 2" xfId="28416"/>
    <cellStyle name="Total 2 4 2 2 2 18 3" xfId="28417"/>
    <cellStyle name="Total 2 4 2 2 2 18 4" xfId="28418"/>
    <cellStyle name="Total 2 4 2 2 2 18 5" xfId="28419"/>
    <cellStyle name="Total 2 4 2 2 2 19" xfId="28420"/>
    <cellStyle name="Total 2 4 2 2 2 2" xfId="2826"/>
    <cellStyle name="Total 2 4 2 2 2 2 2" xfId="28421"/>
    <cellStyle name="Total 2 4 2 2 2 2 2 2" xfId="48916"/>
    <cellStyle name="Total 2 4 2 2 2 2 2 3" xfId="56938"/>
    <cellStyle name="Total 2 4 2 2 2 2 3" xfId="28422"/>
    <cellStyle name="Total 2 4 2 2 2 2 4" xfId="28423"/>
    <cellStyle name="Total 2 4 2 2 2 2 5" xfId="28424"/>
    <cellStyle name="Total 2 4 2 2 2 2 6" xfId="36453"/>
    <cellStyle name="Total 2 4 2 2 2 2 7" xfId="48915"/>
    <cellStyle name="Total 2 4 2 2 2 2 8" xfId="56937"/>
    <cellStyle name="Total 2 4 2 2 2 20" xfId="1078"/>
    <cellStyle name="Total 2 4 2 2 2 21" xfId="35158"/>
    <cellStyle name="Total 2 4 2 2 2 22" xfId="41378"/>
    <cellStyle name="Total 2 4 2 2 2 3" xfId="2827"/>
    <cellStyle name="Total 2 4 2 2 2 3 2" xfId="28425"/>
    <cellStyle name="Total 2 4 2 2 2 3 3" xfId="28426"/>
    <cellStyle name="Total 2 4 2 2 2 3 4" xfId="28427"/>
    <cellStyle name="Total 2 4 2 2 2 3 5" xfId="28428"/>
    <cellStyle name="Total 2 4 2 2 2 3 6" xfId="36950"/>
    <cellStyle name="Total 2 4 2 2 2 3 7" xfId="48917"/>
    <cellStyle name="Total 2 4 2 2 2 3 8" xfId="56939"/>
    <cellStyle name="Total 2 4 2 2 2 4" xfId="1453"/>
    <cellStyle name="Total 2 4 2 2 2 4 2" xfId="28429"/>
    <cellStyle name="Total 2 4 2 2 2 4 3" xfId="28430"/>
    <cellStyle name="Total 2 4 2 2 2 4 4" xfId="28431"/>
    <cellStyle name="Total 2 4 2 2 2 4 5" xfId="28432"/>
    <cellStyle name="Total 2 4 2 2 2 4 6" xfId="37566"/>
    <cellStyle name="Total 2 4 2 2 2 4 7" xfId="48918"/>
    <cellStyle name="Total 2 4 2 2 2 4 8" xfId="56940"/>
    <cellStyle name="Total 2 4 2 2 2 5" xfId="3523"/>
    <cellStyle name="Total 2 4 2 2 2 5 2" xfId="28433"/>
    <cellStyle name="Total 2 4 2 2 2 5 3" xfId="28434"/>
    <cellStyle name="Total 2 4 2 2 2 5 4" xfId="28435"/>
    <cellStyle name="Total 2 4 2 2 2 5 5" xfId="28436"/>
    <cellStyle name="Total 2 4 2 2 2 5 6" xfId="38183"/>
    <cellStyle name="Total 2 4 2 2 2 5 7" xfId="48919"/>
    <cellStyle name="Total 2 4 2 2 2 5 8" xfId="56941"/>
    <cellStyle name="Total 2 4 2 2 2 6" xfId="3841"/>
    <cellStyle name="Total 2 4 2 2 2 6 2" xfId="28437"/>
    <cellStyle name="Total 2 4 2 2 2 6 3" xfId="28438"/>
    <cellStyle name="Total 2 4 2 2 2 6 4" xfId="28439"/>
    <cellStyle name="Total 2 4 2 2 2 6 5" xfId="28440"/>
    <cellStyle name="Total 2 4 2 2 2 6 6" xfId="38801"/>
    <cellStyle name="Total 2 4 2 2 2 6 7" xfId="48920"/>
    <cellStyle name="Total 2 4 2 2 2 6 8" xfId="56942"/>
    <cellStyle name="Total 2 4 2 2 2 7" xfId="28441"/>
    <cellStyle name="Total 2 4 2 2 2 7 2" xfId="28442"/>
    <cellStyle name="Total 2 4 2 2 2 7 3" xfId="28443"/>
    <cellStyle name="Total 2 4 2 2 2 7 4" xfId="28444"/>
    <cellStyle name="Total 2 4 2 2 2 7 5" xfId="28445"/>
    <cellStyle name="Total 2 4 2 2 2 7 6" xfId="39421"/>
    <cellStyle name="Total 2 4 2 2 2 7 7" xfId="48921"/>
    <cellStyle name="Total 2 4 2 2 2 7 8" xfId="56943"/>
    <cellStyle name="Total 2 4 2 2 2 8" xfId="28446"/>
    <cellStyle name="Total 2 4 2 2 2 8 2" xfId="28447"/>
    <cellStyle name="Total 2 4 2 2 2 8 3" xfId="28448"/>
    <cellStyle name="Total 2 4 2 2 2 8 4" xfId="28449"/>
    <cellStyle name="Total 2 4 2 2 2 8 5" xfId="28450"/>
    <cellStyle name="Total 2 4 2 2 2 8 6" xfId="40037"/>
    <cellStyle name="Total 2 4 2 2 2 8 7" xfId="48922"/>
    <cellStyle name="Total 2 4 2 2 2 8 8" xfId="56944"/>
    <cellStyle name="Total 2 4 2 2 2 9" xfId="28451"/>
    <cellStyle name="Total 2 4 2 2 2 9 2" xfId="28452"/>
    <cellStyle name="Total 2 4 2 2 2 9 3" xfId="28453"/>
    <cellStyle name="Total 2 4 2 2 2 9 4" xfId="28454"/>
    <cellStyle name="Total 2 4 2 2 2 9 5" xfId="28455"/>
    <cellStyle name="Total 2 4 2 2 2 9 6" xfId="40652"/>
    <cellStyle name="Total 2 4 2 2 2 9 7" xfId="48923"/>
    <cellStyle name="Total 2 4 2 2 2 9 8" xfId="56945"/>
    <cellStyle name="Total 2 4 2 2 20" xfId="866"/>
    <cellStyle name="Total 2 4 2 2 21" xfId="34670"/>
    <cellStyle name="Total 2 4 2 2 22" xfId="40950"/>
    <cellStyle name="Total 2 4 2 2 23" xfId="41511"/>
    <cellStyle name="Total 2 4 2 2 24" xfId="50598"/>
    <cellStyle name="Total 2 4 2 2 3" xfId="2828"/>
    <cellStyle name="Total 2 4 2 2 3 10" xfId="34583"/>
    <cellStyle name="Total 2 4 2 2 3 10 2" xfId="48925"/>
    <cellStyle name="Total 2 4 2 2 3 10 3" xfId="56947"/>
    <cellStyle name="Total 2 4 2 2 3 11" xfId="41165"/>
    <cellStyle name="Total 2 4 2 2 3 12" xfId="48924"/>
    <cellStyle name="Total 2 4 2 2 3 13" xfId="56946"/>
    <cellStyle name="Total 2 4 2 2 3 2" xfId="2829"/>
    <cellStyle name="Total 2 4 2 2 3 2 2" xfId="36242"/>
    <cellStyle name="Total 2 4 2 2 3 2 3" xfId="48926"/>
    <cellStyle name="Total 2 4 2 2 3 2 4" xfId="56948"/>
    <cellStyle name="Total 2 4 2 2 3 3" xfId="2830"/>
    <cellStyle name="Total 2 4 2 2 3 3 2" xfId="36739"/>
    <cellStyle name="Total 2 4 2 2 3 3 3" xfId="48927"/>
    <cellStyle name="Total 2 4 2 2 3 3 4" xfId="56949"/>
    <cellStyle name="Total 2 4 2 2 3 4" xfId="28456"/>
    <cellStyle name="Total 2 4 2 2 3 4 2" xfId="37355"/>
    <cellStyle name="Total 2 4 2 2 3 4 3" xfId="48928"/>
    <cellStyle name="Total 2 4 2 2 3 4 4" xfId="56950"/>
    <cellStyle name="Total 2 4 2 2 3 5" xfId="28457"/>
    <cellStyle name="Total 2 4 2 2 3 5 2" xfId="37971"/>
    <cellStyle name="Total 2 4 2 2 3 5 3" xfId="48929"/>
    <cellStyle name="Total 2 4 2 2 3 5 4" xfId="56951"/>
    <cellStyle name="Total 2 4 2 2 3 6" xfId="38588"/>
    <cellStyle name="Total 2 4 2 2 3 6 2" xfId="48930"/>
    <cellStyle name="Total 2 4 2 2 3 6 3" xfId="56952"/>
    <cellStyle name="Total 2 4 2 2 3 7" xfId="39208"/>
    <cellStyle name="Total 2 4 2 2 3 7 2" xfId="48931"/>
    <cellStyle name="Total 2 4 2 2 3 7 3" xfId="56953"/>
    <cellStyle name="Total 2 4 2 2 3 8" xfId="39824"/>
    <cellStyle name="Total 2 4 2 2 3 8 2" xfId="48932"/>
    <cellStyle name="Total 2 4 2 2 3 8 3" xfId="56954"/>
    <cellStyle name="Total 2 4 2 2 3 9" xfId="40439"/>
    <cellStyle name="Total 2 4 2 2 3 9 2" xfId="48933"/>
    <cellStyle name="Total 2 4 2 2 3 9 3" xfId="56955"/>
    <cellStyle name="Total 2 4 2 2 4" xfId="2831"/>
    <cellStyle name="Total 2 4 2 2 4 10" xfId="48934"/>
    <cellStyle name="Total 2 4 2 2 4 11" xfId="56956"/>
    <cellStyle name="Total 2 4 2 2 4 2" xfId="28458"/>
    <cellStyle name="Total 2 4 2 2 4 2 2" xfId="48935"/>
    <cellStyle name="Total 2 4 2 2 4 2 3" xfId="56957"/>
    <cellStyle name="Total 2 4 2 2 4 3" xfId="28459"/>
    <cellStyle name="Total 2 4 2 2 4 3 2" xfId="48936"/>
    <cellStyle name="Total 2 4 2 2 4 3 3" xfId="56958"/>
    <cellStyle name="Total 2 4 2 2 4 4" xfId="28460"/>
    <cellStyle name="Total 2 4 2 2 4 4 2" xfId="48937"/>
    <cellStyle name="Total 2 4 2 2 4 4 3" xfId="56959"/>
    <cellStyle name="Total 2 4 2 2 4 5" xfId="28461"/>
    <cellStyle name="Total 2 4 2 2 4 5 2" xfId="48938"/>
    <cellStyle name="Total 2 4 2 2 4 5 3" xfId="56960"/>
    <cellStyle name="Total 2 4 2 2 4 6" xfId="35713"/>
    <cellStyle name="Total 2 4 2 2 4 6 2" xfId="48939"/>
    <cellStyle name="Total 2 4 2 2 4 6 3" xfId="56961"/>
    <cellStyle name="Total 2 4 2 2 4 7" xfId="48940"/>
    <cellStyle name="Total 2 4 2 2 4 7 2" xfId="56962"/>
    <cellStyle name="Total 2 4 2 2 4 8" xfId="48941"/>
    <cellStyle name="Total 2 4 2 2 4 8 2" xfId="56963"/>
    <cellStyle name="Total 2 4 2 2 4 9" xfId="48942"/>
    <cellStyle name="Total 2 4 2 2 4 9 2" xfId="56964"/>
    <cellStyle name="Total 2 4 2 2 5" xfId="1452"/>
    <cellStyle name="Total 2 4 2 2 5 2" xfId="28462"/>
    <cellStyle name="Total 2 4 2 2 5 3" xfId="28463"/>
    <cellStyle name="Total 2 4 2 2 5 4" xfId="28464"/>
    <cellStyle name="Total 2 4 2 2 5 5" xfId="28465"/>
    <cellStyle name="Total 2 4 2 2 5 6" xfId="36527"/>
    <cellStyle name="Total 2 4 2 2 5 7" xfId="48943"/>
    <cellStyle name="Total 2 4 2 2 5 8" xfId="56965"/>
    <cellStyle name="Total 2 4 2 2 6" xfId="3522"/>
    <cellStyle name="Total 2 4 2 2 6 2" xfId="28466"/>
    <cellStyle name="Total 2 4 2 2 6 3" xfId="28467"/>
    <cellStyle name="Total 2 4 2 2 6 4" xfId="28468"/>
    <cellStyle name="Total 2 4 2 2 6 5" xfId="28469"/>
    <cellStyle name="Total 2 4 2 2 6 6" xfId="37143"/>
    <cellStyle name="Total 2 4 2 2 6 7" xfId="48944"/>
    <cellStyle name="Total 2 4 2 2 6 8" xfId="56966"/>
    <cellStyle name="Total 2 4 2 2 7" xfId="3840"/>
    <cellStyle name="Total 2 4 2 2 7 2" xfId="28470"/>
    <cellStyle name="Total 2 4 2 2 7 3" xfId="28471"/>
    <cellStyle name="Total 2 4 2 2 7 4" xfId="28472"/>
    <cellStyle name="Total 2 4 2 2 7 5" xfId="28473"/>
    <cellStyle name="Total 2 4 2 2 7 6" xfId="37757"/>
    <cellStyle name="Total 2 4 2 2 7 7" xfId="48945"/>
    <cellStyle name="Total 2 4 2 2 7 8" xfId="56967"/>
    <cellStyle name="Total 2 4 2 2 8" xfId="28474"/>
    <cellStyle name="Total 2 4 2 2 8 2" xfId="28475"/>
    <cellStyle name="Total 2 4 2 2 8 3" xfId="28476"/>
    <cellStyle name="Total 2 4 2 2 8 4" xfId="28477"/>
    <cellStyle name="Total 2 4 2 2 8 5" xfId="28478"/>
    <cellStyle name="Total 2 4 2 2 8 6" xfId="38373"/>
    <cellStyle name="Total 2 4 2 2 8 7" xfId="48946"/>
    <cellStyle name="Total 2 4 2 2 8 8" xfId="56968"/>
    <cellStyle name="Total 2 4 2 2 9" xfId="28479"/>
    <cellStyle name="Total 2 4 2 2 9 2" xfId="28480"/>
    <cellStyle name="Total 2 4 2 2 9 3" xfId="28481"/>
    <cellStyle name="Total 2 4 2 2 9 4" xfId="28482"/>
    <cellStyle name="Total 2 4 2 2 9 5" xfId="28483"/>
    <cellStyle name="Total 2 4 2 2 9 6" xfId="38993"/>
    <cellStyle name="Total 2 4 2 2 9 7" xfId="48947"/>
    <cellStyle name="Total 2 4 2 2 9 8" xfId="56969"/>
    <cellStyle name="Total 2 4 2 20" xfId="34832"/>
    <cellStyle name="Total 2 4 2 21" xfId="40834"/>
    <cellStyle name="Total 2 4 2 3" xfId="436"/>
    <cellStyle name="Total 2 4 2 3 10" xfId="28484"/>
    <cellStyle name="Total 2 4 2 3 10 2" xfId="28485"/>
    <cellStyle name="Total 2 4 2 3 10 3" xfId="28486"/>
    <cellStyle name="Total 2 4 2 3 10 4" xfId="28487"/>
    <cellStyle name="Total 2 4 2 3 10 5" xfId="28488"/>
    <cellStyle name="Total 2 4 2 3 10 6" xfId="40225"/>
    <cellStyle name="Total 2 4 2 3 10 7" xfId="48948"/>
    <cellStyle name="Total 2 4 2 3 10 8" xfId="56970"/>
    <cellStyle name="Total 2 4 2 3 11" xfId="28489"/>
    <cellStyle name="Total 2 4 2 3 11 2" xfId="28490"/>
    <cellStyle name="Total 2 4 2 3 11 3" xfId="28491"/>
    <cellStyle name="Total 2 4 2 3 11 4" xfId="28492"/>
    <cellStyle name="Total 2 4 2 3 11 5" xfId="28493"/>
    <cellStyle name="Total 2 4 2 3 11 6" xfId="48949"/>
    <cellStyle name="Total 2 4 2 3 11 7" xfId="56971"/>
    <cellStyle name="Total 2 4 2 3 12" xfId="28494"/>
    <cellStyle name="Total 2 4 2 3 12 2" xfId="28495"/>
    <cellStyle name="Total 2 4 2 3 12 3" xfId="28496"/>
    <cellStyle name="Total 2 4 2 3 12 4" xfId="28497"/>
    <cellStyle name="Total 2 4 2 3 12 5" xfId="28498"/>
    <cellStyle name="Total 2 4 2 3 12 6" xfId="48950"/>
    <cellStyle name="Total 2 4 2 3 12 7" xfId="56972"/>
    <cellStyle name="Total 2 4 2 3 13" xfId="28499"/>
    <cellStyle name="Total 2 4 2 3 13 2" xfId="28500"/>
    <cellStyle name="Total 2 4 2 3 13 3" xfId="28501"/>
    <cellStyle name="Total 2 4 2 3 13 4" xfId="28502"/>
    <cellStyle name="Total 2 4 2 3 13 5" xfId="28503"/>
    <cellStyle name="Total 2 4 2 3 13 6" xfId="48951"/>
    <cellStyle name="Total 2 4 2 3 13 7" xfId="56973"/>
    <cellStyle name="Total 2 4 2 3 14" xfId="28504"/>
    <cellStyle name="Total 2 4 2 3 14 2" xfId="28505"/>
    <cellStyle name="Total 2 4 2 3 14 3" xfId="28506"/>
    <cellStyle name="Total 2 4 2 3 14 4" xfId="28507"/>
    <cellStyle name="Total 2 4 2 3 14 5" xfId="28508"/>
    <cellStyle name="Total 2 4 2 3 15" xfId="28509"/>
    <cellStyle name="Total 2 4 2 3 15 2" xfId="28510"/>
    <cellStyle name="Total 2 4 2 3 15 3" xfId="28511"/>
    <cellStyle name="Total 2 4 2 3 15 4" xfId="28512"/>
    <cellStyle name="Total 2 4 2 3 15 5" xfId="28513"/>
    <cellStyle name="Total 2 4 2 3 16" xfId="28514"/>
    <cellStyle name="Total 2 4 2 3 16 2" xfId="28515"/>
    <cellStyle name="Total 2 4 2 3 16 3" xfId="28516"/>
    <cellStyle name="Total 2 4 2 3 16 4" xfId="28517"/>
    <cellStyle name="Total 2 4 2 3 16 5" xfId="28518"/>
    <cellStyle name="Total 2 4 2 3 17" xfId="28519"/>
    <cellStyle name="Total 2 4 2 3 17 2" xfId="28520"/>
    <cellStyle name="Total 2 4 2 3 17 3" xfId="28521"/>
    <cellStyle name="Total 2 4 2 3 17 4" xfId="28522"/>
    <cellStyle name="Total 2 4 2 3 17 5" xfId="28523"/>
    <cellStyle name="Total 2 4 2 3 18" xfId="28524"/>
    <cellStyle name="Total 2 4 2 3 18 2" xfId="28525"/>
    <cellStyle name="Total 2 4 2 3 18 3" xfId="28526"/>
    <cellStyle name="Total 2 4 2 3 18 4" xfId="28527"/>
    <cellStyle name="Total 2 4 2 3 18 5" xfId="28528"/>
    <cellStyle name="Total 2 4 2 3 19" xfId="28529"/>
    <cellStyle name="Total 2 4 2 3 2" xfId="651"/>
    <cellStyle name="Total 2 4 2 3 2 10" xfId="28530"/>
    <cellStyle name="Total 2 4 2 3 2 10 2" xfId="28531"/>
    <cellStyle name="Total 2 4 2 3 2 10 3" xfId="28532"/>
    <cellStyle name="Total 2 4 2 3 2 10 4" xfId="28533"/>
    <cellStyle name="Total 2 4 2 3 2 10 5" xfId="28534"/>
    <cellStyle name="Total 2 4 2 3 2 10 6" xfId="48952"/>
    <cellStyle name="Total 2 4 2 3 2 10 7" xfId="56974"/>
    <cellStyle name="Total 2 4 2 3 2 11" xfId="28535"/>
    <cellStyle name="Total 2 4 2 3 2 11 2" xfId="28536"/>
    <cellStyle name="Total 2 4 2 3 2 11 3" xfId="28537"/>
    <cellStyle name="Total 2 4 2 3 2 11 4" xfId="28538"/>
    <cellStyle name="Total 2 4 2 3 2 11 5" xfId="28539"/>
    <cellStyle name="Total 2 4 2 3 2 12" xfId="28540"/>
    <cellStyle name="Total 2 4 2 3 2 12 2" xfId="28541"/>
    <cellStyle name="Total 2 4 2 3 2 12 3" xfId="28542"/>
    <cellStyle name="Total 2 4 2 3 2 12 4" xfId="28543"/>
    <cellStyle name="Total 2 4 2 3 2 12 5" xfId="28544"/>
    <cellStyle name="Total 2 4 2 3 2 13" xfId="28545"/>
    <cellStyle name="Total 2 4 2 3 2 13 2" xfId="28546"/>
    <cellStyle name="Total 2 4 2 3 2 13 3" xfId="28547"/>
    <cellStyle name="Total 2 4 2 3 2 13 4" xfId="28548"/>
    <cellStyle name="Total 2 4 2 3 2 13 5" xfId="28549"/>
    <cellStyle name="Total 2 4 2 3 2 14" xfId="28550"/>
    <cellStyle name="Total 2 4 2 3 2 14 2" xfId="28551"/>
    <cellStyle name="Total 2 4 2 3 2 14 3" xfId="28552"/>
    <cellStyle name="Total 2 4 2 3 2 14 4" xfId="28553"/>
    <cellStyle name="Total 2 4 2 3 2 14 5" xfId="28554"/>
    <cellStyle name="Total 2 4 2 3 2 15" xfId="28555"/>
    <cellStyle name="Total 2 4 2 3 2 15 2" xfId="28556"/>
    <cellStyle name="Total 2 4 2 3 2 15 3" xfId="28557"/>
    <cellStyle name="Total 2 4 2 3 2 15 4" xfId="28558"/>
    <cellStyle name="Total 2 4 2 3 2 15 5" xfId="28559"/>
    <cellStyle name="Total 2 4 2 3 2 16" xfId="28560"/>
    <cellStyle name="Total 2 4 2 3 2 16 2" xfId="28561"/>
    <cellStyle name="Total 2 4 2 3 2 16 3" xfId="28562"/>
    <cellStyle name="Total 2 4 2 3 2 16 4" xfId="28563"/>
    <cellStyle name="Total 2 4 2 3 2 16 5" xfId="28564"/>
    <cellStyle name="Total 2 4 2 3 2 17" xfId="28565"/>
    <cellStyle name="Total 2 4 2 3 2 17 2" xfId="28566"/>
    <cellStyle name="Total 2 4 2 3 2 17 3" xfId="28567"/>
    <cellStyle name="Total 2 4 2 3 2 17 4" xfId="28568"/>
    <cellStyle name="Total 2 4 2 3 2 17 5" xfId="28569"/>
    <cellStyle name="Total 2 4 2 3 2 18" xfId="28570"/>
    <cellStyle name="Total 2 4 2 3 2 18 2" xfId="28571"/>
    <cellStyle name="Total 2 4 2 3 2 18 3" xfId="28572"/>
    <cellStyle name="Total 2 4 2 3 2 18 4" xfId="28573"/>
    <cellStyle name="Total 2 4 2 3 2 18 5" xfId="28574"/>
    <cellStyle name="Total 2 4 2 3 2 19" xfId="28575"/>
    <cellStyle name="Total 2 4 2 3 2 2" xfId="2832"/>
    <cellStyle name="Total 2 4 2 3 2 2 2" xfId="28576"/>
    <cellStyle name="Total 2 4 2 3 2 2 2 2" xfId="48954"/>
    <cellStyle name="Total 2 4 2 3 2 2 2 3" xfId="56976"/>
    <cellStyle name="Total 2 4 2 3 2 2 3" xfId="28577"/>
    <cellStyle name="Total 2 4 2 3 2 2 4" xfId="28578"/>
    <cellStyle name="Total 2 4 2 3 2 2 5" xfId="28579"/>
    <cellStyle name="Total 2 4 2 3 2 2 6" xfId="36454"/>
    <cellStyle name="Total 2 4 2 3 2 2 7" xfId="48953"/>
    <cellStyle name="Total 2 4 2 3 2 2 8" xfId="56975"/>
    <cellStyle name="Total 2 4 2 3 2 20" xfId="1079"/>
    <cellStyle name="Total 2 4 2 3 2 21" xfId="35159"/>
    <cellStyle name="Total 2 4 2 3 2 22" xfId="41379"/>
    <cellStyle name="Total 2 4 2 3 2 3" xfId="2833"/>
    <cellStyle name="Total 2 4 2 3 2 3 2" xfId="28580"/>
    <cellStyle name="Total 2 4 2 3 2 3 3" xfId="28581"/>
    <cellStyle name="Total 2 4 2 3 2 3 4" xfId="28582"/>
    <cellStyle name="Total 2 4 2 3 2 3 5" xfId="28583"/>
    <cellStyle name="Total 2 4 2 3 2 3 6" xfId="36951"/>
    <cellStyle name="Total 2 4 2 3 2 3 7" xfId="48955"/>
    <cellStyle name="Total 2 4 2 3 2 3 8" xfId="56977"/>
    <cellStyle name="Total 2 4 2 3 2 4" xfId="1455"/>
    <cellStyle name="Total 2 4 2 3 2 4 2" xfId="28584"/>
    <cellStyle name="Total 2 4 2 3 2 4 3" xfId="28585"/>
    <cellStyle name="Total 2 4 2 3 2 4 4" xfId="28586"/>
    <cellStyle name="Total 2 4 2 3 2 4 5" xfId="28587"/>
    <cellStyle name="Total 2 4 2 3 2 4 6" xfId="37567"/>
    <cellStyle name="Total 2 4 2 3 2 4 7" xfId="48956"/>
    <cellStyle name="Total 2 4 2 3 2 4 8" xfId="56978"/>
    <cellStyle name="Total 2 4 2 3 2 5" xfId="3525"/>
    <cellStyle name="Total 2 4 2 3 2 5 2" xfId="28588"/>
    <cellStyle name="Total 2 4 2 3 2 5 3" xfId="28589"/>
    <cellStyle name="Total 2 4 2 3 2 5 4" xfId="28590"/>
    <cellStyle name="Total 2 4 2 3 2 5 5" xfId="28591"/>
    <cellStyle name="Total 2 4 2 3 2 5 6" xfId="38184"/>
    <cellStyle name="Total 2 4 2 3 2 5 7" xfId="48957"/>
    <cellStyle name="Total 2 4 2 3 2 5 8" xfId="56979"/>
    <cellStyle name="Total 2 4 2 3 2 6" xfId="3843"/>
    <cellStyle name="Total 2 4 2 3 2 6 2" xfId="28592"/>
    <cellStyle name="Total 2 4 2 3 2 6 3" xfId="28593"/>
    <cellStyle name="Total 2 4 2 3 2 6 4" xfId="28594"/>
    <cellStyle name="Total 2 4 2 3 2 6 5" xfId="28595"/>
    <cellStyle name="Total 2 4 2 3 2 6 6" xfId="38802"/>
    <cellStyle name="Total 2 4 2 3 2 6 7" xfId="48958"/>
    <cellStyle name="Total 2 4 2 3 2 6 8" xfId="56980"/>
    <cellStyle name="Total 2 4 2 3 2 7" xfId="28596"/>
    <cellStyle name="Total 2 4 2 3 2 7 2" xfId="28597"/>
    <cellStyle name="Total 2 4 2 3 2 7 3" xfId="28598"/>
    <cellStyle name="Total 2 4 2 3 2 7 4" xfId="28599"/>
    <cellStyle name="Total 2 4 2 3 2 7 5" xfId="28600"/>
    <cellStyle name="Total 2 4 2 3 2 7 6" xfId="39422"/>
    <cellStyle name="Total 2 4 2 3 2 7 7" xfId="48959"/>
    <cellStyle name="Total 2 4 2 3 2 7 8" xfId="56981"/>
    <cellStyle name="Total 2 4 2 3 2 8" xfId="28601"/>
    <cellStyle name="Total 2 4 2 3 2 8 2" xfId="28602"/>
    <cellStyle name="Total 2 4 2 3 2 8 3" xfId="28603"/>
    <cellStyle name="Total 2 4 2 3 2 8 4" xfId="28604"/>
    <cellStyle name="Total 2 4 2 3 2 8 5" xfId="28605"/>
    <cellStyle name="Total 2 4 2 3 2 8 6" xfId="40038"/>
    <cellStyle name="Total 2 4 2 3 2 8 7" xfId="48960"/>
    <cellStyle name="Total 2 4 2 3 2 8 8" xfId="56982"/>
    <cellStyle name="Total 2 4 2 3 2 9" xfId="28606"/>
    <cellStyle name="Total 2 4 2 3 2 9 2" xfId="28607"/>
    <cellStyle name="Total 2 4 2 3 2 9 3" xfId="28608"/>
    <cellStyle name="Total 2 4 2 3 2 9 4" xfId="28609"/>
    <cellStyle name="Total 2 4 2 3 2 9 5" xfId="28610"/>
    <cellStyle name="Total 2 4 2 3 2 9 6" xfId="40653"/>
    <cellStyle name="Total 2 4 2 3 2 9 7" xfId="48961"/>
    <cellStyle name="Total 2 4 2 3 2 9 8" xfId="56983"/>
    <cellStyle name="Total 2 4 2 3 20" xfId="867"/>
    <cellStyle name="Total 2 4 2 3 21" xfId="34669"/>
    <cellStyle name="Total 2 4 2 3 22" xfId="40951"/>
    <cellStyle name="Total 2 4 2 3 23" xfId="41512"/>
    <cellStyle name="Total 2 4 2 3 24" xfId="50599"/>
    <cellStyle name="Total 2 4 2 3 3" xfId="2834"/>
    <cellStyle name="Total 2 4 2 3 3 10" xfId="34582"/>
    <cellStyle name="Total 2 4 2 3 3 10 2" xfId="48963"/>
    <cellStyle name="Total 2 4 2 3 3 10 3" xfId="56985"/>
    <cellStyle name="Total 2 4 2 3 3 11" xfId="41166"/>
    <cellStyle name="Total 2 4 2 3 3 12" xfId="48962"/>
    <cellStyle name="Total 2 4 2 3 3 13" xfId="56984"/>
    <cellStyle name="Total 2 4 2 3 3 2" xfId="2835"/>
    <cellStyle name="Total 2 4 2 3 3 2 2" xfId="36243"/>
    <cellStyle name="Total 2 4 2 3 3 2 3" xfId="48964"/>
    <cellStyle name="Total 2 4 2 3 3 2 4" xfId="56986"/>
    <cellStyle name="Total 2 4 2 3 3 3" xfId="2836"/>
    <cellStyle name="Total 2 4 2 3 3 3 2" xfId="36740"/>
    <cellStyle name="Total 2 4 2 3 3 3 3" xfId="48965"/>
    <cellStyle name="Total 2 4 2 3 3 3 4" xfId="56987"/>
    <cellStyle name="Total 2 4 2 3 3 4" xfId="28611"/>
    <cellStyle name="Total 2 4 2 3 3 4 2" xfId="37356"/>
    <cellStyle name="Total 2 4 2 3 3 4 3" xfId="48966"/>
    <cellStyle name="Total 2 4 2 3 3 4 4" xfId="56988"/>
    <cellStyle name="Total 2 4 2 3 3 5" xfId="28612"/>
    <cellStyle name="Total 2 4 2 3 3 5 2" xfId="37972"/>
    <cellStyle name="Total 2 4 2 3 3 5 3" xfId="48967"/>
    <cellStyle name="Total 2 4 2 3 3 5 4" xfId="56989"/>
    <cellStyle name="Total 2 4 2 3 3 6" xfId="38589"/>
    <cellStyle name="Total 2 4 2 3 3 6 2" xfId="48968"/>
    <cellStyle name="Total 2 4 2 3 3 6 3" xfId="56990"/>
    <cellStyle name="Total 2 4 2 3 3 7" xfId="39209"/>
    <cellStyle name="Total 2 4 2 3 3 7 2" xfId="48969"/>
    <cellStyle name="Total 2 4 2 3 3 7 3" xfId="56991"/>
    <cellStyle name="Total 2 4 2 3 3 8" xfId="39825"/>
    <cellStyle name="Total 2 4 2 3 3 8 2" xfId="48970"/>
    <cellStyle name="Total 2 4 2 3 3 8 3" xfId="56992"/>
    <cellStyle name="Total 2 4 2 3 3 9" xfId="40440"/>
    <cellStyle name="Total 2 4 2 3 3 9 2" xfId="48971"/>
    <cellStyle name="Total 2 4 2 3 3 9 3" xfId="56993"/>
    <cellStyle name="Total 2 4 2 3 4" xfId="2837"/>
    <cellStyle name="Total 2 4 2 3 4 10" xfId="48972"/>
    <cellStyle name="Total 2 4 2 3 4 11" xfId="56994"/>
    <cellStyle name="Total 2 4 2 3 4 2" xfId="28613"/>
    <cellStyle name="Total 2 4 2 3 4 2 2" xfId="48973"/>
    <cellStyle name="Total 2 4 2 3 4 2 3" xfId="56995"/>
    <cellStyle name="Total 2 4 2 3 4 3" xfId="28614"/>
    <cellStyle name="Total 2 4 2 3 4 3 2" xfId="48974"/>
    <cellStyle name="Total 2 4 2 3 4 3 3" xfId="56996"/>
    <cellStyle name="Total 2 4 2 3 4 4" xfId="28615"/>
    <cellStyle name="Total 2 4 2 3 4 4 2" xfId="48975"/>
    <cellStyle name="Total 2 4 2 3 4 4 3" xfId="56997"/>
    <cellStyle name="Total 2 4 2 3 4 5" xfId="28616"/>
    <cellStyle name="Total 2 4 2 3 4 5 2" xfId="48976"/>
    <cellStyle name="Total 2 4 2 3 4 5 3" xfId="56998"/>
    <cellStyle name="Total 2 4 2 3 4 6" xfId="36528"/>
    <cellStyle name="Total 2 4 2 3 4 6 2" xfId="48977"/>
    <cellStyle name="Total 2 4 2 3 4 6 3" xfId="56999"/>
    <cellStyle name="Total 2 4 2 3 4 7" xfId="48978"/>
    <cellStyle name="Total 2 4 2 3 4 7 2" xfId="57000"/>
    <cellStyle name="Total 2 4 2 3 4 8" xfId="48979"/>
    <cellStyle name="Total 2 4 2 3 4 8 2" xfId="57001"/>
    <cellStyle name="Total 2 4 2 3 4 9" xfId="48980"/>
    <cellStyle name="Total 2 4 2 3 4 9 2" xfId="57002"/>
    <cellStyle name="Total 2 4 2 3 5" xfId="1454"/>
    <cellStyle name="Total 2 4 2 3 5 2" xfId="28617"/>
    <cellStyle name="Total 2 4 2 3 5 3" xfId="28618"/>
    <cellStyle name="Total 2 4 2 3 5 4" xfId="28619"/>
    <cellStyle name="Total 2 4 2 3 5 5" xfId="28620"/>
    <cellStyle name="Total 2 4 2 3 5 6" xfId="37144"/>
    <cellStyle name="Total 2 4 2 3 5 7" xfId="48981"/>
    <cellStyle name="Total 2 4 2 3 5 8" xfId="57003"/>
    <cellStyle name="Total 2 4 2 3 6" xfId="3524"/>
    <cellStyle name="Total 2 4 2 3 6 2" xfId="28621"/>
    <cellStyle name="Total 2 4 2 3 6 3" xfId="28622"/>
    <cellStyle name="Total 2 4 2 3 6 4" xfId="28623"/>
    <cellStyle name="Total 2 4 2 3 6 5" xfId="28624"/>
    <cellStyle name="Total 2 4 2 3 6 6" xfId="37758"/>
    <cellStyle name="Total 2 4 2 3 6 7" xfId="48982"/>
    <cellStyle name="Total 2 4 2 3 6 8" xfId="57004"/>
    <cellStyle name="Total 2 4 2 3 7" xfId="3842"/>
    <cellStyle name="Total 2 4 2 3 7 2" xfId="28625"/>
    <cellStyle name="Total 2 4 2 3 7 3" xfId="28626"/>
    <cellStyle name="Total 2 4 2 3 7 4" xfId="28627"/>
    <cellStyle name="Total 2 4 2 3 7 5" xfId="28628"/>
    <cellStyle name="Total 2 4 2 3 7 6" xfId="38374"/>
    <cellStyle name="Total 2 4 2 3 7 7" xfId="48983"/>
    <cellStyle name="Total 2 4 2 3 7 8" xfId="57005"/>
    <cellStyle name="Total 2 4 2 3 8" xfId="28629"/>
    <cellStyle name="Total 2 4 2 3 8 2" xfId="28630"/>
    <cellStyle name="Total 2 4 2 3 8 3" xfId="28631"/>
    <cellStyle name="Total 2 4 2 3 8 4" xfId="28632"/>
    <cellStyle name="Total 2 4 2 3 8 5" xfId="28633"/>
    <cellStyle name="Total 2 4 2 3 8 6" xfId="38994"/>
    <cellStyle name="Total 2 4 2 3 8 7" xfId="48984"/>
    <cellStyle name="Total 2 4 2 3 8 8" xfId="57006"/>
    <cellStyle name="Total 2 4 2 3 9" xfId="28634"/>
    <cellStyle name="Total 2 4 2 3 9 2" xfId="28635"/>
    <cellStyle name="Total 2 4 2 3 9 3" xfId="28636"/>
    <cellStyle name="Total 2 4 2 3 9 4" xfId="28637"/>
    <cellStyle name="Total 2 4 2 3 9 5" xfId="28638"/>
    <cellStyle name="Total 2 4 2 3 9 6" xfId="39610"/>
    <cellStyle name="Total 2 4 2 3 9 7" xfId="48985"/>
    <cellStyle name="Total 2 4 2 3 9 8" xfId="57007"/>
    <cellStyle name="Total 2 4 2 4" xfId="535"/>
    <cellStyle name="Total 2 4 2 4 10" xfId="28639"/>
    <cellStyle name="Total 2 4 2 4 10 2" xfId="28640"/>
    <cellStyle name="Total 2 4 2 4 10 3" xfId="28641"/>
    <cellStyle name="Total 2 4 2 4 10 4" xfId="28642"/>
    <cellStyle name="Total 2 4 2 4 10 5" xfId="28643"/>
    <cellStyle name="Total 2 4 2 4 10 6" xfId="48986"/>
    <cellStyle name="Total 2 4 2 4 10 7" xfId="57008"/>
    <cellStyle name="Total 2 4 2 4 11" xfId="28644"/>
    <cellStyle name="Total 2 4 2 4 11 2" xfId="28645"/>
    <cellStyle name="Total 2 4 2 4 11 3" xfId="28646"/>
    <cellStyle name="Total 2 4 2 4 11 4" xfId="28647"/>
    <cellStyle name="Total 2 4 2 4 11 5" xfId="28648"/>
    <cellStyle name="Total 2 4 2 4 12" xfId="28649"/>
    <cellStyle name="Total 2 4 2 4 12 2" xfId="28650"/>
    <cellStyle name="Total 2 4 2 4 12 3" xfId="28651"/>
    <cellStyle name="Total 2 4 2 4 12 4" xfId="28652"/>
    <cellStyle name="Total 2 4 2 4 12 5" xfId="28653"/>
    <cellStyle name="Total 2 4 2 4 13" xfId="28654"/>
    <cellStyle name="Total 2 4 2 4 13 2" xfId="28655"/>
    <cellStyle name="Total 2 4 2 4 13 3" xfId="28656"/>
    <cellStyle name="Total 2 4 2 4 13 4" xfId="28657"/>
    <cellStyle name="Total 2 4 2 4 13 5" xfId="28658"/>
    <cellStyle name="Total 2 4 2 4 14" xfId="28659"/>
    <cellStyle name="Total 2 4 2 4 14 2" xfId="28660"/>
    <cellStyle name="Total 2 4 2 4 14 3" xfId="28661"/>
    <cellStyle name="Total 2 4 2 4 14 4" xfId="28662"/>
    <cellStyle name="Total 2 4 2 4 14 5" xfId="28663"/>
    <cellStyle name="Total 2 4 2 4 15" xfId="28664"/>
    <cellStyle name="Total 2 4 2 4 15 2" xfId="28665"/>
    <cellStyle name="Total 2 4 2 4 15 3" xfId="28666"/>
    <cellStyle name="Total 2 4 2 4 15 4" xfId="28667"/>
    <cellStyle name="Total 2 4 2 4 15 5" xfId="28668"/>
    <cellStyle name="Total 2 4 2 4 16" xfId="28669"/>
    <cellStyle name="Total 2 4 2 4 16 2" xfId="28670"/>
    <cellStyle name="Total 2 4 2 4 16 3" xfId="28671"/>
    <cellStyle name="Total 2 4 2 4 16 4" xfId="28672"/>
    <cellStyle name="Total 2 4 2 4 16 5" xfId="28673"/>
    <cellStyle name="Total 2 4 2 4 17" xfId="28674"/>
    <cellStyle name="Total 2 4 2 4 17 2" xfId="28675"/>
    <cellStyle name="Total 2 4 2 4 17 3" xfId="28676"/>
    <cellStyle name="Total 2 4 2 4 17 4" xfId="28677"/>
    <cellStyle name="Total 2 4 2 4 17 5" xfId="28678"/>
    <cellStyle name="Total 2 4 2 4 18" xfId="28679"/>
    <cellStyle name="Total 2 4 2 4 18 2" xfId="28680"/>
    <cellStyle name="Total 2 4 2 4 18 3" xfId="28681"/>
    <cellStyle name="Total 2 4 2 4 18 4" xfId="28682"/>
    <cellStyle name="Total 2 4 2 4 18 5" xfId="28683"/>
    <cellStyle name="Total 2 4 2 4 19" xfId="28684"/>
    <cellStyle name="Total 2 4 2 4 2" xfId="2838"/>
    <cellStyle name="Total 2 4 2 4 2 2" xfId="28685"/>
    <cellStyle name="Total 2 4 2 4 2 2 2" xfId="48988"/>
    <cellStyle name="Total 2 4 2 4 2 2 3" xfId="57010"/>
    <cellStyle name="Total 2 4 2 4 2 3" xfId="28686"/>
    <cellStyle name="Total 2 4 2 4 2 4" xfId="28687"/>
    <cellStyle name="Total 2 4 2 4 2 5" xfId="28688"/>
    <cellStyle name="Total 2 4 2 4 2 6" xfId="36339"/>
    <cellStyle name="Total 2 4 2 4 2 7" xfId="48987"/>
    <cellStyle name="Total 2 4 2 4 2 8" xfId="57009"/>
    <cellStyle name="Total 2 4 2 4 20" xfId="964"/>
    <cellStyle name="Total 2 4 2 4 21" xfId="35044"/>
    <cellStyle name="Total 2 4 2 4 22" xfId="40753"/>
    <cellStyle name="Total 2 4 2 4 23" xfId="41263"/>
    <cellStyle name="Total 2 4 2 4 3" xfId="2839"/>
    <cellStyle name="Total 2 4 2 4 3 2" xfId="28689"/>
    <cellStyle name="Total 2 4 2 4 3 3" xfId="28690"/>
    <cellStyle name="Total 2 4 2 4 3 4" xfId="28691"/>
    <cellStyle name="Total 2 4 2 4 3 5" xfId="28692"/>
    <cellStyle name="Total 2 4 2 4 3 6" xfId="36836"/>
    <cellStyle name="Total 2 4 2 4 3 7" xfId="48989"/>
    <cellStyle name="Total 2 4 2 4 3 8" xfId="57011"/>
    <cellStyle name="Total 2 4 2 4 4" xfId="1456"/>
    <cellStyle name="Total 2 4 2 4 4 2" xfId="28693"/>
    <cellStyle name="Total 2 4 2 4 4 3" xfId="28694"/>
    <cellStyle name="Total 2 4 2 4 4 4" xfId="28695"/>
    <cellStyle name="Total 2 4 2 4 4 5" xfId="28696"/>
    <cellStyle name="Total 2 4 2 4 4 6" xfId="37452"/>
    <cellStyle name="Total 2 4 2 4 4 7" xfId="48990"/>
    <cellStyle name="Total 2 4 2 4 4 8" xfId="57012"/>
    <cellStyle name="Total 2 4 2 4 5" xfId="3526"/>
    <cellStyle name="Total 2 4 2 4 5 2" xfId="28697"/>
    <cellStyle name="Total 2 4 2 4 5 3" xfId="28698"/>
    <cellStyle name="Total 2 4 2 4 5 4" xfId="28699"/>
    <cellStyle name="Total 2 4 2 4 5 5" xfId="28700"/>
    <cellStyle name="Total 2 4 2 4 5 6" xfId="38068"/>
    <cellStyle name="Total 2 4 2 4 5 7" xfId="48991"/>
    <cellStyle name="Total 2 4 2 4 5 8" xfId="57013"/>
    <cellStyle name="Total 2 4 2 4 6" xfId="3844"/>
    <cellStyle name="Total 2 4 2 4 6 2" xfId="28701"/>
    <cellStyle name="Total 2 4 2 4 6 3" xfId="28702"/>
    <cellStyle name="Total 2 4 2 4 6 4" xfId="28703"/>
    <cellStyle name="Total 2 4 2 4 6 5" xfId="28704"/>
    <cellStyle name="Total 2 4 2 4 6 6" xfId="38686"/>
    <cellStyle name="Total 2 4 2 4 6 7" xfId="48992"/>
    <cellStyle name="Total 2 4 2 4 6 8" xfId="57014"/>
    <cellStyle name="Total 2 4 2 4 7" xfId="28705"/>
    <cellStyle name="Total 2 4 2 4 7 2" xfId="28706"/>
    <cellStyle name="Total 2 4 2 4 7 3" xfId="28707"/>
    <cellStyle name="Total 2 4 2 4 7 4" xfId="28708"/>
    <cellStyle name="Total 2 4 2 4 7 5" xfId="28709"/>
    <cellStyle name="Total 2 4 2 4 7 6" xfId="39306"/>
    <cellStyle name="Total 2 4 2 4 7 7" xfId="48993"/>
    <cellStyle name="Total 2 4 2 4 7 8" xfId="57015"/>
    <cellStyle name="Total 2 4 2 4 8" xfId="28710"/>
    <cellStyle name="Total 2 4 2 4 8 2" xfId="28711"/>
    <cellStyle name="Total 2 4 2 4 8 3" xfId="28712"/>
    <cellStyle name="Total 2 4 2 4 8 4" xfId="28713"/>
    <cellStyle name="Total 2 4 2 4 8 5" xfId="28714"/>
    <cellStyle name="Total 2 4 2 4 8 6" xfId="39922"/>
    <cellStyle name="Total 2 4 2 4 8 7" xfId="48994"/>
    <cellStyle name="Total 2 4 2 4 8 8" xfId="57016"/>
    <cellStyle name="Total 2 4 2 4 9" xfId="28715"/>
    <cellStyle name="Total 2 4 2 4 9 2" xfId="28716"/>
    <cellStyle name="Total 2 4 2 4 9 3" xfId="28717"/>
    <cellStyle name="Total 2 4 2 4 9 4" xfId="28718"/>
    <cellStyle name="Total 2 4 2 4 9 5" xfId="28719"/>
    <cellStyle name="Total 2 4 2 4 9 6" xfId="40537"/>
    <cellStyle name="Total 2 4 2 4 9 7" xfId="48995"/>
    <cellStyle name="Total 2 4 2 4 9 8" xfId="57017"/>
    <cellStyle name="Total 2 4 2 5" xfId="2840"/>
    <cellStyle name="Total 2 4 2 5 10" xfId="34640"/>
    <cellStyle name="Total 2 4 2 5 10 2" xfId="48997"/>
    <cellStyle name="Total 2 4 2 5 10 3" xfId="57019"/>
    <cellStyle name="Total 2 4 2 5 11" xfId="41049"/>
    <cellStyle name="Total 2 4 2 5 12" xfId="48996"/>
    <cellStyle name="Total 2 4 2 5 13" xfId="57018"/>
    <cellStyle name="Total 2 4 2 5 2" xfId="2841"/>
    <cellStyle name="Total 2 4 2 5 2 2" xfId="36126"/>
    <cellStyle name="Total 2 4 2 5 2 3" xfId="48998"/>
    <cellStyle name="Total 2 4 2 5 2 4" xfId="57020"/>
    <cellStyle name="Total 2 4 2 5 3" xfId="2842"/>
    <cellStyle name="Total 2 4 2 5 3 2" xfId="36625"/>
    <cellStyle name="Total 2 4 2 5 3 3" xfId="48999"/>
    <cellStyle name="Total 2 4 2 5 3 4" xfId="57021"/>
    <cellStyle name="Total 2 4 2 5 4" xfId="28720"/>
    <cellStyle name="Total 2 4 2 5 4 2" xfId="37241"/>
    <cellStyle name="Total 2 4 2 5 4 3" xfId="49000"/>
    <cellStyle name="Total 2 4 2 5 4 4" xfId="57022"/>
    <cellStyle name="Total 2 4 2 5 5" xfId="28721"/>
    <cellStyle name="Total 2 4 2 5 5 2" xfId="37857"/>
    <cellStyle name="Total 2 4 2 5 5 3" xfId="49001"/>
    <cellStyle name="Total 2 4 2 5 5 4" xfId="57023"/>
    <cellStyle name="Total 2 4 2 5 6" xfId="38472"/>
    <cellStyle name="Total 2 4 2 5 6 2" xfId="49002"/>
    <cellStyle name="Total 2 4 2 5 6 3" xfId="57024"/>
    <cellStyle name="Total 2 4 2 5 7" xfId="39092"/>
    <cellStyle name="Total 2 4 2 5 7 2" xfId="49003"/>
    <cellStyle name="Total 2 4 2 5 7 3" xfId="57025"/>
    <cellStyle name="Total 2 4 2 5 8" xfId="39708"/>
    <cellStyle name="Total 2 4 2 5 8 2" xfId="49004"/>
    <cellStyle name="Total 2 4 2 5 8 3" xfId="57026"/>
    <cellStyle name="Total 2 4 2 5 9" xfId="40323"/>
    <cellStyle name="Total 2 4 2 5 9 2" xfId="49005"/>
    <cellStyle name="Total 2 4 2 5 9 3" xfId="57027"/>
    <cellStyle name="Total 2 4 2 6" xfId="1451"/>
    <cellStyle name="Total 2 4 2 6 10" xfId="49006"/>
    <cellStyle name="Total 2 4 2 6 11" xfId="57028"/>
    <cellStyle name="Total 2 4 2 6 2" xfId="28722"/>
    <cellStyle name="Total 2 4 2 6 2 2" xfId="49007"/>
    <cellStyle name="Total 2 4 2 6 2 3" xfId="57029"/>
    <cellStyle name="Total 2 4 2 6 3" xfId="28723"/>
    <cellStyle name="Total 2 4 2 6 3 2" xfId="49008"/>
    <cellStyle name="Total 2 4 2 6 3 3" xfId="57030"/>
    <cellStyle name="Total 2 4 2 6 4" xfId="28724"/>
    <cellStyle name="Total 2 4 2 6 4 2" xfId="49009"/>
    <cellStyle name="Total 2 4 2 6 4 3" xfId="57031"/>
    <cellStyle name="Total 2 4 2 6 5" xfId="28725"/>
    <cellStyle name="Total 2 4 2 6 5 2" xfId="49010"/>
    <cellStyle name="Total 2 4 2 6 5 3" xfId="57032"/>
    <cellStyle name="Total 2 4 2 6 6" xfId="35444"/>
    <cellStyle name="Total 2 4 2 6 6 2" xfId="49011"/>
    <cellStyle name="Total 2 4 2 6 6 3" xfId="57033"/>
    <cellStyle name="Total 2 4 2 6 7" xfId="49012"/>
    <cellStyle name="Total 2 4 2 6 7 2" xfId="57034"/>
    <cellStyle name="Total 2 4 2 6 8" xfId="49013"/>
    <cellStyle name="Total 2 4 2 6 8 2" xfId="57035"/>
    <cellStyle name="Total 2 4 2 6 9" xfId="49014"/>
    <cellStyle name="Total 2 4 2 6 9 2" xfId="57036"/>
    <cellStyle name="Total 2 4 2 7" xfId="3521"/>
    <cellStyle name="Total 2 4 2 7 2" xfId="28726"/>
    <cellStyle name="Total 2 4 2 7 3" xfId="28727"/>
    <cellStyle name="Total 2 4 2 7 4" xfId="28728"/>
    <cellStyle name="Total 2 4 2 7 5" xfId="28729"/>
    <cellStyle name="Total 2 4 2 7 6" xfId="35976"/>
    <cellStyle name="Total 2 4 2 7 7" xfId="49015"/>
    <cellStyle name="Total 2 4 2 7 8" xfId="57037"/>
    <cellStyle name="Total 2 4 2 8" xfId="3839"/>
    <cellStyle name="Total 2 4 2 8 2" xfId="28730"/>
    <cellStyle name="Total 2 4 2 8 3" xfId="28731"/>
    <cellStyle name="Total 2 4 2 8 4" xfId="28732"/>
    <cellStyle name="Total 2 4 2 8 5" xfId="28733"/>
    <cellStyle name="Total 2 4 2 8 6" xfId="35800"/>
    <cellStyle name="Total 2 4 2 8 7" xfId="49016"/>
    <cellStyle name="Total 2 4 2 8 8" xfId="57038"/>
    <cellStyle name="Total 2 4 2 9" xfId="28734"/>
    <cellStyle name="Total 2 4 2 9 2" xfId="28735"/>
    <cellStyle name="Total 2 4 2 9 3" xfId="28736"/>
    <cellStyle name="Total 2 4 2 9 4" xfId="28737"/>
    <cellStyle name="Total 2 4 2 9 5" xfId="28738"/>
    <cellStyle name="Total 2 4 2 9 6" xfId="37021"/>
    <cellStyle name="Total 2 4 2 9 7" xfId="49017"/>
    <cellStyle name="Total 2 4 2 9 8" xfId="57039"/>
    <cellStyle name="Total 2 4 20" xfId="28739"/>
    <cellStyle name="Total 2 4 21" xfId="707"/>
    <cellStyle name="Total 2 4 22" xfId="34748"/>
    <cellStyle name="Total 2 4 23" xfId="40791"/>
    <cellStyle name="Total 2 4 3" xfId="306"/>
    <cellStyle name="Total 2 4 3 10" xfId="28740"/>
    <cellStyle name="Total 2 4 3 10 2" xfId="28741"/>
    <cellStyle name="Total 2 4 3 10 3" xfId="28742"/>
    <cellStyle name="Total 2 4 3 10 4" xfId="28743"/>
    <cellStyle name="Total 2 4 3 10 5" xfId="28744"/>
    <cellStyle name="Total 2 4 3 10 6" xfId="37634"/>
    <cellStyle name="Total 2 4 3 10 7" xfId="49018"/>
    <cellStyle name="Total 2 4 3 10 8" xfId="57040"/>
    <cellStyle name="Total 2 4 3 11" xfId="28745"/>
    <cellStyle name="Total 2 4 3 11 2" xfId="28746"/>
    <cellStyle name="Total 2 4 3 11 3" xfId="28747"/>
    <cellStyle name="Total 2 4 3 11 4" xfId="28748"/>
    <cellStyle name="Total 2 4 3 11 5" xfId="28749"/>
    <cellStyle name="Total 2 4 3 11 6" xfId="38251"/>
    <cellStyle name="Total 2 4 3 11 7" xfId="49019"/>
    <cellStyle name="Total 2 4 3 11 8" xfId="57041"/>
    <cellStyle name="Total 2 4 3 12" xfId="28750"/>
    <cellStyle name="Total 2 4 3 12 2" xfId="28751"/>
    <cellStyle name="Total 2 4 3 12 3" xfId="28752"/>
    <cellStyle name="Total 2 4 3 12 4" xfId="28753"/>
    <cellStyle name="Total 2 4 3 12 5" xfId="28754"/>
    <cellStyle name="Total 2 4 3 12 6" xfId="38873"/>
    <cellStyle name="Total 2 4 3 12 7" xfId="49020"/>
    <cellStyle name="Total 2 4 3 12 8" xfId="57042"/>
    <cellStyle name="Total 2 4 3 13" xfId="28755"/>
    <cellStyle name="Total 2 4 3 13 2" xfId="28756"/>
    <cellStyle name="Total 2 4 3 13 3" xfId="28757"/>
    <cellStyle name="Total 2 4 3 13 4" xfId="28758"/>
    <cellStyle name="Total 2 4 3 13 5" xfId="28759"/>
    <cellStyle name="Total 2 4 3 13 6" xfId="39493"/>
    <cellStyle name="Total 2 4 3 13 7" xfId="49021"/>
    <cellStyle name="Total 2 4 3 13 8" xfId="57043"/>
    <cellStyle name="Total 2 4 3 14" xfId="28760"/>
    <cellStyle name="Total 2 4 3 14 2" xfId="28761"/>
    <cellStyle name="Total 2 4 3 14 3" xfId="28762"/>
    <cellStyle name="Total 2 4 3 14 4" xfId="28763"/>
    <cellStyle name="Total 2 4 3 14 5" xfId="28764"/>
    <cellStyle name="Total 2 4 3 14 6" xfId="40111"/>
    <cellStyle name="Total 2 4 3 14 7" xfId="49022"/>
    <cellStyle name="Total 2 4 3 14 8" xfId="57044"/>
    <cellStyle name="Total 2 4 3 15" xfId="28765"/>
    <cellStyle name="Total 2 4 3 15 2" xfId="28766"/>
    <cellStyle name="Total 2 4 3 15 3" xfId="28767"/>
    <cellStyle name="Total 2 4 3 15 4" xfId="28768"/>
    <cellStyle name="Total 2 4 3 15 5" xfId="28769"/>
    <cellStyle name="Total 2 4 3 15 6" xfId="49023"/>
    <cellStyle name="Total 2 4 3 15 7" xfId="57045"/>
    <cellStyle name="Total 2 4 3 16" xfId="28770"/>
    <cellStyle name="Total 2 4 3 16 2" xfId="28771"/>
    <cellStyle name="Total 2 4 3 16 3" xfId="28772"/>
    <cellStyle name="Total 2 4 3 16 4" xfId="28773"/>
    <cellStyle name="Total 2 4 3 16 5" xfId="28774"/>
    <cellStyle name="Total 2 4 3 17" xfId="28775"/>
    <cellStyle name="Total 2 4 3 17 2" xfId="28776"/>
    <cellStyle name="Total 2 4 3 17 3" xfId="28777"/>
    <cellStyle name="Total 2 4 3 17 4" xfId="28778"/>
    <cellStyle name="Total 2 4 3 17 5" xfId="28779"/>
    <cellStyle name="Total 2 4 3 18" xfId="28780"/>
    <cellStyle name="Total 2 4 3 19" xfId="751"/>
    <cellStyle name="Total 2 4 3 2" xfId="437"/>
    <cellStyle name="Total 2 4 3 2 10" xfId="28781"/>
    <cellStyle name="Total 2 4 3 2 10 2" xfId="28782"/>
    <cellStyle name="Total 2 4 3 2 10 3" xfId="28783"/>
    <cellStyle name="Total 2 4 3 2 10 4" xfId="28784"/>
    <cellStyle name="Total 2 4 3 2 10 5" xfId="28785"/>
    <cellStyle name="Total 2 4 3 2 10 6" xfId="39611"/>
    <cellStyle name="Total 2 4 3 2 10 7" xfId="49024"/>
    <cellStyle name="Total 2 4 3 2 10 8" xfId="57046"/>
    <cellStyle name="Total 2 4 3 2 11" xfId="28786"/>
    <cellStyle name="Total 2 4 3 2 11 2" xfId="28787"/>
    <cellStyle name="Total 2 4 3 2 11 3" xfId="28788"/>
    <cellStyle name="Total 2 4 3 2 11 4" xfId="28789"/>
    <cellStyle name="Total 2 4 3 2 11 5" xfId="28790"/>
    <cellStyle name="Total 2 4 3 2 11 6" xfId="40226"/>
    <cellStyle name="Total 2 4 3 2 11 7" xfId="49025"/>
    <cellStyle name="Total 2 4 3 2 11 8" xfId="57047"/>
    <cellStyle name="Total 2 4 3 2 12" xfId="28791"/>
    <cellStyle name="Total 2 4 3 2 12 2" xfId="28792"/>
    <cellStyle name="Total 2 4 3 2 12 3" xfId="28793"/>
    <cellStyle name="Total 2 4 3 2 12 4" xfId="28794"/>
    <cellStyle name="Total 2 4 3 2 12 5" xfId="28795"/>
    <cellStyle name="Total 2 4 3 2 12 6" xfId="49026"/>
    <cellStyle name="Total 2 4 3 2 12 7" xfId="57048"/>
    <cellStyle name="Total 2 4 3 2 13" xfId="28796"/>
    <cellStyle name="Total 2 4 3 2 13 2" xfId="28797"/>
    <cellStyle name="Total 2 4 3 2 13 3" xfId="28798"/>
    <cellStyle name="Total 2 4 3 2 13 4" xfId="28799"/>
    <cellStyle name="Total 2 4 3 2 13 5" xfId="28800"/>
    <cellStyle name="Total 2 4 3 2 13 6" xfId="49027"/>
    <cellStyle name="Total 2 4 3 2 13 7" xfId="57049"/>
    <cellStyle name="Total 2 4 3 2 14" xfId="28801"/>
    <cellStyle name="Total 2 4 3 2 14 2" xfId="28802"/>
    <cellStyle name="Total 2 4 3 2 14 3" xfId="28803"/>
    <cellStyle name="Total 2 4 3 2 14 4" xfId="28804"/>
    <cellStyle name="Total 2 4 3 2 14 5" xfId="28805"/>
    <cellStyle name="Total 2 4 3 2 15" xfId="28806"/>
    <cellStyle name="Total 2 4 3 2 15 2" xfId="28807"/>
    <cellStyle name="Total 2 4 3 2 15 3" xfId="28808"/>
    <cellStyle name="Total 2 4 3 2 15 4" xfId="28809"/>
    <cellStyle name="Total 2 4 3 2 15 5" xfId="28810"/>
    <cellStyle name="Total 2 4 3 2 16" xfId="28811"/>
    <cellStyle name="Total 2 4 3 2 16 2" xfId="28812"/>
    <cellStyle name="Total 2 4 3 2 16 3" xfId="28813"/>
    <cellStyle name="Total 2 4 3 2 16 4" xfId="28814"/>
    <cellStyle name="Total 2 4 3 2 16 5" xfId="28815"/>
    <cellStyle name="Total 2 4 3 2 17" xfId="28816"/>
    <cellStyle name="Total 2 4 3 2 17 2" xfId="28817"/>
    <cellStyle name="Total 2 4 3 2 17 3" xfId="28818"/>
    <cellStyle name="Total 2 4 3 2 17 4" xfId="28819"/>
    <cellStyle name="Total 2 4 3 2 17 5" xfId="28820"/>
    <cellStyle name="Total 2 4 3 2 18" xfId="28821"/>
    <cellStyle name="Total 2 4 3 2 18 2" xfId="28822"/>
    <cellStyle name="Total 2 4 3 2 18 3" xfId="28823"/>
    <cellStyle name="Total 2 4 3 2 18 4" xfId="28824"/>
    <cellStyle name="Total 2 4 3 2 18 5" xfId="28825"/>
    <cellStyle name="Total 2 4 3 2 19" xfId="28826"/>
    <cellStyle name="Total 2 4 3 2 2" xfId="652"/>
    <cellStyle name="Total 2 4 3 2 2 10" xfId="28827"/>
    <cellStyle name="Total 2 4 3 2 2 10 2" xfId="28828"/>
    <cellStyle name="Total 2 4 3 2 2 10 3" xfId="28829"/>
    <cellStyle name="Total 2 4 3 2 2 10 4" xfId="28830"/>
    <cellStyle name="Total 2 4 3 2 2 10 5" xfId="28831"/>
    <cellStyle name="Total 2 4 3 2 2 10 6" xfId="49028"/>
    <cellStyle name="Total 2 4 3 2 2 10 7" xfId="57050"/>
    <cellStyle name="Total 2 4 3 2 2 11" xfId="28832"/>
    <cellStyle name="Total 2 4 3 2 2 11 2" xfId="28833"/>
    <cellStyle name="Total 2 4 3 2 2 11 3" xfId="28834"/>
    <cellStyle name="Total 2 4 3 2 2 11 4" xfId="28835"/>
    <cellStyle name="Total 2 4 3 2 2 11 5" xfId="28836"/>
    <cellStyle name="Total 2 4 3 2 2 12" xfId="28837"/>
    <cellStyle name="Total 2 4 3 2 2 12 2" xfId="28838"/>
    <cellStyle name="Total 2 4 3 2 2 12 3" xfId="28839"/>
    <cellStyle name="Total 2 4 3 2 2 12 4" xfId="28840"/>
    <cellStyle name="Total 2 4 3 2 2 12 5" xfId="28841"/>
    <cellStyle name="Total 2 4 3 2 2 13" xfId="28842"/>
    <cellStyle name="Total 2 4 3 2 2 13 2" xfId="28843"/>
    <cellStyle name="Total 2 4 3 2 2 13 3" xfId="28844"/>
    <cellStyle name="Total 2 4 3 2 2 13 4" xfId="28845"/>
    <cellStyle name="Total 2 4 3 2 2 13 5" xfId="28846"/>
    <cellStyle name="Total 2 4 3 2 2 14" xfId="28847"/>
    <cellStyle name="Total 2 4 3 2 2 14 2" xfId="28848"/>
    <cellStyle name="Total 2 4 3 2 2 14 3" xfId="28849"/>
    <cellStyle name="Total 2 4 3 2 2 14 4" xfId="28850"/>
    <cellStyle name="Total 2 4 3 2 2 14 5" xfId="28851"/>
    <cellStyle name="Total 2 4 3 2 2 15" xfId="28852"/>
    <cellStyle name="Total 2 4 3 2 2 15 2" xfId="28853"/>
    <cellStyle name="Total 2 4 3 2 2 15 3" xfId="28854"/>
    <cellStyle name="Total 2 4 3 2 2 15 4" xfId="28855"/>
    <cellStyle name="Total 2 4 3 2 2 15 5" xfId="28856"/>
    <cellStyle name="Total 2 4 3 2 2 16" xfId="28857"/>
    <cellStyle name="Total 2 4 3 2 2 16 2" xfId="28858"/>
    <cellStyle name="Total 2 4 3 2 2 16 3" xfId="28859"/>
    <cellStyle name="Total 2 4 3 2 2 16 4" xfId="28860"/>
    <cellStyle name="Total 2 4 3 2 2 16 5" xfId="28861"/>
    <cellStyle name="Total 2 4 3 2 2 17" xfId="28862"/>
    <cellStyle name="Total 2 4 3 2 2 17 2" xfId="28863"/>
    <cellStyle name="Total 2 4 3 2 2 17 3" xfId="28864"/>
    <cellStyle name="Total 2 4 3 2 2 17 4" xfId="28865"/>
    <cellStyle name="Total 2 4 3 2 2 17 5" xfId="28866"/>
    <cellStyle name="Total 2 4 3 2 2 18" xfId="28867"/>
    <cellStyle name="Total 2 4 3 2 2 18 2" xfId="28868"/>
    <cellStyle name="Total 2 4 3 2 2 18 3" xfId="28869"/>
    <cellStyle name="Total 2 4 3 2 2 18 4" xfId="28870"/>
    <cellStyle name="Total 2 4 3 2 2 18 5" xfId="28871"/>
    <cellStyle name="Total 2 4 3 2 2 19" xfId="28872"/>
    <cellStyle name="Total 2 4 3 2 2 2" xfId="2843"/>
    <cellStyle name="Total 2 4 3 2 2 2 2" xfId="28873"/>
    <cellStyle name="Total 2 4 3 2 2 2 2 2" xfId="49030"/>
    <cellStyle name="Total 2 4 3 2 2 2 2 3" xfId="57052"/>
    <cellStyle name="Total 2 4 3 2 2 2 3" xfId="28874"/>
    <cellStyle name="Total 2 4 3 2 2 2 4" xfId="28875"/>
    <cellStyle name="Total 2 4 3 2 2 2 5" xfId="28876"/>
    <cellStyle name="Total 2 4 3 2 2 2 6" xfId="36455"/>
    <cellStyle name="Total 2 4 3 2 2 2 7" xfId="49029"/>
    <cellStyle name="Total 2 4 3 2 2 2 8" xfId="57051"/>
    <cellStyle name="Total 2 4 3 2 2 20" xfId="1080"/>
    <cellStyle name="Total 2 4 3 2 2 21" xfId="35160"/>
    <cellStyle name="Total 2 4 3 2 2 22" xfId="41380"/>
    <cellStyle name="Total 2 4 3 2 2 3" xfId="2844"/>
    <cellStyle name="Total 2 4 3 2 2 3 2" xfId="28877"/>
    <cellStyle name="Total 2 4 3 2 2 3 3" xfId="28878"/>
    <cellStyle name="Total 2 4 3 2 2 3 4" xfId="28879"/>
    <cellStyle name="Total 2 4 3 2 2 3 5" xfId="28880"/>
    <cellStyle name="Total 2 4 3 2 2 3 6" xfId="36952"/>
    <cellStyle name="Total 2 4 3 2 2 3 7" xfId="49031"/>
    <cellStyle name="Total 2 4 3 2 2 3 8" xfId="57053"/>
    <cellStyle name="Total 2 4 3 2 2 4" xfId="1459"/>
    <cellStyle name="Total 2 4 3 2 2 4 2" xfId="28881"/>
    <cellStyle name="Total 2 4 3 2 2 4 3" xfId="28882"/>
    <cellStyle name="Total 2 4 3 2 2 4 4" xfId="28883"/>
    <cellStyle name="Total 2 4 3 2 2 4 5" xfId="28884"/>
    <cellStyle name="Total 2 4 3 2 2 4 6" xfId="37568"/>
    <cellStyle name="Total 2 4 3 2 2 4 7" xfId="49032"/>
    <cellStyle name="Total 2 4 3 2 2 4 8" xfId="57054"/>
    <cellStyle name="Total 2 4 3 2 2 5" xfId="3529"/>
    <cellStyle name="Total 2 4 3 2 2 5 2" xfId="28885"/>
    <cellStyle name="Total 2 4 3 2 2 5 3" xfId="28886"/>
    <cellStyle name="Total 2 4 3 2 2 5 4" xfId="28887"/>
    <cellStyle name="Total 2 4 3 2 2 5 5" xfId="28888"/>
    <cellStyle name="Total 2 4 3 2 2 5 6" xfId="38185"/>
    <cellStyle name="Total 2 4 3 2 2 5 7" xfId="49033"/>
    <cellStyle name="Total 2 4 3 2 2 5 8" xfId="57055"/>
    <cellStyle name="Total 2 4 3 2 2 6" xfId="3847"/>
    <cellStyle name="Total 2 4 3 2 2 6 2" xfId="28889"/>
    <cellStyle name="Total 2 4 3 2 2 6 3" xfId="28890"/>
    <cellStyle name="Total 2 4 3 2 2 6 4" xfId="28891"/>
    <cellStyle name="Total 2 4 3 2 2 6 5" xfId="28892"/>
    <cellStyle name="Total 2 4 3 2 2 6 6" xfId="38803"/>
    <cellStyle name="Total 2 4 3 2 2 6 7" xfId="49034"/>
    <cellStyle name="Total 2 4 3 2 2 6 8" xfId="57056"/>
    <cellStyle name="Total 2 4 3 2 2 7" xfId="28893"/>
    <cellStyle name="Total 2 4 3 2 2 7 2" xfId="28894"/>
    <cellStyle name="Total 2 4 3 2 2 7 3" xfId="28895"/>
    <cellStyle name="Total 2 4 3 2 2 7 4" xfId="28896"/>
    <cellStyle name="Total 2 4 3 2 2 7 5" xfId="28897"/>
    <cellStyle name="Total 2 4 3 2 2 7 6" xfId="39423"/>
    <cellStyle name="Total 2 4 3 2 2 7 7" xfId="49035"/>
    <cellStyle name="Total 2 4 3 2 2 7 8" xfId="57057"/>
    <cellStyle name="Total 2 4 3 2 2 8" xfId="28898"/>
    <cellStyle name="Total 2 4 3 2 2 8 2" xfId="28899"/>
    <cellStyle name="Total 2 4 3 2 2 8 3" xfId="28900"/>
    <cellStyle name="Total 2 4 3 2 2 8 4" xfId="28901"/>
    <cellStyle name="Total 2 4 3 2 2 8 5" xfId="28902"/>
    <cellStyle name="Total 2 4 3 2 2 8 6" xfId="40039"/>
    <cellStyle name="Total 2 4 3 2 2 8 7" xfId="49036"/>
    <cellStyle name="Total 2 4 3 2 2 8 8" xfId="57058"/>
    <cellStyle name="Total 2 4 3 2 2 9" xfId="28903"/>
    <cellStyle name="Total 2 4 3 2 2 9 2" xfId="28904"/>
    <cellStyle name="Total 2 4 3 2 2 9 3" xfId="28905"/>
    <cellStyle name="Total 2 4 3 2 2 9 4" xfId="28906"/>
    <cellStyle name="Total 2 4 3 2 2 9 5" xfId="28907"/>
    <cellStyle name="Total 2 4 3 2 2 9 6" xfId="40654"/>
    <cellStyle name="Total 2 4 3 2 2 9 7" xfId="49037"/>
    <cellStyle name="Total 2 4 3 2 2 9 8" xfId="57059"/>
    <cellStyle name="Total 2 4 3 2 20" xfId="868"/>
    <cellStyle name="Total 2 4 3 2 21" xfId="34668"/>
    <cellStyle name="Total 2 4 3 2 22" xfId="40952"/>
    <cellStyle name="Total 2 4 3 2 23" xfId="41513"/>
    <cellStyle name="Total 2 4 3 2 24" xfId="50600"/>
    <cellStyle name="Total 2 4 3 2 3" xfId="2845"/>
    <cellStyle name="Total 2 4 3 2 3 10" xfId="34581"/>
    <cellStyle name="Total 2 4 3 2 3 10 2" xfId="49039"/>
    <cellStyle name="Total 2 4 3 2 3 10 3" xfId="57061"/>
    <cellStyle name="Total 2 4 3 2 3 11" xfId="41167"/>
    <cellStyle name="Total 2 4 3 2 3 12" xfId="49038"/>
    <cellStyle name="Total 2 4 3 2 3 13" xfId="57060"/>
    <cellStyle name="Total 2 4 3 2 3 2" xfId="2846"/>
    <cellStyle name="Total 2 4 3 2 3 2 2" xfId="36244"/>
    <cellStyle name="Total 2 4 3 2 3 2 3" xfId="49040"/>
    <cellStyle name="Total 2 4 3 2 3 2 4" xfId="57062"/>
    <cellStyle name="Total 2 4 3 2 3 3" xfId="2847"/>
    <cellStyle name="Total 2 4 3 2 3 3 2" xfId="36741"/>
    <cellStyle name="Total 2 4 3 2 3 3 3" xfId="49041"/>
    <cellStyle name="Total 2 4 3 2 3 3 4" xfId="57063"/>
    <cellStyle name="Total 2 4 3 2 3 4" xfId="28908"/>
    <cellStyle name="Total 2 4 3 2 3 4 2" xfId="37357"/>
    <cellStyle name="Total 2 4 3 2 3 4 3" xfId="49042"/>
    <cellStyle name="Total 2 4 3 2 3 4 4" xfId="57064"/>
    <cellStyle name="Total 2 4 3 2 3 5" xfId="28909"/>
    <cellStyle name="Total 2 4 3 2 3 5 2" xfId="37973"/>
    <cellStyle name="Total 2 4 3 2 3 5 3" xfId="49043"/>
    <cellStyle name="Total 2 4 3 2 3 5 4" xfId="57065"/>
    <cellStyle name="Total 2 4 3 2 3 6" xfId="38590"/>
    <cellStyle name="Total 2 4 3 2 3 6 2" xfId="49044"/>
    <cellStyle name="Total 2 4 3 2 3 6 3" xfId="57066"/>
    <cellStyle name="Total 2 4 3 2 3 7" xfId="39210"/>
    <cellStyle name="Total 2 4 3 2 3 7 2" xfId="49045"/>
    <cellStyle name="Total 2 4 3 2 3 7 3" xfId="57067"/>
    <cellStyle name="Total 2 4 3 2 3 8" xfId="39826"/>
    <cellStyle name="Total 2 4 3 2 3 8 2" xfId="49046"/>
    <cellStyle name="Total 2 4 3 2 3 8 3" xfId="57068"/>
    <cellStyle name="Total 2 4 3 2 3 9" xfId="40441"/>
    <cellStyle name="Total 2 4 3 2 3 9 2" xfId="49047"/>
    <cellStyle name="Total 2 4 3 2 3 9 3" xfId="57069"/>
    <cellStyle name="Total 2 4 3 2 4" xfId="2848"/>
    <cellStyle name="Total 2 4 3 2 4 10" xfId="49048"/>
    <cellStyle name="Total 2 4 3 2 4 11" xfId="57070"/>
    <cellStyle name="Total 2 4 3 2 4 2" xfId="28910"/>
    <cellStyle name="Total 2 4 3 2 4 2 2" xfId="49049"/>
    <cellStyle name="Total 2 4 3 2 4 2 3" xfId="57071"/>
    <cellStyle name="Total 2 4 3 2 4 3" xfId="28911"/>
    <cellStyle name="Total 2 4 3 2 4 3 2" xfId="49050"/>
    <cellStyle name="Total 2 4 3 2 4 3 3" xfId="57072"/>
    <cellStyle name="Total 2 4 3 2 4 4" xfId="28912"/>
    <cellStyle name="Total 2 4 3 2 4 4 2" xfId="49051"/>
    <cellStyle name="Total 2 4 3 2 4 4 3" xfId="57073"/>
    <cellStyle name="Total 2 4 3 2 4 5" xfId="28913"/>
    <cellStyle name="Total 2 4 3 2 4 5 2" xfId="49052"/>
    <cellStyle name="Total 2 4 3 2 4 5 3" xfId="57074"/>
    <cellStyle name="Total 2 4 3 2 4 6" xfId="35714"/>
    <cellStyle name="Total 2 4 3 2 4 6 2" xfId="49053"/>
    <cellStyle name="Total 2 4 3 2 4 6 3" xfId="57075"/>
    <cellStyle name="Total 2 4 3 2 4 7" xfId="49054"/>
    <cellStyle name="Total 2 4 3 2 4 7 2" xfId="57076"/>
    <cellStyle name="Total 2 4 3 2 4 8" xfId="49055"/>
    <cellStyle name="Total 2 4 3 2 4 8 2" xfId="57077"/>
    <cellStyle name="Total 2 4 3 2 4 9" xfId="49056"/>
    <cellStyle name="Total 2 4 3 2 4 9 2" xfId="57078"/>
    <cellStyle name="Total 2 4 3 2 5" xfId="1458"/>
    <cellStyle name="Total 2 4 3 2 5 2" xfId="28914"/>
    <cellStyle name="Total 2 4 3 2 5 3" xfId="28915"/>
    <cellStyle name="Total 2 4 3 2 5 4" xfId="28916"/>
    <cellStyle name="Total 2 4 3 2 5 5" xfId="28917"/>
    <cellStyle name="Total 2 4 3 2 5 6" xfId="36529"/>
    <cellStyle name="Total 2 4 3 2 5 7" xfId="49057"/>
    <cellStyle name="Total 2 4 3 2 5 8" xfId="57079"/>
    <cellStyle name="Total 2 4 3 2 6" xfId="3528"/>
    <cellStyle name="Total 2 4 3 2 6 2" xfId="28918"/>
    <cellStyle name="Total 2 4 3 2 6 3" xfId="28919"/>
    <cellStyle name="Total 2 4 3 2 6 4" xfId="28920"/>
    <cellStyle name="Total 2 4 3 2 6 5" xfId="28921"/>
    <cellStyle name="Total 2 4 3 2 6 6" xfId="37145"/>
    <cellStyle name="Total 2 4 3 2 6 7" xfId="49058"/>
    <cellStyle name="Total 2 4 3 2 6 8" xfId="57080"/>
    <cellStyle name="Total 2 4 3 2 7" xfId="3846"/>
    <cellStyle name="Total 2 4 3 2 7 2" xfId="28922"/>
    <cellStyle name="Total 2 4 3 2 7 3" xfId="28923"/>
    <cellStyle name="Total 2 4 3 2 7 4" xfId="28924"/>
    <cellStyle name="Total 2 4 3 2 7 5" xfId="28925"/>
    <cellStyle name="Total 2 4 3 2 7 6" xfId="37759"/>
    <cellStyle name="Total 2 4 3 2 7 7" xfId="49059"/>
    <cellStyle name="Total 2 4 3 2 7 8" xfId="57081"/>
    <cellStyle name="Total 2 4 3 2 8" xfId="28926"/>
    <cellStyle name="Total 2 4 3 2 8 2" xfId="28927"/>
    <cellStyle name="Total 2 4 3 2 8 3" xfId="28928"/>
    <cellStyle name="Total 2 4 3 2 8 4" xfId="28929"/>
    <cellStyle name="Total 2 4 3 2 8 5" xfId="28930"/>
    <cellStyle name="Total 2 4 3 2 8 6" xfId="38375"/>
    <cellStyle name="Total 2 4 3 2 8 7" xfId="49060"/>
    <cellStyle name="Total 2 4 3 2 8 8" xfId="57082"/>
    <cellStyle name="Total 2 4 3 2 9" xfId="28931"/>
    <cellStyle name="Total 2 4 3 2 9 2" xfId="28932"/>
    <cellStyle name="Total 2 4 3 2 9 3" xfId="28933"/>
    <cellStyle name="Total 2 4 3 2 9 4" xfId="28934"/>
    <cellStyle name="Total 2 4 3 2 9 5" xfId="28935"/>
    <cellStyle name="Total 2 4 3 2 9 6" xfId="38995"/>
    <cellStyle name="Total 2 4 3 2 9 7" xfId="49061"/>
    <cellStyle name="Total 2 4 3 2 9 8" xfId="57083"/>
    <cellStyle name="Total 2 4 3 20" xfId="34942"/>
    <cellStyle name="Total 2 4 3 21" xfId="40835"/>
    <cellStyle name="Total 2 4 3 3" xfId="438"/>
    <cellStyle name="Total 2 4 3 3 10" xfId="28936"/>
    <cellStyle name="Total 2 4 3 3 10 2" xfId="28937"/>
    <cellStyle name="Total 2 4 3 3 10 3" xfId="28938"/>
    <cellStyle name="Total 2 4 3 3 10 4" xfId="28939"/>
    <cellStyle name="Total 2 4 3 3 10 5" xfId="28940"/>
    <cellStyle name="Total 2 4 3 3 10 6" xfId="40227"/>
    <cellStyle name="Total 2 4 3 3 10 7" xfId="49062"/>
    <cellStyle name="Total 2 4 3 3 10 8" xfId="57084"/>
    <cellStyle name="Total 2 4 3 3 11" xfId="28941"/>
    <cellStyle name="Total 2 4 3 3 11 2" xfId="28942"/>
    <cellStyle name="Total 2 4 3 3 11 3" xfId="28943"/>
    <cellStyle name="Total 2 4 3 3 11 4" xfId="28944"/>
    <cellStyle name="Total 2 4 3 3 11 5" xfId="28945"/>
    <cellStyle name="Total 2 4 3 3 11 6" xfId="49063"/>
    <cellStyle name="Total 2 4 3 3 11 7" xfId="57085"/>
    <cellStyle name="Total 2 4 3 3 12" xfId="28946"/>
    <cellStyle name="Total 2 4 3 3 12 2" xfId="28947"/>
    <cellStyle name="Total 2 4 3 3 12 3" xfId="28948"/>
    <cellStyle name="Total 2 4 3 3 12 4" xfId="28949"/>
    <cellStyle name="Total 2 4 3 3 12 5" xfId="28950"/>
    <cellStyle name="Total 2 4 3 3 12 6" xfId="49064"/>
    <cellStyle name="Total 2 4 3 3 12 7" xfId="57086"/>
    <cellStyle name="Total 2 4 3 3 13" xfId="28951"/>
    <cellStyle name="Total 2 4 3 3 13 2" xfId="28952"/>
    <cellStyle name="Total 2 4 3 3 13 3" xfId="28953"/>
    <cellStyle name="Total 2 4 3 3 13 4" xfId="28954"/>
    <cellStyle name="Total 2 4 3 3 13 5" xfId="28955"/>
    <cellStyle name="Total 2 4 3 3 13 6" xfId="49065"/>
    <cellStyle name="Total 2 4 3 3 13 7" xfId="57087"/>
    <cellStyle name="Total 2 4 3 3 14" xfId="28956"/>
    <cellStyle name="Total 2 4 3 3 14 2" xfId="28957"/>
    <cellStyle name="Total 2 4 3 3 14 3" xfId="28958"/>
    <cellStyle name="Total 2 4 3 3 14 4" xfId="28959"/>
    <cellStyle name="Total 2 4 3 3 14 5" xfId="28960"/>
    <cellStyle name="Total 2 4 3 3 15" xfId="28961"/>
    <cellStyle name="Total 2 4 3 3 15 2" xfId="28962"/>
    <cellStyle name="Total 2 4 3 3 15 3" xfId="28963"/>
    <cellStyle name="Total 2 4 3 3 15 4" xfId="28964"/>
    <cellStyle name="Total 2 4 3 3 15 5" xfId="28965"/>
    <cellStyle name="Total 2 4 3 3 16" xfId="28966"/>
    <cellStyle name="Total 2 4 3 3 16 2" xfId="28967"/>
    <cellStyle name="Total 2 4 3 3 16 3" xfId="28968"/>
    <cellStyle name="Total 2 4 3 3 16 4" xfId="28969"/>
    <cellStyle name="Total 2 4 3 3 16 5" xfId="28970"/>
    <cellStyle name="Total 2 4 3 3 17" xfId="28971"/>
    <cellStyle name="Total 2 4 3 3 17 2" xfId="28972"/>
    <cellStyle name="Total 2 4 3 3 17 3" xfId="28973"/>
    <cellStyle name="Total 2 4 3 3 17 4" xfId="28974"/>
    <cellStyle name="Total 2 4 3 3 17 5" xfId="28975"/>
    <cellStyle name="Total 2 4 3 3 18" xfId="28976"/>
    <cellStyle name="Total 2 4 3 3 18 2" xfId="28977"/>
    <cellStyle name="Total 2 4 3 3 18 3" xfId="28978"/>
    <cellStyle name="Total 2 4 3 3 18 4" xfId="28979"/>
    <cellStyle name="Total 2 4 3 3 18 5" xfId="28980"/>
    <cellStyle name="Total 2 4 3 3 19" xfId="28981"/>
    <cellStyle name="Total 2 4 3 3 2" xfId="653"/>
    <cellStyle name="Total 2 4 3 3 2 10" xfId="28982"/>
    <cellStyle name="Total 2 4 3 3 2 10 2" xfId="28983"/>
    <cellStyle name="Total 2 4 3 3 2 10 3" xfId="28984"/>
    <cellStyle name="Total 2 4 3 3 2 10 4" xfId="28985"/>
    <cellStyle name="Total 2 4 3 3 2 10 5" xfId="28986"/>
    <cellStyle name="Total 2 4 3 3 2 10 6" xfId="49066"/>
    <cellStyle name="Total 2 4 3 3 2 10 7" xfId="57088"/>
    <cellStyle name="Total 2 4 3 3 2 11" xfId="28987"/>
    <cellStyle name="Total 2 4 3 3 2 11 2" xfId="28988"/>
    <cellStyle name="Total 2 4 3 3 2 11 3" xfId="28989"/>
    <cellStyle name="Total 2 4 3 3 2 11 4" xfId="28990"/>
    <cellStyle name="Total 2 4 3 3 2 11 5" xfId="28991"/>
    <cellStyle name="Total 2 4 3 3 2 12" xfId="28992"/>
    <cellStyle name="Total 2 4 3 3 2 12 2" xfId="28993"/>
    <cellStyle name="Total 2 4 3 3 2 12 3" xfId="28994"/>
    <cellStyle name="Total 2 4 3 3 2 12 4" xfId="28995"/>
    <cellStyle name="Total 2 4 3 3 2 12 5" xfId="28996"/>
    <cellStyle name="Total 2 4 3 3 2 13" xfId="28997"/>
    <cellStyle name="Total 2 4 3 3 2 13 2" xfId="28998"/>
    <cellStyle name="Total 2 4 3 3 2 13 3" xfId="28999"/>
    <cellStyle name="Total 2 4 3 3 2 13 4" xfId="29000"/>
    <cellStyle name="Total 2 4 3 3 2 13 5" xfId="29001"/>
    <cellStyle name="Total 2 4 3 3 2 14" xfId="29002"/>
    <cellStyle name="Total 2 4 3 3 2 14 2" xfId="29003"/>
    <cellStyle name="Total 2 4 3 3 2 14 3" xfId="29004"/>
    <cellStyle name="Total 2 4 3 3 2 14 4" xfId="29005"/>
    <cellStyle name="Total 2 4 3 3 2 14 5" xfId="29006"/>
    <cellStyle name="Total 2 4 3 3 2 15" xfId="29007"/>
    <cellStyle name="Total 2 4 3 3 2 15 2" xfId="29008"/>
    <cellStyle name="Total 2 4 3 3 2 15 3" xfId="29009"/>
    <cellStyle name="Total 2 4 3 3 2 15 4" xfId="29010"/>
    <cellStyle name="Total 2 4 3 3 2 15 5" xfId="29011"/>
    <cellStyle name="Total 2 4 3 3 2 16" xfId="29012"/>
    <cellStyle name="Total 2 4 3 3 2 16 2" xfId="29013"/>
    <cellStyle name="Total 2 4 3 3 2 16 3" xfId="29014"/>
    <cellStyle name="Total 2 4 3 3 2 16 4" xfId="29015"/>
    <cellStyle name="Total 2 4 3 3 2 16 5" xfId="29016"/>
    <cellStyle name="Total 2 4 3 3 2 17" xfId="29017"/>
    <cellStyle name="Total 2 4 3 3 2 17 2" xfId="29018"/>
    <cellStyle name="Total 2 4 3 3 2 17 3" xfId="29019"/>
    <cellStyle name="Total 2 4 3 3 2 17 4" xfId="29020"/>
    <cellStyle name="Total 2 4 3 3 2 17 5" xfId="29021"/>
    <cellStyle name="Total 2 4 3 3 2 18" xfId="29022"/>
    <cellStyle name="Total 2 4 3 3 2 18 2" xfId="29023"/>
    <cellStyle name="Total 2 4 3 3 2 18 3" xfId="29024"/>
    <cellStyle name="Total 2 4 3 3 2 18 4" xfId="29025"/>
    <cellStyle name="Total 2 4 3 3 2 18 5" xfId="29026"/>
    <cellStyle name="Total 2 4 3 3 2 19" xfId="29027"/>
    <cellStyle name="Total 2 4 3 3 2 2" xfId="2849"/>
    <cellStyle name="Total 2 4 3 3 2 2 2" xfId="29028"/>
    <cellStyle name="Total 2 4 3 3 2 2 2 2" xfId="49068"/>
    <cellStyle name="Total 2 4 3 3 2 2 2 3" xfId="57090"/>
    <cellStyle name="Total 2 4 3 3 2 2 3" xfId="29029"/>
    <cellStyle name="Total 2 4 3 3 2 2 4" xfId="29030"/>
    <cellStyle name="Total 2 4 3 3 2 2 5" xfId="29031"/>
    <cellStyle name="Total 2 4 3 3 2 2 6" xfId="36456"/>
    <cellStyle name="Total 2 4 3 3 2 2 7" xfId="49067"/>
    <cellStyle name="Total 2 4 3 3 2 2 8" xfId="57089"/>
    <cellStyle name="Total 2 4 3 3 2 20" xfId="1081"/>
    <cellStyle name="Total 2 4 3 3 2 21" xfId="35161"/>
    <cellStyle name="Total 2 4 3 3 2 22" xfId="41381"/>
    <cellStyle name="Total 2 4 3 3 2 3" xfId="2850"/>
    <cellStyle name="Total 2 4 3 3 2 3 2" xfId="29032"/>
    <cellStyle name="Total 2 4 3 3 2 3 3" xfId="29033"/>
    <cellStyle name="Total 2 4 3 3 2 3 4" xfId="29034"/>
    <cellStyle name="Total 2 4 3 3 2 3 5" xfId="29035"/>
    <cellStyle name="Total 2 4 3 3 2 3 6" xfId="36953"/>
    <cellStyle name="Total 2 4 3 3 2 3 7" xfId="49069"/>
    <cellStyle name="Total 2 4 3 3 2 3 8" xfId="57091"/>
    <cellStyle name="Total 2 4 3 3 2 4" xfId="1461"/>
    <cellStyle name="Total 2 4 3 3 2 4 2" xfId="29036"/>
    <cellStyle name="Total 2 4 3 3 2 4 3" xfId="29037"/>
    <cellStyle name="Total 2 4 3 3 2 4 4" xfId="29038"/>
    <cellStyle name="Total 2 4 3 3 2 4 5" xfId="29039"/>
    <cellStyle name="Total 2 4 3 3 2 4 6" xfId="37569"/>
    <cellStyle name="Total 2 4 3 3 2 4 7" xfId="49070"/>
    <cellStyle name="Total 2 4 3 3 2 4 8" xfId="57092"/>
    <cellStyle name="Total 2 4 3 3 2 5" xfId="3531"/>
    <cellStyle name="Total 2 4 3 3 2 5 2" xfId="29040"/>
    <cellStyle name="Total 2 4 3 3 2 5 3" xfId="29041"/>
    <cellStyle name="Total 2 4 3 3 2 5 4" xfId="29042"/>
    <cellStyle name="Total 2 4 3 3 2 5 5" xfId="29043"/>
    <cellStyle name="Total 2 4 3 3 2 5 6" xfId="38186"/>
    <cellStyle name="Total 2 4 3 3 2 5 7" xfId="49071"/>
    <cellStyle name="Total 2 4 3 3 2 5 8" xfId="57093"/>
    <cellStyle name="Total 2 4 3 3 2 6" xfId="3849"/>
    <cellStyle name="Total 2 4 3 3 2 6 2" xfId="29044"/>
    <cellStyle name="Total 2 4 3 3 2 6 3" xfId="29045"/>
    <cellStyle name="Total 2 4 3 3 2 6 4" xfId="29046"/>
    <cellStyle name="Total 2 4 3 3 2 6 5" xfId="29047"/>
    <cellStyle name="Total 2 4 3 3 2 6 6" xfId="38804"/>
    <cellStyle name="Total 2 4 3 3 2 6 7" xfId="49072"/>
    <cellStyle name="Total 2 4 3 3 2 6 8" xfId="57094"/>
    <cellStyle name="Total 2 4 3 3 2 7" xfId="29048"/>
    <cellStyle name="Total 2 4 3 3 2 7 2" xfId="29049"/>
    <cellStyle name="Total 2 4 3 3 2 7 3" xfId="29050"/>
    <cellStyle name="Total 2 4 3 3 2 7 4" xfId="29051"/>
    <cellStyle name="Total 2 4 3 3 2 7 5" xfId="29052"/>
    <cellStyle name="Total 2 4 3 3 2 7 6" xfId="39424"/>
    <cellStyle name="Total 2 4 3 3 2 7 7" xfId="49073"/>
    <cellStyle name="Total 2 4 3 3 2 7 8" xfId="57095"/>
    <cellStyle name="Total 2 4 3 3 2 8" xfId="29053"/>
    <cellStyle name="Total 2 4 3 3 2 8 2" xfId="29054"/>
    <cellStyle name="Total 2 4 3 3 2 8 3" xfId="29055"/>
    <cellStyle name="Total 2 4 3 3 2 8 4" xfId="29056"/>
    <cellStyle name="Total 2 4 3 3 2 8 5" xfId="29057"/>
    <cellStyle name="Total 2 4 3 3 2 8 6" xfId="40040"/>
    <cellStyle name="Total 2 4 3 3 2 8 7" xfId="49074"/>
    <cellStyle name="Total 2 4 3 3 2 8 8" xfId="57096"/>
    <cellStyle name="Total 2 4 3 3 2 9" xfId="29058"/>
    <cellStyle name="Total 2 4 3 3 2 9 2" xfId="29059"/>
    <cellStyle name="Total 2 4 3 3 2 9 3" xfId="29060"/>
    <cellStyle name="Total 2 4 3 3 2 9 4" xfId="29061"/>
    <cellStyle name="Total 2 4 3 3 2 9 5" xfId="29062"/>
    <cellStyle name="Total 2 4 3 3 2 9 6" xfId="40655"/>
    <cellStyle name="Total 2 4 3 3 2 9 7" xfId="49075"/>
    <cellStyle name="Total 2 4 3 3 2 9 8" xfId="57097"/>
    <cellStyle name="Total 2 4 3 3 20" xfId="869"/>
    <cellStyle name="Total 2 4 3 3 21" xfId="34667"/>
    <cellStyle name="Total 2 4 3 3 22" xfId="40953"/>
    <cellStyle name="Total 2 4 3 3 23" xfId="41514"/>
    <cellStyle name="Total 2 4 3 3 24" xfId="50601"/>
    <cellStyle name="Total 2 4 3 3 3" xfId="2851"/>
    <cellStyle name="Total 2 4 3 3 3 10" xfId="34580"/>
    <cellStyle name="Total 2 4 3 3 3 10 2" xfId="49077"/>
    <cellStyle name="Total 2 4 3 3 3 10 3" xfId="57099"/>
    <cellStyle name="Total 2 4 3 3 3 11" xfId="41168"/>
    <cellStyle name="Total 2 4 3 3 3 12" xfId="49076"/>
    <cellStyle name="Total 2 4 3 3 3 13" xfId="57098"/>
    <cellStyle name="Total 2 4 3 3 3 2" xfId="2852"/>
    <cellStyle name="Total 2 4 3 3 3 2 2" xfId="36245"/>
    <cellStyle name="Total 2 4 3 3 3 2 3" xfId="49078"/>
    <cellStyle name="Total 2 4 3 3 3 2 4" xfId="57100"/>
    <cellStyle name="Total 2 4 3 3 3 3" xfId="2853"/>
    <cellStyle name="Total 2 4 3 3 3 3 2" xfId="36742"/>
    <cellStyle name="Total 2 4 3 3 3 3 3" xfId="49079"/>
    <cellStyle name="Total 2 4 3 3 3 3 4" xfId="57101"/>
    <cellStyle name="Total 2 4 3 3 3 4" xfId="29063"/>
    <cellStyle name="Total 2 4 3 3 3 4 2" xfId="37358"/>
    <cellStyle name="Total 2 4 3 3 3 4 3" xfId="49080"/>
    <cellStyle name="Total 2 4 3 3 3 4 4" xfId="57102"/>
    <cellStyle name="Total 2 4 3 3 3 5" xfId="29064"/>
    <cellStyle name="Total 2 4 3 3 3 5 2" xfId="37974"/>
    <cellStyle name="Total 2 4 3 3 3 5 3" xfId="49081"/>
    <cellStyle name="Total 2 4 3 3 3 5 4" xfId="57103"/>
    <cellStyle name="Total 2 4 3 3 3 6" xfId="38591"/>
    <cellStyle name="Total 2 4 3 3 3 6 2" xfId="49082"/>
    <cellStyle name="Total 2 4 3 3 3 6 3" xfId="57104"/>
    <cellStyle name="Total 2 4 3 3 3 7" xfId="39211"/>
    <cellStyle name="Total 2 4 3 3 3 7 2" xfId="49083"/>
    <cellStyle name="Total 2 4 3 3 3 7 3" xfId="57105"/>
    <cellStyle name="Total 2 4 3 3 3 8" xfId="39827"/>
    <cellStyle name="Total 2 4 3 3 3 8 2" xfId="49084"/>
    <cellStyle name="Total 2 4 3 3 3 8 3" xfId="57106"/>
    <cellStyle name="Total 2 4 3 3 3 9" xfId="40442"/>
    <cellStyle name="Total 2 4 3 3 3 9 2" xfId="49085"/>
    <cellStyle name="Total 2 4 3 3 3 9 3" xfId="57107"/>
    <cellStyle name="Total 2 4 3 3 4" xfId="2854"/>
    <cellStyle name="Total 2 4 3 3 4 10" xfId="49086"/>
    <cellStyle name="Total 2 4 3 3 4 11" xfId="57108"/>
    <cellStyle name="Total 2 4 3 3 4 2" xfId="29065"/>
    <cellStyle name="Total 2 4 3 3 4 2 2" xfId="49087"/>
    <cellStyle name="Total 2 4 3 3 4 2 3" xfId="57109"/>
    <cellStyle name="Total 2 4 3 3 4 3" xfId="29066"/>
    <cellStyle name="Total 2 4 3 3 4 3 2" xfId="49088"/>
    <cellStyle name="Total 2 4 3 3 4 3 3" xfId="57110"/>
    <cellStyle name="Total 2 4 3 3 4 4" xfId="29067"/>
    <cellStyle name="Total 2 4 3 3 4 4 2" xfId="49089"/>
    <cellStyle name="Total 2 4 3 3 4 4 3" xfId="57111"/>
    <cellStyle name="Total 2 4 3 3 4 5" xfId="29068"/>
    <cellStyle name="Total 2 4 3 3 4 5 2" xfId="49090"/>
    <cellStyle name="Total 2 4 3 3 4 5 3" xfId="57112"/>
    <cellStyle name="Total 2 4 3 3 4 6" xfId="36530"/>
    <cellStyle name="Total 2 4 3 3 4 6 2" xfId="49091"/>
    <cellStyle name="Total 2 4 3 3 4 6 3" xfId="57113"/>
    <cellStyle name="Total 2 4 3 3 4 7" xfId="49092"/>
    <cellStyle name="Total 2 4 3 3 4 7 2" xfId="57114"/>
    <cellStyle name="Total 2 4 3 3 4 8" xfId="49093"/>
    <cellStyle name="Total 2 4 3 3 4 8 2" xfId="57115"/>
    <cellStyle name="Total 2 4 3 3 4 9" xfId="49094"/>
    <cellStyle name="Total 2 4 3 3 4 9 2" xfId="57116"/>
    <cellStyle name="Total 2 4 3 3 5" xfId="1460"/>
    <cellStyle name="Total 2 4 3 3 5 2" xfId="29069"/>
    <cellStyle name="Total 2 4 3 3 5 3" xfId="29070"/>
    <cellStyle name="Total 2 4 3 3 5 4" xfId="29071"/>
    <cellStyle name="Total 2 4 3 3 5 5" xfId="29072"/>
    <cellStyle name="Total 2 4 3 3 5 6" xfId="37146"/>
    <cellStyle name="Total 2 4 3 3 5 7" xfId="49095"/>
    <cellStyle name="Total 2 4 3 3 5 8" xfId="57117"/>
    <cellStyle name="Total 2 4 3 3 6" xfId="3530"/>
    <cellStyle name="Total 2 4 3 3 6 2" xfId="29073"/>
    <cellStyle name="Total 2 4 3 3 6 3" xfId="29074"/>
    <cellStyle name="Total 2 4 3 3 6 4" xfId="29075"/>
    <cellStyle name="Total 2 4 3 3 6 5" xfId="29076"/>
    <cellStyle name="Total 2 4 3 3 6 6" xfId="37760"/>
    <cellStyle name="Total 2 4 3 3 6 7" xfId="49096"/>
    <cellStyle name="Total 2 4 3 3 6 8" xfId="57118"/>
    <cellStyle name="Total 2 4 3 3 7" xfId="3848"/>
    <cellStyle name="Total 2 4 3 3 7 2" xfId="29077"/>
    <cellStyle name="Total 2 4 3 3 7 3" xfId="29078"/>
    <cellStyle name="Total 2 4 3 3 7 4" xfId="29079"/>
    <cellStyle name="Total 2 4 3 3 7 5" xfId="29080"/>
    <cellStyle name="Total 2 4 3 3 7 6" xfId="38376"/>
    <cellStyle name="Total 2 4 3 3 7 7" xfId="49097"/>
    <cellStyle name="Total 2 4 3 3 7 8" xfId="57119"/>
    <cellStyle name="Total 2 4 3 3 8" xfId="29081"/>
    <cellStyle name="Total 2 4 3 3 8 2" xfId="29082"/>
    <cellStyle name="Total 2 4 3 3 8 3" xfId="29083"/>
    <cellStyle name="Total 2 4 3 3 8 4" xfId="29084"/>
    <cellStyle name="Total 2 4 3 3 8 5" xfId="29085"/>
    <cellStyle name="Total 2 4 3 3 8 6" xfId="38996"/>
    <cellStyle name="Total 2 4 3 3 8 7" xfId="49098"/>
    <cellStyle name="Total 2 4 3 3 8 8" xfId="57120"/>
    <cellStyle name="Total 2 4 3 3 9" xfId="29086"/>
    <cellStyle name="Total 2 4 3 3 9 2" xfId="29087"/>
    <cellStyle name="Total 2 4 3 3 9 3" xfId="29088"/>
    <cellStyle name="Total 2 4 3 3 9 4" xfId="29089"/>
    <cellStyle name="Total 2 4 3 3 9 5" xfId="29090"/>
    <cellStyle name="Total 2 4 3 3 9 6" xfId="39612"/>
    <cellStyle name="Total 2 4 3 3 9 7" xfId="49099"/>
    <cellStyle name="Total 2 4 3 3 9 8" xfId="57121"/>
    <cellStyle name="Total 2 4 3 4" xfId="536"/>
    <cellStyle name="Total 2 4 3 4 10" xfId="29091"/>
    <cellStyle name="Total 2 4 3 4 10 2" xfId="29092"/>
    <cellStyle name="Total 2 4 3 4 10 3" xfId="29093"/>
    <cellStyle name="Total 2 4 3 4 10 4" xfId="29094"/>
    <cellStyle name="Total 2 4 3 4 10 5" xfId="29095"/>
    <cellStyle name="Total 2 4 3 4 10 6" xfId="49100"/>
    <cellStyle name="Total 2 4 3 4 10 7" xfId="57122"/>
    <cellStyle name="Total 2 4 3 4 11" xfId="29096"/>
    <cellStyle name="Total 2 4 3 4 11 2" xfId="29097"/>
    <cellStyle name="Total 2 4 3 4 11 3" xfId="29098"/>
    <cellStyle name="Total 2 4 3 4 11 4" xfId="29099"/>
    <cellStyle name="Total 2 4 3 4 11 5" xfId="29100"/>
    <cellStyle name="Total 2 4 3 4 12" xfId="29101"/>
    <cellStyle name="Total 2 4 3 4 12 2" xfId="29102"/>
    <cellStyle name="Total 2 4 3 4 12 3" xfId="29103"/>
    <cellStyle name="Total 2 4 3 4 12 4" xfId="29104"/>
    <cellStyle name="Total 2 4 3 4 12 5" xfId="29105"/>
    <cellStyle name="Total 2 4 3 4 13" xfId="29106"/>
    <cellStyle name="Total 2 4 3 4 13 2" xfId="29107"/>
    <cellStyle name="Total 2 4 3 4 13 3" xfId="29108"/>
    <cellStyle name="Total 2 4 3 4 13 4" xfId="29109"/>
    <cellStyle name="Total 2 4 3 4 13 5" xfId="29110"/>
    <cellStyle name="Total 2 4 3 4 14" xfId="29111"/>
    <cellStyle name="Total 2 4 3 4 14 2" xfId="29112"/>
    <cellStyle name="Total 2 4 3 4 14 3" xfId="29113"/>
    <cellStyle name="Total 2 4 3 4 14 4" xfId="29114"/>
    <cellStyle name="Total 2 4 3 4 14 5" xfId="29115"/>
    <cellStyle name="Total 2 4 3 4 15" xfId="29116"/>
    <cellStyle name="Total 2 4 3 4 15 2" xfId="29117"/>
    <cellStyle name="Total 2 4 3 4 15 3" xfId="29118"/>
    <cellStyle name="Total 2 4 3 4 15 4" xfId="29119"/>
    <cellStyle name="Total 2 4 3 4 15 5" xfId="29120"/>
    <cellStyle name="Total 2 4 3 4 16" xfId="29121"/>
    <cellStyle name="Total 2 4 3 4 16 2" xfId="29122"/>
    <cellStyle name="Total 2 4 3 4 16 3" xfId="29123"/>
    <cellStyle name="Total 2 4 3 4 16 4" xfId="29124"/>
    <cellStyle name="Total 2 4 3 4 16 5" xfId="29125"/>
    <cellStyle name="Total 2 4 3 4 17" xfId="29126"/>
    <cellStyle name="Total 2 4 3 4 17 2" xfId="29127"/>
    <cellStyle name="Total 2 4 3 4 17 3" xfId="29128"/>
    <cellStyle name="Total 2 4 3 4 17 4" xfId="29129"/>
    <cellStyle name="Total 2 4 3 4 17 5" xfId="29130"/>
    <cellStyle name="Total 2 4 3 4 18" xfId="29131"/>
    <cellStyle name="Total 2 4 3 4 18 2" xfId="29132"/>
    <cellStyle name="Total 2 4 3 4 18 3" xfId="29133"/>
    <cellStyle name="Total 2 4 3 4 18 4" xfId="29134"/>
    <cellStyle name="Total 2 4 3 4 18 5" xfId="29135"/>
    <cellStyle name="Total 2 4 3 4 19" xfId="29136"/>
    <cellStyle name="Total 2 4 3 4 2" xfId="2855"/>
    <cellStyle name="Total 2 4 3 4 2 2" xfId="29137"/>
    <cellStyle name="Total 2 4 3 4 2 2 2" xfId="49102"/>
    <cellStyle name="Total 2 4 3 4 2 2 3" xfId="57124"/>
    <cellStyle name="Total 2 4 3 4 2 3" xfId="29138"/>
    <cellStyle name="Total 2 4 3 4 2 4" xfId="29139"/>
    <cellStyle name="Total 2 4 3 4 2 5" xfId="29140"/>
    <cellStyle name="Total 2 4 3 4 2 6" xfId="36340"/>
    <cellStyle name="Total 2 4 3 4 2 7" xfId="49101"/>
    <cellStyle name="Total 2 4 3 4 2 8" xfId="57123"/>
    <cellStyle name="Total 2 4 3 4 20" xfId="965"/>
    <cellStyle name="Total 2 4 3 4 21" xfId="35045"/>
    <cellStyle name="Total 2 4 3 4 22" xfId="40754"/>
    <cellStyle name="Total 2 4 3 4 23" xfId="41264"/>
    <cellStyle name="Total 2 4 3 4 3" xfId="2856"/>
    <cellStyle name="Total 2 4 3 4 3 2" xfId="29141"/>
    <cellStyle name="Total 2 4 3 4 3 3" xfId="29142"/>
    <cellStyle name="Total 2 4 3 4 3 4" xfId="29143"/>
    <cellStyle name="Total 2 4 3 4 3 5" xfId="29144"/>
    <cellStyle name="Total 2 4 3 4 3 6" xfId="36837"/>
    <cellStyle name="Total 2 4 3 4 3 7" xfId="49103"/>
    <cellStyle name="Total 2 4 3 4 3 8" xfId="57125"/>
    <cellStyle name="Total 2 4 3 4 4" xfId="1462"/>
    <cellStyle name="Total 2 4 3 4 4 2" xfId="29145"/>
    <cellStyle name="Total 2 4 3 4 4 3" xfId="29146"/>
    <cellStyle name="Total 2 4 3 4 4 4" xfId="29147"/>
    <cellStyle name="Total 2 4 3 4 4 5" xfId="29148"/>
    <cellStyle name="Total 2 4 3 4 4 6" xfId="37453"/>
    <cellStyle name="Total 2 4 3 4 4 7" xfId="49104"/>
    <cellStyle name="Total 2 4 3 4 4 8" xfId="57126"/>
    <cellStyle name="Total 2 4 3 4 5" xfId="3532"/>
    <cellStyle name="Total 2 4 3 4 5 2" xfId="29149"/>
    <cellStyle name="Total 2 4 3 4 5 3" xfId="29150"/>
    <cellStyle name="Total 2 4 3 4 5 4" xfId="29151"/>
    <cellStyle name="Total 2 4 3 4 5 5" xfId="29152"/>
    <cellStyle name="Total 2 4 3 4 5 6" xfId="38069"/>
    <cellStyle name="Total 2 4 3 4 5 7" xfId="49105"/>
    <cellStyle name="Total 2 4 3 4 5 8" xfId="57127"/>
    <cellStyle name="Total 2 4 3 4 6" xfId="3850"/>
    <cellStyle name="Total 2 4 3 4 6 2" xfId="29153"/>
    <cellStyle name="Total 2 4 3 4 6 3" xfId="29154"/>
    <cellStyle name="Total 2 4 3 4 6 4" xfId="29155"/>
    <cellStyle name="Total 2 4 3 4 6 5" xfId="29156"/>
    <cellStyle name="Total 2 4 3 4 6 6" xfId="38687"/>
    <cellStyle name="Total 2 4 3 4 6 7" xfId="49106"/>
    <cellStyle name="Total 2 4 3 4 6 8" xfId="57128"/>
    <cellStyle name="Total 2 4 3 4 7" xfId="29157"/>
    <cellStyle name="Total 2 4 3 4 7 2" xfId="29158"/>
    <cellStyle name="Total 2 4 3 4 7 3" xfId="29159"/>
    <cellStyle name="Total 2 4 3 4 7 4" xfId="29160"/>
    <cellStyle name="Total 2 4 3 4 7 5" xfId="29161"/>
    <cellStyle name="Total 2 4 3 4 7 6" xfId="39307"/>
    <cellStyle name="Total 2 4 3 4 7 7" xfId="49107"/>
    <cellStyle name="Total 2 4 3 4 7 8" xfId="57129"/>
    <cellStyle name="Total 2 4 3 4 8" xfId="29162"/>
    <cellStyle name="Total 2 4 3 4 8 2" xfId="29163"/>
    <cellStyle name="Total 2 4 3 4 8 3" xfId="29164"/>
    <cellStyle name="Total 2 4 3 4 8 4" xfId="29165"/>
    <cellStyle name="Total 2 4 3 4 8 5" xfId="29166"/>
    <cellStyle name="Total 2 4 3 4 8 6" xfId="39923"/>
    <cellStyle name="Total 2 4 3 4 8 7" xfId="49108"/>
    <cellStyle name="Total 2 4 3 4 8 8" xfId="57130"/>
    <cellStyle name="Total 2 4 3 4 9" xfId="29167"/>
    <cellStyle name="Total 2 4 3 4 9 2" xfId="29168"/>
    <cellStyle name="Total 2 4 3 4 9 3" xfId="29169"/>
    <cellStyle name="Total 2 4 3 4 9 4" xfId="29170"/>
    <cellStyle name="Total 2 4 3 4 9 5" xfId="29171"/>
    <cellStyle name="Total 2 4 3 4 9 6" xfId="40538"/>
    <cellStyle name="Total 2 4 3 4 9 7" xfId="49109"/>
    <cellStyle name="Total 2 4 3 4 9 8" xfId="57131"/>
    <cellStyle name="Total 2 4 3 5" xfId="2857"/>
    <cellStyle name="Total 2 4 3 5 10" xfId="34639"/>
    <cellStyle name="Total 2 4 3 5 10 2" xfId="49111"/>
    <cellStyle name="Total 2 4 3 5 10 3" xfId="57133"/>
    <cellStyle name="Total 2 4 3 5 11" xfId="41050"/>
    <cellStyle name="Total 2 4 3 5 12" xfId="49110"/>
    <cellStyle name="Total 2 4 3 5 13" xfId="57132"/>
    <cellStyle name="Total 2 4 3 5 2" xfId="2858"/>
    <cellStyle name="Total 2 4 3 5 2 2" xfId="36127"/>
    <cellStyle name="Total 2 4 3 5 2 3" xfId="49112"/>
    <cellStyle name="Total 2 4 3 5 2 4" xfId="57134"/>
    <cellStyle name="Total 2 4 3 5 3" xfId="2859"/>
    <cellStyle name="Total 2 4 3 5 3 2" xfId="36626"/>
    <cellStyle name="Total 2 4 3 5 3 3" xfId="49113"/>
    <cellStyle name="Total 2 4 3 5 3 4" xfId="57135"/>
    <cellStyle name="Total 2 4 3 5 4" xfId="29172"/>
    <cellStyle name="Total 2 4 3 5 4 2" xfId="37242"/>
    <cellStyle name="Total 2 4 3 5 4 3" xfId="49114"/>
    <cellStyle name="Total 2 4 3 5 4 4" xfId="57136"/>
    <cellStyle name="Total 2 4 3 5 5" xfId="29173"/>
    <cellStyle name="Total 2 4 3 5 5 2" xfId="37858"/>
    <cellStyle name="Total 2 4 3 5 5 3" xfId="49115"/>
    <cellStyle name="Total 2 4 3 5 5 4" xfId="57137"/>
    <cellStyle name="Total 2 4 3 5 6" xfId="38473"/>
    <cellStyle name="Total 2 4 3 5 6 2" xfId="49116"/>
    <cellStyle name="Total 2 4 3 5 6 3" xfId="57138"/>
    <cellStyle name="Total 2 4 3 5 7" xfId="39093"/>
    <cellStyle name="Total 2 4 3 5 7 2" xfId="49117"/>
    <cellStyle name="Total 2 4 3 5 7 3" xfId="57139"/>
    <cellStyle name="Total 2 4 3 5 8" xfId="39709"/>
    <cellStyle name="Total 2 4 3 5 8 2" xfId="49118"/>
    <cellStyle name="Total 2 4 3 5 8 3" xfId="57140"/>
    <cellStyle name="Total 2 4 3 5 9" xfId="40324"/>
    <cellStyle name="Total 2 4 3 5 9 2" xfId="49119"/>
    <cellStyle name="Total 2 4 3 5 9 3" xfId="57141"/>
    <cellStyle name="Total 2 4 3 6" xfId="1457"/>
    <cellStyle name="Total 2 4 3 6 10" xfId="49120"/>
    <cellStyle name="Total 2 4 3 6 11" xfId="57142"/>
    <cellStyle name="Total 2 4 3 6 2" xfId="29174"/>
    <cellStyle name="Total 2 4 3 6 2 2" xfId="49121"/>
    <cellStyle name="Total 2 4 3 6 2 3" xfId="57143"/>
    <cellStyle name="Total 2 4 3 6 3" xfId="29175"/>
    <cellStyle name="Total 2 4 3 6 3 2" xfId="49122"/>
    <cellStyle name="Total 2 4 3 6 3 3" xfId="57144"/>
    <cellStyle name="Total 2 4 3 6 4" xfId="29176"/>
    <cellStyle name="Total 2 4 3 6 4 2" xfId="49123"/>
    <cellStyle name="Total 2 4 3 6 4 3" xfId="57145"/>
    <cellStyle name="Total 2 4 3 6 5" xfId="29177"/>
    <cellStyle name="Total 2 4 3 6 5 2" xfId="49124"/>
    <cellStyle name="Total 2 4 3 6 5 3" xfId="57146"/>
    <cellStyle name="Total 2 4 3 6 6" xfId="35445"/>
    <cellStyle name="Total 2 4 3 6 6 2" xfId="49125"/>
    <cellStyle name="Total 2 4 3 6 6 3" xfId="57147"/>
    <cellStyle name="Total 2 4 3 6 7" xfId="49126"/>
    <cellStyle name="Total 2 4 3 6 7 2" xfId="57148"/>
    <cellStyle name="Total 2 4 3 6 8" xfId="49127"/>
    <cellStyle name="Total 2 4 3 6 8 2" xfId="57149"/>
    <cellStyle name="Total 2 4 3 6 9" xfId="49128"/>
    <cellStyle name="Total 2 4 3 6 9 2" xfId="57150"/>
    <cellStyle name="Total 2 4 3 7" xfId="3527"/>
    <cellStyle name="Total 2 4 3 7 2" xfId="29178"/>
    <cellStyle name="Total 2 4 3 7 3" xfId="29179"/>
    <cellStyle name="Total 2 4 3 7 4" xfId="29180"/>
    <cellStyle name="Total 2 4 3 7 5" xfId="29181"/>
    <cellStyle name="Total 2 4 3 7 6" xfId="35977"/>
    <cellStyle name="Total 2 4 3 7 7" xfId="49129"/>
    <cellStyle name="Total 2 4 3 7 8" xfId="57151"/>
    <cellStyle name="Total 2 4 3 8" xfId="3845"/>
    <cellStyle name="Total 2 4 3 8 2" xfId="29182"/>
    <cellStyle name="Total 2 4 3 8 3" xfId="29183"/>
    <cellStyle name="Total 2 4 3 8 4" xfId="29184"/>
    <cellStyle name="Total 2 4 3 8 5" xfId="29185"/>
    <cellStyle name="Total 2 4 3 8 6" xfId="35799"/>
    <cellStyle name="Total 2 4 3 8 7" xfId="49130"/>
    <cellStyle name="Total 2 4 3 8 8" xfId="57152"/>
    <cellStyle name="Total 2 4 3 9" xfId="29186"/>
    <cellStyle name="Total 2 4 3 9 2" xfId="29187"/>
    <cellStyle name="Total 2 4 3 9 3" xfId="29188"/>
    <cellStyle name="Total 2 4 3 9 4" xfId="29189"/>
    <cellStyle name="Total 2 4 3 9 5" xfId="29190"/>
    <cellStyle name="Total 2 4 3 9 6" xfId="37022"/>
    <cellStyle name="Total 2 4 3 9 7" xfId="49131"/>
    <cellStyle name="Total 2 4 3 9 8" xfId="57153"/>
    <cellStyle name="Total 2 4 4" xfId="439"/>
    <cellStyle name="Total 2 4 4 10" xfId="29191"/>
    <cellStyle name="Total 2 4 4 10 2" xfId="29192"/>
    <cellStyle name="Total 2 4 4 10 3" xfId="29193"/>
    <cellStyle name="Total 2 4 4 10 4" xfId="29194"/>
    <cellStyle name="Total 2 4 4 10 5" xfId="29195"/>
    <cellStyle name="Total 2 4 4 10 6" xfId="39613"/>
    <cellStyle name="Total 2 4 4 10 7" xfId="49132"/>
    <cellStyle name="Total 2 4 4 10 8" xfId="57154"/>
    <cellStyle name="Total 2 4 4 11" xfId="29196"/>
    <cellStyle name="Total 2 4 4 11 2" xfId="29197"/>
    <cellStyle name="Total 2 4 4 11 3" xfId="29198"/>
    <cellStyle name="Total 2 4 4 11 4" xfId="29199"/>
    <cellStyle name="Total 2 4 4 11 5" xfId="29200"/>
    <cellStyle name="Total 2 4 4 11 6" xfId="40228"/>
    <cellStyle name="Total 2 4 4 11 7" xfId="49133"/>
    <cellStyle name="Total 2 4 4 11 8" xfId="57155"/>
    <cellStyle name="Total 2 4 4 12" xfId="29201"/>
    <cellStyle name="Total 2 4 4 12 2" xfId="29202"/>
    <cellStyle name="Total 2 4 4 12 3" xfId="29203"/>
    <cellStyle name="Total 2 4 4 12 4" xfId="29204"/>
    <cellStyle name="Total 2 4 4 12 5" xfId="29205"/>
    <cellStyle name="Total 2 4 4 12 6" xfId="49134"/>
    <cellStyle name="Total 2 4 4 12 7" xfId="57156"/>
    <cellStyle name="Total 2 4 4 13" xfId="29206"/>
    <cellStyle name="Total 2 4 4 13 2" xfId="29207"/>
    <cellStyle name="Total 2 4 4 13 3" xfId="29208"/>
    <cellStyle name="Total 2 4 4 13 4" xfId="29209"/>
    <cellStyle name="Total 2 4 4 13 5" xfId="29210"/>
    <cellStyle name="Total 2 4 4 13 6" xfId="49135"/>
    <cellStyle name="Total 2 4 4 13 7" xfId="57157"/>
    <cellStyle name="Total 2 4 4 14" xfId="29211"/>
    <cellStyle name="Total 2 4 4 14 2" xfId="29212"/>
    <cellStyle name="Total 2 4 4 14 3" xfId="29213"/>
    <cellStyle name="Total 2 4 4 14 4" xfId="29214"/>
    <cellStyle name="Total 2 4 4 14 5" xfId="29215"/>
    <cellStyle name="Total 2 4 4 15" xfId="29216"/>
    <cellStyle name="Total 2 4 4 15 2" xfId="29217"/>
    <cellStyle name="Total 2 4 4 15 3" xfId="29218"/>
    <cellStyle name="Total 2 4 4 15 4" xfId="29219"/>
    <cellStyle name="Total 2 4 4 15 5" xfId="29220"/>
    <cellStyle name="Total 2 4 4 16" xfId="29221"/>
    <cellStyle name="Total 2 4 4 16 2" xfId="29222"/>
    <cellStyle name="Total 2 4 4 16 3" xfId="29223"/>
    <cellStyle name="Total 2 4 4 16 4" xfId="29224"/>
    <cellStyle name="Total 2 4 4 16 5" xfId="29225"/>
    <cellStyle name="Total 2 4 4 17" xfId="29226"/>
    <cellStyle name="Total 2 4 4 17 2" xfId="29227"/>
    <cellStyle name="Total 2 4 4 17 3" xfId="29228"/>
    <cellStyle name="Total 2 4 4 17 4" xfId="29229"/>
    <cellStyle name="Total 2 4 4 17 5" xfId="29230"/>
    <cellStyle name="Total 2 4 4 18" xfId="29231"/>
    <cellStyle name="Total 2 4 4 18 2" xfId="29232"/>
    <cellStyle name="Total 2 4 4 18 3" xfId="29233"/>
    <cellStyle name="Total 2 4 4 18 4" xfId="29234"/>
    <cellStyle name="Total 2 4 4 18 5" xfId="29235"/>
    <cellStyle name="Total 2 4 4 19" xfId="29236"/>
    <cellStyle name="Total 2 4 4 2" xfId="654"/>
    <cellStyle name="Total 2 4 4 2 10" xfId="29237"/>
    <cellStyle name="Total 2 4 4 2 10 2" xfId="29238"/>
    <cellStyle name="Total 2 4 4 2 10 3" xfId="29239"/>
    <cellStyle name="Total 2 4 4 2 10 4" xfId="29240"/>
    <cellStyle name="Total 2 4 4 2 10 5" xfId="29241"/>
    <cellStyle name="Total 2 4 4 2 10 6" xfId="49136"/>
    <cellStyle name="Total 2 4 4 2 10 7" xfId="57158"/>
    <cellStyle name="Total 2 4 4 2 11" xfId="29242"/>
    <cellStyle name="Total 2 4 4 2 11 2" xfId="29243"/>
    <cellStyle name="Total 2 4 4 2 11 3" xfId="29244"/>
    <cellStyle name="Total 2 4 4 2 11 4" xfId="29245"/>
    <cellStyle name="Total 2 4 4 2 11 5" xfId="29246"/>
    <cellStyle name="Total 2 4 4 2 12" xfId="29247"/>
    <cellStyle name="Total 2 4 4 2 12 2" xfId="29248"/>
    <cellStyle name="Total 2 4 4 2 12 3" xfId="29249"/>
    <cellStyle name="Total 2 4 4 2 12 4" xfId="29250"/>
    <cellStyle name="Total 2 4 4 2 12 5" xfId="29251"/>
    <cellStyle name="Total 2 4 4 2 13" xfId="29252"/>
    <cellStyle name="Total 2 4 4 2 13 2" xfId="29253"/>
    <cellStyle name="Total 2 4 4 2 13 3" xfId="29254"/>
    <cellStyle name="Total 2 4 4 2 13 4" xfId="29255"/>
    <cellStyle name="Total 2 4 4 2 13 5" xfId="29256"/>
    <cellStyle name="Total 2 4 4 2 14" xfId="29257"/>
    <cellStyle name="Total 2 4 4 2 14 2" xfId="29258"/>
    <cellStyle name="Total 2 4 4 2 14 3" xfId="29259"/>
    <cellStyle name="Total 2 4 4 2 14 4" xfId="29260"/>
    <cellStyle name="Total 2 4 4 2 14 5" xfId="29261"/>
    <cellStyle name="Total 2 4 4 2 15" xfId="29262"/>
    <cellStyle name="Total 2 4 4 2 15 2" xfId="29263"/>
    <cellStyle name="Total 2 4 4 2 15 3" xfId="29264"/>
    <cellStyle name="Total 2 4 4 2 15 4" xfId="29265"/>
    <cellStyle name="Total 2 4 4 2 15 5" xfId="29266"/>
    <cellStyle name="Total 2 4 4 2 16" xfId="29267"/>
    <cellStyle name="Total 2 4 4 2 16 2" xfId="29268"/>
    <cellStyle name="Total 2 4 4 2 16 3" xfId="29269"/>
    <cellStyle name="Total 2 4 4 2 16 4" xfId="29270"/>
    <cellStyle name="Total 2 4 4 2 16 5" xfId="29271"/>
    <cellStyle name="Total 2 4 4 2 17" xfId="29272"/>
    <cellStyle name="Total 2 4 4 2 17 2" xfId="29273"/>
    <cellStyle name="Total 2 4 4 2 17 3" xfId="29274"/>
    <cellStyle name="Total 2 4 4 2 17 4" xfId="29275"/>
    <cellStyle name="Total 2 4 4 2 17 5" xfId="29276"/>
    <cellStyle name="Total 2 4 4 2 18" xfId="29277"/>
    <cellStyle name="Total 2 4 4 2 18 2" xfId="29278"/>
    <cellStyle name="Total 2 4 4 2 18 3" xfId="29279"/>
    <cellStyle name="Total 2 4 4 2 18 4" xfId="29280"/>
    <cellStyle name="Total 2 4 4 2 18 5" xfId="29281"/>
    <cellStyle name="Total 2 4 4 2 19" xfId="29282"/>
    <cellStyle name="Total 2 4 4 2 2" xfId="2860"/>
    <cellStyle name="Total 2 4 4 2 2 2" xfId="29283"/>
    <cellStyle name="Total 2 4 4 2 2 2 2" xfId="49138"/>
    <cellStyle name="Total 2 4 4 2 2 2 3" xfId="57160"/>
    <cellStyle name="Total 2 4 4 2 2 3" xfId="29284"/>
    <cellStyle name="Total 2 4 4 2 2 4" xfId="29285"/>
    <cellStyle name="Total 2 4 4 2 2 5" xfId="29286"/>
    <cellStyle name="Total 2 4 4 2 2 6" xfId="36457"/>
    <cellStyle name="Total 2 4 4 2 2 7" xfId="49137"/>
    <cellStyle name="Total 2 4 4 2 2 8" xfId="57159"/>
    <cellStyle name="Total 2 4 4 2 20" xfId="1082"/>
    <cellStyle name="Total 2 4 4 2 21" xfId="35162"/>
    <cellStyle name="Total 2 4 4 2 22" xfId="41382"/>
    <cellStyle name="Total 2 4 4 2 3" xfId="2861"/>
    <cellStyle name="Total 2 4 4 2 3 2" xfId="29287"/>
    <cellStyle name="Total 2 4 4 2 3 3" xfId="29288"/>
    <cellStyle name="Total 2 4 4 2 3 4" xfId="29289"/>
    <cellStyle name="Total 2 4 4 2 3 5" xfId="29290"/>
    <cellStyle name="Total 2 4 4 2 3 6" xfId="36954"/>
    <cellStyle name="Total 2 4 4 2 3 7" xfId="49139"/>
    <cellStyle name="Total 2 4 4 2 3 8" xfId="57161"/>
    <cellStyle name="Total 2 4 4 2 4" xfId="1464"/>
    <cellStyle name="Total 2 4 4 2 4 2" xfId="29291"/>
    <cellStyle name="Total 2 4 4 2 4 3" xfId="29292"/>
    <cellStyle name="Total 2 4 4 2 4 4" xfId="29293"/>
    <cellStyle name="Total 2 4 4 2 4 5" xfId="29294"/>
    <cellStyle name="Total 2 4 4 2 4 6" xfId="37570"/>
    <cellStyle name="Total 2 4 4 2 4 7" xfId="49140"/>
    <cellStyle name="Total 2 4 4 2 4 8" xfId="57162"/>
    <cellStyle name="Total 2 4 4 2 5" xfId="3534"/>
    <cellStyle name="Total 2 4 4 2 5 2" xfId="29295"/>
    <cellStyle name="Total 2 4 4 2 5 3" xfId="29296"/>
    <cellStyle name="Total 2 4 4 2 5 4" xfId="29297"/>
    <cellStyle name="Total 2 4 4 2 5 5" xfId="29298"/>
    <cellStyle name="Total 2 4 4 2 5 6" xfId="38187"/>
    <cellStyle name="Total 2 4 4 2 5 7" xfId="49141"/>
    <cellStyle name="Total 2 4 4 2 5 8" xfId="57163"/>
    <cellStyle name="Total 2 4 4 2 6" xfId="3852"/>
    <cellStyle name="Total 2 4 4 2 6 2" xfId="29299"/>
    <cellStyle name="Total 2 4 4 2 6 3" xfId="29300"/>
    <cellStyle name="Total 2 4 4 2 6 4" xfId="29301"/>
    <cellStyle name="Total 2 4 4 2 6 5" xfId="29302"/>
    <cellStyle name="Total 2 4 4 2 6 6" xfId="38805"/>
    <cellStyle name="Total 2 4 4 2 6 7" xfId="49142"/>
    <cellStyle name="Total 2 4 4 2 6 8" xfId="57164"/>
    <cellStyle name="Total 2 4 4 2 7" xfId="29303"/>
    <cellStyle name="Total 2 4 4 2 7 2" xfId="29304"/>
    <cellStyle name="Total 2 4 4 2 7 3" xfId="29305"/>
    <cellStyle name="Total 2 4 4 2 7 4" xfId="29306"/>
    <cellStyle name="Total 2 4 4 2 7 5" xfId="29307"/>
    <cellStyle name="Total 2 4 4 2 7 6" xfId="39425"/>
    <cellStyle name="Total 2 4 4 2 7 7" xfId="49143"/>
    <cellStyle name="Total 2 4 4 2 7 8" xfId="57165"/>
    <cellStyle name="Total 2 4 4 2 8" xfId="29308"/>
    <cellStyle name="Total 2 4 4 2 8 2" xfId="29309"/>
    <cellStyle name="Total 2 4 4 2 8 3" xfId="29310"/>
    <cellStyle name="Total 2 4 4 2 8 4" xfId="29311"/>
    <cellStyle name="Total 2 4 4 2 8 5" xfId="29312"/>
    <cellStyle name="Total 2 4 4 2 8 6" xfId="40041"/>
    <cellStyle name="Total 2 4 4 2 8 7" xfId="49144"/>
    <cellStyle name="Total 2 4 4 2 8 8" xfId="57166"/>
    <cellStyle name="Total 2 4 4 2 9" xfId="29313"/>
    <cellStyle name="Total 2 4 4 2 9 2" xfId="29314"/>
    <cellStyle name="Total 2 4 4 2 9 3" xfId="29315"/>
    <cellStyle name="Total 2 4 4 2 9 4" xfId="29316"/>
    <cellStyle name="Total 2 4 4 2 9 5" xfId="29317"/>
    <cellStyle name="Total 2 4 4 2 9 6" xfId="40656"/>
    <cellStyle name="Total 2 4 4 2 9 7" xfId="49145"/>
    <cellStyle name="Total 2 4 4 2 9 8" xfId="57167"/>
    <cellStyle name="Total 2 4 4 20" xfId="870"/>
    <cellStyle name="Total 2 4 4 21" xfId="34666"/>
    <cellStyle name="Total 2 4 4 22" xfId="40954"/>
    <cellStyle name="Total 2 4 4 23" xfId="41515"/>
    <cellStyle name="Total 2 4 4 24" xfId="50602"/>
    <cellStyle name="Total 2 4 4 3" xfId="2862"/>
    <cellStyle name="Total 2 4 4 3 10" xfId="34579"/>
    <cellStyle name="Total 2 4 4 3 10 2" xfId="49147"/>
    <cellStyle name="Total 2 4 4 3 10 3" xfId="57169"/>
    <cellStyle name="Total 2 4 4 3 11" xfId="41169"/>
    <cellStyle name="Total 2 4 4 3 12" xfId="49146"/>
    <cellStyle name="Total 2 4 4 3 13" xfId="57168"/>
    <cellStyle name="Total 2 4 4 3 2" xfId="2863"/>
    <cellStyle name="Total 2 4 4 3 2 2" xfId="36246"/>
    <cellStyle name="Total 2 4 4 3 2 3" xfId="49148"/>
    <cellStyle name="Total 2 4 4 3 2 4" xfId="57170"/>
    <cellStyle name="Total 2 4 4 3 3" xfId="2864"/>
    <cellStyle name="Total 2 4 4 3 3 2" xfId="36743"/>
    <cellStyle name="Total 2 4 4 3 3 3" xfId="49149"/>
    <cellStyle name="Total 2 4 4 3 3 4" xfId="57171"/>
    <cellStyle name="Total 2 4 4 3 4" xfId="29318"/>
    <cellStyle name="Total 2 4 4 3 4 2" xfId="37359"/>
    <cellStyle name="Total 2 4 4 3 4 3" xfId="49150"/>
    <cellStyle name="Total 2 4 4 3 4 4" xfId="57172"/>
    <cellStyle name="Total 2 4 4 3 5" xfId="29319"/>
    <cellStyle name="Total 2 4 4 3 5 2" xfId="37975"/>
    <cellStyle name="Total 2 4 4 3 5 3" xfId="49151"/>
    <cellStyle name="Total 2 4 4 3 5 4" xfId="57173"/>
    <cellStyle name="Total 2 4 4 3 6" xfId="38592"/>
    <cellStyle name="Total 2 4 4 3 6 2" xfId="49152"/>
    <cellStyle name="Total 2 4 4 3 6 3" xfId="57174"/>
    <cellStyle name="Total 2 4 4 3 7" xfId="39212"/>
    <cellStyle name="Total 2 4 4 3 7 2" xfId="49153"/>
    <cellStyle name="Total 2 4 4 3 7 3" xfId="57175"/>
    <cellStyle name="Total 2 4 4 3 8" xfId="39828"/>
    <cellStyle name="Total 2 4 4 3 8 2" xfId="49154"/>
    <cellStyle name="Total 2 4 4 3 8 3" xfId="57176"/>
    <cellStyle name="Total 2 4 4 3 9" xfId="40443"/>
    <cellStyle name="Total 2 4 4 3 9 2" xfId="49155"/>
    <cellStyle name="Total 2 4 4 3 9 3" xfId="57177"/>
    <cellStyle name="Total 2 4 4 4" xfId="2865"/>
    <cellStyle name="Total 2 4 4 4 10" xfId="49156"/>
    <cellStyle name="Total 2 4 4 4 11" xfId="57178"/>
    <cellStyle name="Total 2 4 4 4 2" xfId="29320"/>
    <cellStyle name="Total 2 4 4 4 2 2" xfId="49157"/>
    <cellStyle name="Total 2 4 4 4 2 3" xfId="57179"/>
    <cellStyle name="Total 2 4 4 4 3" xfId="29321"/>
    <cellStyle name="Total 2 4 4 4 3 2" xfId="49158"/>
    <cellStyle name="Total 2 4 4 4 3 3" xfId="57180"/>
    <cellStyle name="Total 2 4 4 4 4" xfId="29322"/>
    <cellStyle name="Total 2 4 4 4 4 2" xfId="49159"/>
    <cellStyle name="Total 2 4 4 4 4 3" xfId="57181"/>
    <cellStyle name="Total 2 4 4 4 5" xfId="29323"/>
    <cellStyle name="Total 2 4 4 4 5 2" xfId="49160"/>
    <cellStyle name="Total 2 4 4 4 5 3" xfId="57182"/>
    <cellStyle name="Total 2 4 4 4 6" xfId="35670"/>
    <cellStyle name="Total 2 4 4 4 6 2" xfId="49161"/>
    <cellStyle name="Total 2 4 4 4 6 3" xfId="57183"/>
    <cellStyle name="Total 2 4 4 4 7" xfId="49162"/>
    <cellStyle name="Total 2 4 4 4 7 2" xfId="57184"/>
    <cellStyle name="Total 2 4 4 4 8" xfId="49163"/>
    <cellStyle name="Total 2 4 4 4 8 2" xfId="57185"/>
    <cellStyle name="Total 2 4 4 4 9" xfId="49164"/>
    <cellStyle name="Total 2 4 4 4 9 2" xfId="57186"/>
    <cellStyle name="Total 2 4 4 5" xfId="1463"/>
    <cellStyle name="Total 2 4 4 5 2" xfId="29324"/>
    <cellStyle name="Total 2 4 4 5 3" xfId="29325"/>
    <cellStyle name="Total 2 4 4 5 4" xfId="29326"/>
    <cellStyle name="Total 2 4 4 5 5" xfId="29327"/>
    <cellStyle name="Total 2 4 4 5 6" xfId="36531"/>
    <cellStyle name="Total 2 4 4 5 7" xfId="49165"/>
    <cellStyle name="Total 2 4 4 5 8" xfId="57187"/>
    <cellStyle name="Total 2 4 4 6" xfId="3533"/>
    <cellStyle name="Total 2 4 4 6 2" xfId="29328"/>
    <cellStyle name="Total 2 4 4 6 3" xfId="29329"/>
    <cellStyle name="Total 2 4 4 6 4" xfId="29330"/>
    <cellStyle name="Total 2 4 4 6 5" xfId="29331"/>
    <cellStyle name="Total 2 4 4 6 6" xfId="37147"/>
    <cellStyle name="Total 2 4 4 6 7" xfId="49166"/>
    <cellStyle name="Total 2 4 4 6 8" xfId="57188"/>
    <cellStyle name="Total 2 4 4 7" xfId="3851"/>
    <cellStyle name="Total 2 4 4 7 2" xfId="29332"/>
    <cellStyle name="Total 2 4 4 7 3" xfId="29333"/>
    <cellStyle name="Total 2 4 4 7 4" xfId="29334"/>
    <cellStyle name="Total 2 4 4 7 5" xfId="29335"/>
    <cellStyle name="Total 2 4 4 7 6" xfId="37761"/>
    <cellStyle name="Total 2 4 4 7 7" xfId="49167"/>
    <cellStyle name="Total 2 4 4 7 8" xfId="57189"/>
    <cellStyle name="Total 2 4 4 8" xfId="29336"/>
    <cellStyle name="Total 2 4 4 8 2" xfId="29337"/>
    <cellStyle name="Total 2 4 4 8 3" xfId="29338"/>
    <cellStyle name="Total 2 4 4 8 4" xfId="29339"/>
    <cellStyle name="Total 2 4 4 8 5" xfId="29340"/>
    <cellStyle name="Total 2 4 4 8 6" xfId="38377"/>
    <cellStyle name="Total 2 4 4 8 7" xfId="49168"/>
    <cellStyle name="Total 2 4 4 8 8" xfId="57190"/>
    <cellStyle name="Total 2 4 4 9" xfId="29341"/>
    <cellStyle name="Total 2 4 4 9 2" xfId="29342"/>
    <cellStyle name="Total 2 4 4 9 3" xfId="29343"/>
    <cellStyle name="Total 2 4 4 9 4" xfId="29344"/>
    <cellStyle name="Total 2 4 4 9 5" xfId="29345"/>
    <cellStyle name="Total 2 4 4 9 6" xfId="38997"/>
    <cellStyle name="Total 2 4 4 9 7" xfId="49169"/>
    <cellStyle name="Total 2 4 4 9 8" xfId="57191"/>
    <cellStyle name="Total 2 4 5" xfId="440"/>
    <cellStyle name="Total 2 4 5 10" xfId="29346"/>
    <cellStyle name="Total 2 4 5 10 2" xfId="29347"/>
    <cellStyle name="Total 2 4 5 10 3" xfId="29348"/>
    <cellStyle name="Total 2 4 5 10 4" xfId="29349"/>
    <cellStyle name="Total 2 4 5 10 5" xfId="29350"/>
    <cellStyle name="Total 2 4 5 10 6" xfId="40229"/>
    <cellStyle name="Total 2 4 5 10 7" xfId="49170"/>
    <cellStyle name="Total 2 4 5 10 8" xfId="57192"/>
    <cellStyle name="Total 2 4 5 11" xfId="29351"/>
    <cellStyle name="Total 2 4 5 11 2" xfId="29352"/>
    <cellStyle name="Total 2 4 5 11 3" xfId="29353"/>
    <cellStyle name="Total 2 4 5 11 4" xfId="29354"/>
    <cellStyle name="Total 2 4 5 11 5" xfId="29355"/>
    <cellStyle name="Total 2 4 5 11 6" xfId="49171"/>
    <cellStyle name="Total 2 4 5 11 7" xfId="57193"/>
    <cellStyle name="Total 2 4 5 12" xfId="29356"/>
    <cellStyle name="Total 2 4 5 12 2" xfId="29357"/>
    <cellStyle name="Total 2 4 5 12 3" xfId="29358"/>
    <cellStyle name="Total 2 4 5 12 4" xfId="29359"/>
    <cellStyle name="Total 2 4 5 12 5" xfId="29360"/>
    <cellStyle name="Total 2 4 5 12 6" xfId="49172"/>
    <cellStyle name="Total 2 4 5 12 7" xfId="57194"/>
    <cellStyle name="Total 2 4 5 13" xfId="29361"/>
    <cellStyle name="Total 2 4 5 13 2" xfId="29362"/>
    <cellStyle name="Total 2 4 5 13 3" xfId="29363"/>
    <cellStyle name="Total 2 4 5 13 4" xfId="29364"/>
    <cellStyle name="Total 2 4 5 13 5" xfId="29365"/>
    <cellStyle name="Total 2 4 5 13 6" xfId="49173"/>
    <cellStyle name="Total 2 4 5 13 7" xfId="57195"/>
    <cellStyle name="Total 2 4 5 14" xfId="29366"/>
    <cellStyle name="Total 2 4 5 14 2" xfId="29367"/>
    <cellStyle name="Total 2 4 5 14 3" xfId="29368"/>
    <cellStyle name="Total 2 4 5 14 4" xfId="29369"/>
    <cellStyle name="Total 2 4 5 14 5" xfId="29370"/>
    <cellStyle name="Total 2 4 5 15" xfId="29371"/>
    <cellStyle name="Total 2 4 5 15 2" xfId="29372"/>
    <cellStyle name="Total 2 4 5 15 3" xfId="29373"/>
    <cellStyle name="Total 2 4 5 15 4" xfId="29374"/>
    <cellStyle name="Total 2 4 5 15 5" xfId="29375"/>
    <cellStyle name="Total 2 4 5 16" xfId="29376"/>
    <cellStyle name="Total 2 4 5 16 2" xfId="29377"/>
    <cellStyle name="Total 2 4 5 16 3" xfId="29378"/>
    <cellStyle name="Total 2 4 5 16 4" xfId="29379"/>
    <cellStyle name="Total 2 4 5 16 5" xfId="29380"/>
    <cellStyle name="Total 2 4 5 17" xfId="29381"/>
    <cellStyle name="Total 2 4 5 17 2" xfId="29382"/>
    <cellStyle name="Total 2 4 5 17 3" xfId="29383"/>
    <cellStyle name="Total 2 4 5 17 4" xfId="29384"/>
    <cellStyle name="Total 2 4 5 17 5" xfId="29385"/>
    <cellStyle name="Total 2 4 5 18" xfId="29386"/>
    <cellStyle name="Total 2 4 5 18 2" xfId="29387"/>
    <cellStyle name="Total 2 4 5 18 3" xfId="29388"/>
    <cellStyle name="Total 2 4 5 18 4" xfId="29389"/>
    <cellStyle name="Total 2 4 5 18 5" xfId="29390"/>
    <cellStyle name="Total 2 4 5 19" xfId="29391"/>
    <cellStyle name="Total 2 4 5 2" xfId="655"/>
    <cellStyle name="Total 2 4 5 2 10" xfId="29392"/>
    <cellStyle name="Total 2 4 5 2 10 2" xfId="29393"/>
    <cellStyle name="Total 2 4 5 2 10 3" xfId="29394"/>
    <cellStyle name="Total 2 4 5 2 10 4" xfId="29395"/>
    <cellStyle name="Total 2 4 5 2 10 5" xfId="29396"/>
    <cellStyle name="Total 2 4 5 2 10 6" xfId="49174"/>
    <cellStyle name="Total 2 4 5 2 10 7" xfId="57196"/>
    <cellStyle name="Total 2 4 5 2 11" xfId="29397"/>
    <cellStyle name="Total 2 4 5 2 11 2" xfId="29398"/>
    <cellStyle name="Total 2 4 5 2 11 3" xfId="29399"/>
    <cellStyle name="Total 2 4 5 2 11 4" xfId="29400"/>
    <cellStyle name="Total 2 4 5 2 11 5" xfId="29401"/>
    <cellStyle name="Total 2 4 5 2 12" xfId="29402"/>
    <cellStyle name="Total 2 4 5 2 12 2" xfId="29403"/>
    <cellStyle name="Total 2 4 5 2 12 3" xfId="29404"/>
    <cellStyle name="Total 2 4 5 2 12 4" xfId="29405"/>
    <cellStyle name="Total 2 4 5 2 12 5" xfId="29406"/>
    <cellStyle name="Total 2 4 5 2 13" xfId="29407"/>
    <cellStyle name="Total 2 4 5 2 13 2" xfId="29408"/>
    <cellStyle name="Total 2 4 5 2 13 3" xfId="29409"/>
    <cellStyle name="Total 2 4 5 2 13 4" xfId="29410"/>
    <cellStyle name="Total 2 4 5 2 13 5" xfId="29411"/>
    <cellStyle name="Total 2 4 5 2 14" xfId="29412"/>
    <cellStyle name="Total 2 4 5 2 14 2" xfId="29413"/>
    <cellStyle name="Total 2 4 5 2 14 3" xfId="29414"/>
    <cellStyle name="Total 2 4 5 2 14 4" xfId="29415"/>
    <cellStyle name="Total 2 4 5 2 14 5" xfId="29416"/>
    <cellStyle name="Total 2 4 5 2 15" xfId="29417"/>
    <cellStyle name="Total 2 4 5 2 15 2" xfId="29418"/>
    <cellStyle name="Total 2 4 5 2 15 3" xfId="29419"/>
    <cellStyle name="Total 2 4 5 2 15 4" xfId="29420"/>
    <cellStyle name="Total 2 4 5 2 15 5" xfId="29421"/>
    <cellStyle name="Total 2 4 5 2 16" xfId="29422"/>
    <cellStyle name="Total 2 4 5 2 16 2" xfId="29423"/>
    <cellStyle name="Total 2 4 5 2 16 3" xfId="29424"/>
    <cellStyle name="Total 2 4 5 2 16 4" xfId="29425"/>
    <cellStyle name="Total 2 4 5 2 16 5" xfId="29426"/>
    <cellStyle name="Total 2 4 5 2 17" xfId="29427"/>
    <cellStyle name="Total 2 4 5 2 17 2" xfId="29428"/>
    <cellStyle name="Total 2 4 5 2 17 3" xfId="29429"/>
    <cellStyle name="Total 2 4 5 2 17 4" xfId="29430"/>
    <cellStyle name="Total 2 4 5 2 17 5" xfId="29431"/>
    <cellStyle name="Total 2 4 5 2 18" xfId="29432"/>
    <cellStyle name="Total 2 4 5 2 18 2" xfId="29433"/>
    <cellStyle name="Total 2 4 5 2 18 3" xfId="29434"/>
    <cellStyle name="Total 2 4 5 2 18 4" xfId="29435"/>
    <cellStyle name="Total 2 4 5 2 18 5" xfId="29436"/>
    <cellStyle name="Total 2 4 5 2 19" xfId="29437"/>
    <cellStyle name="Total 2 4 5 2 2" xfId="2866"/>
    <cellStyle name="Total 2 4 5 2 2 2" xfId="29438"/>
    <cellStyle name="Total 2 4 5 2 2 2 2" xfId="49176"/>
    <cellStyle name="Total 2 4 5 2 2 2 3" xfId="57198"/>
    <cellStyle name="Total 2 4 5 2 2 3" xfId="29439"/>
    <cellStyle name="Total 2 4 5 2 2 4" xfId="29440"/>
    <cellStyle name="Total 2 4 5 2 2 5" xfId="29441"/>
    <cellStyle name="Total 2 4 5 2 2 6" xfId="36458"/>
    <cellStyle name="Total 2 4 5 2 2 7" xfId="49175"/>
    <cellStyle name="Total 2 4 5 2 2 8" xfId="57197"/>
    <cellStyle name="Total 2 4 5 2 20" xfId="1083"/>
    <cellStyle name="Total 2 4 5 2 21" xfId="35163"/>
    <cellStyle name="Total 2 4 5 2 22" xfId="41383"/>
    <cellStyle name="Total 2 4 5 2 3" xfId="2867"/>
    <cellStyle name="Total 2 4 5 2 3 2" xfId="29442"/>
    <cellStyle name="Total 2 4 5 2 3 3" xfId="29443"/>
    <cellStyle name="Total 2 4 5 2 3 4" xfId="29444"/>
    <cellStyle name="Total 2 4 5 2 3 5" xfId="29445"/>
    <cellStyle name="Total 2 4 5 2 3 6" xfId="36955"/>
    <cellStyle name="Total 2 4 5 2 3 7" xfId="49177"/>
    <cellStyle name="Total 2 4 5 2 3 8" xfId="57199"/>
    <cellStyle name="Total 2 4 5 2 4" xfId="1466"/>
    <cellStyle name="Total 2 4 5 2 4 2" xfId="29446"/>
    <cellStyle name="Total 2 4 5 2 4 3" xfId="29447"/>
    <cellStyle name="Total 2 4 5 2 4 4" xfId="29448"/>
    <cellStyle name="Total 2 4 5 2 4 5" xfId="29449"/>
    <cellStyle name="Total 2 4 5 2 4 6" xfId="37571"/>
    <cellStyle name="Total 2 4 5 2 4 7" xfId="49178"/>
    <cellStyle name="Total 2 4 5 2 4 8" xfId="57200"/>
    <cellStyle name="Total 2 4 5 2 5" xfId="3536"/>
    <cellStyle name="Total 2 4 5 2 5 2" xfId="29450"/>
    <cellStyle name="Total 2 4 5 2 5 3" xfId="29451"/>
    <cellStyle name="Total 2 4 5 2 5 4" xfId="29452"/>
    <cellStyle name="Total 2 4 5 2 5 5" xfId="29453"/>
    <cellStyle name="Total 2 4 5 2 5 6" xfId="38188"/>
    <cellStyle name="Total 2 4 5 2 5 7" xfId="49179"/>
    <cellStyle name="Total 2 4 5 2 5 8" xfId="57201"/>
    <cellStyle name="Total 2 4 5 2 6" xfId="3854"/>
    <cellStyle name="Total 2 4 5 2 6 2" xfId="29454"/>
    <cellStyle name="Total 2 4 5 2 6 3" xfId="29455"/>
    <cellStyle name="Total 2 4 5 2 6 4" xfId="29456"/>
    <cellStyle name="Total 2 4 5 2 6 5" xfId="29457"/>
    <cellStyle name="Total 2 4 5 2 6 6" xfId="38806"/>
    <cellStyle name="Total 2 4 5 2 6 7" xfId="49180"/>
    <cellStyle name="Total 2 4 5 2 6 8" xfId="57202"/>
    <cellStyle name="Total 2 4 5 2 7" xfId="29458"/>
    <cellStyle name="Total 2 4 5 2 7 2" xfId="29459"/>
    <cellStyle name="Total 2 4 5 2 7 3" xfId="29460"/>
    <cellStyle name="Total 2 4 5 2 7 4" xfId="29461"/>
    <cellStyle name="Total 2 4 5 2 7 5" xfId="29462"/>
    <cellStyle name="Total 2 4 5 2 7 6" xfId="39426"/>
    <cellStyle name="Total 2 4 5 2 7 7" xfId="49181"/>
    <cellStyle name="Total 2 4 5 2 7 8" xfId="57203"/>
    <cellStyle name="Total 2 4 5 2 8" xfId="29463"/>
    <cellStyle name="Total 2 4 5 2 8 2" xfId="29464"/>
    <cellStyle name="Total 2 4 5 2 8 3" xfId="29465"/>
    <cellStyle name="Total 2 4 5 2 8 4" xfId="29466"/>
    <cellStyle name="Total 2 4 5 2 8 5" xfId="29467"/>
    <cellStyle name="Total 2 4 5 2 8 6" xfId="40042"/>
    <cellStyle name="Total 2 4 5 2 8 7" xfId="49182"/>
    <cellStyle name="Total 2 4 5 2 8 8" xfId="57204"/>
    <cellStyle name="Total 2 4 5 2 9" xfId="29468"/>
    <cellStyle name="Total 2 4 5 2 9 2" xfId="29469"/>
    <cellStyle name="Total 2 4 5 2 9 3" xfId="29470"/>
    <cellStyle name="Total 2 4 5 2 9 4" xfId="29471"/>
    <cellStyle name="Total 2 4 5 2 9 5" xfId="29472"/>
    <cellStyle name="Total 2 4 5 2 9 6" xfId="40657"/>
    <cellStyle name="Total 2 4 5 2 9 7" xfId="49183"/>
    <cellStyle name="Total 2 4 5 2 9 8" xfId="57205"/>
    <cellStyle name="Total 2 4 5 20" xfId="871"/>
    <cellStyle name="Total 2 4 5 21" xfId="34665"/>
    <cellStyle name="Total 2 4 5 22" xfId="40955"/>
    <cellStyle name="Total 2 4 5 23" xfId="41516"/>
    <cellStyle name="Total 2 4 5 24" xfId="50603"/>
    <cellStyle name="Total 2 4 5 3" xfId="2868"/>
    <cellStyle name="Total 2 4 5 3 10" xfId="34578"/>
    <cellStyle name="Total 2 4 5 3 10 2" xfId="49185"/>
    <cellStyle name="Total 2 4 5 3 10 3" xfId="57207"/>
    <cellStyle name="Total 2 4 5 3 11" xfId="41170"/>
    <cellStyle name="Total 2 4 5 3 12" xfId="49184"/>
    <cellStyle name="Total 2 4 5 3 13" xfId="57206"/>
    <cellStyle name="Total 2 4 5 3 2" xfId="2869"/>
    <cellStyle name="Total 2 4 5 3 2 2" xfId="36247"/>
    <cellStyle name="Total 2 4 5 3 2 3" xfId="49186"/>
    <cellStyle name="Total 2 4 5 3 2 4" xfId="57208"/>
    <cellStyle name="Total 2 4 5 3 3" xfId="2870"/>
    <cellStyle name="Total 2 4 5 3 3 2" xfId="36744"/>
    <cellStyle name="Total 2 4 5 3 3 3" xfId="49187"/>
    <cellStyle name="Total 2 4 5 3 3 4" xfId="57209"/>
    <cellStyle name="Total 2 4 5 3 4" xfId="29473"/>
    <cellStyle name="Total 2 4 5 3 4 2" xfId="37360"/>
    <cellStyle name="Total 2 4 5 3 4 3" xfId="49188"/>
    <cellStyle name="Total 2 4 5 3 4 4" xfId="57210"/>
    <cellStyle name="Total 2 4 5 3 5" xfId="29474"/>
    <cellStyle name="Total 2 4 5 3 5 2" xfId="37976"/>
    <cellStyle name="Total 2 4 5 3 5 3" xfId="49189"/>
    <cellStyle name="Total 2 4 5 3 5 4" xfId="57211"/>
    <cellStyle name="Total 2 4 5 3 6" xfId="38593"/>
    <cellStyle name="Total 2 4 5 3 6 2" xfId="49190"/>
    <cellStyle name="Total 2 4 5 3 6 3" xfId="57212"/>
    <cellStyle name="Total 2 4 5 3 7" xfId="39213"/>
    <cellStyle name="Total 2 4 5 3 7 2" xfId="49191"/>
    <cellStyle name="Total 2 4 5 3 7 3" xfId="57213"/>
    <cellStyle name="Total 2 4 5 3 8" xfId="39829"/>
    <cellStyle name="Total 2 4 5 3 8 2" xfId="49192"/>
    <cellStyle name="Total 2 4 5 3 8 3" xfId="57214"/>
    <cellStyle name="Total 2 4 5 3 9" xfId="40444"/>
    <cellStyle name="Total 2 4 5 3 9 2" xfId="49193"/>
    <cellStyle name="Total 2 4 5 3 9 3" xfId="57215"/>
    <cellStyle name="Total 2 4 5 4" xfId="2871"/>
    <cellStyle name="Total 2 4 5 4 10" xfId="49194"/>
    <cellStyle name="Total 2 4 5 4 11" xfId="57216"/>
    <cellStyle name="Total 2 4 5 4 2" xfId="29475"/>
    <cellStyle name="Total 2 4 5 4 2 2" xfId="49195"/>
    <cellStyle name="Total 2 4 5 4 2 3" xfId="57217"/>
    <cellStyle name="Total 2 4 5 4 3" xfId="29476"/>
    <cellStyle name="Total 2 4 5 4 3 2" xfId="49196"/>
    <cellStyle name="Total 2 4 5 4 3 3" xfId="57218"/>
    <cellStyle name="Total 2 4 5 4 4" xfId="29477"/>
    <cellStyle name="Total 2 4 5 4 4 2" xfId="49197"/>
    <cellStyle name="Total 2 4 5 4 4 3" xfId="57219"/>
    <cellStyle name="Total 2 4 5 4 5" xfId="29478"/>
    <cellStyle name="Total 2 4 5 4 5 2" xfId="49198"/>
    <cellStyle name="Total 2 4 5 4 5 3" xfId="57220"/>
    <cellStyle name="Total 2 4 5 4 6" xfId="36532"/>
    <cellStyle name="Total 2 4 5 4 6 2" xfId="49199"/>
    <cellStyle name="Total 2 4 5 4 6 3" xfId="57221"/>
    <cellStyle name="Total 2 4 5 4 7" xfId="49200"/>
    <cellStyle name="Total 2 4 5 4 7 2" xfId="57222"/>
    <cellStyle name="Total 2 4 5 4 8" xfId="49201"/>
    <cellStyle name="Total 2 4 5 4 8 2" xfId="57223"/>
    <cellStyle name="Total 2 4 5 4 9" xfId="49202"/>
    <cellStyle name="Total 2 4 5 4 9 2" xfId="57224"/>
    <cellStyle name="Total 2 4 5 5" xfId="1465"/>
    <cellStyle name="Total 2 4 5 5 2" xfId="29479"/>
    <cellStyle name="Total 2 4 5 5 3" xfId="29480"/>
    <cellStyle name="Total 2 4 5 5 4" xfId="29481"/>
    <cellStyle name="Total 2 4 5 5 5" xfId="29482"/>
    <cellStyle name="Total 2 4 5 5 6" xfId="37148"/>
    <cellStyle name="Total 2 4 5 5 7" xfId="49203"/>
    <cellStyle name="Total 2 4 5 5 8" xfId="57225"/>
    <cellStyle name="Total 2 4 5 6" xfId="3535"/>
    <cellStyle name="Total 2 4 5 6 2" xfId="29483"/>
    <cellStyle name="Total 2 4 5 6 3" xfId="29484"/>
    <cellStyle name="Total 2 4 5 6 4" xfId="29485"/>
    <cellStyle name="Total 2 4 5 6 5" xfId="29486"/>
    <cellStyle name="Total 2 4 5 6 6" xfId="37762"/>
    <cellStyle name="Total 2 4 5 6 7" xfId="49204"/>
    <cellStyle name="Total 2 4 5 6 8" xfId="57226"/>
    <cellStyle name="Total 2 4 5 7" xfId="3853"/>
    <cellStyle name="Total 2 4 5 7 2" xfId="29487"/>
    <cellStyle name="Total 2 4 5 7 3" xfId="29488"/>
    <cellStyle name="Total 2 4 5 7 4" xfId="29489"/>
    <cellStyle name="Total 2 4 5 7 5" xfId="29490"/>
    <cellStyle name="Total 2 4 5 7 6" xfId="38378"/>
    <cellStyle name="Total 2 4 5 7 7" xfId="49205"/>
    <cellStyle name="Total 2 4 5 7 8" xfId="57227"/>
    <cellStyle name="Total 2 4 5 8" xfId="29491"/>
    <cellStyle name="Total 2 4 5 8 2" xfId="29492"/>
    <cellStyle name="Total 2 4 5 8 3" xfId="29493"/>
    <cellStyle name="Total 2 4 5 8 4" xfId="29494"/>
    <cellStyle name="Total 2 4 5 8 5" xfId="29495"/>
    <cellStyle name="Total 2 4 5 8 6" xfId="38998"/>
    <cellStyle name="Total 2 4 5 8 7" xfId="49206"/>
    <cellStyle name="Total 2 4 5 8 8" xfId="57228"/>
    <cellStyle name="Total 2 4 5 9" xfId="29496"/>
    <cellStyle name="Total 2 4 5 9 2" xfId="29497"/>
    <cellStyle name="Total 2 4 5 9 3" xfId="29498"/>
    <cellStyle name="Total 2 4 5 9 4" xfId="29499"/>
    <cellStyle name="Total 2 4 5 9 5" xfId="29500"/>
    <cellStyle name="Total 2 4 5 9 6" xfId="39614"/>
    <cellStyle name="Total 2 4 5 9 7" xfId="49207"/>
    <cellStyle name="Total 2 4 5 9 8" xfId="57229"/>
    <cellStyle name="Total 2 4 6" xfId="492"/>
    <cellStyle name="Total 2 4 6 10" xfId="29501"/>
    <cellStyle name="Total 2 4 6 10 2" xfId="29502"/>
    <cellStyle name="Total 2 4 6 10 3" xfId="29503"/>
    <cellStyle name="Total 2 4 6 10 4" xfId="29504"/>
    <cellStyle name="Total 2 4 6 10 5" xfId="29505"/>
    <cellStyle name="Total 2 4 6 10 6" xfId="49208"/>
    <cellStyle name="Total 2 4 6 10 7" xfId="57230"/>
    <cellStyle name="Total 2 4 6 11" xfId="29506"/>
    <cellStyle name="Total 2 4 6 11 2" xfId="29507"/>
    <cellStyle name="Total 2 4 6 11 3" xfId="29508"/>
    <cellStyle name="Total 2 4 6 11 4" xfId="29509"/>
    <cellStyle name="Total 2 4 6 11 5" xfId="29510"/>
    <cellStyle name="Total 2 4 6 12" xfId="29511"/>
    <cellStyle name="Total 2 4 6 12 2" xfId="29512"/>
    <cellStyle name="Total 2 4 6 12 3" xfId="29513"/>
    <cellStyle name="Total 2 4 6 12 4" xfId="29514"/>
    <cellStyle name="Total 2 4 6 12 5" xfId="29515"/>
    <cellStyle name="Total 2 4 6 13" xfId="29516"/>
    <cellStyle name="Total 2 4 6 13 2" xfId="29517"/>
    <cellStyle name="Total 2 4 6 13 3" xfId="29518"/>
    <cellStyle name="Total 2 4 6 13 4" xfId="29519"/>
    <cellStyle name="Total 2 4 6 13 5" xfId="29520"/>
    <cellStyle name="Total 2 4 6 14" xfId="29521"/>
    <cellStyle name="Total 2 4 6 14 2" xfId="29522"/>
    <cellStyle name="Total 2 4 6 14 3" xfId="29523"/>
    <cellStyle name="Total 2 4 6 14 4" xfId="29524"/>
    <cellStyle name="Total 2 4 6 14 5" xfId="29525"/>
    <cellStyle name="Total 2 4 6 15" xfId="29526"/>
    <cellStyle name="Total 2 4 6 15 2" xfId="29527"/>
    <cellStyle name="Total 2 4 6 15 3" xfId="29528"/>
    <cellStyle name="Total 2 4 6 15 4" xfId="29529"/>
    <cellStyle name="Total 2 4 6 15 5" xfId="29530"/>
    <cellStyle name="Total 2 4 6 16" xfId="29531"/>
    <cellStyle name="Total 2 4 6 16 2" xfId="29532"/>
    <cellStyle name="Total 2 4 6 16 3" xfId="29533"/>
    <cellStyle name="Total 2 4 6 16 4" xfId="29534"/>
    <cellStyle name="Total 2 4 6 16 5" xfId="29535"/>
    <cellStyle name="Total 2 4 6 17" xfId="29536"/>
    <cellStyle name="Total 2 4 6 17 2" xfId="29537"/>
    <cellStyle name="Total 2 4 6 17 3" xfId="29538"/>
    <cellStyle name="Total 2 4 6 17 4" xfId="29539"/>
    <cellStyle name="Total 2 4 6 17 5" xfId="29540"/>
    <cellStyle name="Total 2 4 6 18" xfId="29541"/>
    <cellStyle name="Total 2 4 6 18 2" xfId="29542"/>
    <cellStyle name="Total 2 4 6 18 3" xfId="29543"/>
    <cellStyle name="Total 2 4 6 18 4" xfId="29544"/>
    <cellStyle name="Total 2 4 6 18 5" xfId="29545"/>
    <cellStyle name="Total 2 4 6 19" xfId="29546"/>
    <cellStyle name="Total 2 4 6 2" xfId="2872"/>
    <cellStyle name="Total 2 4 6 2 2" xfId="29547"/>
    <cellStyle name="Total 2 4 6 2 2 2" xfId="49210"/>
    <cellStyle name="Total 2 4 6 2 2 3" xfId="57232"/>
    <cellStyle name="Total 2 4 6 2 3" xfId="29548"/>
    <cellStyle name="Total 2 4 6 2 4" xfId="29549"/>
    <cellStyle name="Total 2 4 6 2 5" xfId="29550"/>
    <cellStyle name="Total 2 4 6 2 6" xfId="36296"/>
    <cellStyle name="Total 2 4 6 2 7" xfId="49209"/>
    <cellStyle name="Total 2 4 6 2 8" xfId="57231"/>
    <cellStyle name="Total 2 4 6 20" xfId="921"/>
    <cellStyle name="Total 2 4 6 21" xfId="35001"/>
    <cellStyle name="Total 2 4 6 22" xfId="40710"/>
    <cellStyle name="Total 2 4 6 23" xfId="41220"/>
    <cellStyle name="Total 2 4 6 3" xfId="2873"/>
    <cellStyle name="Total 2 4 6 3 2" xfId="29551"/>
    <cellStyle name="Total 2 4 6 3 3" xfId="29552"/>
    <cellStyle name="Total 2 4 6 3 4" xfId="29553"/>
    <cellStyle name="Total 2 4 6 3 5" xfId="29554"/>
    <cellStyle name="Total 2 4 6 3 6" xfId="36793"/>
    <cellStyle name="Total 2 4 6 3 7" xfId="49211"/>
    <cellStyle name="Total 2 4 6 3 8" xfId="57233"/>
    <cellStyle name="Total 2 4 6 4" xfId="1467"/>
    <cellStyle name="Total 2 4 6 4 2" xfId="29555"/>
    <cellStyle name="Total 2 4 6 4 3" xfId="29556"/>
    <cellStyle name="Total 2 4 6 4 4" xfId="29557"/>
    <cellStyle name="Total 2 4 6 4 5" xfId="29558"/>
    <cellStyle name="Total 2 4 6 4 6" xfId="37409"/>
    <cellStyle name="Total 2 4 6 4 7" xfId="49212"/>
    <cellStyle name="Total 2 4 6 4 8" xfId="57234"/>
    <cellStyle name="Total 2 4 6 5" xfId="3537"/>
    <cellStyle name="Total 2 4 6 5 2" xfId="29559"/>
    <cellStyle name="Total 2 4 6 5 3" xfId="29560"/>
    <cellStyle name="Total 2 4 6 5 4" xfId="29561"/>
    <cellStyle name="Total 2 4 6 5 5" xfId="29562"/>
    <cellStyle name="Total 2 4 6 5 6" xfId="38025"/>
    <cellStyle name="Total 2 4 6 5 7" xfId="49213"/>
    <cellStyle name="Total 2 4 6 5 8" xfId="57235"/>
    <cellStyle name="Total 2 4 6 6" xfId="3855"/>
    <cellStyle name="Total 2 4 6 6 2" xfId="29563"/>
    <cellStyle name="Total 2 4 6 6 3" xfId="29564"/>
    <cellStyle name="Total 2 4 6 6 4" xfId="29565"/>
    <cellStyle name="Total 2 4 6 6 5" xfId="29566"/>
    <cellStyle name="Total 2 4 6 6 6" xfId="38643"/>
    <cellStyle name="Total 2 4 6 6 7" xfId="49214"/>
    <cellStyle name="Total 2 4 6 6 8" xfId="57236"/>
    <cellStyle name="Total 2 4 6 7" xfId="29567"/>
    <cellStyle name="Total 2 4 6 7 2" xfId="29568"/>
    <cellStyle name="Total 2 4 6 7 3" xfId="29569"/>
    <cellStyle name="Total 2 4 6 7 4" xfId="29570"/>
    <cellStyle name="Total 2 4 6 7 5" xfId="29571"/>
    <cellStyle name="Total 2 4 6 7 6" xfId="39263"/>
    <cellStyle name="Total 2 4 6 7 7" xfId="49215"/>
    <cellStyle name="Total 2 4 6 7 8" xfId="57237"/>
    <cellStyle name="Total 2 4 6 8" xfId="29572"/>
    <cellStyle name="Total 2 4 6 8 2" xfId="29573"/>
    <cellStyle name="Total 2 4 6 8 3" xfId="29574"/>
    <cellStyle name="Total 2 4 6 8 4" xfId="29575"/>
    <cellStyle name="Total 2 4 6 8 5" xfId="29576"/>
    <cellStyle name="Total 2 4 6 8 6" xfId="39879"/>
    <cellStyle name="Total 2 4 6 8 7" xfId="49216"/>
    <cellStyle name="Total 2 4 6 8 8" xfId="57238"/>
    <cellStyle name="Total 2 4 6 9" xfId="29577"/>
    <cellStyle name="Total 2 4 6 9 2" xfId="29578"/>
    <cellStyle name="Total 2 4 6 9 3" xfId="29579"/>
    <cellStyle name="Total 2 4 6 9 4" xfId="29580"/>
    <cellStyle name="Total 2 4 6 9 5" xfId="29581"/>
    <cellStyle name="Total 2 4 6 9 6" xfId="40494"/>
    <cellStyle name="Total 2 4 6 9 7" xfId="49217"/>
    <cellStyle name="Total 2 4 6 9 8" xfId="57239"/>
    <cellStyle name="Total 2 4 7" xfId="2874"/>
    <cellStyle name="Total 2 4 7 10" xfId="34763"/>
    <cellStyle name="Total 2 4 7 10 2" xfId="49219"/>
    <cellStyle name="Total 2 4 7 10 3" xfId="57241"/>
    <cellStyle name="Total 2 4 7 11" xfId="41006"/>
    <cellStyle name="Total 2 4 7 12" xfId="49218"/>
    <cellStyle name="Total 2 4 7 13" xfId="57240"/>
    <cellStyle name="Total 2 4 7 2" xfId="2875"/>
    <cellStyle name="Total 2 4 7 2 2" xfId="36083"/>
    <cellStyle name="Total 2 4 7 2 3" xfId="49220"/>
    <cellStyle name="Total 2 4 7 2 4" xfId="57242"/>
    <cellStyle name="Total 2 4 7 3" xfId="2876"/>
    <cellStyle name="Total 2 4 7 3 2" xfId="36582"/>
    <cellStyle name="Total 2 4 7 3 3" xfId="49221"/>
    <cellStyle name="Total 2 4 7 3 4" xfId="57243"/>
    <cellStyle name="Total 2 4 7 4" xfId="29582"/>
    <cellStyle name="Total 2 4 7 4 2" xfId="37198"/>
    <cellStyle name="Total 2 4 7 4 3" xfId="49222"/>
    <cellStyle name="Total 2 4 7 4 4" xfId="57244"/>
    <cellStyle name="Total 2 4 7 5" xfId="29583"/>
    <cellStyle name="Total 2 4 7 5 2" xfId="37814"/>
    <cellStyle name="Total 2 4 7 5 3" xfId="49223"/>
    <cellStyle name="Total 2 4 7 5 4" xfId="57245"/>
    <cellStyle name="Total 2 4 7 6" xfId="38429"/>
    <cellStyle name="Total 2 4 7 6 2" xfId="49224"/>
    <cellStyle name="Total 2 4 7 6 3" xfId="57246"/>
    <cellStyle name="Total 2 4 7 7" xfId="39049"/>
    <cellStyle name="Total 2 4 7 7 2" xfId="49225"/>
    <cellStyle name="Total 2 4 7 7 3" xfId="57247"/>
    <cellStyle name="Total 2 4 7 8" xfId="39665"/>
    <cellStyle name="Total 2 4 7 8 2" xfId="49226"/>
    <cellStyle name="Total 2 4 7 8 3" xfId="57248"/>
    <cellStyle name="Total 2 4 7 9" xfId="40280"/>
    <cellStyle name="Total 2 4 7 9 2" xfId="49227"/>
    <cellStyle name="Total 2 4 7 9 3" xfId="57249"/>
    <cellStyle name="Total 2 4 8" xfId="1450"/>
    <cellStyle name="Total 2 4 8 10" xfId="49228"/>
    <cellStyle name="Total 2 4 8 11" xfId="57250"/>
    <cellStyle name="Total 2 4 8 2" xfId="29584"/>
    <cellStyle name="Total 2 4 8 2 2" xfId="49229"/>
    <cellStyle name="Total 2 4 8 2 3" xfId="57251"/>
    <cellStyle name="Total 2 4 8 3" xfId="29585"/>
    <cellStyle name="Total 2 4 8 3 2" xfId="49230"/>
    <cellStyle name="Total 2 4 8 3 3" xfId="57252"/>
    <cellStyle name="Total 2 4 8 4" xfId="29586"/>
    <cellStyle name="Total 2 4 8 4 2" xfId="49231"/>
    <cellStyle name="Total 2 4 8 4 3" xfId="57253"/>
    <cellStyle name="Total 2 4 8 5" xfId="29587"/>
    <cellStyle name="Total 2 4 8 5 2" xfId="49232"/>
    <cellStyle name="Total 2 4 8 5 3" xfId="57254"/>
    <cellStyle name="Total 2 4 8 6" xfId="35401"/>
    <cellStyle name="Total 2 4 8 6 2" xfId="49233"/>
    <cellStyle name="Total 2 4 8 6 3" xfId="57255"/>
    <cellStyle name="Total 2 4 8 7" xfId="49234"/>
    <cellStyle name="Total 2 4 8 7 2" xfId="57256"/>
    <cellStyle name="Total 2 4 8 8" xfId="49235"/>
    <cellStyle name="Total 2 4 8 8 2" xfId="57257"/>
    <cellStyle name="Total 2 4 8 9" xfId="49236"/>
    <cellStyle name="Total 2 4 8 9 2" xfId="57258"/>
    <cellStyle name="Total 2 4 9" xfId="3520"/>
    <cellStyle name="Total 2 4 9 2" xfId="29588"/>
    <cellStyle name="Total 2 4 9 3" xfId="29589"/>
    <cellStyle name="Total 2 4 9 4" xfId="29590"/>
    <cellStyle name="Total 2 4 9 5" xfId="29591"/>
    <cellStyle name="Total 2 4 9 6" xfId="35932"/>
    <cellStyle name="Total 2 4 9 7" xfId="49237"/>
    <cellStyle name="Total 2 4 9 8" xfId="57259"/>
    <cellStyle name="Total 2 5" xfId="261"/>
    <cellStyle name="Total 2 5 10" xfId="3856"/>
    <cellStyle name="Total 2 5 10 2" xfId="29592"/>
    <cellStyle name="Total 2 5 10 3" xfId="29593"/>
    <cellStyle name="Total 2 5 10 4" xfId="29594"/>
    <cellStyle name="Total 2 5 10 5" xfId="29595"/>
    <cellStyle name="Total 2 5 10 6" xfId="35988"/>
    <cellStyle name="Total 2 5 10 7" xfId="49238"/>
    <cellStyle name="Total 2 5 10 8" xfId="57260"/>
    <cellStyle name="Total 2 5 11" xfId="29596"/>
    <cellStyle name="Total 2 5 11 2" xfId="29597"/>
    <cellStyle name="Total 2 5 11 3" xfId="29598"/>
    <cellStyle name="Total 2 5 11 4" xfId="29599"/>
    <cellStyle name="Total 2 5 11 5" xfId="29600"/>
    <cellStyle name="Total 2 5 11 6" xfId="36979"/>
    <cellStyle name="Total 2 5 11 7" xfId="49239"/>
    <cellStyle name="Total 2 5 11 8" xfId="57261"/>
    <cellStyle name="Total 2 5 12" xfId="29601"/>
    <cellStyle name="Total 2 5 12 2" xfId="29602"/>
    <cellStyle name="Total 2 5 12 3" xfId="29603"/>
    <cellStyle name="Total 2 5 12 4" xfId="29604"/>
    <cellStyle name="Total 2 5 12 5" xfId="29605"/>
    <cellStyle name="Total 2 5 12 6" xfId="35843"/>
    <cellStyle name="Total 2 5 12 7" xfId="49240"/>
    <cellStyle name="Total 2 5 12 8" xfId="57262"/>
    <cellStyle name="Total 2 5 13" xfId="29606"/>
    <cellStyle name="Total 2 5 13 2" xfId="29607"/>
    <cellStyle name="Total 2 5 13 3" xfId="29608"/>
    <cellStyle name="Total 2 5 13 4" xfId="29609"/>
    <cellStyle name="Total 2 5 13 5" xfId="29610"/>
    <cellStyle name="Total 2 5 13 6" xfId="37128"/>
    <cellStyle name="Total 2 5 13 7" xfId="49241"/>
    <cellStyle name="Total 2 5 13 8" xfId="57263"/>
    <cellStyle name="Total 2 5 14" xfId="29611"/>
    <cellStyle name="Total 2 5 14 2" xfId="29612"/>
    <cellStyle name="Total 2 5 14 3" xfId="29613"/>
    <cellStyle name="Total 2 5 14 4" xfId="29614"/>
    <cellStyle name="Total 2 5 14 5" xfId="29615"/>
    <cellStyle name="Total 2 5 14 6" xfId="38830"/>
    <cellStyle name="Total 2 5 14 7" xfId="49242"/>
    <cellStyle name="Total 2 5 14 8" xfId="57264"/>
    <cellStyle name="Total 2 5 15" xfId="29616"/>
    <cellStyle name="Total 2 5 15 2" xfId="29617"/>
    <cellStyle name="Total 2 5 15 3" xfId="29618"/>
    <cellStyle name="Total 2 5 15 4" xfId="29619"/>
    <cellStyle name="Total 2 5 15 5" xfId="29620"/>
    <cellStyle name="Total 2 5 15 6" xfId="39450"/>
    <cellStyle name="Total 2 5 15 7" xfId="49243"/>
    <cellStyle name="Total 2 5 15 8" xfId="57265"/>
    <cellStyle name="Total 2 5 16" xfId="29621"/>
    <cellStyle name="Total 2 5 16 2" xfId="29622"/>
    <cellStyle name="Total 2 5 16 3" xfId="29623"/>
    <cellStyle name="Total 2 5 16 4" xfId="29624"/>
    <cellStyle name="Total 2 5 16 5" xfId="29625"/>
    <cellStyle name="Total 2 5 16 6" xfId="40068"/>
    <cellStyle name="Total 2 5 16 7" xfId="49244"/>
    <cellStyle name="Total 2 5 16 8" xfId="57266"/>
    <cellStyle name="Total 2 5 17" xfId="29626"/>
    <cellStyle name="Total 2 5 17 2" xfId="29627"/>
    <cellStyle name="Total 2 5 17 3" xfId="29628"/>
    <cellStyle name="Total 2 5 17 4" xfId="29629"/>
    <cellStyle name="Total 2 5 17 5" xfId="29630"/>
    <cellStyle name="Total 2 5 17 6" xfId="49245"/>
    <cellStyle name="Total 2 5 17 7" xfId="57267"/>
    <cellStyle name="Total 2 5 18" xfId="29631"/>
    <cellStyle name="Total 2 5 18 2" xfId="29632"/>
    <cellStyle name="Total 2 5 18 3" xfId="29633"/>
    <cellStyle name="Total 2 5 18 4" xfId="29634"/>
    <cellStyle name="Total 2 5 18 5" xfId="29635"/>
    <cellStyle name="Total 2 5 19" xfId="29636"/>
    <cellStyle name="Total 2 5 19 2" xfId="29637"/>
    <cellStyle name="Total 2 5 19 3" xfId="29638"/>
    <cellStyle name="Total 2 5 19 4" xfId="29639"/>
    <cellStyle name="Total 2 5 19 5" xfId="29640"/>
    <cellStyle name="Total 2 5 2" xfId="307"/>
    <cellStyle name="Total 2 5 2 10" xfId="29641"/>
    <cellStyle name="Total 2 5 2 10 2" xfId="29642"/>
    <cellStyle name="Total 2 5 2 10 3" xfId="29643"/>
    <cellStyle name="Total 2 5 2 10 4" xfId="29644"/>
    <cellStyle name="Total 2 5 2 10 5" xfId="29645"/>
    <cellStyle name="Total 2 5 2 10 6" xfId="37635"/>
    <cellStyle name="Total 2 5 2 10 7" xfId="49246"/>
    <cellStyle name="Total 2 5 2 10 8" xfId="57268"/>
    <cellStyle name="Total 2 5 2 11" xfId="29646"/>
    <cellStyle name="Total 2 5 2 11 2" xfId="29647"/>
    <cellStyle name="Total 2 5 2 11 3" xfId="29648"/>
    <cellStyle name="Total 2 5 2 11 4" xfId="29649"/>
    <cellStyle name="Total 2 5 2 11 5" xfId="29650"/>
    <cellStyle name="Total 2 5 2 11 6" xfId="38252"/>
    <cellStyle name="Total 2 5 2 11 7" xfId="49247"/>
    <cellStyle name="Total 2 5 2 11 8" xfId="57269"/>
    <cellStyle name="Total 2 5 2 12" xfId="29651"/>
    <cellStyle name="Total 2 5 2 12 2" xfId="29652"/>
    <cellStyle name="Total 2 5 2 12 3" xfId="29653"/>
    <cellStyle name="Total 2 5 2 12 4" xfId="29654"/>
    <cellStyle name="Total 2 5 2 12 5" xfId="29655"/>
    <cellStyle name="Total 2 5 2 12 6" xfId="38874"/>
    <cellStyle name="Total 2 5 2 12 7" xfId="49248"/>
    <cellStyle name="Total 2 5 2 12 8" xfId="57270"/>
    <cellStyle name="Total 2 5 2 13" xfId="29656"/>
    <cellStyle name="Total 2 5 2 13 2" xfId="29657"/>
    <cellStyle name="Total 2 5 2 13 3" xfId="29658"/>
    <cellStyle name="Total 2 5 2 13 4" xfId="29659"/>
    <cellStyle name="Total 2 5 2 13 5" xfId="29660"/>
    <cellStyle name="Total 2 5 2 13 6" xfId="39494"/>
    <cellStyle name="Total 2 5 2 13 7" xfId="49249"/>
    <cellStyle name="Total 2 5 2 13 8" xfId="57271"/>
    <cellStyle name="Total 2 5 2 14" xfId="29661"/>
    <cellStyle name="Total 2 5 2 14 2" xfId="29662"/>
    <cellStyle name="Total 2 5 2 14 3" xfId="29663"/>
    <cellStyle name="Total 2 5 2 14 4" xfId="29664"/>
    <cellStyle name="Total 2 5 2 14 5" xfId="29665"/>
    <cellStyle name="Total 2 5 2 14 6" xfId="40112"/>
    <cellStyle name="Total 2 5 2 14 7" xfId="49250"/>
    <cellStyle name="Total 2 5 2 14 8" xfId="57272"/>
    <cellStyle name="Total 2 5 2 15" xfId="29666"/>
    <cellStyle name="Total 2 5 2 15 2" xfId="29667"/>
    <cellStyle name="Total 2 5 2 15 3" xfId="29668"/>
    <cellStyle name="Total 2 5 2 15 4" xfId="29669"/>
    <cellStyle name="Total 2 5 2 15 5" xfId="29670"/>
    <cellStyle name="Total 2 5 2 15 6" xfId="49251"/>
    <cellStyle name="Total 2 5 2 15 7" xfId="57273"/>
    <cellStyle name="Total 2 5 2 16" xfId="29671"/>
    <cellStyle name="Total 2 5 2 16 2" xfId="29672"/>
    <cellStyle name="Total 2 5 2 16 3" xfId="29673"/>
    <cellStyle name="Total 2 5 2 16 4" xfId="29674"/>
    <cellStyle name="Total 2 5 2 16 5" xfId="29675"/>
    <cellStyle name="Total 2 5 2 17" xfId="29676"/>
    <cellStyle name="Total 2 5 2 17 2" xfId="29677"/>
    <cellStyle name="Total 2 5 2 17 3" xfId="29678"/>
    <cellStyle name="Total 2 5 2 17 4" xfId="29679"/>
    <cellStyle name="Total 2 5 2 17 5" xfId="29680"/>
    <cellStyle name="Total 2 5 2 18" xfId="29681"/>
    <cellStyle name="Total 2 5 2 19" xfId="752"/>
    <cellStyle name="Total 2 5 2 2" xfId="441"/>
    <cellStyle name="Total 2 5 2 2 10" xfId="29682"/>
    <cellStyle name="Total 2 5 2 2 10 2" xfId="29683"/>
    <cellStyle name="Total 2 5 2 2 10 3" xfId="29684"/>
    <cellStyle name="Total 2 5 2 2 10 4" xfId="29685"/>
    <cellStyle name="Total 2 5 2 2 10 5" xfId="29686"/>
    <cellStyle name="Total 2 5 2 2 10 6" xfId="39615"/>
    <cellStyle name="Total 2 5 2 2 10 7" xfId="49252"/>
    <cellStyle name="Total 2 5 2 2 10 8" xfId="57274"/>
    <cellStyle name="Total 2 5 2 2 11" xfId="29687"/>
    <cellStyle name="Total 2 5 2 2 11 2" xfId="29688"/>
    <cellStyle name="Total 2 5 2 2 11 3" xfId="29689"/>
    <cellStyle name="Total 2 5 2 2 11 4" xfId="29690"/>
    <cellStyle name="Total 2 5 2 2 11 5" xfId="29691"/>
    <cellStyle name="Total 2 5 2 2 11 6" xfId="40230"/>
    <cellStyle name="Total 2 5 2 2 11 7" xfId="49253"/>
    <cellStyle name="Total 2 5 2 2 11 8" xfId="57275"/>
    <cellStyle name="Total 2 5 2 2 12" xfId="29692"/>
    <cellStyle name="Total 2 5 2 2 12 2" xfId="29693"/>
    <cellStyle name="Total 2 5 2 2 12 3" xfId="29694"/>
    <cellStyle name="Total 2 5 2 2 12 4" xfId="29695"/>
    <cellStyle name="Total 2 5 2 2 12 5" xfId="29696"/>
    <cellStyle name="Total 2 5 2 2 12 6" xfId="49254"/>
    <cellStyle name="Total 2 5 2 2 12 7" xfId="57276"/>
    <cellStyle name="Total 2 5 2 2 13" xfId="29697"/>
    <cellStyle name="Total 2 5 2 2 13 2" xfId="29698"/>
    <cellStyle name="Total 2 5 2 2 13 3" xfId="29699"/>
    <cellStyle name="Total 2 5 2 2 13 4" xfId="29700"/>
    <cellStyle name="Total 2 5 2 2 13 5" xfId="29701"/>
    <cellStyle name="Total 2 5 2 2 13 6" xfId="49255"/>
    <cellStyle name="Total 2 5 2 2 13 7" xfId="57277"/>
    <cellStyle name="Total 2 5 2 2 14" xfId="29702"/>
    <cellStyle name="Total 2 5 2 2 14 2" xfId="29703"/>
    <cellStyle name="Total 2 5 2 2 14 3" xfId="29704"/>
    <cellStyle name="Total 2 5 2 2 14 4" xfId="29705"/>
    <cellStyle name="Total 2 5 2 2 14 5" xfId="29706"/>
    <cellStyle name="Total 2 5 2 2 15" xfId="29707"/>
    <cellStyle name="Total 2 5 2 2 15 2" xfId="29708"/>
    <cellStyle name="Total 2 5 2 2 15 3" xfId="29709"/>
    <cellStyle name="Total 2 5 2 2 15 4" xfId="29710"/>
    <cellStyle name="Total 2 5 2 2 15 5" xfId="29711"/>
    <cellStyle name="Total 2 5 2 2 16" xfId="29712"/>
    <cellStyle name="Total 2 5 2 2 16 2" xfId="29713"/>
    <cellStyle name="Total 2 5 2 2 16 3" xfId="29714"/>
    <cellStyle name="Total 2 5 2 2 16 4" xfId="29715"/>
    <cellStyle name="Total 2 5 2 2 16 5" xfId="29716"/>
    <cellStyle name="Total 2 5 2 2 17" xfId="29717"/>
    <cellStyle name="Total 2 5 2 2 17 2" xfId="29718"/>
    <cellStyle name="Total 2 5 2 2 17 3" xfId="29719"/>
    <cellStyle name="Total 2 5 2 2 17 4" xfId="29720"/>
    <cellStyle name="Total 2 5 2 2 17 5" xfId="29721"/>
    <cellStyle name="Total 2 5 2 2 18" xfId="29722"/>
    <cellStyle name="Total 2 5 2 2 18 2" xfId="29723"/>
    <cellStyle name="Total 2 5 2 2 18 3" xfId="29724"/>
    <cellStyle name="Total 2 5 2 2 18 4" xfId="29725"/>
    <cellStyle name="Total 2 5 2 2 18 5" xfId="29726"/>
    <cellStyle name="Total 2 5 2 2 19" xfId="29727"/>
    <cellStyle name="Total 2 5 2 2 2" xfId="656"/>
    <cellStyle name="Total 2 5 2 2 2 10" xfId="29728"/>
    <cellStyle name="Total 2 5 2 2 2 10 2" xfId="29729"/>
    <cellStyle name="Total 2 5 2 2 2 10 3" xfId="29730"/>
    <cellStyle name="Total 2 5 2 2 2 10 4" xfId="29731"/>
    <cellStyle name="Total 2 5 2 2 2 10 5" xfId="29732"/>
    <cellStyle name="Total 2 5 2 2 2 10 6" xfId="49256"/>
    <cellStyle name="Total 2 5 2 2 2 10 7" xfId="57278"/>
    <cellStyle name="Total 2 5 2 2 2 11" xfId="29733"/>
    <cellStyle name="Total 2 5 2 2 2 11 2" xfId="29734"/>
    <cellStyle name="Total 2 5 2 2 2 11 3" xfId="29735"/>
    <cellStyle name="Total 2 5 2 2 2 11 4" xfId="29736"/>
    <cellStyle name="Total 2 5 2 2 2 11 5" xfId="29737"/>
    <cellStyle name="Total 2 5 2 2 2 12" xfId="29738"/>
    <cellStyle name="Total 2 5 2 2 2 12 2" xfId="29739"/>
    <cellStyle name="Total 2 5 2 2 2 12 3" xfId="29740"/>
    <cellStyle name="Total 2 5 2 2 2 12 4" xfId="29741"/>
    <cellStyle name="Total 2 5 2 2 2 12 5" xfId="29742"/>
    <cellStyle name="Total 2 5 2 2 2 13" xfId="29743"/>
    <cellStyle name="Total 2 5 2 2 2 13 2" xfId="29744"/>
    <cellStyle name="Total 2 5 2 2 2 13 3" xfId="29745"/>
    <cellStyle name="Total 2 5 2 2 2 13 4" xfId="29746"/>
    <cellStyle name="Total 2 5 2 2 2 13 5" xfId="29747"/>
    <cellStyle name="Total 2 5 2 2 2 14" xfId="29748"/>
    <cellStyle name="Total 2 5 2 2 2 14 2" xfId="29749"/>
    <cellStyle name="Total 2 5 2 2 2 14 3" xfId="29750"/>
    <cellStyle name="Total 2 5 2 2 2 14 4" xfId="29751"/>
    <cellStyle name="Total 2 5 2 2 2 14 5" xfId="29752"/>
    <cellStyle name="Total 2 5 2 2 2 15" xfId="29753"/>
    <cellStyle name="Total 2 5 2 2 2 15 2" xfId="29754"/>
    <cellStyle name="Total 2 5 2 2 2 15 3" xfId="29755"/>
    <cellStyle name="Total 2 5 2 2 2 15 4" xfId="29756"/>
    <cellStyle name="Total 2 5 2 2 2 15 5" xfId="29757"/>
    <cellStyle name="Total 2 5 2 2 2 16" xfId="29758"/>
    <cellStyle name="Total 2 5 2 2 2 16 2" xfId="29759"/>
    <cellStyle name="Total 2 5 2 2 2 16 3" xfId="29760"/>
    <cellStyle name="Total 2 5 2 2 2 16 4" xfId="29761"/>
    <cellStyle name="Total 2 5 2 2 2 16 5" xfId="29762"/>
    <cellStyle name="Total 2 5 2 2 2 17" xfId="29763"/>
    <cellStyle name="Total 2 5 2 2 2 17 2" xfId="29764"/>
    <cellStyle name="Total 2 5 2 2 2 17 3" xfId="29765"/>
    <cellStyle name="Total 2 5 2 2 2 17 4" xfId="29766"/>
    <cellStyle name="Total 2 5 2 2 2 17 5" xfId="29767"/>
    <cellStyle name="Total 2 5 2 2 2 18" xfId="29768"/>
    <cellStyle name="Total 2 5 2 2 2 18 2" xfId="29769"/>
    <cellStyle name="Total 2 5 2 2 2 18 3" xfId="29770"/>
    <cellStyle name="Total 2 5 2 2 2 18 4" xfId="29771"/>
    <cellStyle name="Total 2 5 2 2 2 18 5" xfId="29772"/>
    <cellStyle name="Total 2 5 2 2 2 19" xfId="29773"/>
    <cellStyle name="Total 2 5 2 2 2 2" xfId="2877"/>
    <cellStyle name="Total 2 5 2 2 2 2 2" xfId="29774"/>
    <cellStyle name="Total 2 5 2 2 2 2 2 2" xfId="49258"/>
    <cellStyle name="Total 2 5 2 2 2 2 2 3" xfId="57280"/>
    <cellStyle name="Total 2 5 2 2 2 2 3" xfId="29775"/>
    <cellStyle name="Total 2 5 2 2 2 2 4" xfId="29776"/>
    <cellStyle name="Total 2 5 2 2 2 2 5" xfId="29777"/>
    <cellStyle name="Total 2 5 2 2 2 2 6" xfId="36459"/>
    <cellStyle name="Total 2 5 2 2 2 2 7" xfId="49257"/>
    <cellStyle name="Total 2 5 2 2 2 2 8" xfId="57279"/>
    <cellStyle name="Total 2 5 2 2 2 20" xfId="1084"/>
    <cellStyle name="Total 2 5 2 2 2 21" xfId="35164"/>
    <cellStyle name="Total 2 5 2 2 2 22" xfId="41384"/>
    <cellStyle name="Total 2 5 2 2 2 3" xfId="2878"/>
    <cellStyle name="Total 2 5 2 2 2 3 2" xfId="29778"/>
    <cellStyle name="Total 2 5 2 2 2 3 3" xfId="29779"/>
    <cellStyle name="Total 2 5 2 2 2 3 4" xfId="29780"/>
    <cellStyle name="Total 2 5 2 2 2 3 5" xfId="29781"/>
    <cellStyle name="Total 2 5 2 2 2 3 6" xfId="36956"/>
    <cellStyle name="Total 2 5 2 2 2 3 7" xfId="49259"/>
    <cellStyle name="Total 2 5 2 2 2 3 8" xfId="57281"/>
    <cellStyle name="Total 2 5 2 2 2 4" xfId="1471"/>
    <cellStyle name="Total 2 5 2 2 2 4 2" xfId="29782"/>
    <cellStyle name="Total 2 5 2 2 2 4 3" xfId="29783"/>
    <cellStyle name="Total 2 5 2 2 2 4 4" xfId="29784"/>
    <cellStyle name="Total 2 5 2 2 2 4 5" xfId="29785"/>
    <cellStyle name="Total 2 5 2 2 2 4 6" xfId="37572"/>
    <cellStyle name="Total 2 5 2 2 2 4 7" xfId="49260"/>
    <cellStyle name="Total 2 5 2 2 2 4 8" xfId="57282"/>
    <cellStyle name="Total 2 5 2 2 2 5" xfId="3541"/>
    <cellStyle name="Total 2 5 2 2 2 5 2" xfId="29786"/>
    <cellStyle name="Total 2 5 2 2 2 5 3" xfId="29787"/>
    <cellStyle name="Total 2 5 2 2 2 5 4" xfId="29788"/>
    <cellStyle name="Total 2 5 2 2 2 5 5" xfId="29789"/>
    <cellStyle name="Total 2 5 2 2 2 5 6" xfId="38189"/>
    <cellStyle name="Total 2 5 2 2 2 5 7" xfId="49261"/>
    <cellStyle name="Total 2 5 2 2 2 5 8" xfId="57283"/>
    <cellStyle name="Total 2 5 2 2 2 6" xfId="3859"/>
    <cellStyle name="Total 2 5 2 2 2 6 2" xfId="29790"/>
    <cellStyle name="Total 2 5 2 2 2 6 3" xfId="29791"/>
    <cellStyle name="Total 2 5 2 2 2 6 4" xfId="29792"/>
    <cellStyle name="Total 2 5 2 2 2 6 5" xfId="29793"/>
    <cellStyle name="Total 2 5 2 2 2 6 6" xfId="38807"/>
    <cellStyle name="Total 2 5 2 2 2 6 7" xfId="49262"/>
    <cellStyle name="Total 2 5 2 2 2 6 8" xfId="57284"/>
    <cellStyle name="Total 2 5 2 2 2 7" xfId="29794"/>
    <cellStyle name="Total 2 5 2 2 2 7 2" xfId="29795"/>
    <cellStyle name="Total 2 5 2 2 2 7 3" xfId="29796"/>
    <cellStyle name="Total 2 5 2 2 2 7 4" xfId="29797"/>
    <cellStyle name="Total 2 5 2 2 2 7 5" xfId="29798"/>
    <cellStyle name="Total 2 5 2 2 2 7 6" xfId="39427"/>
    <cellStyle name="Total 2 5 2 2 2 7 7" xfId="49263"/>
    <cellStyle name="Total 2 5 2 2 2 7 8" xfId="57285"/>
    <cellStyle name="Total 2 5 2 2 2 8" xfId="29799"/>
    <cellStyle name="Total 2 5 2 2 2 8 2" xfId="29800"/>
    <cellStyle name="Total 2 5 2 2 2 8 3" xfId="29801"/>
    <cellStyle name="Total 2 5 2 2 2 8 4" xfId="29802"/>
    <cellStyle name="Total 2 5 2 2 2 8 5" xfId="29803"/>
    <cellStyle name="Total 2 5 2 2 2 8 6" xfId="40043"/>
    <cellStyle name="Total 2 5 2 2 2 8 7" xfId="49264"/>
    <cellStyle name="Total 2 5 2 2 2 8 8" xfId="57286"/>
    <cellStyle name="Total 2 5 2 2 2 9" xfId="29804"/>
    <cellStyle name="Total 2 5 2 2 2 9 2" xfId="29805"/>
    <cellStyle name="Total 2 5 2 2 2 9 3" xfId="29806"/>
    <cellStyle name="Total 2 5 2 2 2 9 4" xfId="29807"/>
    <cellStyle name="Total 2 5 2 2 2 9 5" xfId="29808"/>
    <cellStyle name="Total 2 5 2 2 2 9 6" xfId="40658"/>
    <cellStyle name="Total 2 5 2 2 2 9 7" xfId="49265"/>
    <cellStyle name="Total 2 5 2 2 2 9 8" xfId="57287"/>
    <cellStyle name="Total 2 5 2 2 20" xfId="872"/>
    <cellStyle name="Total 2 5 2 2 21" xfId="34664"/>
    <cellStyle name="Total 2 5 2 2 22" xfId="40956"/>
    <cellStyle name="Total 2 5 2 2 23" xfId="41517"/>
    <cellStyle name="Total 2 5 2 2 24" xfId="50604"/>
    <cellStyle name="Total 2 5 2 2 3" xfId="2879"/>
    <cellStyle name="Total 2 5 2 2 3 10" xfId="34577"/>
    <cellStyle name="Total 2 5 2 2 3 10 2" xfId="49267"/>
    <cellStyle name="Total 2 5 2 2 3 10 3" xfId="57289"/>
    <cellStyle name="Total 2 5 2 2 3 11" xfId="41171"/>
    <cellStyle name="Total 2 5 2 2 3 12" xfId="49266"/>
    <cellStyle name="Total 2 5 2 2 3 13" xfId="57288"/>
    <cellStyle name="Total 2 5 2 2 3 2" xfId="2880"/>
    <cellStyle name="Total 2 5 2 2 3 2 2" xfId="36248"/>
    <cellStyle name="Total 2 5 2 2 3 2 3" xfId="49268"/>
    <cellStyle name="Total 2 5 2 2 3 2 4" xfId="57290"/>
    <cellStyle name="Total 2 5 2 2 3 3" xfId="2881"/>
    <cellStyle name="Total 2 5 2 2 3 3 2" xfId="36745"/>
    <cellStyle name="Total 2 5 2 2 3 3 3" xfId="49269"/>
    <cellStyle name="Total 2 5 2 2 3 3 4" xfId="57291"/>
    <cellStyle name="Total 2 5 2 2 3 4" xfId="29809"/>
    <cellStyle name="Total 2 5 2 2 3 4 2" xfId="37361"/>
    <cellStyle name="Total 2 5 2 2 3 4 3" xfId="49270"/>
    <cellStyle name="Total 2 5 2 2 3 4 4" xfId="57292"/>
    <cellStyle name="Total 2 5 2 2 3 5" xfId="29810"/>
    <cellStyle name="Total 2 5 2 2 3 5 2" xfId="37977"/>
    <cellStyle name="Total 2 5 2 2 3 5 3" xfId="49271"/>
    <cellStyle name="Total 2 5 2 2 3 5 4" xfId="57293"/>
    <cellStyle name="Total 2 5 2 2 3 6" xfId="38594"/>
    <cellStyle name="Total 2 5 2 2 3 6 2" xfId="49272"/>
    <cellStyle name="Total 2 5 2 2 3 6 3" xfId="57294"/>
    <cellStyle name="Total 2 5 2 2 3 7" xfId="39214"/>
    <cellStyle name="Total 2 5 2 2 3 7 2" xfId="49273"/>
    <cellStyle name="Total 2 5 2 2 3 7 3" xfId="57295"/>
    <cellStyle name="Total 2 5 2 2 3 8" xfId="39830"/>
    <cellStyle name="Total 2 5 2 2 3 8 2" xfId="49274"/>
    <cellStyle name="Total 2 5 2 2 3 8 3" xfId="57296"/>
    <cellStyle name="Total 2 5 2 2 3 9" xfId="40445"/>
    <cellStyle name="Total 2 5 2 2 3 9 2" xfId="49275"/>
    <cellStyle name="Total 2 5 2 2 3 9 3" xfId="57297"/>
    <cellStyle name="Total 2 5 2 2 4" xfId="2882"/>
    <cellStyle name="Total 2 5 2 2 4 10" xfId="49276"/>
    <cellStyle name="Total 2 5 2 2 4 11" xfId="57298"/>
    <cellStyle name="Total 2 5 2 2 4 2" xfId="29811"/>
    <cellStyle name="Total 2 5 2 2 4 2 2" xfId="49277"/>
    <cellStyle name="Total 2 5 2 2 4 2 3" xfId="57299"/>
    <cellStyle name="Total 2 5 2 2 4 3" xfId="29812"/>
    <cellStyle name="Total 2 5 2 2 4 3 2" xfId="49278"/>
    <cellStyle name="Total 2 5 2 2 4 3 3" xfId="57300"/>
    <cellStyle name="Total 2 5 2 2 4 4" xfId="29813"/>
    <cellStyle name="Total 2 5 2 2 4 4 2" xfId="49279"/>
    <cellStyle name="Total 2 5 2 2 4 4 3" xfId="57301"/>
    <cellStyle name="Total 2 5 2 2 4 5" xfId="29814"/>
    <cellStyle name="Total 2 5 2 2 4 5 2" xfId="49280"/>
    <cellStyle name="Total 2 5 2 2 4 5 3" xfId="57302"/>
    <cellStyle name="Total 2 5 2 2 4 6" xfId="35715"/>
    <cellStyle name="Total 2 5 2 2 4 6 2" xfId="49281"/>
    <cellStyle name="Total 2 5 2 2 4 6 3" xfId="57303"/>
    <cellStyle name="Total 2 5 2 2 4 7" xfId="49282"/>
    <cellStyle name="Total 2 5 2 2 4 7 2" xfId="57304"/>
    <cellStyle name="Total 2 5 2 2 4 8" xfId="49283"/>
    <cellStyle name="Total 2 5 2 2 4 8 2" xfId="57305"/>
    <cellStyle name="Total 2 5 2 2 4 9" xfId="49284"/>
    <cellStyle name="Total 2 5 2 2 4 9 2" xfId="57306"/>
    <cellStyle name="Total 2 5 2 2 5" xfId="1470"/>
    <cellStyle name="Total 2 5 2 2 5 2" xfId="29815"/>
    <cellStyle name="Total 2 5 2 2 5 3" xfId="29816"/>
    <cellStyle name="Total 2 5 2 2 5 4" xfId="29817"/>
    <cellStyle name="Total 2 5 2 2 5 5" xfId="29818"/>
    <cellStyle name="Total 2 5 2 2 5 6" xfId="36533"/>
    <cellStyle name="Total 2 5 2 2 5 7" xfId="49285"/>
    <cellStyle name="Total 2 5 2 2 5 8" xfId="57307"/>
    <cellStyle name="Total 2 5 2 2 6" xfId="3540"/>
    <cellStyle name="Total 2 5 2 2 6 2" xfId="29819"/>
    <cellStyle name="Total 2 5 2 2 6 3" xfId="29820"/>
    <cellStyle name="Total 2 5 2 2 6 4" xfId="29821"/>
    <cellStyle name="Total 2 5 2 2 6 5" xfId="29822"/>
    <cellStyle name="Total 2 5 2 2 6 6" xfId="37149"/>
    <cellStyle name="Total 2 5 2 2 6 7" xfId="49286"/>
    <cellStyle name="Total 2 5 2 2 6 8" xfId="57308"/>
    <cellStyle name="Total 2 5 2 2 7" xfId="3858"/>
    <cellStyle name="Total 2 5 2 2 7 2" xfId="29823"/>
    <cellStyle name="Total 2 5 2 2 7 3" xfId="29824"/>
    <cellStyle name="Total 2 5 2 2 7 4" xfId="29825"/>
    <cellStyle name="Total 2 5 2 2 7 5" xfId="29826"/>
    <cellStyle name="Total 2 5 2 2 7 6" xfId="37763"/>
    <cellStyle name="Total 2 5 2 2 7 7" xfId="49287"/>
    <cellStyle name="Total 2 5 2 2 7 8" xfId="57309"/>
    <cellStyle name="Total 2 5 2 2 8" xfId="29827"/>
    <cellStyle name="Total 2 5 2 2 8 2" xfId="29828"/>
    <cellStyle name="Total 2 5 2 2 8 3" xfId="29829"/>
    <cellStyle name="Total 2 5 2 2 8 4" xfId="29830"/>
    <cellStyle name="Total 2 5 2 2 8 5" xfId="29831"/>
    <cellStyle name="Total 2 5 2 2 8 6" xfId="38379"/>
    <cellStyle name="Total 2 5 2 2 8 7" xfId="49288"/>
    <cellStyle name="Total 2 5 2 2 8 8" xfId="57310"/>
    <cellStyle name="Total 2 5 2 2 9" xfId="29832"/>
    <cellStyle name="Total 2 5 2 2 9 2" xfId="29833"/>
    <cellStyle name="Total 2 5 2 2 9 3" xfId="29834"/>
    <cellStyle name="Total 2 5 2 2 9 4" xfId="29835"/>
    <cellStyle name="Total 2 5 2 2 9 5" xfId="29836"/>
    <cellStyle name="Total 2 5 2 2 9 6" xfId="38999"/>
    <cellStyle name="Total 2 5 2 2 9 7" xfId="49289"/>
    <cellStyle name="Total 2 5 2 2 9 8" xfId="57311"/>
    <cellStyle name="Total 2 5 2 20" xfId="34831"/>
    <cellStyle name="Total 2 5 2 21" xfId="40836"/>
    <cellStyle name="Total 2 5 2 3" xfId="442"/>
    <cellStyle name="Total 2 5 2 3 10" xfId="29837"/>
    <cellStyle name="Total 2 5 2 3 10 2" xfId="29838"/>
    <cellStyle name="Total 2 5 2 3 10 3" xfId="29839"/>
    <cellStyle name="Total 2 5 2 3 10 4" xfId="29840"/>
    <cellStyle name="Total 2 5 2 3 10 5" xfId="29841"/>
    <cellStyle name="Total 2 5 2 3 10 6" xfId="40231"/>
    <cellStyle name="Total 2 5 2 3 10 7" xfId="49290"/>
    <cellStyle name="Total 2 5 2 3 10 8" xfId="57312"/>
    <cellStyle name="Total 2 5 2 3 11" xfId="29842"/>
    <cellStyle name="Total 2 5 2 3 11 2" xfId="29843"/>
    <cellStyle name="Total 2 5 2 3 11 3" xfId="29844"/>
    <cellStyle name="Total 2 5 2 3 11 4" xfId="29845"/>
    <cellStyle name="Total 2 5 2 3 11 5" xfId="29846"/>
    <cellStyle name="Total 2 5 2 3 11 6" xfId="49291"/>
    <cellStyle name="Total 2 5 2 3 11 7" xfId="57313"/>
    <cellStyle name="Total 2 5 2 3 12" xfId="29847"/>
    <cellStyle name="Total 2 5 2 3 12 2" xfId="29848"/>
    <cellStyle name="Total 2 5 2 3 12 3" xfId="29849"/>
    <cellStyle name="Total 2 5 2 3 12 4" xfId="29850"/>
    <cellStyle name="Total 2 5 2 3 12 5" xfId="29851"/>
    <cellStyle name="Total 2 5 2 3 12 6" xfId="49292"/>
    <cellStyle name="Total 2 5 2 3 12 7" xfId="57314"/>
    <cellStyle name="Total 2 5 2 3 13" xfId="29852"/>
    <cellStyle name="Total 2 5 2 3 13 2" xfId="29853"/>
    <cellStyle name="Total 2 5 2 3 13 3" xfId="29854"/>
    <cellStyle name="Total 2 5 2 3 13 4" xfId="29855"/>
    <cellStyle name="Total 2 5 2 3 13 5" xfId="29856"/>
    <cellStyle name="Total 2 5 2 3 13 6" xfId="49293"/>
    <cellStyle name="Total 2 5 2 3 13 7" xfId="57315"/>
    <cellStyle name="Total 2 5 2 3 14" xfId="29857"/>
    <cellStyle name="Total 2 5 2 3 14 2" xfId="29858"/>
    <cellStyle name="Total 2 5 2 3 14 3" xfId="29859"/>
    <cellStyle name="Total 2 5 2 3 14 4" xfId="29860"/>
    <cellStyle name="Total 2 5 2 3 14 5" xfId="29861"/>
    <cellStyle name="Total 2 5 2 3 15" xfId="29862"/>
    <cellStyle name="Total 2 5 2 3 15 2" xfId="29863"/>
    <cellStyle name="Total 2 5 2 3 15 3" xfId="29864"/>
    <cellStyle name="Total 2 5 2 3 15 4" xfId="29865"/>
    <cellStyle name="Total 2 5 2 3 15 5" xfId="29866"/>
    <cellStyle name="Total 2 5 2 3 16" xfId="29867"/>
    <cellStyle name="Total 2 5 2 3 16 2" xfId="29868"/>
    <cellStyle name="Total 2 5 2 3 16 3" xfId="29869"/>
    <cellStyle name="Total 2 5 2 3 16 4" xfId="29870"/>
    <cellStyle name="Total 2 5 2 3 16 5" xfId="29871"/>
    <cellStyle name="Total 2 5 2 3 17" xfId="29872"/>
    <cellStyle name="Total 2 5 2 3 17 2" xfId="29873"/>
    <cellStyle name="Total 2 5 2 3 17 3" xfId="29874"/>
    <cellStyle name="Total 2 5 2 3 17 4" xfId="29875"/>
    <cellStyle name="Total 2 5 2 3 17 5" xfId="29876"/>
    <cellStyle name="Total 2 5 2 3 18" xfId="29877"/>
    <cellStyle name="Total 2 5 2 3 18 2" xfId="29878"/>
    <cellStyle name="Total 2 5 2 3 18 3" xfId="29879"/>
    <cellStyle name="Total 2 5 2 3 18 4" xfId="29880"/>
    <cellStyle name="Total 2 5 2 3 18 5" xfId="29881"/>
    <cellStyle name="Total 2 5 2 3 19" xfId="29882"/>
    <cellStyle name="Total 2 5 2 3 2" xfId="657"/>
    <cellStyle name="Total 2 5 2 3 2 10" xfId="29883"/>
    <cellStyle name="Total 2 5 2 3 2 10 2" xfId="29884"/>
    <cellStyle name="Total 2 5 2 3 2 10 3" xfId="29885"/>
    <cellStyle name="Total 2 5 2 3 2 10 4" xfId="29886"/>
    <cellStyle name="Total 2 5 2 3 2 10 5" xfId="29887"/>
    <cellStyle name="Total 2 5 2 3 2 10 6" xfId="49294"/>
    <cellStyle name="Total 2 5 2 3 2 10 7" xfId="57316"/>
    <cellStyle name="Total 2 5 2 3 2 11" xfId="29888"/>
    <cellStyle name="Total 2 5 2 3 2 11 2" xfId="29889"/>
    <cellStyle name="Total 2 5 2 3 2 11 3" xfId="29890"/>
    <cellStyle name="Total 2 5 2 3 2 11 4" xfId="29891"/>
    <cellStyle name="Total 2 5 2 3 2 11 5" xfId="29892"/>
    <cellStyle name="Total 2 5 2 3 2 12" xfId="29893"/>
    <cellStyle name="Total 2 5 2 3 2 12 2" xfId="29894"/>
    <cellStyle name="Total 2 5 2 3 2 12 3" xfId="29895"/>
    <cellStyle name="Total 2 5 2 3 2 12 4" xfId="29896"/>
    <cellStyle name="Total 2 5 2 3 2 12 5" xfId="29897"/>
    <cellStyle name="Total 2 5 2 3 2 13" xfId="29898"/>
    <cellStyle name="Total 2 5 2 3 2 13 2" xfId="29899"/>
    <cellStyle name="Total 2 5 2 3 2 13 3" xfId="29900"/>
    <cellStyle name="Total 2 5 2 3 2 13 4" xfId="29901"/>
    <cellStyle name="Total 2 5 2 3 2 13 5" xfId="29902"/>
    <cellStyle name="Total 2 5 2 3 2 14" xfId="29903"/>
    <cellStyle name="Total 2 5 2 3 2 14 2" xfId="29904"/>
    <cellStyle name="Total 2 5 2 3 2 14 3" xfId="29905"/>
    <cellStyle name="Total 2 5 2 3 2 14 4" xfId="29906"/>
    <cellStyle name="Total 2 5 2 3 2 14 5" xfId="29907"/>
    <cellStyle name="Total 2 5 2 3 2 15" xfId="29908"/>
    <cellStyle name="Total 2 5 2 3 2 15 2" xfId="29909"/>
    <cellStyle name="Total 2 5 2 3 2 15 3" xfId="29910"/>
    <cellStyle name="Total 2 5 2 3 2 15 4" xfId="29911"/>
    <cellStyle name="Total 2 5 2 3 2 15 5" xfId="29912"/>
    <cellStyle name="Total 2 5 2 3 2 16" xfId="29913"/>
    <cellStyle name="Total 2 5 2 3 2 16 2" xfId="29914"/>
    <cellStyle name="Total 2 5 2 3 2 16 3" xfId="29915"/>
    <cellStyle name="Total 2 5 2 3 2 16 4" xfId="29916"/>
    <cellStyle name="Total 2 5 2 3 2 16 5" xfId="29917"/>
    <cellStyle name="Total 2 5 2 3 2 17" xfId="29918"/>
    <cellStyle name="Total 2 5 2 3 2 17 2" xfId="29919"/>
    <cellStyle name="Total 2 5 2 3 2 17 3" xfId="29920"/>
    <cellStyle name="Total 2 5 2 3 2 17 4" xfId="29921"/>
    <cellStyle name="Total 2 5 2 3 2 17 5" xfId="29922"/>
    <cellStyle name="Total 2 5 2 3 2 18" xfId="29923"/>
    <cellStyle name="Total 2 5 2 3 2 18 2" xfId="29924"/>
    <cellStyle name="Total 2 5 2 3 2 18 3" xfId="29925"/>
    <cellStyle name="Total 2 5 2 3 2 18 4" xfId="29926"/>
    <cellStyle name="Total 2 5 2 3 2 18 5" xfId="29927"/>
    <cellStyle name="Total 2 5 2 3 2 19" xfId="29928"/>
    <cellStyle name="Total 2 5 2 3 2 2" xfId="2883"/>
    <cellStyle name="Total 2 5 2 3 2 2 2" xfId="29929"/>
    <cellStyle name="Total 2 5 2 3 2 2 2 2" xfId="49296"/>
    <cellStyle name="Total 2 5 2 3 2 2 2 3" xfId="57318"/>
    <cellStyle name="Total 2 5 2 3 2 2 3" xfId="29930"/>
    <cellStyle name="Total 2 5 2 3 2 2 4" xfId="29931"/>
    <cellStyle name="Total 2 5 2 3 2 2 5" xfId="29932"/>
    <cellStyle name="Total 2 5 2 3 2 2 6" xfId="36460"/>
    <cellStyle name="Total 2 5 2 3 2 2 7" xfId="49295"/>
    <cellStyle name="Total 2 5 2 3 2 2 8" xfId="57317"/>
    <cellStyle name="Total 2 5 2 3 2 20" xfId="1085"/>
    <cellStyle name="Total 2 5 2 3 2 21" xfId="35165"/>
    <cellStyle name="Total 2 5 2 3 2 22" xfId="41385"/>
    <cellStyle name="Total 2 5 2 3 2 3" xfId="2884"/>
    <cellStyle name="Total 2 5 2 3 2 3 2" xfId="29933"/>
    <cellStyle name="Total 2 5 2 3 2 3 3" xfId="29934"/>
    <cellStyle name="Total 2 5 2 3 2 3 4" xfId="29935"/>
    <cellStyle name="Total 2 5 2 3 2 3 5" xfId="29936"/>
    <cellStyle name="Total 2 5 2 3 2 3 6" xfId="36957"/>
    <cellStyle name="Total 2 5 2 3 2 3 7" xfId="49297"/>
    <cellStyle name="Total 2 5 2 3 2 3 8" xfId="57319"/>
    <cellStyle name="Total 2 5 2 3 2 4" xfId="1473"/>
    <cellStyle name="Total 2 5 2 3 2 4 2" xfId="29937"/>
    <cellStyle name="Total 2 5 2 3 2 4 3" xfId="29938"/>
    <cellStyle name="Total 2 5 2 3 2 4 4" xfId="29939"/>
    <cellStyle name="Total 2 5 2 3 2 4 5" xfId="29940"/>
    <cellStyle name="Total 2 5 2 3 2 4 6" xfId="37573"/>
    <cellStyle name="Total 2 5 2 3 2 4 7" xfId="49298"/>
    <cellStyle name="Total 2 5 2 3 2 4 8" xfId="57320"/>
    <cellStyle name="Total 2 5 2 3 2 5" xfId="3543"/>
    <cellStyle name="Total 2 5 2 3 2 5 2" xfId="29941"/>
    <cellStyle name="Total 2 5 2 3 2 5 3" xfId="29942"/>
    <cellStyle name="Total 2 5 2 3 2 5 4" xfId="29943"/>
    <cellStyle name="Total 2 5 2 3 2 5 5" xfId="29944"/>
    <cellStyle name="Total 2 5 2 3 2 5 6" xfId="38190"/>
    <cellStyle name="Total 2 5 2 3 2 5 7" xfId="49299"/>
    <cellStyle name="Total 2 5 2 3 2 5 8" xfId="57321"/>
    <cellStyle name="Total 2 5 2 3 2 6" xfId="3861"/>
    <cellStyle name="Total 2 5 2 3 2 6 2" xfId="29945"/>
    <cellStyle name="Total 2 5 2 3 2 6 3" xfId="29946"/>
    <cellStyle name="Total 2 5 2 3 2 6 4" xfId="29947"/>
    <cellStyle name="Total 2 5 2 3 2 6 5" xfId="29948"/>
    <cellStyle name="Total 2 5 2 3 2 6 6" xfId="38808"/>
    <cellStyle name="Total 2 5 2 3 2 6 7" xfId="49300"/>
    <cellStyle name="Total 2 5 2 3 2 6 8" xfId="57322"/>
    <cellStyle name="Total 2 5 2 3 2 7" xfId="29949"/>
    <cellStyle name="Total 2 5 2 3 2 7 2" xfId="29950"/>
    <cellStyle name="Total 2 5 2 3 2 7 3" xfId="29951"/>
    <cellStyle name="Total 2 5 2 3 2 7 4" xfId="29952"/>
    <cellStyle name="Total 2 5 2 3 2 7 5" xfId="29953"/>
    <cellStyle name="Total 2 5 2 3 2 7 6" xfId="39428"/>
    <cellStyle name="Total 2 5 2 3 2 7 7" xfId="49301"/>
    <cellStyle name="Total 2 5 2 3 2 7 8" xfId="57323"/>
    <cellStyle name="Total 2 5 2 3 2 8" xfId="29954"/>
    <cellStyle name="Total 2 5 2 3 2 8 2" xfId="29955"/>
    <cellStyle name="Total 2 5 2 3 2 8 3" xfId="29956"/>
    <cellStyle name="Total 2 5 2 3 2 8 4" xfId="29957"/>
    <cellStyle name="Total 2 5 2 3 2 8 5" xfId="29958"/>
    <cellStyle name="Total 2 5 2 3 2 8 6" xfId="40044"/>
    <cellStyle name="Total 2 5 2 3 2 8 7" xfId="49302"/>
    <cellStyle name="Total 2 5 2 3 2 8 8" xfId="57324"/>
    <cellStyle name="Total 2 5 2 3 2 9" xfId="29959"/>
    <cellStyle name="Total 2 5 2 3 2 9 2" xfId="29960"/>
    <cellStyle name="Total 2 5 2 3 2 9 3" xfId="29961"/>
    <cellStyle name="Total 2 5 2 3 2 9 4" xfId="29962"/>
    <cellStyle name="Total 2 5 2 3 2 9 5" xfId="29963"/>
    <cellStyle name="Total 2 5 2 3 2 9 6" xfId="40659"/>
    <cellStyle name="Total 2 5 2 3 2 9 7" xfId="49303"/>
    <cellStyle name="Total 2 5 2 3 2 9 8" xfId="57325"/>
    <cellStyle name="Total 2 5 2 3 20" xfId="873"/>
    <cellStyle name="Total 2 5 2 3 21" xfId="34663"/>
    <cellStyle name="Total 2 5 2 3 22" xfId="40957"/>
    <cellStyle name="Total 2 5 2 3 23" xfId="41518"/>
    <cellStyle name="Total 2 5 2 3 24" xfId="50605"/>
    <cellStyle name="Total 2 5 2 3 3" xfId="2885"/>
    <cellStyle name="Total 2 5 2 3 3 10" xfId="34576"/>
    <cellStyle name="Total 2 5 2 3 3 10 2" xfId="49305"/>
    <cellStyle name="Total 2 5 2 3 3 10 3" xfId="57327"/>
    <cellStyle name="Total 2 5 2 3 3 11" xfId="41172"/>
    <cellStyle name="Total 2 5 2 3 3 12" xfId="49304"/>
    <cellStyle name="Total 2 5 2 3 3 13" xfId="57326"/>
    <cellStyle name="Total 2 5 2 3 3 2" xfId="2886"/>
    <cellStyle name="Total 2 5 2 3 3 2 2" xfId="36249"/>
    <cellStyle name="Total 2 5 2 3 3 2 3" xfId="49306"/>
    <cellStyle name="Total 2 5 2 3 3 2 4" xfId="57328"/>
    <cellStyle name="Total 2 5 2 3 3 3" xfId="2887"/>
    <cellStyle name="Total 2 5 2 3 3 3 2" xfId="36746"/>
    <cellStyle name="Total 2 5 2 3 3 3 3" xfId="49307"/>
    <cellStyle name="Total 2 5 2 3 3 3 4" xfId="57329"/>
    <cellStyle name="Total 2 5 2 3 3 4" xfId="29964"/>
    <cellStyle name="Total 2 5 2 3 3 4 2" xfId="37362"/>
    <cellStyle name="Total 2 5 2 3 3 4 3" xfId="49308"/>
    <cellStyle name="Total 2 5 2 3 3 4 4" xfId="57330"/>
    <cellStyle name="Total 2 5 2 3 3 5" xfId="29965"/>
    <cellStyle name="Total 2 5 2 3 3 5 2" xfId="37978"/>
    <cellStyle name="Total 2 5 2 3 3 5 3" xfId="49309"/>
    <cellStyle name="Total 2 5 2 3 3 5 4" xfId="57331"/>
    <cellStyle name="Total 2 5 2 3 3 6" xfId="38595"/>
    <cellStyle name="Total 2 5 2 3 3 6 2" xfId="49310"/>
    <cellStyle name="Total 2 5 2 3 3 6 3" xfId="57332"/>
    <cellStyle name="Total 2 5 2 3 3 7" xfId="39215"/>
    <cellStyle name="Total 2 5 2 3 3 7 2" xfId="49311"/>
    <cellStyle name="Total 2 5 2 3 3 7 3" xfId="57333"/>
    <cellStyle name="Total 2 5 2 3 3 8" xfId="39831"/>
    <cellStyle name="Total 2 5 2 3 3 8 2" xfId="49312"/>
    <cellStyle name="Total 2 5 2 3 3 8 3" xfId="57334"/>
    <cellStyle name="Total 2 5 2 3 3 9" xfId="40446"/>
    <cellStyle name="Total 2 5 2 3 3 9 2" xfId="49313"/>
    <cellStyle name="Total 2 5 2 3 3 9 3" xfId="57335"/>
    <cellStyle name="Total 2 5 2 3 4" xfId="2888"/>
    <cellStyle name="Total 2 5 2 3 4 10" xfId="49314"/>
    <cellStyle name="Total 2 5 2 3 4 11" xfId="57336"/>
    <cellStyle name="Total 2 5 2 3 4 2" xfId="29966"/>
    <cellStyle name="Total 2 5 2 3 4 2 2" xfId="49315"/>
    <cellStyle name="Total 2 5 2 3 4 2 3" xfId="57337"/>
    <cellStyle name="Total 2 5 2 3 4 3" xfId="29967"/>
    <cellStyle name="Total 2 5 2 3 4 3 2" xfId="49316"/>
    <cellStyle name="Total 2 5 2 3 4 3 3" xfId="57338"/>
    <cellStyle name="Total 2 5 2 3 4 4" xfId="29968"/>
    <cellStyle name="Total 2 5 2 3 4 4 2" xfId="49317"/>
    <cellStyle name="Total 2 5 2 3 4 4 3" xfId="57339"/>
    <cellStyle name="Total 2 5 2 3 4 5" xfId="29969"/>
    <cellStyle name="Total 2 5 2 3 4 5 2" xfId="49318"/>
    <cellStyle name="Total 2 5 2 3 4 5 3" xfId="57340"/>
    <cellStyle name="Total 2 5 2 3 4 6" xfId="36534"/>
    <cellStyle name="Total 2 5 2 3 4 6 2" xfId="49319"/>
    <cellStyle name="Total 2 5 2 3 4 6 3" xfId="57341"/>
    <cellStyle name="Total 2 5 2 3 4 7" xfId="49320"/>
    <cellStyle name="Total 2 5 2 3 4 7 2" xfId="57342"/>
    <cellStyle name="Total 2 5 2 3 4 8" xfId="49321"/>
    <cellStyle name="Total 2 5 2 3 4 8 2" xfId="57343"/>
    <cellStyle name="Total 2 5 2 3 4 9" xfId="49322"/>
    <cellStyle name="Total 2 5 2 3 4 9 2" xfId="57344"/>
    <cellStyle name="Total 2 5 2 3 5" xfId="1472"/>
    <cellStyle name="Total 2 5 2 3 5 2" xfId="29970"/>
    <cellStyle name="Total 2 5 2 3 5 3" xfId="29971"/>
    <cellStyle name="Total 2 5 2 3 5 4" xfId="29972"/>
    <cellStyle name="Total 2 5 2 3 5 5" xfId="29973"/>
    <cellStyle name="Total 2 5 2 3 5 6" xfId="37150"/>
    <cellStyle name="Total 2 5 2 3 5 7" xfId="49323"/>
    <cellStyle name="Total 2 5 2 3 5 8" xfId="57345"/>
    <cellStyle name="Total 2 5 2 3 6" xfId="3542"/>
    <cellStyle name="Total 2 5 2 3 6 2" xfId="29974"/>
    <cellStyle name="Total 2 5 2 3 6 3" xfId="29975"/>
    <cellStyle name="Total 2 5 2 3 6 4" xfId="29976"/>
    <cellStyle name="Total 2 5 2 3 6 5" xfId="29977"/>
    <cellStyle name="Total 2 5 2 3 6 6" xfId="37764"/>
    <cellStyle name="Total 2 5 2 3 6 7" xfId="49324"/>
    <cellStyle name="Total 2 5 2 3 6 8" xfId="57346"/>
    <cellStyle name="Total 2 5 2 3 7" xfId="3860"/>
    <cellStyle name="Total 2 5 2 3 7 2" xfId="29978"/>
    <cellStyle name="Total 2 5 2 3 7 3" xfId="29979"/>
    <cellStyle name="Total 2 5 2 3 7 4" xfId="29980"/>
    <cellStyle name="Total 2 5 2 3 7 5" xfId="29981"/>
    <cellStyle name="Total 2 5 2 3 7 6" xfId="38380"/>
    <cellStyle name="Total 2 5 2 3 7 7" xfId="49325"/>
    <cellStyle name="Total 2 5 2 3 7 8" xfId="57347"/>
    <cellStyle name="Total 2 5 2 3 8" xfId="29982"/>
    <cellStyle name="Total 2 5 2 3 8 2" xfId="29983"/>
    <cellStyle name="Total 2 5 2 3 8 3" xfId="29984"/>
    <cellStyle name="Total 2 5 2 3 8 4" xfId="29985"/>
    <cellStyle name="Total 2 5 2 3 8 5" xfId="29986"/>
    <cellStyle name="Total 2 5 2 3 8 6" xfId="39000"/>
    <cellStyle name="Total 2 5 2 3 8 7" xfId="49326"/>
    <cellStyle name="Total 2 5 2 3 8 8" xfId="57348"/>
    <cellStyle name="Total 2 5 2 3 9" xfId="29987"/>
    <cellStyle name="Total 2 5 2 3 9 2" xfId="29988"/>
    <cellStyle name="Total 2 5 2 3 9 3" xfId="29989"/>
    <cellStyle name="Total 2 5 2 3 9 4" xfId="29990"/>
    <cellStyle name="Total 2 5 2 3 9 5" xfId="29991"/>
    <cellStyle name="Total 2 5 2 3 9 6" xfId="39616"/>
    <cellStyle name="Total 2 5 2 3 9 7" xfId="49327"/>
    <cellStyle name="Total 2 5 2 3 9 8" xfId="57349"/>
    <cellStyle name="Total 2 5 2 4" xfId="537"/>
    <cellStyle name="Total 2 5 2 4 10" xfId="29992"/>
    <cellStyle name="Total 2 5 2 4 10 2" xfId="29993"/>
    <cellStyle name="Total 2 5 2 4 10 3" xfId="29994"/>
    <cellStyle name="Total 2 5 2 4 10 4" xfId="29995"/>
    <cellStyle name="Total 2 5 2 4 10 5" xfId="29996"/>
    <cellStyle name="Total 2 5 2 4 10 6" xfId="49328"/>
    <cellStyle name="Total 2 5 2 4 10 7" xfId="57350"/>
    <cellStyle name="Total 2 5 2 4 11" xfId="29997"/>
    <cellStyle name="Total 2 5 2 4 11 2" xfId="29998"/>
    <cellStyle name="Total 2 5 2 4 11 3" xfId="29999"/>
    <cellStyle name="Total 2 5 2 4 11 4" xfId="30000"/>
    <cellStyle name="Total 2 5 2 4 11 5" xfId="30001"/>
    <cellStyle name="Total 2 5 2 4 12" xfId="30002"/>
    <cellStyle name="Total 2 5 2 4 12 2" xfId="30003"/>
    <cellStyle name="Total 2 5 2 4 12 3" xfId="30004"/>
    <cellStyle name="Total 2 5 2 4 12 4" xfId="30005"/>
    <cellStyle name="Total 2 5 2 4 12 5" xfId="30006"/>
    <cellStyle name="Total 2 5 2 4 13" xfId="30007"/>
    <cellStyle name="Total 2 5 2 4 13 2" xfId="30008"/>
    <cellStyle name="Total 2 5 2 4 13 3" xfId="30009"/>
    <cellStyle name="Total 2 5 2 4 13 4" xfId="30010"/>
    <cellStyle name="Total 2 5 2 4 13 5" xfId="30011"/>
    <cellStyle name="Total 2 5 2 4 14" xfId="30012"/>
    <cellStyle name="Total 2 5 2 4 14 2" xfId="30013"/>
    <cellStyle name="Total 2 5 2 4 14 3" xfId="30014"/>
    <cellStyle name="Total 2 5 2 4 14 4" xfId="30015"/>
    <cellStyle name="Total 2 5 2 4 14 5" xfId="30016"/>
    <cellStyle name="Total 2 5 2 4 15" xfId="30017"/>
    <cellStyle name="Total 2 5 2 4 15 2" xfId="30018"/>
    <cellStyle name="Total 2 5 2 4 15 3" xfId="30019"/>
    <cellStyle name="Total 2 5 2 4 15 4" xfId="30020"/>
    <cellStyle name="Total 2 5 2 4 15 5" xfId="30021"/>
    <cellStyle name="Total 2 5 2 4 16" xfId="30022"/>
    <cellStyle name="Total 2 5 2 4 16 2" xfId="30023"/>
    <cellStyle name="Total 2 5 2 4 16 3" xfId="30024"/>
    <cellStyle name="Total 2 5 2 4 16 4" xfId="30025"/>
    <cellStyle name="Total 2 5 2 4 16 5" xfId="30026"/>
    <cellStyle name="Total 2 5 2 4 17" xfId="30027"/>
    <cellStyle name="Total 2 5 2 4 17 2" xfId="30028"/>
    <cellStyle name="Total 2 5 2 4 17 3" xfId="30029"/>
    <cellStyle name="Total 2 5 2 4 17 4" xfId="30030"/>
    <cellStyle name="Total 2 5 2 4 17 5" xfId="30031"/>
    <cellStyle name="Total 2 5 2 4 18" xfId="30032"/>
    <cellStyle name="Total 2 5 2 4 18 2" xfId="30033"/>
    <cellStyle name="Total 2 5 2 4 18 3" xfId="30034"/>
    <cellStyle name="Total 2 5 2 4 18 4" xfId="30035"/>
    <cellStyle name="Total 2 5 2 4 18 5" xfId="30036"/>
    <cellStyle name="Total 2 5 2 4 19" xfId="30037"/>
    <cellStyle name="Total 2 5 2 4 2" xfId="2889"/>
    <cellStyle name="Total 2 5 2 4 2 2" xfId="30038"/>
    <cellStyle name="Total 2 5 2 4 2 2 2" xfId="49330"/>
    <cellStyle name="Total 2 5 2 4 2 2 3" xfId="57352"/>
    <cellStyle name="Total 2 5 2 4 2 3" xfId="30039"/>
    <cellStyle name="Total 2 5 2 4 2 4" xfId="30040"/>
    <cellStyle name="Total 2 5 2 4 2 5" xfId="30041"/>
    <cellStyle name="Total 2 5 2 4 2 6" xfId="36341"/>
    <cellStyle name="Total 2 5 2 4 2 7" xfId="49329"/>
    <cellStyle name="Total 2 5 2 4 2 8" xfId="57351"/>
    <cellStyle name="Total 2 5 2 4 20" xfId="966"/>
    <cellStyle name="Total 2 5 2 4 21" xfId="35046"/>
    <cellStyle name="Total 2 5 2 4 22" xfId="40755"/>
    <cellStyle name="Total 2 5 2 4 23" xfId="41265"/>
    <cellStyle name="Total 2 5 2 4 3" xfId="2890"/>
    <cellStyle name="Total 2 5 2 4 3 2" xfId="30042"/>
    <cellStyle name="Total 2 5 2 4 3 3" xfId="30043"/>
    <cellStyle name="Total 2 5 2 4 3 4" xfId="30044"/>
    <cellStyle name="Total 2 5 2 4 3 5" xfId="30045"/>
    <cellStyle name="Total 2 5 2 4 3 6" xfId="36838"/>
    <cellStyle name="Total 2 5 2 4 3 7" xfId="49331"/>
    <cellStyle name="Total 2 5 2 4 3 8" xfId="57353"/>
    <cellStyle name="Total 2 5 2 4 4" xfId="1474"/>
    <cellStyle name="Total 2 5 2 4 4 2" xfId="30046"/>
    <cellStyle name="Total 2 5 2 4 4 3" xfId="30047"/>
    <cellStyle name="Total 2 5 2 4 4 4" xfId="30048"/>
    <cellStyle name="Total 2 5 2 4 4 5" xfId="30049"/>
    <cellStyle name="Total 2 5 2 4 4 6" xfId="37454"/>
    <cellStyle name="Total 2 5 2 4 4 7" xfId="49332"/>
    <cellStyle name="Total 2 5 2 4 4 8" xfId="57354"/>
    <cellStyle name="Total 2 5 2 4 5" xfId="3544"/>
    <cellStyle name="Total 2 5 2 4 5 2" xfId="30050"/>
    <cellStyle name="Total 2 5 2 4 5 3" xfId="30051"/>
    <cellStyle name="Total 2 5 2 4 5 4" xfId="30052"/>
    <cellStyle name="Total 2 5 2 4 5 5" xfId="30053"/>
    <cellStyle name="Total 2 5 2 4 5 6" xfId="38070"/>
    <cellStyle name="Total 2 5 2 4 5 7" xfId="49333"/>
    <cellStyle name="Total 2 5 2 4 5 8" xfId="57355"/>
    <cellStyle name="Total 2 5 2 4 6" xfId="3862"/>
    <cellStyle name="Total 2 5 2 4 6 2" xfId="30054"/>
    <cellStyle name="Total 2 5 2 4 6 3" xfId="30055"/>
    <cellStyle name="Total 2 5 2 4 6 4" xfId="30056"/>
    <cellStyle name="Total 2 5 2 4 6 5" xfId="30057"/>
    <cellStyle name="Total 2 5 2 4 6 6" xfId="38688"/>
    <cellStyle name="Total 2 5 2 4 6 7" xfId="49334"/>
    <cellStyle name="Total 2 5 2 4 6 8" xfId="57356"/>
    <cellStyle name="Total 2 5 2 4 7" xfId="30058"/>
    <cellStyle name="Total 2 5 2 4 7 2" xfId="30059"/>
    <cellStyle name="Total 2 5 2 4 7 3" xfId="30060"/>
    <cellStyle name="Total 2 5 2 4 7 4" xfId="30061"/>
    <cellStyle name="Total 2 5 2 4 7 5" xfId="30062"/>
    <cellStyle name="Total 2 5 2 4 7 6" xfId="39308"/>
    <cellStyle name="Total 2 5 2 4 7 7" xfId="49335"/>
    <cellStyle name="Total 2 5 2 4 7 8" xfId="57357"/>
    <cellStyle name="Total 2 5 2 4 8" xfId="30063"/>
    <cellStyle name="Total 2 5 2 4 8 2" xfId="30064"/>
    <cellStyle name="Total 2 5 2 4 8 3" xfId="30065"/>
    <cellStyle name="Total 2 5 2 4 8 4" xfId="30066"/>
    <cellStyle name="Total 2 5 2 4 8 5" xfId="30067"/>
    <cellStyle name="Total 2 5 2 4 8 6" xfId="39924"/>
    <cellStyle name="Total 2 5 2 4 8 7" xfId="49336"/>
    <cellStyle name="Total 2 5 2 4 8 8" xfId="57358"/>
    <cellStyle name="Total 2 5 2 4 9" xfId="30068"/>
    <cellStyle name="Total 2 5 2 4 9 2" xfId="30069"/>
    <cellStyle name="Total 2 5 2 4 9 3" xfId="30070"/>
    <cellStyle name="Total 2 5 2 4 9 4" xfId="30071"/>
    <cellStyle name="Total 2 5 2 4 9 5" xfId="30072"/>
    <cellStyle name="Total 2 5 2 4 9 6" xfId="40539"/>
    <cellStyle name="Total 2 5 2 4 9 7" xfId="49337"/>
    <cellStyle name="Total 2 5 2 4 9 8" xfId="57359"/>
    <cellStyle name="Total 2 5 2 5" xfId="2891"/>
    <cellStyle name="Total 2 5 2 5 10" xfId="34638"/>
    <cellStyle name="Total 2 5 2 5 10 2" xfId="49339"/>
    <cellStyle name="Total 2 5 2 5 10 3" xfId="57361"/>
    <cellStyle name="Total 2 5 2 5 11" xfId="41051"/>
    <cellStyle name="Total 2 5 2 5 12" xfId="49338"/>
    <cellStyle name="Total 2 5 2 5 13" xfId="57360"/>
    <cellStyle name="Total 2 5 2 5 2" xfId="2892"/>
    <cellStyle name="Total 2 5 2 5 2 2" xfId="36128"/>
    <cellStyle name="Total 2 5 2 5 2 3" xfId="49340"/>
    <cellStyle name="Total 2 5 2 5 2 4" xfId="57362"/>
    <cellStyle name="Total 2 5 2 5 3" xfId="2893"/>
    <cellStyle name="Total 2 5 2 5 3 2" xfId="36627"/>
    <cellStyle name="Total 2 5 2 5 3 3" xfId="49341"/>
    <cellStyle name="Total 2 5 2 5 3 4" xfId="57363"/>
    <cellStyle name="Total 2 5 2 5 4" xfId="30073"/>
    <cellStyle name="Total 2 5 2 5 4 2" xfId="37243"/>
    <cellStyle name="Total 2 5 2 5 4 3" xfId="49342"/>
    <cellStyle name="Total 2 5 2 5 4 4" xfId="57364"/>
    <cellStyle name="Total 2 5 2 5 5" xfId="30074"/>
    <cellStyle name="Total 2 5 2 5 5 2" xfId="37859"/>
    <cellStyle name="Total 2 5 2 5 5 3" xfId="49343"/>
    <cellStyle name="Total 2 5 2 5 5 4" xfId="57365"/>
    <cellStyle name="Total 2 5 2 5 6" xfId="38474"/>
    <cellStyle name="Total 2 5 2 5 6 2" xfId="49344"/>
    <cellStyle name="Total 2 5 2 5 6 3" xfId="57366"/>
    <cellStyle name="Total 2 5 2 5 7" xfId="39094"/>
    <cellStyle name="Total 2 5 2 5 7 2" xfId="49345"/>
    <cellStyle name="Total 2 5 2 5 7 3" xfId="57367"/>
    <cellStyle name="Total 2 5 2 5 8" xfId="39710"/>
    <cellStyle name="Total 2 5 2 5 8 2" xfId="49346"/>
    <cellStyle name="Total 2 5 2 5 8 3" xfId="57368"/>
    <cellStyle name="Total 2 5 2 5 9" xfId="40325"/>
    <cellStyle name="Total 2 5 2 5 9 2" xfId="49347"/>
    <cellStyle name="Total 2 5 2 5 9 3" xfId="57369"/>
    <cellStyle name="Total 2 5 2 6" xfId="1469"/>
    <cellStyle name="Total 2 5 2 6 10" xfId="49348"/>
    <cellStyle name="Total 2 5 2 6 11" xfId="57370"/>
    <cellStyle name="Total 2 5 2 6 2" xfId="30075"/>
    <cellStyle name="Total 2 5 2 6 2 2" xfId="49349"/>
    <cellStyle name="Total 2 5 2 6 2 3" xfId="57371"/>
    <cellStyle name="Total 2 5 2 6 3" xfId="30076"/>
    <cellStyle name="Total 2 5 2 6 3 2" xfId="49350"/>
    <cellStyle name="Total 2 5 2 6 3 3" xfId="57372"/>
    <cellStyle name="Total 2 5 2 6 4" xfId="30077"/>
    <cellStyle name="Total 2 5 2 6 4 2" xfId="49351"/>
    <cellStyle name="Total 2 5 2 6 4 3" xfId="57373"/>
    <cellStyle name="Total 2 5 2 6 5" xfId="30078"/>
    <cellStyle name="Total 2 5 2 6 5 2" xfId="49352"/>
    <cellStyle name="Total 2 5 2 6 5 3" xfId="57374"/>
    <cellStyle name="Total 2 5 2 6 6" xfId="35446"/>
    <cellStyle name="Total 2 5 2 6 6 2" xfId="49353"/>
    <cellStyle name="Total 2 5 2 6 6 3" xfId="57375"/>
    <cellStyle name="Total 2 5 2 6 7" xfId="49354"/>
    <cellStyle name="Total 2 5 2 6 7 2" xfId="57376"/>
    <cellStyle name="Total 2 5 2 6 8" xfId="49355"/>
    <cellStyle name="Total 2 5 2 6 8 2" xfId="57377"/>
    <cellStyle name="Total 2 5 2 6 9" xfId="49356"/>
    <cellStyle name="Total 2 5 2 6 9 2" xfId="57378"/>
    <cellStyle name="Total 2 5 2 7" xfId="3539"/>
    <cellStyle name="Total 2 5 2 7 2" xfId="30079"/>
    <cellStyle name="Total 2 5 2 7 3" xfId="30080"/>
    <cellStyle name="Total 2 5 2 7 4" xfId="30081"/>
    <cellStyle name="Total 2 5 2 7 5" xfId="30082"/>
    <cellStyle name="Total 2 5 2 7 6" xfId="35978"/>
    <cellStyle name="Total 2 5 2 7 7" xfId="49357"/>
    <cellStyle name="Total 2 5 2 7 8" xfId="57379"/>
    <cellStyle name="Total 2 5 2 8" xfId="3857"/>
    <cellStyle name="Total 2 5 2 8 2" xfId="30083"/>
    <cellStyle name="Total 2 5 2 8 3" xfId="30084"/>
    <cellStyle name="Total 2 5 2 8 4" xfId="30085"/>
    <cellStyle name="Total 2 5 2 8 5" xfId="30086"/>
    <cellStyle name="Total 2 5 2 8 6" xfId="35798"/>
    <cellStyle name="Total 2 5 2 8 7" xfId="49358"/>
    <cellStyle name="Total 2 5 2 8 8" xfId="57380"/>
    <cellStyle name="Total 2 5 2 9" xfId="30087"/>
    <cellStyle name="Total 2 5 2 9 2" xfId="30088"/>
    <cellStyle name="Total 2 5 2 9 3" xfId="30089"/>
    <cellStyle name="Total 2 5 2 9 4" xfId="30090"/>
    <cellStyle name="Total 2 5 2 9 5" xfId="30091"/>
    <cellStyle name="Total 2 5 2 9 6" xfId="37023"/>
    <cellStyle name="Total 2 5 2 9 7" xfId="49359"/>
    <cellStyle name="Total 2 5 2 9 8" xfId="57381"/>
    <cellStyle name="Total 2 5 20" xfId="30092"/>
    <cellStyle name="Total 2 5 21" xfId="708"/>
    <cellStyle name="Total 2 5 22" xfId="34873"/>
    <cellStyle name="Total 2 5 23" xfId="40792"/>
    <cellStyle name="Total 2 5 3" xfId="308"/>
    <cellStyle name="Total 2 5 3 10" xfId="30093"/>
    <cellStyle name="Total 2 5 3 10 2" xfId="30094"/>
    <cellStyle name="Total 2 5 3 10 3" xfId="30095"/>
    <cellStyle name="Total 2 5 3 10 4" xfId="30096"/>
    <cellStyle name="Total 2 5 3 10 5" xfId="30097"/>
    <cellStyle name="Total 2 5 3 10 6" xfId="37636"/>
    <cellStyle name="Total 2 5 3 10 7" xfId="49360"/>
    <cellStyle name="Total 2 5 3 10 8" xfId="57382"/>
    <cellStyle name="Total 2 5 3 11" xfId="30098"/>
    <cellStyle name="Total 2 5 3 11 2" xfId="30099"/>
    <cellStyle name="Total 2 5 3 11 3" xfId="30100"/>
    <cellStyle name="Total 2 5 3 11 4" xfId="30101"/>
    <cellStyle name="Total 2 5 3 11 5" xfId="30102"/>
    <cellStyle name="Total 2 5 3 11 6" xfId="38253"/>
    <cellStyle name="Total 2 5 3 11 7" xfId="49361"/>
    <cellStyle name="Total 2 5 3 11 8" xfId="57383"/>
    <cellStyle name="Total 2 5 3 12" xfId="30103"/>
    <cellStyle name="Total 2 5 3 12 2" xfId="30104"/>
    <cellStyle name="Total 2 5 3 12 3" xfId="30105"/>
    <cellStyle name="Total 2 5 3 12 4" xfId="30106"/>
    <cellStyle name="Total 2 5 3 12 5" xfId="30107"/>
    <cellStyle name="Total 2 5 3 12 6" xfId="38875"/>
    <cellStyle name="Total 2 5 3 12 7" xfId="49362"/>
    <cellStyle name="Total 2 5 3 12 8" xfId="57384"/>
    <cellStyle name="Total 2 5 3 13" xfId="30108"/>
    <cellStyle name="Total 2 5 3 13 2" xfId="30109"/>
    <cellStyle name="Total 2 5 3 13 3" xfId="30110"/>
    <cellStyle name="Total 2 5 3 13 4" xfId="30111"/>
    <cellStyle name="Total 2 5 3 13 5" xfId="30112"/>
    <cellStyle name="Total 2 5 3 13 6" xfId="39495"/>
    <cellStyle name="Total 2 5 3 13 7" xfId="49363"/>
    <cellStyle name="Total 2 5 3 13 8" xfId="57385"/>
    <cellStyle name="Total 2 5 3 14" xfId="30113"/>
    <cellStyle name="Total 2 5 3 14 2" xfId="30114"/>
    <cellStyle name="Total 2 5 3 14 3" xfId="30115"/>
    <cellStyle name="Total 2 5 3 14 4" xfId="30116"/>
    <cellStyle name="Total 2 5 3 14 5" xfId="30117"/>
    <cellStyle name="Total 2 5 3 14 6" xfId="40113"/>
    <cellStyle name="Total 2 5 3 14 7" xfId="49364"/>
    <cellStyle name="Total 2 5 3 14 8" xfId="57386"/>
    <cellStyle name="Total 2 5 3 15" xfId="30118"/>
    <cellStyle name="Total 2 5 3 15 2" xfId="30119"/>
    <cellStyle name="Total 2 5 3 15 3" xfId="30120"/>
    <cellStyle name="Total 2 5 3 15 4" xfId="30121"/>
    <cellStyle name="Total 2 5 3 15 5" xfId="30122"/>
    <cellStyle name="Total 2 5 3 15 6" xfId="49365"/>
    <cellStyle name="Total 2 5 3 15 7" xfId="57387"/>
    <cellStyle name="Total 2 5 3 16" xfId="30123"/>
    <cellStyle name="Total 2 5 3 16 2" xfId="30124"/>
    <cellStyle name="Total 2 5 3 16 3" xfId="30125"/>
    <cellStyle name="Total 2 5 3 16 4" xfId="30126"/>
    <cellStyle name="Total 2 5 3 16 5" xfId="30127"/>
    <cellStyle name="Total 2 5 3 17" xfId="30128"/>
    <cellStyle name="Total 2 5 3 17 2" xfId="30129"/>
    <cellStyle name="Total 2 5 3 17 3" xfId="30130"/>
    <cellStyle name="Total 2 5 3 17 4" xfId="30131"/>
    <cellStyle name="Total 2 5 3 17 5" xfId="30132"/>
    <cellStyle name="Total 2 5 3 18" xfId="30133"/>
    <cellStyle name="Total 2 5 3 19" xfId="753"/>
    <cellStyle name="Total 2 5 3 2" xfId="443"/>
    <cellStyle name="Total 2 5 3 2 10" xfId="30134"/>
    <cellStyle name="Total 2 5 3 2 10 2" xfId="30135"/>
    <cellStyle name="Total 2 5 3 2 10 3" xfId="30136"/>
    <cellStyle name="Total 2 5 3 2 10 4" xfId="30137"/>
    <cellStyle name="Total 2 5 3 2 10 5" xfId="30138"/>
    <cellStyle name="Total 2 5 3 2 10 6" xfId="39617"/>
    <cellStyle name="Total 2 5 3 2 10 7" xfId="49366"/>
    <cellStyle name="Total 2 5 3 2 10 8" xfId="57388"/>
    <cellStyle name="Total 2 5 3 2 11" xfId="30139"/>
    <cellStyle name="Total 2 5 3 2 11 2" xfId="30140"/>
    <cellStyle name="Total 2 5 3 2 11 3" xfId="30141"/>
    <cellStyle name="Total 2 5 3 2 11 4" xfId="30142"/>
    <cellStyle name="Total 2 5 3 2 11 5" xfId="30143"/>
    <cellStyle name="Total 2 5 3 2 11 6" xfId="40232"/>
    <cellStyle name="Total 2 5 3 2 11 7" xfId="49367"/>
    <cellStyle name="Total 2 5 3 2 11 8" xfId="57389"/>
    <cellStyle name="Total 2 5 3 2 12" xfId="30144"/>
    <cellStyle name="Total 2 5 3 2 12 2" xfId="30145"/>
    <cellStyle name="Total 2 5 3 2 12 3" xfId="30146"/>
    <cellStyle name="Total 2 5 3 2 12 4" xfId="30147"/>
    <cellStyle name="Total 2 5 3 2 12 5" xfId="30148"/>
    <cellStyle name="Total 2 5 3 2 12 6" xfId="49368"/>
    <cellStyle name="Total 2 5 3 2 12 7" xfId="57390"/>
    <cellStyle name="Total 2 5 3 2 13" xfId="30149"/>
    <cellStyle name="Total 2 5 3 2 13 2" xfId="30150"/>
    <cellStyle name="Total 2 5 3 2 13 3" xfId="30151"/>
    <cellStyle name="Total 2 5 3 2 13 4" xfId="30152"/>
    <cellStyle name="Total 2 5 3 2 13 5" xfId="30153"/>
    <cellStyle name="Total 2 5 3 2 13 6" xfId="49369"/>
    <cellStyle name="Total 2 5 3 2 13 7" xfId="57391"/>
    <cellStyle name="Total 2 5 3 2 14" xfId="30154"/>
    <cellStyle name="Total 2 5 3 2 14 2" xfId="30155"/>
    <cellStyle name="Total 2 5 3 2 14 3" xfId="30156"/>
    <cellStyle name="Total 2 5 3 2 14 4" xfId="30157"/>
    <cellStyle name="Total 2 5 3 2 14 5" xfId="30158"/>
    <cellStyle name="Total 2 5 3 2 15" xfId="30159"/>
    <cellStyle name="Total 2 5 3 2 15 2" xfId="30160"/>
    <cellStyle name="Total 2 5 3 2 15 3" xfId="30161"/>
    <cellStyle name="Total 2 5 3 2 15 4" xfId="30162"/>
    <cellStyle name="Total 2 5 3 2 15 5" xfId="30163"/>
    <cellStyle name="Total 2 5 3 2 16" xfId="30164"/>
    <cellStyle name="Total 2 5 3 2 16 2" xfId="30165"/>
    <cellStyle name="Total 2 5 3 2 16 3" xfId="30166"/>
    <cellStyle name="Total 2 5 3 2 16 4" xfId="30167"/>
    <cellStyle name="Total 2 5 3 2 16 5" xfId="30168"/>
    <cellStyle name="Total 2 5 3 2 17" xfId="30169"/>
    <cellStyle name="Total 2 5 3 2 17 2" xfId="30170"/>
    <cellStyle name="Total 2 5 3 2 17 3" xfId="30171"/>
    <cellStyle name="Total 2 5 3 2 17 4" xfId="30172"/>
    <cellStyle name="Total 2 5 3 2 17 5" xfId="30173"/>
    <cellStyle name="Total 2 5 3 2 18" xfId="30174"/>
    <cellStyle name="Total 2 5 3 2 18 2" xfId="30175"/>
    <cellStyle name="Total 2 5 3 2 18 3" xfId="30176"/>
    <cellStyle name="Total 2 5 3 2 18 4" xfId="30177"/>
    <cellStyle name="Total 2 5 3 2 18 5" xfId="30178"/>
    <cellStyle name="Total 2 5 3 2 19" xfId="30179"/>
    <cellStyle name="Total 2 5 3 2 2" xfId="658"/>
    <cellStyle name="Total 2 5 3 2 2 10" xfId="30180"/>
    <cellStyle name="Total 2 5 3 2 2 10 2" xfId="30181"/>
    <cellStyle name="Total 2 5 3 2 2 10 3" xfId="30182"/>
    <cellStyle name="Total 2 5 3 2 2 10 4" xfId="30183"/>
    <cellStyle name="Total 2 5 3 2 2 10 5" xfId="30184"/>
    <cellStyle name="Total 2 5 3 2 2 10 6" xfId="49370"/>
    <cellStyle name="Total 2 5 3 2 2 10 7" xfId="57392"/>
    <cellStyle name="Total 2 5 3 2 2 11" xfId="30185"/>
    <cellStyle name="Total 2 5 3 2 2 11 2" xfId="30186"/>
    <cellStyle name="Total 2 5 3 2 2 11 3" xfId="30187"/>
    <cellStyle name="Total 2 5 3 2 2 11 4" xfId="30188"/>
    <cellStyle name="Total 2 5 3 2 2 11 5" xfId="30189"/>
    <cellStyle name="Total 2 5 3 2 2 12" xfId="30190"/>
    <cellStyle name="Total 2 5 3 2 2 12 2" xfId="30191"/>
    <cellStyle name="Total 2 5 3 2 2 12 3" xfId="30192"/>
    <cellStyle name="Total 2 5 3 2 2 12 4" xfId="30193"/>
    <cellStyle name="Total 2 5 3 2 2 12 5" xfId="30194"/>
    <cellStyle name="Total 2 5 3 2 2 13" xfId="30195"/>
    <cellStyle name="Total 2 5 3 2 2 13 2" xfId="30196"/>
    <cellStyle name="Total 2 5 3 2 2 13 3" xfId="30197"/>
    <cellStyle name="Total 2 5 3 2 2 13 4" xfId="30198"/>
    <cellStyle name="Total 2 5 3 2 2 13 5" xfId="30199"/>
    <cellStyle name="Total 2 5 3 2 2 14" xfId="30200"/>
    <cellStyle name="Total 2 5 3 2 2 14 2" xfId="30201"/>
    <cellStyle name="Total 2 5 3 2 2 14 3" xfId="30202"/>
    <cellStyle name="Total 2 5 3 2 2 14 4" xfId="30203"/>
    <cellStyle name="Total 2 5 3 2 2 14 5" xfId="30204"/>
    <cellStyle name="Total 2 5 3 2 2 15" xfId="30205"/>
    <cellStyle name="Total 2 5 3 2 2 15 2" xfId="30206"/>
    <cellStyle name="Total 2 5 3 2 2 15 3" xfId="30207"/>
    <cellStyle name="Total 2 5 3 2 2 15 4" xfId="30208"/>
    <cellStyle name="Total 2 5 3 2 2 15 5" xfId="30209"/>
    <cellStyle name="Total 2 5 3 2 2 16" xfId="30210"/>
    <cellStyle name="Total 2 5 3 2 2 16 2" xfId="30211"/>
    <cellStyle name="Total 2 5 3 2 2 16 3" xfId="30212"/>
    <cellStyle name="Total 2 5 3 2 2 16 4" xfId="30213"/>
    <cellStyle name="Total 2 5 3 2 2 16 5" xfId="30214"/>
    <cellStyle name="Total 2 5 3 2 2 17" xfId="30215"/>
    <cellStyle name="Total 2 5 3 2 2 17 2" xfId="30216"/>
    <cellStyle name="Total 2 5 3 2 2 17 3" xfId="30217"/>
    <cellStyle name="Total 2 5 3 2 2 17 4" xfId="30218"/>
    <cellStyle name="Total 2 5 3 2 2 17 5" xfId="30219"/>
    <cellStyle name="Total 2 5 3 2 2 18" xfId="30220"/>
    <cellStyle name="Total 2 5 3 2 2 18 2" xfId="30221"/>
    <cellStyle name="Total 2 5 3 2 2 18 3" xfId="30222"/>
    <cellStyle name="Total 2 5 3 2 2 18 4" xfId="30223"/>
    <cellStyle name="Total 2 5 3 2 2 18 5" xfId="30224"/>
    <cellStyle name="Total 2 5 3 2 2 19" xfId="30225"/>
    <cellStyle name="Total 2 5 3 2 2 2" xfId="2894"/>
    <cellStyle name="Total 2 5 3 2 2 2 2" xfId="30226"/>
    <cellStyle name="Total 2 5 3 2 2 2 2 2" xfId="49372"/>
    <cellStyle name="Total 2 5 3 2 2 2 2 3" xfId="57394"/>
    <cellStyle name="Total 2 5 3 2 2 2 3" xfId="30227"/>
    <cellStyle name="Total 2 5 3 2 2 2 4" xfId="30228"/>
    <cellStyle name="Total 2 5 3 2 2 2 5" xfId="30229"/>
    <cellStyle name="Total 2 5 3 2 2 2 6" xfId="36461"/>
    <cellStyle name="Total 2 5 3 2 2 2 7" xfId="49371"/>
    <cellStyle name="Total 2 5 3 2 2 2 8" xfId="57393"/>
    <cellStyle name="Total 2 5 3 2 2 20" xfId="1086"/>
    <cellStyle name="Total 2 5 3 2 2 21" xfId="35166"/>
    <cellStyle name="Total 2 5 3 2 2 22" xfId="41386"/>
    <cellStyle name="Total 2 5 3 2 2 3" xfId="2895"/>
    <cellStyle name="Total 2 5 3 2 2 3 2" xfId="30230"/>
    <cellStyle name="Total 2 5 3 2 2 3 3" xfId="30231"/>
    <cellStyle name="Total 2 5 3 2 2 3 4" xfId="30232"/>
    <cellStyle name="Total 2 5 3 2 2 3 5" xfId="30233"/>
    <cellStyle name="Total 2 5 3 2 2 3 6" xfId="36958"/>
    <cellStyle name="Total 2 5 3 2 2 3 7" xfId="49373"/>
    <cellStyle name="Total 2 5 3 2 2 3 8" xfId="57395"/>
    <cellStyle name="Total 2 5 3 2 2 4" xfId="1477"/>
    <cellStyle name="Total 2 5 3 2 2 4 2" xfId="30234"/>
    <cellStyle name="Total 2 5 3 2 2 4 3" xfId="30235"/>
    <cellStyle name="Total 2 5 3 2 2 4 4" xfId="30236"/>
    <cellStyle name="Total 2 5 3 2 2 4 5" xfId="30237"/>
    <cellStyle name="Total 2 5 3 2 2 4 6" xfId="37574"/>
    <cellStyle name="Total 2 5 3 2 2 4 7" xfId="49374"/>
    <cellStyle name="Total 2 5 3 2 2 4 8" xfId="57396"/>
    <cellStyle name="Total 2 5 3 2 2 5" xfId="3547"/>
    <cellStyle name="Total 2 5 3 2 2 5 2" xfId="30238"/>
    <cellStyle name="Total 2 5 3 2 2 5 3" xfId="30239"/>
    <cellStyle name="Total 2 5 3 2 2 5 4" xfId="30240"/>
    <cellStyle name="Total 2 5 3 2 2 5 5" xfId="30241"/>
    <cellStyle name="Total 2 5 3 2 2 5 6" xfId="38191"/>
    <cellStyle name="Total 2 5 3 2 2 5 7" xfId="49375"/>
    <cellStyle name="Total 2 5 3 2 2 5 8" xfId="57397"/>
    <cellStyle name="Total 2 5 3 2 2 6" xfId="3865"/>
    <cellStyle name="Total 2 5 3 2 2 6 2" xfId="30242"/>
    <cellStyle name="Total 2 5 3 2 2 6 3" xfId="30243"/>
    <cellStyle name="Total 2 5 3 2 2 6 4" xfId="30244"/>
    <cellStyle name="Total 2 5 3 2 2 6 5" xfId="30245"/>
    <cellStyle name="Total 2 5 3 2 2 6 6" xfId="38809"/>
    <cellStyle name="Total 2 5 3 2 2 6 7" xfId="49376"/>
    <cellStyle name="Total 2 5 3 2 2 6 8" xfId="57398"/>
    <cellStyle name="Total 2 5 3 2 2 7" xfId="30246"/>
    <cellStyle name="Total 2 5 3 2 2 7 2" xfId="30247"/>
    <cellStyle name="Total 2 5 3 2 2 7 3" xfId="30248"/>
    <cellStyle name="Total 2 5 3 2 2 7 4" xfId="30249"/>
    <cellStyle name="Total 2 5 3 2 2 7 5" xfId="30250"/>
    <cellStyle name="Total 2 5 3 2 2 7 6" xfId="39429"/>
    <cellStyle name="Total 2 5 3 2 2 7 7" xfId="49377"/>
    <cellStyle name="Total 2 5 3 2 2 7 8" xfId="57399"/>
    <cellStyle name="Total 2 5 3 2 2 8" xfId="30251"/>
    <cellStyle name="Total 2 5 3 2 2 8 2" xfId="30252"/>
    <cellStyle name="Total 2 5 3 2 2 8 3" xfId="30253"/>
    <cellStyle name="Total 2 5 3 2 2 8 4" xfId="30254"/>
    <cellStyle name="Total 2 5 3 2 2 8 5" xfId="30255"/>
    <cellStyle name="Total 2 5 3 2 2 8 6" xfId="40045"/>
    <cellStyle name="Total 2 5 3 2 2 8 7" xfId="49378"/>
    <cellStyle name="Total 2 5 3 2 2 8 8" xfId="57400"/>
    <cellStyle name="Total 2 5 3 2 2 9" xfId="30256"/>
    <cellStyle name="Total 2 5 3 2 2 9 2" xfId="30257"/>
    <cellStyle name="Total 2 5 3 2 2 9 3" xfId="30258"/>
    <cellStyle name="Total 2 5 3 2 2 9 4" xfId="30259"/>
    <cellStyle name="Total 2 5 3 2 2 9 5" xfId="30260"/>
    <cellStyle name="Total 2 5 3 2 2 9 6" xfId="40660"/>
    <cellStyle name="Total 2 5 3 2 2 9 7" xfId="49379"/>
    <cellStyle name="Total 2 5 3 2 2 9 8" xfId="57401"/>
    <cellStyle name="Total 2 5 3 2 20" xfId="874"/>
    <cellStyle name="Total 2 5 3 2 21" xfId="34662"/>
    <cellStyle name="Total 2 5 3 2 22" xfId="40958"/>
    <cellStyle name="Total 2 5 3 2 23" xfId="41519"/>
    <cellStyle name="Total 2 5 3 2 24" xfId="50606"/>
    <cellStyle name="Total 2 5 3 2 3" xfId="2896"/>
    <cellStyle name="Total 2 5 3 2 3 10" xfId="34575"/>
    <cellStyle name="Total 2 5 3 2 3 10 2" xfId="49381"/>
    <cellStyle name="Total 2 5 3 2 3 10 3" xfId="57403"/>
    <cellStyle name="Total 2 5 3 2 3 11" xfId="41173"/>
    <cellStyle name="Total 2 5 3 2 3 12" xfId="49380"/>
    <cellStyle name="Total 2 5 3 2 3 13" xfId="57402"/>
    <cellStyle name="Total 2 5 3 2 3 2" xfId="2897"/>
    <cellStyle name="Total 2 5 3 2 3 2 2" xfId="36250"/>
    <cellStyle name="Total 2 5 3 2 3 2 3" xfId="49382"/>
    <cellStyle name="Total 2 5 3 2 3 2 4" xfId="57404"/>
    <cellStyle name="Total 2 5 3 2 3 3" xfId="2898"/>
    <cellStyle name="Total 2 5 3 2 3 3 2" xfId="36747"/>
    <cellStyle name="Total 2 5 3 2 3 3 3" xfId="49383"/>
    <cellStyle name="Total 2 5 3 2 3 3 4" xfId="57405"/>
    <cellStyle name="Total 2 5 3 2 3 4" xfId="30261"/>
    <cellStyle name="Total 2 5 3 2 3 4 2" xfId="37363"/>
    <cellStyle name="Total 2 5 3 2 3 4 3" xfId="49384"/>
    <cellStyle name="Total 2 5 3 2 3 4 4" xfId="57406"/>
    <cellStyle name="Total 2 5 3 2 3 5" xfId="30262"/>
    <cellStyle name="Total 2 5 3 2 3 5 2" xfId="37979"/>
    <cellStyle name="Total 2 5 3 2 3 5 3" xfId="49385"/>
    <cellStyle name="Total 2 5 3 2 3 5 4" xfId="57407"/>
    <cellStyle name="Total 2 5 3 2 3 6" xfId="38596"/>
    <cellStyle name="Total 2 5 3 2 3 6 2" xfId="49386"/>
    <cellStyle name="Total 2 5 3 2 3 6 3" xfId="57408"/>
    <cellStyle name="Total 2 5 3 2 3 7" xfId="39216"/>
    <cellStyle name="Total 2 5 3 2 3 7 2" xfId="49387"/>
    <cellStyle name="Total 2 5 3 2 3 7 3" xfId="57409"/>
    <cellStyle name="Total 2 5 3 2 3 8" xfId="39832"/>
    <cellStyle name="Total 2 5 3 2 3 8 2" xfId="49388"/>
    <cellStyle name="Total 2 5 3 2 3 8 3" xfId="57410"/>
    <cellStyle name="Total 2 5 3 2 3 9" xfId="40447"/>
    <cellStyle name="Total 2 5 3 2 3 9 2" xfId="49389"/>
    <cellStyle name="Total 2 5 3 2 3 9 3" xfId="57411"/>
    <cellStyle name="Total 2 5 3 2 4" xfId="2899"/>
    <cellStyle name="Total 2 5 3 2 4 10" xfId="49390"/>
    <cellStyle name="Total 2 5 3 2 4 11" xfId="57412"/>
    <cellStyle name="Total 2 5 3 2 4 2" xfId="30263"/>
    <cellStyle name="Total 2 5 3 2 4 2 2" xfId="49391"/>
    <cellStyle name="Total 2 5 3 2 4 2 3" xfId="57413"/>
    <cellStyle name="Total 2 5 3 2 4 3" xfId="30264"/>
    <cellStyle name="Total 2 5 3 2 4 3 2" xfId="49392"/>
    <cellStyle name="Total 2 5 3 2 4 3 3" xfId="57414"/>
    <cellStyle name="Total 2 5 3 2 4 4" xfId="30265"/>
    <cellStyle name="Total 2 5 3 2 4 4 2" xfId="49393"/>
    <cellStyle name="Total 2 5 3 2 4 4 3" xfId="57415"/>
    <cellStyle name="Total 2 5 3 2 4 5" xfId="30266"/>
    <cellStyle name="Total 2 5 3 2 4 5 2" xfId="49394"/>
    <cellStyle name="Total 2 5 3 2 4 5 3" xfId="57416"/>
    <cellStyle name="Total 2 5 3 2 4 6" xfId="35716"/>
    <cellStyle name="Total 2 5 3 2 4 6 2" xfId="49395"/>
    <cellStyle name="Total 2 5 3 2 4 6 3" xfId="57417"/>
    <cellStyle name="Total 2 5 3 2 4 7" xfId="49396"/>
    <cellStyle name="Total 2 5 3 2 4 7 2" xfId="57418"/>
    <cellStyle name="Total 2 5 3 2 4 8" xfId="49397"/>
    <cellStyle name="Total 2 5 3 2 4 8 2" xfId="57419"/>
    <cellStyle name="Total 2 5 3 2 4 9" xfId="49398"/>
    <cellStyle name="Total 2 5 3 2 4 9 2" xfId="57420"/>
    <cellStyle name="Total 2 5 3 2 5" xfId="1476"/>
    <cellStyle name="Total 2 5 3 2 5 2" xfId="30267"/>
    <cellStyle name="Total 2 5 3 2 5 3" xfId="30268"/>
    <cellStyle name="Total 2 5 3 2 5 4" xfId="30269"/>
    <cellStyle name="Total 2 5 3 2 5 5" xfId="30270"/>
    <cellStyle name="Total 2 5 3 2 5 6" xfId="36535"/>
    <cellStyle name="Total 2 5 3 2 5 7" xfId="49399"/>
    <cellStyle name="Total 2 5 3 2 5 8" xfId="57421"/>
    <cellStyle name="Total 2 5 3 2 6" xfId="3546"/>
    <cellStyle name="Total 2 5 3 2 6 2" xfId="30271"/>
    <cellStyle name="Total 2 5 3 2 6 3" xfId="30272"/>
    <cellStyle name="Total 2 5 3 2 6 4" xfId="30273"/>
    <cellStyle name="Total 2 5 3 2 6 5" xfId="30274"/>
    <cellStyle name="Total 2 5 3 2 6 6" xfId="37151"/>
    <cellStyle name="Total 2 5 3 2 6 7" xfId="49400"/>
    <cellStyle name="Total 2 5 3 2 6 8" xfId="57422"/>
    <cellStyle name="Total 2 5 3 2 7" xfId="3864"/>
    <cellStyle name="Total 2 5 3 2 7 2" xfId="30275"/>
    <cellStyle name="Total 2 5 3 2 7 3" xfId="30276"/>
    <cellStyle name="Total 2 5 3 2 7 4" xfId="30277"/>
    <cellStyle name="Total 2 5 3 2 7 5" xfId="30278"/>
    <cellStyle name="Total 2 5 3 2 7 6" xfId="37765"/>
    <cellStyle name="Total 2 5 3 2 7 7" xfId="49401"/>
    <cellStyle name="Total 2 5 3 2 7 8" xfId="57423"/>
    <cellStyle name="Total 2 5 3 2 8" xfId="30279"/>
    <cellStyle name="Total 2 5 3 2 8 2" xfId="30280"/>
    <cellStyle name="Total 2 5 3 2 8 3" xfId="30281"/>
    <cellStyle name="Total 2 5 3 2 8 4" xfId="30282"/>
    <cellStyle name="Total 2 5 3 2 8 5" xfId="30283"/>
    <cellStyle name="Total 2 5 3 2 8 6" xfId="38381"/>
    <cellStyle name="Total 2 5 3 2 8 7" xfId="49402"/>
    <cellStyle name="Total 2 5 3 2 8 8" xfId="57424"/>
    <cellStyle name="Total 2 5 3 2 9" xfId="30284"/>
    <cellStyle name="Total 2 5 3 2 9 2" xfId="30285"/>
    <cellStyle name="Total 2 5 3 2 9 3" xfId="30286"/>
    <cellStyle name="Total 2 5 3 2 9 4" xfId="30287"/>
    <cellStyle name="Total 2 5 3 2 9 5" xfId="30288"/>
    <cellStyle name="Total 2 5 3 2 9 6" xfId="39001"/>
    <cellStyle name="Total 2 5 3 2 9 7" xfId="49403"/>
    <cellStyle name="Total 2 5 3 2 9 8" xfId="57425"/>
    <cellStyle name="Total 2 5 3 20" xfId="34872"/>
    <cellStyle name="Total 2 5 3 21" xfId="40837"/>
    <cellStyle name="Total 2 5 3 3" xfId="444"/>
    <cellStyle name="Total 2 5 3 3 10" xfId="30289"/>
    <cellStyle name="Total 2 5 3 3 10 2" xfId="30290"/>
    <cellStyle name="Total 2 5 3 3 10 3" xfId="30291"/>
    <cellStyle name="Total 2 5 3 3 10 4" xfId="30292"/>
    <cellStyle name="Total 2 5 3 3 10 5" xfId="30293"/>
    <cellStyle name="Total 2 5 3 3 10 6" xfId="40233"/>
    <cellStyle name="Total 2 5 3 3 10 7" xfId="49404"/>
    <cellStyle name="Total 2 5 3 3 10 8" xfId="57426"/>
    <cellStyle name="Total 2 5 3 3 11" xfId="30294"/>
    <cellStyle name="Total 2 5 3 3 11 2" xfId="30295"/>
    <cellStyle name="Total 2 5 3 3 11 3" xfId="30296"/>
    <cellStyle name="Total 2 5 3 3 11 4" xfId="30297"/>
    <cellStyle name="Total 2 5 3 3 11 5" xfId="30298"/>
    <cellStyle name="Total 2 5 3 3 11 6" xfId="49405"/>
    <cellStyle name="Total 2 5 3 3 11 7" xfId="57427"/>
    <cellStyle name="Total 2 5 3 3 12" xfId="30299"/>
    <cellStyle name="Total 2 5 3 3 12 2" xfId="30300"/>
    <cellStyle name="Total 2 5 3 3 12 3" xfId="30301"/>
    <cellStyle name="Total 2 5 3 3 12 4" xfId="30302"/>
    <cellStyle name="Total 2 5 3 3 12 5" xfId="30303"/>
    <cellStyle name="Total 2 5 3 3 12 6" xfId="49406"/>
    <cellStyle name="Total 2 5 3 3 12 7" xfId="57428"/>
    <cellStyle name="Total 2 5 3 3 13" xfId="30304"/>
    <cellStyle name="Total 2 5 3 3 13 2" xfId="30305"/>
    <cellStyle name="Total 2 5 3 3 13 3" xfId="30306"/>
    <cellStyle name="Total 2 5 3 3 13 4" xfId="30307"/>
    <cellStyle name="Total 2 5 3 3 13 5" xfId="30308"/>
    <cellStyle name="Total 2 5 3 3 13 6" xfId="49407"/>
    <cellStyle name="Total 2 5 3 3 13 7" xfId="57429"/>
    <cellStyle name="Total 2 5 3 3 14" xfId="30309"/>
    <cellStyle name="Total 2 5 3 3 14 2" xfId="30310"/>
    <cellStyle name="Total 2 5 3 3 14 3" xfId="30311"/>
    <cellStyle name="Total 2 5 3 3 14 4" xfId="30312"/>
    <cellStyle name="Total 2 5 3 3 14 5" xfId="30313"/>
    <cellStyle name="Total 2 5 3 3 15" xfId="30314"/>
    <cellStyle name="Total 2 5 3 3 15 2" xfId="30315"/>
    <cellStyle name="Total 2 5 3 3 15 3" xfId="30316"/>
    <cellStyle name="Total 2 5 3 3 15 4" xfId="30317"/>
    <cellStyle name="Total 2 5 3 3 15 5" xfId="30318"/>
    <cellStyle name="Total 2 5 3 3 16" xfId="30319"/>
    <cellStyle name="Total 2 5 3 3 16 2" xfId="30320"/>
    <cellStyle name="Total 2 5 3 3 16 3" xfId="30321"/>
    <cellStyle name="Total 2 5 3 3 16 4" xfId="30322"/>
    <cellStyle name="Total 2 5 3 3 16 5" xfId="30323"/>
    <cellStyle name="Total 2 5 3 3 17" xfId="30324"/>
    <cellStyle name="Total 2 5 3 3 17 2" xfId="30325"/>
    <cellStyle name="Total 2 5 3 3 17 3" xfId="30326"/>
    <cellStyle name="Total 2 5 3 3 17 4" xfId="30327"/>
    <cellStyle name="Total 2 5 3 3 17 5" xfId="30328"/>
    <cellStyle name="Total 2 5 3 3 18" xfId="30329"/>
    <cellStyle name="Total 2 5 3 3 18 2" xfId="30330"/>
    <cellStyle name="Total 2 5 3 3 18 3" xfId="30331"/>
    <cellStyle name="Total 2 5 3 3 18 4" xfId="30332"/>
    <cellStyle name="Total 2 5 3 3 18 5" xfId="30333"/>
    <cellStyle name="Total 2 5 3 3 19" xfId="30334"/>
    <cellStyle name="Total 2 5 3 3 2" xfId="659"/>
    <cellStyle name="Total 2 5 3 3 2 10" xfId="30335"/>
    <cellStyle name="Total 2 5 3 3 2 10 2" xfId="30336"/>
    <cellStyle name="Total 2 5 3 3 2 10 3" xfId="30337"/>
    <cellStyle name="Total 2 5 3 3 2 10 4" xfId="30338"/>
    <cellStyle name="Total 2 5 3 3 2 10 5" xfId="30339"/>
    <cellStyle name="Total 2 5 3 3 2 10 6" xfId="49408"/>
    <cellStyle name="Total 2 5 3 3 2 10 7" xfId="57430"/>
    <cellStyle name="Total 2 5 3 3 2 11" xfId="30340"/>
    <cellStyle name="Total 2 5 3 3 2 11 2" xfId="30341"/>
    <cellStyle name="Total 2 5 3 3 2 11 3" xfId="30342"/>
    <cellStyle name="Total 2 5 3 3 2 11 4" xfId="30343"/>
    <cellStyle name="Total 2 5 3 3 2 11 5" xfId="30344"/>
    <cellStyle name="Total 2 5 3 3 2 12" xfId="30345"/>
    <cellStyle name="Total 2 5 3 3 2 12 2" xfId="30346"/>
    <cellStyle name="Total 2 5 3 3 2 12 3" xfId="30347"/>
    <cellStyle name="Total 2 5 3 3 2 12 4" xfId="30348"/>
    <cellStyle name="Total 2 5 3 3 2 12 5" xfId="30349"/>
    <cellStyle name="Total 2 5 3 3 2 13" xfId="30350"/>
    <cellStyle name="Total 2 5 3 3 2 13 2" xfId="30351"/>
    <cellStyle name="Total 2 5 3 3 2 13 3" xfId="30352"/>
    <cellStyle name="Total 2 5 3 3 2 13 4" xfId="30353"/>
    <cellStyle name="Total 2 5 3 3 2 13 5" xfId="30354"/>
    <cellStyle name="Total 2 5 3 3 2 14" xfId="30355"/>
    <cellStyle name="Total 2 5 3 3 2 14 2" xfId="30356"/>
    <cellStyle name="Total 2 5 3 3 2 14 3" xfId="30357"/>
    <cellStyle name="Total 2 5 3 3 2 14 4" xfId="30358"/>
    <cellStyle name="Total 2 5 3 3 2 14 5" xfId="30359"/>
    <cellStyle name="Total 2 5 3 3 2 15" xfId="30360"/>
    <cellStyle name="Total 2 5 3 3 2 15 2" xfId="30361"/>
    <cellStyle name="Total 2 5 3 3 2 15 3" xfId="30362"/>
    <cellStyle name="Total 2 5 3 3 2 15 4" xfId="30363"/>
    <cellStyle name="Total 2 5 3 3 2 15 5" xfId="30364"/>
    <cellStyle name="Total 2 5 3 3 2 16" xfId="30365"/>
    <cellStyle name="Total 2 5 3 3 2 16 2" xfId="30366"/>
    <cellStyle name="Total 2 5 3 3 2 16 3" xfId="30367"/>
    <cellStyle name="Total 2 5 3 3 2 16 4" xfId="30368"/>
    <cellStyle name="Total 2 5 3 3 2 16 5" xfId="30369"/>
    <cellStyle name="Total 2 5 3 3 2 17" xfId="30370"/>
    <cellStyle name="Total 2 5 3 3 2 17 2" xfId="30371"/>
    <cellStyle name="Total 2 5 3 3 2 17 3" xfId="30372"/>
    <cellStyle name="Total 2 5 3 3 2 17 4" xfId="30373"/>
    <cellStyle name="Total 2 5 3 3 2 17 5" xfId="30374"/>
    <cellStyle name="Total 2 5 3 3 2 18" xfId="30375"/>
    <cellStyle name="Total 2 5 3 3 2 18 2" xfId="30376"/>
    <cellStyle name="Total 2 5 3 3 2 18 3" xfId="30377"/>
    <cellStyle name="Total 2 5 3 3 2 18 4" xfId="30378"/>
    <cellStyle name="Total 2 5 3 3 2 18 5" xfId="30379"/>
    <cellStyle name="Total 2 5 3 3 2 19" xfId="30380"/>
    <cellStyle name="Total 2 5 3 3 2 2" xfId="2900"/>
    <cellStyle name="Total 2 5 3 3 2 2 2" xfId="30381"/>
    <cellStyle name="Total 2 5 3 3 2 2 2 2" xfId="49410"/>
    <cellStyle name="Total 2 5 3 3 2 2 2 3" xfId="57432"/>
    <cellStyle name="Total 2 5 3 3 2 2 3" xfId="30382"/>
    <cellStyle name="Total 2 5 3 3 2 2 4" xfId="30383"/>
    <cellStyle name="Total 2 5 3 3 2 2 5" xfId="30384"/>
    <cellStyle name="Total 2 5 3 3 2 2 6" xfId="36462"/>
    <cellStyle name="Total 2 5 3 3 2 2 7" xfId="49409"/>
    <cellStyle name="Total 2 5 3 3 2 2 8" xfId="57431"/>
    <cellStyle name="Total 2 5 3 3 2 20" xfId="1087"/>
    <cellStyle name="Total 2 5 3 3 2 21" xfId="35167"/>
    <cellStyle name="Total 2 5 3 3 2 22" xfId="41387"/>
    <cellStyle name="Total 2 5 3 3 2 3" xfId="2901"/>
    <cellStyle name="Total 2 5 3 3 2 3 2" xfId="30385"/>
    <cellStyle name="Total 2 5 3 3 2 3 3" xfId="30386"/>
    <cellStyle name="Total 2 5 3 3 2 3 4" xfId="30387"/>
    <cellStyle name="Total 2 5 3 3 2 3 5" xfId="30388"/>
    <cellStyle name="Total 2 5 3 3 2 3 6" xfId="36959"/>
    <cellStyle name="Total 2 5 3 3 2 3 7" xfId="49411"/>
    <cellStyle name="Total 2 5 3 3 2 3 8" xfId="57433"/>
    <cellStyle name="Total 2 5 3 3 2 4" xfId="1479"/>
    <cellStyle name="Total 2 5 3 3 2 4 2" xfId="30389"/>
    <cellStyle name="Total 2 5 3 3 2 4 3" xfId="30390"/>
    <cellStyle name="Total 2 5 3 3 2 4 4" xfId="30391"/>
    <cellStyle name="Total 2 5 3 3 2 4 5" xfId="30392"/>
    <cellStyle name="Total 2 5 3 3 2 4 6" xfId="37575"/>
    <cellStyle name="Total 2 5 3 3 2 4 7" xfId="49412"/>
    <cellStyle name="Total 2 5 3 3 2 4 8" xfId="57434"/>
    <cellStyle name="Total 2 5 3 3 2 5" xfId="3549"/>
    <cellStyle name="Total 2 5 3 3 2 5 2" xfId="30393"/>
    <cellStyle name="Total 2 5 3 3 2 5 3" xfId="30394"/>
    <cellStyle name="Total 2 5 3 3 2 5 4" xfId="30395"/>
    <cellStyle name="Total 2 5 3 3 2 5 5" xfId="30396"/>
    <cellStyle name="Total 2 5 3 3 2 5 6" xfId="38192"/>
    <cellStyle name="Total 2 5 3 3 2 5 7" xfId="49413"/>
    <cellStyle name="Total 2 5 3 3 2 5 8" xfId="57435"/>
    <cellStyle name="Total 2 5 3 3 2 6" xfId="3867"/>
    <cellStyle name="Total 2 5 3 3 2 6 2" xfId="30397"/>
    <cellStyle name="Total 2 5 3 3 2 6 3" xfId="30398"/>
    <cellStyle name="Total 2 5 3 3 2 6 4" xfId="30399"/>
    <cellStyle name="Total 2 5 3 3 2 6 5" xfId="30400"/>
    <cellStyle name="Total 2 5 3 3 2 6 6" xfId="38810"/>
    <cellStyle name="Total 2 5 3 3 2 6 7" xfId="49414"/>
    <cellStyle name="Total 2 5 3 3 2 6 8" xfId="57436"/>
    <cellStyle name="Total 2 5 3 3 2 7" xfId="30401"/>
    <cellStyle name="Total 2 5 3 3 2 7 2" xfId="30402"/>
    <cellStyle name="Total 2 5 3 3 2 7 3" xfId="30403"/>
    <cellStyle name="Total 2 5 3 3 2 7 4" xfId="30404"/>
    <cellStyle name="Total 2 5 3 3 2 7 5" xfId="30405"/>
    <cellStyle name="Total 2 5 3 3 2 7 6" xfId="39430"/>
    <cellStyle name="Total 2 5 3 3 2 7 7" xfId="49415"/>
    <cellStyle name="Total 2 5 3 3 2 7 8" xfId="57437"/>
    <cellStyle name="Total 2 5 3 3 2 8" xfId="30406"/>
    <cellStyle name="Total 2 5 3 3 2 8 2" xfId="30407"/>
    <cellStyle name="Total 2 5 3 3 2 8 3" xfId="30408"/>
    <cellStyle name="Total 2 5 3 3 2 8 4" xfId="30409"/>
    <cellStyle name="Total 2 5 3 3 2 8 5" xfId="30410"/>
    <cellStyle name="Total 2 5 3 3 2 8 6" xfId="40046"/>
    <cellStyle name="Total 2 5 3 3 2 8 7" xfId="49416"/>
    <cellStyle name="Total 2 5 3 3 2 8 8" xfId="57438"/>
    <cellStyle name="Total 2 5 3 3 2 9" xfId="30411"/>
    <cellStyle name="Total 2 5 3 3 2 9 2" xfId="30412"/>
    <cellStyle name="Total 2 5 3 3 2 9 3" xfId="30413"/>
    <cellStyle name="Total 2 5 3 3 2 9 4" xfId="30414"/>
    <cellStyle name="Total 2 5 3 3 2 9 5" xfId="30415"/>
    <cellStyle name="Total 2 5 3 3 2 9 6" xfId="40661"/>
    <cellStyle name="Total 2 5 3 3 2 9 7" xfId="49417"/>
    <cellStyle name="Total 2 5 3 3 2 9 8" xfId="57439"/>
    <cellStyle name="Total 2 5 3 3 20" xfId="875"/>
    <cellStyle name="Total 2 5 3 3 21" xfId="34661"/>
    <cellStyle name="Total 2 5 3 3 22" xfId="40959"/>
    <cellStyle name="Total 2 5 3 3 23" xfId="41520"/>
    <cellStyle name="Total 2 5 3 3 24" xfId="50607"/>
    <cellStyle name="Total 2 5 3 3 3" xfId="2902"/>
    <cellStyle name="Total 2 5 3 3 3 10" xfId="34574"/>
    <cellStyle name="Total 2 5 3 3 3 10 2" xfId="49419"/>
    <cellStyle name="Total 2 5 3 3 3 10 3" xfId="57441"/>
    <cellStyle name="Total 2 5 3 3 3 11" xfId="41174"/>
    <cellStyle name="Total 2 5 3 3 3 12" xfId="49418"/>
    <cellStyle name="Total 2 5 3 3 3 13" xfId="57440"/>
    <cellStyle name="Total 2 5 3 3 3 2" xfId="2903"/>
    <cellStyle name="Total 2 5 3 3 3 2 2" xfId="36251"/>
    <cellStyle name="Total 2 5 3 3 3 2 3" xfId="49420"/>
    <cellStyle name="Total 2 5 3 3 3 2 4" xfId="57442"/>
    <cellStyle name="Total 2 5 3 3 3 3" xfId="2904"/>
    <cellStyle name="Total 2 5 3 3 3 3 2" xfId="36748"/>
    <cellStyle name="Total 2 5 3 3 3 3 3" xfId="49421"/>
    <cellStyle name="Total 2 5 3 3 3 3 4" xfId="57443"/>
    <cellStyle name="Total 2 5 3 3 3 4" xfId="30416"/>
    <cellStyle name="Total 2 5 3 3 3 4 2" xfId="37364"/>
    <cellStyle name="Total 2 5 3 3 3 4 3" xfId="49422"/>
    <cellStyle name="Total 2 5 3 3 3 4 4" xfId="57444"/>
    <cellStyle name="Total 2 5 3 3 3 5" xfId="30417"/>
    <cellStyle name="Total 2 5 3 3 3 5 2" xfId="37980"/>
    <cellStyle name="Total 2 5 3 3 3 5 3" xfId="49423"/>
    <cellStyle name="Total 2 5 3 3 3 5 4" xfId="57445"/>
    <cellStyle name="Total 2 5 3 3 3 6" xfId="38597"/>
    <cellStyle name="Total 2 5 3 3 3 6 2" xfId="49424"/>
    <cellStyle name="Total 2 5 3 3 3 6 3" xfId="57446"/>
    <cellStyle name="Total 2 5 3 3 3 7" xfId="39217"/>
    <cellStyle name="Total 2 5 3 3 3 7 2" xfId="49425"/>
    <cellStyle name="Total 2 5 3 3 3 7 3" xfId="57447"/>
    <cellStyle name="Total 2 5 3 3 3 8" xfId="39833"/>
    <cellStyle name="Total 2 5 3 3 3 8 2" xfId="49426"/>
    <cellStyle name="Total 2 5 3 3 3 8 3" xfId="57448"/>
    <cellStyle name="Total 2 5 3 3 3 9" xfId="40448"/>
    <cellStyle name="Total 2 5 3 3 3 9 2" xfId="49427"/>
    <cellStyle name="Total 2 5 3 3 3 9 3" xfId="57449"/>
    <cellStyle name="Total 2 5 3 3 4" xfId="2905"/>
    <cellStyle name="Total 2 5 3 3 4 10" xfId="49428"/>
    <cellStyle name="Total 2 5 3 3 4 11" xfId="57450"/>
    <cellStyle name="Total 2 5 3 3 4 2" xfId="30418"/>
    <cellStyle name="Total 2 5 3 3 4 2 2" xfId="49429"/>
    <cellStyle name="Total 2 5 3 3 4 2 3" xfId="57451"/>
    <cellStyle name="Total 2 5 3 3 4 3" xfId="30419"/>
    <cellStyle name="Total 2 5 3 3 4 3 2" xfId="49430"/>
    <cellStyle name="Total 2 5 3 3 4 3 3" xfId="57452"/>
    <cellStyle name="Total 2 5 3 3 4 4" xfId="30420"/>
    <cellStyle name="Total 2 5 3 3 4 4 2" xfId="49431"/>
    <cellStyle name="Total 2 5 3 3 4 4 3" xfId="57453"/>
    <cellStyle name="Total 2 5 3 3 4 5" xfId="30421"/>
    <cellStyle name="Total 2 5 3 3 4 5 2" xfId="49432"/>
    <cellStyle name="Total 2 5 3 3 4 5 3" xfId="57454"/>
    <cellStyle name="Total 2 5 3 3 4 6" xfId="36536"/>
    <cellStyle name="Total 2 5 3 3 4 6 2" xfId="49433"/>
    <cellStyle name="Total 2 5 3 3 4 6 3" xfId="57455"/>
    <cellStyle name="Total 2 5 3 3 4 7" xfId="49434"/>
    <cellStyle name="Total 2 5 3 3 4 7 2" xfId="57456"/>
    <cellStyle name="Total 2 5 3 3 4 8" xfId="49435"/>
    <cellStyle name="Total 2 5 3 3 4 8 2" xfId="57457"/>
    <cellStyle name="Total 2 5 3 3 4 9" xfId="49436"/>
    <cellStyle name="Total 2 5 3 3 4 9 2" xfId="57458"/>
    <cellStyle name="Total 2 5 3 3 5" xfId="1478"/>
    <cellStyle name="Total 2 5 3 3 5 2" xfId="30422"/>
    <cellStyle name="Total 2 5 3 3 5 3" xfId="30423"/>
    <cellStyle name="Total 2 5 3 3 5 4" xfId="30424"/>
    <cellStyle name="Total 2 5 3 3 5 5" xfId="30425"/>
    <cellStyle name="Total 2 5 3 3 5 6" xfId="37152"/>
    <cellStyle name="Total 2 5 3 3 5 7" xfId="49437"/>
    <cellStyle name="Total 2 5 3 3 5 8" xfId="57459"/>
    <cellStyle name="Total 2 5 3 3 6" xfId="3548"/>
    <cellStyle name="Total 2 5 3 3 6 2" xfId="30426"/>
    <cellStyle name="Total 2 5 3 3 6 3" xfId="30427"/>
    <cellStyle name="Total 2 5 3 3 6 4" xfId="30428"/>
    <cellStyle name="Total 2 5 3 3 6 5" xfId="30429"/>
    <cellStyle name="Total 2 5 3 3 6 6" xfId="37766"/>
    <cellStyle name="Total 2 5 3 3 6 7" xfId="49438"/>
    <cellStyle name="Total 2 5 3 3 6 8" xfId="57460"/>
    <cellStyle name="Total 2 5 3 3 7" xfId="3866"/>
    <cellStyle name="Total 2 5 3 3 7 2" xfId="30430"/>
    <cellStyle name="Total 2 5 3 3 7 3" xfId="30431"/>
    <cellStyle name="Total 2 5 3 3 7 4" xfId="30432"/>
    <cellStyle name="Total 2 5 3 3 7 5" xfId="30433"/>
    <cellStyle name="Total 2 5 3 3 7 6" xfId="38382"/>
    <cellStyle name="Total 2 5 3 3 7 7" xfId="49439"/>
    <cellStyle name="Total 2 5 3 3 7 8" xfId="57461"/>
    <cellStyle name="Total 2 5 3 3 8" xfId="30434"/>
    <cellStyle name="Total 2 5 3 3 8 2" xfId="30435"/>
    <cellStyle name="Total 2 5 3 3 8 3" xfId="30436"/>
    <cellStyle name="Total 2 5 3 3 8 4" xfId="30437"/>
    <cellStyle name="Total 2 5 3 3 8 5" xfId="30438"/>
    <cellStyle name="Total 2 5 3 3 8 6" xfId="39002"/>
    <cellStyle name="Total 2 5 3 3 8 7" xfId="49440"/>
    <cellStyle name="Total 2 5 3 3 8 8" xfId="57462"/>
    <cellStyle name="Total 2 5 3 3 9" xfId="30439"/>
    <cellStyle name="Total 2 5 3 3 9 2" xfId="30440"/>
    <cellStyle name="Total 2 5 3 3 9 3" xfId="30441"/>
    <cellStyle name="Total 2 5 3 3 9 4" xfId="30442"/>
    <cellStyle name="Total 2 5 3 3 9 5" xfId="30443"/>
    <cellStyle name="Total 2 5 3 3 9 6" xfId="39618"/>
    <cellStyle name="Total 2 5 3 3 9 7" xfId="49441"/>
    <cellStyle name="Total 2 5 3 3 9 8" xfId="57463"/>
    <cellStyle name="Total 2 5 3 4" xfId="538"/>
    <cellStyle name="Total 2 5 3 4 10" xfId="30444"/>
    <cellStyle name="Total 2 5 3 4 10 2" xfId="30445"/>
    <cellStyle name="Total 2 5 3 4 10 3" xfId="30446"/>
    <cellStyle name="Total 2 5 3 4 10 4" xfId="30447"/>
    <cellStyle name="Total 2 5 3 4 10 5" xfId="30448"/>
    <cellStyle name="Total 2 5 3 4 10 6" xfId="49442"/>
    <cellStyle name="Total 2 5 3 4 10 7" xfId="57464"/>
    <cellStyle name="Total 2 5 3 4 11" xfId="30449"/>
    <cellStyle name="Total 2 5 3 4 11 2" xfId="30450"/>
    <cellStyle name="Total 2 5 3 4 11 3" xfId="30451"/>
    <cellStyle name="Total 2 5 3 4 11 4" xfId="30452"/>
    <cellStyle name="Total 2 5 3 4 11 5" xfId="30453"/>
    <cellStyle name="Total 2 5 3 4 12" xfId="30454"/>
    <cellStyle name="Total 2 5 3 4 12 2" xfId="30455"/>
    <cellStyle name="Total 2 5 3 4 12 3" xfId="30456"/>
    <cellStyle name="Total 2 5 3 4 12 4" xfId="30457"/>
    <cellStyle name="Total 2 5 3 4 12 5" xfId="30458"/>
    <cellStyle name="Total 2 5 3 4 13" xfId="30459"/>
    <cellStyle name="Total 2 5 3 4 13 2" xfId="30460"/>
    <cellStyle name="Total 2 5 3 4 13 3" xfId="30461"/>
    <cellStyle name="Total 2 5 3 4 13 4" xfId="30462"/>
    <cellStyle name="Total 2 5 3 4 13 5" xfId="30463"/>
    <cellStyle name="Total 2 5 3 4 14" xfId="30464"/>
    <cellStyle name="Total 2 5 3 4 14 2" xfId="30465"/>
    <cellStyle name="Total 2 5 3 4 14 3" xfId="30466"/>
    <cellStyle name="Total 2 5 3 4 14 4" xfId="30467"/>
    <cellStyle name="Total 2 5 3 4 14 5" xfId="30468"/>
    <cellStyle name="Total 2 5 3 4 15" xfId="30469"/>
    <cellStyle name="Total 2 5 3 4 15 2" xfId="30470"/>
    <cellStyle name="Total 2 5 3 4 15 3" xfId="30471"/>
    <cellStyle name="Total 2 5 3 4 15 4" xfId="30472"/>
    <cellStyle name="Total 2 5 3 4 15 5" xfId="30473"/>
    <cellStyle name="Total 2 5 3 4 16" xfId="30474"/>
    <cellStyle name="Total 2 5 3 4 16 2" xfId="30475"/>
    <cellStyle name="Total 2 5 3 4 16 3" xfId="30476"/>
    <cellStyle name="Total 2 5 3 4 16 4" xfId="30477"/>
    <cellStyle name="Total 2 5 3 4 16 5" xfId="30478"/>
    <cellStyle name="Total 2 5 3 4 17" xfId="30479"/>
    <cellStyle name="Total 2 5 3 4 17 2" xfId="30480"/>
    <cellStyle name="Total 2 5 3 4 17 3" xfId="30481"/>
    <cellStyle name="Total 2 5 3 4 17 4" xfId="30482"/>
    <cellStyle name="Total 2 5 3 4 17 5" xfId="30483"/>
    <cellStyle name="Total 2 5 3 4 18" xfId="30484"/>
    <cellStyle name="Total 2 5 3 4 18 2" xfId="30485"/>
    <cellStyle name="Total 2 5 3 4 18 3" xfId="30486"/>
    <cellStyle name="Total 2 5 3 4 18 4" xfId="30487"/>
    <cellStyle name="Total 2 5 3 4 18 5" xfId="30488"/>
    <cellStyle name="Total 2 5 3 4 19" xfId="30489"/>
    <cellStyle name="Total 2 5 3 4 2" xfId="2906"/>
    <cellStyle name="Total 2 5 3 4 2 2" xfId="30490"/>
    <cellStyle name="Total 2 5 3 4 2 2 2" xfId="49444"/>
    <cellStyle name="Total 2 5 3 4 2 2 3" xfId="57466"/>
    <cellStyle name="Total 2 5 3 4 2 3" xfId="30491"/>
    <cellStyle name="Total 2 5 3 4 2 4" xfId="30492"/>
    <cellStyle name="Total 2 5 3 4 2 5" xfId="30493"/>
    <cellStyle name="Total 2 5 3 4 2 6" xfId="36342"/>
    <cellStyle name="Total 2 5 3 4 2 7" xfId="49443"/>
    <cellStyle name="Total 2 5 3 4 2 8" xfId="57465"/>
    <cellStyle name="Total 2 5 3 4 20" xfId="967"/>
    <cellStyle name="Total 2 5 3 4 21" xfId="35047"/>
    <cellStyle name="Total 2 5 3 4 22" xfId="40756"/>
    <cellStyle name="Total 2 5 3 4 23" xfId="41266"/>
    <cellStyle name="Total 2 5 3 4 3" xfId="2907"/>
    <cellStyle name="Total 2 5 3 4 3 2" xfId="30494"/>
    <cellStyle name="Total 2 5 3 4 3 3" xfId="30495"/>
    <cellStyle name="Total 2 5 3 4 3 4" xfId="30496"/>
    <cellStyle name="Total 2 5 3 4 3 5" xfId="30497"/>
    <cellStyle name="Total 2 5 3 4 3 6" xfId="36839"/>
    <cellStyle name="Total 2 5 3 4 3 7" xfId="49445"/>
    <cellStyle name="Total 2 5 3 4 3 8" xfId="57467"/>
    <cellStyle name="Total 2 5 3 4 4" xfId="1480"/>
    <cellStyle name="Total 2 5 3 4 4 2" xfId="30498"/>
    <cellStyle name="Total 2 5 3 4 4 3" xfId="30499"/>
    <cellStyle name="Total 2 5 3 4 4 4" xfId="30500"/>
    <cellStyle name="Total 2 5 3 4 4 5" xfId="30501"/>
    <cellStyle name="Total 2 5 3 4 4 6" xfId="37455"/>
    <cellStyle name="Total 2 5 3 4 4 7" xfId="49446"/>
    <cellStyle name="Total 2 5 3 4 4 8" xfId="57468"/>
    <cellStyle name="Total 2 5 3 4 5" xfId="3550"/>
    <cellStyle name="Total 2 5 3 4 5 2" xfId="30502"/>
    <cellStyle name="Total 2 5 3 4 5 3" xfId="30503"/>
    <cellStyle name="Total 2 5 3 4 5 4" xfId="30504"/>
    <cellStyle name="Total 2 5 3 4 5 5" xfId="30505"/>
    <cellStyle name="Total 2 5 3 4 5 6" xfId="38071"/>
    <cellStyle name="Total 2 5 3 4 5 7" xfId="49447"/>
    <cellStyle name="Total 2 5 3 4 5 8" xfId="57469"/>
    <cellStyle name="Total 2 5 3 4 6" xfId="3868"/>
    <cellStyle name="Total 2 5 3 4 6 2" xfId="30506"/>
    <cellStyle name="Total 2 5 3 4 6 3" xfId="30507"/>
    <cellStyle name="Total 2 5 3 4 6 4" xfId="30508"/>
    <cellStyle name="Total 2 5 3 4 6 5" xfId="30509"/>
    <cellStyle name="Total 2 5 3 4 6 6" xfId="38689"/>
    <cellStyle name="Total 2 5 3 4 6 7" xfId="49448"/>
    <cellStyle name="Total 2 5 3 4 6 8" xfId="57470"/>
    <cellStyle name="Total 2 5 3 4 7" xfId="30510"/>
    <cellStyle name="Total 2 5 3 4 7 2" xfId="30511"/>
    <cellStyle name="Total 2 5 3 4 7 3" xfId="30512"/>
    <cellStyle name="Total 2 5 3 4 7 4" xfId="30513"/>
    <cellStyle name="Total 2 5 3 4 7 5" xfId="30514"/>
    <cellStyle name="Total 2 5 3 4 7 6" xfId="39309"/>
    <cellStyle name="Total 2 5 3 4 7 7" xfId="49449"/>
    <cellStyle name="Total 2 5 3 4 7 8" xfId="57471"/>
    <cellStyle name="Total 2 5 3 4 8" xfId="30515"/>
    <cellStyle name="Total 2 5 3 4 8 2" xfId="30516"/>
    <cellStyle name="Total 2 5 3 4 8 3" xfId="30517"/>
    <cellStyle name="Total 2 5 3 4 8 4" xfId="30518"/>
    <cellStyle name="Total 2 5 3 4 8 5" xfId="30519"/>
    <cellStyle name="Total 2 5 3 4 8 6" xfId="39925"/>
    <cellStyle name="Total 2 5 3 4 8 7" xfId="49450"/>
    <cellStyle name="Total 2 5 3 4 8 8" xfId="57472"/>
    <cellStyle name="Total 2 5 3 4 9" xfId="30520"/>
    <cellStyle name="Total 2 5 3 4 9 2" xfId="30521"/>
    <cellStyle name="Total 2 5 3 4 9 3" xfId="30522"/>
    <cellStyle name="Total 2 5 3 4 9 4" xfId="30523"/>
    <cellStyle name="Total 2 5 3 4 9 5" xfId="30524"/>
    <cellStyle name="Total 2 5 3 4 9 6" xfId="40540"/>
    <cellStyle name="Total 2 5 3 4 9 7" xfId="49451"/>
    <cellStyle name="Total 2 5 3 4 9 8" xfId="57473"/>
    <cellStyle name="Total 2 5 3 5" xfId="2908"/>
    <cellStyle name="Total 2 5 3 5 10" xfId="34637"/>
    <cellStyle name="Total 2 5 3 5 10 2" xfId="49453"/>
    <cellStyle name="Total 2 5 3 5 10 3" xfId="57475"/>
    <cellStyle name="Total 2 5 3 5 11" xfId="41052"/>
    <cellStyle name="Total 2 5 3 5 12" xfId="49452"/>
    <cellStyle name="Total 2 5 3 5 13" xfId="57474"/>
    <cellStyle name="Total 2 5 3 5 2" xfId="2909"/>
    <cellStyle name="Total 2 5 3 5 2 2" xfId="36129"/>
    <cellStyle name="Total 2 5 3 5 2 3" xfId="49454"/>
    <cellStyle name="Total 2 5 3 5 2 4" xfId="57476"/>
    <cellStyle name="Total 2 5 3 5 3" xfId="2910"/>
    <cellStyle name="Total 2 5 3 5 3 2" xfId="36628"/>
    <cellStyle name="Total 2 5 3 5 3 3" xfId="49455"/>
    <cellStyle name="Total 2 5 3 5 3 4" xfId="57477"/>
    <cellStyle name="Total 2 5 3 5 4" xfId="30525"/>
    <cellStyle name="Total 2 5 3 5 4 2" xfId="37244"/>
    <cellStyle name="Total 2 5 3 5 4 3" xfId="49456"/>
    <cellStyle name="Total 2 5 3 5 4 4" xfId="57478"/>
    <cellStyle name="Total 2 5 3 5 5" xfId="30526"/>
    <cellStyle name="Total 2 5 3 5 5 2" xfId="37860"/>
    <cellStyle name="Total 2 5 3 5 5 3" xfId="49457"/>
    <cellStyle name="Total 2 5 3 5 5 4" xfId="57479"/>
    <cellStyle name="Total 2 5 3 5 6" xfId="38475"/>
    <cellStyle name="Total 2 5 3 5 6 2" xfId="49458"/>
    <cellStyle name="Total 2 5 3 5 6 3" xfId="57480"/>
    <cellStyle name="Total 2 5 3 5 7" xfId="39095"/>
    <cellStyle name="Total 2 5 3 5 7 2" xfId="49459"/>
    <cellStyle name="Total 2 5 3 5 7 3" xfId="57481"/>
    <cellStyle name="Total 2 5 3 5 8" xfId="39711"/>
    <cellStyle name="Total 2 5 3 5 8 2" xfId="49460"/>
    <cellStyle name="Total 2 5 3 5 8 3" xfId="57482"/>
    <cellStyle name="Total 2 5 3 5 9" xfId="40326"/>
    <cellStyle name="Total 2 5 3 5 9 2" xfId="49461"/>
    <cellStyle name="Total 2 5 3 5 9 3" xfId="57483"/>
    <cellStyle name="Total 2 5 3 6" xfId="1475"/>
    <cellStyle name="Total 2 5 3 6 10" xfId="49462"/>
    <cellStyle name="Total 2 5 3 6 11" xfId="57484"/>
    <cellStyle name="Total 2 5 3 6 2" xfId="30527"/>
    <cellStyle name="Total 2 5 3 6 2 2" xfId="49463"/>
    <cellStyle name="Total 2 5 3 6 2 3" xfId="57485"/>
    <cellStyle name="Total 2 5 3 6 3" xfId="30528"/>
    <cellStyle name="Total 2 5 3 6 3 2" xfId="49464"/>
    <cellStyle name="Total 2 5 3 6 3 3" xfId="57486"/>
    <cellStyle name="Total 2 5 3 6 4" xfId="30529"/>
    <cellStyle name="Total 2 5 3 6 4 2" xfId="49465"/>
    <cellStyle name="Total 2 5 3 6 4 3" xfId="57487"/>
    <cellStyle name="Total 2 5 3 6 5" xfId="30530"/>
    <cellStyle name="Total 2 5 3 6 5 2" xfId="49466"/>
    <cellStyle name="Total 2 5 3 6 5 3" xfId="57488"/>
    <cellStyle name="Total 2 5 3 6 6" xfId="35447"/>
    <cellStyle name="Total 2 5 3 6 6 2" xfId="49467"/>
    <cellStyle name="Total 2 5 3 6 6 3" xfId="57489"/>
    <cellStyle name="Total 2 5 3 6 7" xfId="49468"/>
    <cellStyle name="Total 2 5 3 6 7 2" xfId="57490"/>
    <cellStyle name="Total 2 5 3 6 8" xfId="49469"/>
    <cellStyle name="Total 2 5 3 6 8 2" xfId="57491"/>
    <cellStyle name="Total 2 5 3 6 9" xfId="49470"/>
    <cellStyle name="Total 2 5 3 6 9 2" xfId="57492"/>
    <cellStyle name="Total 2 5 3 7" xfId="3545"/>
    <cellStyle name="Total 2 5 3 7 2" xfId="30531"/>
    <cellStyle name="Total 2 5 3 7 3" xfId="30532"/>
    <cellStyle name="Total 2 5 3 7 4" xfId="30533"/>
    <cellStyle name="Total 2 5 3 7 5" xfId="30534"/>
    <cellStyle name="Total 2 5 3 7 6" xfId="35979"/>
    <cellStyle name="Total 2 5 3 7 7" xfId="49471"/>
    <cellStyle name="Total 2 5 3 7 8" xfId="57493"/>
    <cellStyle name="Total 2 5 3 8" xfId="3863"/>
    <cellStyle name="Total 2 5 3 8 2" xfId="30535"/>
    <cellStyle name="Total 2 5 3 8 3" xfId="30536"/>
    <cellStyle name="Total 2 5 3 8 4" xfId="30537"/>
    <cellStyle name="Total 2 5 3 8 5" xfId="30538"/>
    <cellStyle name="Total 2 5 3 8 6" xfId="35797"/>
    <cellStyle name="Total 2 5 3 8 7" xfId="49472"/>
    <cellStyle name="Total 2 5 3 8 8" xfId="57494"/>
    <cellStyle name="Total 2 5 3 9" xfId="30539"/>
    <cellStyle name="Total 2 5 3 9 2" xfId="30540"/>
    <cellStyle name="Total 2 5 3 9 3" xfId="30541"/>
    <cellStyle name="Total 2 5 3 9 4" xfId="30542"/>
    <cellStyle name="Total 2 5 3 9 5" xfId="30543"/>
    <cellStyle name="Total 2 5 3 9 6" xfId="37024"/>
    <cellStyle name="Total 2 5 3 9 7" xfId="49473"/>
    <cellStyle name="Total 2 5 3 9 8" xfId="57495"/>
    <cellStyle name="Total 2 5 4" xfId="445"/>
    <cellStyle name="Total 2 5 4 10" xfId="30544"/>
    <cellStyle name="Total 2 5 4 10 2" xfId="30545"/>
    <cellStyle name="Total 2 5 4 10 3" xfId="30546"/>
    <cellStyle name="Total 2 5 4 10 4" xfId="30547"/>
    <cellStyle name="Total 2 5 4 10 5" xfId="30548"/>
    <cellStyle name="Total 2 5 4 10 6" xfId="39619"/>
    <cellStyle name="Total 2 5 4 10 7" xfId="49474"/>
    <cellStyle name="Total 2 5 4 10 8" xfId="57496"/>
    <cellStyle name="Total 2 5 4 11" xfId="30549"/>
    <cellStyle name="Total 2 5 4 11 2" xfId="30550"/>
    <cellStyle name="Total 2 5 4 11 3" xfId="30551"/>
    <cellStyle name="Total 2 5 4 11 4" xfId="30552"/>
    <cellStyle name="Total 2 5 4 11 5" xfId="30553"/>
    <cellStyle name="Total 2 5 4 11 6" xfId="40234"/>
    <cellStyle name="Total 2 5 4 11 7" xfId="49475"/>
    <cellStyle name="Total 2 5 4 11 8" xfId="57497"/>
    <cellStyle name="Total 2 5 4 12" xfId="30554"/>
    <cellStyle name="Total 2 5 4 12 2" xfId="30555"/>
    <cellStyle name="Total 2 5 4 12 3" xfId="30556"/>
    <cellStyle name="Total 2 5 4 12 4" xfId="30557"/>
    <cellStyle name="Total 2 5 4 12 5" xfId="30558"/>
    <cellStyle name="Total 2 5 4 12 6" xfId="49476"/>
    <cellStyle name="Total 2 5 4 12 7" xfId="57498"/>
    <cellStyle name="Total 2 5 4 13" xfId="30559"/>
    <cellStyle name="Total 2 5 4 13 2" xfId="30560"/>
    <cellStyle name="Total 2 5 4 13 3" xfId="30561"/>
    <cellStyle name="Total 2 5 4 13 4" xfId="30562"/>
    <cellStyle name="Total 2 5 4 13 5" xfId="30563"/>
    <cellStyle name="Total 2 5 4 13 6" xfId="49477"/>
    <cellStyle name="Total 2 5 4 13 7" xfId="57499"/>
    <cellStyle name="Total 2 5 4 14" xfId="30564"/>
    <cellStyle name="Total 2 5 4 14 2" xfId="30565"/>
    <cellStyle name="Total 2 5 4 14 3" xfId="30566"/>
    <cellStyle name="Total 2 5 4 14 4" xfId="30567"/>
    <cellStyle name="Total 2 5 4 14 5" xfId="30568"/>
    <cellStyle name="Total 2 5 4 15" xfId="30569"/>
    <cellStyle name="Total 2 5 4 15 2" xfId="30570"/>
    <cellStyle name="Total 2 5 4 15 3" xfId="30571"/>
    <cellStyle name="Total 2 5 4 15 4" xfId="30572"/>
    <cellStyle name="Total 2 5 4 15 5" xfId="30573"/>
    <cellStyle name="Total 2 5 4 16" xfId="30574"/>
    <cellStyle name="Total 2 5 4 16 2" xfId="30575"/>
    <cellStyle name="Total 2 5 4 16 3" xfId="30576"/>
    <cellStyle name="Total 2 5 4 16 4" xfId="30577"/>
    <cellStyle name="Total 2 5 4 16 5" xfId="30578"/>
    <cellStyle name="Total 2 5 4 17" xfId="30579"/>
    <cellStyle name="Total 2 5 4 17 2" xfId="30580"/>
    <cellStyle name="Total 2 5 4 17 3" xfId="30581"/>
    <cellStyle name="Total 2 5 4 17 4" xfId="30582"/>
    <cellStyle name="Total 2 5 4 17 5" xfId="30583"/>
    <cellStyle name="Total 2 5 4 18" xfId="30584"/>
    <cellStyle name="Total 2 5 4 18 2" xfId="30585"/>
    <cellStyle name="Total 2 5 4 18 3" xfId="30586"/>
    <cellStyle name="Total 2 5 4 18 4" xfId="30587"/>
    <cellStyle name="Total 2 5 4 18 5" xfId="30588"/>
    <cellStyle name="Total 2 5 4 19" xfId="30589"/>
    <cellStyle name="Total 2 5 4 2" xfId="660"/>
    <cellStyle name="Total 2 5 4 2 10" xfId="30590"/>
    <cellStyle name="Total 2 5 4 2 10 2" xfId="30591"/>
    <cellStyle name="Total 2 5 4 2 10 3" xfId="30592"/>
    <cellStyle name="Total 2 5 4 2 10 4" xfId="30593"/>
    <cellStyle name="Total 2 5 4 2 10 5" xfId="30594"/>
    <cellStyle name="Total 2 5 4 2 10 6" xfId="49478"/>
    <cellStyle name="Total 2 5 4 2 10 7" xfId="57500"/>
    <cellStyle name="Total 2 5 4 2 11" xfId="30595"/>
    <cellStyle name="Total 2 5 4 2 11 2" xfId="30596"/>
    <cellStyle name="Total 2 5 4 2 11 3" xfId="30597"/>
    <cellStyle name="Total 2 5 4 2 11 4" xfId="30598"/>
    <cellStyle name="Total 2 5 4 2 11 5" xfId="30599"/>
    <cellStyle name="Total 2 5 4 2 12" xfId="30600"/>
    <cellStyle name="Total 2 5 4 2 12 2" xfId="30601"/>
    <cellStyle name="Total 2 5 4 2 12 3" xfId="30602"/>
    <cellStyle name="Total 2 5 4 2 12 4" xfId="30603"/>
    <cellStyle name="Total 2 5 4 2 12 5" xfId="30604"/>
    <cellStyle name="Total 2 5 4 2 13" xfId="30605"/>
    <cellStyle name="Total 2 5 4 2 13 2" xfId="30606"/>
    <cellStyle name="Total 2 5 4 2 13 3" xfId="30607"/>
    <cellStyle name="Total 2 5 4 2 13 4" xfId="30608"/>
    <cellStyle name="Total 2 5 4 2 13 5" xfId="30609"/>
    <cellStyle name="Total 2 5 4 2 14" xfId="30610"/>
    <cellStyle name="Total 2 5 4 2 14 2" xfId="30611"/>
    <cellStyle name="Total 2 5 4 2 14 3" xfId="30612"/>
    <cellStyle name="Total 2 5 4 2 14 4" xfId="30613"/>
    <cellStyle name="Total 2 5 4 2 14 5" xfId="30614"/>
    <cellStyle name="Total 2 5 4 2 15" xfId="30615"/>
    <cellStyle name="Total 2 5 4 2 15 2" xfId="30616"/>
    <cellStyle name="Total 2 5 4 2 15 3" xfId="30617"/>
    <cellStyle name="Total 2 5 4 2 15 4" xfId="30618"/>
    <cellStyle name="Total 2 5 4 2 15 5" xfId="30619"/>
    <cellStyle name="Total 2 5 4 2 16" xfId="30620"/>
    <cellStyle name="Total 2 5 4 2 16 2" xfId="30621"/>
    <cellStyle name="Total 2 5 4 2 16 3" xfId="30622"/>
    <cellStyle name="Total 2 5 4 2 16 4" xfId="30623"/>
    <cellStyle name="Total 2 5 4 2 16 5" xfId="30624"/>
    <cellStyle name="Total 2 5 4 2 17" xfId="30625"/>
    <cellStyle name="Total 2 5 4 2 17 2" xfId="30626"/>
    <cellStyle name="Total 2 5 4 2 17 3" xfId="30627"/>
    <cellStyle name="Total 2 5 4 2 17 4" xfId="30628"/>
    <cellStyle name="Total 2 5 4 2 17 5" xfId="30629"/>
    <cellStyle name="Total 2 5 4 2 18" xfId="30630"/>
    <cellStyle name="Total 2 5 4 2 18 2" xfId="30631"/>
    <cellStyle name="Total 2 5 4 2 18 3" xfId="30632"/>
    <cellStyle name="Total 2 5 4 2 18 4" xfId="30633"/>
    <cellStyle name="Total 2 5 4 2 18 5" xfId="30634"/>
    <cellStyle name="Total 2 5 4 2 19" xfId="30635"/>
    <cellStyle name="Total 2 5 4 2 2" xfId="2911"/>
    <cellStyle name="Total 2 5 4 2 2 2" xfId="30636"/>
    <cellStyle name="Total 2 5 4 2 2 2 2" xfId="49480"/>
    <cellStyle name="Total 2 5 4 2 2 2 3" xfId="57502"/>
    <cellStyle name="Total 2 5 4 2 2 3" xfId="30637"/>
    <cellStyle name="Total 2 5 4 2 2 4" xfId="30638"/>
    <cellStyle name="Total 2 5 4 2 2 5" xfId="30639"/>
    <cellStyle name="Total 2 5 4 2 2 6" xfId="36463"/>
    <cellStyle name="Total 2 5 4 2 2 7" xfId="49479"/>
    <cellStyle name="Total 2 5 4 2 2 8" xfId="57501"/>
    <cellStyle name="Total 2 5 4 2 20" xfId="1088"/>
    <cellStyle name="Total 2 5 4 2 21" xfId="35168"/>
    <cellStyle name="Total 2 5 4 2 22" xfId="41388"/>
    <cellStyle name="Total 2 5 4 2 3" xfId="2912"/>
    <cellStyle name="Total 2 5 4 2 3 2" xfId="30640"/>
    <cellStyle name="Total 2 5 4 2 3 3" xfId="30641"/>
    <cellStyle name="Total 2 5 4 2 3 4" xfId="30642"/>
    <cellStyle name="Total 2 5 4 2 3 5" xfId="30643"/>
    <cellStyle name="Total 2 5 4 2 3 6" xfId="36960"/>
    <cellStyle name="Total 2 5 4 2 3 7" xfId="49481"/>
    <cellStyle name="Total 2 5 4 2 3 8" xfId="57503"/>
    <cellStyle name="Total 2 5 4 2 4" xfId="1482"/>
    <cellStyle name="Total 2 5 4 2 4 2" xfId="30644"/>
    <cellStyle name="Total 2 5 4 2 4 3" xfId="30645"/>
    <cellStyle name="Total 2 5 4 2 4 4" xfId="30646"/>
    <cellStyle name="Total 2 5 4 2 4 5" xfId="30647"/>
    <cellStyle name="Total 2 5 4 2 4 6" xfId="37576"/>
    <cellStyle name="Total 2 5 4 2 4 7" xfId="49482"/>
    <cellStyle name="Total 2 5 4 2 4 8" xfId="57504"/>
    <cellStyle name="Total 2 5 4 2 5" xfId="3552"/>
    <cellStyle name="Total 2 5 4 2 5 2" xfId="30648"/>
    <cellStyle name="Total 2 5 4 2 5 3" xfId="30649"/>
    <cellStyle name="Total 2 5 4 2 5 4" xfId="30650"/>
    <cellStyle name="Total 2 5 4 2 5 5" xfId="30651"/>
    <cellStyle name="Total 2 5 4 2 5 6" xfId="38193"/>
    <cellStyle name="Total 2 5 4 2 5 7" xfId="49483"/>
    <cellStyle name="Total 2 5 4 2 5 8" xfId="57505"/>
    <cellStyle name="Total 2 5 4 2 6" xfId="3870"/>
    <cellStyle name="Total 2 5 4 2 6 2" xfId="30652"/>
    <cellStyle name="Total 2 5 4 2 6 3" xfId="30653"/>
    <cellStyle name="Total 2 5 4 2 6 4" xfId="30654"/>
    <cellStyle name="Total 2 5 4 2 6 5" xfId="30655"/>
    <cellStyle name="Total 2 5 4 2 6 6" xfId="38811"/>
    <cellStyle name="Total 2 5 4 2 6 7" xfId="49484"/>
    <cellStyle name="Total 2 5 4 2 6 8" xfId="57506"/>
    <cellStyle name="Total 2 5 4 2 7" xfId="30656"/>
    <cellStyle name="Total 2 5 4 2 7 2" xfId="30657"/>
    <cellStyle name="Total 2 5 4 2 7 3" xfId="30658"/>
    <cellStyle name="Total 2 5 4 2 7 4" xfId="30659"/>
    <cellStyle name="Total 2 5 4 2 7 5" xfId="30660"/>
    <cellStyle name="Total 2 5 4 2 7 6" xfId="39431"/>
    <cellStyle name="Total 2 5 4 2 7 7" xfId="49485"/>
    <cellStyle name="Total 2 5 4 2 7 8" xfId="57507"/>
    <cellStyle name="Total 2 5 4 2 8" xfId="30661"/>
    <cellStyle name="Total 2 5 4 2 8 2" xfId="30662"/>
    <cellStyle name="Total 2 5 4 2 8 3" xfId="30663"/>
    <cellStyle name="Total 2 5 4 2 8 4" xfId="30664"/>
    <cellStyle name="Total 2 5 4 2 8 5" xfId="30665"/>
    <cellStyle name="Total 2 5 4 2 8 6" xfId="40047"/>
    <cellStyle name="Total 2 5 4 2 8 7" xfId="49486"/>
    <cellStyle name="Total 2 5 4 2 8 8" xfId="57508"/>
    <cellStyle name="Total 2 5 4 2 9" xfId="30666"/>
    <cellStyle name="Total 2 5 4 2 9 2" xfId="30667"/>
    <cellStyle name="Total 2 5 4 2 9 3" xfId="30668"/>
    <cellStyle name="Total 2 5 4 2 9 4" xfId="30669"/>
    <cellStyle name="Total 2 5 4 2 9 5" xfId="30670"/>
    <cellStyle name="Total 2 5 4 2 9 6" xfId="40662"/>
    <cellStyle name="Total 2 5 4 2 9 7" xfId="49487"/>
    <cellStyle name="Total 2 5 4 2 9 8" xfId="57509"/>
    <cellStyle name="Total 2 5 4 20" xfId="876"/>
    <cellStyle name="Total 2 5 4 21" xfId="34660"/>
    <cellStyle name="Total 2 5 4 22" xfId="40960"/>
    <cellStyle name="Total 2 5 4 23" xfId="41521"/>
    <cellStyle name="Total 2 5 4 24" xfId="50608"/>
    <cellStyle name="Total 2 5 4 3" xfId="2913"/>
    <cellStyle name="Total 2 5 4 3 10" xfId="34573"/>
    <cellStyle name="Total 2 5 4 3 10 2" xfId="49489"/>
    <cellStyle name="Total 2 5 4 3 10 3" xfId="57511"/>
    <cellStyle name="Total 2 5 4 3 11" xfId="41175"/>
    <cellStyle name="Total 2 5 4 3 12" xfId="49488"/>
    <cellStyle name="Total 2 5 4 3 13" xfId="57510"/>
    <cellStyle name="Total 2 5 4 3 2" xfId="2914"/>
    <cellStyle name="Total 2 5 4 3 2 2" xfId="36252"/>
    <cellStyle name="Total 2 5 4 3 2 3" xfId="49490"/>
    <cellStyle name="Total 2 5 4 3 2 4" xfId="57512"/>
    <cellStyle name="Total 2 5 4 3 3" xfId="2915"/>
    <cellStyle name="Total 2 5 4 3 3 2" xfId="36749"/>
    <cellStyle name="Total 2 5 4 3 3 3" xfId="49491"/>
    <cellStyle name="Total 2 5 4 3 3 4" xfId="57513"/>
    <cellStyle name="Total 2 5 4 3 4" xfId="30671"/>
    <cellStyle name="Total 2 5 4 3 4 2" xfId="37365"/>
    <cellStyle name="Total 2 5 4 3 4 3" xfId="49492"/>
    <cellStyle name="Total 2 5 4 3 4 4" xfId="57514"/>
    <cellStyle name="Total 2 5 4 3 5" xfId="30672"/>
    <cellStyle name="Total 2 5 4 3 5 2" xfId="37981"/>
    <cellStyle name="Total 2 5 4 3 5 3" xfId="49493"/>
    <cellStyle name="Total 2 5 4 3 5 4" xfId="57515"/>
    <cellStyle name="Total 2 5 4 3 6" xfId="38598"/>
    <cellStyle name="Total 2 5 4 3 6 2" xfId="49494"/>
    <cellStyle name="Total 2 5 4 3 6 3" xfId="57516"/>
    <cellStyle name="Total 2 5 4 3 7" xfId="39218"/>
    <cellStyle name="Total 2 5 4 3 7 2" xfId="49495"/>
    <cellStyle name="Total 2 5 4 3 7 3" xfId="57517"/>
    <cellStyle name="Total 2 5 4 3 8" xfId="39834"/>
    <cellStyle name="Total 2 5 4 3 8 2" xfId="49496"/>
    <cellStyle name="Total 2 5 4 3 8 3" xfId="57518"/>
    <cellStyle name="Total 2 5 4 3 9" xfId="40449"/>
    <cellStyle name="Total 2 5 4 3 9 2" xfId="49497"/>
    <cellStyle name="Total 2 5 4 3 9 3" xfId="57519"/>
    <cellStyle name="Total 2 5 4 4" xfId="2916"/>
    <cellStyle name="Total 2 5 4 4 10" xfId="49498"/>
    <cellStyle name="Total 2 5 4 4 11" xfId="57520"/>
    <cellStyle name="Total 2 5 4 4 2" xfId="30673"/>
    <cellStyle name="Total 2 5 4 4 2 2" xfId="49499"/>
    <cellStyle name="Total 2 5 4 4 2 3" xfId="57521"/>
    <cellStyle name="Total 2 5 4 4 3" xfId="30674"/>
    <cellStyle name="Total 2 5 4 4 3 2" xfId="49500"/>
    <cellStyle name="Total 2 5 4 4 3 3" xfId="57522"/>
    <cellStyle name="Total 2 5 4 4 4" xfId="30675"/>
    <cellStyle name="Total 2 5 4 4 4 2" xfId="49501"/>
    <cellStyle name="Total 2 5 4 4 4 3" xfId="57523"/>
    <cellStyle name="Total 2 5 4 4 5" xfId="30676"/>
    <cellStyle name="Total 2 5 4 4 5 2" xfId="49502"/>
    <cellStyle name="Total 2 5 4 4 5 3" xfId="57524"/>
    <cellStyle name="Total 2 5 4 4 6" xfId="35671"/>
    <cellStyle name="Total 2 5 4 4 6 2" xfId="49503"/>
    <cellStyle name="Total 2 5 4 4 6 3" xfId="57525"/>
    <cellStyle name="Total 2 5 4 4 7" xfId="49504"/>
    <cellStyle name="Total 2 5 4 4 7 2" xfId="57526"/>
    <cellStyle name="Total 2 5 4 4 8" xfId="49505"/>
    <cellStyle name="Total 2 5 4 4 8 2" xfId="57527"/>
    <cellStyle name="Total 2 5 4 4 9" xfId="49506"/>
    <cellStyle name="Total 2 5 4 4 9 2" xfId="57528"/>
    <cellStyle name="Total 2 5 4 5" xfId="1481"/>
    <cellStyle name="Total 2 5 4 5 2" xfId="30677"/>
    <cellStyle name="Total 2 5 4 5 3" xfId="30678"/>
    <cellStyle name="Total 2 5 4 5 4" xfId="30679"/>
    <cellStyle name="Total 2 5 4 5 5" xfId="30680"/>
    <cellStyle name="Total 2 5 4 5 6" xfId="36537"/>
    <cellStyle name="Total 2 5 4 5 7" xfId="49507"/>
    <cellStyle name="Total 2 5 4 5 8" xfId="57529"/>
    <cellStyle name="Total 2 5 4 6" xfId="3551"/>
    <cellStyle name="Total 2 5 4 6 2" xfId="30681"/>
    <cellStyle name="Total 2 5 4 6 3" xfId="30682"/>
    <cellStyle name="Total 2 5 4 6 4" xfId="30683"/>
    <cellStyle name="Total 2 5 4 6 5" xfId="30684"/>
    <cellStyle name="Total 2 5 4 6 6" xfId="37153"/>
    <cellStyle name="Total 2 5 4 6 7" xfId="49508"/>
    <cellStyle name="Total 2 5 4 6 8" xfId="57530"/>
    <cellStyle name="Total 2 5 4 7" xfId="3869"/>
    <cellStyle name="Total 2 5 4 7 2" xfId="30685"/>
    <cellStyle name="Total 2 5 4 7 3" xfId="30686"/>
    <cellStyle name="Total 2 5 4 7 4" xfId="30687"/>
    <cellStyle name="Total 2 5 4 7 5" xfId="30688"/>
    <cellStyle name="Total 2 5 4 7 6" xfId="37767"/>
    <cellStyle name="Total 2 5 4 7 7" xfId="49509"/>
    <cellStyle name="Total 2 5 4 7 8" xfId="57531"/>
    <cellStyle name="Total 2 5 4 8" xfId="30689"/>
    <cellStyle name="Total 2 5 4 8 2" xfId="30690"/>
    <cellStyle name="Total 2 5 4 8 3" xfId="30691"/>
    <cellStyle name="Total 2 5 4 8 4" xfId="30692"/>
    <cellStyle name="Total 2 5 4 8 5" xfId="30693"/>
    <cellStyle name="Total 2 5 4 8 6" xfId="38383"/>
    <cellStyle name="Total 2 5 4 8 7" xfId="49510"/>
    <cellStyle name="Total 2 5 4 8 8" xfId="57532"/>
    <cellStyle name="Total 2 5 4 9" xfId="30694"/>
    <cellStyle name="Total 2 5 4 9 2" xfId="30695"/>
    <cellStyle name="Total 2 5 4 9 3" xfId="30696"/>
    <cellStyle name="Total 2 5 4 9 4" xfId="30697"/>
    <cellStyle name="Total 2 5 4 9 5" xfId="30698"/>
    <cellStyle name="Total 2 5 4 9 6" xfId="39003"/>
    <cellStyle name="Total 2 5 4 9 7" xfId="49511"/>
    <cellStyle name="Total 2 5 4 9 8" xfId="57533"/>
    <cellStyle name="Total 2 5 5" xfId="446"/>
    <cellStyle name="Total 2 5 5 10" xfId="30699"/>
    <cellStyle name="Total 2 5 5 10 2" xfId="30700"/>
    <cellStyle name="Total 2 5 5 10 3" xfId="30701"/>
    <cellStyle name="Total 2 5 5 10 4" xfId="30702"/>
    <cellStyle name="Total 2 5 5 10 5" xfId="30703"/>
    <cellStyle name="Total 2 5 5 10 6" xfId="40235"/>
    <cellStyle name="Total 2 5 5 10 7" xfId="49512"/>
    <cellStyle name="Total 2 5 5 10 8" xfId="57534"/>
    <cellStyle name="Total 2 5 5 11" xfId="30704"/>
    <cellStyle name="Total 2 5 5 11 2" xfId="30705"/>
    <cellStyle name="Total 2 5 5 11 3" xfId="30706"/>
    <cellStyle name="Total 2 5 5 11 4" xfId="30707"/>
    <cellStyle name="Total 2 5 5 11 5" xfId="30708"/>
    <cellStyle name="Total 2 5 5 11 6" xfId="49513"/>
    <cellStyle name="Total 2 5 5 11 7" xfId="57535"/>
    <cellStyle name="Total 2 5 5 12" xfId="30709"/>
    <cellStyle name="Total 2 5 5 12 2" xfId="30710"/>
    <cellStyle name="Total 2 5 5 12 3" xfId="30711"/>
    <cellStyle name="Total 2 5 5 12 4" xfId="30712"/>
    <cellStyle name="Total 2 5 5 12 5" xfId="30713"/>
    <cellStyle name="Total 2 5 5 12 6" xfId="49514"/>
    <cellStyle name="Total 2 5 5 12 7" xfId="57536"/>
    <cellStyle name="Total 2 5 5 13" xfId="30714"/>
    <cellStyle name="Total 2 5 5 13 2" xfId="30715"/>
    <cellStyle name="Total 2 5 5 13 3" xfId="30716"/>
    <cellStyle name="Total 2 5 5 13 4" xfId="30717"/>
    <cellStyle name="Total 2 5 5 13 5" xfId="30718"/>
    <cellStyle name="Total 2 5 5 13 6" xfId="49515"/>
    <cellStyle name="Total 2 5 5 13 7" xfId="57537"/>
    <cellStyle name="Total 2 5 5 14" xfId="30719"/>
    <cellStyle name="Total 2 5 5 14 2" xfId="30720"/>
    <cellStyle name="Total 2 5 5 14 3" xfId="30721"/>
    <cellStyle name="Total 2 5 5 14 4" xfId="30722"/>
    <cellStyle name="Total 2 5 5 14 5" xfId="30723"/>
    <cellStyle name="Total 2 5 5 15" xfId="30724"/>
    <cellStyle name="Total 2 5 5 15 2" xfId="30725"/>
    <cellStyle name="Total 2 5 5 15 3" xfId="30726"/>
    <cellStyle name="Total 2 5 5 15 4" xfId="30727"/>
    <cellStyle name="Total 2 5 5 15 5" xfId="30728"/>
    <cellStyle name="Total 2 5 5 16" xfId="30729"/>
    <cellStyle name="Total 2 5 5 16 2" xfId="30730"/>
    <cellStyle name="Total 2 5 5 16 3" xfId="30731"/>
    <cellStyle name="Total 2 5 5 16 4" xfId="30732"/>
    <cellStyle name="Total 2 5 5 16 5" xfId="30733"/>
    <cellStyle name="Total 2 5 5 17" xfId="30734"/>
    <cellStyle name="Total 2 5 5 17 2" xfId="30735"/>
    <cellStyle name="Total 2 5 5 17 3" xfId="30736"/>
    <cellStyle name="Total 2 5 5 17 4" xfId="30737"/>
    <cellStyle name="Total 2 5 5 17 5" xfId="30738"/>
    <cellStyle name="Total 2 5 5 18" xfId="30739"/>
    <cellStyle name="Total 2 5 5 18 2" xfId="30740"/>
    <cellStyle name="Total 2 5 5 18 3" xfId="30741"/>
    <cellStyle name="Total 2 5 5 18 4" xfId="30742"/>
    <cellStyle name="Total 2 5 5 18 5" xfId="30743"/>
    <cellStyle name="Total 2 5 5 19" xfId="30744"/>
    <cellStyle name="Total 2 5 5 2" xfId="661"/>
    <cellStyle name="Total 2 5 5 2 10" xfId="30745"/>
    <cellStyle name="Total 2 5 5 2 10 2" xfId="30746"/>
    <cellStyle name="Total 2 5 5 2 10 3" xfId="30747"/>
    <cellStyle name="Total 2 5 5 2 10 4" xfId="30748"/>
    <cellStyle name="Total 2 5 5 2 10 5" xfId="30749"/>
    <cellStyle name="Total 2 5 5 2 10 6" xfId="49516"/>
    <cellStyle name="Total 2 5 5 2 10 7" xfId="57538"/>
    <cellStyle name="Total 2 5 5 2 11" xfId="30750"/>
    <cellStyle name="Total 2 5 5 2 11 2" xfId="30751"/>
    <cellStyle name="Total 2 5 5 2 11 3" xfId="30752"/>
    <cellStyle name="Total 2 5 5 2 11 4" xfId="30753"/>
    <cellStyle name="Total 2 5 5 2 11 5" xfId="30754"/>
    <cellStyle name="Total 2 5 5 2 12" xfId="30755"/>
    <cellStyle name="Total 2 5 5 2 12 2" xfId="30756"/>
    <cellStyle name="Total 2 5 5 2 12 3" xfId="30757"/>
    <cellStyle name="Total 2 5 5 2 12 4" xfId="30758"/>
    <cellStyle name="Total 2 5 5 2 12 5" xfId="30759"/>
    <cellStyle name="Total 2 5 5 2 13" xfId="30760"/>
    <cellStyle name="Total 2 5 5 2 13 2" xfId="30761"/>
    <cellStyle name="Total 2 5 5 2 13 3" xfId="30762"/>
    <cellStyle name="Total 2 5 5 2 13 4" xfId="30763"/>
    <cellStyle name="Total 2 5 5 2 13 5" xfId="30764"/>
    <cellStyle name="Total 2 5 5 2 14" xfId="30765"/>
    <cellStyle name="Total 2 5 5 2 14 2" xfId="30766"/>
    <cellStyle name="Total 2 5 5 2 14 3" xfId="30767"/>
    <cellStyle name="Total 2 5 5 2 14 4" xfId="30768"/>
    <cellStyle name="Total 2 5 5 2 14 5" xfId="30769"/>
    <cellStyle name="Total 2 5 5 2 15" xfId="30770"/>
    <cellStyle name="Total 2 5 5 2 15 2" xfId="30771"/>
    <cellStyle name="Total 2 5 5 2 15 3" xfId="30772"/>
    <cellStyle name="Total 2 5 5 2 15 4" xfId="30773"/>
    <cellStyle name="Total 2 5 5 2 15 5" xfId="30774"/>
    <cellStyle name="Total 2 5 5 2 16" xfId="30775"/>
    <cellStyle name="Total 2 5 5 2 16 2" xfId="30776"/>
    <cellStyle name="Total 2 5 5 2 16 3" xfId="30777"/>
    <cellStyle name="Total 2 5 5 2 16 4" xfId="30778"/>
    <cellStyle name="Total 2 5 5 2 16 5" xfId="30779"/>
    <cellStyle name="Total 2 5 5 2 17" xfId="30780"/>
    <cellStyle name="Total 2 5 5 2 17 2" xfId="30781"/>
    <cellStyle name="Total 2 5 5 2 17 3" xfId="30782"/>
    <cellStyle name="Total 2 5 5 2 17 4" xfId="30783"/>
    <cellStyle name="Total 2 5 5 2 17 5" xfId="30784"/>
    <cellStyle name="Total 2 5 5 2 18" xfId="30785"/>
    <cellStyle name="Total 2 5 5 2 18 2" xfId="30786"/>
    <cellStyle name="Total 2 5 5 2 18 3" xfId="30787"/>
    <cellStyle name="Total 2 5 5 2 18 4" xfId="30788"/>
    <cellStyle name="Total 2 5 5 2 18 5" xfId="30789"/>
    <cellStyle name="Total 2 5 5 2 19" xfId="30790"/>
    <cellStyle name="Total 2 5 5 2 2" xfId="2917"/>
    <cellStyle name="Total 2 5 5 2 2 2" xfId="30791"/>
    <cellStyle name="Total 2 5 5 2 2 2 2" xfId="49518"/>
    <cellStyle name="Total 2 5 5 2 2 2 3" xfId="57540"/>
    <cellStyle name="Total 2 5 5 2 2 3" xfId="30792"/>
    <cellStyle name="Total 2 5 5 2 2 4" xfId="30793"/>
    <cellStyle name="Total 2 5 5 2 2 5" xfId="30794"/>
    <cellStyle name="Total 2 5 5 2 2 6" xfId="36464"/>
    <cellStyle name="Total 2 5 5 2 2 7" xfId="49517"/>
    <cellStyle name="Total 2 5 5 2 2 8" xfId="57539"/>
    <cellStyle name="Total 2 5 5 2 20" xfId="1089"/>
    <cellStyle name="Total 2 5 5 2 21" xfId="35169"/>
    <cellStyle name="Total 2 5 5 2 22" xfId="41389"/>
    <cellStyle name="Total 2 5 5 2 3" xfId="2918"/>
    <cellStyle name="Total 2 5 5 2 3 2" xfId="30795"/>
    <cellStyle name="Total 2 5 5 2 3 3" xfId="30796"/>
    <cellStyle name="Total 2 5 5 2 3 4" xfId="30797"/>
    <cellStyle name="Total 2 5 5 2 3 5" xfId="30798"/>
    <cellStyle name="Total 2 5 5 2 3 6" xfId="36961"/>
    <cellStyle name="Total 2 5 5 2 3 7" xfId="49519"/>
    <cellStyle name="Total 2 5 5 2 3 8" xfId="57541"/>
    <cellStyle name="Total 2 5 5 2 4" xfId="1484"/>
    <cellStyle name="Total 2 5 5 2 4 2" xfId="30799"/>
    <cellStyle name="Total 2 5 5 2 4 3" xfId="30800"/>
    <cellStyle name="Total 2 5 5 2 4 4" xfId="30801"/>
    <cellStyle name="Total 2 5 5 2 4 5" xfId="30802"/>
    <cellStyle name="Total 2 5 5 2 4 6" xfId="37577"/>
    <cellStyle name="Total 2 5 5 2 4 7" xfId="49520"/>
    <cellStyle name="Total 2 5 5 2 4 8" xfId="57542"/>
    <cellStyle name="Total 2 5 5 2 5" xfId="3554"/>
    <cellStyle name="Total 2 5 5 2 5 2" xfId="30803"/>
    <cellStyle name="Total 2 5 5 2 5 3" xfId="30804"/>
    <cellStyle name="Total 2 5 5 2 5 4" xfId="30805"/>
    <cellStyle name="Total 2 5 5 2 5 5" xfId="30806"/>
    <cellStyle name="Total 2 5 5 2 5 6" xfId="38194"/>
    <cellStyle name="Total 2 5 5 2 5 7" xfId="49521"/>
    <cellStyle name="Total 2 5 5 2 5 8" xfId="57543"/>
    <cellStyle name="Total 2 5 5 2 6" xfId="3872"/>
    <cellStyle name="Total 2 5 5 2 6 2" xfId="30807"/>
    <cellStyle name="Total 2 5 5 2 6 3" xfId="30808"/>
    <cellStyle name="Total 2 5 5 2 6 4" xfId="30809"/>
    <cellStyle name="Total 2 5 5 2 6 5" xfId="30810"/>
    <cellStyle name="Total 2 5 5 2 6 6" xfId="38812"/>
    <cellStyle name="Total 2 5 5 2 6 7" xfId="49522"/>
    <cellStyle name="Total 2 5 5 2 6 8" xfId="57544"/>
    <cellStyle name="Total 2 5 5 2 7" xfId="30811"/>
    <cellStyle name="Total 2 5 5 2 7 2" xfId="30812"/>
    <cellStyle name="Total 2 5 5 2 7 3" xfId="30813"/>
    <cellStyle name="Total 2 5 5 2 7 4" xfId="30814"/>
    <cellStyle name="Total 2 5 5 2 7 5" xfId="30815"/>
    <cellStyle name="Total 2 5 5 2 7 6" xfId="39432"/>
    <cellStyle name="Total 2 5 5 2 7 7" xfId="49523"/>
    <cellStyle name="Total 2 5 5 2 7 8" xfId="57545"/>
    <cellStyle name="Total 2 5 5 2 8" xfId="30816"/>
    <cellStyle name="Total 2 5 5 2 8 2" xfId="30817"/>
    <cellStyle name="Total 2 5 5 2 8 3" xfId="30818"/>
    <cellStyle name="Total 2 5 5 2 8 4" xfId="30819"/>
    <cellStyle name="Total 2 5 5 2 8 5" xfId="30820"/>
    <cellStyle name="Total 2 5 5 2 8 6" xfId="40048"/>
    <cellStyle name="Total 2 5 5 2 8 7" xfId="49524"/>
    <cellStyle name="Total 2 5 5 2 8 8" xfId="57546"/>
    <cellStyle name="Total 2 5 5 2 9" xfId="30821"/>
    <cellStyle name="Total 2 5 5 2 9 2" xfId="30822"/>
    <cellStyle name="Total 2 5 5 2 9 3" xfId="30823"/>
    <cellStyle name="Total 2 5 5 2 9 4" xfId="30824"/>
    <cellStyle name="Total 2 5 5 2 9 5" xfId="30825"/>
    <cellStyle name="Total 2 5 5 2 9 6" xfId="40663"/>
    <cellStyle name="Total 2 5 5 2 9 7" xfId="49525"/>
    <cellStyle name="Total 2 5 5 2 9 8" xfId="57547"/>
    <cellStyle name="Total 2 5 5 20" xfId="877"/>
    <cellStyle name="Total 2 5 5 21" xfId="34560"/>
    <cellStyle name="Total 2 5 5 22" xfId="40961"/>
    <cellStyle name="Total 2 5 5 23" xfId="41522"/>
    <cellStyle name="Total 2 5 5 24" xfId="50609"/>
    <cellStyle name="Total 2 5 5 3" xfId="2919"/>
    <cellStyle name="Total 2 5 5 3 10" xfId="34572"/>
    <cellStyle name="Total 2 5 5 3 10 2" xfId="49527"/>
    <cellStyle name="Total 2 5 5 3 10 3" xfId="57549"/>
    <cellStyle name="Total 2 5 5 3 11" xfId="41176"/>
    <cellStyle name="Total 2 5 5 3 12" xfId="49526"/>
    <cellStyle name="Total 2 5 5 3 13" xfId="57548"/>
    <cellStyle name="Total 2 5 5 3 2" xfId="2920"/>
    <cellStyle name="Total 2 5 5 3 2 2" xfId="36253"/>
    <cellStyle name="Total 2 5 5 3 2 3" xfId="49528"/>
    <cellStyle name="Total 2 5 5 3 2 4" xfId="57550"/>
    <cellStyle name="Total 2 5 5 3 3" xfId="2921"/>
    <cellStyle name="Total 2 5 5 3 3 2" xfId="36750"/>
    <cellStyle name="Total 2 5 5 3 3 3" xfId="49529"/>
    <cellStyle name="Total 2 5 5 3 3 4" xfId="57551"/>
    <cellStyle name="Total 2 5 5 3 4" xfId="30826"/>
    <cellStyle name="Total 2 5 5 3 4 2" xfId="37366"/>
    <cellStyle name="Total 2 5 5 3 4 3" xfId="49530"/>
    <cellStyle name="Total 2 5 5 3 4 4" xfId="57552"/>
    <cellStyle name="Total 2 5 5 3 5" xfId="30827"/>
    <cellStyle name="Total 2 5 5 3 5 2" xfId="37982"/>
    <cellStyle name="Total 2 5 5 3 5 3" xfId="49531"/>
    <cellStyle name="Total 2 5 5 3 5 4" xfId="57553"/>
    <cellStyle name="Total 2 5 5 3 6" xfId="38599"/>
    <cellStyle name="Total 2 5 5 3 6 2" xfId="49532"/>
    <cellStyle name="Total 2 5 5 3 6 3" xfId="57554"/>
    <cellStyle name="Total 2 5 5 3 7" xfId="39219"/>
    <cellStyle name="Total 2 5 5 3 7 2" xfId="49533"/>
    <cellStyle name="Total 2 5 5 3 7 3" xfId="57555"/>
    <cellStyle name="Total 2 5 5 3 8" xfId="39835"/>
    <cellStyle name="Total 2 5 5 3 8 2" xfId="49534"/>
    <cellStyle name="Total 2 5 5 3 8 3" xfId="57556"/>
    <cellStyle name="Total 2 5 5 3 9" xfId="40450"/>
    <cellStyle name="Total 2 5 5 3 9 2" xfId="49535"/>
    <cellStyle name="Total 2 5 5 3 9 3" xfId="57557"/>
    <cellStyle name="Total 2 5 5 4" xfId="2922"/>
    <cellStyle name="Total 2 5 5 4 10" xfId="49536"/>
    <cellStyle name="Total 2 5 5 4 11" xfId="57558"/>
    <cellStyle name="Total 2 5 5 4 2" xfId="30828"/>
    <cellStyle name="Total 2 5 5 4 2 2" xfId="49537"/>
    <cellStyle name="Total 2 5 5 4 2 3" xfId="57559"/>
    <cellStyle name="Total 2 5 5 4 3" xfId="30829"/>
    <cellStyle name="Total 2 5 5 4 3 2" xfId="49538"/>
    <cellStyle name="Total 2 5 5 4 3 3" xfId="57560"/>
    <cellStyle name="Total 2 5 5 4 4" xfId="30830"/>
    <cellStyle name="Total 2 5 5 4 4 2" xfId="49539"/>
    <cellStyle name="Total 2 5 5 4 4 3" xfId="57561"/>
    <cellStyle name="Total 2 5 5 4 5" xfId="30831"/>
    <cellStyle name="Total 2 5 5 4 5 2" xfId="49540"/>
    <cellStyle name="Total 2 5 5 4 5 3" xfId="57562"/>
    <cellStyle name="Total 2 5 5 4 6" xfId="36538"/>
    <cellStyle name="Total 2 5 5 4 6 2" xfId="49541"/>
    <cellStyle name="Total 2 5 5 4 6 3" xfId="57563"/>
    <cellStyle name="Total 2 5 5 4 7" xfId="49542"/>
    <cellStyle name="Total 2 5 5 4 7 2" xfId="57564"/>
    <cellStyle name="Total 2 5 5 4 8" xfId="49543"/>
    <cellStyle name="Total 2 5 5 4 8 2" xfId="57565"/>
    <cellStyle name="Total 2 5 5 4 9" xfId="49544"/>
    <cellStyle name="Total 2 5 5 4 9 2" xfId="57566"/>
    <cellStyle name="Total 2 5 5 5" xfId="1483"/>
    <cellStyle name="Total 2 5 5 5 2" xfId="30832"/>
    <cellStyle name="Total 2 5 5 5 3" xfId="30833"/>
    <cellStyle name="Total 2 5 5 5 4" xfId="30834"/>
    <cellStyle name="Total 2 5 5 5 5" xfId="30835"/>
    <cellStyle name="Total 2 5 5 5 6" xfId="37154"/>
    <cellStyle name="Total 2 5 5 5 7" xfId="49545"/>
    <cellStyle name="Total 2 5 5 5 8" xfId="57567"/>
    <cellStyle name="Total 2 5 5 6" xfId="3553"/>
    <cellStyle name="Total 2 5 5 6 2" xfId="30836"/>
    <cellStyle name="Total 2 5 5 6 3" xfId="30837"/>
    <cellStyle name="Total 2 5 5 6 4" xfId="30838"/>
    <cellStyle name="Total 2 5 5 6 5" xfId="30839"/>
    <cellStyle name="Total 2 5 5 6 6" xfId="37768"/>
    <cellStyle name="Total 2 5 5 6 7" xfId="49546"/>
    <cellStyle name="Total 2 5 5 6 8" xfId="57568"/>
    <cellStyle name="Total 2 5 5 7" xfId="3871"/>
    <cellStyle name="Total 2 5 5 7 2" xfId="30840"/>
    <cellStyle name="Total 2 5 5 7 3" xfId="30841"/>
    <cellStyle name="Total 2 5 5 7 4" xfId="30842"/>
    <cellStyle name="Total 2 5 5 7 5" xfId="30843"/>
    <cellStyle name="Total 2 5 5 7 6" xfId="38384"/>
    <cellStyle name="Total 2 5 5 7 7" xfId="49547"/>
    <cellStyle name="Total 2 5 5 7 8" xfId="57569"/>
    <cellStyle name="Total 2 5 5 8" xfId="30844"/>
    <cellStyle name="Total 2 5 5 8 2" xfId="30845"/>
    <cellStyle name="Total 2 5 5 8 3" xfId="30846"/>
    <cellStyle name="Total 2 5 5 8 4" xfId="30847"/>
    <cellStyle name="Total 2 5 5 8 5" xfId="30848"/>
    <cellStyle name="Total 2 5 5 8 6" xfId="39004"/>
    <cellStyle name="Total 2 5 5 8 7" xfId="49548"/>
    <cellStyle name="Total 2 5 5 8 8" xfId="57570"/>
    <cellStyle name="Total 2 5 5 9" xfId="30849"/>
    <cellStyle name="Total 2 5 5 9 2" xfId="30850"/>
    <cellStyle name="Total 2 5 5 9 3" xfId="30851"/>
    <cellStyle name="Total 2 5 5 9 4" xfId="30852"/>
    <cellStyle name="Total 2 5 5 9 5" xfId="30853"/>
    <cellStyle name="Total 2 5 5 9 6" xfId="39620"/>
    <cellStyle name="Total 2 5 5 9 7" xfId="49549"/>
    <cellStyle name="Total 2 5 5 9 8" xfId="57571"/>
    <cellStyle name="Total 2 5 6" xfId="493"/>
    <cellStyle name="Total 2 5 6 10" xfId="30854"/>
    <cellStyle name="Total 2 5 6 10 2" xfId="30855"/>
    <cellStyle name="Total 2 5 6 10 3" xfId="30856"/>
    <cellStyle name="Total 2 5 6 10 4" xfId="30857"/>
    <cellStyle name="Total 2 5 6 10 5" xfId="30858"/>
    <cellStyle name="Total 2 5 6 10 6" xfId="49550"/>
    <cellStyle name="Total 2 5 6 10 7" xfId="57572"/>
    <cellStyle name="Total 2 5 6 11" xfId="30859"/>
    <cellStyle name="Total 2 5 6 11 2" xfId="30860"/>
    <cellStyle name="Total 2 5 6 11 3" xfId="30861"/>
    <cellStyle name="Total 2 5 6 11 4" xfId="30862"/>
    <cellStyle name="Total 2 5 6 11 5" xfId="30863"/>
    <cellStyle name="Total 2 5 6 12" xfId="30864"/>
    <cellStyle name="Total 2 5 6 12 2" xfId="30865"/>
    <cellStyle name="Total 2 5 6 12 3" xfId="30866"/>
    <cellStyle name="Total 2 5 6 12 4" xfId="30867"/>
    <cellStyle name="Total 2 5 6 12 5" xfId="30868"/>
    <cellStyle name="Total 2 5 6 13" xfId="30869"/>
    <cellStyle name="Total 2 5 6 13 2" xfId="30870"/>
    <cellStyle name="Total 2 5 6 13 3" xfId="30871"/>
    <cellStyle name="Total 2 5 6 13 4" xfId="30872"/>
    <cellStyle name="Total 2 5 6 13 5" xfId="30873"/>
    <cellStyle name="Total 2 5 6 14" xfId="30874"/>
    <cellStyle name="Total 2 5 6 14 2" xfId="30875"/>
    <cellStyle name="Total 2 5 6 14 3" xfId="30876"/>
    <cellStyle name="Total 2 5 6 14 4" xfId="30877"/>
    <cellStyle name="Total 2 5 6 14 5" xfId="30878"/>
    <cellStyle name="Total 2 5 6 15" xfId="30879"/>
    <cellStyle name="Total 2 5 6 15 2" xfId="30880"/>
    <cellStyle name="Total 2 5 6 15 3" xfId="30881"/>
    <cellStyle name="Total 2 5 6 15 4" xfId="30882"/>
    <cellStyle name="Total 2 5 6 15 5" xfId="30883"/>
    <cellStyle name="Total 2 5 6 16" xfId="30884"/>
    <cellStyle name="Total 2 5 6 16 2" xfId="30885"/>
    <cellStyle name="Total 2 5 6 16 3" xfId="30886"/>
    <cellStyle name="Total 2 5 6 16 4" xfId="30887"/>
    <cellStyle name="Total 2 5 6 16 5" xfId="30888"/>
    <cellStyle name="Total 2 5 6 17" xfId="30889"/>
    <cellStyle name="Total 2 5 6 17 2" xfId="30890"/>
    <cellStyle name="Total 2 5 6 17 3" xfId="30891"/>
    <cellStyle name="Total 2 5 6 17 4" xfId="30892"/>
    <cellStyle name="Total 2 5 6 17 5" xfId="30893"/>
    <cellStyle name="Total 2 5 6 18" xfId="30894"/>
    <cellStyle name="Total 2 5 6 18 2" xfId="30895"/>
    <cellStyle name="Total 2 5 6 18 3" xfId="30896"/>
    <cellStyle name="Total 2 5 6 18 4" xfId="30897"/>
    <cellStyle name="Total 2 5 6 18 5" xfId="30898"/>
    <cellStyle name="Total 2 5 6 19" xfId="30899"/>
    <cellStyle name="Total 2 5 6 2" xfId="2923"/>
    <cellStyle name="Total 2 5 6 2 2" xfId="30900"/>
    <cellStyle name="Total 2 5 6 2 2 2" xfId="49552"/>
    <cellStyle name="Total 2 5 6 2 2 3" xfId="57574"/>
    <cellStyle name="Total 2 5 6 2 3" xfId="30901"/>
    <cellStyle name="Total 2 5 6 2 4" xfId="30902"/>
    <cellStyle name="Total 2 5 6 2 5" xfId="30903"/>
    <cellStyle name="Total 2 5 6 2 6" xfId="36297"/>
    <cellStyle name="Total 2 5 6 2 7" xfId="49551"/>
    <cellStyle name="Total 2 5 6 2 8" xfId="57573"/>
    <cellStyle name="Total 2 5 6 20" xfId="922"/>
    <cellStyle name="Total 2 5 6 21" xfId="35002"/>
    <cellStyle name="Total 2 5 6 22" xfId="40711"/>
    <cellStyle name="Total 2 5 6 23" xfId="41221"/>
    <cellStyle name="Total 2 5 6 3" xfId="2924"/>
    <cellStyle name="Total 2 5 6 3 2" xfId="30904"/>
    <cellStyle name="Total 2 5 6 3 3" xfId="30905"/>
    <cellStyle name="Total 2 5 6 3 4" xfId="30906"/>
    <cellStyle name="Total 2 5 6 3 5" xfId="30907"/>
    <cellStyle name="Total 2 5 6 3 6" xfId="36794"/>
    <cellStyle name="Total 2 5 6 3 7" xfId="49553"/>
    <cellStyle name="Total 2 5 6 3 8" xfId="57575"/>
    <cellStyle name="Total 2 5 6 4" xfId="1485"/>
    <cellStyle name="Total 2 5 6 4 2" xfId="30908"/>
    <cellStyle name="Total 2 5 6 4 3" xfId="30909"/>
    <cellStyle name="Total 2 5 6 4 4" xfId="30910"/>
    <cellStyle name="Total 2 5 6 4 5" xfId="30911"/>
    <cellStyle name="Total 2 5 6 4 6" xfId="37410"/>
    <cellStyle name="Total 2 5 6 4 7" xfId="49554"/>
    <cellStyle name="Total 2 5 6 4 8" xfId="57576"/>
    <cellStyle name="Total 2 5 6 5" xfId="3555"/>
    <cellStyle name="Total 2 5 6 5 2" xfId="30912"/>
    <cellStyle name="Total 2 5 6 5 3" xfId="30913"/>
    <cellStyle name="Total 2 5 6 5 4" xfId="30914"/>
    <cellStyle name="Total 2 5 6 5 5" xfId="30915"/>
    <cellStyle name="Total 2 5 6 5 6" xfId="38026"/>
    <cellStyle name="Total 2 5 6 5 7" xfId="49555"/>
    <cellStyle name="Total 2 5 6 5 8" xfId="57577"/>
    <cellStyle name="Total 2 5 6 6" xfId="3873"/>
    <cellStyle name="Total 2 5 6 6 2" xfId="30916"/>
    <cellStyle name="Total 2 5 6 6 3" xfId="30917"/>
    <cellStyle name="Total 2 5 6 6 4" xfId="30918"/>
    <cellStyle name="Total 2 5 6 6 5" xfId="30919"/>
    <cellStyle name="Total 2 5 6 6 6" xfId="38644"/>
    <cellStyle name="Total 2 5 6 6 7" xfId="49556"/>
    <cellStyle name="Total 2 5 6 6 8" xfId="57578"/>
    <cellStyle name="Total 2 5 6 7" xfId="30920"/>
    <cellStyle name="Total 2 5 6 7 2" xfId="30921"/>
    <cellStyle name="Total 2 5 6 7 3" xfId="30922"/>
    <cellStyle name="Total 2 5 6 7 4" xfId="30923"/>
    <cellStyle name="Total 2 5 6 7 5" xfId="30924"/>
    <cellStyle name="Total 2 5 6 7 6" xfId="39264"/>
    <cellStyle name="Total 2 5 6 7 7" xfId="49557"/>
    <cellStyle name="Total 2 5 6 7 8" xfId="57579"/>
    <cellStyle name="Total 2 5 6 8" xfId="30925"/>
    <cellStyle name="Total 2 5 6 8 2" xfId="30926"/>
    <cellStyle name="Total 2 5 6 8 3" xfId="30927"/>
    <cellStyle name="Total 2 5 6 8 4" xfId="30928"/>
    <cellStyle name="Total 2 5 6 8 5" xfId="30929"/>
    <cellStyle name="Total 2 5 6 8 6" xfId="39880"/>
    <cellStyle name="Total 2 5 6 8 7" xfId="49558"/>
    <cellStyle name="Total 2 5 6 8 8" xfId="57580"/>
    <cellStyle name="Total 2 5 6 9" xfId="30930"/>
    <cellStyle name="Total 2 5 6 9 2" xfId="30931"/>
    <cellStyle name="Total 2 5 6 9 3" xfId="30932"/>
    <cellStyle name="Total 2 5 6 9 4" xfId="30933"/>
    <cellStyle name="Total 2 5 6 9 5" xfId="30934"/>
    <cellStyle name="Total 2 5 6 9 6" xfId="40495"/>
    <cellStyle name="Total 2 5 6 9 7" xfId="49559"/>
    <cellStyle name="Total 2 5 6 9 8" xfId="57581"/>
    <cellStyle name="Total 2 5 7" xfId="2925"/>
    <cellStyle name="Total 2 5 7 10" xfId="34742"/>
    <cellStyle name="Total 2 5 7 10 2" xfId="49561"/>
    <cellStyle name="Total 2 5 7 10 3" xfId="57583"/>
    <cellStyle name="Total 2 5 7 11" xfId="41007"/>
    <cellStyle name="Total 2 5 7 12" xfId="49560"/>
    <cellStyle name="Total 2 5 7 13" xfId="57582"/>
    <cellStyle name="Total 2 5 7 2" xfId="2926"/>
    <cellStyle name="Total 2 5 7 2 2" xfId="36084"/>
    <cellStyle name="Total 2 5 7 2 3" xfId="49562"/>
    <cellStyle name="Total 2 5 7 2 4" xfId="57584"/>
    <cellStyle name="Total 2 5 7 3" xfId="2927"/>
    <cellStyle name="Total 2 5 7 3 2" xfId="36583"/>
    <cellStyle name="Total 2 5 7 3 3" xfId="49563"/>
    <cellStyle name="Total 2 5 7 3 4" xfId="57585"/>
    <cellStyle name="Total 2 5 7 4" xfId="30935"/>
    <cellStyle name="Total 2 5 7 4 2" xfId="37199"/>
    <cellStyle name="Total 2 5 7 4 3" xfId="49564"/>
    <cellStyle name="Total 2 5 7 4 4" xfId="57586"/>
    <cellStyle name="Total 2 5 7 5" xfId="30936"/>
    <cellStyle name="Total 2 5 7 5 2" xfId="37815"/>
    <cellStyle name="Total 2 5 7 5 3" xfId="49565"/>
    <cellStyle name="Total 2 5 7 5 4" xfId="57587"/>
    <cellStyle name="Total 2 5 7 6" xfId="38430"/>
    <cellStyle name="Total 2 5 7 6 2" xfId="49566"/>
    <cellStyle name="Total 2 5 7 6 3" xfId="57588"/>
    <cellStyle name="Total 2 5 7 7" xfId="39050"/>
    <cellStyle name="Total 2 5 7 7 2" xfId="49567"/>
    <cellStyle name="Total 2 5 7 7 3" xfId="57589"/>
    <cellStyle name="Total 2 5 7 8" xfId="39666"/>
    <cellStyle name="Total 2 5 7 8 2" xfId="49568"/>
    <cellStyle name="Total 2 5 7 8 3" xfId="57590"/>
    <cellStyle name="Total 2 5 7 9" xfId="40281"/>
    <cellStyle name="Total 2 5 7 9 2" xfId="49569"/>
    <cellStyle name="Total 2 5 7 9 3" xfId="57591"/>
    <cellStyle name="Total 2 5 8" xfId="1468"/>
    <cellStyle name="Total 2 5 8 10" xfId="49570"/>
    <cellStyle name="Total 2 5 8 11" xfId="57592"/>
    <cellStyle name="Total 2 5 8 2" xfId="30937"/>
    <cellStyle name="Total 2 5 8 2 2" xfId="49571"/>
    <cellStyle name="Total 2 5 8 2 3" xfId="57593"/>
    <cellStyle name="Total 2 5 8 3" xfId="30938"/>
    <cellStyle name="Total 2 5 8 3 2" xfId="49572"/>
    <cellStyle name="Total 2 5 8 3 3" xfId="57594"/>
    <cellStyle name="Total 2 5 8 4" xfId="30939"/>
    <cellStyle name="Total 2 5 8 4 2" xfId="49573"/>
    <cellStyle name="Total 2 5 8 4 3" xfId="57595"/>
    <cellStyle name="Total 2 5 8 5" xfId="30940"/>
    <cellStyle name="Total 2 5 8 5 2" xfId="49574"/>
    <cellStyle name="Total 2 5 8 5 3" xfId="57596"/>
    <cellStyle name="Total 2 5 8 6" xfId="35402"/>
    <cellStyle name="Total 2 5 8 6 2" xfId="49575"/>
    <cellStyle name="Total 2 5 8 6 3" xfId="57597"/>
    <cellStyle name="Total 2 5 8 7" xfId="49576"/>
    <cellStyle name="Total 2 5 8 7 2" xfId="57598"/>
    <cellStyle name="Total 2 5 8 8" xfId="49577"/>
    <cellStyle name="Total 2 5 8 8 2" xfId="57599"/>
    <cellStyle name="Total 2 5 8 9" xfId="49578"/>
    <cellStyle name="Total 2 5 8 9 2" xfId="57600"/>
    <cellStyle name="Total 2 5 9" xfId="3538"/>
    <cellStyle name="Total 2 5 9 2" xfId="30941"/>
    <cellStyle name="Total 2 5 9 3" xfId="30942"/>
    <cellStyle name="Total 2 5 9 4" xfId="30943"/>
    <cellStyle name="Total 2 5 9 5" xfId="30944"/>
    <cellStyle name="Total 2 5 9 6" xfId="35933"/>
    <cellStyle name="Total 2 5 9 7" xfId="49579"/>
    <cellStyle name="Total 2 5 9 8" xfId="57601"/>
    <cellStyle name="Total 2 6" xfId="262"/>
    <cellStyle name="Total 2 6 10" xfId="3874"/>
    <cellStyle name="Total 2 6 10 2" xfId="30945"/>
    <cellStyle name="Total 2 6 10 3" xfId="30946"/>
    <cellStyle name="Total 2 6 10 4" xfId="30947"/>
    <cellStyle name="Total 2 6 10 5" xfId="30948"/>
    <cellStyle name="Total 2 6 10 6" xfId="35823"/>
    <cellStyle name="Total 2 6 10 7" xfId="49580"/>
    <cellStyle name="Total 2 6 10 8" xfId="57602"/>
    <cellStyle name="Total 2 6 11" xfId="30949"/>
    <cellStyle name="Total 2 6 11 2" xfId="30950"/>
    <cellStyle name="Total 2 6 11 3" xfId="30951"/>
    <cellStyle name="Total 2 6 11 4" xfId="30952"/>
    <cellStyle name="Total 2 6 11 5" xfId="30953"/>
    <cellStyle name="Total 2 6 11 6" xfId="36980"/>
    <cellStyle name="Total 2 6 11 7" xfId="49581"/>
    <cellStyle name="Total 2 6 11 8" xfId="57603"/>
    <cellStyle name="Total 2 6 12" xfId="30954"/>
    <cellStyle name="Total 2 6 12 2" xfId="30955"/>
    <cellStyle name="Total 2 6 12 3" xfId="30956"/>
    <cellStyle name="Total 2 6 12 4" xfId="30957"/>
    <cellStyle name="Total 2 6 12 5" xfId="30958"/>
    <cellStyle name="Total 2 6 12 6" xfId="36512"/>
    <cellStyle name="Total 2 6 12 7" xfId="49582"/>
    <cellStyle name="Total 2 6 12 8" xfId="57604"/>
    <cellStyle name="Total 2 6 13" xfId="30959"/>
    <cellStyle name="Total 2 6 13 2" xfId="30960"/>
    <cellStyle name="Total 2 6 13 3" xfId="30961"/>
    <cellStyle name="Total 2 6 13 4" xfId="30962"/>
    <cellStyle name="Total 2 6 13 5" xfId="30963"/>
    <cellStyle name="Total 2 6 13 6" xfId="36028"/>
    <cellStyle name="Total 2 6 13 7" xfId="49583"/>
    <cellStyle name="Total 2 6 13 8" xfId="57605"/>
    <cellStyle name="Total 2 6 14" xfId="30964"/>
    <cellStyle name="Total 2 6 14 2" xfId="30965"/>
    <cellStyle name="Total 2 6 14 3" xfId="30966"/>
    <cellStyle name="Total 2 6 14 4" xfId="30967"/>
    <cellStyle name="Total 2 6 14 5" xfId="30968"/>
    <cellStyle name="Total 2 6 14 6" xfId="38831"/>
    <cellStyle name="Total 2 6 14 7" xfId="49584"/>
    <cellStyle name="Total 2 6 14 8" xfId="57606"/>
    <cellStyle name="Total 2 6 15" xfId="30969"/>
    <cellStyle name="Total 2 6 15 2" xfId="30970"/>
    <cellStyle name="Total 2 6 15 3" xfId="30971"/>
    <cellStyle name="Total 2 6 15 4" xfId="30972"/>
    <cellStyle name="Total 2 6 15 5" xfId="30973"/>
    <cellStyle name="Total 2 6 15 6" xfId="39451"/>
    <cellStyle name="Total 2 6 15 7" xfId="49585"/>
    <cellStyle name="Total 2 6 15 8" xfId="57607"/>
    <cellStyle name="Total 2 6 16" xfId="30974"/>
    <cellStyle name="Total 2 6 16 2" xfId="30975"/>
    <cellStyle name="Total 2 6 16 3" xfId="30976"/>
    <cellStyle name="Total 2 6 16 4" xfId="30977"/>
    <cellStyle name="Total 2 6 16 5" xfId="30978"/>
    <cellStyle name="Total 2 6 16 6" xfId="40069"/>
    <cellStyle name="Total 2 6 16 7" xfId="49586"/>
    <cellStyle name="Total 2 6 16 8" xfId="57608"/>
    <cellStyle name="Total 2 6 17" xfId="30979"/>
    <cellStyle name="Total 2 6 17 2" xfId="30980"/>
    <cellStyle name="Total 2 6 17 3" xfId="30981"/>
    <cellStyle name="Total 2 6 17 4" xfId="30982"/>
    <cellStyle name="Total 2 6 17 5" xfId="30983"/>
    <cellStyle name="Total 2 6 17 6" xfId="49587"/>
    <cellStyle name="Total 2 6 17 7" xfId="57609"/>
    <cellStyle name="Total 2 6 18" xfId="30984"/>
    <cellStyle name="Total 2 6 18 2" xfId="30985"/>
    <cellStyle name="Total 2 6 18 3" xfId="30986"/>
    <cellStyle name="Total 2 6 18 4" xfId="30987"/>
    <cellStyle name="Total 2 6 18 5" xfId="30988"/>
    <cellStyle name="Total 2 6 19" xfId="30989"/>
    <cellStyle name="Total 2 6 19 2" xfId="30990"/>
    <cellStyle name="Total 2 6 19 3" xfId="30991"/>
    <cellStyle name="Total 2 6 19 4" xfId="30992"/>
    <cellStyle name="Total 2 6 19 5" xfId="30993"/>
    <cellStyle name="Total 2 6 2" xfId="309"/>
    <cellStyle name="Total 2 6 2 10" xfId="30994"/>
    <cellStyle name="Total 2 6 2 10 2" xfId="30995"/>
    <cellStyle name="Total 2 6 2 10 3" xfId="30996"/>
    <cellStyle name="Total 2 6 2 10 4" xfId="30997"/>
    <cellStyle name="Total 2 6 2 10 5" xfId="30998"/>
    <cellStyle name="Total 2 6 2 10 6" xfId="37637"/>
    <cellStyle name="Total 2 6 2 10 7" xfId="49588"/>
    <cellStyle name="Total 2 6 2 10 8" xfId="57610"/>
    <cellStyle name="Total 2 6 2 11" xfId="30999"/>
    <cellStyle name="Total 2 6 2 11 2" xfId="31000"/>
    <cellStyle name="Total 2 6 2 11 3" xfId="31001"/>
    <cellStyle name="Total 2 6 2 11 4" xfId="31002"/>
    <cellStyle name="Total 2 6 2 11 5" xfId="31003"/>
    <cellStyle name="Total 2 6 2 11 6" xfId="38254"/>
    <cellStyle name="Total 2 6 2 11 7" xfId="49589"/>
    <cellStyle name="Total 2 6 2 11 8" xfId="57611"/>
    <cellStyle name="Total 2 6 2 12" xfId="31004"/>
    <cellStyle name="Total 2 6 2 12 2" xfId="31005"/>
    <cellStyle name="Total 2 6 2 12 3" xfId="31006"/>
    <cellStyle name="Total 2 6 2 12 4" xfId="31007"/>
    <cellStyle name="Total 2 6 2 12 5" xfId="31008"/>
    <cellStyle name="Total 2 6 2 12 6" xfId="38876"/>
    <cellStyle name="Total 2 6 2 12 7" xfId="49590"/>
    <cellStyle name="Total 2 6 2 12 8" xfId="57612"/>
    <cellStyle name="Total 2 6 2 13" xfId="31009"/>
    <cellStyle name="Total 2 6 2 13 2" xfId="31010"/>
    <cellStyle name="Total 2 6 2 13 3" xfId="31011"/>
    <cellStyle name="Total 2 6 2 13 4" xfId="31012"/>
    <cellStyle name="Total 2 6 2 13 5" xfId="31013"/>
    <cellStyle name="Total 2 6 2 13 6" xfId="39496"/>
    <cellStyle name="Total 2 6 2 13 7" xfId="49591"/>
    <cellStyle name="Total 2 6 2 13 8" xfId="57613"/>
    <cellStyle name="Total 2 6 2 14" xfId="31014"/>
    <cellStyle name="Total 2 6 2 14 2" xfId="31015"/>
    <cellStyle name="Total 2 6 2 14 3" xfId="31016"/>
    <cellStyle name="Total 2 6 2 14 4" xfId="31017"/>
    <cellStyle name="Total 2 6 2 14 5" xfId="31018"/>
    <cellStyle name="Total 2 6 2 14 6" xfId="40114"/>
    <cellStyle name="Total 2 6 2 14 7" xfId="49592"/>
    <cellStyle name="Total 2 6 2 14 8" xfId="57614"/>
    <cellStyle name="Total 2 6 2 15" xfId="31019"/>
    <cellStyle name="Total 2 6 2 15 2" xfId="31020"/>
    <cellStyle name="Total 2 6 2 15 3" xfId="31021"/>
    <cellStyle name="Total 2 6 2 15 4" xfId="31022"/>
    <cellStyle name="Total 2 6 2 15 5" xfId="31023"/>
    <cellStyle name="Total 2 6 2 15 6" xfId="49593"/>
    <cellStyle name="Total 2 6 2 15 7" xfId="57615"/>
    <cellStyle name="Total 2 6 2 16" xfId="31024"/>
    <cellStyle name="Total 2 6 2 16 2" xfId="31025"/>
    <cellStyle name="Total 2 6 2 16 3" xfId="31026"/>
    <cellStyle name="Total 2 6 2 16 4" xfId="31027"/>
    <cellStyle name="Total 2 6 2 16 5" xfId="31028"/>
    <cellStyle name="Total 2 6 2 17" xfId="31029"/>
    <cellStyle name="Total 2 6 2 17 2" xfId="31030"/>
    <cellStyle name="Total 2 6 2 17 3" xfId="31031"/>
    <cellStyle name="Total 2 6 2 17 4" xfId="31032"/>
    <cellStyle name="Total 2 6 2 17 5" xfId="31033"/>
    <cellStyle name="Total 2 6 2 18" xfId="31034"/>
    <cellStyle name="Total 2 6 2 19" xfId="754"/>
    <cellStyle name="Total 2 6 2 2" xfId="447"/>
    <cellStyle name="Total 2 6 2 2 10" xfId="31035"/>
    <cellStyle name="Total 2 6 2 2 10 2" xfId="31036"/>
    <cellStyle name="Total 2 6 2 2 10 3" xfId="31037"/>
    <cellStyle name="Total 2 6 2 2 10 4" xfId="31038"/>
    <cellStyle name="Total 2 6 2 2 10 5" xfId="31039"/>
    <cellStyle name="Total 2 6 2 2 10 6" xfId="39621"/>
    <cellStyle name="Total 2 6 2 2 10 7" xfId="49594"/>
    <cellStyle name="Total 2 6 2 2 10 8" xfId="57616"/>
    <cellStyle name="Total 2 6 2 2 11" xfId="31040"/>
    <cellStyle name="Total 2 6 2 2 11 2" xfId="31041"/>
    <cellStyle name="Total 2 6 2 2 11 3" xfId="31042"/>
    <cellStyle name="Total 2 6 2 2 11 4" xfId="31043"/>
    <cellStyle name="Total 2 6 2 2 11 5" xfId="31044"/>
    <cellStyle name="Total 2 6 2 2 11 6" xfId="40236"/>
    <cellStyle name="Total 2 6 2 2 11 7" xfId="49595"/>
    <cellStyle name="Total 2 6 2 2 11 8" xfId="57617"/>
    <cellStyle name="Total 2 6 2 2 12" xfId="31045"/>
    <cellStyle name="Total 2 6 2 2 12 2" xfId="31046"/>
    <cellStyle name="Total 2 6 2 2 12 3" xfId="31047"/>
    <cellStyle name="Total 2 6 2 2 12 4" xfId="31048"/>
    <cellStyle name="Total 2 6 2 2 12 5" xfId="31049"/>
    <cellStyle name="Total 2 6 2 2 12 6" xfId="49596"/>
    <cellStyle name="Total 2 6 2 2 12 7" xfId="57618"/>
    <cellStyle name="Total 2 6 2 2 13" xfId="31050"/>
    <cellStyle name="Total 2 6 2 2 13 2" xfId="31051"/>
    <cellStyle name="Total 2 6 2 2 13 3" xfId="31052"/>
    <cellStyle name="Total 2 6 2 2 13 4" xfId="31053"/>
    <cellStyle name="Total 2 6 2 2 13 5" xfId="31054"/>
    <cellStyle name="Total 2 6 2 2 13 6" xfId="49597"/>
    <cellStyle name="Total 2 6 2 2 13 7" xfId="57619"/>
    <cellStyle name="Total 2 6 2 2 14" xfId="31055"/>
    <cellStyle name="Total 2 6 2 2 14 2" xfId="31056"/>
    <cellStyle name="Total 2 6 2 2 14 3" xfId="31057"/>
    <cellStyle name="Total 2 6 2 2 14 4" xfId="31058"/>
    <cellStyle name="Total 2 6 2 2 14 5" xfId="31059"/>
    <cellStyle name="Total 2 6 2 2 15" xfId="31060"/>
    <cellStyle name="Total 2 6 2 2 15 2" xfId="31061"/>
    <cellStyle name="Total 2 6 2 2 15 3" xfId="31062"/>
    <cellStyle name="Total 2 6 2 2 15 4" xfId="31063"/>
    <cellStyle name="Total 2 6 2 2 15 5" xfId="31064"/>
    <cellStyle name="Total 2 6 2 2 16" xfId="31065"/>
    <cellStyle name="Total 2 6 2 2 16 2" xfId="31066"/>
    <cellStyle name="Total 2 6 2 2 16 3" xfId="31067"/>
    <cellStyle name="Total 2 6 2 2 16 4" xfId="31068"/>
    <cellStyle name="Total 2 6 2 2 16 5" xfId="31069"/>
    <cellStyle name="Total 2 6 2 2 17" xfId="31070"/>
    <cellStyle name="Total 2 6 2 2 17 2" xfId="31071"/>
    <cellStyle name="Total 2 6 2 2 17 3" xfId="31072"/>
    <cellStyle name="Total 2 6 2 2 17 4" xfId="31073"/>
    <cellStyle name="Total 2 6 2 2 17 5" xfId="31074"/>
    <cellStyle name="Total 2 6 2 2 18" xfId="31075"/>
    <cellStyle name="Total 2 6 2 2 18 2" xfId="31076"/>
    <cellStyle name="Total 2 6 2 2 18 3" xfId="31077"/>
    <cellStyle name="Total 2 6 2 2 18 4" xfId="31078"/>
    <cellStyle name="Total 2 6 2 2 18 5" xfId="31079"/>
    <cellStyle name="Total 2 6 2 2 19" xfId="31080"/>
    <cellStyle name="Total 2 6 2 2 2" xfId="662"/>
    <cellStyle name="Total 2 6 2 2 2 10" xfId="31081"/>
    <cellStyle name="Total 2 6 2 2 2 10 2" xfId="31082"/>
    <cellStyle name="Total 2 6 2 2 2 10 3" xfId="31083"/>
    <cellStyle name="Total 2 6 2 2 2 10 4" xfId="31084"/>
    <cellStyle name="Total 2 6 2 2 2 10 5" xfId="31085"/>
    <cellStyle name="Total 2 6 2 2 2 10 6" xfId="49598"/>
    <cellStyle name="Total 2 6 2 2 2 10 7" xfId="57620"/>
    <cellStyle name="Total 2 6 2 2 2 11" xfId="31086"/>
    <cellStyle name="Total 2 6 2 2 2 11 2" xfId="31087"/>
    <cellStyle name="Total 2 6 2 2 2 11 3" xfId="31088"/>
    <cellStyle name="Total 2 6 2 2 2 11 4" xfId="31089"/>
    <cellStyle name="Total 2 6 2 2 2 11 5" xfId="31090"/>
    <cellStyle name="Total 2 6 2 2 2 12" xfId="31091"/>
    <cellStyle name="Total 2 6 2 2 2 12 2" xfId="31092"/>
    <cellStyle name="Total 2 6 2 2 2 12 3" xfId="31093"/>
    <cellStyle name="Total 2 6 2 2 2 12 4" xfId="31094"/>
    <cellStyle name="Total 2 6 2 2 2 12 5" xfId="31095"/>
    <cellStyle name="Total 2 6 2 2 2 13" xfId="31096"/>
    <cellStyle name="Total 2 6 2 2 2 13 2" xfId="31097"/>
    <cellStyle name="Total 2 6 2 2 2 13 3" xfId="31098"/>
    <cellStyle name="Total 2 6 2 2 2 13 4" xfId="31099"/>
    <cellStyle name="Total 2 6 2 2 2 13 5" xfId="31100"/>
    <cellStyle name="Total 2 6 2 2 2 14" xfId="31101"/>
    <cellStyle name="Total 2 6 2 2 2 14 2" xfId="31102"/>
    <cellStyle name="Total 2 6 2 2 2 14 3" xfId="31103"/>
    <cellStyle name="Total 2 6 2 2 2 14 4" xfId="31104"/>
    <cellStyle name="Total 2 6 2 2 2 14 5" xfId="31105"/>
    <cellStyle name="Total 2 6 2 2 2 15" xfId="31106"/>
    <cellStyle name="Total 2 6 2 2 2 15 2" xfId="31107"/>
    <cellStyle name="Total 2 6 2 2 2 15 3" xfId="31108"/>
    <cellStyle name="Total 2 6 2 2 2 15 4" xfId="31109"/>
    <cellStyle name="Total 2 6 2 2 2 15 5" xfId="31110"/>
    <cellStyle name="Total 2 6 2 2 2 16" xfId="31111"/>
    <cellStyle name="Total 2 6 2 2 2 16 2" xfId="31112"/>
    <cellStyle name="Total 2 6 2 2 2 16 3" xfId="31113"/>
    <cellStyle name="Total 2 6 2 2 2 16 4" xfId="31114"/>
    <cellStyle name="Total 2 6 2 2 2 16 5" xfId="31115"/>
    <cellStyle name="Total 2 6 2 2 2 17" xfId="31116"/>
    <cellStyle name="Total 2 6 2 2 2 17 2" xfId="31117"/>
    <cellStyle name="Total 2 6 2 2 2 17 3" xfId="31118"/>
    <cellStyle name="Total 2 6 2 2 2 17 4" xfId="31119"/>
    <cellStyle name="Total 2 6 2 2 2 17 5" xfId="31120"/>
    <cellStyle name="Total 2 6 2 2 2 18" xfId="31121"/>
    <cellStyle name="Total 2 6 2 2 2 18 2" xfId="31122"/>
    <cellStyle name="Total 2 6 2 2 2 18 3" xfId="31123"/>
    <cellStyle name="Total 2 6 2 2 2 18 4" xfId="31124"/>
    <cellStyle name="Total 2 6 2 2 2 18 5" xfId="31125"/>
    <cellStyle name="Total 2 6 2 2 2 19" xfId="31126"/>
    <cellStyle name="Total 2 6 2 2 2 2" xfId="2928"/>
    <cellStyle name="Total 2 6 2 2 2 2 2" xfId="31127"/>
    <cellStyle name="Total 2 6 2 2 2 2 2 2" xfId="49600"/>
    <cellStyle name="Total 2 6 2 2 2 2 2 3" xfId="57622"/>
    <cellStyle name="Total 2 6 2 2 2 2 3" xfId="31128"/>
    <cellStyle name="Total 2 6 2 2 2 2 4" xfId="31129"/>
    <cellStyle name="Total 2 6 2 2 2 2 5" xfId="31130"/>
    <cellStyle name="Total 2 6 2 2 2 2 6" xfId="36465"/>
    <cellStyle name="Total 2 6 2 2 2 2 7" xfId="49599"/>
    <cellStyle name="Total 2 6 2 2 2 2 8" xfId="57621"/>
    <cellStyle name="Total 2 6 2 2 2 20" xfId="1090"/>
    <cellStyle name="Total 2 6 2 2 2 21" xfId="35170"/>
    <cellStyle name="Total 2 6 2 2 2 22" xfId="41390"/>
    <cellStyle name="Total 2 6 2 2 2 3" xfId="2929"/>
    <cellStyle name="Total 2 6 2 2 2 3 2" xfId="31131"/>
    <cellStyle name="Total 2 6 2 2 2 3 3" xfId="31132"/>
    <cellStyle name="Total 2 6 2 2 2 3 4" xfId="31133"/>
    <cellStyle name="Total 2 6 2 2 2 3 5" xfId="31134"/>
    <cellStyle name="Total 2 6 2 2 2 3 6" xfId="36962"/>
    <cellStyle name="Total 2 6 2 2 2 3 7" xfId="49601"/>
    <cellStyle name="Total 2 6 2 2 2 3 8" xfId="57623"/>
    <cellStyle name="Total 2 6 2 2 2 4" xfId="1489"/>
    <cellStyle name="Total 2 6 2 2 2 4 2" xfId="31135"/>
    <cellStyle name="Total 2 6 2 2 2 4 3" xfId="31136"/>
    <cellStyle name="Total 2 6 2 2 2 4 4" xfId="31137"/>
    <cellStyle name="Total 2 6 2 2 2 4 5" xfId="31138"/>
    <cellStyle name="Total 2 6 2 2 2 4 6" xfId="37578"/>
    <cellStyle name="Total 2 6 2 2 2 4 7" xfId="49602"/>
    <cellStyle name="Total 2 6 2 2 2 4 8" xfId="57624"/>
    <cellStyle name="Total 2 6 2 2 2 5" xfId="3559"/>
    <cellStyle name="Total 2 6 2 2 2 5 2" xfId="31139"/>
    <cellStyle name="Total 2 6 2 2 2 5 3" xfId="31140"/>
    <cellStyle name="Total 2 6 2 2 2 5 4" xfId="31141"/>
    <cellStyle name="Total 2 6 2 2 2 5 5" xfId="31142"/>
    <cellStyle name="Total 2 6 2 2 2 5 6" xfId="38195"/>
    <cellStyle name="Total 2 6 2 2 2 5 7" xfId="49603"/>
    <cellStyle name="Total 2 6 2 2 2 5 8" xfId="57625"/>
    <cellStyle name="Total 2 6 2 2 2 6" xfId="3877"/>
    <cellStyle name="Total 2 6 2 2 2 6 2" xfId="31143"/>
    <cellStyle name="Total 2 6 2 2 2 6 3" xfId="31144"/>
    <cellStyle name="Total 2 6 2 2 2 6 4" xfId="31145"/>
    <cellStyle name="Total 2 6 2 2 2 6 5" xfId="31146"/>
    <cellStyle name="Total 2 6 2 2 2 6 6" xfId="38813"/>
    <cellStyle name="Total 2 6 2 2 2 6 7" xfId="49604"/>
    <cellStyle name="Total 2 6 2 2 2 6 8" xfId="57626"/>
    <cellStyle name="Total 2 6 2 2 2 7" xfId="31147"/>
    <cellStyle name="Total 2 6 2 2 2 7 2" xfId="31148"/>
    <cellStyle name="Total 2 6 2 2 2 7 3" xfId="31149"/>
    <cellStyle name="Total 2 6 2 2 2 7 4" xfId="31150"/>
    <cellStyle name="Total 2 6 2 2 2 7 5" xfId="31151"/>
    <cellStyle name="Total 2 6 2 2 2 7 6" xfId="39433"/>
    <cellStyle name="Total 2 6 2 2 2 7 7" xfId="49605"/>
    <cellStyle name="Total 2 6 2 2 2 7 8" xfId="57627"/>
    <cellStyle name="Total 2 6 2 2 2 8" xfId="31152"/>
    <cellStyle name="Total 2 6 2 2 2 8 2" xfId="31153"/>
    <cellStyle name="Total 2 6 2 2 2 8 3" xfId="31154"/>
    <cellStyle name="Total 2 6 2 2 2 8 4" xfId="31155"/>
    <cellStyle name="Total 2 6 2 2 2 8 5" xfId="31156"/>
    <cellStyle name="Total 2 6 2 2 2 8 6" xfId="40049"/>
    <cellStyle name="Total 2 6 2 2 2 8 7" xfId="49606"/>
    <cellStyle name="Total 2 6 2 2 2 8 8" xfId="57628"/>
    <cellStyle name="Total 2 6 2 2 2 9" xfId="31157"/>
    <cellStyle name="Total 2 6 2 2 2 9 2" xfId="31158"/>
    <cellStyle name="Total 2 6 2 2 2 9 3" xfId="31159"/>
    <cellStyle name="Total 2 6 2 2 2 9 4" xfId="31160"/>
    <cellStyle name="Total 2 6 2 2 2 9 5" xfId="31161"/>
    <cellStyle name="Total 2 6 2 2 2 9 6" xfId="40664"/>
    <cellStyle name="Total 2 6 2 2 2 9 7" xfId="49607"/>
    <cellStyle name="Total 2 6 2 2 2 9 8" xfId="57629"/>
    <cellStyle name="Total 2 6 2 2 20" xfId="878"/>
    <cellStyle name="Total 2 6 2 2 21" xfId="34730"/>
    <cellStyle name="Total 2 6 2 2 22" xfId="40962"/>
    <cellStyle name="Total 2 6 2 2 23" xfId="41523"/>
    <cellStyle name="Total 2 6 2 2 24" xfId="50610"/>
    <cellStyle name="Total 2 6 2 2 3" xfId="2930"/>
    <cellStyle name="Total 2 6 2 2 3 10" xfId="34571"/>
    <cellStyle name="Total 2 6 2 2 3 10 2" xfId="49609"/>
    <cellStyle name="Total 2 6 2 2 3 10 3" xfId="57631"/>
    <cellStyle name="Total 2 6 2 2 3 11" xfId="41177"/>
    <cellStyle name="Total 2 6 2 2 3 12" xfId="49608"/>
    <cellStyle name="Total 2 6 2 2 3 13" xfId="57630"/>
    <cellStyle name="Total 2 6 2 2 3 2" xfId="2931"/>
    <cellStyle name="Total 2 6 2 2 3 2 2" xfId="36254"/>
    <cellStyle name="Total 2 6 2 2 3 2 3" xfId="49610"/>
    <cellStyle name="Total 2 6 2 2 3 2 4" xfId="57632"/>
    <cellStyle name="Total 2 6 2 2 3 3" xfId="2932"/>
    <cellStyle name="Total 2 6 2 2 3 3 2" xfId="36751"/>
    <cellStyle name="Total 2 6 2 2 3 3 3" xfId="49611"/>
    <cellStyle name="Total 2 6 2 2 3 3 4" xfId="57633"/>
    <cellStyle name="Total 2 6 2 2 3 4" xfId="31162"/>
    <cellStyle name="Total 2 6 2 2 3 4 2" xfId="37367"/>
    <cellStyle name="Total 2 6 2 2 3 4 3" xfId="49612"/>
    <cellStyle name="Total 2 6 2 2 3 4 4" xfId="57634"/>
    <cellStyle name="Total 2 6 2 2 3 5" xfId="31163"/>
    <cellStyle name="Total 2 6 2 2 3 5 2" xfId="37983"/>
    <cellStyle name="Total 2 6 2 2 3 5 3" xfId="49613"/>
    <cellStyle name="Total 2 6 2 2 3 5 4" xfId="57635"/>
    <cellStyle name="Total 2 6 2 2 3 6" xfId="38600"/>
    <cellStyle name="Total 2 6 2 2 3 6 2" xfId="49614"/>
    <cellStyle name="Total 2 6 2 2 3 6 3" xfId="57636"/>
    <cellStyle name="Total 2 6 2 2 3 7" xfId="39220"/>
    <cellStyle name="Total 2 6 2 2 3 7 2" xfId="49615"/>
    <cellStyle name="Total 2 6 2 2 3 7 3" xfId="57637"/>
    <cellStyle name="Total 2 6 2 2 3 8" xfId="39836"/>
    <cellStyle name="Total 2 6 2 2 3 8 2" xfId="49616"/>
    <cellStyle name="Total 2 6 2 2 3 8 3" xfId="57638"/>
    <cellStyle name="Total 2 6 2 2 3 9" xfId="40451"/>
    <cellStyle name="Total 2 6 2 2 3 9 2" xfId="49617"/>
    <cellStyle name="Total 2 6 2 2 3 9 3" xfId="57639"/>
    <cellStyle name="Total 2 6 2 2 4" xfId="2933"/>
    <cellStyle name="Total 2 6 2 2 4 10" xfId="49618"/>
    <cellStyle name="Total 2 6 2 2 4 11" xfId="57640"/>
    <cellStyle name="Total 2 6 2 2 4 2" xfId="31164"/>
    <cellStyle name="Total 2 6 2 2 4 2 2" xfId="49619"/>
    <cellStyle name="Total 2 6 2 2 4 2 3" xfId="57641"/>
    <cellStyle name="Total 2 6 2 2 4 3" xfId="31165"/>
    <cellStyle name="Total 2 6 2 2 4 3 2" xfId="49620"/>
    <cellStyle name="Total 2 6 2 2 4 3 3" xfId="57642"/>
    <cellStyle name="Total 2 6 2 2 4 4" xfId="31166"/>
    <cellStyle name="Total 2 6 2 2 4 4 2" xfId="49621"/>
    <cellStyle name="Total 2 6 2 2 4 4 3" xfId="57643"/>
    <cellStyle name="Total 2 6 2 2 4 5" xfId="31167"/>
    <cellStyle name="Total 2 6 2 2 4 5 2" xfId="49622"/>
    <cellStyle name="Total 2 6 2 2 4 5 3" xfId="57644"/>
    <cellStyle name="Total 2 6 2 2 4 6" xfId="35717"/>
    <cellStyle name="Total 2 6 2 2 4 6 2" xfId="49623"/>
    <cellStyle name="Total 2 6 2 2 4 6 3" xfId="57645"/>
    <cellStyle name="Total 2 6 2 2 4 7" xfId="49624"/>
    <cellStyle name="Total 2 6 2 2 4 7 2" xfId="57646"/>
    <cellStyle name="Total 2 6 2 2 4 8" xfId="49625"/>
    <cellStyle name="Total 2 6 2 2 4 8 2" xfId="57647"/>
    <cellStyle name="Total 2 6 2 2 4 9" xfId="49626"/>
    <cellStyle name="Total 2 6 2 2 4 9 2" xfId="57648"/>
    <cellStyle name="Total 2 6 2 2 5" xfId="1488"/>
    <cellStyle name="Total 2 6 2 2 5 2" xfId="31168"/>
    <cellStyle name="Total 2 6 2 2 5 3" xfId="31169"/>
    <cellStyle name="Total 2 6 2 2 5 4" xfId="31170"/>
    <cellStyle name="Total 2 6 2 2 5 5" xfId="31171"/>
    <cellStyle name="Total 2 6 2 2 5 6" xfId="36539"/>
    <cellStyle name="Total 2 6 2 2 5 7" xfId="49627"/>
    <cellStyle name="Total 2 6 2 2 5 8" xfId="57649"/>
    <cellStyle name="Total 2 6 2 2 6" xfId="3558"/>
    <cellStyle name="Total 2 6 2 2 6 2" xfId="31172"/>
    <cellStyle name="Total 2 6 2 2 6 3" xfId="31173"/>
    <cellStyle name="Total 2 6 2 2 6 4" xfId="31174"/>
    <cellStyle name="Total 2 6 2 2 6 5" xfId="31175"/>
    <cellStyle name="Total 2 6 2 2 6 6" xfId="37155"/>
    <cellStyle name="Total 2 6 2 2 6 7" xfId="49628"/>
    <cellStyle name="Total 2 6 2 2 6 8" xfId="57650"/>
    <cellStyle name="Total 2 6 2 2 7" xfId="3876"/>
    <cellStyle name="Total 2 6 2 2 7 2" xfId="31176"/>
    <cellStyle name="Total 2 6 2 2 7 3" xfId="31177"/>
    <cellStyle name="Total 2 6 2 2 7 4" xfId="31178"/>
    <cellStyle name="Total 2 6 2 2 7 5" xfId="31179"/>
    <cellStyle name="Total 2 6 2 2 7 6" xfId="37769"/>
    <cellStyle name="Total 2 6 2 2 7 7" xfId="49629"/>
    <cellStyle name="Total 2 6 2 2 7 8" xfId="57651"/>
    <cellStyle name="Total 2 6 2 2 8" xfId="31180"/>
    <cellStyle name="Total 2 6 2 2 8 2" xfId="31181"/>
    <cellStyle name="Total 2 6 2 2 8 3" xfId="31182"/>
    <cellStyle name="Total 2 6 2 2 8 4" xfId="31183"/>
    <cellStyle name="Total 2 6 2 2 8 5" xfId="31184"/>
    <cellStyle name="Total 2 6 2 2 8 6" xfId="38385"/>
    <cellStyle name="Total 2 6 2 2 8 7" xfId="49630"/>
    <cellStyle name="Total 2 6 2 2 8 8" xfId="57652"/>
    <cellStyle name="Total 2 6 2 2 9" xfId="31185"/>
    <cellStyle name="Total 2 6 2 2 9 2" xfId="31186"/>
    <cellStyle name="Total 2 6 2 2 9 3" xfId="31187"/>
    <cellStyle name="Total 2 6 2 2 9 4" xfId="31188"/>
    <cellStyle name="Total 2 6 2 2 9 5" xfId="31189"/>
    <cellStyle name="Total 2 6 2 2 9 6" xfId="39005"/>
    <cellStyle name="Total 2 6 2 2 9 7" xfId="49631"/>
    <cellStyle name="Total 2 6 2 2 9 8" xfId="57653"/>
    <cellStyle name="Total 2 6 2 20" xfId="34941"/>
    <cellStyle name="Total 2 6 2 21" xfId="40838"/>
    <cellStyle name="Total 2 6 2 3" xfId="448"/>
    <cellStyle name="Total 2 6 2 3 10" xfId="31190"/>
    <cellStyle name="Total 2 6 2 3 10 2" xfId="31191"/>
    <cellStyle name="Total 2 6 2 3 10 3" xfId="31192"/>
    <cellStyle name="Total 2 6 2 3 10 4" xfId="31193"/>
    <cellStyle name="Total 2 6 2 3 10 5" xfId="31194"/>
    <cellStyle name="Total 2 6 2 3 10 6" xfId="40237"/>
    <cellStyle name="Total 2 6 2 3 10 7" xfId="49632"/>
    <cellStyle name="Total 2 6 2 3 10 8" xfId="57654"/>
    <cellStyle name="Total 2 6 2 3 11" xfId="31195"/>
    <cellStyle name="Total 2 6 2 3 11 2" xfId="31196"/>
    <cellStyle name="Total 2 6 2 3 11 3" xfId="31197"/>
    <cellStyle name="Total 2 6 2 3 11 4" xfId="31198"/>
    <cellStyle name="Total 2 6 2 3 11 5" xfId="31199"/>
    <cellStyle name="Total 2 6 2 3 11 6" xfId="49633"/>
    <cellStyle name="Total 2 6 2 3 11 7" xfId="57655"/>
    <cellStyle name="Total 2 6 2 3 12" xfId="31200"/>
    <cellStyle name="Total 2 6 2 3 12 2" xfId="31201"/>
    <cellStyle name="Total 2 6 2 3 12 3" xfId="31202"/>
    <cellStyle name="Total 2 6 2 3 12 4" xfId="31203"/>
    <cellStyle name="Total 2 6 2 3 12 5" xfId="31204"/>
    <cellStyle name="Total 2 6 2 3 12 6" xfId="49634"/>
    <cellStyle name="Total 2 6 2 3 12 7" xfId="57656"/>
    <cellStyle name="Total 2 6 2 3 13" xfId="31205"/>
    <cellStyle name="Total 2 6 2 3 13 2" xfId="31206"/>
    <cellStyle name="Total 2 6 2 3 13 3" xfId="31207"/>
    <cellStyle name="Total 2 6 2 3 13 4" xfId="31208"/>
    <cellStyle name="Total 2 6 2 3 13 5" xfId="31209"/>
    <cellStyle name="Total 2 6 2 3 13 6" xfId="49635"/>
    <cellStyle name="Total 2 6 2 3 13 7" xfId="57657"/>
    <cellStyle name="Total 2 6 2 3 14" xfId="31210"/>
    <cellStyle name="Total 2 6 2 3 14 2" xfId="31211"/>
    <cellStyle name="Total 2 6 2 3 14 3" xfId="31212"/>
    <cellStyle name="Total 2 6 2 3 14 4" xfId="31213"/>
    <cellStyle name="Total 2 6 2 3 14 5" xfId="31214"/>
    <cellStyle name="Total 2 6 2 3 15" xfId="31215"/>
    <cellStyle name="Total 2 6 2 3 15 2" xfId="31216"/>
    <cellStyle name="Total 2 6 2 3 15 3" xfId="31217"/>
    <cellStyle name="Total 2 6 2 3 15 4" xfId="31218"/>
    <cellStyle name="Total 2 6 2 3 15 5" xfId="31219"/>
    <cellStyle name="Total 2 6 2 3 16" xfId="31220"/>
    <cellStyle name="Total 2 6 2 3 16 2" xfId="31221"/>
    <cellStyle name="Total 2 6 2 3 16 3" xfId="31222"/>
    <cellStyle name="Total 2 6 2 3 16 4" xfId="31223"/>
    <cellStyle name="Total 2 6 2 3 16 5" xfId="31224"/>
    <cellStyle name="Total 2 6 2 3 17" xfId="31225"/>
    <cellStyle name="Total 2 6 2 3 17 2" xfId="31226"/>
    <cellStyle name="Total 2 6 2 3 17 3" xfId="31227"/>
    <cellStyle name="Total 2 6 2 3 17 4" xfId="31228"/>
    <cellStyle name="Total 2 6 2 3 17 5" xfId="31229"/>
    <cellStyle name="Total 2 6 2 3 18" xfId="31230"/>
    <cellStyle name="Total 2 6 2 3 18 2" xfId="31231"/>
    <cellStyle name="Total 2 6 2 3 18 3" xfId="31232"/>
    <cellStyle name="Total 2 6 2 3 18 4" xfId="31233"/>
    <cellStyle name="Total 2 6 2 3 18 5" xfId="31234"/>
    <cellStyle name="Total 2 6 2 3 19" xfId="31235"/>
    <cellStyle name="Total 2 6 2 3 2" xfId="663"/>
    <cellStyle name="Total 2 6 2 3 2 10" xfId="31236"/>
    <cellStyle name="Total 2 6 2 3 2 10 2" xfId="31237"/>
    <cellStyle name="Total 2 6 2 3 2 10 3" xfId="31238"/>
    <cellStyle name="Total 2 6 2 3 2 10 4" xfId="31239"/>
    <cellStyle name="Total 2 6 2 3 2 10 5" xfId="31240"/>
    <cellStyle name="Total 2 6 2 3 2 10 6" xfId="49636"/>
    <cellStyle name="Total 2 6 2 3 2 10 7" xfId="57658"/>
    <cellStyle name="Total 2 6 2 3 2 11" xfId="31241"/>
    <cellStyle name="Total 2 6 2 3 2 11 2" xfId="31242"/>
    <cellStyle name="Total 2 6 2 3 2 11 3" xfId="31243"/>
    <cellStyle name="Total 2 6 2 3 2 11 4" xfId="31244"/>
    <cellStyle name="Total 2 6 2 3 2 11 5" xfId="31245"/>
    <cellStyle name="Total 2 6 2 3 2 12" xfId="31246"/>
    <cellStyle name="Total 2 6 2 3 2 12 2" xfId="31247"/>
    <cellStyle name="Total 2 6 2 3 2 12 3" xfId="31248"/>
    <cellStyle name="Total 2 6 2 3 2 12 4" xfId="31249"/>
    <cellStyle name="Total 2 6 2 3 2 12 5" xfId="31250"/>
    <cellStyle name="Total 2 6 2 3 2 13" xfId="31251"/>
    <cellStyle name="Total 2 6 2 3 2 13 2" xfId="31252"/>
    <cellStyle name="Total 2 6 2 3 2 13 3" xfId="31253"/>
    <cellStyle name="Total 2 6 2 3 2 13 4" xfId="31254"/>
    <cellStyle name="Total 2 6 2 3 2 13 5" xfId="31255"/>
    <cellStyle name="Total 2 6 2 3 2 14" xfId="31256"/>
    <cellStyle name="Total 2 6 2 3 2 14 2" xfId="31257"/>
    <cellStyle name="Total 2 6 2 3 2 14 3" xfId="31258"/>
    <cellStyle name="Total 2 6 2 3 2 14 4" xfId="31259"/>
    <cellStyle name="Total 2 6 2 3 2 14 5" xfId="31260"/>
    <cellStyle name="Total 2 6 2 3 2 15" xfId="31261"/>
    <cellStyle name="Total 2 6 2 3 2 15 2" xfId="31262"/>
    <cellStyle name="Total 2 6 2 3 2 15 3" xfId="31263"/>
    <cellStyle name="Total 2 6 2 3 2 15 4" xfId="31264"/>
    <cellStyle name="Total 2 6 2 3 2 15 5" xfId="31265"/>
    <cellStyle name="Total 2 6 2 3 2 16" xfId="31266"/>
    <cellStyle name="Total 2 6 2 3 2 16 2" xfId="31267"/>
    <cellStyle name="Total 2 6 2 3 2 16 3" xfId="31268"/>
    <cellStyle name="Total 2 6 2 3 2 16 4" xfId="31269"/>
    <cellStyle name="Total 2 6 2 3 2 16 5" xfId="31270"/>
    <cellStyle name="Total 2 6 2 3 2 17" xfId="31271"/>
    <cellStyle name="Total 2 6 2 3 2 17 2" xfId="31272"/>
    <cellStyle name="Total 2 6 2 3 2 17 3" xfId="31273"/>
    <cellStyle name="Total 2 6 2 3 2 17 4" xfId="31274"/>
    <cellStyle name="Total 2 6 2 3 2 17 5" xfId="31275"/>
    <cellStyle name="Total 2 6 2 3 2 18" xfId="31276"/>
    <cellStyle name="Total 2 6 2 3 2 18 2" xfId="31277"/>
    <cellStyle name="Total 2 6 2 3 2 18 3" xfId="31278"/>
    <cellStyle name="Total 2 6 2 3 2 18 4" xfId="31279"/>
    <cellStyle name="Total 2 6 2 3 2 18 5" xfId="31280"/>
    <cellStyle name="Total 2 6 2 3 2 19" xfId="31281"/>
    <cellStyle name="Total 2 6 2 3 2 2" xfId="2934"/>
    <cellStyle name="Total 2 6 2 3 2 2 2" xfId="31282"/>
    <cellStyle name="Total 2 6 2 3 2 2 2 2" xfId="49638"/>
    <cellStyle name="Total 2 6 2 3 2 2 2 3" xfId="57660"/>
    <cellStyle name="Total 2 6 2 3 2 2 3" xfId="31283"/>
    <cellStyle name="Total 2 6 2 3 2 2 4" xfId="31284"/>
    <cellStyle name="Total 2 6 2 3 2 2 5" xfId="31285"/>
    <cellStyle name="Total 2 6 2 3 2 2 6" xfId="36466"/>
    <cellStyle name="Total 2 6 2 3 2 2 7" xfId="49637"/>
    <cellStyle name="Total 2 6 2 3 2 2 8" xfId="57659"/>
    <cellStyle name="Total 2 6 2 3 2 20" xfId="1091"/>
    <cellStyle name="Total 2 6 2 3 2 21" xfId="35171"/>
    <cellStyle name="Total 2 6 2 3 2 22" xfId="41391"/>
    <cellStyle name="Total 2 6 2 3 2 3" xfId="2935"/>
    <cellStyle name="Total 2 6 2 3 2 3 2" xfId="31286"/>
    <cellStyle name="Total 2 6 2 3 2 3 3" xfId="31287"/>
    <cellStyle name="Total 2 6 2 3 2 3 4" xfId="31288"/>
    <cellStyle name="Total 2 6 2 3 2 3 5" xfId="31289"/>
    <cellStyle name="Total 2 6 2 3 2 3 6" xfId="36963"/>
    <cellStyle name="Total 2 6 2 3 2 3 7" xfId="49639"/>
    <cellStyle name="Total 2 6 2 3 2 3 8" xfId="57661"/>
    <cellStyle name="Total 2 6 2 3 2 4" xfId="1491"/>
    <cellStyle name="Total 2 6 2 3 2 4 2" xfId="31290"/>
    <cellStyle name="Total 2 6 2 3 2 4 3" xfId="31291"/>
    <cellStyle name="Total 2 6 2 3 2 4 4" xfId="31292"/>
    <cellStyle name="Total 2 6 2 3 2 4 5" xfId="31293"/>
    <cellStyle name="Total 2 6 2 3 2 4 6" xfId="37579"/>
    <cellStyle name="Total 2 6 2 3 2 4 7" xfId="49640"/>
    <cellStyle name="Total 2 6 2 3 2 4 8" xfId="57662"/>
    <cellStyle name="Total 2 6 2 3 2 5" xfId="3561"/>
    <cellStyle name="Total 2 6 2 3 2 5 2" xfId="31294"/>
    <cellStyle name="Total 2 6 2 3 2 5 3" xfId="31295"/>
    <cellStyle name="Total 2 6 2 3 2 5 4" xfId="31296"/>
    <cellStyle name="Total 2 6 2 3 2 5 5" xfId="31297"/>
    <cellStyle name="Total 2 6 2 3 2 5 6" xfId="38196"/>
    <cellStyle name="Total 2 6 2 3 2 5 7" xfId="49641"/>
    <cellStyle name="Total 2 6 2 3 2 5 8" xfId="57663"/>
    <cellStyle name="Total 2 6 2 3 2 6" xfId="3879"/>
    <cellStyle name="Total 2 6 2 3 2 6 2" xfId="31298"/>
    <cellStyle name="Total 2 6 2 3 2 6 3" xfId="31299"/>
    <cellStyle name="Total 2 6 2 3 2 6 4" xfId="31300"/>
    <cellStyle name="Total 2 6 2 3 2 6 5" xfId="31301"/>
    <cellStyle name="Total 2 6 2 3 2 6 6" xfId="38814"/>
    <cellStyle name="Total 2 6 2 3 2 6 7" xfId="49642"/>
    <cellStyle name="Total 2 6 2 3 2 6 8" xfId="57664"/>
    <cellStyle name="Total 2 6 2 3 2 7" xfId="31302"/>
    <cellStyle name="Total 2 6 2 3 2 7 2" xfId="31303"/>
    <cellStyle name="Total 2 6 2 3 2 7 3" xfId="31304"/>
    <cellStyle name="Total 2 6 2 3 2 7 4" xfId="31305"/>
    <cellStyle name="Total 2 6 2 3 2 7 5" xfId="31306"/>
    <cellStyle name="Total 2 6 2 3 2 7 6" xfId="39434"/>
    <cellStyle name="Total 2 6 2 3 2 7 7" xfId="49643"/>
    <cellStyle name="Total 2 6 2 3 2 7 8" xfId="57665"/>
    <cellStyle name="Total 2 6 2 3 2 8" xfId="31307"/>
    <cellStyle name="Total 2 6 2 3 2 8 2" xfId="31308"/>
    <cellStyle name="Total 2 6 2 3 2 8 3" xfId="31309"/>
    <cellStyle name="Total 2 6 2 3 2 8 4" xfId="31310"/>
    <cellStyle name="Total 2 6 2 3 2 8 5" xfId="31311"/>
    <cellStyle name="Total 2 6 2 3 2 8 6" xfId="40050"/>
    <cellStyle name="Total 2 6 2 3 2 8 7" xfId="49644"/>
    <cellStyle name="Total 2 6 2 3 2 8 8" xfId="57666"/>
    <cellStyle name="Total 2 6 2 3 2 9" xfId="31312"/>
    <cellStyle name="Total 2 6 2 3 2 9 2" xfId="31313"/>
    <cellStyle name="Total 2 6 2 3 2 9 3" xfId="31314"/>
    <cellStyle name="Total 2 6 2 3 2 9 4" xfId="31315"/>
    <cellStyle name="Total 2 6 2 3 2 9 5" xfId="31316"/>
    <cellStyle name="Total 2 6 2 3 2 9 6" xfId="40665"/>
    <cellStyle name="Total 2 6 2 3 2 9 7" xfId="49645"/>
    <cellStyle name="Total 2 6 2 3 2 9 8" xfId="57667"/>
    <cellStyle name="Total 2 6 2 3 20" xfId="879"/>
    <cellStyle name="Total 2 6 2 3 21" xfId="34553"/>
    <cellStyle name="Total 2 6 2 3 22" xfId="40963"/>
    <cellStyle name="Total 2 6 2 3 23" xfId="41524"/>
    <cellStyle name="Total 2 6 2 3 24" xfId="50611"/>
    <cellStyle name="Total 2 6 2 3 3" xfId="2936"/>
    <cellStyle name="Total 2 6 2 3 3 10" xfId="34570"/>
    <cellStyle name="Total 2 6 2 3 3 10 2" xfId="49647"/>
    <cellStyle name="Total 2 6 2 3 3 10 3" xfId="57669"/>
    <cellStyle name="Total 2 6 2 3 3 11" xfId="41178"/>
    <cellStyle name="Total 2 6 2 3 3 12" xfId="49646"/>
    <cellStyle name="Total 2 6 2 3 3 13" xfId="57668"/>
    <cellStyle name="Total 2 6 2 3 3 2" xfId="2937"/>
    <cellStyle name="Total 2 6 2 3 3 2 2" xfId="36255"/>
    <cellStyle name="Total 2 6 2 3 3 2 3" xfId="49648"/>
    <cellStyle name="Total 2 6 2 3 3 2 4" xfId="57670"/>
    <cellStyle name="Total 2 6 2 3 3 3" xfId="2938"/>
    <cellStyle name="Total 2 6 2 3 3 3 2" xfId="36752"/>
    <cellStyle name="Total 2 6 2 3 3 3 3" xfId="49649"/>
    <cellStyle name="Total 2 6 2 3 3 3 4" xfId="57671"/>
    <cellStyle name="Total 2 6 2 3 3 4" xfId="31317"/>
    <cellStyle name="Total 2 6 2 3 3 4 2" xfId="37368"/>
    <cellStyle name="Total 2 6 2 3 3 4 3" xfId="49650"/>
    <cellStyle name="Total 2 6 2 3 3 4 4" xfId="57672"/>
    <cellStyle name="Total 2 6 2 3 3 5" xfId="31318"/>
    <cellStyle name="Total 2 6 2 3 3 5 2" xfId="37984"/>
    <cellStyle name="Total 2 6 2 3 3 5 3" xfId="49651"/>
    <cellStyle name="Total 2 6 2 3 3 5 4" xfId="57673"/>
    <cellStyle name="Total 2 6 2 3 3 6" xfId="38601"/>
    <cellStyle name="Total 2 6 2 3 3 6 2" xfId="49652"/>
    <cellStyle name="Total 2 6 2 3 3 6 3" xfId="57674"/>
    <cellStyle name="Total 2 6 2 3 3 7" xfId="39221"/>
    <cellStyle name="Total 2 6 2 3 3 7 2" xfId="49653"/>
    <cellStyle name="Total 2 6 2 3 3 7 3" xfId="57675"/>
    <cellStyle name="Total 2 6 2 3 3 8" xfId="39837"/>
    <cellStyle name="Total 2 6 2 3 3 8 2" xfId="49654"/>
    <cellStyle name="Total 2 6 2 3 3 8 3" xfId="57676"/>
    <cellStyle name="Total 2 6 2 3 3 9" xfId="40452"/>
    <cellStyle name="Total 2 6 2 3 3 9 2" xfId="49655"/>
    <cellStyle name="Total 2 6 2 3 3 9 3" xfId="57677"/>
    <cellStyle name="Total 2 6 2 3 4" xfId="2939"/>
    <cellStyle name="Total 2 6 2 3 4 10" xfId="49656"/>
    <cellStyle name="Total 2 6 2 3 4 11" xfId="57678"/>
    <cellStyle name="Total 2 6 2 3 4 2" xfId="31319"/>
    <cellStyle name="Total 2 6 2 3 4 2 2" xfId="49657"/>
    <cellStyle name="Total 2 6 2 3 4 2 3" xfId="57679"/>
    <cellStyle name="Total 2 6 2 3 4 3" xfId="31320"/>
    <cellStyle name="Total 2 6 2 3 4 3 2" xfId="49658"/>
    <cellStyle name="Total 2 6 2 3 4 3 3" xfId="57680"/>
    <cellStyle name="Total 2 6 2 3 4 4" xfId="31321"/>
    <cellStyle name="Total 2 6 2 3 4 4 2" xfId="49659"/>
    <cellStyle name="Total 2 6 2 3 4 4 3" xfId="57681"/>
    <cellStyle name="Total 2 6 2 3 4 5" xfId="31322"/>
    <cellStyle name="Total 2 6 2 3 4 5 2" xfId="49660"/>
    <cellStyle name="Total 2 6 2 3 4 5 3" xfId="57682"/>
    <cellStyle name="Total 2 6 2 3 4 6" xfId="36540"/>
    <cellStyle name="Total 2 6 2 3 4 6 2" xfId="49661"/>
    <cellStyle name="Total 2 6 2 3 4 6 3" xfId="57683"/>
    <cellStyle name="Total 2 6 2 3 4 7" xfId="49662"/>
    <cellStyle name="Total 2 6 2 3 4 7 2" xfId="57684"/>
    <cellStyle name="Total 2 6 2 3 4 8" xfId="49663"/>
    <cellStyle name="Total 2 6 2 3 4 8 2" xfId="57685"/>
    <cellStyle name="Total 2 6 2 3 4 9" xfId="49664"/>
    <cellStyle name="Total 2 6 2 3 4 9 2" xfId="57686"/>
    <cellStyle name="Total 2 6 2 3 5" xfId="1490"/>
    <cellStyle name="Total 2 6 2 3 5 2" xfId="31323"/>
    <cellStyle name="Total 2 6 2 3 5 3" xfId="31324"/>
    <cellStyle name="Total 2 6 2 3 5 4" xfId="31325"/>
    <cellStyle name="Total 2 6 2 3 5 5" xfId="31326"/>
    <cellStyle name="Total 2 6 2 3 5 6" xfId="37156"/>
    <cellStyle name="Total 2 6 2 3 5 7" xfId="49665"/>
    <cellStyle name="Total 2 6 2 3 5 8" xfId="57687"/>
    <cellStyle name="Total 2 6 2 3 6" xfId="3560"/>
    <cellStyle name="Total 2 6 2 3 6 2" xfId="31327"/>
    <cellStyle name="Total 2 6 2 3 6 3" xfId="31328"/>
    <cellStyle name="Total 2 6 2 3 6 4" xfId="31329"/>
    <cellStyle name="Total 2 6 2 3 6 5" xfId="31330"/>
    <cellStyle name="Total 2 6 2 3 6 6" xfId="37770"/>
    <cellStyle name="Total 2 6 2 3 6 7" xfId="49666"/>
    <cellStyle name="Total 2 6 2 3 6 8" xfId="57688"/>
    <cellStyle name="Total 2 6 2 3 7" xfId="3878"/>
    <cellStyle name="Total 2 6 2 3 7 2" xfId="31331"/>
    <cellStyle name="Total 2 6 2 3 7 3" xfId="31332"/>
    <cellStyle name="Total 2 6 2 3 7 4" xfId="31333"/>
    <cellStyle name="Total 2 6 2 3 7 5" xfId="31334"/>
    <cellStyle name="Total 2 6 2 3 7 6" xfId="38386"/>
    <cellStyle name="Total 2 6 2 3 7 7" xfId="49667"/>
    <cellStyle name="Total 2 6 2 3 7 8" xfId="57689"/>
    <cellStyle name="Total 2 6 2 3 8" xfId="31335"/>
    <cellStyle name="Total 2 6 2 3 8 2" xfId="31336"/>
    <cellStyle name="Total 2 6 2 3 8 3" xfId="31337"/>
    <cellStyle name="Total 2 6 2 3 8 4" xfId="31338"/>
    <cellStyle name="Total 2 6 2 3 8 5" xfId="31339"/>
    <cellStyle name="Total 2 6 2 3 8 6" xfId="39006"/>
    <cellStyle name="Total 2 6 2 3 8 7" xfId="49668"/>
    <cellStyle name="Total 2 6 2 3 8 8" xfId="57690"/>
    <cellStyle name="Total 2 6 2 3 9" xfId="31340"/>
    <cellStyle name="Total 2 6 2 3 9 2" xfId="31341"/>
    <cellStyle name="Total 2 6 2 3 9 3" xfId="31342"/>
    <cellStyle name="Total 2 6 2 3 9 4" xfId="31343"/>
    <cellStyle name="Total 2 6 2 3 9 5" xfId="31344"/>
    <cellStyle name="Total 2 6 2 3 9 6" xfId="39622"/>
    <cellStyle name="Total 2 6 2 3 9 7" xfId="49669"/>
    <cellStyle name="Total 2 6 2 3 9 8" xfId="57691"/>
    <cellStyle name="Total 2 6 2 4" xfId="539"/>
    <cellStyle name="Total 2 6 2 4 10" xfId="31345"/>
    <cellStyle name="Total 2 6 2 4 10 2" xfId="31346"/>
    <cellStyle name="Total 2 6 2 4 10 3" xfId="31347"/>
    <cellStyle name="Total 2 6 2 4 10 4" xfId="31348"/>
    <cellStyle name="Total 2 6 2 4 10 5" xfId="31349"/>
    <cellStyle name="Total 2 6 2 4 10 6" xfId="49670"/>
    <cellStyle name="Total 2 6 2 4 10 7" xfId="57692"/>
    <cellStyle name="Total 2 6 2 4 11" xfId="31350"/>
    <cellStyle name="Total 2 6 2 4 11 2" xfId="31351"/>
    <cellStyle name="Total 2 6 2 4 11 3" xfId="31352"/>
    <cellStyle name="Total 2 6 2 4 11 4" xfId="31353"/>
    <cellStyle name="Total 2 6 2 4 11 5" xfId="31354"/>
    <cellStyle name="Total 2 6 2 4 12" xfId="31355"/>
    <cellStyle name="Total 2 6 2 4 12 2" xfId="31356"/>
    <cellStyle name="Total 2 6 2 4 12 3" xfId="31357"/>
    <cellStyle name="Total 2 6 2 4 12 4" xfId="31358"/>
    <cellStyle name="Total 2 6 2 4 12 5" xfId="31359"/>
    <cellStyle name="Total 2 6 2 4 13" xfId="31360"/>
    <cellStyle name="Total 2 6 2 4 13 2" xfId="31361"/>
    <cellStyle name="Total 2 6 2 4 13 3" xfId="31362"/>
    <cellStyle name="Total 2 6 2 4 13 4" xfId="31363"/>
    <cellStyle name="Total 2 6 2 4 13 5" xfId="31364"/>
    <cellStyle name="Total 2 6 2 4 14" xfId="31365"/>
    <cellStyle name="Total 2 6 2 4 14 2" xfId="31366"/>
    <cellStyle name="Total 2 6 2 4 14 3" xfId="31367"/>
    <cellStyle name="Total 2 6 2 4 14 4" xfId="31368"/>
    <cellStyle name="Total 2 6 2 4 14 5" xfId="31369"/>
    <cellStyle name="Total 2 6 2 4 15" xfId="31370"/>
    <cellStyle name="Total 2 6 2 4 15 2" xfId="31371"/>
    <cellStyle name="Total 2 6 2 4 15 3" xfId="31372"/>
    <cellStyle name="Total 2 6 2 4 15 4" xfId="31373"/>
    <cellStyle name="Total 2 6 2 4 15 5" xfId="31374"/>
    <cellStyle name="Total 2 6 2 4 16" xfId="31375"/>
    <cellStyle name="Total 2 6 2 4 16 2" xfId="31376"/>
    <cellStyle name="Total 2 6 2 4 16 3" xfId="31377"/>
    <cellStyle name="Total 2 6 2 4 16 4" xfId="31378"/>
    <cellStyle name="Total 2 6 2 4 16 5" xfId="31379"/>
    <cellStyle name="Total 2 6 2 4 17" xfId="31380"/>
    <cellStyle name="Total 2 6 2 4 17 2" xfId="31381"/>
    <cellStyle name="Total 2 6 2 4 17 3" xfId="31382"/>
    <cellStyle name="Total 2 6 2 4 17 4" xfId="31383"/>
    <cellStyle name="Total 2 6 2 4 17 5" xfId="31384"/>
    <cellStyle name="Total 2 6 2 4 18" xfId="31385"/>
    <cellStyle name="Total 2 6 2 4 18 2" xfId="31386"/>
    <cellStyle name="Total 2 6 2 4 18 3" xfId="31387"/>
    <cellStyle name="Total 2 6 2 4 18 4" xfId="31388"/>
    <cellStyle name="Total 2 6 2 4 18 5" xfId="31389"/>
    <cellStyle name="Total 2 6 2 4 19" xfId="31390"/>
    <cellStyle name="Total 2 6 2 4 2" xfId="2940"/>
    <cellStyle name="Total 2 6 2 4 2 2" xfId="31391"/>
    <cellStyle name="Total 2 6 2 4 2 2 2" xfId="49672"/>
    <cellStyle name="Total 2 6 2 4 2 2 3" xfId="57694"/>
    <cellStyle name="Total 2 6 2 4 2 3" xfId="31392"/>
    <cellStyle name="Total 2 6 2 4 2 4" xfId="31393"/>
    <cellStyle name="Total 2 6 2 4 2 5" xfId="31394"/>
    <cellStyle name="Total 2 6 2 4 2 6" xfId="36343"/>
    <cellStyle name="Total 2 6 2 4 2 7" xfId="49671"/>
    <cellStyle name="Total 2 6 2 4 2 8" xfId="57693"/>
    <cellStyle name="Total 2 6 2 4 20" xfId="968"/>
    <cellStyle name="Total 2 6 2 4 21" xfId="35048"/>
    <cellStyle name="Total 2 6 2 4 22" xfId="40757"/>
    <cellStyle name="Total 2 6 2 4 23" xfId="41267"/>
    <cellStyle name="Total 2 6 2 4 3" xfId="2941"/>
    <cellStyle name="Total 2 6 2 4 3 2" xfId="31395"/>
    <cellStyle name="Total 2 6 2 4 3 3" xfId="31396"/>
    <cellStyle name="Total 2 6 2 4 3 4" xfId="31397"/>
    <cellStyle name="Total 2 6 2 4 3 5" xfId="31398"/>
    <cellStyle name="Total 2 6 2 4 3 6" xfId="36840"/>
    <cellStyle name="Total 2 6 2 4 3 7" xfId="49673"/>
    <cellStyle name="Total 2 6 2 4 3 8" xfId="57695"/>
    <cellStyle name="Total 2 6 2 4 4" xfId="1492"/>
    <cellStyle name="Total 2 6 2 4 4 2" xfId="31399"/>
    <cellStyle name="Total 2 6 2 4 4 3" xfId="31400"/>
    <cellStyle name="Total 2 6 2 4 4 4" xfId="31401"/>
    <cellStyle name="Total 2 6 2 4 4 5" xfId="31402"/>
    <cellStyle name="Total 2 6 2 4 4 6" xfId="37456"/>
    <cellStyle name="Total 2 6 2 4 4 7" xfId="49674"/>
    <cellStyle name="Total 2 6 2 4 4 8" xfId="57696"/>
    <cellStyle name="Total 2 6 2 4 5" xfId="3562"/>
    <cellStyle name="Total 2 6 2 4 5 2" xfId="31403"/>
    <cellStyle name="Total 2 6 2 4 5 3" xfId="31404"/>
    <cellStyle name="Total 2 6 2 4 5 4" xfId="31405"/>
    <cellStyle name="Total 2 6 2 4 5 5" xfId="31406"/>
    <cellStyle name="Total 2 6 2 4 5 6" xfId="38072"/>
    <cellStyle name="Total 2 6 2 4 5 7" xfId="49675"/>
    <cellStyle name="Total 2 6 2 4 5 8" xfId="57697"/>
    <cellStyle name="Total 2 6 2 4 6" xfId="3880"/>
    <cellStyle name="Total 2 6 2 4 6 2" xfId="31407"/>
    <cellStyle name="Total 2 6 2 4 6 3" xfId="31408"/>
    <cellStyle name="Total 2 6 2 4 6 4" xfId="31409"/>
    <cellStyle name="Total 2 6 2 4 6 5" xfId="31410"/>
    <cellStyle name="Total 2 6 2 4 6 6" xfId="38690"/>
    <cellStyle name="Total 2 6 2 4 6 7" xfId="49676"/>
    <cellStyle name="Total 2 6 2 4 6 8" xfId="57698"/>
    <cellStyle name="Total 2 6 2 4 7" xfId="31411"/>
    <cellStyle name="Total 2 6 2 4 7 2" xfId="31412"/>
    <cellStyle name="Total 2 6 2 4 7 3" xfId="31413"/>
    <cellStyle name="Total 2 6 2 4 7 4" xfId="31414"/>
    <cellStyle name="Total 2 6 2 4 7 5" xfId="31415"/>
    <cellStyle name="Total 2 6 2 4 7 6" xfId="39310"/>
    <cellStyle name="Total 2 6 2 4 7 7" xfId="49677"/>
    <cellStyle name="Total 2 6 2 4 7 8" xfId="57699"/>
    <cellStyle name="Total 2 6 2 4 8" xfId="31416"/>
    <cellStyle name="Total 2 6 2 4 8 2" xfId="31417"/>
    <cellStyle name="Total 2 6 2 4 8 3" xfId="31418"/>
    <cellStyle name="Total 2 6 2 4 8 4" xfId="31419"/>
    <cellStyle name="Total 2 6 2 4 8 5" xfId="31420"/>
    <cellStyle name="Total 2 6 2 4 8 6" xfId="39926"/>
    <cellStyle name="Total 2 6 2 4 8 7" xfId="49678"/>
    <cellStyle name="Total 2 6 2 4 8 8" xfId="57700"/>
    <cellStyle name="Total 2 6 2 4 9" xfId="31421"/>
    <cellStyle name="Total 2 6 2 4 9 2" xfId="31422"/>
    <cellStyle name="Total 2 6 2 4 9 3" xfId="31423"/>
    <cellStyle name="Total 2 6 2 4 9 4" xfId="31424"/>
    <cellStyle name="Total 2 6 2 4 9 5" xfId="31425"/>
    <cellStyle name="Total 2 6 2 4 9 6" xfId="40541"/>
    <cellStyle name="Total 2 6 2 4 9 7" xfId="49679"/>
    <cellStyle name="Total 2 6 2 4 9 8" xfId="57701"/>
    <cellStyle name="Total 2 6 2 5" xfId="2942"/>
    <cellStyle name="Total 2 6 2 5 10" xfId="34636"/>
    <cellStyle name="Total 2 6 2 5 10 2" xfId="49681"/>
    <cellStyle name="Total 2 6 2 5 10 3" xfId="57703"/>
    <cellStyle name="Total 2 6 2 5 11" xfId="41053"/>
    <cellStyle name="Total 2 6 2 5 12" xfId="49680"/>
    <cellStyle name="Total 2 6 2 5 13" xfId="57702"/>
    <cellStyle name="Total 2 6 2 5 2" xfId="2943"/>
    <cellStyle name="Total 2 6 2 5 2 2" xfId="36130"/>
    <cellStyle name="Total 2 6 2 5 2 3" xfId="49682"/>
    <cellStyle name="Total 2 6 2 5 2 4" xfId="57704"/>
    <cellStyle name="Total 2 6 2 5 3" xfId="2944"/>
    <cellStyle name="Total 2 6 2 5 3 2" xfId="36629"/>
    <cellStyle name="Total 2 6 2 5 3 3" xfId="49683"/>
    <cellStyle name="Total 2 6 2 5 3 4" xfId="57705"/>
    <cellStyle name="Total 2 6 2 5 4" xfId="31426"/>
    <cellStyle name="Total 2 6 2 5 4 2" xfId="37245"/>
    <cellStyle name="Total 2 6 2 5 4 3" xfId="49684"/>
    <cellStyle name="Total 2 6 2 5 4 4" xfId="57706"/>
    <cellStyle name="Total 2 6 2 5 5" xfId="31427"/>
    <cellStyle name="Total 2 6 2 5 5 2" xfId="37861"/>
    <cellStyle name="Total 2 6 2 5 5 3" xfId="49685"/>
    <cellStyle name="Total 2 6 2 5 5 4" xfId="57707"/>
    <cellStyle name="Total 2 6 2 5 6" xfId="38476"/>
    <cellStyle name="Total 2 6 2 5 6 2" xfId="49686"/>
    <cellStyle name="Total 2 6 2 5 6 3" xfId="57708"/>
    <cellStyle name="Total 2 6 2 5 7" xfId="39096"/>
    <cellStyle name="Total 2 6 2 5 7 2" xfId="49687"/>
    <cellStyle name="Total 2 6 2 5 7 3" xfId="57709"/>
    <cellStyle name="Total 2 6 2 5 8" xfId="39712"/>
    <cellStyle name="Total 2 6 2 5 8 2" xfId="49688"/>
    <cellStyle name="Total 2 6 2 5 8 3" xfId="57710"/>
    <cellStyle name="Total 2 6 2 5 9" xfId="40327"/>
    <cellStyle name="Total 2 6 2 5 9 2" xfId="49689"/>
    <cellStyle name="Total 2 6 2 5 9 3" xfId="57711"/>
    <cellStyle name="Total 2 6 2 6" xfId="1487"/>
    <cellStyle name="Total 2 6 2 6 10" xfId="49690"/>
    <cellStyle name="Total 2 6 2 6 11" xfId="57712"/>
    <cellStyle name="Total 2 6 2 6 2" xfId="31428"/>
    <cellStyle name="Total 2 6 2 6 2 2" xfId="49691"/>
    <cellStyle name="Total 2 6 2 6 2 3" xfId="57713"/>
    <cellStyle name="Total 2 6 2 6 3" xfId="31429"/>
    <cellStyle name="Total 2 6 2 6 3 2" xfId="49692"/>
    <cellStyle name="Total 2 6 2 6 3 3" xfId="57714"/>
    <cellStyle name="Total 2 6 2 6 4" xfId="31430"/>
    <cellStyle name="Total 2 6 2 6 4 2" xfId="49693"/>
    <cellStyle name="Total 2 6 2 6 4 3" xfId="57715"/>
    <cellStyle name="Total 2 6 2 6 5" xfId="31431"/>
    <cellStyle name="Total 2 6 2 6 5 2" xfId="49694"/>
    <cellStyle name="Total 2 6 2 6 5 3" xfId="57716"/>
    <cellStyle name="Total 2 6 2 6 6" xfId="35448"/>
    <cellStyle name="Total 2 6 2 6 6 2" xfId="49695"/>
    <cellStyle name="Total 2 6 2 6 6 3" xfId="57717"/>
    <cellStyle name="Total 2 6 2 6 7" xfId="49696"/>
    <cellStyle name="Total 2 6 2 6 7 2" xfId="57718"/>
    <cellStyle name="Total 2 6 2 6 8" xfId="49697"/>
    <cellStyle name="Total 2 6 2 6 8 2" xfId="57719"/>
    <cellStyle name="Total 2 6 2 6 9" xfId="49698"/>
    <cellStyle name="Total 2 6 2 6 9 2" xfId="57720"/>
    <cellStyle name="Total 2 6 2 7" xfId="3557"/>
    <cellStyle name="Total 2 6 2 7 2" xfId="31432"/>
    <cellStyle name="Total 2 6 2 7 3" xfId="31433"/>
    <cellStyle name="Total 2 6 2 7 4" xfId="31434"/>
    <cellStyle name="Total 2 6 2 7 5" xfId="31435"/>
    <cellStyle name="Total 2 6 2 7 6" xfId="35980"/>
    <cellStyle name="Total 2 6 2 7 7" xfId="49699"/>
    <cellStyle name="Total 2 6 2 7 8" xfId="57721"/>
    <cellStyle name="Total 2 6 2 8" xfId="3875"/>
    <cellStyle name="Total 2 6 2 8 2" xfId="31436"/>
    <cellStyle name="Total 2 6 2 8 3" xfId="31437"/>
    <cellStyle name="Total 2 6 2 8 4" xfId="31438"/>
    <cellStyle name="Total 2 6 2 8 5" xfId="31439"/>
    <cellStyle name="Total 2 6 2 8 6" xfId="35739"/>
    <cellStyle name="Total 2 6 2 8 7" xfId="49700"/>
    <cellStyle name="Total 2 6 2 8 8" xfId="57722"/>
    <cellStyle name="Total 2 6 2 9" xfId="31440"/>
    <cellStyle name="Total 2 6 2 9 2" xfId="31441"/>
    <cellStyle name="Total 2 6 2 9 3" xfId="31442"/>
    <cellStyle name="Total 2 6 2 9 4" xfId="31443"/>
    <cellStyle name="Total 2 6 2 9 5" xfId="31444"/>
    <cellStyle name="Total 2 6 2 9 6" xfId="37025"/>
    <cellStyle name="Total 2 6 2 9 7" xfId="49701"/>
    <cellStyle name="Total 2 6 2 9 8" xfId="57723"/>
    <cellStyle name="Total 2 6 20" xfId="31445"/>
    <cellStyle name="Total 2 6 21" xfId="709"/>
    <cellStyle name="Total 2 6 22" xfId="34956"/>
    <cellStyle name="Total 2 6 23" xfId="40793"/>
    <cellStyle name="Total 2 6 3" xfId="310"/>
    <cellStyle name="Total 2 6 3 10" xfId="31446"/>
    <cellStyle name="Total 2 6 3 10 2" xfId="31447"/>
    <cellStyle name="Total 2 6 3 10 3" xfId="31448"/>
    <cellStyle name="Total 2 6 3 10 4" xfId="31449"/>
    <cellStyle name="Total 2 6 3 10 5" xfId="31450"/>
    <cellStyle name="Total 2 6 3 10 6" xfId="37638"/>
    <cellStyle name="Total 2 6 3 10 7" xfId="49702"/>
    <cellStyle name="Total 2 6 3 10 8" xfId="57724"/>
    <cellStyle name="Total 2 6 3 11" xfId="31451"/>
    <cellStyle name="Total 2 6 3 11 2" xfId="31452"/>
    <cellStyle name="Total 2 6 3 11 3" xfId="31453"/>
    <cellStyle name="Total 2 6 3 11 4" xfId="31454"/>
    <cellStyle name="Total 2 6 3 11 5" xfId="31455"/>
    <cellStyle name="Total 2 6 3 11 6" xfId="38255"/>
    <cellStyle name="Total 2 6 3 11 7" xfId="49703"/>
    <cellStyle name="Total 2 6 3 11 8" xfId="57725"/>
    <cellStyle name="Total 2 6 3 12" xfId="31456"/>
    <cellStyle name="Total 2 6 3 12 2" xfId="31457"/>
    <cellStyle name="Total 2 6 3 12 3" xfId="31458"/>
    <cellStyle name="Total 2 6 3 12 4" xfId="31459"/>
    <cellStyle name="Total 2 6 3 12 5" xfId="31460"/>
    <cellStyle name="Total 2 6 3 12 6" xfId="38877"/>
    <cellStyle name="Total 2 6 3 12 7" xfId="49704"/>
    <cellStyle name="Total 2 6 3 12 8" xfId="57726"/>
    <cellStyle name="Total 2 6 3 13" xfId="31461"/>
    <cellStyle name="Total 2 6 3 13 2" xfId="31462"/>
    <cellStyle name="Total 2 6 3 13 3" xfId="31463"/>
    <cellStyle name="Total 2 6 3 13 4" xfId="31464"/>
    <cellStyle name="Total 2 6 3 13 5" xfId="31465"/>
    <cellStyle name="Total 2 6 3 13 6" xfId="39497"/>
    <cellStyle name="Total 2 6 3 13 7" xfId="49705"/>
    <cellStyle name="Total 2 6 3 13 8" xfId="57727"/>
    <cellStyle name="Total 2 6 3 14" xfId="31466"/>
    <cellStyle name="Total 2 6 3 14 2" xfId="31467"/>
    <cellStyle name="Total 2 6 3 14 3" xfId="31468"/>
    <cellStyle name="Total 2 6 3 14 4" xfId="31469"/>
    <cellStyle name="Total 2 6 3 14 5" xfId="31470"/>
    <cellStyle name="Total 2 6 3 14 6" xfId="40115"/>
    <cellStyle name="Total 2 6 3 14 7" xfId="49706"/>
    <cellStyle name="Total 2 6 3 14 8" xfId="57728"/>
    <cellStyle name="Total 2 6 3 15" xfId="31471"/>
    <cellStyle name="Total 2 6 3 15 2" xfId="31472"/>
    <cellStyle name="Total 2 6 3 15 3" xfId="31473"/>
    <cellStyle name="Total 2 6 3 15 4" xfId="31474"/>
    <cellStyle name="Total 2 6 3 15 5" xfId="31475"/>
    <cellStyle name="Total 2 6 3 15 6" xfId="49707"/>
    <cellStyle name="Total 2 6 3 15 7" xfId="57729"/>
    <cellStyle name="Total 2 6 3 16" xfId="31476"/>
    <cellStyle name="Total 2 6 3 16 2" xfId="31477"/>
    <cellStyle name="Total 2 6 3 16 3" xfId="31478"/>
    <cellStyle name="Total 2 6 3 16 4" xfId="31479"/>
    <cellStyle name="Total 2 6 3 16 5" xfId="31480"/>
    <cellStyle name="Total 2 6 3 17" xfId="31481"/>
    <cellStyle name="Total 2 6 3 17 2" xfId="31482"/>
    <cellStyle name="Total 2 6 3 17 3" xfId="31483"/>
    <cellStyle name="Total 2 6 3 17 4" xfId="31484"/>
    <cellStyle name="Total 2 6 3 17 5" xfId="31485"/>
    <cellStyle name="Total 2 6 3 18" xfId="31486"/>
    <cellStyle name="Total 2 6 3 19" xfId="755"/>
    <cellStyle name="Total 2 6 3 2" xfId="449"/>
    <cellStyle name="Total 2 6 3 2 10" xfId="31487"/>
    <cellStyle name="Total 2 6 3 2 10 2" xfId="31488"/>
    <cellStyle name="Total 2 6 3 2 10 3" xfId="31489"/>
    <cellStyle name="Total 2 6 3 2 10 4" xfId="31490"/>
    <cellStyle name="Total 2 6 3 2 10 5" xfId="31491"/>
    <cellStyle name="Total 2 6 3 2 10 6" xfId="39623"/>
    <cellStyle name="Total 2 6 3 2 10 7" xfId="49708"/>
    <cellStyle name="Total 2 6 3 2 10 8" xfId="57730"/>
    <cellStyle name="Total 2 6 3 2 11" xfId="31492"/>
    <cellStyle name="Total 2 6 3 2 11 2" xfId="31493"/>
    <cellStyle name="Total 2 6 3 2 11 3" xfId="31494"/>
    <cellStyle name="Total 2 6 3 2 11 4" xfId="31495"/>
    <cellStyle name="Total 2 6 3 2 11 5" xfId="31496"/>
    <cellStyle name="Total 2 6 3 2 11 6" xfId="40238"/>
    <cellStyle name="Total 2 6 3 2 11 7" xfId="49709"/>
    <cellStyle name="Total 2 6 3 2 11 8" xfId="57731"/>
    <cellStyle name="Total 2 6 3 2 12" xfId="31497"/>
    <cellStyle name="Total 2 6 3 2 12 2" xfId="31498"/>
    <cellStyle name="Total 2 6 3 2 12 3" xfId="31499"/>
    <cellStyle name="Total 2 6 3 2 12 4" xfId="31500"/>
    <cellStyle name="Total 2 6 3 2 12 5" xfId="31501"/>
    <cellStyle name="Total 2 6 3 2 12 6" xfId="49710"/>
    <cellStyle name="Total 2 6 3 2 12 7" xfId="57732"/>
    <cellStyle name="Total 2 6 3 2 13" xfId="31502"/>
    <cellStyle name="Total 2 6 3 2 13 2" xfId="31503"/>
    <cellStyle name="Total 2 6 3 2 13 3" xfId="31504"/>
    <cellStyle name="Total 2 6 3 2 13 4" xfId="31505"/>
    <cellStyle name="Total 2 6 3 2 13 5" xfId="31506"/>
    <cellStyle name="Total 2 6 3 2 13 6" xfId="49711"/>
    <cellStyle name="Total 2 6 3 2 13 7" xfId="57733"/>
    <cellStyle name="Total 2 6 3 2 14" xfId="31507"/>
    <cellStyle name="Total 2 6 3 2 14 2" xfId="31508"/>
    <cellStyle name="Total 2 6 3 2 14 3" xfId="31509"/>
    <cellStyle name="Total 2 6 3 2 14 4" xfId="31510"/>
    <cellStyle name="Total 2 6 3 2 14 5" xfId="31511"/>
    <cellStyle name="Total 2 6 3 2 15" xfId="31512"/>
    <cellStyle name="Total 2 6 3 2 15 2" xfId="31513"/>
    <cellStyle name="Total 2 6 3 2 15 3" xfId="31514"/>
    <cellStyle name="Total 2 6 3 2 15 4" xfId="31515"/>
    <cellStyle name="Total 2 6 3 2 15 5" xfId="31516"/>
    <cellStyle name="Total 2 6 3 2 16" xfId="31517"/>
    <cellStyle name="Total 2 6 3 2 16 2" xfId="31518"/>
    <cellStyle name="Total 2 6 3 2 16 3" xfId="31519"/>
    <cellStyle name="Total 2 6 3 2 16 4" xfId="31520"/>
    <cellStyle name="Total 2 6 3 2 16 5" xfId="31521"/>
    <cellStyle name="Total 2 6 3 2 17" xfId="31522"/>
    <cellStyle name="Total 2 6 3 2 17 2" xfId="31523"/>
    <cellStyle name="Total 2 6 3 2 17 3" xfId="31524"/>
    <cellStyle name="Total 2 6 3 2 17 4" xfId="31525"/>
    <cellStyle name="Total 2 6 3 2 17 5" xfId="31526"/>
    <cellStyle name="Total 2 6 3 2 18" xfId="31527"/>
    <cellStyle name="Total 2 6 3 2 18 2" xfId="31528"/>
    <cellStyle name="Total 2 6 3 2 18 3" xfId="31529"/>
    <cellStyle name="Total 2 6 3 2 18 4" xfId="31530"/>
    <cellStyle name="Total 2 6 3 2 18 5" xfId="31531"/>
    <cellStyle name="Total 2 6 3 2 19" xfId="31532"/>
    <cellStyle name="Total 2 6 3 2 2" xfId="664"/>
    <cellStyle name="Total 2 6 3 2 2 10" xfId="31533"/>
    <cellStyle name="Total 2 6 3 2 2 10 2" xfId="31534"/>
    <cellStyle name="Total 2 6 3 2 2 10 3" xfId="31535"/>
    <cellStyle name="Total 2 6 3 2 2 10 4" xfId="31536"/>
    <cellStyle name="Total 2 6 3 2 2 10 5" xfId="31537"/>
    <cellStyle name="Total 2 6 3 2 2 10 6" xfId="49712"/>
    <cellStyle name="Total 2 6 3 2 2 10 7" xfId="57734"/>
    <cellStyle name="Total 2 6 3 2 2 11" xfId="31538"/>
    <cellStyle name="Total 2 6 3 2 2 11 2" xfId="31539"/>
    <cellStyle name="Total 2 6 3 2 2 11 3" xfId="31540"/>
    <cellStyle name="Total 2 6 3 2 2 11 4" xfId="31541"/>
    <cellStyle name="Total 2 6 3 2 2 11 5" xfId="31542"/>
    <cellStyle name="Total 2 6 3 2 2 12" xfId="31543"/>
    <cellStyle name="Total 2 6 3 2 2 12 2" xfId="31544"/>
    <cellStyle name="Total 2 6 3 2 2 12 3" xfId="31545"/>
    <cellStyle name="Total 2 6 3 2 2 12 4" xfId="31546"/>
    <cellStyle name="Total 2 6 3 2 2 12 5" xfId="31547"/>
    <cellStyle name="Total 2 6 3 2 2 13" xfId="31548"/>
    <cellStyle name="Total 2 6 3 2 2 13 2" xfId="31549"/>
    <cellStyle name="Total 2 6 3 2 2 13 3" xfId="31550"/>
    <cellStyle name="Total 2 6 3 2 2 13 4" xfId="31551"/>
    <cellStyle name="Total 2 6 3 2 2 13 5" xfId="31552"/>
    <cellStyle name="Total 2 6 3 2 2 14" xfId="31553"/>
    <cellStyle name="Total 2 6 3 2 2 14 2" xfId="31554"/>
    <cellStyle name="Total 2 6 3 2 2 14 3" xfId="31555"/>
    <cellStyle name="Total 2 6 3 2 2 14 4" xfId="31556"/>
    <cellStyle name="Total 2 6 3 2 2 14 5" xfId="31557"/>
    <cellStyle name="Total 2 6 3 2 2 15" xfId="31558"/>
    <cellStyle name="Total 2 6 3 2 2 15 2" xfId="31559"/>
    <cellStyle name="Total 2 6 3 2 2 15 3" xfId="31560"/>
    <cellStyle name="Total 2 6 3 2 2 15 4" xfId="31561"/>
    <cellStyle name="Total 2 6 3 2 2 15 5" xfId="31562"/>
    <cellStyle name="Total 2 6 3 2 2 16" xfId="31563"/>
    <cellStyle name="Total 2 6 3 2 2 16 2" xfId="31564"/>
    <cellStyle name="Total 2 6 3 2 2 16 3" xfId="31565"/>
    <cellStyle name="Total 2 6 3 2 2 16 4" xfId="31566"/>
    <cellStyle name="Total 2 6 3 2 2 16 5" xfId="31567"/>
    <cellStyle name="Total 2 6 3 2 2 17" xfId="31568"/>
    <cellStyle name="Total 2 6 3 2 2 17 2" xfId="31569"/>
    <cellStyle name="Total 2 6 3 2 2 17 3" xfId="31570"/>
    <cellStyle name="Total 2 6 3 2 2 17 4" xfId="31571"/>
    <cellStyle name="Total 2 6 3 2 2 17 5" xfId="31572"/>
    <cellStyle name="Total 2 6 3 2 2 18" xfId="31573"/>
    <cellStyle name="Total 2 6 3 2 2 18 2" xfId="31574"/>
    <cellStyle name="Total 2 6 3 2 2 18 3" xfId="31575"/>
    <cellStyle name="Total 2 6 3 2 2 18 4" xfId="31576"/>
    <cellStyle name="Total 2 6 3 2 2 18 5" xfId="31577"/>
    <cellStyle name="Total 2 6 3 2 2 19" xfId="31578"/>
    <cellStyle name="Total 2 6 3 2 2 2" xfId="2945"/>
    <cellStyle name="Total 2 6 3 2 2 2 2" xfId="31579"/>
    <cellStyle name="Total 2 6 3 2 2 2 2 2" xfId="49714"/>
    <cellStyle name="Total 2 6 3 2 2 2 2 3" xfId="57736"/>
    <cellStyle name="Total 2 6 3 2 2 2 3" xfId="31580"/>
    <cellStyle name="Total 2 6 3 2 2 2 4" xfId="31581"/>
    <cellStyle name="Total 2 6 3 2 2 2 5" xfId="31582"/>
    <cellStyle name="Total 2 6 3 2 2 2 6" xfId="36467"/>
    <cellStyle name="Total 2 6 3 2 2 2 7" xfId="49713"/>
    <cellStyle name="Total 2 6 3 2 2 2 8" xfId="57735"/>
    <cellStyle name="Total 2 6 3 2 2 20" xfId="1092"/>
    <cellStyle name="Total 2 6 3 2 2 21" xfId="35172"/>
    <cellStyle name="Total 2 6 3 2 2 22" xfId="41392"/>
    <cellStyle name="Total 2 6 3 2 2 3" xfId="2946"/>
    <cellStyle name="Total 2 6 3 2 2 3 2" xfId="31583"/>
    <cellStyle name="Total 2 6 3 2 2 3 3" xfId="31584"/>
    <cellStyle name="Total 2 6 3 2 2 3 4" xfId="31585"/>
    <cellStyle name="Total 2 6 3 2 2 3 5" xfId="31586"/>
    <cellStyle name="Total 2 6 3 2 2 3 6" xfId="36964"/>
    <cellStyle name="Total 2 6 3 2 2 3 7" xfId="49715"/>
    <cellStyle name="Total 2 6 3 2 2 3 8" xfId="57737"/>
    <cellStyle name="Total 2 6 3 2 2 4" xfId="1495"/>
    <cellStyle name="Total 2 6 3 2 2 4 2" xfId="31587"/>
    <cellStyle name="Total 2 6 3 2 2 4 3" xfId="31588"/>
    <cellStyle name="Total 2 6 3 2 2 4 4" xfId="31589"/>
    <cellStyle name="Total 2 6 3 2 2 4 5" xfId="31590"/>
    <cellStyle name="Total 2 6 3 2 2 4 6" xfId="37580"/>
    <cellStyle name="Total 2 6 3 2 2 4 7" xfId="49716"/>
    <cellStyle name="Total 2 6 3 2 2 4 8" xfId="57738"/>
    <cellStyle name="Total 2 6 3 2 2 5" xfId="3565"/>
    <cellStyle name="Total 2 6 3 2 2 5 2" xfId="31591"/>
    <cellStyle name="Total 2 6 3 2 2 5 3" xfId="31592"/>
    <cellStyle name="Total 2 6 3 2 2 5 4" xfId="31593"/>
    <cellStyle name="Total 2 6 3 2 2 5 5" xfId="31594"/>
    <cellStyle name="Total 2 6 3 2 2 5 6" xfId="38197"/>
    <cellStyle name="Total 2 6 3 2 2 5 7" xfId="49717"/>
    <cellStyle name="Total 2 6 3 2 2 5 8" xfId="57739"/>
    <cellStyle name="Total 2 6 3 2 2 6" xfId="3883"/>
    <cellStyle name="Total 2 6 3 2 2 6 2" xfId="31595"/>
    <cellStyle name="Total 2 6 3 2 2 6 3" xfId="31596"/>
    <cellStyle name="Total 2 6 3 2 2 6 4" xfId="31597"/>
    <cellStyle name="Total 2 6 3 2 2 6 5" xfId="31598"/>
    <cellStyle name="Total 2 6 3 2 2 6 6" xfId="38815"/>
    <cellStyle name="Total 2 6 3 2 2 6 7" xfId="49718"/>
    <cellStyle name="Total 2 6 3 2 2 6 8" xfId="57740"/>
    <cellStyle name="Total 2 6 3 2 2 7" xfId="31599"/>
    <cellStyle name="Total 2 6 3 2 2 7 2" xfId="31600"/>
    <cellStyle name="Total 2 6 3 2 2 7 3" xfId="31601"/>
    <cellStyle name="Total 2 6 3 2 2 7 4" xfId="31602"/>
    <cellStyle name="Total 2 6 3 2 2 7 5" xfId="31603"/>
    <cellStyle name="Total 2 6 3 2 2 7 6" xfId="39435"/>
    <cellStyle name="Total 2 6 3 2 2 7 7" xfId="49719"/>
    <cellStyle name="Total 2 6 3 2 2 7 8" xfId="57741"/>
    <cellStyle name="Total 2 6 3 2 2 8" xfId="31604"/>
    <cellStyle name="Total 2 6 3 2 2 8 2" xfId="31605"/>
    <cellStyle name="Total 2 6 3 2 2 8 3" xfId="31606"/>
    <cellStyle name="Total 2 6 3 2 2 8 4" xfId="31607"/>
    <cellStyle name="Total 2 6 3 2 2 8 5" xfId="31608"/>
    <cellStyle name="Total 2 6 3 2 2 8 6" xfId="40051"/>
    <cellStyle name="Total 2 6 3 2 2 8 7" xfId="49720"/>
    <cellStyle name="Total 2 6 3 2 2 8 8" xfId="57742"/>
    <cellStyle name="Total 2 6 3 2 2 9" xfId="31609"/>
    <cellStyle name="Total 2 6 3 2 2 9 2" xfId="31610"/>
    <cellStyle name="Total 2 6 3 2 2 9 3" xfId="31611"/>
    <cellStyle name="Total 2 6 3 2 2 9 4" xfId="31612"/>
    <cellStyle name="Total 2 6 3 2 2 9 5" xfId="31613"/>
    <cellStyle name="Total 2 6 3 2 2 9 6" xfId="40666"/>
    <cellStyle name="Total 2 6 3 2 2 9 7" xfId="49721"/>
    <cellStyle name="Total 2 6 3 2 2 9 8" xfId="57743"/>
    <cellStyle name="Total 2 6 3 2 20" xfId="880"/>
    <cellStyle name="Total 2 6 3 2 21" xfId="34728"/>
    <cellStyle name="Total 2 6 3 2 22" xfId="40964"/>
    <cellStyle name="Total 2 6 3 2 23" xfId="41525"/>
    <cellStyle name="Total 2 6 3 2 24" xfId="50612"/>
    <cellStyle name="Total 2 6 3 2 3" xfId="2947"/>
    <cellStyle name="Total 2 6 3 2 3 10" xfId="34569"/>
    <cellStyle name="Total 2 6 3 2 3 10 2" xfId="49723"/>
    <cellStyle name="Total 2 6 3 2 3 10 3" xfId="57745"/>
    <cellStyle name="Total 2 6 3 2 3 11" xfId="41179"/>
    <cellStyle name="Total 2 6 3 2 3 12" xfId="49722"/>
    <cellStyle name="Total 2 6 3 2 3 13" xfId="57744"/>
    <cellStyle name="Total 2 6 3 2 3 2" xfId="2948"/>
    <cellStyle name="Total 2 6 3 2 3 2 2" xfId="36256"/>
    <cellStyle name="Total 2 6 3 2 3 2 3" xfId="49724"/>
    <cellStyle name="Total 2 6 3 2 3 2 4" xfId="57746"/>
    <cellStyle name="Total 2 6 3 2 3 3" xfId="2949"/>
    <cellStyle name="Total 2 6 3 2 3 3 2" xfId="36753"/>
    <cellStyle name="Total 2 6 3 2 3 3 3" xfId="49725"/>
    <cellStyle name="Total 2 6 3 2 3 3 4" xfId="57747"/>
    <cellStyle name="Total 2 6 3 2 3 4" xfId="31614"/>
    <cellStyle name="Total 2 6 3 2 3 4 2" xfId="37369"/>
    <cellStyle name="Total 2 6 3 2 3 4 3" xfId="49726"/>
    <cellStyle name="Total 2 6 3 2 3 4 4" xfId="57748"/>
    <cellStyle name="Total 2 6 3 2 3 5" xfId="31615"/>
    <cellStyle name="Total 2 6 3 2 3 5 2" xfId="37985"/>
    <cellStyle name="Total 2 6 3 2 3 5 3" xfId="49727"/>
    <cellStyle name="Total 2 6 3 2 3 5 4" xfId="57749"/>
    <cellStyle name="Total 2 6 3 2 3 6" xfId="38602"/>
    <cellStyle name="Total 2 6 3 2 3 6 2" xfId="49728"/>
    <cellStyle name="Total 2 6 3 2 3 6 3" xfId="57750"/>
    <cellStyle name="Total 2 6 3 2 3 7" xfId="39222"/>
    <cellStyle name="Total 2 6 3 2 3 7 2" xfId="49729"/>
    <cellStyle name="Total 2 6 3 2 3 7 3" xfId="57751"/>
    <cellStyle name="Total 2 6 3 2 3 8" xfId="39838"/>
    <cellStyle name="Total 2 6 3 2 3 8 2" xfId="49730"/>
    <cellStyle name="Total 2 6 3 2 3 8 3" xfId="57752"/>
    <cellStyle name="Total 2 6 3 2 3 9" xfId="40453"/>
    <cellStyle name="Total 2 6 3 2 3 9 2" xfId="49731"/>
    <cellStyle name="Total 2 6 3 2 3 9 3" xfId="57753"/>
    <cellStyle name="Total 2 6 3 2 4" xfId="2950"/>
    <cellStyle name="Total 2 6 3 2 4 10" xfId="49732"/>
    <cellStyle name="Total 2 6 3 2 4 11" xfId="57754"/>
    <cellStyle name="Total 2 6 3 2 4 2" xfId="31616"/>
    <cellStyle name="Total 2 6 3 2 4 2 2" xfId="49733"/>
    <cellStyle name="Total 2 6 3 2 4 2 3" xfId="57755"/>
    <cellStyle name="Total 2 6 3 2 4 3" xfId="31617"/>
    <cellStyle name="Total 2 6 3 2 4 3 2" xfId="49734"/>
    <cellStyle name="Total 2 6 3 2 4 3 3" xfId="57756"/>
    <cellStyle name="Total 2 6 3 2 4 4" xfId="31618"/>
    <cellStyle name="Total 2 6 3 2 4 4 2" xfId="49735"/>
    <cellStyle name="Total 2 6 3 2 4 4 3" xfId="57757"/>
    <cellStyle name="Total 2 6 3 2 4 5" xfId="31619"/>
    <cellStyle name="Total 2 6 3 2 4 5 2" xfId="49736"/>
    <cellStyle name="Total 2 6 3 2 4 5 3" xfId="57758"/>
    <cellStyle name="Total 2 6 3 2 4 6" xfId="35718"/>
    <cellStyle name="Total 2 6 3 2 4 6 2" xfId="49737"/>
    <cellStyle name="Total 2 6 3 2 4 6 3" xfId="57759"/>
    <cellStyle name="Total 2 6 3 2 4 7" xfId="49738"/>
    <cellStyle name="Total 2 6 3 2 4 7 2" xfId="57760"/>
    <cellStyle name="Total 2 6 3 2 4 8" xfId="49739"/>
    <cellStyle name="Total 2 6 3 2 4 8 2" xfId="57761"/>
    <cellStyle name="Total 2 6 3 2 4 9" xfId="49740"/>
    <cellStyle name="Total 2 6 3 2 4 9 2" xfId="57762"/>
    <cellStyle name="Total 2 6 3 2 5" xfId="1494"/>
    <cellStyle name="Total 2 6 3 2 5 2" xfId="31620"/>
    <cellStyle name="Total 2 6 3 2 5 3" xfId="31621"/>
    <cellStyle name="Total 2 6 3 2 5 4" xfId="31622"/>
    <cellStyle name="Total 2 6 3 2 5 5" xfId="31623"/>
    <cellStyle name="Total 2 6 3 2 5 6" xfId="36541"/>
    <cellStyle name="Total 2 6 3 2 5 7" xfId="49741"/>
    <cellStyle name="Total 2 6 3 2 5 8" xfId="57763"/>
    <cellStyle name="Total 2 6 3 2 6" xfId="3564"/>
    <cellStyle name="Total 2 6 3 2 6 2" xfId="31624"/>
    <cellStyle name="Total 2 6 3 2 6 3" xfId="31625"/>
    <cellStyle name="Total 2 6 3 2 6 4" xfId="31626"/>
    <cellStyle name="Total 2 6 3 2 6 5" xfId="31627"/>
    <cellStyle name="Total 2 6 3 2 6 6" xfId="37157"/>
    <cellStyle name="Total 2 6 3 2 6 7" xfId="49742"/>
    <cellStyle name="Total 2 6 3 2 6 8" xfId="57764"/>
    <cellStyle name="Total 2 6 3 2 7" xfId="3882"/>
    <cellStyle name="Total 2 6 3 2 7 2" xfId="31628"/>
    <cellStyle name="Total 2 6 3 2 7 3" xfId="31629"/>
    <cellStyle name="Total 2 6 3 2 7 4" xfId="31630"/>
    <cellStyle name="Total 2 6 3 2 7 5" xfId="31631"/>
    <cellStyle name="Total 2 6 3 2 7 6" xfId="37771"/>
    <cellStyle name="Total 2 6 3 2 7 7" xfId="49743"/>
    <cellStyle name="Total 2 6 3 2 7 8" xfId="57765"/>
    <cellStyle name="Total 2 6 3 2 8" xfId="31632"/>
    <cellStyle name="Total 2 6 3 2 8 2" xfId="31633"/>
    <cellStyle name="Total 2 6 3 2 8 3" xfId="31634"/>
    <cellStyle name="Total 2 6 3 2 8 4" xfId="31635"/>
    <cellStyle name="Total 2 6 3 2 8 5" xfId="31636"/>
    <cellStyle name="Total 2 6 3 2 8 6" xfId="38387"/>
    <cellStyle name="Total 2 6 3 2 8 7" xfId="49744"/>
    <cellStyle name="Total 2 6 3 2 8 8" xfId="57766"/>
    <cellStyle name="Total 2 6 3 2 9" xfId="31637"/>
    <cellStyle name="Total 2 6 3 2 9 2" xfId="31638"/>
    <cellStyle name="Total 2 6 3 2 9 3" xfId="31639"/>
    <cellStyle name="Total 2 6 3 2 9 4" xfId="31640"/>
    <cellStyle name="Total 2 6 3 2 9 5" xfId="31641"/>
    <cellStyle name="Total 2 6 3 2 9 6" xfId="39007"/>
    <cellStyle name="Total 2 6 3 2 9 7" xfId="49745"/>
    <cellStyle name="Total 2 6 3 2 9 8" xfId="57767"/>
    <cellStyle name="Total 2 6 3 20" xfId="34830"/>
    <cellStyle name="Total 2 6 3 21" xfId="40839"/>
    <cellStyle name="Total 2 6 3 3" xfId="450"/>
    <cellStyle name="Total 2 6 3 3 10" xfId="31642"/>
    <cellStyle name="Total 2 6 3 3 10 2" xfId="31643"/>
    <cellStyle name="Total 2 6 3 3 10 3" xfId="31644"/>
    <cellStyle name="Total 2 6 3 3 10 4" xfId="31645"/>
    <cellStyle name="Total 2 6 3 3 10 5" xfId="31646"/>
    <cellStyle name="Total 2 6 3 3 10 6" xfId="40239"/>
    <cellStyle name="Total 2 6 3 3 10 7" xfId="49746"/>
    <cellStyle name="Total 2 6 3 3 10 8" xfId="57768"/>
    <cellStyle name="Total 2 6 3 3 11" xfId="31647"/>
    <cellStyle name="Total 2 6 3 3 11 2" xfId="31648"/>
    <cellStyle name="Total 2 6 3 3 11 3" xfId="31649"/>
    <cellStyle name="Total 2 6 3 3 11 4" xfId="31650"/>
    <cellStyle name="Total 2 6 3 3 11 5" xfId="31651"/>
    <cellStyle name="Total 2 6 3 3 11 6" xfId="49747"/>
    <cellStyle name="Total 2 6 3 3 11 7" xfId="57769"/>
    <cellStyle name="Total 2 6 3 3 12" xfId="31652"/>
    <cellStyle name="Total 2 6 3 3 12 2" xfId="31653"/>
    <cellStyle name="Total 2 6 3 3 12 3" xfId="31654"/>
    <cellStyle name="Total 2 6 3 3 12 4" xfId="31655"/>
    <cellStyle name="Total 2 6 3 3 12 5" xfId="31656"/>
    <cellStyle name="Total 2 6 3 3 12 6" xfId="49748"/>
    <cellStyle name="Total 2 6 3 3 12 7" xfId="57770"/>
    <cellStyle name="Total 2 6 3 3 13" xfId="31657"/>
    <cellStyle name="Total 2 6 3 3 13 2" xfId="31658"/>
    <cellStyle name="Total 2 6 3 3 13 3" xfId="31659"/>
    <cellStyle name="Total 2 6 3 3 13 4" xfId="31660"/>
    <cellStyle name="Total 2 6 3 3 13 5" xfId="31661"/>
    <cellStyle name="Total 2 6 3 3 13 6" xfId="49749"/>
    <cellStyle name="Total 2 6 3 3 13 7" xfId="57771"/>
    <cellStyle name="Total 2 6 3 3 14" xfId="31662"/>
    <cellStyle name="Total 2 6 3 3 14 2" xfId="31663"/>
    <cellStyle name="Total 2 6 3 3 14 3" xfId="31664"/>
    <cellStyle name="Total 2 6 3 3 14 4" xfId="31665"/>
    <cellStyle name="Total 2 6 3 3 14 5" xfId="31666"/>
    <cellStyle name="Total 2 6 3 3 15" xfId="31667"/>
    <cellStyle name="Total 2 6 3 3 15 2" xfId="31668"/>
    <cellStyle name="Total 2 6 3 3 15 3" xfId="31669"/>
    <cellStyle name="Total 2 6 3 3 15 4" xfId="31670"/>
    <cellStyle name="Total 2 6 3 3 15 5" xfId="31671"/>
    <cellStyle name="Total 2 6 3 3 16" xfId="31672"/>
    <cellStyle name="Total 2 6 3 3 16 2" xfId="31673"/>
    <cellStyle name="Total 2 6 3 3 16 3" xfId="31674"/>
    <cellStyle name="Total 2 6 3 3 16 4" xfId="31675"/>
    <cellStyle name="Total 2 6 3 3 16 5" xfId="31676"/>
    <cellStyle name="Total 2 6 3 3 17" xfId="31677"/>
    <cellStyle name="Total 2 6 3 3 17 2" xfId="31678"/>
    <cellStyle name="Total 2 6 3 3 17 3" xfId="31679"/>
    <cellStyle name="Total 2 6 3 3 17 4" xfId="31680"/>
    <cellStyle name="Total 2 6 3 3 17 5" xfId="31681"/>
    <cellStyle name="Total 2 6 3 3 18" xfId="31682"/>
    <cellStyle name="Total 2 6 3 3 18 2" xfId="31683"/>
    <cellStyle name="Total 2 6 3 3 18 3" xfId="31684"/>
    <cellStyle name="Total 2 6 3 3 18 4" xfId="31685"/>
    <cellStyle name="Total 2 6 3 3 18 5" xfId="31686"/>
    <cellStyle name="Total 2 6 3 3 19" xfId="31687"/>
    <cellStyle name="Total 2 6 3 3 2" xfId="665"/>
    <cellStyle name="Total 2 6 3 3 2 10" xfId="31688"/>
    <cellStyle name="Total 2 6 3 3 2 10 2" xfId="31689"/>
    <cellStyle name="Total 2 6 3 3 2 10 3" xfId="31690"/>
    <cellStyle name="Total 2 6 3 3 2 10 4" xfId="31691"/>
    <cellStyle name="Total 2 6 3 3 2 10 5" xfId="31692"/>
    <cellStyle name="Total 2 6 3 3 2 10 6" xfId="49750"/>
    <cellStyle name="Total 2 6 3 3 2 10 7" xfId="57772"/>
    <cellStyle name="Total 2 6 3 3 2 11" xfId="31693"/>
    <cellStyle name="Total 2 6 3 3 2 11 2" xfId="31694"/>
    <cellStyle name="Total 2 6 3 3 2 11 3" xfId="31695"/>
    <cellStyle name="Total 2 6 3 3 2 11 4" xfId="31696"/>
    <cellStyle name="Total 2 6 3 3 2 11 5" xfId="31697"/>
    <cellStyle name="Total 2 6 3 3 2 12" xfId="31698"/>
    <cellStyle name="Total 2 6 3 3 2 12 2" xfId="31699"/>
    <cellStyle name="Total 2 6 3 3 2 12 3" xfId="31700"/>
    <cellStyle name="Total 2 6 3 3 2 12 4" xfId="31701"/>
    <cellStyle name="Total 2 6 3 3 2 12 5" xfId="31702"/>
    <cellStyle name="Total 2 6 3 3 2 13" xfId="31703"/>
    <cellStyle name="Total 2 6 3 3 2 13 2" xfId="31704"/>
    <cellStyle name="Total 2 6 3 3 2 13 3" xfId="31705"/>
    <cellStyle name="Total 2 6 3 3 2 13 4" xfId="31706"/>
    <cellStyle name="Total 2 6 3 3 2 13 5" xfId="31707"/>
    <cellStyle name="Total 2 6 3 3 2 14" xfId="31708"/>
    <cellStyle name="Total 2 6 3 3 2 14 2" xfId="31709"/>
    <cellStyle name="Total 2 6 3 3 2 14 3" xfId="31710"/>
    <cellStyle name="Total 2 6 3 3 2 14 4" xfId="31711"/>
    <cellStyle name="Total 2 6 3 3 2 14 5" xfId="31712"/>
    <cellStyle name="Total 2 6 3 3 2 15" xfId="31713"/>
    <cellStyle name="Total 2 6 3 3 2 15 2" xfId="31714"/>
    <cellStyle name="Total 2 6 3 3 2 15 3" xfId="31715"/>
    <cellStyle name="Total 2 6 3 3 2 15 4" xfId="31716"/>
    <cellStyle name="Total 2 6 3 3 2 15 5" xfId="31717"/>
    <cellStyle name="Total 2 6 3 3 2 16" xfId="31718"/>
    <cellStyle name="Total 2 6 3 3 2 16 2" xfId="31719"/>
    <cellStyle name="Total 2 6 3 3 2 16 3" xfId="31720"/>
    <cellStyle name="Total 2 6 3 3 2 16 4" xfId="31721"/>
    <cellStyle name="Total 2 6 3 3 2 16 5" xfId="31722"/>
    <cellStyle name="Total 2 6 3 3 2 17" xfId="31723"/>
    <cellStyle name="Total 2 6 3 3 2 17 2" xfId="31724"/>
    <cellStyle name="Total 2 6 3 3 2 17 3" xfId="31725"/>
    <cellStyle name="Total 2 6 3 3 2 17 4" xfId="31726"/>
    <cellStyle name="Total 2 6 3 3 2 17 5" xfId="31727"/>
    <cellStyle name="Total 2 6 3 3 2 18" xfId="31728"/>
    <cellStyle name="Total 2 6 3 3 2 18 2" xfId="31729"/>
    <cellStyle name="Total 2 6 3 3 2 18 3" xfId="31730"/>
    <cellStyle name="Total 2 6 3 3 2 18 4" xfId="31731"/>
    <cellStyle name="Total 2 6 3 3 2 18 5" xfId="31732"/>
    <cellStyle name="Total 2 6 3 3 2 19" xfId="31733"/>
    <cellStyle name="Total 2 6 3 3 2 2" xfId="2951"/>
    <cellStyle name="Total 2 6 3 3 2 2 2" xfId="31734"/>
    <cellStyle name="Total 2 6 3 3 2 2 2 2" xfId="49752"/>
    <cellStyle name="Total 2 6 3 3 2 2 2 3" xfId="57774"/>
    <cellStyle name="Total 2 6 3 3 2 2 3" xfId="31735"/>
    <cellStyle name="Total 2 6 3 3 2 2 4" xfId="31736"/>
    <cellStyle name="Total 2 6 3 3 2 2 5" xfId="31737"/>
    <cellStyle name="Total 2 6 3 3 2 2 6" xfId="36468"/>
    <cellStyle name="Total 2 6 3 3 2 2 7" xfId="49751"/>
    <cellStyle name="Total 2 6 3 3 2 2 8" xfId="57773"/>
    <cellStyle name="Total 2 6 3 3 2 20" xfId="1093"/>
    <cellStyle name="Total 2 6 3 3 2 21" xfId="35173"/>
    <cellStyle name="Total 2 6 3 3 2 22" xfId="41393"/>
    <cellStyle name="Total 2 6 3 3 2 3" xfId="2952"/>
    <cellStyle name="Total 2 6 3 3 2 3 2" xfId="31738"/>
    <cellStyle name="Total 2 6 3 3 2 3 3" xfId="31739"/>
    <cellStyle name="Total 2 6 3 3 2 3 4" xfId="31740"/>
    <cellStyle name="Total 2 6 3 3 2 3 5" xfId="31741"/>
    <cellStyle name="Total 2 6 3 3 2 3 6" xfId="36965"/>
    <cellStyle name="Total 2 6 3 3 2 3 7" xfId="49753"/>
    <cellStyle name="Total 2 6 3 3 2 3 8" xfId="57775"/>
    <cellStyle name="Total 2 6 3 3 2 4" xfId="1497"/>
    <cellStyle name="Total 2 6 3 3 2 4 2" xfId="31742"/>
    <cellStyle name="Total 2 6 3 3 2 4 3" xfId="31743"/>
    <cellStyle name="Total 2 6 3 3 2 4 4" xfId="31744"/>
    <cellStyle name="Total 2 6 3 3 2 4 5" xfId="31745"/>
    <cellStyle name="Total 2 6 3 3 2 4 6" xfId="37581"/>
    <cellStyle name="Total 2 6 3 3 2 4 7" xfId="49754"/>
    <cellStyle name="Total 2 6 3 3 2 4 8" xfId="57776"/>
    <cellStyle name="Total 2 6 3 3 2 5" xfId="3567"/>
    <cellStyle name="Total 2 6 3 3 2 5 2" xfId="31746"/>
    <cellStyle name="Total 2 6 3 3 2 5 3" xfId="31747"/>
    <cellStyle name="Total 2 6 3 3 2 5 4" xfId="31748"/>
    <cellStyle name="Total 2 6 3 3 2 5 5" xfId="31749"/>
    <cellStyle name="Total 2 6 3 3 2 5 6" xfId="38198"/>
    <cellStyle name="Total 2 6 3 3 2 5 7" xfId="49755"/>
    <cellStyle name="Total 2 6 3 3 2 5 8" xfId="57777"/>
    <cellStyle name="Total 2 6 3 3 2 6" xfId="3885"/>
    <cellStyle name="Total 2 6 3 3 2 6 2" xfId="31750"/>
    <cellStyle name="Total 2 6 3 3 2 6 3" xfId="31751"/>
    <cellStyle name="Total 2 6 3 3 2 6 4" xfId="31752"/>
    <cellStyle name="Total 2 6 3 3 2 6 5" xfId="31753"/>
    <cellStyle name="Total 2 6 3 3 2 6 6" xfId="38816"/>
    <cellStyle name="Total 2 6 3 3 2 6 7" xfId="49756"/>
    <cellStyle name="Total 2 6 3 3 2 6 8" xfId="57778"/>
    <cellStyle name="Total 2 6 3 3 2 7" xfId="31754"/>
    <cellStyle name="Total 2 6 3 3 2 7 2" xfId="31755"/>
    <cellStyle name="Total 2 6 3 3 2 7 3" xfId="31756"/>
    <cellStyle name="Total 2 6 3 3 2 7 4" xfId="31757"/>
    <cellStyle name="Total 2 6 3 3 2 7 5" xfId="31758"/>
    <cellStyle name="Total 2 6 3 3 2 7 6" xfId="39436"/>
    <cellStyle name="Total 2 6 3 3 2 7 7" xfId="49757"/>
    <cellStyle name="Total 2 6 3 3 2 7 8" xfId="57779"/>
    <cellStyle name="Total 2 6 3 3 2 8" xfId="31759"/>
    <cellStyle name="Total 2 6 3 3 2 8 2" xfId="31760"/>
    <cellStyle name="Total 2 6 3 3 2 8 3" xfId="31761"/>
    <cellStyle name="Total 2 6 3 3 2 8 4" xfId="31762"/>
    <cellStyle name="Total 2 6 3 3 2 8 5" xfId="31763"/>
    <cellStyle name="Total 2 6 3 3 2 8 6" xfId="40052"/>
    <cellStyle name="Total 2 6 3 3 2 8 7" xfId="49758"/>
    <cellStyle name="Total 2 6 3 3 2 8 8" xfId="57780"/>
    <cellStyle name="Total 2 6 3 3 2 9" xfId="31764"/>
    <cellStyle name="Total 2 6 3 3 2 9 2" xfId="31765"/>
    <cellStyle name="Total 2 6 3 3 2 9 3" xfId="31766"/>
    <cellStyle name="Total 2 6 3 3 2 9 4" xfId="31767"/>
    <cellStyle name="Total 2 6 3 3 2 9 5" xfId="31768"/>
    <cellStyle name="Total 2 6 3 3 2 9 6" xfId="40667"/>
    <cellStyle name="Total 2 6 3 3 2 9 7" xfId="49759"/>
    <cellStyle name="Total 2 6 3 3 2 9 8" xfId="57781"/>
    <cellStyle name="Total 2 6 3 3 20" xfId="881"/>
    <cellStyle name="Total 2 6 3 3 21" xfId="34557"/>
    <cellStyle name="Total 2 6 3 3 22" xfId="40965"/>
    <cellStyle name="Total 2 6 3 3 23" xfId="41526"/>
    <cellStyle name="Total 2 6 3 3 24" xfId="50613"/>
    <cellStyle name="Total 2 6 3 3 3" xfId="2953"/>
    <cellStyle name="Total 2 6 3 3 3 10" xfId="34568"/>
    <cellStyle name="Total 2 6 3 3 3 10 2" xfId="49761"/>
    <cellStyle name="Total 2 6 3 3 3 10 3" xfId="57783"/>
    <cellStyle name="Total 2 6 3 3 3 11" xfId="41180"/>
    <cellStyle name="Total 2 6 3 3 3 12" xfId="49760"/>
    <cellStyle name="Total 2 6 3 3 3 13" xfId="57782"/>
    <cellStyle name="Total 2 6 3 3 3 2" xfId="2954"/>
    <cellStyle name="Total 2 6 3 3 3 2 2" xfId="36257"/>
    <cellStyle name="Total 2 6 3 3 3 2 3" xfId="49762"/>
    <cellStyle name="Total 2 6 3 3 3 2 4" xfId="57784"/>
    <cellStyle name="Total 2 6 3 3 3 3" xfId="2955"/>
    <cellStyle name="Total 2 6 3 3 3 3 2" xfId="36754"/>
    <cellStyle name="Total 2 6 3 3 3 3 3" xfId="49763"/>
    <cellStyle name="Total 2 6 3 3 3 3 4" xfId="57785"/>
    <cellStyle name="Total 2 6 3 3 3 4" xfId="31769"/>
    <cellStyle name="Total 2 6 3 3 3 4 2" xfId="37370"/>
    <cellStyle name="Total 2 6 3 3 3 4 3" xfId="49764"/>
    <cellStyle name="Total 2 6 3 3 3 4 4" xfId="57786"/>
    <cellStyle name="Total 2 6 3 3 3 5" xfId="31770"/>
    <cellStyle name="Total 2 6 3 3 3 5 2" xfId="37986"/>
    <cellStyle name="Total 2 6 3 3 3 5 3" xfId="49765"/>
    <cellStyle name="Total 2 6 3 3 3 5 4" xfId="57787"/>
    <cellStyle name="Total 2 6 3 3 3 6" xfId="38603"/>
    <cellStyle name="Total 2 6 3 3 3 6 2" xfId="49766"/>
    <cellStyle name="Total 2 6 3 3 3 6 3" xfId="57788"/>
    <cellStyle name="Total 2 6 3 3 3 7" xfId="39223"/>
    <cellStyle name="Total 2 6 3 3 3 7 2" xfId="49767"/>
    <cellStyle name="Total 2 6 3 3 3 7 3" xfId="57789"/>
    <cellStyle name="Total 2 6 3 3 3 8" xfId="39839"/>
    <cellStyle name="Total 2 6 3 3 3 8 2" xfId="49768"/>
    <cellStyle name="Total 2 6 3 3 3 8 3" xfId="57790"/>
    <cellStyle name="Total 2 6 3 3 3 9" xfId="40454"/>
    <cellStyle name="Total 2 6 3 3 3 9 2" xfId="49769"/>
    <cellStyle name="Total 2 6 3 3 3 9 3" xfId="57791"/>
    <cellStyle name="Total 2 6 3 3 4" xfId="2956"/>
    <cellStyle name="Total 2 6 3 3 4 10" xfId="49770"/>
    <cellStyle name="Total 2 6 3 3 4 11" xfId="57792"/>
    <cellStyle name="Total 2 6 3 3 4 2" xfId="31771"/>
    <cellStyle name="Total 2 6 3 3 4 2 2" xfId="49771"/>
    <cellStyle name="Total 2 6 3 3 4 2 3" xfId="57793"/>
    <cellStyle name="Total 2 6 3 3 4 3" xfId="31772"/>
    <cellStyle name="Total 2 6 3 3 4 3 2" xfId="49772"/>
    <cellStyle name="Total 2 6 3 3 4 3 3" xfId="57794"/>
    <cellStyle name="Total 2 6 3 3 4 4" xfId="31773"/>
    <cellStyle name="Total 2 6 3 3 4 4 2" xfId="49773"/>
    <cellStyle name="Total 2 6 3 3 4 4 3" xfId="57795"/>
    <cellStyle name="Total 2 6 3 3 4 5" xfId="31774"/>
    <cellStyle name="Total 2 6 3 3 4 5 2" xfId="49774"/>
    <cellStyle name="Total 2 6 3 3 4 5 3" xfId="57796"/>
    <cellStyle name="Total 2 6 3 3 4 6" xfId="36542"/>
    <cellStyle name="Total 2 6 3 3 4 6 2" xfId="49775"/>
    <cellStyle name="Total 2 6 3 3 4 6 3" xfId="57797"/>
    <cellStyle name="Total 2 6 3 3 4 7" xfId="49776"/>
    <cellStyle name="Total 2 6 3 3 4 7 2" xfId="57798"/>
    <cellStyle name="Total 2 6 3 3 4 8" xfId="49777"/>
    <cellStyle name="Total 2 6 3 3 4 8 2" xfId="57799"/>
    <cellStyle name="Total 2 6 3 3 4 9" xfId="49778"/>
    <cellStyle name="Total 2 6 3 3 4 9 2" xfId="57800"/>
    <cellStyle name="Total 2 6 3 3 5" xfId="1496"/>
    <cellStyle name="Total 2 6 3 3 5 2" xfId="31775"/>
    <cellStyle name="Total 2 6 3 3 5 3" xfId="31776"/>
    <cellStyle name="Total 2 6 3 3 5 4" xfId="31777"/>
    <cellStyle name="Total 2 6 3 3 5 5" xfId="31778"/>
    <cellStyle name="Total 2 6 3 3 5 6" xfId="37158"/>
    <cellStyle name="Total 2 6 3 3 5 7" xfId="49779"/>
    <cellStyle name="Total 2 6 3 3 5 8" xfId="57801"/>
    <cellStyle name="Total 2 6 3 3 6" xfId="3566"/>
    <cellStyle name="Total 2 6 3 3 6 2" xfId="31779"/>
    <cellStyle name="Total 2 6 3 3 6 3" xfId="31780"/>
    <cellStyle name="Total 2 6 3 3 6 4" xfId="31781"/>
    <cellStyle name="Total 2 6 3 3 6 5" xfId="31782"/>
    <cellStyle name="Total 2 6 3 3 6 6" xfId="37772"/>
    <cellStyle name="Total 2 6 3 3 6 7" xfId="49780"/>
    <cellStyle name="Total 2 6 3 3 6 8" xfId="57802"/>
    <cellStyle name="Total 2 6 3 3 7" xfId="3884"/>
    <cellStyle name="Total 2 6 3 3 7 2" xfId="31783"/>
    <cellStyle name="Total 2 6 3 3 7 3" xfId="31784"/>
    <cellStyle name="Total 2 6 3 3 7 4" xfId="31785"/>
    <cellStyle name="Total 2 6 3 3 7 5" xfId="31786"/>
    <cellStyle name="Total 2 6 3 3 7 6" xfId="38388"/>
    <cellStyle name="Total 2 6 3 3 7 7" xfId="49781"/>
    <cellStyle name="Total 2 6 3 3 7 8" xfId="57803"/>
    <cellStyle name="Total 2 6 3 3 8" xfId="31787"/>
    <cellStyle name="Total 2 6 3 3 8 2" xfId="31788"/>
    <cellStyle name="Total 2 6 3 3 8 3" xfId="31789"/>
    <cellStyle name="Total 2 6 3 3 8 4" xfId="31790"/>
    <cellStyle name="Total 2 6 3 3 8 5" xfId="31791"/>
    <cellStyle name="Total 2 6 3 3 8 6" xfId="39008"/>
    <cellStyle name="Total 2 6 3 3 8 7" xfId="49782"/>
    <cellStyle name="Total 2 6 3 3 8 8" xfId="57804"/>
    <cellStyle name="Total 2 6 3 3 9" xfId="31792"/>
    <cellStyle name="Total 2 6 3 3 9 2" xfId="31793"/>
    <cellStyle name="Total 2 6 3 3 9 3" xfId="31794"/>
    <cellStyle name="Total 2 6 3 3 9 4" xfId="31795"/>
    <cellStyle name="Total 2 6 3 3 9 5" xfId="31796"/>
    <cellStyle name="Total 2 6 3 3 9 6" xfId="39624"/>
    <cellStyle name="Total 2 6 3 3 9 7" xfId="49783"/>
    <cellStyle name="Total 2 6 3 3 9 8" xfId="57805"/>
    <cellStyle name="Total 2 6 3 4" xfId="540"/>
    <cellStyle name="Total 2 6 3 4 10" xfId="31797"/>
    <cellStyle name="Total 2 6 3 4 10 2" xfId="31798"/>
    <cellStyle name="Total 2 6 3 4 10 3" xfId="31799"/>
    <cellStyle name="Total 2 6 3 4 10 4" xfId="31800"/>
    <cellStyle name="Total 2 6 3 4 10 5" xfId="31801"/>
    <cellStyle name="Total 2 6 3 4 10 6" xfId="49784"/>
    <cellStyle name="Total 2 6 3 4 10 7" xfId="57806"/>
    <cellStyle name="Total 2 6 3 4 11" xfId="31802"/>
    <cellStyle name="Total 2 6 3 4 11 2" xfId="31803"/>
    <cellStyle name="Total 2 6 3 4 11 3" xfId="31804"/>
    <cellStyle name="Total 2 6 3 4 11 4" xfId="31805"/>
    <cellStyle name="Total 2 6 3 4 11 5" xfId="31806"/>
    <cellStyle name="Total 2 6 3 4 12" xfId="31807"/>
    <cellStyle name="Total 2 6 3 4 12 2" xfId="31808"/>
    <cellStyle name="Total 2 6 3 4 12 3" xfId="31809"/>
    <cellStyle name="Total 2 6 3 4 12 4" xfId="31810"/>
    <cellStyle name="Total 2 6 3 4 12 5" xfId="31811"/>
    <cellStyle name="Total 2 6 3 4 13" xfId="31812"/>
    <cellStyle name="Total 2 6 3 4 13 2" xfId="31813"/>
    <cellStyle name="Total 2 6 3 4 13 3" xfId="31814"/>
    <cellStyle name="Total 2 6 3 4 13 4" xfId="31815"/>
    <cellStyle name="Total 2 6 3 4 13 5" xfId="31816"/>
    <cellStyle name="Total 2 6 3 4 14" xfId="31817"/>
    <cellStyle name="Total 2 6 3 4 14 2" xfId="31818"/>
    <cellStyle name="Total 2 6 3 4 14 3" xfId="31819"/>
    <cellStyle name="Total 2 6 3 4 14 4" xfId="31820"/>
    <cellStyle name="Total 2 6 3 4 14 5" xfId="31821"/>
    <cellStyle name="Total 2 6 3 4 15" xfId="31822"/>
    <cellStyle name="Total 2 6 3 4 15 2" xfId="31823"/>
    <cellStyle name="Total 2 6 3 4 15 3" xfId="31824"/>
    <cellStyle name="Total 2 6 3 4 15 4" xfId="31825"/>
    <cellStyle name="Total 2 6 3 4 15 5" xfId="31826"/>
    <cellStyle name="Total 2 6 3 4 16" xfId="31827"/>
    <cellStyle name="Total 2 6 3 4 16 2" xfId="31828"/>
    <cellStyle name="Total 2 6 3 4 16 3" xfId="31829"/>
    <cellStyle name="Total 2 6 3 4 16 4" xfId="31830"/>
    <cellStyle name="Total 2 6 3 4 16 5" xfId="31831"/>
    <cellStyle name="Total 2 6 3 4 17" xfId="31832"/>
    <cellStyle name="Total 2 6 3 4 17 2" xfId="31833"/>
    <cellStyle name="Total 2 6 3 4 17 3" xfId="31834"/>
    <cellStyle name="Total 2 6 3 4 17 4" xfId="31835"/>
    <cellStyle name="Total 2 6 3 4 17 5" xfId="31836"/>
    <cellStyle name="Total 2 6 3 4 18" xfId="31837"/>
    <cellStyle name="Total 2 6 3 4 18 2" xfId="31838"/>
    <cellStyle name="Total 2 6 3 4 18 3" xfId="31839"/>
    <cellStyle name="Total 2 6 3 4 18 4" xfId="31840"/>
    <cellStyle name="Total 2 6 3 4 18 5" xfId="31841"/>
    <cellStyle name="Total 2 6 3 4 19" xfId="31842"/>
    <cellStyle name="Total 2 6 3 4 2" xfId="2957"/>
    <cellStyle name="Total 2 6 3 4 2 2" xfId="31843"/>
    <cellStyle name="Total 2 6 3 4 2 2 2" xfId="49786"/>
    <cellStyle name="Total 2 6 3 4 2 2 3" xfId="57808"/>
    <cellStyle name="Total 2 6 3 4 2 3" xfId="31844"/>
    <cellStyle name="Total 2 6 3 4 2 4" xfId="31845"/>
    <cellStyle name="Total 2 6 3 4 2 5" xfId="31846"/>
    <cellStyle name="Total 2 6 3 4 2 6" xfId="36344"/>
    <cellStyle name="Total 2 6 3 4 2 7" xfId="49785"/>
    <cellStyle name="Total 2 6 3 4 2 8" xfId="57807"/>
    <cellStyle name="Total 2 6 3 4 20" xfId="969"/>
    <cellStyle name="Total 2 6 3 4 21" xfId="35049"/>
    <cellStyle name="Total 2 6 3 4 22" xfId="40758"/>
    <cellStyle name="Total 2 6 3 4 23" xfId="41268"/>
    <cellStyle name="Total 2 6 3 4 3" xfId="2958"/>
    <cellStyle name="Total 2 6 3 4 3 2" xfId="31847"/>
    <cellStyle name="Total 2 6 3 4 3 3" xfId="31848"/>
    <cellStyle name="Total 2 6 3 4 3 4" xfId="31849"/>
    <cellStyle name="Total 2 6 3 4 3 5" xfId="31850"/>
    <cellStyle name="Total 2 6 3 4 3 6" xfId="36841"/>
    <cellStyle name="Total 2 6 3 4 3 7" xfId="49787"/>
    <cellStyle name="Total 2 6 3 4 3 8" xfId="57809"/>
    <cellStyle name="Total 2 6 3 4 4" xfId="1498"/>
    <cellStyle name="Total 2 6 3 4 4 2" xfId="31851"/>
    <cellStyle name="Total 2 6 3 4 4 3" xfId="31852"/>
    <cellStyle name="Total 2 6 3 4 4 4" xfId="31853"/>
    <cellStyle name="Total 2 6 3 4 4 5" xfId="31854"/>
    <cellStyle name="Total 2 6 3 4 4 6" xfId="37457"/>
    <cellStyle name="Total 2 6 3 4 4 7" xfId="49788"/>
    <cellStyle name="Total 2 6 3 4 4 8" xfId="57810"/>
    <cellStyle name="Total 2 6 3 4 5" xfId="3568"/>
    <cellStyle name="Total 2 6 3 4 5 2" xfId="31855"/>
    <cellStyle name="Total 2 6 3 4 5 3" xfId="31856"/>
    <cellStyle name="Total 2 6 3 4 5 4" xfId="31857"/>
    <cellStyle name="Total 2 6 3 4 5 5" xfId="31858"/>
    <cellStyle name="Total 2 6 3 4 5 6" xfId="38073"/>
    <cellStyle name="Total 2 6 3 4 5 7" xfId="49789"/>
    <cellStyle name="Total 2 6 3 4 5 8" xfId="57811"/>
    <cellStyle name="Total 2 6 3 4 6" xfId="3886"/>
    <cellStyle name="Total 2 6 3 4 6 2" xfId="31859"/>
    <cellStyle name="Total 2 6 3 4 6 3" xfId="31860"/>
    <cellStyle name="Total 2 6 3 4 6 4" xfId="31861"/>
    <cellStyle name="Total 2 6 3 4 6 5" xfId="31862"/>
    <cellStyle name="Total 2 6 3 4 6 6" xfId="38691"/>
    <cellStyle name="Total 2 6 3 4 6 7" xfId="49790"/>
    <cellStyle name="Total 2 6 3 4 6 8" xfId="57812"/>
    <cellStyle name="Total 2 6 3 4 7" xfId="31863"/>
    <cellStyle name="Total 2 6 3 4 7 2" xfId="31864"/>
    <cellStyle name="Total 2 6 3 4 7 3" xfId="31865"/>
    <cellStyle name="Total 2 6 3 4 7 4" xfId="31866"/>
    <cellStyle name="Total 2 6 3 4 7 5" xfId="31867"/>
    <cellStyle name="Total 2 6 3 4 7 6" xfId="39311"/>
    <cellStyle name="Total 2 6 3 4 7 7" xfId="49791"/>
    <cellStyle name="Total 2 6 3 4 7 8" xfId="57813"/>
    <cellStyle name="Total 2 6 3 4 8" xfId="31868"/>
    <cellStyle name="Total 2 6 3 4 8 2" xfId="31869"/>
    <cellStyle name="Total 2 6 3 4 8 3" xfId="31870"/>
    <cellStyle name="Total 2 6 3 4 8 4" xfId="31871"/>
    <cellStyle name="Total 2 6 3 4 8 5" xfId="31872"/>
    <cellStyle name="Total 2 6 3 4 8 6" xfId="39927"/>
    <cellStyle name="Total 2 6 3 4 8 7" xfId="49792"/>
    <cellStyle name="Total 2 6 3 4 8 8" xfId="57814"/>
    <cellStyle name="Total 2 6 3 4 9" xfId="31873"/>
    <cellStyle name="Total 2 6 3 4 9 2" xfId="31874"/>
    <cellStyle name="Total 2 6 3 4 9 3" xfId="31875"/>
    <cellStyle name="Total 2 6 3 4 9 4" xfId="31876"/>
    <cellStyle name="Total 2 6 3 4 9 5" xfId="31877"/>
    <cellStyle name="Total 2 6 3 4 9 6" xfId="40542"/>
    <cellStyle name="Total 2 6 3 4 9 7" xfId="49793"/>
    <cellStyle name="Total 2 6 3 4 9 8" xfId="57815"/>
    <cellStyle name="Total 2 6 3 5" xfId="2959"/>
    <cellStyle name="Total 2 6 3 5 10" xfId="34635"/>
    <cellStyle name="Total 2 6 3 5 10 2" xfId="49795"/>
    <cellStyle name="Total 2 6 3 5 10 3" xfId="57817"/>
    <cellStyle name="Total 2 6 3 5 11" xfId="41054"/>
    <cellStyle name="Total 2 6 3 5 12" xfId="49794"/>
    <cellStyle name="Total 2 6 3 5 13" xfId="57816"/>
    <cellStyle name="Total 2 6 3 5 2" xfId="2960"/>
    <cellStyle name="Total 2 6 3 5 2 2" xfId="36131"/>
    <cellStyle name="Total 2 6 3 5 2 3" xfId="49796"/>
    <cellStyle name="Total 2 6 3 5 2 4" xfId="57818"/>
    <cellStyle name="Total 2 6 3 5 3" xfId="2961"/>
    <cellStyle name="Total 2 6 3 5 3 2" xfId="36630"/>
    <cellStyle name="Total 2 6 3 5 3 3" xfId="49797"/>
    <cellStyle name="Total 2 6 3 5 3 4" xfId="57819"/>
    <cellStyle name="Total 2 6 3 5 4" xfId="31878"/>
    <cellStyle name="Total 2 6 3 5 4 2" xfId="37246"/>
    <cellStyle name="Total 2 6 3 5 4 3" xfId="49798"/>
    <cellStyle name="Total 2 6 3 5 4 4" xfId="57820"/>
    <cellStyle name="Total 2 6 3 5 5" xfId="31879"/>
    <cellStyle name="Total 2 6 3 5 5 2" xfId="37862"/>
    <cellStyle name="Total 2 6 3 5 5 3" xfId="49799"/>
    <cellStyle name="Total 2 6 3 5 5 4" xfId="57821"/>
    <cellStyle name="Total 2 6 3 5 6" xfId="38477"/>
    <cellStyle name="Total 2 6 3 5 6 2" xfId="49800"/>
    <cellStyle name="Total 2 6 3 5 6 3" xfId="57822"/>
    <cellStyle name="Total 2 6 3 5 7" xfId="39097"/>
    <cellStyle name="Total 2 6 3 5 7 2" xfId="49801"/>
    <cellStyle name="Total 2 6 3 5 7 3" xfId="57823"/>
    <cellStyle name="Total 2 6 3 5 8" xfId="39713"/>
    <cellStyle name="Total 2 6 3 5 8 2" xfId="49802"/>
    <cellStyle name="Total 2 6 3 5 8 3" xfId="57824"/>
    <cellStyle name="Total 2 6 3 5 9" xfId="40328"/>
    <cellStyle name="Total 2 6 3 5 9 2" xfId="49803"/>
    <cellStyle name="Total 2 6 3 5 9 3" xfId="57825"/>
    <cellStyle name="Total 2 6 3 6" xfId="1493"/>
    <cellStyle name="Total 2 6 3 6 10" xfId="49804"/>
    <cellStyle name="Total 2 6 3 6 11" xfId="57826"/>
    <cellStyle name="Total 2 6 3 6 2" xfId="31880"/>
    <cellStyle name="Total 2 6 3 6 2 2" xfId="49805"/>
    <cellStyle name="Total 2 6 3 6 2 3" xfId="57827"/>
    <cellStyle name="Total 2 6 3 6 3" xfId="31881"/>
    <cellStyle name="Total 2 6 3 6 3 2" xfId="49806"/>
    <cellStyle name="Total 2 6 3 6 3 3" xfId="57828"/>
    <cellStyle name="Total 2 6 3 6 4" xfId="31882"/>
    <cellStyle name="Total 2 6 3 6 4 2" xfId="49807"/>
    <cellStyle name="Total 2 6 3 6 4 3" xfId="57829"/>
    <cellStyle name="Total 2 6 3 6 5" xfId="31883"/>
    <cellStyle name="Total 2 6 3 6 5 2" xfId="49808"/>
    <cellStyle name="Total 2 6 3 6 5 3" xfId="57830"/>
    <cellStyle name="Total 2 6 3 6 6" xfId="35449"/>
    <cellStyle name="Total 2 6 3 6 6 2" xfId="49809"/>
    <cellStyle name="Total 2 6 3 6 6 3" xfId="57831"/>
    <cellStyle name="Total 2 6 3 6 7" xfId="49810"/>
    <cellStyle name="Total 2 6 3 6 7 2" xfId="57832"/>
    <cellStyle name="Total 2 6 3 6 8" xfId="49811"/>
    <cellStyle name="Total 2 6 3 6 8 2" xfId="57833"/>
    <cellStyle name="Total 2 6 3 6 9" xfId="49812"/>
    <cellStyle name="Total 2 6 3 6 9 2" xfId="57834"/>
    <cellStyle name="Total 2 6 3 7" xfId="3563"/>
    <cellStyle name="Total 2 6 3 7 2" xfId="31884"/>
    <cellStyle name="Total 2 6 3 7 3" xfId="31885"/>
    <cellStyle name="Total 2 6 3 7 4" xfId="31886"/>
    <cellStyle name="Total 2 6 3 7 5" xfId="31887"/>
    <cellStyle name="Total 2 6 3 7 6" xfId="35981"/>
    <cellStyle name="Total 2 6 3 7 7" xfId="49813"/>
    <cellStyle name="Total 2 6 3 7 8" xfId="57835"/>
    <cellStyle name="Total 2 6 3 8" xfId="3881"/>
    <cellStyle name="Total 2 6 3 8 2" xfId="31888"/>
    <cellStyle name="Total 2 6 3 8 3" xfId="31889"/>
    <cellStyle name="Total 2 6 3 8 4" xfId="31890"/>
    <cellStyle name="Total 2 6 3 8 5" xfId="31891"/>
    <cellStyle name="Total 2 6 3 8 6" xfId="35796"/>
    <cellStyle name="Total 2 6 3 8 7" xfId="49814"/>
    <cellStyle name="Total 2 6 3 8 8" xfId="57836"/>
    <cellStyle name="Total 2 6 3 9" xfId="31892"/>
    <cellStyle name="Total 2 6 3 9 2" xfId="31893"/>
    <cellStyle name="Total 2 6 3 9 3" xfId="31894"/>
    <cellStyle name="Total 2 6 3 9 4" xfId="31895"/>
    <cellStyle name="Total 2 6 3 9 5" xfId="31896"/>
    <cellStyle name="Total 2 6 3 9 6" xfId="37026"/>
    <cellStyle name="Total 2 6 3 9 7" xfId="49815"/>
    <cellStyle name="Total 2 6 3 9 8" xfId="57837"/>
    <cellStyle name="Total 2 6 4" xfId="451"/>
    <cellStyle name="Total 2 6 4 10" xfId="31897"/>
    <cellStyle name="Total 2 6 4 10 2" xfId="31898"/>
    <cellStyle name="Total 2 6 4 10 3" xfId="31899"/>
    <cellStyle name="Total 2 6 4 10 4" xfId="31900"/>
    <cellStyle name="Total 2 6 4 10 5" xfId="31901"/>
    <cellStyle name="Total 2 6 4 10 6" xfId="39625"/>
    <cellStyle name="Total 2 6 4 10 7" xfId="49816"/>
    <cellStyle name="Total 2 6 4 10 8" xfId="57838"/>
    <cellStyle name="Total 2 6 4 11" xfId="31902"/>
    <cellStyle name="Total 2 6 4 11 2" xfId="31903"/>
    <cellStyle name="Total 2 6 4 11 3" xfId="31904"/>
    <cellStyle name="Total 2 6 4 11 4" xfId="31905"/>
    <cellStyle name="Total 2 6 4 11 5" xfId="31906"/>
    <cellStyle name="Total 2 6 4 11 6" xfId="40240"/>
    <cellStyle name="Total 2 6 4 11 7" xfId="49817"/>
    <cellStyle name="Total 2 6 4 11 8" xfId="57839"/>
    <cellStyle name="Total 2 6 4 12" xfId="31907"/>
    <cellStyle name="Total 2 6 4 12 2" xfId="31908"/>
    <cellStyle name="Total 2 6 4 12 3" xfId="31909"/>
    <cellStyle name="Total 2 6 4 12 4" xfId="31910"/>
    <cellStyle name="Total 2 6 4 12 5" xfId="31911"/>
    <cellStyle name="Total 2 6 4 12 6" xfId="49818"/>
    <cellStyle name="Total 2 6 4 12 7" xfId="57840"/>
    <cellStyle name="Total 2 6 4 13" xfId="31912"/>
    <cellStyle name="Total 2 6 4 13 2" xfId="31913"/>
    <cellStyle name="Total 2 6 4 13 3" xfId="31914"/>
    <cellStyle name="Total 2 6 4 13 4" xfId="31915"/>
    <cellStyle name="Total 2 6 4 13 5" xfId="31916"/>
    <cellStyle name="Total 2 6 4 13 6" xfId="49819"/>
    <cellStyle name="Total 2 6 4 13 7" xfId="57841"/>
    <cellStyle name="Total 2 6 4 14" xfId="31917"/>
    <cellStyle name="Total 2 6 4 14 2" xfId="31918"/>
    <cellStyle name="Total 2 6 4 14 3" xfId="31919"/>
    <cellStyle name="Total 2 6 4 14 4" xfId="31920"/>
    <cellStyle name="Total 2 6 4 14 5" xfId="31921"/>
    <cellStyle name="Total 2 6 4 15" xfId="31922"/>
    <cellStyle name="Total 2 6 4 15 2" xfId="31923"/>
    <cellStyle name="Total 2 6 4 15 3" xfId="31924"/>
    <cellStyle name="Total 2 6 4 15 4" xfId="31925"/>
    <cellStyle name="Total 2 6 4 15 5" xfId="31926"/>
    <cellStyle name="Total 2 6 4 16" xfId="31927"/>
    <cellStyle name="Total 2 6 4 16 2" xfId="31928"/>
    <cellStyle name="Total 2 6 4 16 3" xfId="31929"/>
    <cellStyle name="Total 2 6 4 16 4" xfId="31930"/>
    <cellStyle name="Total 2 6 4 16 5" xfId="31931"/>
    <cellStyle name="Total 2 6 4 17" xfId="31932"/>
    <cellStyle name="Total 2 6 4 17 2" xfId="31933"/>
    <cellStyle name="Total 2 6 4 17 3" xfId="31934"/>
    <cellStyle name="Total 2 6 4 17 4" xfId="31935"/>
    <cellStyle name="Total 2 6 4 17 5" xfId="31936"/>
    <cellStyle name="Total 2 6 4 18" xfId="31937"/>
    <cellStyle name="Total 2 6 4 18 2" xfId="31938"/>
    <cellStyle name="Total 2 6 4 18 3" xfId="31939"/>
    <cellStyle name="Total 2 6 4 18 4" xfId="31940"/>
    <cellStyle name="Total 2 6 4 18 5" xfId="31941"/>
    <cellStyle name="Total 2 6 4 19" xfId="31942"/>
    <cellStyle name="Total 2 6 4 2" xfId="666"/>
    <cellStyle name="Total 2 6 4 2 10" xfId="31943"/>
    <cellStyle name="Total 2 6 4 2 10 2" xfId="31944"/>
    <cellStyle name="Total 2 6 4 2 10 3" xfId="31945"/>
    <cellStyle name="Total 2 6 4 2 10 4" xfId="31946"/>
    <cellStyle name="Total 2 6 4 2 10 5" xfId="31947"/>
    <cellStyle name="Total 2 6 4 2 10 6" xfId="49820"/>
    <cellStyle name="Total 2 6 4 2 10 7" xfId="57842"/>
    <cellStyle name="Total 2 6 4 2 11" xfId="31948"/>
    <cellStyle name="Total 2 6 4 2 11 2" xfId="31949"/>
    <cellStyle name="Total 2 6 4 2 11 3" xfId="31950"/>
    <cellStyle name="Total 2 6 4 2 11 4" xfId="31951"/>
    <cellStyle name="Total 2 6 4 2 11 5" xfId="31952"/>
    <cellStyle name="Total 2 6 4 2 12" xfId="31953"/>
    <cellStyle name="Total 2 6 4 2 12 2" xfId="31954"/>
    <cellStyle name="Total 2 6 4 2 12 3" xfId="31955"/>
    <cellStyle name="Total 2 6 4 2 12 4" xfId="31956"/>
    <cellStyle name="Total 2 6 4 2 12 5" xfId="31957"/>
    <cellStyle name="Total 2 6 4 2 13" xfId="31958"/>
    <cellStyle name="Total 2 6 4 2 13 2" xfId="31959"/>
    <cellStyle name="Total 2 6 4 2 13 3" xfId="31960"/>
    <cellStyle name="Total 2 6 4 2 13 4" xfId="31961"/>
    <cellStyle name="Total 2 6 4 2 13 5" xfId="31962"/>
    <cellStyle name="Total 2 6 4 2 14" xfId="31963"/>
    <cellStyle name="Total 2 6 4 2 14 2" xfId="31964"/>
    <cellStyle name="Total 2 6 4 2 14 3" xfId="31965"/>
    <cellStyle name="Total 2 6 4 2 14 4" xfId="31966"/>
    <cellStyle name="Total 2 6 4 2 14 5" xfId="31967"/>
    <cellStyle name="Total 2 6 4 2 15" xfId="31968"/>
    <cellStyle name="Total 2 6 4 2 15 2" xfId="31969"/>
    <cellStyle name="Total 2 6 4 2 15 3" xfId="31970"/>
    <cellStyle name="Total 2 6 4 2 15 4" xfId="31971"/>
    <cellStyle name="Total 2 6 4 2 15 5" xfId="31972"/>
    <cellStyle name="Total 2 6 4 2 16" xfId="31973"/>
    <cellStyle name="Total 2 6 4 2 16 2" xfId="31974"/>
    <cellStyle name="Total 2 6 4 2 16 3" xfId="31975"/>
    <cellStyle name="Total 2 6 4 2 16 4" xfId="31976"/>
    <cellStyle name="Total 2 6 4 2 16 5" xfId="31977"/>
    <cellStyle name="Total 2 6 4 2 17" xfId="31978"/>
    <cellStyle name="Total 2 6 4 2 17 2" xfId="31979"/>
    <cellStyle name="Total 2 6 4 2 17 3" xfId="31980"/>
    <cellStyle name="Total 2 6 4 2 17 4" xfId="31981"/>
    <cellStyle name="Total 2 6 4 2 17 5" xfId="31982"/>
    <cellStyle name="Total 2 6 4 2 18" xfId="31983"/>
    <cellStyle name="Total 2 6 4 2 18 2" xfId="31984"/>
    <cellStyle name="Total 2 6 4 2 18 3" xfId="31985"/>
    <cellStyle name="Total 2 6 4 2 18 4" xfId="31986"/>
    <cellStyle name="Total 2 6 4 2 18 5" xfId="31987"/>
    <cellStyle name="Total 2 6 4 2 19" xfId="31988"/>
    <cellStyle name="Total 2 6 4 2 2" xfId="2962"/>
    <cellStyle name="Total 2 6 4 2 2 2" xfId="31989"/>
    <cellStyle name="Total 2 6 4 2 2 2 2" xfId="49822"/>
    <cellStyle name="Total 2 6 4 2 2 2 3" xfId="57844"/>
    <cellStyle name="Total 2 6 4 2 2 3" xfId="31990"/>
    <cellStyle name="Total 2 6 4 2 2 4" xfId="31991"/>
    <cellStyle name="Total 2 6 4 2 2 5" xfId="31992"/>
    <cellStyle name="Total 2 6 4 2 2 6" xfId="36469"/>
    <cellStyle name="Total 2 6 4 2 2 7" xfId="49821"/>
    <cellStyle name="Total 2 6 4 2 2 8" xfId="57843"/>
    <cellStyle name="Total 2 6 4 2 20" xfId="1094"/>
    <cellStyle name="Total 2 6 4 2 21" xfId="35174"/>
    <cellStyle name="Total 2 6 4 2 22" xfId="41394"/>
    <cellStyle name="Total 2 6 4 2 3" xfId="2963"/>
    <cellStyle name="Total 2 6 4 2 3 2" xfId="31993"/>
    <cellStyle name="Total 2 6 4 2 3 3" xfId="31994"/>
    <cellStyle name="Total 2 6 4 2 3 4" xfId="31995"/>
    <cellStyle name="Total 2 6 4 2 3 5" xfId="31996"/>
    <cellStyle name="Total 2 6 4 2 3 6" xfId="36966"/>
    <cellStyle name="Total 2 6 4 2 3 7" xfId="49823"/>
    <cellStyle name="Total 2 6 4 2 3 8" xfId="57845"/>
    <cellStyle name="Total 2 6 4 2 4" xfId="1500"/>
    <cellStyle name="Total 2 6 4 2 4 2" xfId="31997"/>
    <cellStyle name="Total 2 6 4 2 4 3" xfId="31998"/>
    <cellStyle name="Total 2 6 4 2 4 4" xfId="31999"/>
    <cellStyle name="Total 2 6 4 2 4 5" xfId="32000"/>
    <cellStyle name="Total 2 6 4 2 4 6" xfId="37582"/>
    <cellStyle name="Total 2 6 4 2 4 7" xfId="49824"/>
    <cellStyle name="Total 2 6 4 2 4 8" xfId="57846"/>
    <cellStyle name="Total 2 6 4 2 5" xfId="3570"/>
    <cellStyle name="Total 2 6 4 2 5 2" xfId="32001"/>
    <cellStyle name="Total 2 6 4 2 5 3" xfId="32002"/>
    <cellStyle name="Total 2 6 4 2 5 4" xfId="32003"/>
    <cellStyle name="Total 2 6 4 2 5 5" xfId="32004"/>
    <cellStyle name="Total 2 6 4 2 5 6" xfId="38199"/>
    <cellStyle name="Total 2 6 4 2 5 7" xfId="49825"/>
    <cellStyle name="Total 2 6 4 2 5 8" xfId="57847"/>
    <cellStyle name="Total 2 6 4 2 6" xfId="3888"/>
    <cellStyle name="Total 2 6 4 2 6 2" xfId="32005"/>
    <cellStyle name="Total 2 6 4 2 6 3" xfId="32006"/>
    <cellStyle name="Total 2 6 4 2 6 4" xfId="32007"/>
    <cellStyle name="Total 2 6 4 2 6 5" xfId="32008"/>
    <cellStyle name="Total 2 6 4 2 6 6" xfId="38817"/>
    <cellStyle name="Total 2 6 4 2 6 7" xfId="49826"/>
    <cellStyle name="Total 2 6 4 2 6 8" xfId="57848"/>
    <cellStyle name="Total 2 6 4 2 7" xfId="32009"/>
    <cellStyle name="Total 2 6 4 2 7 2" xfId="32010"/>
    <cellStyle name="Total 2 6 4 2 7 3" xfId="32011"/>
    <cellStyle name="Total 2 6 4 2 7 4" xfId="32012"/>
    <cellStyle name="Total 2 6 4 2 7 5" xfId="32013"/>
    <cellStyle name="Total 2 6 4 2 7 6" xfId="39437"/>
    <cellStyle name="Total 2 6 4 2 7 7" xfId="49827"/>
    <cellStyle name="Total 2 6 4 2 7 8" xfId="57849"/>
    <cellStyle name="Total 2 6 4 2 8" xfId="32014"/>
    <cellStyle name="Total 2 6 4 2 8 2" xfId="32015"/>
    <cellStyle name="Total 2 6 4 2 8 3" xfId="32016"/>
    <cellStyle name="Total 2 6 4 2 8 4" xfId="32017"/>
    <cellStyle name="Total 2 6 4 2 8 5" xfId="32018"/>
    <cellStyle name="Total 2 6 4 2 8 6" xfId="40053"/>
    <cellStyle name="Total 2 6 4 2 8 7" xfId="49828"/>
    <cellStyle name="Total 2 6 4 2 8 8" xfId="57850"/>
    <cellStyle name="Total 2 6 4 2 9" xfId="32019"/>
    <cellStyle name="Total 2 6 4 2 9 2" xfId="32020"/>
    <cellStyle name="Total 2 6 4 2 9 3" xfId="32021"/>
    <cellStyle name="Total 2 6 4 2 9 4" xfId="32022"/>
    <cellStyle name="Total 2 6 4 2 9 5" xfId="32023"/>
    <cellStyle name="Total 2 6 4 2 9 6" xfId="40668"/>
    <cellStyle name="Total 2 6 4 2 9 7" xfId="49829"/>
    <cellStyle name="Total 2 6 4 2 9 8" xfId="57851"/>
    <cellStyle name="Total 2 6 4 20" xfId="882"/>
    <cellStyle name="Total 2 6 4 21" xfId="34659"/>
    <cellStyle name="Total 2 6 4 22" xfId="40966"/>
    <cellStyle name="Total 2 6 4 23" xfId="41527"/>
    <cellStyle name="Total 2 6 4 24" xfId="50614"/>
    <cellStyle name="Total 2 6 4 3" xfId="2964"/>
    <cellStyle name="Total 2 6 4 3 10" xfId="34567"/>
    <cellStyle name="Total 2 6 4 3 10 2" xfId="49831"/>
    <cellStyle name="Total 2 6 4 3 10 3" xfId="57853"/>
    <cellStyle name="Total 2 6 4 3 11" xfId="41181"/>
    <cellStyle name="Total 2 6 4 3 12" xfId="49830"/>
    <cellStyle name="Total 2 6 4 3 13" xfId="57852"/>
    <cellStyle name="Total 2 6 4 3 2" xfId="2965"/>
    <cellStyle name="Total 2 6 4 3 2 2" xfId="36258"/>
    <cellStyle name="Total 2 6 4 3 2 3" xfId="49832"/>
    <cellStyle name="Total 2 6 4 3 2 4" xfId="57854"/>
    <cellStyle name="Total 2 6 4 3 3" xfId="2966"/>
    <cellStyle name="Total 2 6 4 3 3 2" xfId="36755"/>
    <cellStyle name="Total 2 6 4 3 3 3" xfId="49833"/>
    <cellStyle name="Total 2 6 4 3 3 4" xfId="57855"/>
    <cellStyle name="Total 2 6 4 3 4" xfId="32024"/>
    <cellStyle name="Total 2 6 4 3 4 2" xfId="37371"/>
    <cellStyle name="Total 2 6 4 3 4 3" xfId="49834"/>
    <cellStyle name="Total 2 6 4 3 4 4" xfId="57856"/>
    <cellStyle name="Total 2 6 4 3 5" xfId="32025"/>
    <cellStyle name="Total 2 6 4 3 5 2" xfId="37987"/>
    <cellStyle name="Total 2 6 4 3 5 3" xfId="49835"/>
    <cellStyle name="Total 2 6 4 3 5 4" xfId="57857"/>
    <cellStyle name="Total 2 6 4 3 6" xfId="38604"/>
    <cellStyle name="Total 2 6 4 3 6 2" xfId="49836"/>
    <cellStyle name="Total 2 6 4 3 6 3" xfId="57858"/>
    <cellStyle name="Total 2 6 4 3 7" xfId="39224"/>
    <cellStyle name="Total 2 6 4 3 7 2" xfId="49837"/>
    <cellStyle name="Total 2 6 4 3 7 3" xfId="57859"/>
    <cellStyle name="Total 2 6 4 3 8" xfId="39840"/>
    <cellStyle name="Total 2 6 4 3 8 2" xfId="49838"/>
    <cellStyle name="Total 2 6 4 3 8 3" xfId="57860"/>
    <cellStyle name="Total 2 6 4 3 9" xfId="40455"/>
    <cellStyle name="Total 2 6 4 3 9 2" xfId="49839"/>
    <cellStyle name="Total 2 6 4 3 9 3" xfId="57861"/>
    <cellStyle name="Total 2 6 4 4" xfId="2967"/>
    <cellStyle name="Total 2 6 4 4 10" xfId="49840"/>
    <cellStyle name="Total 2 6 4 4 11" xfId="57862"/>
    <cellStyle name="Total 2 6 4 4 2" xfId="32026"/>
    <cellStyle name="Total 2 6 4 4 2 2" xfId="49841"/>
    <cellStyle name="Total 2 6 4 4 2 3" xfId="57863"/>
    <cellStyle name="Total 2 6 4 4 3" xfId="32027"/>
    <cellStyle name="Total 2 6 4 4 3 2" xfId="49842"/>
    <cellStyle name="Total 2 6 4 4 3 3" xfId="57864"/>
    <cellStyle name="Total 2 6 4 4 4" xfId="32028"/>
    <cellStyle name="Total 2 6 4 4 4 2" xfId="49843"/>
    <cellStyle name="Total 2 6 4 4 4 3" xfId="57865"/>
    <cellStyle name="Total 2 6 4 4 5" xfId="32029"/>
    <cellStyle name="Total 2 6 4 4 5 2" xfId="49844"/>
    <cellStyle name="Total 2 6 4 4 5 3" xfId="57866"/>
    <cellStyle name="Total 2 6 4 4 6" xfId="35672"/>
    <cellStyle name="Total 2 6 4 4 6 2" xfId="49845"/>
    <cellStyle name="Total 2 6 4 4 6 3" xfId="57867"/>
    <cellStyle name="Total 2 6 4 4 7" xfId="49846"/>
    <cellStyle name="Total 2 6 4 4 7 2" xfId="57868"/>
    <cellStyle name="Total 2 6 4 4 8" xfId="49847"/>
    <cellStyle name="Total 2 6 4 4 8 2" xfId="57869"/>
    <cellStyle name="Total 2 6 4 4 9" xfId="49848"/>
    <cellStyle name="Total 2 6 4 4 9 2" xfId="57870"/>
    <cellStyle name="Total 2 6 4 5" xfId="1499"/>
    <cellStyle name="Total 2 6 4 5 2" xfId="32030"/>
    <cellStyle name="Total 2 6 4 5 3" xfId="32031"/>
    <cellStyle name="Total 2 6 4 5 4" xfId="32032"/>
    <cellStyle name="Total 2 6 4 5 5" xfId="32033"/>
    <cellStyle name="Total 2 6 4 5 6" xfId="36543"/>
    <cellStyle name="Total 2 6 4 5 7" xfId="49849"/>
    <cellStyle name="Total 2 6 4 5 8" xfId="57871"/>
    <cellStyle name="Total 2 6 4 6" xfId="3569"/>
    <cellStyle name="Total 2 6 4 6 2" xfId="32034"/>
    <cellStyle name="Total 2 6 4 6 3" xfId="32035"/>
    <cellStyle name="Total 2 6 4 6 4" xfId="32036"/>
    <cellStyle name="Total 2 6 4 6 5" xfId="32037"/>
    <cellStyle name="Total 2 6 4 6 6" xfId="37159"/>
    <cellStyle name="Total 2 6 4 6 7" xfId="49850"/>
    <cellStyle name="Total 2 6 4 6 8" xfId="57872"/>
    <cellStyle name="Total 2 6 4 7" xfId="3887"/>
    <cellStyle name="Total 2 6 4 7 2" xfId="32038"/>
    <cellStyle name="Total 2 6 4 7 3" xfId="32039"/>
    <cellStyle name="Total 2 6 4 7 4" xfId="32040"/>
    <cellStyle name="Total 2 6 4 7 5" xfId="32041"/>
    <cellStyle name="Total 2 6 4 7 6" xfId="37773"/>
    <cellStyle name="Total 2 6 4 7 7" xfId="49851"/>
    <cellStyle name="Total 2 6 4 7 8" xfId="57873"/>
    <cellStyle name="Total 2 6 4 8" xfId="32042"/>
    <cellStyle name="Total 2 6 4 8 2" xfId="32043"/>
    <cellStyle name="Total 2 6 4 8 3" xfId="32044"/>
    <cellStyle name="Total 2 6 4 8 4" xfId="32045"/>
    <cellStyle name="Total 2 6 4 8 5" xfId="32046"/>
    <cellStyle name="Total 2 6 4 8 6" xfId="38389"/>
    <cellStyle name="Total 2 6 4 8 7" xfId="49852"/>
    <cellStyle name="Total 2 6 4 8 8" xfId="57874"/>
    <cellStyle name="Total 2 6 4 9" xfId="32047"/>
    <cellStyle name="Total 2 6 4 9 2" xfId="32048"/>
    <cellStyle name="Total 2 6 4 9 3" xfId="32049"/>
    <cellStyle name="Total 2 6 4 9 4" xfId="32050"/>
    <cellStyle name="Total 2 6 4 9 5" xfId="32051"/>
    <cellStyle name="Total 2 6 4 9 6" xfId="39009"/>
    <cellStyle name="Total 2 6 4 9 7" xfId="49853"/>
    <cellStyle name="Total 2 6 4 9 8" xfId="57875"/>
    <cellStyle name="Total 2 6 5" xfId="452"/>
    <cellStyle name="Total 2 6 5 10" xfId="32052"/>
    <cellStyle name="Total 2 6 5 10 2" xfId="32053"/>
    <cellStyle name="Total 2 6 5 10 3" xfId="32054"/>
    <cellStyle name="Total 2 6 5 10 4" xfId="32055"/>
    <cellStyle name="Total 2 6 5 10 5" xfId="32056"/>
    <cellStyle name="Total 2 6 5 10 6" xfId="40241"/>
    <cellStyle name="Total 2 6 5 10 7" xfId="49854"/>
    <cellStyle name="Total 2 6 5 10 8" xfId="57876"/>
    <cellStyle name="Total 2 6 5 11" xfId="32057"/>
    <cellStyle name="Total 2 6 5 11 2" xfId="32058"/>
    <cellStyle name="Total 2 6 5 11 3" xfId="32059"/>
    <cellStyle name="Total 2 6 5 11 4" xfId="32060"/>
    <cellStyle name="Total 2 6 5 11 5" xfId="32061"/>
    <cellStyle name="Total 2 6 5 11 6" xfId="49855"/>
    <cellStyle name="Total 2 6 5 11 7" xfId="57877"/>
    <cellStyle name="Total 2 6 5 12" xfId="32062"/>
    <cellStyle name="Total 2 6 5 12 2" xfId="32063"/>
    <cellStyle name="Total 2 6 5 12 3" xfId="32064"/>
    <cellStyle name="Total 2 6 5 12 4" xfId="32065"/>
    <cellStyle name="Total 2 6 5 12 5" xfId="32066"/>
    <cellStyle name="Total 2 6 5 12 6" xfId="49856"/>
    <cellStyle name="Total 2 6 5 12 7" xfId="57878"/>
    <cellStyle name="Total 2 6 5 13" xfId="32067"/>
    <cellStyle name="Total 2 6 5 13 2" xfId="32068"/>
    <cellStyle name="Total 2 6 5 13 3" xfId="32069"/>
    <cellStyle name="Total 2 6 5 13 4" xfId="32070"/>
    <cellStyle name="Total 2 6 5 13 5" xfId="32071"/>
    <cellStyle name="Total 2 6 5 13 6" xfId="49857"/>
    <cellStyle name="Total 2 6 5 13 7" xfId="57879"/>
    <cellStyle name="Total 2 6 5 14" xfId="32072"/>
    <cellStyle name="Total 2 6 5 14 2" xfId="32073"/>
    <cellStyle name="Total 2 6 5 14 3" xfId="32074"/>
    <cellStyle name="Total 2 6 5 14 4" xfId="32075"/>
    <cellStyle name="Total 2 6 5 14 5" xfId="32076"/>
    <cellStyle name="Total 2 6 5 15" xfId="32077"/>
    <cellStyle name="Total 2 6 5 15 2" xfId="32078"/>
    <cellStyle name="Total 2 6 5 15 3" xfId="32079"/>
    <cellStyle name="Total 2 6 5 15 4" xfId="32080"/>
    <cellStyle name="Total 2 6 5 15 5" xfId="32081"/>
    <cellStyle name="Total 2 6 5 16" xfId="32082"/>
    <cellStyle name="Total 2 6 5 16 2" xfId="32083"/>
    <cellStyle name="Total 2 6 5 16 3" xfId="32084"/>
    <cellStyle name="Total 2 6 5 16 4" xfId="32085"/>
    <cellStyle name="Total 2 6 5 16 5" xfId="32086"/>
    <cellStyle name="Total 2 6 5 17" xfId="32087"/>
    <cellStyle name="Total 2 6 5 17 2" xfId="32088"/>
    <cellStyle name="Total 2 6 5 17 3" xfId="32089"/>
    <cellStyle name="Total 2 6 5 17 4" xfId="32090"/>
    <cellStyle name="Total 2 6 5 17 5" xfId="32091"/>
    <cellStyle name="Total 2 6 5 18" xfId="32092"/>
    <cellStyle name="Total 2 6 5 18 2" xfId="32093"/>
    <cellStyle name="Total 2 6 5 18 3" xfId="32094"/>
    <cellStyle name="Total 2 6 5 18 4" xfId="32095"/>
    <cellStyle name="Total 2 6 5 18 5" xfId="32096"/>
    <cellStyle name="Total 2 6 5 19" xfId="32097"/>
    <cellStyle name="Total 2 6 5 2" xfId="667"/>
    <cellStyle name="Total 2 6 5 2 10" xfId="32098"/>
    <cellStyle name="Total 2 6 5 2 10 2" xfId="32099"/>
    <cellStyle name="Total 2 6 5 2 10 3" xfId="32100"/>
    <cellStyle name="Total 2 6 5 2 10 4" xfId="32101"/>
    <cellStyle name="Total 2 6 5 2 10 5" xfId="32102"/>
    <cellStyle name="Total 2 6 5 2 10 6" xfId="49858"/>
    <cellStyle name="Total 2 6 5 2 10 7" xfId="57880"/>
    <cellStyle name="Total 2 6 5 2 11" xfId="32103"/>
    <cellStyle name="Total 2 6 5 2 11 2" xfId="32104"/>
    <cellStyle name="Total 2 6 5 2 11 3" xfId="32105"/>
    <cellStyle name="Total 2 6 5 2 11 4" xfId="32106"/>
    <cellStyle name="Total 2 6 5 2 11 5" xfId="32107"/>
    <cellStyle name="Total 2 6 5 2 12" xfId="32108"/>
    <cellStyle name="Total 2 6 5 2 12 2" xfId="32109"/>
    <cellStyle name="Total 2 6 5 2 12 3" xfId="32110"/>
    <cellStyle name="Total 2 6 5 2 12 4" xfId="32111"/>
    <cellStyle name="Total 2 6 5 2 12 5" xfId="32112"/>
    <cellStyle name="Total 2 6 5 2 13" xfId="32113"/>
    <cellStyle name="Total 2 6 5 2 13 2" xfId="32114"/>
    <cellStyle name="Total 2 6 5 2 13 3" xfId="32115"/>
    <cellStyle name="Total 2 6 5 2 13 4" xfId="32116"/>
    <cellStyle name="Total 2 6 5 2 13 5" xfId="32117"/>
    <cellStyle name="Total 2 6 5 2 14" xfId="32118"/>
    <cellStyle name="Total 2 6 5 2 14 2" xfId="32119"/>
    <cellStyle name="Total 2 6 5 2 14 3" xfId="32120"/>
    <cellStyle name="Total 2 6 5 2 14 4" xfId="32121"/>
    <cellStyle name="Total 2 6 5 2 14 5" xfId="32122"/>
    <cellStyle name="Total 2 6 5 2 15" xfId="32123"/>
    <cellStyle name="Total 2 6 5 2 15 2" xfId="32124"/>
    <cellStyle name="Total 2 6 5 2 15 3" xfId="32125"/>
    <cellStyle name="Total 2 6 5 2 15 4" xfId="32126"/>
    <cellStyle name="Total 2 6 5 2 15 5" xfId="32127"/>
    <cellStyle name="Total 2 6 5 2 16" xfId="32128"/>
    <cellStyle name="Total 2 6 5 2 16 2" xfId="32129"/>
    <cellStyle name="Total 2 6 5 2 16 3" xfId="32130"/>
    <cellStyle name="Total 2 6 5 2 16 4" xfId="32131"/>
    <cellStyle name="Total 2 6 5 2 16 5" xfId="32132"/>
    <cellStyle name="Total 2 6 5 2 17" xfId="32133"/>
    <cellStyle name="Total 2 6 5 2 17 2" xfId="32134"/>
    <cellStyle name="Total 2 6 5 2 17 3" xfId="32135"/>
    <cellStyle name="Total 2 6 5 2 17 4" xfId="32136"/>
    <cellStyle name="Total 2 6 5 2 17 5" xfId="32137"/>
    <cellStyle name="Total 2 6 5 2 18" xfId="32138"/>
    <cellStyle name="Total 2 6 5 2 18 2" xfId="32139"/>
    <cellStyle name="Total 2 6 5 2 18 3" xfId="32140"/>
    <cellStyle name="Total 2 6 5 2 18 4" xfId="32141"/>
    <cellStyle name="Total 2 6 5 2 18 5" xfId="32142"/>
    <cellStyle name="Total 2 6 5 2 19" xfId="32143"/>
    <cellStyle name="Total 2 6 5 2 2" xfId="2968"/>
    <cellStyle name="Total 2 6 5 2 2 2" xfId="32144"/>
    <cellStyle name="Total 2 6 5 2 2 2 2" xfId="49860"/>
    <cellStyle name="Total 2 6 5 2 2 2 3" xfId="57882"/>
    <cellStyle name="Total 2 6 5 2 2 3" xfId="32145"/>
    <cellStyle name="Total 2 6 5 2 2 4" xfId="32146"/>
    <cellStyle name="Total 2 6 5 2 2 5" xfId="32147"/>
    <cellStyle name="Total 2 6 5 2 2 6" xfId="36470"/>
    <cellStyle name="Total 2 6 5 2 2 7" xfId="49859"/>
    <cellStyle name="Total 2 6 5 2 2 8" xfId="57881"/>
    <cellStyle name="Total 2 6 5 2 20" xfId="1095"/>
    <cellStyle name="Total 2 6 5 2 21" xfId="35175"/>
    <cellStyle name="Total 2 6 5 2 22" xfId="41395"/>
    <cellStyle name="Total 2 6 5 2 3" xfId="2969"/>
    <cellStyle name="Total 2 6 5 2 3 2" xfId="32148"/>
    <cellStyle name="Total 2 6 5 2 3 3" xfId="32149"/>
    <cellStyle name="Total 2 6 5 2 3 4" xfId="32150"/>
    <cellStyle name="Total 2 6 5 2 3 5" xfId="32151"/>
    <cellStyle name="Total 2 6 5 2 3 6" xfId="36967"/>
    <cellStyle name="Total 2 6 5 2 3 7" xfId="49861"/>
    <cellStyle name="Total 2 6 5 2 3 8" xfId="57883"/>
    <cellStyle name="Total 2 6 5 2 4" xfId="1502"/>
    <cellStyle name="Total 2 6 5 2 4 2" xfId="32152"/>
    <cellStyle name="Total 2 6 5 2 4 3" xfId="32153"/>
    <cellStyle name="Total 2 6 5 2 4 4" xfId="32154"/>
    <cellStyle name="Total 2 6 5 2 4 5" xfId="32155"/>
    <cellStyle name="Total 2 6 5 2 4 6" xfId="37583"/>
    <cellStyle name="Total 2 6 5 2 4 7" xfId="49862"/>
    <cellStyle name="Total 2 6 5 2 4 8" xfId="57884"/>
    <cellStyle name="Total 2 6 5 2 5" xfId="3572"/>
    <cellStyle name="Total 2 6 5 2 5 2" xfId="32156"/>
    <cellStyle name="Total 2 6 5 2 5 3" xfId="32157"/>
    <cellStyle name="Total 2 6 5 2 5 4" xfId="32158"/>
    <cellStyle name="Total 2 6 5 2 5 5" xfId="32159"/>
    <cellStyle name="Total 2 6 5 2 5 6" xfId="38200"/>
    <cellStyle name="Total 2 6 5 2 5 7" xfId="49863"/>
    <cellStyle name="Total 2 6 5 2 5 8" xfId="57885"/>
    <cellStyle name="Total 2 6 5 2 6" xfId="3890"/>
    <cellStyle name="Total 2 6 5 2 6 2" xfId="32160"/>
    <cellStyle name="Total 2 6 5 2 6 3" xfId="32161"/>
    <cellStyle name="Total 2 6 5 2 6 4" xfId="32162"/>
    <cellStyle name="Total 2 6 5 2 6 5" xfId="32163"/>
    <cellStyle name="Total 2 6 5 2 6 6" xfId="38818"/>
    <cellStyle name="Total 2 6 5 2 6 7" xfId="49864"/>
    <cellStyle name="Total 2 6 5 2 6 8" xfId="57886"/>
    <cellStyle name="Total 2 6 5 2 7" xfId="32164"/>
    <cellStyle name="Total 2 6 5 2 7 2" xfId="32165"/>
    <cellStyle name="Total 2 6 5 2 7 3" xfId="32166"/>
    <cellStyle name="Total 2 6 5 2 7 4" xfId="32167"/>
    <cellStyle name="Total 2 6 5 2 7 5" xfId="32168"/>
    <cellStyle name="Total 2 6 5 2 7 6" xfId="39438"/>
    <cellStyle name="Total 2 6 5 2 7 7" xfId="49865"/>
    <cellStyle name="Total 2 6 5 2 7 8" xfId="57887"/>
    <cellStyle name="Total 2 6 5 2 8" xfId="32169"/>
    <cellStyle name="Total 2 6 5 2 8 2" xfId="32170"/>
    <cellStyle name="Total 2 6 5 2 8 3" xfId="32171"/>
    <cellStyle name="Total 2 6 5 2 8 4" xfId="32172"/>
    <cellStyle name="Total 2 6 5 2 8 5" xfId="32173"/>
    <cellStyle name="Total 2 6 5 2 8 6" xfId="40054"/>
    <cellStyle name="Total 2 6 5 2 8 7" xfId="49866"/>
    <cellStyle name="Total 2 6 5 2 8 8" xfId="57888"/>
    <cellStyle name="Total 2 6 5 2 9" xfId="32174"/>
    <cellStyle name="Total 2 6 5 2 9 2" xfId="32175"/>
    <cellStyle name="Total 2 6 5 2 9 3" xfId="32176"/>
    <cellStyle name="Total 2 6 5 2 9 4" xfId="32177"/>
    <cellStyle name="Total 2 6 5 2 9 5" xfId="32178"/>
    <cellStyle name="Total 2 6 5 2 9 6" xfId="40669"/>
    <cellStyle name="Total 2 6 5 2 9 7" xfId="49867"/>
    <cellStyle name="Total 2 6 5 2 9 8" xfId="57889"/>
    <cellStyle name="Total 2 6 5 20" xfId="883"/>
    <cellStyle name="Total 2 6 5 21" xfId="34554"/>
    <cellStyle name="Total 2 6 5 22" xfId="40967"/>
    <cellStyle name="Total 2 6 5 23" xfId="41528"/>
    <cellStyle name="Total 2 6 5 24" xfId="50615"/>
    <cellStyle name="Total 2 6 5 3" xfId="2970"/>
    <cellStyle name="Total 2 6 5 3 10" xfId="34566"/>
    <cellStyle name="Total 2 6 5 3 10 2" xfId="49869"/>
    <cellStyle name="Total 2 6 5 3 10 3" xfId="57891"/>
    <cellStyle name="Total 2 6 5 3 11" xfId="41182"/>
    <cellStyle name="Total 2 6 5 3 12" xfId="49868"/>
    <cellStyle name="Total 2 6 5 3 13" xfId="57890"/>
    <cellStyle name="Total 2 6 5 3 2" xfId="2971"/>
    <cellStyle name="Total 2 6 5 3 2 2" xfId="36259"/>
    <cellStyle name="Total 2 6 5 3 2 3" xfId="49870"/>
    <cellStyle name="Total 2 6 5 3 2 4" xfId="57892"/>
    <cellStyle name="Total 2 6 5 3 3" xfId="2972"/>
    <cellStyle name="Total 2 6 5 3 3 2" xfId="36756"/>
    <cellStyle name="Total 2 6 5 3 3 3" xfId="49871"/>
    <cellStyle name="Total 2 6 5 3 3 4" xfId="57893"/>
    <cellStyle name="Total 2 6 5 3 4" xfId="32179"/>
    <cellStyle name="Total 2 6 5 3 4 2" xfId="37372"/>
    <cellStyle name="Total 2 6 5 3 4 3" xfId="49872"/>
    <cellStyle name="Total 2 6 5 3 4 4" xfId="57894"/>
    <cellStyle name="Total 2 6 5 3 5" xfId="32180"/>
    <cellStyle name="Total 2 6 5 3 5 2" xfId="37988"/>
    <cellStyle name="Total 2 6 5 3 5 3" xfId="49873"/>
    <cellStyle name="Total 2 6 5 3 5 4" xfId="57895"/>
    <cellStyle name="Total 2 6 5 3 6" xfId="38605"/>
    <cellStyle name="Total 2 6 5 3 6 2" xfId="49874"/>
    <cellStyle name="Total 2 6 5 3 6 3" xfId="57896"/>
    <cellStyle name="Total 2 6 5 3 7" xfId="39225"/>
    <cellStyle name="Total 2 6 5 3 7 2" xfId="49875"/>
    <cellStyle name="Total 2 6 5 3 7 3" xfId="57897"/>
    <cellStyle name="Total 2 6 5 3 8" xfId="39841"/>
    <cellStyle name="Total 2 6 5 3 8 2" xfId="49876"/>
    <cellStyle name="Total 2 6 5 3 8 3" xfId="57898"/>
    <cellStyle name="Total 2 6 5 3 9" xfId="40456"/>
    <cellStyle name="Total 2 6 5 3 9 2" xfId="49877"/>
    <cellStyle name="Total 2 6 5 3 9 3" xfId="57899"/>
    <cellStyle name="Total 2 6 5 4" xfId="2973"/>
    <cellStyle name="Total 2 6 5 4 10" xfId="49878"/>
    <cellStyle name="Total 2 6 5 4 11" xfId="57900"/>
    <cellStyle name="Total 2 6 5 4 2" xfId="32181"/>
    <cellStyle name="Total 2 6 5 4 2 2" xfId="49879"/>
    <cellStyle name="Total 2 6 5 4 2 3" xfId="57901"/>
    <cellStyle name="Total 2 6 5 4 3" xfId="32182"/>
    <cellStyle name="Total 2 6 5 4 3 2" xfId="49880"/>
    <cellStyle name="Total 2 6 5 4 3 3" xfId="57902"/>
    <cellStyle name="Total 2 6 5 4 4" xfId="32183"/>
    <cellStyle name="Total 2 6 5 4 4 2" xfId="49881"/>
    <cellStyle name="Total 2 6 5 4 4 3" xfId="57903"/>
    <cellStyle name="Total 2 6 5 4 5" xfId="32184"/>
    <cellStyle name="Total 2 6 5 4 5 2" xfId="49882"/>
    <cellStyle name="Total 2 6 5 4 5 3" xfId="57904"/>
    <cellStyle name="Total 2 6 5 4 6" xfId="36544"/>
    <cellStyle name="Total 2 6 5 4 6 2" xfId="49883"/>
    <cellStyle name="Total 2 6 5 4 6 3" xfId="57905"/>
    <cellStyle name="Total 2 6 5 4 7" xfId="49884"/>
    <cellStyle name="Total 2 6 5 4 7 2" xfId="57906"/>
    <cellStyle name="Total 2 6 5 4 8" xfId="49885"/>
    <cellStyle name="Total 2 6 5 4 8 2" xfId="57907"/>
    <cellStyle name="Total 2 6 5 4 9" xfId="49886"/>
    <cellStyle name="Total 2 6 5 4 9 2" xfId="57908"/>
    <cellStyle name="Total 2 6 5 5" xfId="1501"/>
    <cellStyle name="Total 2 6 5 5 2" xfId="32185"/>
    <cellStyle name="Total 2 6 5 5 3" xfId="32186"/>
    <cellStyle name="Total 2 6 5 5 4" xfId="32187"/>
    <cellStyle name="Total 2 6 5 5 5" xfId="32188"/>
    <cellStyle name="Total 2 6 5 5 6" xfId="37160"/>
    <cellStyle name="Total 2 6 5 5 7" xfId="49887"/>
    <cellStyle name="Total 2 6 5 5 8" xfId="57909"/>
    <cellStyle name="Total 2 6 5 6" xfId="3571"/>
    <cellStyle name="Total 2 6 5 6 2" xfId="32189"/>
    <cellStyle name="Total 2 6 5 6 3" xfId="32190"/>
    <cellStyle name="Total 2 6 5 6 4" xfId="32191"/>
    <cellStyle name="Total 2 6 5 6 5" xfId="32192"/>
    <cellStyle name="Total 2 6 5 6 6" xfId="37774"/>
    <cellStyle name="Total 2 6 5 6 7" xfId="49888"/>
    <cellStyle name="Total 2 6 5 6 8" xfId="57910"/>
    <cellStyle name="Total 2 6 5 7" xfId="3889"/>
    <cellStyle name="Total 2 6 5 7 2" xfId="32193"/>
    <cellStyle name="Total 2 6 5 7 3" xfId="32194"/>
    <cellStyle name="Total 2 6 5 7 4" xfId="32195"/>
    <cellStyle name="Total 2 6 5 7 5" xfId="32196"/>
    <cellStyle name="Total 2 6 5 7 6" xfId="38390"/>
    <cellStyle name="Total 2 6 5 7 7" xfId="49889"/>
    <cellStyle name="Total 2 6 5 7 8" xfId="57911"/>
    <cellStyle name="Total 2 6 5 8" xfId="32197"/>
    <cellStyle name="Total 2 6 5 8 2" xfId="32198"/>
    <cellStyle name="Total 2 6 5 8 3" xfId="32199"/>
    <cellStyle name="Total 2 6 5 8 4" xfId="32200"/>
    <cellStyle name="Total 2 6 5 8 5" xfId="32201"/>
    <cellStyle name="Total 2 6 5 8 6" xfId="39010"/>
    <cellStyle name="Total 2 6 5 8 7" xfId="49890"/>
    <cellStyle name="Total 2 6 5 8 8" xfId="57912"/>
    <cellStyle name="Total 2 6 5 9" xfId="32202"/>
    <cellStyle name="Total 2 6 5 9 2" xfId="32203"/>
    <cellStyle name="Total 2 6 5 9 3" xfId="32204"/>
    <cellStyle name="Total 2 6 5 9 4" xfId="32205"/>
    <cellStyle name="Total 2 6 5 9 5" xfId="32206"/>
    <cellStyle name="Total 2 6 5 9 6" xfId="39626"/>
    <cellStyle name="Total 2 6 5 9 7" xfId="49891"/>
    <cellStyle name="Total 2 6 5 9 8" xfId="57913"/>
    <cellStyle name="Total 2 6 6" xfId="494"/>
    <cellStyle name="Total 2 6 6 10" xfId="32207"/>
    <cellStyle name="Total 2 6 6 10 2" xfId="32208"/>
    <cellStyle name="Total 2 6 6 10 3" xfId="32209"/>
    <cellStyle name="Total 2 6 6 10 4" xfId="32210"/>
    <cellStyle name="Total 2 6 6 10 5" xfId="32211"/>
    <cellStyle name="Total 2 6 6 10 6" xfId="49892"/>
    <cellStyle name="Total 2 6 6 10 7" xfId="57914"/>
    <cellStyle name="Total 2 6 6 11" xfId="32212"/>
    <cellStyle name="Total 2 6 6 11 2" xfId="32213"/>
    <cellStyle name="Total 2 6 6 11 3" xfId="32214"/>
    <cellStyle name="Total 2 6 6 11 4" xfId="32215"/>
    <cellStyle name="Total 2 6 6 11 5" xfId="32216"/>
    <cellStyle name="Total 2 6 6 12" xfId="32217"/>
    <cellStyle name="Total 2 6 6 12 2" xfId="32218"/>
    <cellStyle name="Total 2 6 6 12 3" xfId="32219"/>
    <cellStyle name="Total 2 6 6 12 4" xfId="32220"/>
    <cellStyle name="Total 2 6 6 12 5" xfId="32221"/>
    <cellStyle name="Total 2 6 6 13" xfId="32222"/>
    <cellStyle name="Total 2 6 6 13 2" xfId="32223"/>
    <cellStyle name="Total 2 6 6 13 3" xfId="32224"/>
    <cellStyle name="Total 2 6 6 13 4" xfId="32225"/>
    <cellStyle name="Total 2 6 6 13 5" xfId="32226"/>
    <cellStyle name="Total 2 6 6 14" xfId="32227"/>
    <cellStyle name="Total 2 6 6 14 2" xfId="32228"/>
    <cellStyle name="Total 2 6 6 14 3" xfId="32229"/>
    <cellStyle name="Total 2 6 6 14 4" xfId="32230"/>
    <cellStyle name="Total 2 6 6 14 5" xfId="32231"/>
    <cellStyle name="Total 2 6 6 15" xfId="32232"/>
    <cellStyle name="Total 2 6 6 15 2" xfId="32233"/>
    <cellStyle name="Total 2 6 6 15 3" xfId="32234"/>
    <cellStyle name="Total 2 6 6 15 4" xfId="32235"/>
    <cellStyle name="Total 2 6 6 15 5" xfId="32236"/>
    <cellStyle name="Total 2 6 6 16" xfId="32237"/>
    <cellStyle name="Total 2 6 6 16 2" xfId="32238"/>
    <cellStyle name="Total 2 6 6 16 3" xfId="32239"/>
    <cellStyle name="Total 2 6 6 16 4" xfId="32240"/>
    <cellStyle name="Total 2 6 6 16 5" xfId="32241"/>
    <cellStyle name="Total 2 6 6 17" xfId="32242"/>
    <cellStyle name="Total 2 6 6 17 2" xfId="32243"/>
    <cellStyle name="Total 2 6 6 17 3" xfId="32244"/>
    <cellStyle name="Total 2 6 6 17 4" xfId="32245"/>
    <cellStyle name="Total 2 6 6 17 5" xfId="32246"/>
    <cellStyle name="Total 2 6 6 18" xfId="32247"/>
    <cellStyle name="Total 2 6 6 18 2" xfId="32248"/>
    <cellStyle name="Total 2 6 6 18 3" xfId="32249"/>
    <cellStyle name="Total 2 6 6 18 4" xfId="32250"/>
    <cellStyle name="Total 2 6 6 18 5" xfId="32251"/>
    <cellStyle name="Total 2 6 6 19" xfId="32252"/>
    <cellStyle name="Total 2 6 6 2" xfId="2974"/>
    <cellStyle name="Total 2 6 6 2 2" xfId="32253"/>
    <cellStyle name="Total 2 6 6 2 2 2" xfId="49894"/>
    <cellStyle name="Total 2 6 6 2 2 3" xfId="57916"/>
    <cellStyle name="Total 2 6 6 2 3" xfId="32254"/>
    <cellStyle name="Total 2 6 6 2 4" xfId="32255"/>
    <cellStyle name="Total 2 6 6 2 5" xfId="32256"/>
    <cellStyle name="Total 2 6 6 2 6" xfId="36298"/>
    <cellStyle name="Total 2 6 6 2 7" xfId="49893"/>
    <cellStyle name="Total 2 6 6 2 8" xfId="57915"/>
    <cellStyle name="Total 2 6 6 20" xfId="923"/>
    <cellStyle name="Total 2 6 6 21" xfId="35003"/>
    <cellStyle name="Total 2 6 6 22" xfId="40712"/>
    <cellStyle name="Total 2 6 6 23" xfId="41222"/>
    <cellStyle name="Total 2 6 6 3" xfId="2975"/>
    <cellStyle name="Total 2 6 6 3 2" xfId="32257"/>
    <cellStyle name="Total 2 6 6 3 3" xfId="32258"/>
    <cellStyle name="Total 2 6 6 3 4" xfId="32259"/>
    <cellStyle name="Total 2 6 6 3 5" xfId="32260"/>
    <cellStyle name="Total 2 6 6 3 6" xfId="36795"/>
    <cellStyle name="Total 2 6 6 3 7" xfId="49895"/>
    <cellStyle name="Total 2 6 6 3 8" xfId="57917"/>
    <cellStyle name="Total 2 6 6 4" xfId="1503"/>
    <cellStyle name="Total 2 6 6 4 2" xfId="32261"/>
    <cellStyle name="Total 2 6 6 4 3" xfId="32262"/>
    <cellStyle name="Total 2 6 6 4 4" xfId="32263"/>
    <cellStyle name="Total 2 6 6 4 5" xfId="32264"/>
    <cellStyle name="Total 2 6 6 4 6" xfId="37411"/>
    <cellStyle name="Total 2 6 6 4 7" xfId="49896"/>
    <cellStyle name="Total 2 6 6 4 8" xfId="57918"/>
    <cellStyle name="Total 2 6 6 5" xfId="3573"/>
    <cellStyle name="Total 2 6 6 5 2" xfId="32265"/>
    <cellStyle name="Total 2 6 6 5 3" xfId="32266"/>
    <cellStyle name="Total 2 6 6 5 4" xfId="32267"/>
    <cellStyle name="Total 2 6 6 5 5" xfId="32268"/>
    <cellStyle name="Total 2 6 6 5 6" xfId="38027"/>
    <cellStyle name="Total 2 6 6 5 7" xfId="49897"/>
    <cellStyle name="Total 2 6 6 5 8" xfId="57919"/>
    <cellStyle name="Total 2 6 6 6" xfId="3891"/>
    <cellStyle name="Total 2 6 6 6 2" xfId="32269"/>
    <cellStyle name="Total 2 6 6 6 3" xfId="32270"/>
    <cellStyle name="Total 2 6 6 6 4" xfId="32271"/>
    <cellStyle name="Total 2 6 6 6 5" xfId="32272"/>
    <cellStyle name="Total 2 6 6 6 6" xfId="38645"/>
    <cellStyle name="Total 2 6 6 6 7" xfId="49898"/>
    <cellStyle name="Total 2 6 6 6 8" xfId="57920"/>
    <cellStyle name="Total 2 6 6 7" xfId="32273"/>
    <cellStyle name="Total 2 6 6 7 2" xfId="32274"/>
    <cellStyle name="Total 2 6 6 7 3" xfId="32275"/>
    <cellStyle name="Total 2 6 6 7 4" xfId="32276"/>
    <cellStyle name="Total 2 6 6 7 5" xfId="32277"/>
    <cellStyle name="Total 2 6 6 7 6" xfId="39265"/>
    <cellStyle name="Total 2 6 6 7 7" xfId="49899"/>
    <cellStyle name="Total 2 6 6 7 8" xfId="57921"/>
    <cellStyle name="Total 2 6 6 8" xfId="32278"/>
    <cellStyle name="Total 2 6 6 8 2" xfId="32279"/>
    <cellStyle name="Total 2 6 6 8 3" xfId="32280"/>
    <cellStyle name="Total 2 6 6 8 4" xfId="32281"/>
    <cellStyle name="Total 2 6 6 8 5" xfId="32282"/>
    <cellStyle name="Total 2 6 6 8 6" xfId="39881"/>
    <cellStyle name="Total 2 6 6 8 7" xfId="49900"/>
    <cellStyle name="Total 2 6 6 8 8" xfId="57922"/>
    <cellStyle name="Total 2 6 6 9" xfId="32283"/>
    <cellStyle name="Total 2 6 6 9 2" xfId="32284"/>
    <cellStyle name="Total 2 6 6 9 3" xfId="32285"/>
    <cellStyle name="Total 2 6 6 9 4" xfId="32286"/>
    <cellStyle name="Total 2 6 6 9 5" xfId="32287"/>
    <cellStyle name="Total 2 6 6 9 6" xfId="40496"/>
    <cellStyle name="Total 2 6 6 9 7" xfId="49901"/>
    <cellStyle name="Total 2 6 6 9 8" xfId="57923"/>
    <cellStyle name="Total 2 6 7" xfId="2976"/>
    <cellStyle name="Total 2 6 7 10" xfId="34866"/>
    <cellStyle name="Total 2 6 7 10 2" xfId="49903"/>
    <cellStyle name="Total 2 6 7 10 3" xfId="57925"/>
    <cellStyle name="Total 2 6 7 11" xfId="41008"/>
    <cellStyle name="Total 2 6 7 12" xfId="49902"/>
    <cellStyle name="Total 2 6 7 13" xfId="57924"/>
    <cellStyle name="Total 2 6 7 2" xfId="2977"/>
    <cellStyle name="Total 2 6 7 2 2" xfId="36085"/>
    <cellStyle name="Total 2 6 7 2 3" xfId="49904"/>
    <cellStyle name="Total 2 6 7 2 4" xfId="57926"/>
    <cellStyle name="Total 2 6 7 3" xfId="2978"/>
    <cellStyle name="Total 2 6 7 3 2" xfId="36584"/>
    <cellStyle name="Total 2 6 7 3 3" xfId="49905"/>
    <cellStyle name="Total 2 6 7 3 4" xfId="57927"/>
    <cellStyle name="Total 2 6 7 4" xfId="32288"/>
    <cellStyle name="Total 2 6 7 4 2" xfId="37200"/>
    <cellStyle name="Total 2 6 7 4 3" xfId="49906"/>
    <cellStyle name="Total 2 6 7 4 4" xfId="57928"/>
    <cellStyle name="Total 2 6 7 5" xfId="32289"/>
    <cellStyle name="Total 2 6 7 5 2" xfId="37816"/>
    <cellStyle name="Total 2 6 7 5 3" xfId="49907"/>
    <cellStyle name="Total 2 6 7 5 4" xfId="57929"/>
    <cellStyle name="Total 2 6 7 6" xfId="38431"/>
    <cellStyle name="Total 2 6 7 6 2" xfId="49908"/>
    <cellStyle name="Total 2 6 7 6 3" xfId="57930"/>
    <cellStyle name="Total 2 6 7 7" xfId="39051"/>
    <cellStyle name="Total 2 6 7 7 2" xfId="49909"/>
    <cellStyle name="Total 2 6 7 7 3" xfId="57931"/>
    <cellStyle name="Total 2 6 7 8" xfId="39667"/>
    <cellStyle name="Total 2 6 7 8 2" xfId="49910"/>
    <cellStyle name="Total 2 6 7 8 3" xfId="57932"/>
    <cellStyle name="Total 2 6 7 9" xfId="40282"/>
    <cellStyle name="Total 2 6 7 9 2" xfId="49911"/>
    <cellStyle name="Total 2 6 7 9 3" xfId="57933"/>
    <cellStyle name="Total 2 6 8" xfId="1486"/>
    <cellStyle name="Total 2 6 8 10" xfId="49912"/>
    <cellStyle name="Total 2 6 8 11" xfId="57934"/>
    <cellStyle name="Total 2 6 8 2" xfId="32290"/>
    <cellStyle name="Total 2 6 8 2 2" xfId="49913"/>
    <cellStyle name="Total 2 6 8 2 3" xfId="57935"/>
    <cellStyle name="Total 2 6 8 3" xfId="32291"/>
    <cellStyle name="Total 2 6 8 3 2" xfId="49914"/>
    <cellStyle name="Total 2 6 8 3 3" xfId="57936"/>
    <cellStyle name="Total 2 6 8 4" xfId="32292"/>
    <cellStyle name="Total 2 6 8 4 2" xfId="49915"/>
    <cellStyle name="Total 2 6 8 4 3" xfId="57937"/>
    <cellStyle name="Total 2 6 8 5" xfId="32293"/>
    <cellStyle name="Total 2 6 8 5 2" xfId="49916"/>
    <cellStyle name="Total 2 6 8 5 3" xfId="57938"/>
    <cellStyle name="Total 2 6 8 6" xfId="35403"/>
    <cellStyle name="Total 2 6 8 6 2" xfId="49917"/>
    <cellStyle name="Total 2 6 8 6 3" xfId="57939"/>
    <cellStyle name="Total 2 6 8 7" xfId="49918"/>
    <cellStyle name="Total 2 6 8 7 2" xfId="57940"/>
    <cellStyle name="Total 2 6 8 8" xfId="49919"/>
    <cellStyle name="Total 2 6 8 8 2" xfId="57941"/>
    <cellStyle name="Total 2 6 8 9" xfId="49920"/>
    <cellStyle name="Total 2 6 8 9 2" xfId="57942"/>
    <cellStyle name="Total 2 6 9" xfId="3556"/>
    <cellStyle name="Total 2 6 9 2" xfId="32294"/>
    <cellStyle name="Total 2 6 9 3" xfId="32295"/>
    <cellStyle name="Total 2 6 9 4" xfId="32296"/>
    <cellStyle name="Total 2 6 9 5" xfId="32297"/>
    <cellStyle name="Total 2 6 9 6" xfId="35934"/>
    <cellStyle name="Total 2 6 9 7" xfId="49921"/>
    <cellStyle name="Total 2 6 9 8" xfId="57943"/>
    <cellStyle name="Total 2 7" xfId="263"/>
    <cellStyle name="Total 2 7 10" xfId="3892"/>
    <cellStyle name="Total 2 7 10 2" xfId="32298"/>
    <cellStyle name="Total 2 7 10 3" xfId="32299"/>
    <cellStyle name="Total 2 7 10 4" xfId="32300"/>
    <cellStyle name="Total 2 7 10 5" xfId="32301"/>
    <cellStyle name="Total 2 7 10 6" xfId="35822"/>
    <cellStyle name="Total 2 7 10 7" xfId="49922"/>
    <cellStyle name="Total 2 7 10 8" xfId="57944"/>
    <cellStyle name="Total 2 7 11" xfId="32302"/>
    <cellStyle name="Total 2 7 11 2" xfId="32303"/>
    <cellStyle name="Total 2 7 11 3" xfId="32304"/>
    <cellStyle name="Total 2 7 11 4" xfId="32305"/>
    <cellStyle name="Total 2 7 11 5" xfId="32306"/>
    <cellStyle name="Total 2 7 11 6" xfId="36981"/>
    <cellStyle name="Total 2 7 11 7" xfId="49923"/>
    <cellStyle name="Total 2 7 11 8" xfId="57945"/>
    <cellStyle name="Total 2 7 12" xfId="32307"/>
    <cellStyle name="Total 2 7 12 2" xfId="32308"/>
    <cellStyle name="Total 2 7 12 3" xfId="32309"/>
    <cellStyle name="Total 2 7 12 4" xfId="32310"/>
    <cellStyle name="Total 2 7 12 5" xfId="32311"/>
    <cellStyle name="Total 2 7 12 6" xfId="35842"/>
    <cellStyle name="Total 2 7 12 7" xfId="49924"/>
    <cellStyle name="Total 2 7 12 8" xfId="57946"/>
    <cellStyle name="Total 2 7 13" xfId="32312"/>
    <cellStyle name="Total 2 7 13 2" xfId="32313"/>
    <cellStyle name="Total 2 7 13 3" xfId="32314"/>
    <cellStyle name="Total 2 7 13 4" xfId="32315"/>
    <cellStyle name="Total 2 7 13 5" xfId="32316"/>
    <cellStyle name="Total 2 7 13 6" xfId="35896"/>
    <cellStyle name="Total 2 7 13 7" xfId="49925"/>
    <cellStyle name="Total 2 7 13 8" xfId="57947"/>
    <cellStyle name="Total 2 7 14" xfId="32317"/>
    <cellStyle name="Total 2 7 14 2" xfId="32318"/>
    <cellStyle name="Total 2 7 14 3" xfId="32319"/>
    <cellStyle name="Total 2 7 14 4" xfId="32320"/>
    <cellStyle name="Total 2 7 14 5" xfId="32321"/>
    <cellStyle name="Total 2 7 14 6" xfId="38832"/>
    <cellStyle name="Total 2 7 14 7" xfId="49926"/>
    <cellStyle name="Total 2 7 14 8" xfId="57948"/>
    <cellStyle name="Total 2 7 15" xfId="32322"/>
    <cellStyle name="Total 2 7 15 2" xfId="32323"/>
    <cellStyle name="Total 2 7 15 3" xfId="32324"/>
    <cellStyle name="Total 2 7 15 4" xfId="32325"/>
    <cellStyle name="Total 2 7 15 5" xfId="32326"/>
    <cellStyle name="Total 2 7 15 6" xfId="39452"/>
    <cellStyle name="Total 2 7 15 7" xfId="49927"/>
    <cellStyle name="Total 2 7 15 8" xfId="57949"/>
    <cellStyle name="Total 2 7 16" xfId="32327"/>
    <cellStyle name="Total 2 7 16 2" xfId="32328"/>
    <cellStyle name="Total 2 7 16 3" xfId="32329"/>
    <cellStyle name="Total 2 7 16 4" xfId="32330"/>
    <cellStyle name="Total 2 7 16 5" xfId="32331"/>
    <cellStyle name="Total 2 7 16 6" xfId="40070"/>
    <cellStyle name="Total 2 7 16 7" xfId="49928"/>
    <cellStyle name="Total 2 7 16 8" xfId="57950"/>
    <cellStyle name="Total 2 7 17" xfId="32332"/>
    <cellStyle name="Total 2 7 17 2" xfId="32333"/>
    <cellStyle name="Total 2 7 17 3" xfId="32334"/>
    <cellStyle name="Total 2 7 17 4" xfId="32335"/>
    <cellStyle name="Total 2 7 17 5" xfId="32336"/>
    <cellStyle name="Total 2 7 17 6" xfId="49929"/>
    <cellStyle name="Total 2 7 17 7" xfId="57951"/>
    <cellStyle name="Total 2 7 18" xfId="32337"/>
    <cellStyle name="Total 2 7 18 2" xfId="32338"/>
    <cellStyle name="Total 2 7 18 3" xfId="32339"/>
    <cellStyle name="Total 2 7 18 4" xfId="32340"/>
    <cellStyle name="Total 2 7 18 5" xfId="32341"/>
    <cellStyle name="Total 2 7 19" xfId="32342"/>
    <cellStyle name="Total 2 7 19 2" xfId="32343"/>
    <cellStyle name="Total 2 7 19 3" xfId="32344"/>
    <cellStyle name="Total 2 7 19 4" xfId="32345"/>
    <cellStyle name="Total 2 7 19 5" xfId="32346"/>
    <cellStyle name="Total 2 7 2" xfId="311"/>
    <cellStyle name="Total 2 7 2 10" xfId="32347"/>
    <cellStyle name="Total 2 7 2 10 2" xfId="32348"/>
    <cellStyle name="Total 2 7 2 10 3" xfId="32349"/>
    <cellStyle name="Total 2 7 2 10 4" xfId="32350"/>
    <cellStyle name="Total 2 7 2 10 5" xfId="32351"/>
    <cellStyle name="Total 2 7 2 10 6" xfId="37639"/>
    <cellStyle name="Total 2 7 2 10 7" xfId="49930"/>
    <cellStyle name="Total 2 7 2 10 8" xfId="57952"/>
    <cellStyle name="Total 2 7 2 11" xfId="32352"/>
    <cellStyle name="Total 2 7 2 11 2" xfId="32353"/>
    <cellStyle name="Total 2 7 2 11 3" xfId="32354"/>
    <cellStyle name="Total 2 7 2 11 4" xfId="32355"/>
    <cellStyle name="Total 2 7 2 11 5" xfId="32356"/>
    <cellStyle name="Total 2 7 2 11 6" xfId="38256"/>
    <cellStyle name="Total 2 7 2 11 7" xfId="49931"/>
    <cellStyle name="Total 2 7 2 11 8" xfId="57953"/>
    <cellStyle name="Total 2 7 2 12" xfId="32357"/>
    <cellStyle name="Total 2 7 2 12 2" xfId="32358"/>
    <cellStyle name="Total 2 7 2 12 3" xfId="32359"/>
    <cellStyle name="Total 2 7 2 12 4" xfId="32360"/>
    <cellStyle name="Total 2 7 2 12 5" xfId="32361"/>
    <cellStyle name="Total 2 7 2 12 6" xfId="38878"/>
    <cellStyle name="Total 2 7 2 12 7" xfId="49932"/>
    <cellStyle name="Total 2 7 2 12 8" xfId="57954"/>
    <cellStyle name="Total 2 7 2 13" xfId="32362"/>
    <cellStyle name="Total 2 7 2 13 2" xfId="32363"/>
    <cellStyle name="Total 2 7 2 13 3" xfId="32364"/>
    <cellStyle name="Total 2 7 2 13 4" xfId="32365"/>
    <cellStyle name="Total 2 7 2 13 5" xfId="32366"/>
    <cellStyle name="Total 2 7 2 13 6" xfId="39498"/>
    <cellStyle name="Total 2 7 2 13 7" xfId="49933"/>
    <cellStyle name="Total 2 7 2 13 8" xfId="57955"/>
    <cellStyle name="Total 2 7 2 14" xfId="32367"/>
    <cellStyle name="Total 2 7 2 14 2" xfId="32368"/>
    <cellStyle name="Total 2 7 2 14 3" xfId="32369"/>
    <cellStyle name="Total 2 7 2 14 4" xfId="32370"/>
    <cellStyle name="Total 2 7 2 14 5" xfId="32371"/>
    <cellStyle name="Total 2 7 2 14 6" xfId="40116"/>
    <cellStyle name="Total 2 7 2 14 7" xfId="49934"/>
    <cellStyle name="Total 2 7 2 14 8" xfId="57956"/>
    <cellStyle name="Total 2 7 2 15" xfId="32372"/>
    <cellStyle name="Total 2 7 2 15 2" xfId="32373"/>
    <cellStyle name="Total 2 7 2 15 3" xfId="32374"/>
    <cellStyle name="Total 2 7 2 15 4" xfId="32375"/>
    <cellStyle name="Total 2 7 2 15 5" xfId="32376"/>
    <cellStyle name="Total 2 7 2 15 6" xfId="49935"/>
    <cellStyle name="Total 2 7 2 15 7" xfId="57957"/>
    <cellStyle name="Total 2 7 2 16" xfId="32377"/>
    <cellStyle name="Total 2 7 2 16 2" xfId="32378"/>
    <cellStyle name="Total 2 7 2 16 3" xfId="32379"/>
    <cellStyle name="Total 2 7 2 16 4" xfId="32380"/>
    <cellStyle name="Total 2 7 2 16 5" xfId="32381"/>
    <cellStyle name="Total 2 7 2 17" xfId="32382"/>
    <cellStyle name="Total 2 7 2 17 2" xfId="32383"/>
    <cellStyle name="Total 2 7 2 17 3" xfId="32384"/>
    <cellStyle name="Total 2 7 2 17 4" xfId="32385"/>
    <cellStyle name="Total 2 7 2 17 5" xfId="32386"/>
    <cellStyle name="Total 2 7 2 18" xfId="32387"/>
    <cellStyle name="Total 2 7 2 19" xfId="756"/>
    <cellStyle name="Total 2 7 2 2" xfId="453"/>
    <cellStyle name="Total 2 7 2 2 10" xfId="32388"/>
    <cellStyle name="Total 2 7 2 2 10 2" xfId="32389"/>
    <cellStyle name="Total 2 7 2 2 10 3" xfId="32390"/>
    <cellStyle name="Total 2 7 2 2 10 4" xfId="32391"/>
    <cellStyle name="Total 2 7 2 2 10 5" xfId="32392"/>
    <cellStyle name="Total 2 7 2 2 10 6" xfId="39627"/>
    <cellStyle name="Total 2 7 2 2 10 7" xfId="49936"/>
    <cellStyle name="Total 2 7 2 2 10 8" xfId="57958"/>
    <cellStyle name="Total 2 7 2 2 11" xfId="32393"/>
    <cellStyle name="Total 2 7 2 2 11 2" xfId="32394"/>
    <cellStyle name="Total 2 7 2 2 11 3" xfId="32395"/>
    <cellStyle name="Total 2 7 2 2 11 4" xfId="32396"/>
    <cellStyle name="Total 2 7 2 2 11 5" xfId="32397"/>
    <cellStyle name="Total 2 7 2 2 11 6" xfId="40242"/>
    <cellStyle name="Total 2 7 2 2 11 7" xfId="49937"/>
    <cellStyle name="Total 2 7 2 2 11 8" xfId="57959"/>
    <cellStyle name="Total 2 7 2 2 12" xfId="32398"/>
    <cellStyle name="Total 2 7 2 2 12 2" xfId="32399"/>
    <cellStyle name="Total 2 7 2 2 12 3" xfId="32400"/>
    <cellStyle name="Total 2 7 2 2 12 4" xfId="32401"/>
    <cellStyle name="Total 2 7 2 2 12 5" xfId="32402"/>
    <cellStyle name="Total 2 7 2 2 12 6" xfId="49938"/>
    <cellStyle name="Total 2 7 2 2 12 7" xfId="57960"/>
    <cellStyle name="Total 2 7 2 2 13" xfId="32403"/>
    <cellStyle name="Total 2 7 2 2 13 2" xfId="32404"/>
    <cellStyle name="Total 2 7 2 2 13 3" xfId="32405"/>
    <cellStyle name="Total 2 7 2 2 13 4" xfId="32406"/>
    <cellStyle name="Total 2 7 2 2 13 5" xfId="32407"/>
    <cellStyle name="Total 2 7 2 2 13 6" xfId="49939"/>
    <cellStyle name="Total 2 7 2 2 13 7" xfId="57961"/>
    <cellStyle name="Total 2 7 2 2 14" xfId="32408"/>
    <cellStyle name="Total 2 7 2 2 14 2" xfId="32409"/>
    <cellStyle name="Total 2 7 2 2 14 3" xfId="32410"/>
    <cellStyle name="Total 2 7 2 2 14 4" xfId="32411"/>
    <cellStyle name="Total 2 7 2 2 14 5" xfId="32412"/>
    <cellStyle name="Total 2 7 2 2 15" xfId="32413"/>
    <cellStyle name="Total 2 7 2 2 15 2" xfId="32414"/>
    <cellStyle name="Total 2 7 2 2 15 3" xfId="32415"/>
    <cellStyle name="Total 2 7 2 2 15 4" xfId="32416"/>
    <cellStyle name="Total 2 7 2 2 15 5" xfId="32417"/>
    <cellStyle name="Total 2 7 2 2 16" xfId="32418"/>
    <cellStyle name="Total 2 7 2 2 16 2" xfId="32419"/>
    <cellStyle name="Total 2 7 2 2 16 3" xfId="32420"/>
    <cellStyle name="Total 2 7 2 2 16 4" xfId="32421"/>
    <cellStyle name="Total 2 7 2 2 16 5" xfId="32422"/>
    <cellStyle name="Total 2 7 2 2 17" xfId="32423"/>
    <cellStyle name="Total 2 7 2 2 17 2" xfId="32424"/>
    <cellStyle name="Total 2 7 2 2 17 3" xfId="32425"/>
    <cellStyle name="Total 2 7 2 2 17 4" xfId="32426"/>
    <cellStyle name="Total 2 7 2 2 17 5" xfId="32427"/>
    <cellStyle name="Total 2 7 2 2 18" xfId="32428"/>
    <cellStyle name="Total 2 7 2 2 18 2" xfId="32429"/>
    <cellStyle name="Total 2 7 2 2 18 3" xfId="32430"/>
    <cellStyle name="Total 2 7 2 2 18 4" xfId="32431"/>
    <cellStyle name="Total 2 7 2 2 18 5" xfId="32432"/>
    <cellStyle name="Total 2 7 2 2 19" xfId="32433"/>
    <cellStyle name="Total 2 7 2 2 2" xfId="668"/>
    <cellStyle name="Total 2 7 2 2 2 10" xfId="32434"/>
    <cellStyle name="Total 2 7 2 2 2 10 2" xfId="32435"/>
    <cellStyle name="Total 2 7 2 2 2 10 3" xfId="32436"/>
    <cellStyle name="Total 2 7 2 2 2 10 4" xfId="32437"/>
    <cellStyle name="Total 2 7 2 2 2 10 5" xfId="32438"/>
    <cellStyle name="Total 2 7 2 2 2 10 6" xfId="49940"/>
    <cellStyle name="Total 2 7 2 2 2 10 7" xfId="57962"/>
    <cellStyle name="Total 2 7 2 2 2 11" xfId="32439"/>
    <cellStyle name="Total 2 7 2 2 2 11 2" xfId="32440"/>
    <cellStyle name="Total 2 7 2 2 2 11 3" xfId="32441"/>
    <cellStyle name="Total 2 7 2 2 2 11 4" xfId="32442"/>
    <cellStyle name="Total 2 7 2 2 2 11 5" xfId="32443"/>
    <cellStyle name="Total 2 7 2 2 2 12" xfId="32444"/>
    <cellStyle name="Total 2 7 2 2 2 12 2" xfId="32445"/>
    <cellStyle name="Total 2 7 2 2 2 12 3" xfId="32446"/>
    <cellStyle name="Total 2 7 2 2 2 12 4" xfId="32447"/>
    <cellStyle name="Total 2 7 2 2 2 12 5" xfId="32448"/>
    <cellStyle name="Total 2 7 2 2 2 13" xfId="32449"/>
    <cellStyle name="Total 2 7 2 2 2 13 2" xfId="32450"/>
    <cellStyle name="Total 2 7 2 2 2 13 3" xfId="32451"/>
    <cellStyle name="Total 2 7 2 2 2 13 4" xfId="32452"/>
    <cellStyle name="Total 2 7 2 2 2 13 5" xfId="32453"/>
    <cellStyle name="Total 2 7 2 2 2 14" xfId="32454"/>
    <cellStyle name="Total 2 7 2 2 2 14 2" xfId="32455"/>
    <cellStyle name="Total 2 7 2 2 2 14 3" xfId="32456"/>
    <cellStyle name="Total 2 7 2 2 2 14 4" xfId="32457"/>
    <cellStyle name="Total 2 7 2 2 2 14 5" xfId="32458"/>
    <cellStyle name="Total 2 7 2 2 2 15" xfId="32459"/>
    <cellStyle name="Total 2 7 2 2 2 15 2" xfId="32460"/>
    <cellStyle name="Total 2 7 2 2 2 15 3" xfId="32461"/>
    <cellStyle name="Total 2 7 2 2 2 15 4" xfId="32462"/>
    <cellStyle name="Total 2 7 2 2 2 15 5" xfId="32463"/>
    <cellStyle name="Total 2 7 2 2 2 16" xfId="32464"/>
    <cellStyle name="Total 2 7 2 2 2 16 2" xfId="32465"/>
    <cellStyle name="Total 2 7 2 2 2 16 3" xfId="32466"/>
    <cellStyle name="Total 2 7 2 2 2 16 4" xfId="32467"/>
    <cellStyle name="Total 2 7 2 2 2 16 5" xfId="32468"/>
    <cellStyle name="Total 2 7 2 2 2 17" xfId="32469"/>
    <cellStyle name="Total 2 7 2 2 2 17 2" xfId="32470"/>
    <cellStyle name="Total 2 7 2 2 2 17 3" xfId="32471"/>
    <cellStyle name="Total 2 7 2 2 2 17 4" xfId="32472"/>
    <cellStyle name="Total 2 7 2 2 2 17 5" xfId="32473"/>
    <cellStyle name="Total 2 7 2 2 2 18" xfId="32474"/>
    <cellStyle name="Total 2 7 2 2 2 18 2" xfId="32475"/>
    <cellStyle name="Total 2 7 2 2 2 18 3" xfId="32476"/>
    <cellStyle name="Total 2 7 2 2 2 18 4" xfId="32477"/>
    <cellStyle name="Total 2 7 2 2 2 18 5" xfId="32478"/>
    <cellStyle name="Total 2 7 2 2 2 19" xfId="32479"/>
    <cellStyle name="Total 2 7 2 2 2 2" xfId="2979"/>
    <cellStyle name="Total 2 7 2 2 2 2 2" xfId="32480"/>
    <cellStyle name="Total 2 7 2 2 2 2 2 2" xfId="49942"/>
    <cellStyle name="Total 2 7 2 2 2 2 2 3" xfId="57964"/>
    <cellStyle name="Total 2 7 2 2 2 2 3" xfId="32481"/>
    <cellStyle name="Total 2 7 2 2 2 2 4" xfId="32482"/>
    <cellStyle name="Total 2 7 2 2 2 2 5" xfId="32483"/>
    <cellStyle name="Total 2 7 2 2 2 2 6" xfId="36471"/>
    <cellStyle name="Total 2 7 2 2 2 2 7" xfId="49941"/>
    <cellStyle name="Total 2 7 2 2 2 2 8" xfId="57963"/>
    <cellStyle name="Total 2 7 2 2 2 20" xfId="1096"/>
    <cellStyle name="Total 2 7 2 2 2 21" xfId="35176"/>
    <cellStyle name="Total 2 7 2 2 2 22" xfId="41396"/>
    <cellStyle name="Total 2 7 2 2 2 3" xfId="2980"/>
    <cellStyle name="Total 2 7 2 2 2 3 2" xfId="32484"/>
    <cellStyle name="Total 2 7 2 2 2 3 3" xfId="32485"/>
    <cellStyle name="Total 2 7 2 2 2 3 4" xfId="32486"/>
    <cellStyle name="Total 2 7 2 2 2 3 5" xfId="32487"/>
    <cellStyle name="Total 2 7 2 2 2 3 6" xfId="36968"/>
    <cellStyle name="Total 2 7 2 2 2 3 7" xfId="49943"/>
    <cellStyle name="Total 2 7 2 2 2 3 8" xfId="57965"/>
    <cellStyle name="Total 2 7 2 2 2 4" xfId="1507"/>
    <cellStyle name="Total 2 7 2 2 2 4 2" xfId="32488"/>
    <cellStyle name="Total 2 7 2 2 2 4 3" xfId="32489"/>
    <cellStyle name="Total 2 7 2 2 2 4 4" xfId="32490"/>
    <cellStyle name="Total 2 7 2 2 2 4 5" xfId="32491"/>
    <cellStyle name="Total 2 7 2 2 2 4 6" xfId="37584"/>
    <cellStyle name="Total 2 7 2 2 2 4 7" xfId="49944"/>
    <cellStyle name="Total 2 7 2 2 2 4 8" xfId="57966"/>
    <cellStyle name="Total 2 7 2 2 2 5" xfId="3577"/>
    <cellStyle name="Total 2 7 2 2 2 5 2" xfId="32492"/>
    <cellStyle name="Total 2 7 2 2 2 5 3" xfId="32493"/>
    <cellStyle name="Total 2 7 2 2 2 5 4" xfId="32494"/>
    <cellStyle name="Total 2 7 2 2 2 5 5" xfId="32495"/>
    <cellStyle name="Total 2 7 2 2 2 5 6" xfId="38201"/>
    <cellStyle name="Total 2 7 2 2 2 5 7" xfId="49945"/>
    <cellStyle name="Total 2 7 2 2 2 5 8" xfId="57967"/>
    <cellStyle name="Total 2 7 2 2 2 6" xfId="3895"/>
    <cellStyle name="Total 2 7 2 2 2 6 2" xfId="32496"/>
    <cellStyle name="Total 2 7 2 2 2 6 3" xfId="32497"/>
    <cellStyle name="Total 2 7 2 2 2 6 4" xfId="32498"/>
    <cellStyle name="Total 2 7 2 2 2 6 5" xfId="32499"/>
    <cellStyle name="Total 2 7 2 2 2 6 6" xfId="38819"/>
    <cellStyle name="Total 2 7 2 2 2 6 7" xfId="49946"/>
    <cellStyle name="Total 2 7 2 2 2 6 8" xfId="57968"/>
    <cellStyle name="Total 2 7 2 2 2 7" xfId="32500"/>
    <cellStyle name="Total 2 7 2 2 2 7 2" xfId="32501"/>
    <cellStyle name="Total 2 7 2 2 2 7 3" xfId="32502"/>
    <cellStyle name="Total 2 7 2 2 2 7 4" xfId="32503"/>
    <cellStyle name="Total 2 7 2 2 2 7 5" xfId="32504"/>
    <cellStyle name="Total 2 7 2 2 2 7 6" xfId="39439"/>
    <cellStyle name="Total 2 7 2 2 2 7 7" xfId="49947"/>
    <cellStyle name="Total 2 7 2 2 2 7 8" xfId="57969"/>
    <cellStyle name="Total 2 7 2 2 2 8" xfId="32505"/>
    <cellStyle name="Total 2 7 2 2 2 8 2" xfId="32506"/>
    <cellStyle name="Total 2 7 2 2 2 8 3" xfId="32507"/>
    <cellStyle name="Total 2 7 2 2 2 8 4" xfId="32508"/>
    <cellStyle name="Total 2 7 2 2 2 8 5" xfId="32509"/>
    <cellStyle name="Total 2 7 2 2 2 8 6" xfId="40055"/>
    <cellStyle name="Total 2 7 2 2 2 8 7" xfId="49948"/>
    <cellStyle name="Total 2 7 2 2 2 8 8" xfId="57970"/>
    <cellStyle name="Total 2 7 2 2 2 9" xfId="32510"/>
    <cellStyle name="Total 2 7 2 2 2 9 2" xfId="32511"/>
    <cellStyle name="Total 2 7 2 2 2 9 3" xfId="32512"/>
    <cellStyle name="Total 2 7 2 2 2 9 4" xfId="32513"/>
    <cellStyle name="Total 2 7 2 2 2 9 5" xfId="32514"/>
    <cellStyle name="Total 2 7 2 2 2 9 6" xfId="40670"/>
    <cellStyle name="Total 2 7 2 2 2 9 7" xfId="49949"/>
    <cellStyle name="Total 2 7 2 2 2 9 8" xfId="57971"/>
    <cellStyle name="Total 2 7 2 2 20" xfId="884"/>
    <cellStyle name="Total 2 7 2 2 21" xfId="34658"/>
    <cellStyle name="Total 2 7 2 2 22" xfId="40968"/>
    <cellStyle name="Total 2 7 2 2 23" xfId="41529"/>
    <cellStyle name="Total 2 7 2 2 24" xfId="50616"/>
    <cellStyle name="Total 2 7 2 2 3" xfId="2981"/>
    <cellStyle name="Total 2 7 2 2 3 10" xfId="34565"/>
    <cellStyle name="Total 2 7 2 2 3 10 2" xfId="49951"/>
    <cellStyle name="Total 2 7 2 2 3 10 3" xfId="57973"/>
    <cellStyle name="Total 2 7 2 2 3 11" xfId="41183"/>
    <cellStyle name="Total 2 7 2 2 3 12" xfId="49950"/>
    <cellStyle name="Total 2 7 2 2 3 13" xfId="57972"/>
    <cellStyle name="Total 2 7 2 2 3 2" xfId="2982"/>
    <cellStyle name="Total 2 7 2 2 3 2 2" xfId="36260"/>
    <cellStyle name="Total 2 7 2 2 3 2 3" xfId="49952"/>
    <cellStyle name="Total 2 7 2 2 3 2 4" xfId="57974"/>
    <cellStyle name="Total 2 7 2 2 3 3" xfId="2983"/>
    <cellStyle name="Total 2 7 2 2 3 3 2" xfId="36757"/>
    <cellStyle name="Total 2 7 2 2 3 3 3" xfId="49953"/>
    <cellStyle name="Total 2 7 2 2 3 3 4" xfId="57975"/>
    <cellStyle name="Total 2 7 2 2 3 4" xfId="32515"/>
    <cellStyle name="Total 2 7 2 2 3 4 2" xfId="37373"/>
    <cellStyle name="Total 2 7 2 2 3 4 3" xfId="49954"/>
    <cellStyle name="Total 2 7 2 2 3 4 4" xfId="57976"/>
    <cellStyle name="Total 2 7 2 2 3 5" xfId="32516"/>
    <cellStyle name="Total 2 7 2 2 3 5 2" xfId="37989"/>
    <cellStyle name="Total 2 7 2 2 3 5 3" xfId="49955"/>
    <cellStyle name="Total 2 7 2 2 3 5 4" xfId="57977"/>
    <cellStyle name="Total 2 7 2 2 3 6" xfId="38606"/>
    <cellStyle name="Total 2 7 2 2 3 6 2" xfId="49956"/>
    <cellStyle name="Total 2 7 2 2 3 6 3" xfId="57978"/>
    <cellStyle name="Total 2 7 2 2 3 7" xfId="39226"/>
    <cellStyle name="Total 2 7 2 2 3 7 2" xfId="49957"/>
    <cellStyle name="Total 2 7 2 2 3 7 3" xfId="57979"/>
    <cellStyle name="Total 2 7 2 2 3 8" xfId="39842"/>
    <cellStyle name="Total 2 7 2 2 3 8 2" xfId="49958"/>
    <cellStyle name="Total 2 7 2 2 3 8 3" xfId="57980"/>
    <cellStyle name="Total 2 7 2 2 3 9" xfId="40457"/>
    <cellStyle name="Total 2 7 2 2 3 9 2" xfId="49959"/>
    <cellStyle name="Total 2 7 2 2 3 9 3" xfId="57981"/>
    <cellStyle name="Total 2 7 2 2 4" xfId="2984"/>
    <cellStyle name="Total 2 7 2 2 4 10" xfId="49960"/>
    <cellStyle name="Total 2 7 2 2 4 11" xfId="57982"/>
    <cellStyle name="Total 2 7 2 2 4 2" xfId="32517"/>
    <cellStyle name="Total 2 7 2 2 4 2 2" xfId="49961"/>
    <cellStyle name="Total 2 7 2 2 4 2 3" xfId="57983"/>
    <cellStyle name="Total 2 7 2 2 4 3" xfId="32518"/>
    <cellStyle name="Total 2 7 2 2 4 3 2" xfId="49962"/>
    <cellStyle name="Total 2 7 2 2 4 3 3" xfId="57984"/>
    <cellStyle name="Total 2 7 2 2 4 4" xfId="32519"/>
    <cellStyle name="Total 2 7 2 2 4 4 2" xfId="49963"/>
    <cellStyle name="Total 2 7 2 2 4 4 3" xfId="57985"/>
    <cellStyle name="Total 2 7 2 2 4 5" xfId="32520"/>
    <cellStyle name="Total 2 7 2 2 4 5 2" xfId="49964"/>
    <cellStyle name="Total 2 7 2 2 4 5 3" xfId="57986"/>
    <cellStyle name="Total 2 7 2 2 4 6" xfId="35719"/>
    <cellStyle name="Total 2 7 2 2 4 6 2" xfId="49965"/>
    <cellStyle name="Total 2 7 2 2 4 6 3" xfId="57987"/>
    <cellStyle name="Total 2 7 2 2 4 7" xfId="49966"/>
    <cellStyle name="Total 2 7 2 2 4 7 2" xfId="57988"/>
    <cellStyle name="Total 2 7 2 2 4 8" xfId="49967"/>
    <cellStyle name="Total 2 7 2 2 4 8 2" xfId="57989"/>
    <cellStyle name="Total 2 7 2 2 4 9" xfId="49968"/>
    <cellStyle name="Total 2 7 2 2 4 9 2" xfId="57990"/>
    <cellStyle name="Total 2 7 2 2 5" xfId="1506"/>
    <cellStyle name="Total 2 7 2 2 5 2" xfId="32521"/>
    <cellStyle name="Total 2 7 2 2 5 3" xfId="32522"/>
    <cellStyle name="Total 2 7 2 2 5 4" xfId="32523"/>
    <cellStyle name="Total 2 7 2 2 5 5" xfId="32524"/>
    <cellStyle name="Total 2 7 2 2 5 6" xfId="36545"/>
    <cellStyle name="Total 2 7 2 2 5 7" xfId="49969"/>
    <cellStyle name="Total 2 7 2 2 5 8" xfId="57991"/>
    <cellStyle name="Total 2 7 2 2 6" xfId="3576"/>
    <cellStyle name="Total 2 7 2 2 6 2" xfId="32525"/>
    <cellStyle name="Total 2 7 2 2 6 3" xfId="32526"/>
    <cellStyle name="Total 2 7 2 2 6 4" xfId="32527"/>
    <cellStyle name="Total 2 7 2 2 6 5" xfId="32528"/>
    <cellStyle name="Total 2 7 2 2 6 6" xfId="37161"/>
    <cellStyle name="Total 2 7 2 2 6 7" xfId="49970"/>
    <cellStyle name="Total 2 7 2 2 6 8" xfId="57992"/>
    <cellStyle name="Total 2 7 2 2 7" xfId="3894"/>
    <cellStyle name="Total 2 7 2 2 7 2" xfId="32529"/>
    <cellStyle name="Total 2 7 2 2 7 3" xfId="32530"/>
    <cellStyle name="Total 2 7 2 2 7 4" xfId="32531"/>
    <cellStyle name="Total 2 7 2 2 7 5" xfId="32532"/>
    <cellStyle name="Total 2 7 2 2 7 6" xfId="37775"/>
    <cellStyle name="Total 2 7 2 2 7 7" xfId="49971"/>
    <cellStyle name="Total 2 7 2 2 7 8" xfId="57993"/>
    <cellStyle name="Total 2 7 2 2 8" xfId="32533"/>
    <cellStyle name="Total 2 7 2 2 8 2" xfId="32534"/>
    <cellStyle name="Total 2 7 2 2 8 3" xfId="32535"/>
    <cellStyle name="Total 2 7 2 2 8 4" xfId="32536"/>
    <cellStyle name="Total 2 7 2 2 8 5" xfId="32537"/>
    <cellStyle name="Total 2 7 2 2 8 6" xfId="38391"/>
    <cellStyle name="Total 2 7 2 2 8 7" xfId="49972"/>
    <cellStyle name="Total 2 7 2 2 8 8" xfId="57994"/>
    <cellStyle name="Total 2 7 2 2 9" xfId="32538"/>
    <cellStyle name="Total 2 7 2 2 9 2" xfId="32539"/>
    <cellStyle name="Total 2 7 2 2 9 3" xfId="32540"/>
    <cellStyle name="Total 2 7 2 2 9 4" xfId="32541"/>
    <cellStyle name="Total 2 7 2 2 9 5" xfId="32542"/>
    <cellStyle name="Total 2 7 2 2 9 6" xfId="39011"/>
    <cellStyle name="Total 2 7 2 2 9 7" xfId="49973"/>
    <cellStyle name="Total 2 7 2 2 9 8" xfId="57995"/>
    <cellStyle name="Total 2 7 2 20" xfId="34940"/>
    <cellStyle name="Total 2 7 2 21" xfId="40840"/>
    <cellStyle name="Total 2 7 2 3" xfId="454"/>
    <cellStyle name="Total 2 7 2 3 10" xfId="32543"/>
    <cellStyle name="Total 2 7 2 3 10 2" xfId="32544"/>
    <cellStyle name="Total 2 7 2 3 10 3" xfId="32545"/>
    <cellStyle name="Total 2 7 2 3 10 4" xfId="32546"/>
    <cellStyle name="Total 2 7 2 3 10 5" xfId="32547"/>
    <cellStyle name="Total 2 7 2 3 10 6" xfId="40243"/>
    <cellStyle name="Total 2 7 2 3 10 7" xfId="49974"/>
    <cellStyle name="Total 2 7 2 3 10 8" xfId="57996"/>
    <cellStyle name="Total 2 7 2 3 11" xfId="32548"/>
    <cellStyle name="Total 2 7 2 3 11 2" xfId="32549"/>
    <cellStyle name="Total 2 7 2 3 11 3" xfId="32550"/>
    <cellStyle name="Total 2 7 2 3 11 4" xfId="32551"/>
    <cellStyle name="Total 2 7 2 3 11 5" xfId="32552"/>
    <cellStyle name="Total 2 7 2 3 11 6" xfId="49975"/>
    <cellStyle name="Total 2 7 2 3 11 7" xfId="57997"/>
    <cellStyle name="Total 2 7 2 3 12" xfId="32553"/>
    <cellStyle name="Total 2 7 2 3 12 2" xfId="32554"/>
    <cellStyle name="Total 2 7 2 3 12 3" xfId="32555"/>
    <cellStyle name="Total 2 7 2 3 12 4" xfId="32556"/>
    <cellStyle name="Total 2 7 2 3 12 5" xfId="32557"/>
    <cellStyle name="Total 2 7 2 3 12 6" xfId="49976"/>
    <cellStyle name="Total 2 7 2 3 12 7" xfId="57998"/>
    <cellStyle name="Total 2 7 2 3 13" xfId="32558"/>
    <cellStyle name="Total 2 7 2 3 13 2" xfId="32559"/>
    <cellStyle name="Total 2 7 2 3 13 3" xfId="32560"/>
    <cellStyle name="Total 2 7 2 3 13 4" xfId="32561"/>
    <cellStyle name="Total 2 7 2 3 13 5" xfId="32562"/>
    <cellStyle name="Total 2 7 2 3 13 6" xfId="49977"/>
    <cellStyle name="Total 2 7 2 3 13 7" xfId="57999"/>
    <cellStyle name="Total 2 7 2 3 14" xfId="32563"/>
    <cellStyle name="Total 2 7 2 3 14 2" xfId="32564"/>
    <cellStyle name="Total 2 7 2 3 14 3" xfId="32565"/>
    <cellStyle name="Total 2 7 2 3 14 4" xfId="32566"/>
    <cellStyle name="Total 2 7 2 3 14 5" xfId="32567"/>
    <cellStyle name="Total 2 7 2 3 15" xfId="32568"/>
    <cellStyle name="Total 2 7 2 3 15 2" xfId="32569"/>
    <cellStyle name="Total 2 7 2 3 15 3" xfId="32570"/>
    <cellStyle name="Total 2 7 2 3 15 4" xfId="32571"/>
    <cellStyle name="Total 2 7 2 3 15 5" xfId="32572"/>
    <cellStyle name="Total 2 7 2 3 16" xfId="32573"/>
    <cellStyle name="Total 2 7 2 3 16 2" xfId="32574"/>
    <cellStyle name="Total 2 7 2 3 16 3" xfId="32575"/>
    <cellStyle name="Total 2 7 2 3 16 4" xfId="32576"/>
    <cellStyle name="Total 2 7 2 3 16 5" xfId="32577"/>
    <cellStyle name="Total 2 7 2 3 17" xfId="32578"/>
    <cellStyle name="Total 2 7 2 3 17 2" xfId="32579"/>
    <cellStyle name="Total 2 7 2 3 17 3" xfId="32580"/>
    <cellStyle name="Total 2 7 2 3 17 4" xfId="32581"/>
    <cellStyle name="Total 2 7 2 3 17 5" xfId="32582"/>
    <cellStyle name="Total 2 7 2 3 18" xfId="32583"/>
    <cellStyle name="Total 2 7 2 3 18 2" xfId="32584"/>
    <cellStyle name="Total 2 7 2 3 18 3" xfId="32585"/>
    <cellStyle name="Total 2 7 2 3 18 4" xfId="32586"/>
    <cellStyle name="Total 2 7 2 3 18 5" xfId="32587"/>
    <cellStyle name="Total 2 7 2 3 19" xfId="32588"/>
    <cellStyle name="Total 2 7 2 3 2" xfId="669"/>
    <cellStyle name="Total 2 7 2 3 2 10" xfId="32589"/>
    <cellStyle name="Total 2 7 2 3 2 10 2" xfId="32590"/>
    <cellStyle name="Total 2 7 2 3 2 10 3" xfId="32591"/>
    <cellStyle name="Total 2 7 2 3 2 10 4" xfId="32592"/>
    <cellStyle name="Total 2 7 2 3 2 10 5" xfId="32593"/>
    <cellStyle name="Total 2 7 2 3 2 10 6" xfId="49978"/>
    <cellStyle name="Total 2 7 2 3 2 10 7" xfId="58000"/>
    <cellStyle name="Total 2 7 2 3 2 11" xfId="32594"/>
    <cellStyle name="Total 2 7 2 3 2 11 2" xfId="32595"/>
    <cellStyle name="Total 2 7 2 3 2 11 3" xfId="32596"/>
    <cellStyle name="Total 2 7 2 3 2 11 4" xfId="32597"/>
    <cellStyle name="Total 2 7 2 3 2 11 5" xfId="32598"/>
    <cellStyle name="Total 2 7 2 3 2 12" xfId="32599"/>
    <cellStyle name="Total 2 7 2 3 2 12 2" xfId="32600"/>
    <cellStyle name="Total 2 7 2 3 2 12 3" xfId="32601"/>
    <cellStyle name="Total 2 7 2 3 2 12 4" xfId="32602"/>
    <cellStyle name="Total 2 7 2 3 2 12 5" xfId="32603"/>
    <cellStyle name="Total 2 7 2 3 2 13" xfId="32604"/>
    <cellStyle name="Total 2 7 2 3 2 13 2" xfId="32605"/>
    <cellStyle name="Total 2 7 2 3 2 13 3" xfId="32606"/>
    <cellStyle name="Total 2 7 2 3 2 13 4" xfId="32607"/>
    <cellStyle name="Total 2 7 2 3 2 13 5" xfId="32608"/>
    <cellStyle name="Total 2 7 2 3 2 14" xfId="32609"/>
    <cellStyle name="Total 2 7 2 3 2 14 2" xfId="32610"/>
    <cellStyle name="Total 2 7 2 3 2 14 3" xfId="32611"/>
    <cellStyle name="Total 2 7 2 3 2 14 4" xfId="32612"/>
    <cellStyle name="Total 2 7 2 3 2 14 5" xfId="32613"/>
    <cellStyle name="Total 2 7 2 3 2 15" xfId="32614"/>
    <cellStyle name="Total 2 7 2 3 2 15 2" xfId="32615"/>
    <cellStyle name="Total 2 7 2 3 2 15 3" xfId="32616"/>
    <cellStyle name="Total 2 7 2 3 2 15 4" xfId="32617"/>
    <cellStyle name="Total 2 7 2 3 2 15 5" xfId="32618"/>
    <cellStyle name="Total 2 7 2 3 2 16" xfId="32619"/>
    <cellStyle name="Total 2 7 2 3 2 16 2" xfId="32620"/>
    <cellStyle name="Total 2 7 2 3 2 16 3" xfId="32621"/>
    <cellStyle name="Total 2 7 2 3 2 16 4" xfId="32622"/>
    <cellStyle name="Total 2 7 2 3 2 16 5" xfId="32623"/>
    <cellStyle name="Total 2 7 2 3 2 17" xfId="32624"/>
    <cellStyle name="Total 2 7 2 3 2 17 2" xfId="32625"/>
    <cellStyle name="Total 2 7 2 3 2 17 3" xfId="32626"/>
    <cellStyle name="Total 2 7 2 3 2 17 4" xfId="32627"/>
    <cellStyle name="Total 2 7 2 3 2 17 5" xfId="32628"/>
    <cellStyle name="Total 2 7 2 3 2 18" xfId="32629"/>
    <cellStyle name="Total 2 7 2 3 2 18 2" xfId="32630"/>
    <cellStyle name="Total 2 7 2 3 2 18 3" xfId="32631"/>
    <cellStyle name="Total 2 7 2 3 2 18 4" xfId="32632"/>
    <cellStyle name="Total 2 7 2 3 2 18 5" xfId="32633"/>
    <cellStyle name="Total 2 7 2 3 2 19" xfId="32634"/>
    <cellStyle name="Total 2 7 2 3 2 2" xfId="2985"/>
    <cellStyle name="Total 2 7 2 3 2 2 2" xfId="32635"/>
    <cellStyle name="Total 2 7 2 3 2 2 2 2" xfId="49980"/>
    <cellStyle name="Total 2 7 2 3 2 2 2 3" xfId="58002"/>
    <cellStyle name="Total 2 7 2 3 2 2 3" xfId="32636"/>
    <cellStyle name="Total 2 7 2 3 2 2 4" xfId="32637"/>
    <cellStyle name="Total 2 7 2 3 2 2 5" xfId="32638"/>
    <cellStyle name="Total 2 7 2 3 2 2 6" xfId="36472"/>
    <cellStyle name="Total 2 7 2 3 2 2 7" xfId="49979"/>
    <cellStyle name="Total 2 7 2 3 2 2 8" xfId="58001"/>
    <cellStyle name="Total 2 7 2 3 2 20" xfId="1097"/>
    <cellStyle name="Total 2 7 2 3 2 21" xfId="35177"/>
    <cellStyle name="Total 2 7 2 3 2 22" xfId="41397"/>
    <cellStyle name="Total 2 7 2 3 2 3" xfId="2986"/>
    <cellStyle name="Total 2 7 2 3 2 3 2" xfId="32639"/>
    <cellStyle name="Total 2 7 2 3 2 3 3" xfId="32640"/>
    <cellStyle name="Total 2 7 2 3 2 3 4" xfId="32641"/>
    <cellStyle name="Total 2 7 2 3 2 3 5" xfId="32642"/>
    <cellStyle name="Total 2 7 2 3 2 3 6" xfId="36969"/>
    <cellStyle name="Total 2 7 2 3 2 3 7" xfId="49981"/>
    <cellStyle name="Total 2 7 2 3 2 3 8" xfId="58003"/>
    <cellStyle name="Total 2 7 2 3 2 4" xfId="1509"/>
    <cellStyle name="Total 2 7 2 3 2 4 2" xfId="32643"/>
    <cellStyle name="Total 2 7 2 3 2 4 3" xfId="32644"/>
    <cellStyle name="Total 2 7 2 3 2 4 4" xfId="32645"/>
    <cellStyle name="Total 2 7 2 3 2 4 5" xfId="32646"/>
    <cellStyle name="Total 2 7 2 3 2 4 6" xfId="37585"/>
    <cellStyle name="Total 2 7 2 3 2 4 7" xfId="49982"/>
    <cellStyle name="Total 2 7 2 3 2 4 8" xfId="58004"/>
    <cellStyle name="Total 2 7 2 3 2 5" xfId="3579"/>
    <cellStyle name="Total 2 7 2 3 2 5 2" xfId="32647"/>
    <cellStyle name="Total 2 7 2 3 2 5 3" xfId="32648"/>
    <cellStyle name="Total 2 7 2 3 2 5 4" xfId="32649"/>
    <cellStyle name="Total 2 7 2 3 2 5 5" xfId="32650"/>
    <cellStyle name="Total 2 7 2 3 2 5 6" xfId="38202"/>
    <cellStyle name="Total 2 7 2 3 2 5 7" xfId="49983"/>
    <cellStyle name="Total 2 7 2 3 2 5 8" xfId="58005"/>
    <cellStyle name="Total 2 7 2 3 2 6" xfId="3897"/>
    <cellStyle name="Total 2 7 2 3 2 6 2" xfId="32651"/>
    <cellStyle name="Total 2 7 2 3 2 6 3" xfId="32652"/>
    <cellStyle name="Total 2 7 2 3 2 6 4" xfId="32653"/>
    <cellStyle name="Total 2 7 2 3 2 6 5" xfId="32654"/>
    <cellStyle name="Total 2 7 2 3 2 6 6" xfId="38820"/>
    <cellStyle name="Total 2 7 2 3 2 6 7" xfId="49984"/>
    <cellStyle name="Total 2 7 2 3 2 6 8" xfId="58006"/>
    <cellStyle name="Total 2 7 2 3 2 7" xfId="32655"/>
    <cellStyle name="Total 2 7 2 3 2 7 2" xfId="32656"/>
    <cellStyle name="Total 2 7 2 3 2 7 3" xfId="32657"/>
    <cellStyle name="Total 2 7 2 3 2 7 4" xfId="32658"/>
    <cellStyle name="Total 2 7 2 3 2 7 5" xfId="32659"/>
    <cellStyle name="Total 2 7 2 3 2 7 6" xfId="39440"/>
    <cellStyle name="Total 2 7 2 3 2 7 7" xfId="49985"/>
    <cellStyle name="Total 2 7 2 3 2 7 8" xfId="58007"/>
    <cellStyle name="Total 2 7 2 3 2 8" xfId="32660"/>
    <cellStyle name="Total 2 7 2 3 2 8 2" xfId="32661"/>
    <cellStyle name="Total 2 7 2 3 2 8 3" xfId="32662"/>
    <cellStyle name="Total 2 7 2 3 2 8 4" xfId="32663"/>
    <cellStyle name="Total 2 7 2 3 2 8 5" xfId="32664"/>
    <cellStyle name="Total 2 7 2 3 2 8 6" xfId="40056"/>
    <cellStyle name="Total 2 7 2 3 2 8 7" xfId="49986"/>
    <cellStyle name="Total 2 7 2 3 2 8 8" xfId="58008"/>
    <cellStyle name="Total 2 7 2 3 2 9" xfId="32665"/>
    <cellStyle name="Total 2 7 2 3 2 9 2" xfId="32666"/>
    <cellStyle name="Total 2 7 2 3 2 9 3" xfId="32667"/>
    <cellStyle name="Total 2 7 2 3 2 9 4" xfId="32668"/>
    <cellStyle name="Total 2 7 2 3 2 9 5" xfId="32669"/>
    <cellStyle name="Total 2 7 2 3 2 9 6" xfId="40671"/>
    <cellStyle name="Total 2 7 2 3 2 9 7" xfId="49987"/>
    <cellStyle name="Total 2 7 2 3 2 9 8" xfId="58009"/>
    <cellStyle name="Total 2 7 2 3 20" xfId="885"/>
    <cellStyle name="Total 2 7 2 3 21" xfId="265"/>
    <cellStyle name="Total 2 7 2 3 22" xfId="40969"/>
    <cellStyle name="Total 2 7 2 3 23" xfId="41530"/>
    <cellStyle name="Total 2 7 2 3 24" xfId="50617"/>
    <cellStyle name="Total 2 7 2 3 3" xfId="2987"/>
    <cellStyle name="Total 2 7 2 3 3 10" xfId="34564"/>
    <cellStyle name="Total 2 7 2 3 3 10 2" xfId="49989"/>
    <cellStyle name="Total 2 7 2 3 3 10 3" xfId="58011"/>
    <cellStyle name="Total 2 7 2 3 3 11" xfId="41184"/>
    <cellStyle name="Total 2 7 2 3 3 12" xfId="49988"/>
    <cellStyle name="Total 2 7 2 3 3 13" xfId="58010"/>
    <cellStyle name="Total 2 7 2 3 3 2" xfId="2988"/>
    <cellStyle name="Total 2 7 2 3 3 2 2" xfId="36261"/>
    <cellStyle name="Total 2 7 2 3 3 2 3" xfId="49990"/>
    <cellStyle name="Total 2 7 2 3 3 2 4" xfId="58012"/>
    <cellStyle name="Total 2 7 2 3 3 3" xfId="2989"/>
    <cellStyle name="Total 2 7 2 3 3 3 2" xfId="36758"/>
    <cellStyle name="Total 2 7 2 3 3 3 3" xfId="49991"/>
    <cellStyle name="Total 2 7 2 3 3 3 4" xfId="58013"/>
    <cellStyle name="Total 2 7 2 3 3 4" xfId="32670"/>
    <cellStyle name="Total 2 7 2 3 3 4 2" xfId="37374"/>
    <cellStyle name="Total 2 7 2 3 3 4 3" xfId="49992"/>
    <cellStyle name="Total 2 7 2 3 3 4 4" xfId="58014"/>
    <cellStyle name="Total 2 7 2 3 3 5" xfId="32671"/>
    <cellStyle name="Total 2 7 2 3 3 5 2" xfId="37990"/>
    <cellStyle name="Total 2 7 2 3 3 5 3" xfId="49993"/>
    <cellStyle name="Total 2 7 2 3 3 5 4" xfId="58015"/>
    <cellStyle name="Total 2 7 2 3 3 6" xfId="38607"/>
    <cellStyle name="Total 2 7 2 3 3 6 2" xfId="49994"/>
    <cellStyle name="Total 2 7 2 3 3 6 3" xfId="58016"/>
    <cellStyle name="Total 2 7 2 3 3 7" xfId="39227"/>
    <cellStyle name="Total 2 7 2 3 3 7 2" xfId="49995"/>
    <cellStyle name="Total 2 7 2 3 3 7 3" xfId="58017"/>
    <cellStyle name="Total 2 7 2 3 3 8" xfId="39843"/>
    <cellStyle name="Total 2 7 2 3 3 8 2" xfId="49996"/>
    <cellStyle name="Total 2 7 2 3 3 8 3" xfId="58018"/>
    <cellStyle name="Total 2 7 2 3 3 9" xfId="40458"/>
    <cellStyle name="Total 2 7 2 3 3 9 2" xfId="49997"/>
    <cellStyle name="Total 2 7 2 3 3 9 3" xfId="58019"/>
    <cellStyle name="Total 2 7 2 3 4" xfId="2990"/>
    <cellStyle name="Total 2 7 2 3 4 10" xfId="49998"/>
    <cellStyle name="Total 2 7 2 3 4 11" xfId="58020"/>
    <cellStyle name="Total 2 7 2 3 4 2" xfId="32672"/>
    <cellStyle name="Total 2 7 2 3 4 2 2" xfId="49999"/>
    <cellStyle name="Total 2 7 2 3 4 2 3" xfId="58021"/>
    <cellStyle name="Total 2 7 2 3 4 3" xfId="32673"/>
    <cellStyle name="Total 2 7 2 3 4 3 2" xfId="50000"/>
    <cellStyle name="Total 2 7 2 3 4 3 3" xfId="58022"/>
    <cellStyle name="Total 2 7 2 3 4 4" xfId="32674"/>
    <cellStyle name="Total 2 7 2 3 4 4 2" xfId="50001"/>
    <cellStyle name="Total 2 7 2 3 4 4 3" xfId="58023"/>
    <cellStyle name="Total 2 7 2 3 4 5" xfId="32675"/>
    <cellStyle name="Total 2 7 2 3 4 5 2" xfId="50002"/>
    <cellStyle name="Total 2 7 2 3 4 5 3" xfId="58024"/>
    <cellStyle name="Total 2 7 2 3 4 6" xfId="36546"/>
    <cellStyle name="Total 2 7 2 3 4 6 2" xfId="50003"/>
    <cellStyle name="Total 2 7 2 3 4 6 3" xfId="58025"/>
    <cellStyle name="Total 2 7 2 3 4 7" xfId="50004"/>
    <cellStyle name="Total 2 7 2 3 4 7 2" xfId="58026"/>
    <cellStyle name="Total 2 7 2 3 4 8" xfId="50005"/>
    <cellStyle name="Total 2 7 2 3 4 8 2" xfId="58027"/>
    <cellStyle name="Total 2 7 2 3 4 9" xfId="50006"/>
    <cellStyle name="Total 2 7 2 3 4 9 2" xfId="58028"/>
    <cellStyle name="Total 2 7 2 3 5" xfId="1508"/>
    <cellStyle name="Total 2 7 2 3 5 2" xfId="32676"/>
    <cellStyle name="Total 2 7 2 3 5 3" xfId="32677"/>
    <cellStyle name="Total 2 7 2 3 5 4" xfId="32678"/>
    <cellStyle name="Total 2 7 2 3 5 5" xfId="32679"/>
    <cellStyle name="Total 2 7 2 3 5 6" xfId="37162"/>
    <cellStyle name="Total 2 7 2 3 5 7" xfId="50007"/>
    <cellStyle name="Total 2 7 2 3 5 8" xfId="58029"/>
    <cellStyle name="Total 2 7 2 3 6" xfId="3578"/>
    <cellStyle name="Total 2 7 2 3 6 2" xfId="32680"/>
    <cellStyle name="Total 2 7 2 3 6 3" xfId="32681"/>
    <cellStyle name="Total 2 7 2 3 6 4" xfId="32682"/>
    <cellStyle name="Total 2 7 2 3 6 5" xfId="32683"/>
    <cellStyle name="Total 2 7 2 3 6 6" xfId="37776"/>
    <cellStyle name="Total 2 7 2 3 6 7" xfId="50008"/>
    <cellStyle name="Total 2 7 2 3 6 8" xfId="58030"/>
    <cellStyle name="Total 2 7 2 3 7" xfId="3896"/>
    <cellStyle name="Total 2 7 2 3 7 2" xfId="32684"/>
    <cellStyle name="Total 2 7 2 3 7 3" xfId="32685"/>
    <cellStyle name="Total 2 7 2 3 7 4" xfId="32686"/>
    <cellStyle name="Total 2 7 2 3 7 5" xfId="32687"/>
    <cellStyle name="Total 2 7 2 3 7 6" xfId="38392"/>
    <cellStyle name="Total 2 7 2 3 7 7" xfId="50009"/>
    <cellStyle name="Total 2 7 2 3 7 8" xfId="58031"/>
    <cellStyle name="Total 2 7 2 3 8" xfId="32688"/>
    <cellStyle name="Total 2 7 2 3 8 2" xfId="32689"/>
    <cellStyle name="Total 2 7 2 3 8 3" xfId="32690"/>
    <cellStyle name="Total 2 7 2 3 8 4" xfId="32691"/>
    <cellStyle name="Total 2 7 2 3 8 5" xfId="32692"/>
    <cellStyle name="Total 2 7 2 3 8 6" xfId="39012"/>
    <cellStyle name="Total 2 7 2 3 8 7" xfId="50010"/>
    <cellStyle name="Total 2 7 2 3 8 8" xfId="58032"/>
    <cellStyle name="Total 2 7 2 3 9" xfId="32693"/>
    <cellStyle name="Total 2 7 2 3 9 2" xfId="32694"/>
    <cellStyle name="Total 2 7 2 3 9 3" xfId="32695"/>
    <cellStyle name="Total 2 7 2 3 9 4" xfId="32696"/>
    <cellStyle name="Total 2 7 2 3 9 5" xfId="32697"/>
    <cellStyle name="Total 2 7 2 3 9 6" xfId="39628"/>
    <cellStyle name="Total 2 7 2 3 9 7" xfId="50011"/>
    <cellStyle name="Total 2 7 2 3 9 8" xfId="58033"/>
    <cellStyle name="Total 2 7 2 4" xfId="541"/>
    <cellStyle name="Total 2 7 2 4 10" xfId="32698"/>
    <cellStyle name="Total 2 7 2 4 10 2" xfId="32699"/>
    <cellStyle name="Total 2 7 2 4 10 3" xfId="32700"/>
    <cellStyle name="Total 2 7 2 4 10 4" xfId="32701"/>
    <cellStyle name="Total 2 7 2 4 10 5" xfId="32702"/>
    <cellStyle name="Total 2 7 2 4 10 6" xfId="50012"/>
    <cellStyle name="Total 2 7 2 4 10 7" xfId="58034"/>
    <cellStyle name="Total 2 7 2 4 11" xfId="32703"/>
    <cellStyle name="Total 2 7 2 4 11 2" xfId="32704"/>
    <cellStyle name="Total 2 7 2 4 11 3" xfId="32705"/>
    <cellStyle name="Total 2 7 2 4 11 4" xfId="32706"/>
    <cellStyle name="Total 2 7 2 4 11 5" xfId="32707"/>
    <cellStyle name="Total 2 7 2 4 12" xfId="32708"/>
    <cellStyle name="Total 2 7 2 4 12 2" xfId="32709"/>
    <cellStyle name="Total 2 7 2 4 12 3" xfId="32710"/>
    <cellStyle name="Total 2 7 2 4 12 4" xfId="32711"/>
    <cellStyle name="Total 2 7 2 4 12 5" xfId="32712"/>
    <cellStyle name="Total 2 7 2 4 13" xfId="32713"/>
    <cellStyle name="Total 2 7 2 4 13 2" xfId="32714"/>
    <cellStyle name="Total 2 7 2 4 13 3" xfId="32715"/>
    <cellStyle name="Total 2 7 2 4 13 4" xfId="32716"/>
    <cellStyle name="Total 2 7 2 4 13 5" xfId="32717"/>
    <cellStyle name="Total 2 7 2 4 14" xfId="32718"/>
    <cellStyle name="Total 2 7 2 4 14 2" xfId="32719"/>
    <cellStyle name="Total 2 7 2 4 14 3" xfId="32720"/>
    <cellStyle name="Total 2 7 2 4 14 4" xfId="32721"/>
    <cellStyle name="Total 2 7 2 4 14 5" xfId="32722"/>
    <cellStyle name="Total 2 7 2 4 15" xfId="32723"/>
    <cellStyle name="Total 2 7 2 4 15 2" xfId="32724"/>
    <cellStyle name="Total 2 7 2 4 15 3" xfId="32725"/>
    <cellStyle name="Total 2 7 2 4 15 4" xfId="32726"/>
    <cellStyle name="Total 2 7 2 4 15 5" xfId="32727"/>
    <cellStyle name="Total 2 7 2 4 16" xfId="32728"/>
    <cellStyle name="Total 2 7 2 4 16 2" xfId="32729"/>
    <cellStyle name="Total 2 7 2 4 16 3" xfId="32730"/>
    <cellStyle name="Total 2 7 2 4 16 4" xfId="32731"/>
    <cellStyle name="Total 2 7 2 4 16 5" xfId="32732"/>
    <cellStyle name="Total 2 7 2 4 17" xfId="32733"/>
    <cellStyle name="Total 2 7 2 4 17 2" xfId="32734"/>
    <cellStyle name="Total 2 7 2 4 17 3" xfId="32735"/>
    <cellStyle name="Total 2 7 2 4 17 4" xfId="32736"/>
    <cellStyle name="Total 2 7 2 4 17 5" xfId="32737"/>
    <cellStyle name="Total 2 7 2 4 18" xfId="32738"/>
    <cellStyle name="Total 2 7 2 4 18 2" xfId="32739"/>
    <cellStyle name="Total 2 7 2 4 18 3" xfId="32740"/>
    <cellStyle name="Total 2 7 2 4 18 4" xfId="32741"/>
    <cellStyle name="Total 2 7 2 4 18 5" xfId="32742"/>
    <cellStyle name="Total 2 7 2 4 19" xfId="32743"/>
    <cellStyle name="Total 2 7 2 4 2" xfId="2991"/>
    <cellStyle name="Total 2 7 2 4 2 2" xfId="32744"/>
    <cellStyle name="Total 2 7 2 4 2 2 2" xfId="50014"/>
    <cellStyle name="Total 2 7 2 4 2 2 3" xfId="58036"/>
    <cellStyle name="Total 2 7 2 4 2 3" xfId="32745"/>
    <cellStyle name="Total 2 7 2 4 2 4" xfId="32746"/>
    <cellStyle name="Total 2 7 2 4 2 5" xfId="32747"/>
    <cellStyle name="Total 2 7 2 4 2 6" xfId="36345"/>
    <cellStyle name="Total 2 7 2 4 2 7" xfId="50013"/>
    <cellStyle name="Total 2 7 2 4 2 8" xfId="58035"/>
    <cellStyle name="Total 2 7 2 4 20" xfId="970"/>
    <cellStyle name="Total 2 7 2 4 21" xfId="35050"/>
    <cellStyle name="Total 2 7 2 4 22" xfId="40759"/>
    <cellStyle name="Total 2 7 2 4 23" xfId="41269"/>
    <cellStyle name="Total 2 7 2 4 3" xfId="2992"/>
    <cellStyle name="Total 2 7 2 4 3 2" xfId="32748"/>
    <cellStyle name="Total 2 7 2 4 3 3" xfId="32749"/>
    <cellStyle name="Total 2 7 2 4 3 4" xfId="32750"/>
    <cellStyle name="Total 2 7 2 4 3 5" xfId="32751"/>
    <cellStyle name="Total 2 7 2 4 3 6" xfId="36842"/>
    <cellStyle name="Total 2 7 2 4 3 7" xfId="50015"/>
    <cellStyle name="Total 2 7 2 4 3 8" xfId="58037"/>
    <cellStyle name="Total 2 7 2 4 4" xfId="1510"/>
    <cellStyle name="Total 2 7 2 4 4 2" xfId="32752"/>
    <cellStyle name="Total 2 7 2 4 4 3" xfId="32753"/>
    <cellStyle name="Total 2 7 2 4 4 4" xfId="32754"/>
    <cellStyle name="Total 2 7 2 4 4 5" xfId="32755"/>
    <cellStyle name="Total 2 7 2 4 4 6" xfId="37458"/>
    <cellStyle name="Total 2 7 2 4 4 7" xfId="50016"/>
    <cellStyle name="Total 2 7 2 4 4 8" xfId="58038"/>
    <cellStyle name="Total 2 7 2 4 5" xfId="3580"/>
    <cellStyle name="Total 2 7 2 4 5 2" xfId="32756"/>
    <cellStyle name="Total 2 7 2 4 5 3" xfId="32757"/>
    <cellStyle name="Total 2 7 2 4 5 4" xfId="32758"/>
    <cellStyle name="Total 2 7 2 4 5 5" xfId="32759"/>
    <cellStyle name="Total 2 7 2 4 5 6" xfId="38074"/>
    <cellStyle name="Total 2 7 2 4 5 7" xfId="50017"/>
    <cellStyle name="Total 2 7 2 4 5 8" xfId="58039"/>
    <cellStyle name="Total 2 7 2 4 6" xfId="3898"/>
    <cellStyle name="Total 2 7 2 4 6 2" xfId="32760"/>
    <cellStyle name="Total 2 7 2 4 6 3" xfId="32761"/>
    <cellStyle name="Total 2 7 2 4 6 4" xfId="32762"/>
    <cellStyle name="Total 2 7 2 4 6 5" xfId="32763"/>
    <cellStyle name="Total 2 7 2 4 6 6" xfId="38692"/>
    <cellStyle name="Total 2 7 2 4 6 7" xfId="50018"/>
    <cellStyle name="Total 2 7 2 4 6 8" xfId="58040"/>
    <cellStyle name="Total 2 7 2 4 7" xfId="32764"/>
    <cellStyle name="Total 2 7 2 4 7 2" xfId="32765"/>
    <cellStyle name="Total 2 7 2 4 7 3" xfId="32766"/>
    <cellStyle name="Total 2 7 2 4 7 4" xfId="32767"/>
    <cellStyle name="Total 2 7 2 4 7 5" xfId="32768"/>
    <cellStyle name="Total 2 7 2 4 7 6" xfId="39312"/>
    <cellStyle name="Total 2 7 2 4 7 7" xfId="50019"/>
    <cellStyle name="Total 2 7 2 4 7 8" xfId="58041"/>
    <cellStyle name="Total 2 7 2 4 8" xfId="32769"/>
    <cellStyle name="Total 2 7 2 4 8 2" xfId="32770"/>
    <cellStyle name="Total 2 7 2 4 8 3" xfId="32771"/>
    <cellStyle name="Total 2 7 2 4 8 4" xfId="32772"/>
    <cellStyle name="Total 2 7 2 4 8 5" xfId="32773"/>
    <cellStyle name="Total 2 7 2 4 8 6" xfId="39928"/>
    <cellStyle name="Total 2 7 2 4 8 7" xfId="50020"/>
    <cellStyle name="Total 2 7 2 4 8 8" xfId="58042"/>
    <cellStyle name="Total 2 7 2 4 9" xfId="32774"/>
    <cellStyle name="Total 2 7 2 4 9 2" xfId="32775"/>
    <cellStyle name="Total 2 7 2 4 9 3" xfId="32776"/>
    <cellStyle name="Total 2 7 2 4 9 4" xfId="32777"/>
    <cellStyle name="Total 2 7 2 4 9 5" xfId="32778"/>
    <cellStyle name="Total 2 7 2 4 9 6" xfId="40543"/>
    <cellStyle name="Total 2 7 2 4 9 7" xfId="50021"/>
    <cellStyle name="Total 2 7 2 4 9 8" xfId="58043"/>
    <cellStyle name="Total 2 7 2 5" xfId="2993"/>
    <cellStyle name="Total 2 7 2 5 10" xfId="34634"/>
    <cellStyle name="Total 2 7 2 5 10 2" xfId="50023"/>
    <cellStyle name="Total 2 7 2 5 10 3" xfId="58045"/>
    <cellStyle name="Total 2 7 2 5 11" xfId="41055"/>
    <cellStyle name="Total 2 7 2 5 12" xfId="50022"/>
    <cellStyle name="Total 2 7 2 5 13" xfId="58044"/>
    <cellStyle name="Total 2 7 2 5 2" xfId="2994"/>
    <cellStyle name="Total 2 7 2 5 2 2" xfId="36132"/>
    <cellStyle name="Total 2 7 2 5 2 3" xfId="50024"/>
    <cellStyle name="Total 2 7 2 5 2 4" xfId="58046"/>
    <cellStyle name="Total 2 7 2 5 3" xfId="2995"/>
    <cellStyle name="Total 2 7 2 5 3 2" xfId="36631"/>
    <cellStyle name="Total 2 7 2 5 3 3" xfId="50025"/>
    <cellStyle name="Total 2 7 2 5 3 4" xfId="58047"/>
    <cellStyle name="Total 2 7 2 5 4" xfId="32779"/>
    <cellStyle name="Total 2 7 2 5 4 2" xfId="37247"/>
    <cellStyle name="Total 2 7 2 5 4 3" xfId="50026"/>
    <cellStyle name="Total 2 7 2 5 4 4" xfId="58048"/>
    <cellStyle name="Total 2 7 2 5 5" xfId="32780"/>
    <cellStyle name="Total 2 7 2 5 5 2" xfId="37863"/>
    <cellStyle name="Total 2 7 2 5 5 3" xfId="50027"/>
    <cellStyle name="Total 2 7 2 5 5 4" xfId="58049"/>
    <cellStyle name="Total 2 7 2 5 6" xfId="38478"/>
    <cellStyle name="Total 2 7 2 5 6 2" xfId="50028"/>
    <cellStyle name="Total 2 7 2 5 6 3" xfId="58050"/>
    <cellStyle name="Total 2 7 2 5 7" xfId="39098"/>
    <cellStyle name="Total 2 7 2 5 7 2" xfId="50029"/>
    <cellStyle name="Total 2 7 2 5 7 3" xfId="58051"/>
    <cellStyle name="Total 2 7 2 5 8" xfId="39714"/>
    <cellStyle name="Total 2 7 2 5 8 2" xfId="50030"/>
    <cellStyle name="Total 2 7 2 5 8 3" xfId="58052"/>
    <cellStyle name="Total 2 7 2 5 9" xfId="40329"/>
    <cellStyle name="Total 2 7 2 5 9 2" xfId="50031"/>
    <cellStyle name="Total 2 7 2 5 9 3" xfId="58053"/>
    <cellStyle name="Total 2 7 2 6" xfId="1505"/>
    <cellStyle name="Total 2 7 2 6 10" xfId="50032"/>
    <cellStyle name="Total 2 7 2 6 11" xfId="58054"/>
    <cellStyle name="Total 2 7 2 6 2" xfId="32781"/>
    <cellStyle name="Total 2 7 2 6 2 2" xfId="50033"/>
    <cellStyle name="Total 2 7 2 6 2 3" xfId="58055"/>
    <cellStyle name="Total 2 7 2 6 3" xfId="32782"/>
    <cellStyle name="Total 2 7 2 6 3 2" xfId="50034"/>
    <cellStyle name="Total 2 7 2 6 3 3" xfId="58056"/>
    <cellStyle name="Total 2 7 2 6 4" xfId="32783"/>
    <cellStyle name="Total 2 7 2 6 4 2" xfId="50035"/>
    <cellStyle name="Total 2 7 2 6 4 3" xfId="58057"/>
    <cellStyle name="Total 2 7 2 6 5" xfId="32784"/>
    <cellStyle name="Total 2 7 2 6 5 2" xfId="50036"/>
    <cellStyle name="Total 2 7 2 6 5 3" xfId="58058"/>
    <cellStyle name="Total 2 7 2 6 6" xfId="35450"/>
    <cellStyle name="Total 2 7 2 6 6 2" xfId="50037"/>
    <cellStyle name="Total 2 7 2 6 6 3" xfId="58059"/>
    <cellStyle name="Total 2 7 2 6 7" xfId="50038"/>
    <cellStyle name="Total 2 7 2 6 7 2" xfId="58060"/>
    <cellStyle name="Total 2 7 2 6 8" xfId="50039"/>
    <cellStyle name="Total 2 7 2 6 8 2" xfId="58061"/>
    <cellStyle name="Total 2 7 2 6 9" xfId="50040"/>
    <cellStyle name="Total 2 7 2 6 9 2" xfId="58062"/>
    <cellStyle name="Total 2 7 2 7" xfId="3575"/>
    <cellStyle name="Total 2 7 2 7 2" xfId="32785"/>
    <cellStyle name="Total 2 7 2 7 3" xfId="32786"/>
    <cellStyle name="Total 2 7 2 7 4" xfId="32787"/>
    <cellStyle name="Total 2 7 2 7 5" xfId="32788"/>
    <cellStyle name="Total 2 7 2 7 6" xfId="35982"/>
    <cellStyle name="Total 2 7 2 7 7" xfId="50041"/>
    <cellStyle name="Total 2 7 2 7 8" xfId="58063"/>
    <cellStyle name="Total 2 7 2 8" xfId="3893"/>
    <cellStyle name="Total 2 7 2 8 2" xfId="32789"/>
    <cellStyle name="Total 2 7 2 8 3" xfId="32790"/>
    <cellStyle name="Total 2 7 2 8 4" xfId="32791"/>
    <cellStyle name="Total 2 7 2 8 5" xfId="32792"/>
    <cellStyle name="Total 2 7 2 8 6" xfId="35936"/>
    <cellStyle name="Total 2 7 2 8 7" xfId="50042"/>
    <cellStyle name="Total 2 7 2 8 8" xfId="58064"/>
    <cellStyle name="Total 2 7 2 9" xfId="32793"/>
    <cellStyle name="Total 2 7 2 9 2" xfId="32794"/>
    <cellStyle name="Total 2 7 2 9 3" xfId="32795"/>
    <cellStyle name="Total 2 7 2 9 4" xfId="32796"/>
    <cellStyle name="Total 2 7 2 9 5" xfId="32797"/>
    <cellStyle name="Total 2 7 2 9 6" xfId="37027"/>
    <cellStyle name="Total 2 7 2 9 7" xfId="50043"/>
    <cellStyle name="Total 2 7 2 9 8" xfId="58065"/>
    <cellStyle name="Total 2 7 20" xfId="32798"/>
    <cellStyle name="Total 2 7 21" xfId="710"/>
    <cellStyle name="Total 2 7 22" xfId="34845"/>
    <cellStyle name="Total 2 7 23" xfId="40794"/>
    <cellStyle name="Total 2 7 3" xfId="312"/>
    <cellStyle name="Total 2 7 3 10" xfId="32799"/>
    <cellStyle name="Total 2 7 3 10 2" xfId="32800"/>
    <cellStyle name="Total 2 7 3 10 3" xfId="32801"/>
    <cellStyle name="Total 2 7 3 10 4" xfId="32802"/>
    <cellStyle name="Total 2 7 3 10 5" xfId="32803"/>
    <cellStyle name="Total 2 7 3 10 6" xfId="37640"/>
    <cellStyle name="Total 2 7 3 10 7" xfId="50044"/>
    <cellStyle name="Total 2 7 3 10 8" xfId="58066"/>
    <cellStyle name="Total 2 7 3 11" xfId="32804"/>
    <cellStyle name="Total 2 7 3 11 2" xfId="32805"/>
    <cellStyle name="Total 2 7 3 11 3" xfId="32806"/>
    <cellStyle name="Total 2 7 3 11 4" xfId="32807"/>
    <cellStyle name="Total 2 7 3 11 5" xfId="32808"/>
    <cellStyle name="Total 2 7 3 11 6" xfId="38257"/>
    <cellStyle name="Total 2 7 3 11 7" xfId="50045"/>
    <cellStyle name="Total 2 7 3 11 8" xfId="58067"/>
    <cellStyle name="Total 2 7 3 12" xfId="32809"/>
    <cellStyle name="Total 2 7 3 12 2" xfId="32810"/>
    <cellStyle name="Total 2 7 3 12 3" xfId="32811"/>
    <cellStyle name="Total 2 7 3 12 4" xfId="32812"/>
    <cellStyle name="Total 2 7 3 12 5" xfId="32813"/>
    <cellStyle name="Total 2 7 3 12 6" xfId="38879"/>
    <cellStyle name="Total 2 7 3 12 7" xfId="50046"/>
    <cellStyle name="Total 2 7 3 12 8" xfId="58068"/>
    <cellStyle name="Total 2 7 3 13" xfId="32814"/>
    <cellStyle name="Total 2 7 3 13 2" xfId="32815"/>
    <cellStyle name="Total 2 7 3 13 3" xfId="32816"/>
    <cellStyle name="Total 2 7 3 13 4" xfId="32817"/>
    <cellStyle name="Total 2 7 3 13 5" xfId="32818"/>
    <cellStyle name="Total 2 7 3 13 6" xfId="39499"/>
    <cellStyle name="Total 2 7 3 13 7" xfId="50047"/>
    <cellStyle name="Total 2 7 3 13 8" xfId="58069"/>
    <cellStyle name="Total 2 7 3 14" xfId="32819"/>
    <cellStyle name="Total 2 7 3 14 2" xfId="32820"/>
    <cellStyle name="Total 2 7 3 14 3" xfId="32821"/>
    <cellStyle name="Total 2 7 3 14 4" xfId="32822"/>
    <cellStyle name="Total 2 7 3 14 5" xfId="32823"/>
    <cellStyle name="Total 2 7 3 14 6" xfId="40117"/>
    <cellStyle name="Total 2 7 3 14 7" xfId="50048"/>
    <cellStyle name="Total 2 7 3 14 8" xfId="58070"/>
    <cellStyle name="Total 2 7 3 15" xfId="32824"/>
    <cellStyle name="Total 2 7 3 15 2" xfId="32825"/>
    <cellStyle name="Total 2 7 3 15 3" xfId="32826"/>
    <cellStyle name="Total 2 7 3 15 4" xfId="32827"/>
    <cellStyle name="Total 2 7 3 15 5" xfId="32828"/>
    <cellStyle name="Total 2 7 3 15 6" xfId="50049"/>
    <cellStyle name="Total 2 7 3 15 7" xfId="58071"/>
    <cellStyle name="Total 2 7 3 16" xfId="32829"/>
    <cellStyle name="Total 2 7 3 16 2" xfId="32830"/>
    <cellStyle name="Total 2 7 3 16 3" xfId="32831"/>
    <cellStyle name="Total 2 7 3 16 4" xfId="32832"/>
    <cellStyle name="Total 2 7 3 16 5" xfId="32833"/>
    <cellStyle name="Total 2 7 3 17" xfId="32834"/>
    <cellStyle name="Total 2 7 3 17 2" xfId="32835"/>
    <cellStyle name="Total 2 7 3 17 3" xfId="32836"/>
    <cellStyle name="Total 2 7 3 17 4" xfId="32837"/>
    <cellStyle name="Total 2 7 3 17 5" xfId="32838"/>
    <cellStyle name="Total 2 7 3 18" xfId="32839"/>
    <cellStyle name="Total 2 7 3 19" xfId="757"/>
    <cellStyle name="Total 2 7 3 2" xfId="455"/>
    <cellStyle name="Total 2 7 3 2 10" xfId="32840"/>
    <cellStyle name="Total 2 7 3 2 10 2" xfId="32841"/>
    <cellStyle name="Total 2 7 3 2 10 3" xfId="32842"/>
    <cellStyle name="Total 2 7 3 2 10 4" xfId="32843"/>
    <cellStyle name="Total 2 7 3 2 10 5" xfId="32844"/>
    <cellStyle name="Total 2 7 3 2 10 6" xfId="39629"/>
    <cellStyle name="Total 2 7 3 2 10 7" xfId="50050"/>
    <cellStyle name="Total 2 7 3 2 10 8" xfId="58072"/>
    <cellStyle name="Total 2 7 3 2 11" xfId="32845"/>
    <cellStyle name="Total 2 7 3 2 11 2" xfId="32846"/>
    <cellStyle name="Total 2 7 3 2 11 3" xfId="32847"/>
    <cellStyle name="Total 2 7 3 2 11 4" xfId="32848"/>
    <cellStyle name="Total 2 7 3 2 11 5" xfId="32849"/>
    <cellStyle name="Total 2 7 3 2 11 6" xfId="40244"/>
    <cellStyle name="Total 2 7 3 2 11 7" xfId="50051"/>
    <cellStyle name="Total 2 7 3 2 11 8" xfId="58073"/>
    <cellStyle name="Total 2 7 3 2 12" xfId="32850"/>
    <cellStyle name="Total 2 7 3 2 12 2" xfId="32851"/>
    <cellStyle name="Total 2 7 3 2 12 3" xfId="32852"/>
    <cellStyle name="Total 2 7 3 2 12 4" xfId="32853"/>
    <cellStyle name="Total 2 7 3 2 12 5" xfId="32854"/>
    <cellStyle name="Total 2 7 3 2 12 6" xfId="50052"/>
    <cellStyle name="Total 2 7 3 2 12 7" xfId="58074"/>
    <cellStyle name="Total 2 7 3 2 13" xfId="32855"/>
    <cellStyle name="Total 2 7 3 2 13 2" xfId="32856"/>
    <cellStyle name="Total 2 7 3 2 13 3" xfId="32857"/>
    <cellStyle name="Total 2 7 3 2 13 4" xfId="32858"/>
    <cellStyle name="Total 2 7 3 2 13 5" xfId="32859"/>
    <cellStyle name="Total 2 7 3 2 13 6" xfId="50053"/>
    <cellStyle name="Total 2 7 3 2 13 7" xfId="58075"/>
    <cellStyle name="Total 2 7 3 2 14" xfId="32860"/>
    <cellStyle name="Total 2 7 3 2 14 2" xfId="32861"/>
    <cellStyle name="Total 2 7 3 2 14 3" xfId="32862"/>
    <cellStyle name="Total 2 7 3 2 14 4" xfId="32863"/>
    <cellStyle name="Total 2 7 3 2 14 5" xfId="32864"/>
    <cellStyle name="Total 2 7 3 2 15" xfId="32865"/>
    <cellStyle name="Total 2 7 3 2 15 2" xfId="32866"/>
    <cellStyle name="Total 2 7 3 2 15 3" xfId="32867"/>
    <cellStyle name="Total 2 7 3 2 15 4" xfId="32868"/>
    <cellStyle name="Total 2 7 3 2 15 5" xfId="32869"/>
    <cellStyle name="Total 2 7 3 2 16" xfId="32870"/>
    <cellStyle name="Total 2 7 3 2 16 2" xfId="32871"/>
    <cellStyle name="Total 2 7 3 2 16 3" xfId="32872"/>
    <cellStyle name="Total 2 7 3 2 16 4" xfId="32873"/>
    <cellStyle name="Total 2 7 3 2 16 5" xfId="32874"/>
    <cellStyle name="Total 2 7 3 2 17" xfId="32875"/>
    <cellStyle name="Total 2 7 3 2 17 2" xfId="32876"/>
    <cellStyle name="Total 2 7 3 2 17 3" xfId="32877"/>
    <cellStyle name="Total 2 7 3 2 17 4" xfId="32878"/>
    <cellStyle name="Total 2 7 3 2 17 5" xfId="32879"/>
    <cellStyle name="Total 2 7 3 2 18" xfId="32880"/>
    <cellStyle name="Total 2 7 3 2 18 2" xfId="32881"/>
    <cellStyle name="Total 2 7 3 2 18 3" xfId="32882"/>
    <cellStyle name="Total 2 7 3 2 18 4" xfId="32883"/>
    <cellStyle name="Total 2 7 3 2 18 5" xfId="32884"/>
    <cellStyle name="Total 2 7 3 2 19" xfId="32885"/>
    <cellStyle name="Total 2 7 3 2 2" xfId="670"/>
    <cellStyle name="Total 2 7 3 2 2 10" xfId="32886"/>
    <cellStyle name="Total 2 7 3 2 2 10 2" xfId="32887"/>
    <cellStyle name="Total 2 7 3 2 2 10 3" xfId="32888"/>
    <cellStyle name="Total 2 7 3 2 2 10 4" xfId="32889"/>
    <cellStyle name="Total 2 7 3 2 2 10 5" xfId="32890"/>
    <cellStyle name="Total 2 7 3 2 2 10 6" xfId="50054"/>
    <cellStyle name="Total 2 7 3 2 2 10 7" xfId="58076"/>
    <cellStyle name="Total 2 7 3 2 2 11" xfId="32891"/>
    <cellStyle name="Total 2 7 3 2 2 11 2" xfId="32892"/>
    <cellStyle name="Total 2 7 3 2 2 11 3" xfId="32893"/>
    <cellStyle name="Total 2 7 3 2 2 11 4" xfId="32894"/>
    <cellStyle name="Total 2 7 3 2 2 11 5" xfId="32895"/>
    <cellStyle name="Total 2 7 3 2 2 12" xfId="32896"/>
    <cellStyle name="Total 2 7 3 2 2 12 2" xfId="32897"/>
    <cellStyle name="Total 2 7 3 2 2 12 3" xfId="32898"/>
    <cellStyle name="Total 2 7 3 2 2 12 4" xfId="32899"/>
    <cellStyle name="Total 2 7 3 2 2 12 5" xfId="32900"/>
    <cellStyle name="Total 2 7 3 2 2 13" xfId="32901"/>
    <cellStyle name="Total 2 7 3 2 2 13 2" xfId="32902"/>
    <cellStyle name="Total 2 7 3 2 2 13 3" xfId="32903"/>
    <cellStyle name="Total 2 7 3 2 2 13 4" xfId="32904"/>
    <cellStyle name="Total 2 7 3 2 2 13 5" xfId="32905"/>
    <cellStyle name="Total 2 7 3 2 2 14" xfId="32906"/>
    <cellStyle name="Total 2 7 3 2 2 14 2" xfId="32907"/>
    <cellStyle name="Total 2 7 3 2 2 14 3" xfId="32908"/>
    <cellStyle name="Total 2 7 3 2 2 14 4" xfId="32909"/>
    <cellStyle name="Total 2 7 3 2 2 14 5" xfId="32910"/>
    <cellStyle name="Total 2 7 3 2 2 15" xfId="32911"/>
    <cellStyle name="Total 2 7 3 2 2 15 2" xfId="32912"/>
    <cellStyle name="Total 2 7 3 2 2 15 3" xfId="32913"/>
    <cellStyle name="Total 2 7 3 2 2 15 4" xfId="32914"/>
    <cellStyle name="Total 2 7 3 2 2 15 5" xfId="32915"/>
    <cellStyle name="Total 2 7 3 2 2 16" xfId="32916"/>
    <cellStyle name="Total 2 7 3 2 2 16 2" xfId="32917"/>
    <cellStyle name="Total 2 7 3 2 2 16 3" xfId="32918"/>
    <cellStyle name="Total 2 7 3 2 2 16 4" xfId="32919"/>
    <cellStyle name="Total 2 7 3 2 2 16 5" xfId="32920"/>
    <cellStyle name="Total 2 7 3 2 2 17" xfId="32921"/>
    <cellStyle name="Total 2 7 3 2 2 17 2" xfId="32922"/>
    <cellStyle name="Total 2 7 3 2 2 17 3" xfId="32923"/>
    <cellStyle name="Total 2 7 3 2 2 17 4" xfId="32924"/>
    <cellStyle name="Total 2 7 3 2 2 17 5" xfId="32925"/>
    <cellStyle name="Total 2 7 3 2 2 18" xfId="32926"/>
    <cellStyle name="Total 2 7 3 2 2 18 2" xfId="32927"/>
    <cellStyle name="Total 2 7 3 2 2 18 3" xfId="32928"/>
    <cellStyle name="Total 2 7 3 2 2 18 4" xfId="32929"/>
    <cellStyle name="Total 2 7 3 2 2 18 5" xfId="32930"/>
    <cellStyle name="Total 2 7 3 2 2 19" xfId="32931"/>
    <cellStyle name="Total 2 7 3 2 2 2" xfId="2996"/>
    <cellStyle name="Total 2 7 3 2 2 2 2" xfId="32932"/>
    <cellStyle name="Total 2 7 3 2 2 2 2 2" xfId="50056"/>
    <cellStyle name="Total 2 7 3 2 2 2 2 3" xfId="58078"/>
    <cellStyle name="Total 2 7 3 2 2 2 3" xfId="32933"/>
    <cellStyle name="Total 2 7 3 2 2 2 4" xfId="32934"/>
    <cellStyle name="Total 2 7 3 2 2 2 5" xfId="32935"/>
    <cellStyle name="Total 2 7 3 2 2 2 6" xfId="36473"/>
    <cellStyle name="Total 2 7 3 2 2 2 7" xfId="50055"/>
    <cellStyle name="Total 2 7 3 2 2 2 8" xfId="58077"/>
    <cellStyle name="Total 2 7 3 2 2 20" xfId="1098"/>
    <cellStyle name="Total 2 7 3 2 2 21" xfId="35178"/>
    <cellStyle name="Total 2 7 3 2 2 22" xfId="41398"/>
    <cellStyle name="Total 2 7 3 2 2 3" xfId="2997"/>
    <cellStyle name="Total 2 7 3 2 2 3 2" xfId="32936"/>
    <cellStyle name="Total 2 7 3 2 2 3 3" xfId="32937"/>
    <cellStyle name="Total 2 7 3 2 2 3 4" xfId="32938"/>
    <cellStyle name="Total 2 7 3 2 2 3 5" xfId="32939"/>
    <cellStyle name="Total 2 7 3 2 2 3 6" xfId="36970"/>
    <cellStyle name="Total 2 7 3 2 2 3 7" xfId="50057"/>
    <cellStyle name="Total 2 7 3 2 2 3 8" xfId="58079"/>
    <cellStyle name="Total 2 7 3 2 2 4" xfId="1513"/>
    <cellStyle name="Total 2 7 3 2 2 4 2" xfId="32940"/>
    <cellStyle name="Total 2 7 3 2 2 4 3" xfId="32941"/>
    <cellStyle name="Total 2 7 3 2 2 4 4" xfId="32942"/>
    <cellStyle name="Total 2 7 3 2 2 4 5" xfId="32943"/>
    <cellStyle name="Total 2 7 3 2 2 4 6" xfId="37586"/>
    <cellStyle name="Total 2 7 3 2 2 4 7" xfId="50058"/>
    <cellStyle name="Total 2 7 3 2 2 4 8" xfId="58080"/>
    <cellStyle name="Total 2 7 3 2 2 5" xfId="3583"/>
    <cellStyle name="Total 2 7 3 2 2 5 2" xfId="32944"/>
    <cellStyle name="Total 2 7 3 2 2 5 3" xfId="32945"/>
    <cellStyle name="Total 2 7 3 2 2 5 4" xfId="32946"/>
    <cellStyle name="Total 2 7 3 2 2 5 5" xfId="32947"/>
    <cellStyle name="Total 2 7 3 2 2 5 6" xfId="38203"/>
    <cellStyle name="Total 2 7 3 2 2 5 7" xfId="50059"/>
    <cellStyle name="Total 2 7 3 2 2 5 8" xfId="58081"/>
    <cellStyle name="Total 2 7 3 2 2 6" xfId="3901"/>
    <cellStyle name="Total 2 7 3 2 2 6 2" xfId="32948"/>
    <cellStyle name="Total 2 7 3 2 2 6 3" xfId="32949"/>
    <cellStyle name="Total 2 7 3 2 2 6 4" xfId="32950"/>
    <cellStyle name="Total 2 7 3 2 2 6 5" xfId="32951"/>
    <cellStyle name="Total 2 7 3 2 2 6 6" xfId="38821"/>
    <cellStyle name="Total 2 7 3 2 2 6 7" xfId="50060"/>
    <cellStyle name="Total 2 7 3 2 2 6 8" xfId="58082"/>
    <cellStyle name="Total 2 7 3 2 2 7" xfId="32952"/>
    <cellStyle name="Total 2 7 3 2 2 7 2" xfId="32953"/>
    <cellStyle name="Total 2 7 3 2 2 7 3" xfId="32954"/>
    <cellStyle name="Total 2 7 3 2 2 7 4" xfId="32955"/>
    <cellStyle name="Total 2 7 3 2 2 7 5" xfId="32956"/>
    <cellStyle name="Total 2 7 3 2 2 7 6" xfId="39441"/>
    <cellStyle name="Total 2 7 3 2 2 7 7" xfId="50061"/>
    <cellStyle name="Total 2 7 3 2 2 7 8" xfId="58083"/>
    <cellStyle name="Total 2 7 3 2 2 8" xfId="32957"/>
    <cellStyle name="Total 2 7 3 2 2 8 2" xfId="32958"/>
    <cellStyle name="Total 2 7 3 2 2 8 3" xfId="32959"/>
    <cellStyle name="Total 2 7 3 2 2 8 4" xfId="32960"/>
    <cellStyle name="Total 2 7 3 2 2 8 5" xfId="32961"/>
    <cellStyle name="Total 2 7 3 2 2 8 6" xfId="40057"/>
    <cellStyle name="Total 2 7 3 2 2 8 7" xfId="50062"/>
    <cellStyle name="Total 2 7 3 2 2 8 8" xfId="58084"/>
    <cellStyle name="Total 2 7 3 2 2 9" xfId="32962"/>
    <cellStyle name="Total 2 7 3 2 2 9 2" xfId="32963"/>
    <cellStyle name="Total 2 7 3 2 2 9 3" xfId="32964"/>
    <cellStyle name="Total 2 7 3 2 2 9 4" xfId="32965"/>
    <cellStyle name="Total 2 7 3 2 2 9 5" xfId="32966"/>
    <cellStyle name="Total 2 7 3 2 2 9 6" xfId="40672"/>
    <cellStyle name="Total 2 7 3 2 2 9 7" xfId="50063"/>
    <cellStyle name="Total 2 7 3 2 2 9 8" xfId="58085"/>
    <cellStyle name="Total 2 7 3 2 20" xfId="886"/>
    <cellStyle name="Total 2 7 3 2 21" xfId="34657"/>
    <cellStyle name="Total 2 7 3 2 22" xfId="40970"/>
    <cellStyle name="Total 2 7 3 2 23" xfId="41531"/>
    <cellStyle name="Total 2 7 3 2 24" xfId="50618"/>
    <cellStyle name="Total 2 7 3 2 3" xfId="2998"/>
    <cellStyle name="Total 2 7 3 2 3 10" xfId="34967"/>
    <cellStyle name="Total 2 7 3 2 3 10 2" xfId="50065"/>
    <cellStyle name="Total 2 7 3 2 3 10 3" xfId="58087"/>
    <cellStyle name="Total 2 7 3 2 3 11" xfId="41185"/>
    <cellStyle name="Total 2 7 3 2 3 12" xfId="50064"/>
    <cellStyle name="Total 2 7 3 2 3 13" xfId="58086"/>
    <cellStyle name="Total 2 7 3 2 3 2" xfId="2999"/>
    <cellStyle name="Total 2 7 3 2 3 2 2" xfId="36262"/>
    <cellStyle name="Total 2 7 3 2 3 2 3" xfId="50066"/>
    <cellStyle name="Total 2 7 3 2 3 2 4" xfId="58088"/>
    <cellStyle name="Total 2 7 3 2 3 3" xfId="3000"/>
    <cellStyle name="Total 2 7 3 2 3 3 2" xfId="36759"/>
    <cellStyle name="Total 2 7 3 2 3 3 3" xfId="50067"/>
    <cellStyle name="Total 2 7 3 2 3 3 4" xfId="58089"/>
    <cellStyle name="Total 2 7 3 2 3 4" xfId="32967"/>
    <cellStyle name="Total 2 7 3 2 3 4 2" xfId="37375"/>
    <cellStyle name="Total 2 7 3 2 3 4 3" xfId="50068"/>
    <cellStyle name="Total 2 7 3 2 3 4 4" xfId="58090"/>
    <cellStyle name="Total 2 7 3 2 3 5" xfId="32968"/>
    <cellStyle name="Total 2 7 3 2 3 5 2" xfId="37991"/>
    <cellStyle name="Total 2 7 3 2 3 5 3" xfId="50069"/>
    <cellStyle name="Total 2 7 3 2 3 5 4" xfId="58091"/>
    <cellStyle name="Total 2 7 3 2 3 6" xfId="38608"/>
    <cellStyle name="Total 2 7 3 2 3 6 2" xfId="50070"/>
    <cellStyle name="Total 2 7 3 2 3 6 3" xfId="58092"/>
    <cellStyle name="Total 2 7 3 2 3 7" xfId="39228"/>
    <cellStyle name="Total 2 7 3 2 3 7 2" xfId="50071"/>
    <cellStyle name="Total 2 7 3 2 3 7 3" xfId="58093"/>
    <cellStyle name="Total 2 7 3 2 3 8" xfId="39844"/>
    <cellStyle name="Total 2 7 3 2 3 8 2" xfId="50072"/>
    <cellStyle name="Total 2 7 3 2 3 8 3" xfId="58094"/>
    <cellStyle name="Total 2 7 3 2 3 9" xfId="40459"/>
    <cellStyle name="Total 2 7 3 2 3 9 2" xfId="50073"/>
    <cellStyle name="Total 2 7 3 2 3 9 3" xfId="58095"/>
    <cellStyle name="Total 2 7 3 2 4" xfId="3001"/>
    <cellStyle name="Total 2 7 3 2 4 10" xfId="50074"/>
    <cellStyle name="Total 2 7 3 2 4 11" xfId="58096"/>
    <cellStyle name="Total 2 7 3 2 4 2" xfId="32969"/>
    <cellStyle name="Total 2 7 3 2 4 2 2" xfId="50075"/>
    <cellStyle name="Total 2 7 3 2 4 2 3" xfId="58097"/>
    <cellStyle name="Total 2 7 3 2 4 3" xfId="32970"/>
    <cellStyle name="Total 2 7 3 2 4 3 2" xfId="50076"/>
    <cellStyle name="Total 2 7 3 2 4 3 3" xfId="58098"/>
    <cellStyle name="Total 2 7 3 2 4 4" xfId="32971"/>
    <cellStyle name="Total 2 7 3 2 4 4 2" xfId="50077"/>
    <cellStyle name="Total 2 7 3 2 4 4 3" xfId="58099"/>
    <cellStyle name="Total 2 7 3 2 4 5" xfId="32972"/>
    <cellStyle name="Total 2 7 3 2 4 5 2" xfId="50078"/>
    <cellStyle name="Total 2 7 3 2 4 5 3" xfId="58100"/>
    <cellStyle name="Total 2 7 3 2 4 6" xfId="35720"/>
    <cellStyle name="Total 2 7 3 2 4 6 2" xfId="50079"/>
    <cellStyle name="Total 2 7 3 2 4 6 3" xfId="58101"/>
    <cellStyle name="Total 2 7 3 2 4 7" xfId="50080"/>
    <cellStyle name="Total 2 7 3 2 4 7 2" xfId="58102"/>
    <cellStyle name="Total 2 7 3 2 4 8" xfId="50081"/>
    <cellStyle name="Total 2 7 3 2 4 8 2" xfId="58103"/>
    <cellStyle name="Total 2 7 3 2 4 9" xfId="50082"/>
    <cellStyle name="Total 2 7 3 2 4 9 2" xfId="58104"/>
    <cellStyle name="Total 2 7 3 2 5" xfId="1512"/>
    <cellStyle name="Total 2 7 3 2 5 2" xfId="32973"/>
    <cellStyle name="Total 2 7 3 2 5 3" xfId="32974"/>
    <cellStyle name="Total 2 7 3 2 5 4" xfId="32975"/>
    <cellStyle name="Total 2 7 3 2 5 5" xfId="32976"/>
    <cellStyle name="Total 2 7 3 2 5 6" xfId="36547"/>
    <cellStyle name="Total 2 7 3 2 5 7" xfId="50083"/>
    <cellStyle name="Total 2 7 3 2 5 8" xfId="58105"/>
    <cellStyle name="Total 2 7 3 2 6" xfId="3582"/>
    <cellStyle name="Total 2 7 3 2 6 2" xfId="32977"/>
    <cellStyle name="Total 2 7 3 2 6 3" xfId="32978"/>
    <cellStyle name="Total 2 7 3 2 6 4" xfId="32979"/>
    <cellStyle name="Total 2 7 3 2 6 5" xfId="32980"/>
    <cellStyle name="Total 2 7 3 2 6 6" xfId="37163"/>
    <cellStyle name="Total 2 7 3 2 6 7" xfId="50084"/>
    <cellStyle name="Total 2 7 3 2 6 8" xfId="58106"/>
    <cellStyle name="Total 2 7 3 2 7" xfId="3900"/>
    <cellStyle name="Total 2 7 3 2 7 2" xfId="32981"/>
    <cellStyle name="Total 2 7 3 2 7 3" xfId="32982"/>
    <cellStyle name="Total 2 7 3 2 7 4" xfId="32983"/>
    <cellStyle name="Total 2 7 3 2 7 5" xfId="32984"/>
    <cellStyle name="Total 2 7 3 2 7 6" xfId="37777"/>
    <cellStyle name="Total 2 7 3 2 7 7" xfId="50085"/>
    <cellStyle name="Total 2 7 3 2 7 8" xfId="58107"/>
    <cellStyle name="Total 2 7 3 2 8" xfId="32985"/>
    <cellStyle name="Total 2 7 3 2 8 2" xfId="32986"/>
    <cellStyle name="Total 2 7 3 2 8 3" xfId="32987"/>
    <cellStyle name="Total 2 7 3 2 8 4" xfId="32988"/>
    <cellStyle name="Total 2 7 3 2 8 5" xfId="32989"/>
    <cellStyle name="Total 2 7 3 2 8 6" xfId="38393"/>
    <cellStyle name="Total 2 7 3 2 8 7" xfId="50086"/>
    <cellStyle name="Total 2 7 3 2 8 8" xfId="58108"/>
    <cellStyle name="Total 2 7 3 2 9" xfId="32990"/>
    <cellStyle name="Total 2 7 3 2 9 2" xfId="32991"/>
    <cellStyle name="Total 2 7 3 2 9 3" xfId="32992"/>
    <cellStyle name="Total 2 7 3 2 9 4" xfId="32993"/>
    <cellStyle name="Total 2 7 3 2 9 5" xfId="32994"/>
    <cellStyle name="Total 2 7 3 2 9 6" xfId="39013"/>
    <cellStyle name="Total 2 7 3 2 9 7" xfId="50087"/>
    <cellStyle name="Total 2 7 3 2 9 8" xfId="58109"/>
    <cellStyle name="Total 2 7 3 20" xfId="34829"/>
    <cellStyle name="Total 2 7 3 21" xfId="40841"/>
    <cellStyle name="Total 2 7 3 3" xfId="456"/>
    <cellStyle name="Total 2 7 3 3 10" xfId="32995"/>
    <cellStyle name="Total 2 7 3 3 10 2" xfId="32996"/>
    <cellStyle name="Total 2 7 3 3 10 3" xfId="32997"/>
    <cellStyle name="Total 2 7 3 3 10 4" xfId="32998"/>
    <cellStyle name="Total 2 7 3 3 10 5" xfId="32999"/>
    <cellStyle name="Total 2 7 3 3 10 6" xfId="40245"/>
    <cellStyle name="Total 2 7 3 3 10 7" xfId="50088"/>
    <cellStyle name="Total 2 7 3 3 10 8" xfId="58110"/>
    <cellStyle name="Total 2 7 3 3 11" xfId="33000"/>
    <cellStyle name="Total 2 7 3 3 11 2" xfId="33001"/>
    <cellStyle name="Total 2 7 3 3 11 3" xfId="33002"/>
    <cellStyle name="Total 2 7 3 3 11 4" xfId="33003"/>
    <cellStyle name="Total 2 7 3 3 11 5" xfId="33004"/>
    <cellStyle name="Total 2 7 3 3 11 6" xfId="50089"/>
    <cellStyle name="Total 2 7 3 3 11 7" xfId="58111"/>
    <cellStyle name="Total 2 7 3 3 12" xfId="33005"/>
    <cellStyle name="Total 2 7 3 3 12 2" xfId="33006"/>
    <cellStyle name="Total 2 7 3 3 12 3" xfId="33007"/>
    <cellStyle name="Total 2 7 3 3 12 4" xfId="33008"/>
    <cellStyle name="Total 2 7 3 3 12 5" xfId="33009"/>
    <cellStyle name="Total 2 7 3 3 12 6" xfId="50090"/>
    <cellStyle name="Total 2 7 3 3 12 7" xfId="58112"/>
    <cellStyle name="Total 2 7 3 3 13" xfId="33010"/>
    <cellStyle name="Total 2 7 3 3 13 2" xfId="33011"/>
    <cellStyle name="Total 2 7 3 3 13 3" xfId="33012"/>
    <cellStyle name="Total 2 7 3 3 13 4" xfId="33013"/>
    <cellStyle name="Total 2 7 3 3 13 5" xfId="33014"/>
    <cellStyle name="Total 2 7 3 3 13 6" xfId="50091"/>
    <cellStyle name="Total 2 7 3 3 13 7" xfId="58113"/>
    <cellStyle name="Total 2 7 3 3 14" xfId="33015"/>
    <cellStyle name="Total 2 7 3 3 14 2" xfId="33016"/>
    <cellStyle name="Total 2 7 3 3 14 3" xfId="33017"/>
    <cellStyle name="Total 2 7 3 3 14 4" xfId="33018"/>
    <cellStyle name="Total 2 7 3 3 14 5" xfId="33019"/>
    <cellStyle name="Total 2 7 3 3 15" xfId="33020"/>
    <cellStyle name="Total 2 7 3 3 15 2" xfId="33021"/>
    <cellStyle name="Total 2 7 3 3 15 3" xfId="33022"/>
    <cellStyle name="Total 2 7 3 3 15 4" xfId="33023"/>
    <cellStyle name="Total 2 7 3 3 15 5" xfId="33024"/>
    <cellStyle name="Total 2 7 3 3 16" xfId="33025"/>
    <cellStyle name="Total 2 7 3 3 16 2" xfId="33026"/>
    <cellStyle name="Total 2 7 3 3 16 3" xfId="33027"/>
    <cellStyle name="Total 2 7 3 3 16 4" xfId="33028"/>
    <cellStyle name="Total 2 7 3 3 16 5" xfId="33029"/>
    <cellStyle name="Total 2 7 3 3 17" xfId="33030"/>
    <cellStyle name="Total 2 7 3 3 17 2" xfId="33031"/>
    <cellStyle name="Total 2 7 3 3 17 3" xfId="33032"/>
    <cellStyle name="Total 2 7 3 3 17 4" xfId="33033"/>
    <cellStyle name="Total 2 7 3 3 17 5" xfId="33034"/>
    <cellStyle name="Total 2 7 3 3 18" xfId="33035"/>
    <cellStyle name="Total 2 7 3 3 18 2" xfId="33036"/>
    <cellStyle name="Total 2 7 3 3 18 3" xfId="33037"/>
    <cellStyle name="Total 2 7 3 3 18 4" xfId="33038"/>
    <cellStyle name="Total 2 7 3 3 18 5" xfId="33039"/>
    <cellStyle name="Total 2 7 3 3 19" xfId="33040"/>
    <cellStyle name="Total 2 7 3 3 2" xfId="671"/>
    <cellStyle name="Total 2 7 3 3 2 10" xfId="33041"/>
    <cellStyle name="Total 2 7 3 3 2 10 2" xfId="33042"/>
    <cellStyle name="Total 2 7 3 3 2 10 3" xfId="33043"/>
    <cellStyle name="Total 2 7 3 3 2 10 4" xfId="33044"/>
    <cellStyle name="Total 2 7 3 3 2 10 5" xfId="33045"/>
    <cellStyle name="Total 2 7 3 3 2 10 6" xfId="50092"/>
    <cellStyle name="Total 2 7 3 3 2 10 7" xfId="58114"/>
    <cellStyle name="Total 2 7 3 3 2 11" xfId="33046"/>
    <cellStyle name="Total 2 7 3 3 2 11 2" xfId="33047"/>
    <cellStyle name="Total 2 7 3 3 2 11 3" xfId="33048"/>
    <cellStyle name="Total 2 7 3 3 2 11 4" xfId="33049"/>
    <cellStyle name="Total 2 7 3 3 2 11 5" xfId="33050"/>
    <cellStyle name="Total 2 7 3 3 2 12" xfId="33051"/>
    <cellStyle name="Total 2 7 3 3 2 12 2" xfId="33052"/>
    <cellStyle name="Total 2 7 3 3 2 12 3" xfId="33053"/>
    <cellStyle name="Total 2 7 3 3 2 12 4" xfId="33054"/>
    <cellStyle name="Total 2 7 3 3 2 12 5" xfId="33055"/>
    <cellStyle name="Total 2 7 3 3 2 13" xfId="33056"/>
    <cellStyle name="Total 2 7 3 3 2 13 2" xfId="33057"/>
    <cellStyle name="Total 2 7 3 3 2 13 3" xfId="33058"/>
    <cellStyle name="Total 2 7 3 3 2 13 4" xfId="33059"/>
    <cellStyle name="Total 2 7 3 3 2 13 5" xfId="33060"/>
    <cellStyle name="Total 2 7 3 3 2 14" xfId="33061"/>
    <cellStyle name="Total 2 7 3 3 2 14 2" xfId="33062"/>
    <cellStyle name="Total 2 7 3 3 2 14 3" xfId="33063"/>
    <cellStyle name="Total 2 7 3 3 2 14 4" xfId="33064"/>
    <cellStyle name="Total 2 7 3 3 2 14 5" xfId="33065"/>
    <cellStyle name="Total 2 7 3 3 2 15" xfId="33066"/>
    <cellStyle name="Total 2 7 3 3 2 15 2" xfId="33067"/>
    <cellStyle name="Total 2 7 3 3 2 15 3" xfId="33068"/>
    <cellStyle name="Total 2 7 3 3 2 15 4" xfId="33069"/>
    <cellStyle name="Total 2 7 3 3 2 15 5" xfId="33070"/>
    <cellStyle name="Total 2 7 3 3 2 16" xfId="33071"/>
    <cellStyle name="Total 2 7 3 3 2 16 2" xfId="33072"/>
    <cellStyle name="Total 2 7 3 3 2 16 3" xfId="33073"/>
    <cellStyle name="Total 2 7 3 3 2 16 4" xfId="33074"/>
    <cellStyle name="Total 2 7 3 3 2 16 5" xfId="33075"/>
    <cellStyle name="Total 2 7 3 3 2 17" xfId="33076"/>
    <cellStyle name="Total 2 7 3 3 2 17 2" xfId="33077"/>
    <cellStyle name="Total 2 7 3 3 2 17 3" xfId="33078"/>
    <cellStyle name="Total 2 7 3 3 2 17 4" xfId="33079"/>
    <cellStyle name="Total 2 7 3 3 2 17 5" xfId="33080"/>
    <cellStyle name="Total 2 7 3 3 2 18" xfId="33081"/>
    <cellStyle name="Total 2 7 3 3 2 18 2" xfId="33082"/>
    <cellStyle name="Total 2 7 3 3 2 18 3" xfId="33083"/>
    <cellStyle name="Total 2 7 3 3 2 18 4" xfId="33084"/>
    <cellStyle name="Total 2 7 3 3 2 18 5" xfId="33085"/>
    <cellStyle name="Total 2 7 3 3 2 19" xfId="33086"/>
    <cellStyle name="Total 2 7 3 3 2 2" xfId="3002"/>
    <cellStyle name="Total 2 7 3 3 2 2 2" xfId="33087"/>
    <cellStyle name="Total 2 7 3 3 2 2 2 2" xfId="50094"/>
    <cellStyle name="Total 2 7 3 3 2 2 2 3" xfId="58116"/>
    <cellStyle name="Total 2 7 3 3 2 2 3" xfId="33088"/>
    <cellStyle name="Total 2 7 3 3 2 2 4" xfId="33089"/>
    <cellStyle name="Total 2 7 3 3 2 2 5" xfId="33090"/>
    <cellStyle name="Total 2 7 3 3 2 2 6" xfId="36474"/>
    <cellStyle name="Total 2 7 3 3 2 2 7" xfId="50093"/>
    <cellStyle name="Total 2 7 3 3 2 2 8" xfId="58115"/>
    <cellStyle name="Total 2 7 3 3 2 20" xfId="1099"/>
    <cellStyle name="Total 2 7 3 3 2 21" xfId="35179"/>
    <cellStyle name="Total 2 7 3 3 2 22" xfId="41399"/>
    <cellStyle name="Total 2 7 3 3 2 3" xfId="3003"/>
    <cellStyle name="Total 2 7 3 3 2 3 2" xfId="33091"/>
    <cellStyle name="Total 2 7 3 3 2 3 3" xfId="33092"/>
    <cellStyle name="Total 2 7 3 3 2 3 4" xfId="33093"/>
    <cellStyle name="Total 2 7 3 3 2 3 5" xfId="33094"/>
    <cellStyle name="Total 2 7 3 3 2 3 6" xfId="36971"/>
    <cellStyle name="Total 2 7 3 3 2 3 7" xfId="50095"/>
    <cellStyle name="Total 2 7 3 3 2 3 8" xfId="58117"/>
    <cellStyle name="Total 2 7 3 3 2 4" xfId="1515"/>
    <cellStyle name="Total 2 7 3 3 2 4 2" xfId="33095"/>
    <cellStyle name="Total 2 7 3 3 2 4 3" xfId="33096"/>
    <cellStyle name="Total 2 7 3 3 2 4 4" xfId="33097"/>
    <cellStyle name="Total 2 7 3 3 2 4 5" xfId="33098"/>
    <cellStyle name="Total 2 7 3 3 2 4 6" xfId="37587"/>
    <cellStyle name="Total 2 7 3 3 2 4 7" xfId="50096"/>
    <cellStyle name="Total 2 7 3 3 2 4 8" xfId="58118"/>
    <cellStyle name="Total 2 7 3 3 2 5" xfId="3585"/>
    <cellStyle name="Total 2 7 3 3 2 5 2" xfId="33099"/>
    <cellStyle name="Total 2 7 3 3 2 5 3" xfId="33100"/>
    <cellStyle name="Total 2 7 3 3 2 5 4" xfId="33101"/>
    <cellStyle name="Total 2 7 3 3 2 5 5" xfId="33102"/>
    <cellStyle name="Total 2 7 3 3 2 5 6" xfId="38204"/>
    <cellStyle name="Total 2 7 3 3 2 5 7" xfId="50097"/>
    <cellStyle name="Total 2 7 3 3 2 5 8" xfId="58119"/>
    <cellStyle name="Total 2 7 3 3 2 6" xfId="3903"/>
    <cellStyle name="Total 2 7 3 3 2 6 2" xfId="33103"/>
    <cellStyle name="Total 2 7 3 3 2 6 3" xfId="33104"/>
    <cellStyle name="Total 2 7 3 3 2 6 4" xfId="33105"/>
    <cellStyle name="Total 2 7 3 3 2 6 5" xfId="33106"/>
    <cellStyle name="Total 2 7 3 3 2 6 6" xfId="38822"/>
    <cellStyle name="Total 2 7 3 3 2 6 7" xfId="50098"/>
    <cellStyle name="Total 2 7 3 3 2 6 8" xfId="58120"/>
    <cellStyle name="Total 2 7 3 3 2 7" xfId="33107"/>
    <cellStyle name="Total 2 7 3 3 2 7 2" xfId="33108"/>
    <cellStyle name="Total 2 7 3 3 2 7 3" xfId="33109"/>
    <cellStyle name="Total 2 7 3 3 2 7 4" xfId="33110"/>
    <cellStyle name="Total 2 7 3 3 2 7 5" xfId="33111"/>
    <cellStyle name="Total 2 7 3 3 2 7 6" xfId="39442"/>
    <cellStyle name="Total 2 7 3 3 2 7 7" xfId="50099"/>
    <cellStyle name="Total 2 7 3 3 2 7 8" xfId="58121"/>
    <cellStyle name="Total 2 7 3 3 2 8" xfId="33112"/>
    <cellStyle name="Total 2 7 3 3 2 8 2" xfId="33113"/>
    <cellStyle name="Total 2 7 3 3 2 8 3" xfId="33114"/>
    <cellStyle name="Total 2 7 3 3 2 8 4" xfId="33115"/>
    <cellStyle name="Total 2 7 3 3 2 8 5" xfId="33116"/>
    <cellStyle name="Total 2 7 3 3 2 8 6" xfId="40058"/>
    <cellStyle name="Total 2 7 3 3 2 8 7" xfId="50100"/>
    <cellStyle name="Total 2 7 3 3 2 8 8" xfId="58122"/>
    <cellStyle name="Total 2 7 3 3 2 9" xfId="33117"/>
    <cellStyle name="Total 2 7 3 3 2 9 2" xfId="33118"/>
    <cellStyle name="Total 2 7 3 3 2 9 3" xfId="33119"/>
    <cellStyle name="Total 2 7 3 3 2 9 4" xfId="33120"/>
    <cellStyle name="Total 2 7 3 3 2 9 5" xfId="33121"/>
    <cellStyle name="Total 2 7 3 3 2 9 6" xfId="40673"/>
    <cellStyle name="Total 2 7 3 3 2 9 7" xfId="50101"/>
    <cellStyle name="Total 2 7 3 3 2 9 8" xfId="58123"/>
    <cellStyle name="Total 2 7 3 3 20" xfId="887"/>
    <cellStyle name="Total 2 7 3 3 21" xfId="34656"/>
    <cellStyle name="Total 2 7 3 3 22" xfId="40971"/>
    <cellStyle name="Total 2 7 3 3 23" xfId="41532"/>
    <cellStyle name="Total 2 7 3 3 24" xfId="50619"/>
    <cellStyle name="Total 2 7 3 3 3" xfId="3004"/>
    <cellStyle name="Total 2 7 3 3 3 10" xfId="34968"/>
    <cellStyle name="Total 2 7 3 3 3 10 2" xfId="50103"/>
    <cellStyle name="Total 2 7 3 3 3 10 3" xfId="58125"/>
    <cellStyle name="Total 2 7 3 3 3 11" xfId="41186"/>
    <cellStyle name="Total 2 7 3 3 3 12" xfId="50102"/>
    <cellStyle name="Total 2 7 3 3 3 13" xfId="58124"/>
    <cellStyle name="Total 2 7 3 3 3 2" xfId="3005"/>
    <cellStyle name="Total 2 7 3 3 3 2 2" xfId="36263"/>
    <cellStyle name="Total 2 7 3 3 3 2 3" xfId="50104"/>
    <cellStyle name="Total 2 7 3 3 3 2 4" xfId="58126"/>
    <cellStyle name="Total 2 7 3 3 3 3" xfId="3006"/>
    <cellStyle name="Total 2 7 3 3 3 3 2" xfId="36760"/>
    <cellStyle name="Total 2 7 3 3 3 3 3" xfId="50105"/>
    <cellStyle name="Total 2 7 3 3 3 3 4" xfId="58127"/>
    <cellStyle name="Total 2 7 3 3 3 4" xfId="33122"/>
    <cellStyle name="Total 2 7 3 3 3 4 2" xfId="37376"/>
    <cellStyle name="Total 2 7 3 3 3 4 3" xfId="50106"/>
    <cellStyle name="Total 2 7 3 3 3 4 4" xfId="58128"/>
    <cellStyle name="Total 2 7 3 3 3 5" xfId="33123"/>
    <cellStyle name="Total 2 7 3 3 3 5 2" xfId="37992"/>
    <cellStyle name="Total 2 7 3 3 3 5 3" xfId="50107"/>
    <cellStyle name="Total 2 7 3 3 3 5 4" xfId="58129"/>
    <cellStyle name="Total 2 7 3 3 3 6" xfId="38609"/>
    <cellStyle name="Total 2 7 3 3 3 6 2" xfId="50108"/>
    <cellStyle name="Total 2 7 3 3 3 6 3" xfId="58130"/>
    <cellStyle name="Total 2 7 3 3 3 7" xfId="39229"/>
    <cellStyle name="Total 2 7 3 3 3 7 2" xfId="50109"/>
    <cellStyle name="Total 2 7 3 3 3 7 3" xfId="58131"/>
    <cellStyle name="Total 2 7 3 3 3 8" xfId="39845"/>
    <cellStyle name="Total 2 7 3 3 3 8 2" xfId="50110"/>
    <cellStyle name="Total 2 7 3 3 3 8 3" xfId="58132"/>
    <cellStyle name="Total 2 7 3 3 3 9" xfId="40460"/>
    <cellStyle name="Total 2 7 3 3 3 9 2" xfId="50111"/>
    <cellStyle name="Total 2 7 3 3 3 9 3" xfId="58133"/>
    <cellStyle name="Total 2 7 3 3 4" xfId="3007"/>
    <cellStyle name="Total 2 7 3 3 4 10" xfId="50112"/>
    <cellStyle name="Total 2 7 3 3 4 11" xfId="58134"/>
    <cellStyle name="Total 2 7 3 3 4 2" xfId="33124"/>
    <cellStyle name="Total 2 7 3 3 4 2 2" xfId="50113"/>
    <cellStyle name="Total 2 7 3 3 4 2 3" xfId="58135"/>
    <cellStyle name="Total 2 7 3 3 4 3" xfId="33125"/>
    <cellStyle name="Total 2 7 3 3 4 3 2" xfId="50114"/>
    <cellStyle name="Total 2 7 3 3 4 3 3" xfId="58136"/>
    <cellStyle name="Total 2 7 3 3 4 4" xfId="33126"/>
    <cellStyle name="Total 2 7 3 3 4 4 2" xfId="50115"/>
    <cellStyle name="Total 2 7 3 3 4 4 3" xfId="58137"/>
    <cellStyle name="Total 2 7 3 3 4 5" xfId="33127"/>
    <cellStyle name="Total 2 7 3 3 4 5 2" xfId="50116"/>
    <cellStyle name="Total 2 7 3 3 4 5 3" xfId="58138"/>
    <cellStyle name="Total 2 7 3 3 4 6" xfId="36548"/>
    <cellStyle name="Total 2 7 3 3 4 6 2" xfId="50117"/>
    <cellStyle name="Total 2 7 3 3 4 6 3" xfId="58139"/>
    <cellStyle name="Total 2 7 3 3 4 7" xfId="50118"/>
    <cellStyle name="Total 2 7 3 3 4 7 2" xfId="58140"/>
    <cellStyle name="Total 2 7 3 3 4 8" xfId="50119"/>
    <cellStyle name="Total 2 7 3 3 4 8 2" xfId="58141"/>
    <cellStyle name="Total 2 7 3 3 4 9" xfId="50120"/>
    <cellStyle name="Total 2 7 3 3 4 9 2" xfId="58142"/>
    <cellStyle name="Total 2 7 3 3 5" xfId="1514"/>
    <cellStyle name="Total 2 7 3 3 5 2" xfId="33128"/>
    <cellStyle name="Total 2 7 3 3 5 3" xfId="33129"/>
    <cellStyle name="Total 2 7 3 3 5 4" xfId="33130"/>
    <cellStyle name="Total 2 7 3 3 5 5" xfId="33131"/>
    <cellStyle name="Total 2 7 3 3 5 6" xfId="37164"/>
    <cellStyle name="Total 2 7 3 3 5 7" xfId="50121"/>
    <cellStyle name="Total 2 7 3 3 5 8" xfId="58143"/>
    <cellStyle name="Total 2 7 3 3 6" xfId="3584"/>
    <cellStyle name="Total 2 7 3 3 6 2" xfId="33132"/>
    <cellStyle name="Total 2 7 3 3 6 3" xfId="33133"/>
    <cellStyle name="Total 2 7 3 3 6 4" xfId="33134"/>
    <cellStyle name="Total 2 7 3 3 6 5" xfId="33135"/>
    <cellStyle name="Total 2 7 3 3 6 6" xfId="37778"/>
    <cellStyle name="Total 2 7 3 3 6 7" xfId="50122"/>
    <cellStyle name="Total 2 7 3 3 6 8" xfId="58144"/>
    <cellStyle name="Total 2 7 3 3 7" xfId="3902"/>
    <cellStyle name="Total 2 7 3 3 7 2" xfId="33136"/>
    <cellStyle name="Total 2 7 3 3 7 3" xfId="33137"/>
    <cellStyle name="Total 2 7 3 3 7 4" xfId="33138"/>
    <cellStyle name="Total 2 7 3 3 7 5" xfId="33139"/>
    <cellStyle name="Total 2 7 3 3 7 6" xfId="38394"/>
    <cellStyle name="Total 2 7 3 3 7 7" xfId="50123"/>
    <cellStyle name="Total 2 7 3 3 7 8" xfId="58145"/>
    <cellStyle name="Total 2 7 3 3 8" xfId="33140"/>
    <cellStyle name="Total 2 7 3 3 8 2" xfId="33141"/>
    <cellStyle name="Total 2 7 3 3 8 3" xfId="33142"/>
    <cellStyle name="Total 2 7 3 3 8 4" xfId="33143"/>
    <cellStyle name="Total 2 7 3 3 8 5" xfId="33144"/>
    <cellStyle name="Total 2 7 3 3 8 6" xfId="39014"/>
    <cellStyle name="Total 2 7 3 3 8 7" xfId="50124"/>
    <cellStyle name="Total 2 7 3 3 8 8" xfId="58146"/>
    <cellStyle name="Total 2 7 3 3 9" xfId="33145"/>
    <cellStyle name="Total 2 7 3 3 9 2" xfId="33146"/>
    <cellStyle name="Total 2 7 3 3 9 3" xfId="33147"/>
    <cellStyle name="Total 2 7 3 3 9 4" xfId="33148"/>
    <cellStyle name="Total 2 7 3 3 9 5" xfId="33149"/>
    <cellStyle name="Total 2 7 3 3 9 6" xfId="39630"/>
    <cellStyle name="Total 2 7 3 3 9 7" xfId="50125"/>
    <cellStyle name="Total 2 7 3 3 9 8" xfId="58147"/>
    <cellStyle name="Total 2 7 3 4" xfId="542"/>
    <cellStyle name="Total 2 7 3 4 10" xfId="33150"/>
    <cellStyle name="Total 2 7 3 4 10 2" xfId="33151"/>
    <cellStyle name="Total 2 7 3 4 10 3" xfId="33152"/>
    <cellStyle name="Total 2 7 3 4 10 4" xfId="33153"/>
    <cellStyle name="Total 2 7 3 4 10 5" xfId="33154"/>
    <cellStyle name="Total 2 7 3 4 10 6" xfId="50126"/>
    <cellStyle name="Total 2 7 3 4 10 7" xfId="58148"/>
    <cellStyle name="Total 2 7 3 4 11" xfId="33155"/>
    <cellStyle name="Total 2 7 3 4 11 2" xfId="33156"/>
    <cellStyle name="Total 2 7 3 4 11 3" xfId="33157"/>
    <cellStyle name="Total 2 7 3 4 11 4" xfId="33158"/>
    <cellStyle name="Total 2 7 3 4 11 5" xfId="33159"/>
    <cellStyle name="Total 2 7 3 4 12" xfId="33160"/>
    <cellStyle name="Total 2 7 3 4 12 2" xfId="33161"/>
    <cellStyle name="Total 2 7 3 4 12 3" xfId="33162"/>
    <cellStyle name="Total 2 7 3 4 12 4" xfId="33163"/>
    <cellStyle name="Total 2 7 3 4 12 5" xfId="33164"/>
    <cellStyle name="Total 2 7 3 4 13" xfId="33165"/>
    <cellStyle name="Total 2 7 3 4 13 2" xfId="33166"/>
    <cellStyle name="Total 2 7 3 4 13 3" xfId="33167"/>
    <cellStyle name="Total 2 7 3 4 13 4" xfId="33168"/>
    <cellStyle name="Total 2 7 3 4 13 5" xfId="33169"/>
    <cellStyle name="Total 2 7 3 4 14" xfId="33170"/>
    <cellStyle name="Total 2 7 3 4 14 2" xfId="33171"/>
    <cellStyle name="Total 2 7 3 4 14 3" xfId="33172"/>
    <cellStyle name="Total 2 7 3 4 14 4" xfId="33173"/>
    <cellStyle name="Total 2 7 3 4 14 5" xfId="33174"/>
    <cellStyle name="Total 2 7 3 4 15" xfId="33175"/>
    <cellStyle name="Total 2 7 3 4 15 2" xfId="33176"/>
    <cellStyle name="Total 2 7 3 4 15 3" xfId="33177"/>
    <cellStyle name="Total 2 7 3 4 15 4" xfId="33178"/>
    <cellStyle name="Total 2 7 3 4 15 5" xfId="33179"/>
    <cellStyle name="Total 2 7 3 4 16" xfId="33180"/>
    <cellStyle name="Total 2 7 3 4 16 2" xfId="33181"/>
    <cellStyle name="Total 2 7 3 4 16 3" xfId="33182"/>
    <cellStyle name="Total 2 7 3 4 16 4" xfId="33183"/>
    <cellStyle name="Total 2 7 3 4 16 5" xfId="33184"/>
    <cellStyle name="Total 2 7 3 4 17" xfId="33185"/>
    <cellStyle name="Total 2 7 3 4 17 2" xfId="33186"/>
    <cellStyle name="Total 2 7 3 4 17 3" xfId="33187"/>
    <cellStyle name="Total 2 7 3 4 17 4" xfId="33188"/>
    <cellStyle name="Total 2 7 3 4 17 5" xfId="33189"/>
    <cellStyle name="Total 2 7 3 4 18" xfId="33190"/>
    <cellStyle name="Total 2 7 3 4 18 2" xfId="33191"/>
    <cellStyle name="Total 2 7 3 4 18 3" xfId="33192"/>
    <cellStyle name="Total 2 7 3 4 18 4" xfId="33193"/>
    <cellStyle name="Total 2 7 3 4 18 5" xfId="33194"/>
    <cellStyle name="Total 2 7 3 4 19" xfId="33195"/>
    <cellStyle name="Total 2 7 3 4 2" xfId="3008"/>
    <cellStyle name="Total 2 7 3 4 2 2" xfId="33196"/>
    <cellStyle name="Total 2 7 3 4 2 2 2" xfId="50128"/>
    <cellStyle name="Total 2 7 3 4 2 2 3" xfId="58150"/>
    <cellStyle name="Total 2 7 3 4 2 3" xfId="33197"/>
    <cellStyle name="Total 2 7 3 4 2 4" xfId="33198"/>
    <cellStyle name="Total 2 7 3 4 2 5" xfId="33199"/>
    <cellStyle name="Total 2 7 3 4 2 6" xfId="36346"/>
    <cellStyle name="Total 2 7 3 4 2 7" xfId="50127"/>
    <cellStyle name="Total 2 7 3 4 2 8" xfId="58149"/>
    <cellStyle name="Total 2 7 3 4 20" xfId="971"/>
    <cellStyle name="Total 2 7 3 4 21" xfId="35051"/>
    <cellStyle name="Total 2 7 3 4 22" xfId="40760"/>
    <cellStyle name="Total 2 7 3 4 23" xfId="41270"/>
    <cellStyle name="Total 2 7 3 4 3" xfId="3009"/>
    <cellStyle name="Total 2 7 3 4 3 2" xfId="33200"/>
    <cellStyle name="Total 2 7 3 4 3 3" xfId="33201"/>
    <cellStyle name="Total 2 7 3 4 3 4" xfId="33202"/>
    <cellStyle name="Total 2 7 3 4 3 5" xfId="33203"/>
    <cellStyle name="Total 2 7 3 4 3 6" xfId="36843"/>
    <cellStyle name="Total 2 7 3 4 3 7" xfId="50129"/>
    <cellStyle name="Total 2 7 3 4 3 8" xfId="58151"/>
    <cellStyle name="Total 2 7 3 4 4" xfId="1516"/>
    <cellStyle name="Total 2 7 3 4 4 2" xfId="33204"/>
    <cellStyle name="Total 2 7 3 4 4 3" xfId="33205"/>
    <cellStyle name="Total 2 7 3 4 4 4" xfId="33206"/>
    <cellStyle name="Total 2 7 3 4 4 5" xfId="33207"/>
    <cellStyle name="Total 2 7 3 4 4 6" xfId="37459"/>
    <cellStyle name="Total 2 7 3 4 4 7" xfId="50130"/>
    <cellStyle name="Total 2 7 3 4 4 8" xfId="58152"/>
    <cellStyle name="Total 2 7 3 4 5" xfId="3586"/>
    <cellStyle name="Total 2 7 3 4 5 2" xfId="33208"/>
    <cellStyle name="Total 2 7 3 4 5 3" xfId="33209"/>
    <cellStyle name="Total 2 7 3 4 5 4" xfId="33210"/>
    <cellStyle name="Total 2 7 3 4 5 5" xfId="33211"/>
    <cellStyle name="Total 2 7 3 4 5 6" xfId="38075"/>
    <cellStyle name="Total 2 7 3 4 5 7" xfId="50131"/>
    <cellStyle name="Total 2 7 3 4 5 8" xfId="58153"/>
    <cellStyle name="Total 2 7 3 4 6" xfId="3904"/>
    <cellStyle name="Total 2 7 3 4 6 2" xfId="33212"/>
    <cellStyle name="Total 2 7 3 4 6 3" xfId="33213"/>
    <cellStyle name="Total 2 7 3 4 6 4" xfId="33214"/>
    <cellStyle name="Total 2 7 3 4 6 5" xfId="33215"/>
    <cellStyle name="Total 2 7 3 4 6 6" xfId="38693"/>
    <cellStyle name="Total 2 7 3 4 6 7" xfId="50132"/>
    <cellStyle name="Total 2 7 3 4 6 8" xfId="58154"/>
    <cellStyle name="Total 2 7 3 4 7" xfId="33216"/>
    <cellStyle name="Total 2 7 3 4 7 2" xfId="33217"/>
    <cellStyle name="Total 2 7 3 4 7 3" xfId="33218"/>
    <cellStyle name="Total 2 7 3 4 7 4" xfId="33219"/>
    <cellStyle name="Total 2 7 3 4 7 5" xfId="33220"/>
    <cellStyle name="Total 2 7 3 4 7 6" xfId="39313"/>
    <cellStyle name="Total 2 7 3 4 7 7" xfId="50133"/>
    <cellStyle name="Total 2 7 3 4 7 8" xfId="58155"/>
    <cellStyle name="Total 2 7 3 4 8" xfId="33221"/>
    <cellStyle name="Total 2 7 3 4 8 2" xfId="33222"/>
    <cellStyle name="Total 2 7 3 4 8 3" xfId="33223"/>
    <cellStyle name="Total 2 7 3 4 8 4" xfId="33224"/>
    <cellStyle name="Total 2 7 3 4 8 5" xfId="33225"/>
    <cellStyle name="Total 2 7 3 4 8 6" xfId="39929"/>
    <cellStyle name="Total 2 7 3 4 8 7" xfId="50134"/>
    <cellStyle name="Total 2 7 3 4 8 8" xfId="58156"/>
    <cellStyle name="Total 2 7 3 4 9" xfId="33226"/>
    <cellStyle name="Total 2 7 3 4 9 2" xfId="33227"/>
    <cellStyle name="Total 2 7 3 4 9 3" xfId="33228"/>
    <cellStyle name="Total 2 7 3 4 9 4" xfId="33229"/>
    <cellStyle name="Total 2 7 3 4 9 5" xfId="33230"/>
    <cellStyle name="Total 2 7 3 4 9 6" xfId="40544"/>
    <cellStyle name="Total 2 7 3 4 9 7" xfId="50135"/>
    <cellStyle name="Total 2 7 3 4 9 8" xfId="58157"/>
    <cellStyle name="Total 2 7 3 5" xfId="3010"/>
    <cellStyle name="Total 2 7 3 5 10" xfId="34633"/>
    <cellStyle name="Total 2 7 3 5 10 2" xfId="50137"/>
    <cellStyle name="Total 2 7 3 5 10 3" xfId="58159"/>
    <cellStyle name="Total 2 7 3 5 11" xfId="41056"/>
    <cellStyle name="Total 2 7 3 5 12" xfId="50136"/>
    <cellStyle name="Total 2 7 3 5 13" xfId="58158"/>
    <cellStyle name="Total 2 7 3 5 2" xfId="3011"/>
    <cellStyle name="Total 2 7 3 5 2 2" xfId="36133"/>
    <cellStyle name="Total 2 7 3 5 2 3" xfId="50138"/>
    <cellStyle name="Total 2 7 3 5 2 4" xfId="58160"/>
    <cellStyle name="Total 2 7 3 5 3" xfId="3012"/>
    <cellStyle name="Total 2 7 3 5 3 2" xfId="36632"/>
    <cellStyle name="Total 2 7 3 5 3 3" xfId="50139"/>
    <cellStyle name="Total 2 7 3 5 3 4" xfId="58161"/>
    <cellStyle name="Total 2 7 3 5 4" xfId="33231"/>
    <cellStyle name="Total 2 7 3 5 4 2" xfId="37248"/>
    <cellStyle name="Total 2 7 3 5 4 3" xfId="50140"/>
    <cellStyle name="Total 2 7 3 5 4 4" xfId="58162"/>
    <cellStyle name="Total 2 7 3 5 5" xfId="33232"/>
    <cellStyle name="Total 2 7 3 5 5 2" xfId="37864"/>
    <cellStyle name="Total 2 7 3 5 5 3" xfId="50141"/>
    <cellStyle name="Total 2 7 3 5 5 4" xfId="58163"/>
    <cellStyle name="Total 2 7 3 5 6" xfId="38479"/>
    <cellStyle name="Total 2 7 3 5 6 2" xfId="50142"/>
    <cellStyle name="Total 2 7 3 5 6 3" xfId="58164"/>
    <cellStyle name="Total 2 7 3 5 7" xfId="39099"/>
    <cellStyle name="Total 2 7 3 5 7 2" xfId="50143"/>
    <cellStyle name="Total 2 7 3 5 7 3" xfId="58165"/>
    <cellStyle name="Total 2 7 3 5 8" xfId="39715"/>
    <cellStyle name="Total 2 7 3 5 8 2" xfId="50144"/>
    <cellStyle name="Total 2 7 3 5 8 3" xfId="58166"/>
    <cellStyle name="Total 2 7 3 5 9" xfId="40330"/>
    <cellStyle name="Total 2 7 3 5 9 2" xfId="50145"/>
    <cellStyle name="Total 2 7 3 5 9 3" xfId="58167"/>
    <cellStyle name="Total 2 7 3 6" xfId="1511"/>
    <cellStyle name="Total 2 7 3 6 10" xfId="50146"/>
    <cellStyle name="Total 2 7 3 6 11" xfId="58168"/>
    <cellStyle name="Total 2 7 3 6 2" xfId="33233"/>
    <cellStyle name="Total 2 7 3 6 2 2" xfId="50147"/>
    <cellStyle name="Total 2 7 3 6 2 3" xfId="58169"/>
    <cellStyle name="Total 2 7 3 6 3" xfId="33234"/>
    <cellStyle name="Total 2 7 3 6 3 2" xfId="50148"/>
    <cellStyle name="Total 2 7 3 6 3 3" xfId="58170"/>
    <cellStyle name="Total 2 7 3 6 4" xfId="33235"/>
    <cellStyle name="Total 2 7 3 6 4 2" xfId="50149"/>
    <cellStyle name="Total 2 7 3 6 4 3" xfId="58171"/>
    <cellStyle name="Total 2 7 3 6 5" xfId="33236"/>
    <cellStyle name="Total 2 7 3 6 5 2" xfId="50150"/>
    <cellStyle name="Total 2 7 3 6 5 3" xfId="58172"/>
    <cellStyle name="Total 2 7 3 6 6" xfId="35451"/>
    <cellStyle name="Total 2 7 3 6 6 2" xfId="50151"/>
    <cellStyle name="Total 2 7 3 6 6 3" xfId="58173"/>
    <cellStyle name="Total 2 7 3 6 7" xfId="50152"/>
    <cellStyle name="Total 2 7 3 6 7 2" xfId="58174"/>
    <cellStyle name="Total 2 7 3 6 8" xfId="50153"/>
    <cellStyle name="Total 2 7 3 6 8 2" xfId="58175"/>
    <cellStyle name="Total 2 7 3 6 9" xfId="50154"/>
    <cellStyle name="Total 2 7 3 6 9 2" xfId="58176"/>
    <cellStyle name="Total 2 7 3 7" xfId="3581"/>
    <cellStyle name="Total 2 7 3 7 2" xfId="33237"/>
    <cellStyle name="Total 2 7 3 7 3" xfId="33238"/>
    <cellStyle name="Total 2 7 3 7 4" xfId="33239"/>
    <cellStyle name="Total 2 7 3 7 5" xfId="33240"/>
    <cellStyle name="Total 2 7 3 7 6" xfId="35983"/>
    <cellStyle name="Total 2 7 3 7 7" xfId="50155"/>
    <cellStyle name="Total 2 7 3 7 8" xfId="58177"/>
    <cellStyle name="Total 2 7 3 8" xfId="3899"/>
    <cellStyle name="Total 2 7 3 8 2" xfId="33241"/>
    <cellStyle name="Total 2 7 3 8 3" xfId="33242"/>
    <cellStyle name="Total 2 7 3 8 4" xfId="33243"/>
    <cellStyle name="Total 2 7 3 8 5" xfId="33244"/>
    <cellStyle name="Total 2 7 3 8 6" xfId="35795"/>
    <cellStyle name="Total 2 7 3 8 7" xfId="50156"/>
    <cellStyle name="Total 2 7 3 8 8" xfId="58178"/>
    <cellStyle name="Total 2 7 3 9" xfId="33245"/>
    <cellStyle name="Total 2 7 3 9 2" xfId="33246"/>
    <cellStyle name="Total 2 7 3 9 3" xfId="33247"/>
    <cellStyle name="Total 2 7 3 9 4" xfId="33248"/>
    <cellStyle name="Total 2 7 3 9 5" xfId="33249"/>
    <cellStyle name="Total 2 7 3 9 6" xfId="37028"/>
    <cellStyle name="Total 2 7 3 9 7" xfId="50157"/>
    <cellStyle name="Total 2 7 3 9 8" xfId="58179"/>
    <cellStyle name="Total 2 7 4" xfId="457"/>
    <cellStyle name="Total 2 7 4 10" xfId="33250"/>
    <cellStyle name="Total 2 7 4 10 2" xfId="33251"/>
    <cellStyle name="Total 2 7 4 10 3" xfId="33252"/>
    <cellStyle name="Total 2 7 4 10 4" xfId="33253"/>
    <cellStyle name="Total 2 7 4 10 5" xfId="33254"/>
    <cellStyle name="Total 2 7 4 10 6" xfId="39631"/>
    <cellStyle name="Total 2 7 4 10 7" xfId="50158"/>
    <cellStyle name="Total 2 7 4 10 8" xfId="58180"/>
    <cellStyle name="Total 2 7 4 11" xfId="33255"/>
    <cellStyle name="Total 2 7 4 11 2" xfId="33256"/>
    <cellStyle name="Total 2 7 4 11 3" xfId="33257"/>
    <cellStyle name="Total 2 7 4 11 4" xfId="33258"/>
    <cellStyle name="Total 2 7 4 11 5" xfId="33259"/>
    <cellStyle name="Total 2 7 4 11 6" xfId="40246"/>
    <cellStyle name="Total 2 7 4 11 7" xfId="50159"/>
    <cellStyle name="Total 2 7 4 11 8" xfId="58181"/>
    <cellStyle name="Total 2 7 4 12" xfId="33260"/>
    <cellStyle name="Total 2 7 4 12 2" xfId="33261"/>
    <cellStyle name="Total 2 7 4 12 3" xfId="33262"/>
    <cellStyle name="Total 2 7 4 12 4" xfId="33263"/>
    <cellStyle name="Total 2 7 4 12 5" xfId="33264"/>
    <cellStyle name="Total 2 7 4 12 6" xfId="50160"/>
    <cellStyle name="Total 2 7 4 12 7" xfId="58182"/>
    <cellStyle name="Total 2 7 4 13" xfId="33265"/>
    <cellStyle name="Total 2 7 4 13 2" xfId="33266"/>
    <cellStyle name="Total 2 7 4 13 3" xfId="33267"/>
    <cellStyle name="Total 2 7 4 13 4" xfId="33268"/>
    <cellStyle name="Total 2 7 4 13 5" xfId="33269"/>
    <cellStyle name="Total 2 7 4 13 6" xfId="50161"/>
    <cellStyle name="Total 2 7 4 13 7" xfId="58183"/>
    <cellStyle name="Total 2 7 4 14" xfId="33270"/>
    <cellStyle name="Total 2 7 4 14 2" xfId="33271"/>
    <cellStyle name="Total 2 7 4 14 3" xfId="33272"/>
    <cellStyle name="Total 2 7 4 14 4" xfId="33273"/>
    <cellStyle name="Total 2 7 4 14 5" xfId="33274"/>
    <cellStyle name="Total 2 7 4 15" xfId="33275"/>
    <cellStyle name="Total 2 7 4 15 2" xfId="33276"/>
    <cellStyle name="Total 2 7 4 15 3" xfId="33277"/>
    <cellStyle name="Total 2 7 4 15 4" xfId="33278"/>
    <cellStyle name="Total 2 7 4 15 5" xfId="33279"/>
    <cellStyle name="Total 2 7 4 16" xfId="33280"/>
    <cellStyle name="Total 2 7 4 16 2" xfId="33281"/>
    <cellStyle name="Total 2 7 4 16 3" xfId="33282"/>
    <cellStyle name="Total 2 7 4 16 4" xfId="33283"/>
    <cellStyle name="Total 2 7 4 16 5" xfId="33284"/>
    <cellStyle name="Total 2 7 4 17" xfId="33285"/>
    <cellStyle name="Total 2 7 4 17 2" xfId="33286"/>
    <cellStyle name="Total 2 7 4 17 3" xfId="33287"/>
    <cellStyle name="Total 2 7 4 17 4" xfId="33288"/>
    <cellStyle name="Total 2 7 4 17 5" xfId="33289"/>
    <cellStyle name="Total 2 7 4 18" xfId="33290"/>
    <cellStyle name="Total 2 7 4 18 2" xfId="33291"/>
    <cellStyle name="Total 2 7 4 18 3" xfId="33292"/>
    <cellStyle name="Total 2 7 4 18 4" xfId="33293"/>
    <cellStyle name="Total 2 7 4 18 5" xfId="33294"/>
    <cellStyle name="Total 2 7 4 19" xfId="33295"/>
    <cellStyle name="Total 2 7 4 2" xfId="672"/>
    <cellStyle name="Total 2 7 4 2 10" xfId="33296"/>
    <cellStyle name="Total 2 7 4 2 10 2" xfId="33297"/>
    <cellStyle name="Total 2 7 4 2 10 3" xfId="33298"/>
    <cellStyle name="Total 2 7 4 2 10 4" xfId="33299"/>
    <cellStyle name="Total 2 7 4 2 10 5" xfId="33300"/>
    <cellStyle name="Total 2 7 4 2 10 6" xfId="50162"/>
    <cellStyle name="Total 2 7 4 2 10 7" xfId="58184"/>
    <cellStyle name="Total 2 7 4 2 11" xfId="33301"/>
    <cellStyle name="Total 2 7 4 2 11 2" xfId="33302"/>
    <cellStyle name="Total 2 7 4 2 11 3" xfId="33303"/>
    <cellStyle name="Total 2 7 4 2 11 4" xfId="33304"/>
    <cellStyle name="Total 2 7 4 2 11 5" xfId="33305"/>
    <cellStyle name="Total 2 7 4 2 12" xfId="33306"/>
    <cellStyle name="Total 2 7 4 2 12 2" xfId="33307"/>
    <cellStyle name="Total 2 7 4 2 12 3" xfId="33308"/>
    <cellStyle name="Total 2 7 4 2 12 4" xfId="33309"/>
    <cellStyle name="Total 2 7 4 2 12 5" xfId="33310"/>
    <cellStyle name="Total 2 7 4 2 13" xfId="33311"/>
    <cellStyle name="Total 2 7 4 2 13 2" xfId="33312"/>
    <cellStyle name="Total 2 7 4 2 13 3" xfId="33313"/>
    <cellStyle name="Total 2 7 4 2 13 4" xfId="33314"/>
    <cellStyle name="Total 2 7 4 2 13 5" xfId="33315"/>
    <cellStyle name="Total 2 7 4 2 14" xfId="33316"/>
    <cellStyle name="Total 2 7 4 2 14 2" xfId="33317"/>
    <cellStyle name="Total 2 7 4 2 14 3" xfId="33318"/>
    <cellStyle name="Total 2 7 4 2 14 4" xfId="33319"/>
    <cellStyle name="Total 2 7 4 2 14 5" xfId="33320"/>
    <cellStyle name="Total 2 7 4 2 15" xfId="33321"/>
    <cellStyle name="Total 2 7 4 2 15 2" xfId="33322"/>
    <cellStyle name="Total 2 7 4 2 15 3" xfId="33323"/>
    <cellStyle name="Total 2 7 4 2 15 4" xfId="33324"/>
    <cellStyle name="Total 2 7 4 2 15 5" xfId="33325"/>
    <cellStyle name="Total 2 7 4 2 16" xfId="33326"/>
    <cellStyle name="Total 2 7 4 2 16 2" xfId="33327"/>
    <cellStyle name="Total 2 7 4 2 16 3" xfId="33328"/>
    <cellStyle name="Total 2 7 4 2 16 4" xfId="33329"/>
    <cellStyle name="Total 2 7 4 2 16 5" xfId="33330"/>
    <cellStyle name="Total 2 7 4 2 17" xfId="33331"/>
    <cellStyle name="Total 2 7 4 2 17 2" xfId="33332"/>
    <cellStyle name="Total 2 7 4 2 17 3" xfId="33333"/>
    <cellStyle name="Total 2 7 4 2 17 4" xfId="33334"/>
    <cellStyle name="Total 2 7 4 2 17 5" xfId="33335"/>
    <cellStyle name="Total 2 7 4 2 18" xfId="33336"/>
    <cellStyle name="Total 2 7 4 2 18 2" xfId="33337"/>
    <cellStyle name="Total 2 7 4 2 18 3" xfId="33338"/>
    <cellStyle name="Total 2 7 4 2 18 4" xfId="33339"/>
    <cellStyle name="Total 2 7 4 2 18 5" xfId="33340"/>
    <cellStyle name="Total 2 7 4 2 19" xfId="33341"/>
    <cellStyle name="Total 2 7 4 2 2" xfId="3013"/>
    <cellStyle name="Total 2 7 4 2 2 2" xfId="33342"/>
    <cellStyle name="Total 2 7 4 2 2 2 2" xfId="50164"/>
    <cellStyle name="Total 2 7 4 2 2 2 3" xfId="58186"/>
    <cellStyle name="Total 2 7 4 2 2 3" xfId="33343"/>
    <cellStyle name="Total 2 7 4 2 2 4" xfId="33344"/>
    <cellStyle name="Total 2 7 4 2 2 5" xfId="33345"/>
    <cellStyle name="Total 2 7 4 2 2 6" xfId="36475"/>
    <cellStyle name="Total 2 7 4 2 2 7" xfId="50163"/>
    <cellStyle name="Total 2 7 4 2 2 8" xfId="58185"/>
    <cellStyle name="Total 2 7 4 2 20" xfId="1100"/>
    <cellStyle name="Total 2 7 4 2 21" xfId="35180"/>
    <cellStyle name="Total 2 7 4 2 22" xfId="41400"/>
    <cellStyle name="Total 2 7 4 2 3" xfId="3014"/>
    <cellStyle name="Total 2 7 4 2 3 2" xfId="33346"/>
    <cellStyle name="Total 2 7 4 2 3 3" xfId="33347"/>
    <cellStyle name="Total 2 7 4 2 3 4" xfId="33348"/>
    <cellStyle name="Total 2 7 4 2 3 5" xfId="33349"/>
    <cellStyle name="Total 2 7 4 2 3 6" xfId="36972"/>
    <cellStyle name="Total 2 7 4 2 3 7" xfId="50165"/>
    <cellStyle name="Total 2 7 4 2 3 8" xfId="58187"/>
    <cellStyle name="Total 2 7 4 2 4" xfId="1518"/>
    <cellStyle name="Total 2 7 4 2 4 2" xfId="33350"/>
    <cellStyle name="Total 2 7 4 2 4 3" xfId="33351"/>
    <cellStyle name="Total 2 7 4 2 4 4" xfId="33352"/>
    <cellStyle name="Total 2 7 4 2 4 5" xfId="33353"/>
    <cellStyle name="Total 2 7 4 2 4 6" xfId="37588"/>
    <cellStyle name="Total 2 7 4 2 4 7" xfId="50166"/>
    <cellStyle name="Total 2 7 4 2 4 8" xfId="58188"/>
    <cellStyle name="Total 2 7 4 2 5" xfId="3588"/>
    <cellStyle name="Total 2 7 4 2 5 2" xfId="33354"/>
    <cellStyle name="Total 2 7 4 2 5 3" xfId="33355"/>
    <cellStyle name="Total 2 7 4 2 5 4" xfId="33356"/>
    <cellStyle name="Total 2 7 4 2 5 5" xfId="33357"/>
    <cellStyle name="Total 2 7 4 2 5 6" xfId="38205"/>
    <cellStyle name="Total 2 7 4 2 5 7" xfId="50167"/>
    <cellStyle name="Total 2 7 4 2 5 8" xfId="58189"/>
    <cellStyle name="Total 2 7 4 2 6" xfId="3906"/>
    <cellStyle name="Total 2 7 4 2 6 2" xfId="33358"/>
    <cellStyle name="Total 2 7 4 2 6 3" xfId="33359"/>
    <cellStyle name="Total 2 7 4 2 6 4" xfId="33360"/>
    <cellStyle name="Total 2 7 4 2 6 5" xfId="33361"/>
    <cellStyle name="Total 2 7 4 2 6 6" xfId="38823"/>
    <cellStyle name="Total 2 7 4 2 6 7" xfId="50168"/>
    <cellStyle name="Total 2 7 4 2 6 8" xfId="58190"/>
    <cellStyle name="Total 2 7 4 2 7" xfId="33362"/>
    <cellStyle name="Total 2 7 4 2 7 2" xfId="33363"/>
    <cellStyle name="Total 2 7 4 2 7 3" xfId="33364"/>
    <cellStyle name="Total 2 7 4 2 7 4" xfId="33365"/>
    <cellStyle name="Total 2 7 4 2 7 5" xfId="33366"/>
    <cellStyle name="Total 2 7 4 2 7 6" xfId="39443"/>
    <cellStyle name="Total 2 7 4 2 7 7" xfId="50169"/>
    <cellStyle name="Total 2 7 4 2 7 8" xfId="58191"/>
    <cellStyle name="Total 2 7 4 2 8" xfId="33367"/>
    <cellStyle name="Total 2 7 4 2 8 2" xfId="33368"/>
    <cellStyle name="Total 2 7 4 2 8 3" xfId="33369"/>
    <cellStyle name="Total 2 7 4 2 8 4" xfId="33370"/>
    <cellStyle name="Total 2 7 4 2 8 5" xfId="33371"/>
    <cellStyle name="Total 2 7 4 2 8 6" xfId="40059"/>
    <cellStyle name="Total 2 7 4 2 8 7" xfId="50170"/>
    <cellStyle name="Total 2 7 4 2 8 8" xfId="58192"/>
    <cellStyle name="Total 2 7 4 2 9" xfId="33372"/>
    <cellStyle name="Total 2 7 4 2 9 2" xfId="33373"/>
    <cellStyle name="Total 2 7 4 2 9 3" xfId="33374"/>
    <cellStyle name="Total 2 7 4 2 9 4" xfId="33375"/>
    <cellStyle name="Total 2 7 4 2 9 5" xfId="33376"/>
    <cellStyle name="Total 2 7 4 2 9 6" xfId="40674"/>
    <cellStyle name="Total 2 7 4 2 9 7" xfId="50171"/>
    <cellStyle name="Total 2 7 4 2 9 8" xfId="58193"/>
    <cellStyle name="Total 2 7 4 20" xfId="888"/>
    <cellStyle name="Total 2 7 4 21" xfId="34655"/>
    <cellStyle name="Total 2 7 4 22" xfId="40972"/>
    <cellStyle name="Total 2 7 4 23" xfId="41533"/>
    <cellStyle name="Total 2 7 4 24" xfId="50620"/>
    <cellStyle name="Total 2 7 4 3" xfId="3015"/>
    <cellStyle name="Total 2 7 4 3 10" xfId="34969"/>
    <cellStyle name="Total 2 7 4 3 10 2" xfId="50173"/>
    <cellStyle name="Total 2 7 4 3 10 3" xfId="58195"/>
    <cellStyle name="Total 2 7 4 3 11" xfId="41187"/>
    <cellStyle name="Total 2 7 4 3 12" xfId="50172"/>
    <cellStyle name="Total 2 7 4 3 13" xfId="58194"/>
    <cellStyle name="Total 2 7 4 3 2" xfId="3016"/>
    <cellStyle name="Total 2 7 4 3 2 2" xfId="36264"/>
    <cellStyle name="Total 2 7 4 3 2 3" xfId="50174"/>
    <cellStyle name="Total 2 7 4 3 2 4" xfId="58196"/>
    <cellStyle name="Total 2 7 4 3 3" xfId="3017"/>
    <cellStyle name="Total 2 7 4 3 3 2" xfId="36761"/>
    <cellStyle name="Total 2 7 4 3 3 3" xfId="50175"/>
    <cellStyle name="Total 2 7 4 3 3 4" xfId="58197"/>
    <cellStyle name="Total 2 7 4 3 4" xfId="33377"/>
    <cellStyle name="Total 2 7 4 3 4 2" xfId="37377"/>
    <cellStyle name="Total 2 7 4 3 4 3" xfId="50176"/>
    <cellStyle name="Total 2 7 4 3 4 4" xfId="58198"/>
    <cellStyle name="Total 2 7 4 3 5" xfId="33378"/>
    <cellStyle name="Total 2 7 4 3 5 2" xfId="37993"/>
    <cellStyle name="Total 2 7 4 3 5 3" xfId="50177"/>
    <cellStyle name="Total 2 7 4 3 5 4" xfId="58199"/>
    <cellStyle name="Total 2 7 4 3 6" xfId="38610"/>
    <cellStyle name="Total 2 7 4 3 6 2" xfId="50178"/>
    <cellStyle name="Total 2 7 4 3 6 3" xfId="58200"/>
    <cellStyle name="Total 2 7 4 3 7" xfId="39230"/>
    <cellStyle name="Total 2 7 4 3 7 2" xfId="50179"/>
    <cellStyle name="Total 2 7 4 3 7 3" xfId="58201"/>
    <cellStyle name="Total 2 7 4 3 8" xfId="39846"/>
    <cellStyle name="Total 2 7 4 3 8 2" xfId="50180"/>
    <cellStyle name="Total 2 7 4 3 8 3" xfId="58202"/>
    <cellStyle name="Total 2 7 4 3 9" xfId="40461"/>
    <cellStyle name="Total 2 7 4 3 9 2" xfId="50181"/>
    <cellStyle name="Total 2 7 4 3 9 3" xfId="58203"/>
    <cellStyle name="Total 2 7 4 4" xfId="3018"/>
    <cellStyle name="Total 2 7 4 4 10" xfId="50182"/>
    <cellStyle name="Total 2 7 4 4 11" xfId="58204"/>
    <cellStyle name="Total 2 7 4 4 2" xfId="33379"/>
    <cellStyle name="Total 2 7 4 4 2 2" xfId="50183"/>
    <cellStyle name="Total 2 7 4 4 2 3" xfId="58205"/>
    <cellStyle name="Total 2 7 4 4 3" xfId="33380"/>
    <cellStyle name="Total 2 7 4 4 3 2" xfId="50184"/>
    <cellStyle name="Total 2 7 4 4 3 3" xfId="58206"/>
    <cellStyle name="Total 2 7 4 4 4" xfId="33381"/>
    <cellStyle name="Total 2 7 4 4 4 2" xfId="50185"/>
    <cellStyle name="Total 2 7 4 4 4 3" xfId="58207"/>
    <cellStyle name="Total 2 7 4 4 5" xfId="33382"/>
    <cellStyle name="Total 2 7 4 4 5 2" xfId="50186"/>
    <cellStyle name="Total 2 7 4 4 5 3" xfId="58208"/>
    <cellStyle name="Total 2 7 4 4 6" xfId="35673"/>
    <cellStyle name="Total 2 7 4 4 6 2" xfId="50187"/>
    <cellStyle name="Total 2 7 4 4 6 3" xfId="58209"/>
    <cellStyle name="Total 2 7 4 4 7" xfId="50188"/>
    <cellStyle name="Total 2 7 4 4 7 2" xfId="58210"/>
    <cellStyle name="Total 2 7 4 4 8" xfId="50189"/>
    <cellStyle name="Total 2 7 4 4 8 2" xfId="58211"/>
    <cellStyle name="Total 2 7 4 4 9" xfId="50190"/>
    <cellStyle name="Total 2 7 4 4 9 2" xfId="58212"/>
    <cellStyle name="Total 2 7 4 5" xfId="1517"/>
    <cellStyle name="Total 2 7 4 5 2" xfId="33383"/>
    <cellStyle name="Total 2 7 4 5 3" xfId="33384"/>
    <cellStyle name="Total 2 7 4 5 4" xfId="33385"/>
    <cellStyle name="Total 2 7 4 5 5" xfId="33386"/>
    <cellStyle name="Total 2 7 4 5 6" xfId="36549"/>
    <cellStyle name="Total 2 7 4 5 7" xfId="50191"/>
    <cellStyle name="Total 2 7 4 5 8" xfId="58213"/>
    <cellStyle name="Total 2 7 4 6" xfId="3587"/>
    <cellStyle name="Total 2 7 4 6 2" xfId="33387"/>
    <cellStyle name="Total 2 7 4 6 3" xfId="33388"/>
    <cellStyle name="Total 2 7 4 6 4" xfId="33389"/>
    <cellStyle name="Total 2 7 4 6 5" xfId="33390"/>
    <cellStyle name="Total 2 7 4 6 6" xfId="37165"/>
    <cellStyle name="Total 2 7 4 6 7" xfId="50192"/>
    <cellStyle name="Total 2 7 4 6 8" xfId="58214"/>
    <cellStyle name="Total 2 7 4 7" xfId="3905"/>
    <cellStyle name="Total 2 7 4 7 2" xfId="33391"/>
    <cellStyle name="Total 2 7 4 7 3" xfId="33392"/>
    <cellStyle name="Total 2 7 4 7 4" xfId="33393"/>
    <cellStyle name="Total 2 7 4 7 5" xfId="33394"/>
    <cellStyle name="Total 2 7 4 7 6" xfId="37779"/>
    <cellStyle name="Total 2 7 4 7 7" xfId="50193"/>
    <cellStyle name="Total 2 7 4 7 8" xfId="58215"/>
    <cellStyle name="Total 2 7 4 8" xfId="33395"/>
    <cellStyle name="Total 2 7 4 8 2" xfId="33396"/>
    <cellStyle name="Total 2 7 4 8 3" xfId="33397"/>
    <cellStyle name="Total 2 7 4 8 4" xfId="33398"/>
    <cellStyle name="Total 2 7 4 8 5" xfId="33399"/>
    <cellStyle name="Total 2 7 4 8 6" xfId="38395"/>
    <cellStyle name="Total 2 7 4 8 7" xfId="50194"/>
    <cellStyle name="Total 2 7 4 8 8" xfId="58216"/>
    <cellStyle name="Total 2 7 4 9" xfId="33400"/>
    <cellStyle name="Total 2 7 4 9 2" xfId="33401"/>
    <cellStyle name="Total 2 7 4 9 3" xfId="33402"/>
    <cellStyle name="Total 2 7 4 9 4" xfId="33403"/>
    <cellStyle name="Total 2 7 4 9 5" xfId="33404"/>
    <cellStyle name="Total 2 7 4 9 6" xfId="39015"/>
    <cellStyle name="Total 2 7 4 9 7" xfId="50195"/>
    <cellStyle name="Total 2 7 4 9 8" xfId="58217"/>
    <cellStyle name="Total 2 7 5" xfId="458"/>
    <cellStyle name="Total 2 7 5 10" xfId="33405"/>
    <cellStyle name="Total 2 7 5 10 2" xfId="33406"/>
    <cellStyle name="Total 2 7 5 10 3" xfId="33407"/>
    <cellStyle name="Total 2 7 5 10 4" xfId="33408"/>
    <cellStyle name="Total 2 7 5 10 5" xfId="33409"/>
    <cellStyle name="Total 2 7 5 10 6" xfId="40247"/>
    <cellStyle name="Total 2 7 5 10 7" xfId="50196"/>
    <cellStyle name="Total 2 7 5 10 8" xfId="58218"/>
    <cellStyle name="Total 2 7 5 11" xfId="33410"/>
    <cellStyle name="Total 2 7 5 11 2" xfId="33411"/>
    <cellStyle name="Total 2 7 5 11 3" xfId="33412"/>
    <cellStyle name="Total 2 7 5 11 4" xfId="33413"/>
    <cellStyle name="Total 2 7 5 11 5" xfId="33414"/>
    <cellStyle name="Total 2 7 5 11 6" xfId="50197"/>
    <cellStyle name="Total 2 7 5 11 7" xfId="58219"/>
    <cellStyle name="Total 2 7 5 12" xfId="33415"/>
    <cellStyle name="Total 2 7 5 12 2" xfId="33416"/>
    <cellStyle name="Total 2 7 5 12 3" xfId="33417"/>
    <cellStyle name="Total 2 7 5 12 4" xfId="33418"/>
    <cellStyle name="Total 2 7 5 12 5" xfId="33419"/>
    <cellStyle name="Total 2 7 5 12 6" xfId="50198"/>
    <cellStyle name="Total 2 7 5 12 7" xfId="58220"/>
    <cellStyle name="Total 2 7 5 13" xfId="33420"/>
    <cellStyle name="Total 2 7 5 13 2" xfId="33421"/>
    <cellStyle name="Total 2 7 5 13 3" xfId="33422"/>
    <cellStyle name="Total 2 7 5 13 4" xfId="33423"/>
    <cellStyle name="Total 2 7 5 13 5" xfId="33424"/>
    <cellStyle name="Total 2 7 5 13 6" xfId="50199"/>
    <cellStyle name="Total 2 7 5 13 7" xfId="58221"/>
    <cellStyle name="Total 2 7 5 14" xfId="33425"/>
    <cellStyle name="Total 2 7 5 14 2" xfId="33426"/>
    <cellStyle name="Total 2 7 5 14 3" xfId="33427"/>
    <cellStyle name="Total 2 7 5 14 4" xfId="33428"/>
    <cellStyle name="Total 2 7 5 14 5" xfId="33429"/>
    <cellStyle name="Total 2 7 5 15" xfId="33430"/>
    <cellStyle name="Total 2 7 5 15 2" xfId="33431"/>
    <cellStyle name="Total 2 7 5 15 3" xfId="33432"/>
    <cellStyle name="Total 2 7 5 15 4" xfId="33433"/>
    <cellStyle name="Total 2 7 5 15 5" xfId="33434"/>
    <cellStyle name="Total 2 7 5 16" xfId="33435"/>
    <cellStyle name="Total 2 7 5 16 2" xfId="33436"/>
    <cellStyle name="Total 2 7 5 16 3" xfId="33437"/>
    <cellStyle name="Total 2 7 5 16 4" xfId="33438"/>
    <cellStyle name="Total 2 7 5 16 5" xfId="33439"/>
    <cellStyle name="Total 2 7 5 17" xfId="33440"/>
    <cellStyle name="Total 2 7 5 17 2" xfId="33441"/>
    <cellStyle name="Total 2 7 5 17 3" xfId="33442"/>
    <cellStyle name="Total 2 7 5 17 4" xfId="33443"/>
    <cellStyle name="Total 2 7 5 17 5" xfId="33444"/>
    <cellStyle name="Total 2 7 5 18" xfId="33445"/>
    <cellStyle name="Total 2 7 5 18 2" xfId="33446"/>
    <cellStyle name="Total 2 7 5 18 3" xfId="33447"/>
    <cellStyle name="Total 2 7 5 18 4" xfId="33448"/>
    <cellStyle name="Total 2 7 5 18 5" xfId="33449"/>
    <cellStyle name="Total 2 7 5 19" xfId="33450"/>
    <cellStyle name="Total 2 7 5 2" xfId="673"/>
    <cellStyle name="Total 2 7 5 2 10" xfId="33451"/>
    <cellStyle name="Total 2 7 5 2 10 2" xfId="33452"/>
    <cellStyle name="Total 2 7 5 2 10 3" xfId="33453"/>
    <cellStyle name="Total 2 7 5 2 10 4" xfId="33454"/>
    <cellStyle name="Total 2 7 5 2 10 5" xfId="33455"/>
    <cellStyle name="Total 2 7 5 2 10 6" xfId="50200"/>
    <cellStyle name="Total 2 7 5 2 10 7" xfId="58222"/>
    <cellStyle name="Total 2 7 5 2 11" xfId="33456"/>
    <cellStyle name="Total 2 7 5 2 11 2" xfId="33457"/>
    <cellStyle name="Total 2 7 5 2 11 3" xfId="33458"/>
    <cellStyle name="Total 2 7 5 2 11 4" xfId="33459"/>
    <cellStyle name="Total 2 7 5 2 11 5" xfId="33460"/>
    <cellStyle name="Total 2 7 5 2 12" xfId="33461"/>
    <cellStyle name="Total 2 7 5 2 12 2" xfId="33462"/>
    <cellStyle name="Total 2 7 5 2 12 3" xfId="33463"/>
    <cellStyle name="Total 2 7 5 2 12 4" xfId="33464"/>
    <cellStyle name="Total 2 7 5 2 12 5" xfId="33465"/>
    <cellStyle name="Total 2 7 5 2 13" xfId="33466"/>
    <cellStyle name="Total 2 7 5 2 13 2" xfId="33467"/>
    <cellStyle name="Total 2 7 5 2 13 3" xfId="33468"/>
    <cellStyle name="Total 2 7 5 2 13 4" xfId="33469"/>
    <cellStyle name="Total 2 7 5 2 13 5" xfId="33470"/>
    <cellStyle name="Total 2 7 5 2 14" xfId="33471"/>
    <cellStyle name="Total 2 7 5 2 14 2" xfId="33472"/>
    <cellStyle name="Total 2 7 5 2 14 3" xfId="33473"/>
    <cellStyle name="Total 2 7 5 2 14 4" xfId="33474"/>
    <cellStyle name="Total 2 7 5 2 14 5" xfId="33475"/>
    <cellStyle name="Total 2 7 5 2 15" xfId="33476"/>
    <cellStyle name="Total 2 7 5 2 15 2" xfId="33477"/>
    <cellStyle name="Total 2 7 5 2 15 3" xfId="33478"/>
    <cellStyle name="Total 2 7 5 2 15 4" xfId="33479"/>
    <cellStyle name="Total 2 7 5 2 15 5" xfId="33480"/>
    <cellStyle name="Total 2 7 5 2 16" xfId="33481"/>
    <cellStyle name="Total 2 7 5 2 16 2" xfId="33482"/>
    <cellStyle name="Total 2 7 5 2 16 3" xfId="33483"/>
    <cellStyle name="Total 2 7 5 2 16 4" xfId="33484"/>
    <cellStyle name="Total 2 7 5 2 16 5" xfId="33485"/>
    <cellStyle name="Total 2 7 5 2 17" xfId="33486"/>
    <cellStyle name="Total 2 7 5 2 17 2" xfId="33487"/>
    <cellStyle name="Total 2 7 5 2 17 3" xfId="33488"/>
    <cellStyle name="Total 2 7 5 2 17 4" xfId="33489"/>
    <cellStyle name="Total 2 7 5 2 17 5" xfId="33490"/>
    <cellStyle name="Total 2 7 5 2 18" xfId="33491"/>
    <cellStyle name="Total 2 7 5 2 18 2" xfId="33492"/>
    <cellStyle name="Total 2 7 5 2 18 3" xfId="33493"/>
    <cellStyle name="Total 2 7 5 2 18 4" xfId="33494"/>
    <cellStyle name="Total 2 7 5 2 18 5" xfId="33495"/>
    <cellStyle name="Total 2 7 5 2 19" xfId="33496"/>
    <cellStyle name="Total 2 7 5 2 2" xfId="3019"/>
    <cellStyle name="Total 2 7 5 2 2 2" xfId="33497"/>
    <cellStyle name="Total 2 7 5 2 2 2 2" xfId="50202"/>
    <cellStyle name="Total 2 7 5 2 2 2 3" xfId="58224"/>
    <cellStyle name="Total 2 7 5 2 2 3" xfId="33498"/>
    <cellStyle name="Total 2 7 5 2 2 4" xfId="33499"/>
    <cellStyle name="Total 2 7 5 2 2 5" xfId="33500"/>
    <cellStyle name="Total 2 7 5 2 2 6" xfId="36476"/>
    <cellStyle name="Total 2 7 5 2 2 7" xfId="50201"/>
    <cellStyle name="Total 2 7 5 2 2 8" xfId="58223"/>
    <cellStyle name="Total 2 7 5 2 20" xfId="1101"/>
    <cellStyle name="Total 2 7 5 2 21" xfId="35181"/>
    <cellStyle name="Total 2 7 5 2 22" xfId="41401"/>
    <cellStyle name="Total 2 7 5 2 3" xfId="3020"/>
    <cellStyle name="Total 2 7 5 2 3 2" xfId="33501"/>
    <cellStyle name="Total 2 7 5 2 3 3" xfId="33502"/>
    <cellStyle name="Total 2 7 5 2 3 4" xfId="33503"/>
    <cellStyle name="Total 2 7 5 2 3 5" xfId="33504"/>
    <cellStyle name="Total 2 7 5 2 3 6" xfId="36973"/>
    <cellStyle name="Total 2 7 5 2 3 7" xfId="50203"/>
    <cellStyle name="Total 2 7 5 2 3 8" xfId="58225"/>
    <cellStyle name="Total 2 7 5 2 4" xfId="1520"/>
    <cellStyle name="Total 2 7 5 2 4 2" xfId="33505"/>
    <cellStyle name="Total 2 7 5 2 4 3" xfId="33506"/>
    <cellStyle name="Total 2 7 5 2 4 4" xfId="33507"/>
    <cellStyle name="Total 2 7 5 2 4 5" xfId="33508"/>
    <cellStyle name="Total 2 7 5 2 4 6" xfId="37589"/>
    <cellStyle name="Total 2 7 5 2 4 7" xfId="50204"/>
    <cellStyle name="Total 2 7 5 2 4 8" xfId="58226"/>
    <cellStyle name="Total 2 7 5 2 5" xfId="3590"/>
    <cellStyle name="Total 2 7 5 2 5 2" xfId="33509"/>
    <cellStyle name="Total 2 7 5 2 5 3" xfId="33510"/>
    <cellStyle name="Total 2 7 5 2 5 4" xfId="33511"/>
    <cellStyle name="Total 2 7 5 2 5 5" xfId="33512"/>
    <cellStyle name="Total 2 7 5 2 5 6" xfId="38206"/>
    <cellStyle name="Total 2 7 5 2 5 7" xfId="50205"/>
    <cellStyle name="Total 2 7 5 2 5 8" xfId="58227"/>
    <cellStyle name="Total 2 7 5 2 6" xfId="3908"/>
    <cellStyle name="Total 2 7 5 2 6 2" xfId="33513"/>
    <cellStyle name="Total 2 7 5 2 6 3" xfId="33514"/>
    <cellStyle name="Total 2 7 5 2 6 4" xfId="33515"/>
    <cellStyle name="Total 2 7 5 2 6 5" xfId="33516"/>
    <cellStyle name="Total 2 7 5 2 6 6" xfId="38824"/>
    <cellStyle name="Total 2 7 5 2 6 7" xfId="50206"/>
    <cellStyle name="Total 2 7 5 2 6 8" xfId="58228"/>
    <cellStyle name="Total 2 7 5 2 7" xfId="33517"/>
    <cellStyle name="Total 2 7 5 2 7 2" xfId="33518"/>
    <cellStyle name="Total 2 7 5 2 7 3" xfId="33519"/>
    <cellStyle name="Total 2 7 5 2 7 4" xfId="33520"/>
    <cellStyle name="Total 2 7 5 2 7 5" xfId="33521"/>
    <cellStyle name="Total 2 7 5 2 7 6" xfId="39444"/>
    <cellStyle name="Total 2 7 5 2 7 7" xfId="50207"/>
    <cellStyle name="Total 2 7 5 2 7 8" xfId="58229"/>
    <cellStyle name="Total 2 7 5 2 8" xfId="33522"/>
    <cellStyle name="Total 2 7 5 2 8 2" xfId="33523"/>
    <cellStyle name="Total 2 7 5 2 8 3" xfId="33524"/>
    <cellStyle name="Total 2 7 5 2 8 4" xfId="33525"/>
    <cellStyle name="Total 2 7 5 2 8 5" xfId="33526"/>
    <cellStyle name="Total 2 7 5 2 8 6" xfId="40060"/>
    <cellStyle name="Total 2 7 5 2 8 7" xfId="50208"/>
    <cellStyle name="Total 2 7 5 2 8 8" xfId="58230"/>
    <cellStyle name="Total 2 7 5 2 9" xfId="33527"/>
    <cellStyle name="Total 2 7 5 2 9 2" xfId="33528"/>
    <cellStyle name="Total 2 7 5 2 9 3" xfId="33529"/>
    <cellStyle name="Total 2 7 5 2 9 4" xfId="33530"/>
    <cellStyle name="Total 2 7 5 2 9 5" xfId="33531"/>
    <cellStyle name="Total 2 7 5 2 9 6" xfId="40675"/>
    <cellStyle name="Total 2 7 5 2 9 7" xfId="50209"/>
    <cellStyle name="Total 2 7 5 2 9 8" xfId="58231"/>
    <cellStyle name="Total 2 7 5 20" xfId="889"/>
    <cellStyle name="Total 2 7 5 21" xfId="34654"/>
    <cellStyle name="Total 2 7 5 22" xfId="40973"/>
    <cellStyle name="Total 2 7 5 23" xfId="41534"/>
    <cellStyle name="Total 2 7 5 24" xfId="50621"/>
    <cellStyle name="Total 2 7 5 3" xfId="3021"/>
    <cellStyle name="Total 2 7 5 3 10" xfId="34970"/>
    <cellStyle name="Total 2 7 5 3 10 2" xfId="50211"/>
    <cellStyle name="Total 2 7 5 3 10 3" xfId="58233"/>
    <cellStyle name="Total 2 7 5 3 11" xfId="41188"/>
    <cellStyle name="Total 2 7 5 3 12" xfId="50210"/>
    <cellStyle name="Total 2 7 5 3 13" xfId="58232"/>
    <cellStyle name="Total 2 7 5 3 2" xfId="3022"/>
    <cellStyle name="Total 2 7 5 3 2 2" xfId="36265"/>
    <cellStyle name="Total 2 7 5 3 2 3" xfId="50212"/>
    <cellStyle name="Total 2 7 5 3 2 4" xfId="58234"/>
    <cellStyle name="Total 2 7 5 3 3" xfId="3023"/>
    <cellStyle name="Total 2 7 5 3 3 2" xfId="36762"/>
    <cellStyle name="Total 2 7 5 3 3 3" xfId="50213"/>
    <cellStyle name="Total 2 7 5 3 3 4" xfId="58235"/>
    <cellStyle name="Total 2 7 5 3 4" xfId="33532"/>
    <cellStyle name="Total 2 7 5 3 4 2" xfId="37378"/>
    <cellStyle name="Total 2 7 5 3 4 3" xfId="50214"/>
    <cellStyle name="Total 2 7 5 3 4 4" xfId="58236"/>
    <cellStyle name="Total 2 7 5 3 5" xfId="33533"/>
    <cellStyle name="Total 2 7 5 3 5 2" xfId="37994"/>
    <cellStyle name="Total 2 7 5 3 5 3" xfId="50215"/>
    <cellStyle name="Total 2 7 5 3 5 4" xfId="58237"/>
    <cellStyle name="Total 2 7 5 3 6" xfId="38611"/>
    <cellStyle name="Total 2 7 5 3 6 2" xfId="50216"/>
    <cellStyle name="Total 2 7 5 3 6 3" xfId="58238"/>
    <cellStyle name="Total 2 7 5 3 7" xfId="39231"/>
    <cellStyle name="Total 2 7 5 3 7 2" xfId="50217"/>
    <cellStyle name="Total 2 7 5 3 7 3" xfId="58239"/>
    <cellStyle name="Total 2 7 5 3 8" xfId="39847"/>
    <cellStyle name="Total 2 7 5 3 8 2" xfId="50218"/>
    <cellStyle name="Total 2 7 5 3 8 3" xfId="58240"/>
    <cellStyle name="Total 2 7 5 3 9" xfId="40462"/>
    <cellStyle name="Total 2 7 5 3 9 2" xfId="50219"/>
    <cellStyle name="Total 2 7 5 3 9 3" xfId="58241"/>
    <cellStyle name="Total 2 7 5 4" xfId="3024"/>
    <cellStyle name="Total 2 7 5 4 10" xfId="50220"/>
    <cellStyle name="Total 2 7 5 4 11" xfId="58242"/>
    <cellStyle name="Total 2 7 5 4 2" xfId="33534"/>
    <cellStyle name="Total 2 7 5 4 2 2" xfId="50221"/>
    <cellStyle name="Total 2 7 5 4 2 3" xfId="58243"/>
    <cellStyle name="Total 2 7 5 4 3" xfId="33535"/>
    <cellStyle name="Total 2 7 5 4 3 2" xfId="50222"/>
    <cellStyle name="Total 2 7 5 4 3 3" xfId="58244"/>
    <cellStyle name="Total 2 7 5 4 4" xfId="33536"/>
    <cellStyle name="Total 2 7 5 4 4 2" xfId="50223"/>
    <cellStyle name="Total 2 7 5 4 4 3" xfId="58245"/>
    <cellStyle name="Total 2 7 5 4 5" xfId="33537"/>
    <cellStyle name="Total 2 7 5 4 5 2" xfId="50224"/>
    <cellStyle name="Total 2 7 5 4 5 3" xfId="58246"/>
    <cellStyle name="Total 2 7 5 4 6" xfId="36550"/>
    <cellStyle name="Total 2 7 5 4 6 2" xfId="50225"/>
    <cellStyle name="Total 2 7 5 4 6 3" xfId="58247"/>
    <cellStyle name="Total 2 7 5 4 7" xfId="50226"/>
    <cellStyle name="Total 2 7 5 4 7 2" xfId="58248"/>
    <cellStyle name="Total 2 7 5 4 8" xfId="50227"/>
    <cellStyle name="Total 2 7 5 4 8 2" xfId="58249"/>
    <cellStyle name="Total 2 7 5 4 9" xfId="50228"/>
    <cellStyle name="Total 2 7 5 4 9 2" xfId="58250"/>
    <cellStyle name="Total 2 7 5 5" xfId="1519"/>
    <cellStyle name="Total 2 7 5 5 2" xfId="33538"/>
    <cellStyle name="Total 2 7 5 5 3" xfId="33539"/>
    <cellStyle name="Total 2 7 5 5 4" xfId="33540"/>
    <cellStyle name="Total 2 7 5 5 5" xfId="33541"/>
    <cellStyle name="Total 2 7 5 5 6" xfId="37166"/>
    <cellStyle name="Total 2 7 5 5 7" xfId="50229"/>
    <cellStyle name="Total 2 7 5 5 8" xfId="58251"/>
    <cellStyle name="Total 2 7 5 6" xfId="3589"/>
    <cellStyle name="Total 2 7 5 6 2" xfId="33542"/>
    <cellStyle name="Total 2 7 5 6 3" xfId="33543"/>
    <cellStyle name="Total 2 7 5 6 4" xfId="33544"/>
    <cellStyle name="Total 2 7 5 6 5" xfId="33545"/>
    <cellStyle name="Total 2 7 5 6 6" xfId="37780"/>
    <cellStyle name="Total 2 7 5 6 7" xfId="50230"/>
    <cellStyle name="Total 2 7 5 6 8" xfId="58252"/>
    <cellStyle name="Total 2 7 5 7" xfId="3907"/>
    <cellStyle name="Total 2 7 5 7 2" xfId="33546"/>
    <cellStyle name="Total 2 7 5 7 3" xfId="33547"/>
    <cellStyle name="Total 2 7 5 7 4" xfId="33548"/>
    <cellStyle name="Total 2 7 5 7 5" xfId="33549"/>
    <cellStyle name="Total 2 7 5 7 6" xfId="38396"/>
    <cellStyle name="Total 2 7 5 7 7" xfId="50231"/>
    <cellStyle name="Total 2 7 5 7 8" xfId="58253"/>
    <cellStyle name="Total 2 7 5 8" xfId="33550"/>
    <cellStyle name="Total 2 7 5 8 2" xfId="33551"/>
    <cellStyle name="Total 2 7 5 8 3" xfId="33552"/>
    <cellStyle name="Total 2 7 5 8 4" xfId="33553"/>
    <cellStyle name="Total 2 7 5 8 5" xfId="33554"/>
    <cellStyle name="Total 2 7 5 8 6" xfId="39016"/>
    <cellStyle name="Total 2 7 5 8 7" xfId="50232"/>
    <cellStyle name="Total 2 7 5 8 8" xfId="58254"/>
    <cellStyle name="Total 2 7 5 9" xfId="33555"/>
    <cellStyle name="Total 2 7 5 9 2" xfId="33556"/>
    <cellStyle name="Total 2 7 5 9 3" xfId="33557"/>
    <cellStyle name="Total 2 7 5 9 4" xfId="33558"/>
    <cellStyle name="Total 2 7 5 9 5" xfId="33559"/>
    <cellStyle name="Total 2 7 5 9 6" xfId="39632"/>
    <cellStyle name="Total 2 7 5 9 7" xfId="50233"/>
    <cellStyle name="Total 2 7 5 9 8" xfId="58255"/>
    <cellStyle name="Total 2 7 6" xfId="495"/>
    <cellStyle name="Total 2 7 6 10" xfId="33560"/>
    <cellStyle name="Total 2 7 6 10 2" xfId="33561"/>
    <cellStyle name="Total 2 7 6 10 3" xfId="33562"/>
    <cellStyle name="Total 2 7 6 10 4" xfId="33563"/>
    <cellStyle name="Total 2 7 6 10 5" xfId="33564"/>
    <cellStyle name="Total 2 7 6 10 6" xfId="50234"/>
    <cellStyle name="Total 2 7 6 10 7" xfId="58256"/>
    <cellStyle name="Total 2 7 6 11" xfId="33565"/>
    <cellStyle name="Total 2 7 6 11 2" xfId="33566"/>
    <cellStyle name="Total 2 7 6 11 3" xfId="33567"/>
    <cellStyle name="Total 2 7 6 11 4" xfId="33568"/>
    <cellStyle name="Total 2 7 6 11 5" xfId="33569"/>
    <cellStyle name="Total 2 7 6 12" xfId="33570"/>
    <cellStyle name="Total 2 7 6 12 2" xfId="33571"/>
    <cellStyle name="Total 2 7 6 12 3" xfId="33572"/>
    <cellStyle name="Total 2 7 6 12 4" xfId="33573"/>
    <cellStyle name="Total 2 7 6 12 5" xfId="33574"/>
    <cellStyle name="Total 2 7 6 13" xfId="33575"/>
    <cellStyle name="Total 2 7 6 13 2" xfId="33576"/>
    <cellStyle name="Total 2 7 6 13 3" xfId="33577"/>
    <cellStyle name="Total 2 7 6 13 4" xfId="33578"/>
    <cellStyle name="Total 2 7 6 13 5" xfId="33579"/>
    <cellStyle name="Total 2 7 6 14" xfId="33580"/>
    <cellStyle name="Total 2 7 6 14 2" xfId="33581"/>
    <cellStyle name="Total 2 7 6 14 3" xfId="33582"/>
    <cellStyle name="Total 2 7 6 14 4" xfId="33583"/>
    <cellStyle name="Total 2 7 6 14 5" xfId="33584"/>
    <cellStyle name="Total 2 7 6 15" xfId="33585"/>
    <cellStyle name="Total 2 7 6 15 2" xfId="33586"/>
    <cellStyle name="Total 2 7 6 15 3" xfId="33587"/>
    <cellStyle name="Total 2 7 6 15 4" xfId="33588"/>
    <cellStyle name="Total 2 7 6 15 5" xfId="33589"/>
    <cellStyle name="Total 2 7 6 16" xfId="33590"/>
    <cellStyle name="Total 2 7 6 16 2" xfId="33591"/>
    <cellStyle name="Total 2 7 6 16 3" xfId="33592"/>
    <cellStyle name="Total 2 7 6 16 4" xfId="33593"/>
    <cellStyle name="Total 2 7 6 16 5" xfId="33594"/>
    <cellStyle name="Total 2 7 6 17" xfId="33595"/>
    <cellStyle name="Total 2 7 6 17 2" xfId="33596"/>
    <cellStyle name="Total 2 7 6 17 3" xfId="33597"/>
    <cellStyle name="Total 2 7 6 17 4" xfId="33598"/>
    <cellStyle name="Total 2 7 6 17 5" xfId="33599"/>
    <cellStyle name="Total 2 7 6 18" xfId="33600"/>
    <cellStyle name="Total 2 7 6 18 2" xfId="33601"/>
    <cellStyle name="Total 2 7 6 18 3" xfId="33602"/>
    <cellStyle name="Total 2 7 6 18 4" xfId="33603"/>
    <cellStyle name="Total 2 7 6 18 5" xfId="33604"/>
    <cellStyle name="Total 2 7 6 19" xfId="33605"/>
    <cellStyle name="Total 2 7 6 2" xfId="3025"/>
    <cellStyle name="Total 2 7 6 2 2" xfId="33606"/>
    <cellStyle name="Total 2 7 6 2 2 2" xfId="50236"/>
    <cellStyle name="Total 2 7 6 2 2 3" xfId="58258"/>
    <cellStyle name="Total 2 7 6 2 3" xfId="33607"/>
    <cellStyle name="Total 2 7 6 2 4" xfId="33608"/>
    <cellStyle name="Total 2 7 6 2 5" xfId="33609"/>
    <cellStyle name="Total 2 7 6 2 6" xfId="36299"/>
    <cellStyle name="Total 2 7 6 2 7" xfId="50235"/>
    <cellStyle name="Total 2 7 6 2 8" xfId="58257"/>
    <cellStyle name="Total 2 7 6 20" xfId="924"/>
    <cellStyle name="Total 2 7 6 21" xfId="35004"/>
    <cellStyle name="Total 2 7 6 22" xfId="40713"/>
    <cellStyle name="Total 2 7 6 23" xfId="41223"/>
    <cellStyle name="Total 2 7 6 3" xfId="3026"/>
    <cellStyle name="Total 2 7 6 3 2" xfId="33610"/>
    <cellStyle name="Total 2 7 6 3 3" xfId="33611"/>
    <cellStyle name="Total 2 7 6 3 4" xfId="33612"/>
    <cellStyle name="Total 2 7 6 3 5" xfId="33613"/>
    <cellStyle name="Total 2 7 6 3 6" xfId="36796"/>
    <cellStyle name="Total 2 7 6 3 7" xfId="50237"/>
    <cellStyle name="Total 2 7 6 3 8" xfId="58259"/>
    <cellStyle name="Total 2 7 6 4" xfId="1521"/>
    <cellStyle name="Total 2 7 6 4 2" xfId="33614"/>
    <cellStyle name="Total 2 7 6 4 3" xfId="33615"/>
    <cellStyle name="Total 2 7 6 4 4" xfId="33616"/>
    <cellStyle name="Total 2 7 6 4 5" xfId="33617"/>
    <cellStyle name="Total 2 7 6 4 6" xfId="37412"/>
    <cellStyle name="Total 2 7 6 4 7" xfId="50238"/>
    <cellStyle name="Total 2 7 6 4 8" xfId="58260"/>
    <cellStyle name="Total 2 7 6 5" xfId="3591"/>
    <cellStyle name="Total 2 7 6 5 2" xfId="33618"/>
    <cellStyle name="Total 2 7 6 5 3" xfId="33619"/>
    <cellStyle name="Total 2 7 6 5 4" xfId="33620"/>
    <cellStyle name="Total 2 7 6 5 5" xfId="33621"/>
    <cellStyle name="Total 2 7 6 5 6" xfId="38028"/>
    <cellStyle name="Total 2 7 6 5 7" xfId="50239"/>
    <cellStyle name="Total 2 7 6 5 8" xfId="58261"/>
    <cellStyle name="Total 2 7 6 6" xfId="3909"/>
    <cellStyle name="Total 2 7 6 6 2" xfId="33622"/>
    <cellStyle name="Total 2 7 6 6 3" xfId="33623"/>
    <cellStyle name="Total 2 7 6 6 4" xfId="33624"/>
    <cellStyle name="Total 2 7 6 6 5" xfId="33625"/>
    <cellStyle name="Total 2 7 6 6 6" xfId="38646"/>
    <cellStyle name="Total 2 7 6 6 7" xfId="50240"/>
    <cellStyle name="Total 2 7 6 6 8" xfId="58262"/>
    <cellStyle name="Total 2 7 6 7" xfId="33626"/>
    <cellStyle name="Total 2 7 6 7 2" xfId="33627"/>
    <cellStyle name="Total 2 7 6 7 3" xfId="33628"/>
    <cellStyle name="Total 2 7 6 7 4" xfId="33629"/>
    <cellStyle name="Total 2 7 6 7 5" xfId="33630"/>
    <cellStyle name="Total 2 7 6 7 6" xfId="39266"/>
    <cellStyle name="Total 2 7 6 7 7" xfId="50241"/>
    <cellStyle name="Total 2 7 6 7 8" xfId="58263"/>
    <cellStyle name="Total 2 7 6 8" xfId="33631"/>
    <cellStyle name="Total 2 7 6 8 2" xfId="33632"/>
    <cellStyle name="Total 2 7 6 8 3" xfId="33633"/>
    <cellStyle name="Total 2 7 6 8 4" xfId="33634"/>
    <cellStyle name="Total 2 7 6 8 5" xfId="33635"/>
    <cellStyle name="Total 2 7 6 8 6" xfId="39882"/>
    <cellStyle name="Total 2 7 6 8 7" xfId="50242"/>
    <cellStyle name="Total 2 7 6 8 8" xfId="58264"/>
    <cellStyle name="Total 2 7 6 9" xfId="33636"/>
    <cellStyle name="Total 2 7 6 9 2" xfId="33637"/>
    <cellStyle name="Total 2 7 6 9 3" xfId="33638"/>
    <cellStyle name="Total 2 7 6 9 4" xfId="33639"/>
    <cellStyle name="Total 2 7 6 9 5" xfId="33640"/>
    <cellStyle name="Total 2 7 6 9 6" xfId="40497"/>
    <cellStyle name="Total 2 7 6 9 7" xfId="50243"/>
    <cellStyle name="Total 2 7 6 9 8" xfId="58265"/>
    <cellStyle name="Total 2 7 7" xfId="3027"/>
    <cellStyle name="Total 2 7 7 10" xfId="34919"/>
    <cellStyle name="Total 2 7 7 10 2" xfId="50245"/>
    <cellStyle name="Total 2 7 7 10 3" xfId="58267"/>
    <cellStyle name="Total 2 7 7 11" xfId="41009"/>
    <cellStyle name="Total 2 7 7 12" xfId="50244"/>
    <cellStyle name="Total 2 7 7 13" xfId="58266"/>
    <cellStyle name="Total 2 7 7 2" xfId="3028"/>
    <cellStyle name="Total 2 7 7 2 2" xfId="36086"/>
    <cellStyle name="Total 2 7 7 2 3" xfId="50246"/>
    <cellStyle name="Total 2 7 7 2 4" xfId="58268"/>
    <cellStyle name="Total 2 7 7 3" xfId="3029"/>
    <cellStyle name="Total 2 7 7 3 2" xfId="36585"/>
    <cellStyle name="Total 2 7 7 3 3" xfId="50247"/>
    <cellStyle name="Total 2 7 7 3 4" xfId="58269"/>
    <cellStyle name="Total 2 7 7 4" xfId="33641"/>
    <cellStyle name="Total 2 7 7 4 2" xfId="37201"/>
    <cellStyle name="Total 2 7 7 4 3" xfId="50248"/>
    <cellStyle name="Total 2 7 7 4 4" xfId="58270"/>
    <cellStyle name="Total 2 7 7 5" xfId="33642"/>
    <cellStyle name="Total 2 7 7 5 2" xfId="37817"/>
    <cellStyle name="Total 2 7 7 5 3" xfId="50249"/>
    <cellStyle name="Total 2 7 7 5 4" xfId="58271"/>
    <cellStyle name="Total 2 7 7 6" xfId="38432"/>
    <cellStyle name="Total 2 7 7 6 2" xfId="50250"/>
    <cellStyle name="Total 2 7 7 6 3" xfId="58272"/>
    <cellStyle name="Total 2 7 7 7" xfId="39052"/>
    <cellStyle name="Total 2 7 7 7 2" xfId="50251"/>
    <cellStyle name="Total 2 7 7 7 3" xfId="58273"/>
    <cellStyle name="Total 2 7 7 8" xfId="39668"/>
    <cellStyle name="Total 2 7 7 8 2" xfId="50252"/>
    <cellStyle name="Total 2 7 7 8 3" xfId="58274"/>
    <cellStyle name="Total 2 7 7 9" xfId="40283"/>
    <cellStyle name="Total 2 7 7 9 2" xfId="50253"/>
    <cellStyle name="Total 2 7 7 9 3" xfId="58275"/>
    <cellStyle name="Total 2 7 8" xfId="1504"/>
    <cellStyle name="Total 2 7 8 10" xfId="50254"/>
    <cellStyle name="Total 2 7 8 11" xfId="58276"/>
    <cellStyle name="Total 2 7 8 2" xfId="33643"/>
    <cellStyle name="Total 2 7 8 2 2" xfId="50255"/>
    <cellStyle name="Total 2 7 8 2 3" xfId="58277"/>
    <cellStyle name="Total 2 7 8 3" xfId="33644"/>
    <cellStyle name="Total 2 7 8 3 2" xfId="50256"/>
    <cellStyle name="Total 2 7 8 3 3" xfId="58278"/>
    <cellStyle name="Total 2 7 8 4" xfId="33645"/>
    <cellStyle name="Total 2 7 8 4 2" xfId="50257"/>
    <cellStyle name="Total 2 7 8 4 3" xfId="58279"/>
    <cellStyle name="Total 2 7 8 5" xfId="33646"/>
    <cellStyle name="Total 2 7 8 5 2" xfId="50258"/>
    <cellStyle name="Total 2 7 8 5 3" xfId="58280"/>
    <cellStyle name="Total 2 7 8 6" xfId="35404"/>
    <cellStyle name="Total 2 7 8 6 2" xfId="50259"/>
    <cellStyle name="Total 2 7 8 6 3" xfId="58281"/>
    <cellStyle name="Total 2 7 8 7" xfId="50260"/>
    <cellStyle name="Total 2 7 8 7 2" xfId="58282"/>
    <cellStyle name="Total 2 7 8 8" xfId="50261"/>
    <cellStyle name="Total 2 7 8 8 2" xfId="58283"/>
    <cellStyle name="Total 2 7 8 9" xfId="50262"/>
    <cellStyle name="Total 2 7 8 9 2" xfId="58284"/>
    <cellStyle name="Total 2 7 9" xfId="3574"/>
    <cellStyle name="Total 2 7 9 2" xfId="33647"/>
    <cellStyle name="Total 2 7 9 3" xfId="33648"/>
    <cellStyle name="Total 2 7 9 4" xfId="33649"/>
    <cellStyle name="Total 2 7 9 5" xfId="33650"/>
    <cellStyle name="Total 2 7 9 6" xfId="35935"/>
    <cellStyle name="Total 2 7 9 7" xfId="50263"/>
    <cellStyle name="Total 2 7 9 8" xfId="58285"/>
    <cellStyle name="Total 2 8" xfId="313"/>
    <cellStyle name="Total 2 8 10" xfId="33651"/>
    <cellStyle name="Total 2 8 10 2" xfId="33652"/>
    <cellStyle name="Total 2 8 10 3" xfId="33653"/>
    <cellStyle name="Total 2 8 10 4" xfId="33654"/>
    <cellStyle name="Total 2 8 10 5" xfId="33655"/>
    <cellStyle name="Total 2 8 10 6" xfId="37641"/>
    <cellStyle name="Total 2 8 10 7" xfId="50264"/>
    <cellStyle name="Total 2 8 10 8" xfId="58286"/>
    <cellStyle name="Total 2 8 11" xfId="33656"/>
    <cellStyle name="Total 2 8 11 2" xfId="33657"/>
    <cellStyle name="Total 2 8 11 3" xfId="33658"/>
    <cellStyle name="Total 2 8 11 4" xfId="33659"/>
    <cellStyle name="Total 2 8 11 5" xfId="33660"/>
    <cellStyle name="Total 2 8 11 6" xfId="38258"/>
    <cellStyle name="Total 2 8 11 7" xfId="50265"/>
    <cellStyle name="Total 2 8 11 8" xfId="58287"/>
    <cellStyle name="Total 2 8 12" xfId="33661"/>
    <cellStyle name="Total 2 8 12 2" xfId="33662"/>
    <cellStyle name="Total 2 8 12 3" xfId="33663"/>
    <cellStyle name="Total 2 8 12 4" xfId="33664"/>
    <cellStyle name="Total 2 8 12 5" xfId="33665"/>
    <cellStyle name="Total 2 8 12 6" xfId="38880"/>
    <cellStyle name="Total 2 8 12 7" xfId="50266"/>
    <cellStyle name="Total 2 8 12 8" xfId="58288"/>
    <cellStyle name="Total 2 8 13" xfId="33666"/>
    <cellStyle name="Total 2 8 13 2" xfId="33667"/>
    <cellStyle name="Total 2 8 13 3" xfId="33668"/>
    <cellStyle name="Total 2 8 13 4" xfId="33669"/>
    <cellStyle name="Total 2 8 13 5" xfId="33670"/>
    <cellStyle name="Total 2 8 13 6" xfId="39500"/>
    <cellStyle name="Total 2 8 13 7" xfId="50267"/>
    <cellStyle name="Total 2 8 13 8" xfId="58289"/>
    <cellStyle name="Total 2 8 14" xfId="33671"/>
    <cellStyle name="Total 2 8 14 2" xfId="33672"/>
    <cellStyle name="Total 2 8 14 3" xfId="33673"/>
    <cellStyle name="Total 2 8 14 4" xfId="33674"/>
    <cellStyle name="Total 2 8 14 5" xfId="33675"/>
    <cellStyle name="Total 2 8 14 6" xfId="40118"/>
    <cellStyle name="Total 2 8 14 7" xfId="50268"/>
    <cellStyle name="Total 2 8 14 8" xfId="58290"/>
    <cellStyle name="Total 2 8 15" xfId="33676"/>
    <cellStyle name="Total 2 8 15 2" xfId="33677"/>
    <cellStyle name="Total 2 8 15 3" xfId="33678"/>
    <cellStyle name="Total 2 8 15 4" xfId="33679"/>
    <cellStyle name="Total 2 8 15 5" xfId="33680"/>
    <cellStyle name="Total 2 8 15 6" xfId="50269"/>
    <cellStyle name="Total 2 8 15 7" xfId="58291"/>
    <cellStyle name="Total 2 8 16" xfId="33681"/>
    <cellStyle name="Total 2 8 16 2" xfId="33682"/>
    <cellStyle name="Total 2 8 16 3" xfId="33683"/>
    <cellStyle name="Total 2 8 16 4" xfId="33684"/>
    <cellStyle name="Total 2 8 16 5" xfId="33685"/>
    <cellStyle name="Total 2 8 17" xfId="33686"/>
    <cellStyle name="Total 2 8 17 2" xfId="33687"/>
    <cellStyle name="Total 2 8 17 3" xfId="33688"/>
    <cellStyle name="Total 2 8 17 4" xfId="33689"/>
    <cellStyle name="Total 2 8 17 5" xfId="33690"/>
    <cellStyle name="Total 2 8 18" xfId="33691"/>
    <cellStyle name="Total 2 8 19" xfId="758"/>
    <cellStyle name="Total 2 8 2" xfId="459"/>
    <cellStyle name="Total 2 8 2 10" xfId="33692"/>
    <cellStyle name="Total 2 8 2 10 2" xfId="33693"/>
    <cellStyle name="Total 2 8 2 10 3" xfId="33694"/>
    <cellStyle name="Total 2 8 2 10 4" xfId="33695"/>
    <cellStyle name="Total 2 8 2 10 5" xfId="33696"/>
    <cellStyle name="Total 2 8 2 10 6" xfId="39633"/>
    <cellStyle name="Total 2 8 2 10 7" xfId="50270"/>
    <cellStyle name="Total 2 8 2 10 8" xfId="58292"/>
    <cellStyle name="Total 2 8 2 11" xfId="33697"/>
    <cellStyle name="Total 2 8 2 11 2" xfId="33698"/>
    <cellStyle name="Total 2 8 2 11 3" xfId="33699"/>
    <cellStyle name="Total 2 8 2 11 4" xfId="33700"/>
    <cellStyle name="Total 2 8 2 11 5" xfId="33701"/>
    <cellStyle name="Total 2 8 2 11 6" xfId="40248"/>
    <cellStyle name="Total 2 8 2 11 7" xfId="50271"/>
    <cellStyle name="Total 2 8 2 11 8" xfId="58293"/>
    <cellStyle name="Total 2 8 2 12" xfId="33702"/>
    <cellStyle name="Total 2 8 2 12 2" xfId="33703"/>
    <cellStyle name="Total 2 8 2 12 3" xfId="33704"/>
    <cellStyle name="Total 2 8 2 12 4" xfId="33705"/>
    <cellStyle name="Total 2 8 2 12 5" xfId="33706"/>
    <cellStyle name="Total 2 8 2 12 6" xfId="50272"/>
    <cellStyle name="Total 2 8 2 12 7" xfId="58294"/>
    <cellStyle name="Total 2 8 2 13" xfId="33707"/>
    <cellStyle name="Total 2 8 2 13 2" xfId="33708"/>
    <cellStyle name="Total 2 8 2 13 3" xfId="33709"/>
    <cellStyle name="Total 2 8 2 13 4" xfId="33710"/>
    <cellStyle name="Total 2 8 2 13 5" xfId="33711"/>
    <cellStyle name="Total 2 8 2 13 6" xfId="50273"/>
    <cellStyle name="Total 2 8 2 13 7" xfId="58295"/>
    <cellStyle name="Total 2 8 2 14" xfId="33712"/>
    <cellStyle name="Total 2 8 2 14 2" xfId="33713"/>
    <cellStyle name="Total 2 8 2 14 3" xfId="33714"/>
    <cellStyle name="Total 2 8 2 14 4" xfId="33715"/>
    <cellStyle name="Total 2 8 2 14 5" xfId="33716"/>
    <cellStyle name="Total 2 8 2 15" xfId="33717"/>
    <cellStyle name="Total 2 8 2 15 2" xfId="33718"/>
    <cellStyle name="Total 2 8 2 15 3" xfId="33719"/>
    <cellStyle name="Total 2 8 2 15 4" xfId="33720"/>
    <cellStyle name="Total 2 8 2 15 5" xfId="33721"/>
    <cellStyle name="Total 2 8 2 16" xfId="33722"/>
    <cellStyle name="Total 2 8 2 16 2" xfId="33723"/>
    <cellStyle name="Total 2 8 2 16 3" xfId="33724"/>
    <cellStyle name="Total 2 8 2 16 4" xfId="33725"/>
    <cellStyle name="Total 2 8 2 16 5" xfId="33726"/>
    <cellStyle name="Total 2 8 2 17" xfId="33727"/>
    <cellStyle name="Total 2 8 2 17 2" xfId="33728"/>
    <cellStyle name="Total 2 8 2 17 3" xfId="33729"/>
    <cellStyle name="Total 2 8 2 17 4" xfId="33730"/>
    <cellStyle name="Total 2 8 2 17 5" xfId="33731"/>
    <cellStyle name="Total 2 8 2 18" xfId="33732"/>
    <cellStyle name="Total 2 8 2 18 2" xfId="33733"/>
    <cellStyle name="Total 2 8 2 18 3" xfId="33734"/>
    <cellStyle name="Total 2 8 2 18 4" xfId="33735"/>
    <cellStyle name="Total 2 8 2 18 5" xfId="33736"/>
    <cellStyle name="Total 2 8 2 19" xfId="33737"/>
    <cellStyle name="Total 2 8 2 2" xfId="674"/>
    <cellStyle name="Total 2 8 2 2 10" xfId="33738"/>
    <cellStyle name="Total 2 8 2 2 10 2" xfId="33739"/>
    <cellStyle name="Total 2 8 2 2 10 3" xfId="33740"/>
    <cellStyle name="Total 2 8 2 2 10 4" xfId="33741"/>
    <cellStyle name="Total 2 8 2 2 10 5" xfId="33742"/>
    <cellStyle name="Total 2 8 2 2 10 6" xfId="50274"/>
    <cellStyle name="Total 2 8 2 2 10 7" xfId="58296"/>
    <cellStyle name="Total 2 8 2 2 11" xfId="33743"/>
    <cellStyle name="Total 2 8 2 2 11 2" xfId="33744"/>
    <cellStyle name="Total 2 8 2 2 11 3" xfId="33745"/>
    <cellStyle name="Total 2 8 2 2 11 4" xfId="33746"/>
    <cellStyle name="Total 2 8 2 2 11 5" xfId="33747"/>
    <cellStyle name="Total 2 8 2 2 12" xfId="33748"/>
    <cellStyle name="Total 2 8 2 2 12 2" xfId="33749"/>
    <cellStyle name="Total 2 8 2 2 12 3" xfId="33750"/>
    <cellStyle name="Total 2 8 2 2 12 4" xfId="33751"/>
    <cellStyle name="Total 2 8 2 2 12 5" xfId="33752"/>
    <cellStyle name="Total 2 8 2 2 13" xfId="33753"/>
    <cellStyle name="Total 2 8 2 2 13 2" xfId="33754"/>
    <cellStyle name="Total 2 8 2 2 13 3" xfId="33755"/>
    <cellStyle name="Total 2 8 2 2 13 4" xfId="33756"/>
    <cellStyle name="Total 2 8 2 2 13 5" xfId="33757"/>
    <cellStyle name="Total 2 8 2 2 14" xfId="33758"/>
    <cellStyle name="Total 2 8 2 2 14 2" xfId="33759"/>
    <cellStyle name="Total 2 8 2 2 14 3" xfId="33760"/>
    <cellStyle name="Total 2 8 2 2 14 4" xfId="33761"/>
    <cellStyle name="Total 2 8 2 2 14 5" xfId="33762"/>
    <cellStyle name="Total 2 8 2 2 15" xfId="33763"/>
    <cellStyle name="Total 2 8 2 2 15 2" xfId="33764"/>
    <cellStyle name="Total 2 8 2 2 15 3" xfId="33765"/>
    <cellStyle name="Total 2 8 2 2 15 4" xfId="33766"/>
    <cellStyle name="Total 2 8 2 2 15 5" xfId="33767"/>
    <cellStyle name="Total 2 8 2 2 16" xfId="33768"/>
    <cellStyle name="Total 2 8 2 2 16 2" xfId="33769"/>
    <cellStyle name="Total 2 8 2 2 16 3" xfId="33770"/>
    <cellStyle name="Total 2 8 2 2 16 4" xfId="33771"/>
    <cellStyle name="Total 2 8 2 2 16 5" xfId="33772"/>
    <cellStyle name="Total 2 8 2 2 17" xfId="33773"/>
    <cellStyle name="Total 2 8 2 2 17 2" xfId="33774"/>
    <cellStyle name="Total 2 8 2 2 17 3" xfId="33775"/>
    <cellStyle name="Total 2 8 2 2 17 4" xfId="33776"/>
    <cellStyle name="Total 2 8 2 2 17 5" xfId="33777"/>
    <cellStyle name="Total 2 8 2 2 18" xfId="33778"/>
    <cellStyle name="Total 2 8 2 2 18 2" xfId="33779"/>
    <cellStyle name="Total 2 8 2 2 18 3" xfId="33780"/>
    <cellStyle name="Total 2 8 2 2 18 4" xfId="33781"/>
    <cellStyle name="Total 2 8 2 2 18 5" xfId="33782"/>
    <cellStyle name="Total 2 8 2 2 19" xfId="33783"/>
    <cellStyle name="Total 2 8 2 2 2" xfId="3030"/>
    <cellStyle name="Total 2 8 2 2 2 2" xfId="33784"/>
    <cellStyle name="Total 2 8 2 2 2 2 2" xfId="50276"/>
    <cellStyle name="Total 2 8 2 2 2 2 3" xfId="58298"/>
    <cellStyle name="Total 2 8 2 2 2 3" xfId="33785"/>
    <cellStyle name="Total 2 8 2 2 2 4" xfId="33786"/>
    <cellStyle name="Total 2 8 2 2 2 5" xfId="33787"/>
    <cellStyle name="Total 2 8 2 2 2 6" xfId="36477"/>
    <cellStyle name="Total 2 8 2 2 2 7" xfId="50275"/>
    <cellStyle name="Total 2 8 2 2 2 8" xfId="58297"/>
    <cellStyle name="Total 2 8 2 2 20" xfId="1102"/>
    <cellStyle name="Total 2 8 2 2 21" xfId="35182"/>
    <cellStyle name="Total 2 8 2 2 22" xfId="41402"/>
    <cellStyle name="Total 2 8 2 2 3" xfId="3031"/>
    <cellStyle name="Total 2 8 2 2 3 2" xfId="33788"/>
    <cellStyle name="Total 2 8 2 2 3 3" xfId="33789"/>
    <cellStyle name="Total 2 8 2 2 3 4" xfId="33790"/>
    <cellStyle name="Total 2 8 2 2 3 5" xfId="33791"/>
    <cellStyle name="Total 2 8 2 2 3 6" xfId="36974"/>
    <cellStyle name="Total 2 8 2 2 3 7" xfId="50277"/>
    <cellStyle name="Total 2 8 2 2 3 8" xfId="58299"/>
    <cellStyle name="Total 2 8 2 2 4" xfId="1524"/>
    <cellStyle name="Total 2 8 2 2 4 2" xfId="33792"/>
    <cellStyle name="Total 2 8 2 2 4 3" xfId="33793"/>
    <cellStyle name="Total 2 8 2 2 4 4" xfId="33794"/>
    <cellStyle name="Total 2 8 2 2 4 5" xfId="33795"/>
    <cellStyle name="Total 2 8 2 2 4 6" xfId="37590"/>
    <cellStyle name="Total 2 8 2 2 4 7" xfId="50278"/>
    <cellStyle name="Total 2 8 2 2 4 8" xfId="58300"/>
    <cellStyle name="Total 2 8 2 2 5" xfId="3594"/>
    <cellStyle name="Total 2 8 2 2 5 2" xfId="33796"/>
    <cellStyle name="Total 2 8 2 2 5 3" xfId="33797"/>
    <cellStyle name="Total 2 8 2 2 5 4" xfId="33798"/>
    <cellStyle name="Total 2 8 2 2 5 5" xfId="33799"/>
    <cellStyle name="Total 2 8 2 2 5 6" xfId="38207"/>
    <cellStyle name="Total 2 8 2 2 5 7" xfId="50279"/>
    <cellStyle name="Total 2 8 2 2 5 8" xfId="58301"/>
    <cellStyle name="Total 2 8 2 2 6" xfId="3912"/>
    <cellStyle name="Total 2 8 2 2 6 2" xfId="33800"/>
    <cellStyle name="Total 2 8 2 2 6 3" xfId="33801"/>
    <cellStyle name="Total 2 8 2 2 6 4" xfId="33802"/>
    <cellStyle name="Total 2 8 2 2 6 5" xfId="33803"/>
    <cellStyle name="Total 2 8 2 2 6 6" xfId="38825"/>
    <cellStyle name="Total 2 8 2 2 6 7" xfId="50280"/>
    <cellStyle name="Total 2 8 2 2 6 8" xfId="58302"/>
    <cellStyle name="Total 2 8 2 2 7" xfId="33804"/>
    <cellStyle name="Total 2 8 2 2 7 2" xfId="33805"/>
    <cellStyle name="Total 2 8 2 2 7 3" xfId="33806"/>
    <cellStyle name="Total 2 8 2 2 7 4" xfId="33807"/>
    <cellStyle name="Total 2 8 2 2 7 5" xfId="33808"/>
    <cellStyle name="Total 2 8 2 2 7 6" xfId="39445"/>
    <cellStyle name="Total 2 8 2 2 7 7" xfId="50281"/>
    <cellStyle name="Total 2 8 2 2 7 8" xfId="58303"/>
    <cellStyle name="Total 2 8 2 2 8" xfId="33809"/>
    <cellStyle name="Total 2 8 2 2 8 2" xfId="33810"/>
    <cellStyle name="Total 2 8 2 2 8 3" xfId="33811"/>
    <cellStyle name="Total 2 8 2 2 8 4" xfId="33812"/>
    <cellStyle name="Total 2 8 2 2 8 5" xfId="33813"/>
    <cellStyle name="Total 2 8 2 2 8 6" xfId="40061"/>
    <cellStyle name="Total 2 8 2 2 8 7" xfId="50282"/>
    <cellStyle name="Total 2 8 2 2 8 8" xfId="58304"/>
    <cellStyle name="Total 2 8 2 2 9" xfId="33814"/>
    <cellStyle name="Total 2 8 2 2 9 2" xfId="33815"/>
    <cellStyle name="Total 2 8 2 2 9 3" xfId="33816"/>
    <cellStyle name="Total 2 8 2 2 9 4" xfId="33817"/>
    <cellStyle name="Total 2 8 2 2 9 5" xfId="33818"/>
    <cellStyle name="Total 2 8 2 2 9 6" xfId="40676"/>
    <cellStyle name="Total 2 8 2 2 9 7" xfId="50283"/>
    <cellStyle name="Total 2 8 2 2 9 8" xfId="58305"/>
    <cellStyle name="Total 2 8 2 20" xfId="890"/>
    <cellStyle name="Total 2 8 2 21" xfId="34653"/>
    <cellStyle name="Total 2 8 2 22" xfId="40974"/>
    <cellStyle name="Total 2 8 2 23" xfId="41535"/>
    <cellStyle name="Total 2 8 2 24" xfId="50622"/>
    <cellStyle name="Total 2 8 2 3" xfId="3032"/>
    <cellStyle name="Total 2 8 2 3 10" xfId="34971"/>
    <cellStyle name="Total 2 8 2 3 10 2" xfId="50285"/>
    <cellStyle name="Total 2 8 2 3 10 3" xfId="58307"/>
    <cellStyle name="Total 2 8 2 3 11" xfId="41189"/>
    <cellStyle name="Total 2 8 2 3 12" xfId="50284"/>
    <cellStyle name="Total 2 8 2 3 13" xfId="58306"/>
    <cellStyle name="Total 2 8 2 3 2" xfId="3033"/>
    <cellStyle name="Total 2 8 2 3 2 2" xfId="36266"/>
    <cellStyle name="Total 2 8 2 3 2 3" xfId="50286"/>
    <cellStyle name="Total 2 8 2 3 2 4" xfId="58308"/>
    <cellStyle name="Total 2 8 2 3 3" xfId="3034"/>
    <cellStyle name="Total 2 8 2 3 3 2" xfId="36763"/>
    <cellStyle name="Total 2 8 2 3 3 3" xfId="50287"/>
    <cellStyle name="Total 2 8 2 3 3 4" xfId="58309"/>
    <cellStyle name="Total 2 8 2 3 4" xfId="33819"/>
    <cellStyle name="Total 2 8 2 3 4 2" xfId="37379"/>
    <cellStyle name="Total 2 8 2 3 4 3" xfId="50288"/>
    <cellStyle name="Total 2 8 2 3 4 4" xfId="58310"/>
    <cellStyle name="Total 2 8 2 3 5" xfId="33820"/>
    <cellStyle name="Total 2 8 2 3 5 2" xfId="37995"/>
    <cellStyle name="Total 2 8 2 3 5 3" xfId="50289"/>
    <cellStyle name="Total 2 8 2 3 5 4" xfId="58311"/>
    <cellStyle name="Total 2 8 2 3 6" xfId="38612"/>
    <cellStyle name="Total 2 8 2 3 6 2" xfId="50290"/>
    <cellStyle name="Total 2 8 2 3 6 3" xfId="58312"/>
    <cellStyle name="Total 2 8 2 3 7" xfId="39232"/>
    <cellStyle name="Total 2 8 2 3 7 2" xfId="50291"/>
    <cellStyle name="Total 2 8 2 3 7 3" xfId="58313"/>
    <cellStyle name="Total 2 8 2 3 8" xfId="39848"/>
    <cellStyle name="Total 2 8 2 3 8 2" xfId="50292"/>
    <cellStyle name="Total 2 8 2 3 8 3" xfId="58314"/>
    <cellStyle name="Total 2 8 2 3 9" xfId="40463"/>
    <cellStyle name="Total 2 8 2 3 9 2" xfId="50293"/>
    <cellStyle name="Total 2 8 2 3 9 3" xfId="58315"/>
    <cellStyle name="Total 2 8 2 4" xfId="3035"/>
    <cellStyle name="Total 2 8 2 4 10" xfId="50294"/>
    <cellStyle name="Total 2 8 2 4 11" xfId="58316"/>
    <cellStyle name="Total 2 8 2 4 2" xfId="33821"/>
    <cellStyle name="Total 2 8 2 4 2 2" xfId="50295"/>
    <cellStyle name="Total 2 8 2 4 2 3" xfId="58317"/>
    <cellStyle name="Total 2 8 2 4 3" xfId="33822"/>
    <cellStyle name="Total 2 8 2 4 3 2" xfId="50296"/>
    <cellStyle name="Total 2 8 2 4 3 3" xfId="58318"/>
    <cellStyle name="Total 2 8 2 4 4" xfId="33823"/>
    <cellStyle name="Total 2 8 2 4 4 2" xfId="50297"/>
    <cellStyle name="Total 2 8 2 4 4 3" xfId="58319"/>
    <cellStyle name="Total 2 8 2 4 5" xfId="33824"/>
    <cellStyle name="Total 2 8 2 4 5 2" xfId="50298"/>
    <cellStyle name="Total 2 8 2 4 5 3" xfId="58320"/>
    <cellStyle name="Total 2 8 2 4 6" xfId="35721"/>
    <cellStyle name="Total 2 8 2 4 6 2" xfId="50299"/>
    <cellStyle name="Total 2 8 2 4 6 3" xfId="58321"/>
    <cellStyle name="Total 2 8 2 4 7" xfId="50300"/>
    <cellStyle name="Total 2 8 2 4 7 2" xfId="58322"/>
    <cellStyle name="Total 2 8 2 4 8" xfId="50301"/>
    <cellStyle name="Total 2 8 2 4 8 2" xfId="58323"/>
    <cellStyle name="Total 2 8 2 4 9" xfId="50302"/>
    <cellStyle name="Total 2 8 2 4 9 2" xfId="58324"/>
    <cellStyle name="Total 2 8 2 5" xfId="1523"/>
    <cellStyle name="Total 2 8 2 5 2" xfId="33825"/>
    <cellStyle name="Total 2 8 2 5 3" xfId="33826"/>
    <cellStyle name="Total 2 8 2 5 4" xfId="33827"/>
    <cellStyle name="Total 2 8 2 5 5" xfId="33828"/>
    <cellStyle name="Total 2 8 2 5 6" xfId="36551"/>
    <cellStyle name="Total 2 8 2 5 7" xfId="50303"/>
    <cellStyle name="Total 2 8 2 5 8" xfId="58325"/>
    <cellStyle name="Total 2 8 2 6" xfId="3593"/>
    <cellStyle name="Total 2 8 2 6 2" xfId="33829"/>
    <cellStyle name="Total 2 8 2 6 3" xfId="33830"/>
    <cellStyle name="Total 2 8 2 6 4" xfId="33831"/>
    <cellStyle name="Total 2 8 2 6 5" xfId="33832"/>
    <cellStyle name="Total 2 8 2 6 6" xfId="37167"/>
    <cellStyle name="Total 2 8 2 6 7" xfId="50304"/>
    <cellStyle name="Total 2 8 2 6 8" xfId="58326"/>
    <cellStyle name="Total 2 8 2 7" xfId="3911"/>
    <cellStyle name="Total 2 8 2 7 2" xfId="33833"/>
    <cellStyle name="Total 2 8 2 7 3" xfId="33834"/>
    <cellStyle name="Total 2 8 2 7 4" xfId="33835"/>
    <cellStyle name="Total 2 8 2 7 5" xfId="33836"/>
    <cellStyle name="Total 2 8 2 7 6" xfId="37781"/>
    <cellStyle name="Total 2 8 2 7 7" xfId="50305"/>
    <cellStyle name="Total 2 8 2 7 8" xfId="58327"/>
    <cellStyle name="Total 2 8 2 8" xfId="33837"/>
    <cellStyle name="Total 2 8 2 8 2" xfId="33838"/>
    <cellStyle name="Total 2 8 2 8 3" xfId="33839"/>
    <cellStyle name="Total 2 8 2 8 4" xfId="33840"/>
    <cellStyle name="Total 2 8 2 8 5" xfId="33841"/>
    <cellStyle name="Total 2 8 2 8 6" xfId="38397"/>
    <cellStyle name="Total 2 8 2 8 7" xfId="50306"/>
    <cellStyle name="Total 2 8 2 8 8" xfId="58328"/>
    <cellStyle name="Total 2 8 2 9" xfId="33842"/>
    <cellStyle name="Total 2 8 2 9 2" xfId="33843"/>
    <cellStyle name="Total 2 8 2 9 3" xfId="33844"/>
    <cellStyle name="Total 2 8 2 9 4" xfId="33845"/>
    <cellStyle name="Total 2 8 2 9 5" xfId="33846"/>
    <cellStyle name="Total 2 8 2 9 6" xfId="39017"/>
    <cellStyle name="Total 2 8 2 9 7" xfId="50307"/>
    <cellStyle name="Total 2 8 2 9 8" xfId="58329"/>
    <cellStyle name="Total 2 8 20" xfId="34893"/>
    <cellStyle name="Total 2 8 21" xfId="40842"/>
    <cellStyle name="Total 2 8 3" xfId="460"/>
    <cellStyle name="Total 2 8 3 10" xfId="33847"/>
    <cellStyle name="Total 2 8 3 10 2" xfId="33848"/>
    <cellStyle name="Total 2 8 3 10 3" xfId="33849"/>
    <cellStyle name="Total 2 8 3 10 4" xfId="33850"/>
    <cellStyle name="Total 2 8 3 10 5" xfId="33851"/>
    <cellStyle name="Total 2 8 3 10 6" xfId="40249"/>
    <cellStyle name="Total 2 8 3 10 7" xfId="50308"/>
    <cellStyle name="Total 2 8 3 10 8" xfId="58330"/>
    <cellStyle name="Total 2 8 3 11" xfId="33852"/>
    <cellStyle name="Total 2 8 3 11 2" xfId="33853"/>
    <cellStyle name="Total 2 8 3 11 3" xfId="33854"/>
    <cellStyle name="Total 2 8 3 11 4" xfId="33855"/>
    <cellStyle name="Total 2 8 3 11 5" xfId="33856"/>
    <cellStyle name="Total 2 8 3 11 6" xfId="50309"/>
    <cellStyle name="Total 2 8 3 11 7" xfId="58331"/>
    <cellStyle name="Total 2 8 3 12" xfId="33857"/>
    <cellStyle name="Total 2 8 3 12 2" xfId="33858"/>
    <cellStyle name="Total 2 8 3 12 3" xfId="33859"/>
    <cellStyle name="Total 2 8 3 12 4" xfId="33860"/>
    <cellStyle name="Total 2 8 3 12 5" xfId="33861"/>
    <cellStyle name="Total 2 8 3 12 6" xfId="50310"/>
    <cellStyle name="Total 2 8 3 12 7" xfId="58332"/>
    <cellStyle name="Total 2 8 3 13" xfId="33862"/>
    <cellStyle name="Total 2 8 3 13 2" xfId="33863"/>
    <cellStyle name="Total 2 8 3 13 3" xfId="33864"/>
    <cellStyle name="Total 2 8 3 13 4" xfId="33865"/>
    <cellStyle name="Total 2 8 3 13 5" xfId="33866"/>
    <cellStyle name="Total 2 8 3 13 6" xfId="50311"/>
    <cellStyle name="Total 2 8 3 13 7" xfId="58333"/>
    <cellStyle name="Total 2 8 3 14" xfId="33867"/>
    <cellStyle name="Total 2 8 3 14 2" xfId="33868"/>
    <cellStyle name="Total 2 8 3 14 3" xfId="33869"/>
    <cellStyle name="Total 2 8 3 14 4" xfId="33870"/>
    <cellStyle name="Total 2 8 3 14 5" xfId="33871"/>
    <cellStyle name="Total 2 8 3 15" xfId="33872"/>
    <cellStyle name="Total 2 8 3 15 2" xfId="33873"/>
    <cellStyle name="Total 2 8 3 15 3" xfId="33874"/>
    <cellStyle name="Total 2 8 3 15 4" xfId="33875"/>
    <cellStyle name="Total 2 8 3 15 5" xfId="33876"/>
    <cellStyle name="Total 2 8 3 16" xfId="33877"/>
    <cellStyle name="Total 2 8 3 16 2" xfId="33878"/>
    <cellStyle name="Total 2 8 3 16 3" xfId="33879"/>
    <cellStyle name="Total 2 8 3 16 4" xfId="33880"/>
    <cellStyle name="Total 2 8 3 16 5" xfId="33881"/>
    <cellStyle name="Total 2 8 3 17" xfId="33882"/>
    <cellStyle name="Total 2 8 3 17 2" xfId="33883"/>
    <cellStyle name="Total 2 8 3 17 3" xfId="33884"/>
    <cellStyle name="Total 2 8 3 17 4" xfId="33885"/>
    <cellStyle name="Total 2 8 3 17 5" xfId="33886"/>
    <cellStyle name="Total 2 8 3 18" xfId="33887"/>
    <cellStyle name="Total 2 8 3 18 2" xfId="33888"/>
    <cellStyle name="Total 2 8 3 18 3" xfId="33889"/>
    <cellStyle name="Total 2 8 3 18 4" xfId="33890"/>
    <cellStyle name="Total 2 8 3 18 5" xfId="33891"/>
    <cellStyle name="Total 2 8 3 19" xfId="33892"/>
    <cellStyle name="Total 2 8 3 2" xfId="675"/>
    <cellStyle name="Total 2 8 3 2 10" xfId="33893"/>
    <cellStyle name="Total 2 8 3 2 10 2" xfId="33894"/>
    <cellStyle name="Total 2 8 3 2 10 3" xfId="33895"/>
    <cellStyle name="Total 2 8 3 2 10 4" xfId="33896"/>
    <cellStyle name="Total 2 8 3 2 10 5" xfId="33897"/>
    <cellStyle name="Total 2 8 3 2 10 6" xfId="50312"/>
    <cellStyle name="Total 2 8 3 2 10 7" xfId="58334"/>
    <cellStyle name="Total 2 8 3 2 11" xfId="33898"/>
    <cellStyle name="Total 2 8 3 2 11 2" xfId="33899"/>
    <cellStyle name="Total 2 8 3 2 11 3" xfId="33900"/>
    <cellStyle name="Total 2 8 3 2 11 4" xfId="33901"/>
    <cellStyle name="Total 2 8 3 2 11 5" xfId="33902"/>
    <cellStyle name="Total 2 8 3 2 12" xfId="33903"/>
    <cellStyle name="Total 2 8 3 2 12 2" xfId="33904"/>
    <cellStyle name="Total 2 8 3 2 12 3" xfId="33905"/>
    <cellStyle name="Total 2 8 3 2 12 4" xfId="33906"/>
    <cellStyle name="Total 2 8 3 2 12 5" xfId="33907"/>
    <cellStyle name="Total 2 8 3 2 13" xfId="33908"/>
    <cellStyle name="Total 2 8 3 2 13 2" xfId="33909"/>
    <cellStyle name="Total 2 8 3 2 13 3" xfId="33910"/>
    <cellStyle name="Total 2 8 3 2 13 4" xfId="33911"/>
    <cellStyle name="Total 2 8 3 2 13 5" xfId="33912"/>
    <cellStyle name="Total 2 8 3 2 14" xfId="33913"/>
    <cellStyle name="Total 2 8 3 2 14 2" xfId="33914"/>
    <cellStyle name="Total 2 8 3 2 14 3" xfId="33915"/>
    <cellStyle name="Total 2 8 3 2 14 4" xfId="33916"/>
    <cellStyle name="Total 2 8 3 2 14 5" xfId="33917"/>
    <cellStyle name="Total 2 8 3 2 15" xfId="33918"/>
    <cellStyle name="Total 2 8 3 2 15 2" xfId="33919"/>
    <cellStyle name="Total 2 8 3 2 15 3" xfId="33920"/>
    <cellStyle name="Total 2 8 3 2 15 4" xfId="33921"/>
    <cellStyle name="Total 2 8 3 2 15 5" xfId="33922"/>
    <cellStyle name="Total 2 8 3 2 16" xfId="33923"/>
    <cellStyle name="Total 2 8 3 2 16 2" xfId="33924"/>
    <cellStyle name="Total 2 8 3 2 16 3" xfId="33925"/>
    <cellStyle name="Total 2 8 3 2 16 4" xfId="33926"/>
    <cellStyle name="Total 2 8 3 2 16 5" xfId="33927"/>
    <cellStyle name="Total 2 8 3 2 17" xfId="33928"/>
    <cellStyle name="Total 2 8 3 2 17 2" xfId="33929"/>
    <cellStyle name="Total 2 8 3 2 17 3" xfId="33930"/>
    <cellStyle name="Total 2 8 3 2 17 4" xfId="33931"/>
    <cellStyle name="Total 2 8 3 2 17 5" xfId="33932"/>
    <cellStyle name="Total 2 8 3 2 18" xfId="33933"/>
    <cellStyle name="Total 2 8 3 2 18 2" xfId="33934"/>
    <cellStyle name="Total 2 8 3 2 18 3" xfId="33935"/>
    <cellStyle name="Total 2 8 3 2 18 4" xfId="33936"/>
    <cellStyle name="Total 2 8 3 2 18 5" xfId="33937"/>
    <cellStyle name="Total 2 8 3 2 19" xfId="33938"/>
    <cellStyle name="Total 2 8 3 2 2" xfId="3036"/>
    <cellStyle name="Total 2 8 3 2 2 2" xfId="33939"/>
    <cellStyle name="Total 2 8 3 2 2 2 2" xfId="50314"/>
    <cellStyle name="Total 2 8 3 2 2 2 3" xfId="58336"/>
    <cellStyle name="Total 2 8 3 2 2 3" xfId="33940"/>
    <cellStyle name="Total 2 8 3 2 2 4" xfId="33941"/>
    <cellStyle name="Total 2 8 3 2 2 5" xfId="33942"/>
    <cellStyle name="Total 2 8 3 2 2 6" xfId="36478"/>
    <cellStyle name="Total 2 8 3 2 2 7" xfId="50313"/>
    <cellStyle name="Total 2 8 3 2 2 8" xfId="58335"/>
    <cellStyle name="Total 2 8 3 2 20" xfId="1103"/>
    <cellStyle name="Total 2 8 3 2 21" xfId="35183"/>
    <cellStyle name="Total 2 8 3 2 22" xfId="41403"/>
    <cellStyle name="Total 2 8 3 2 3" xfId="3037"/>
    <cellStyle name="Total 2 8 3 2 3 2" xfId="33943"/>
    <cellStyle name="Total 2 8 3 2 3 3" xfId="33944"/>
    <cellStyle name="Total 2 8 3 2 3 4" xfId="33945"/>
    <cellStyle name="Total 2 8 3 2 3 5" xfId="33946"/>
    <cellStyle name="Total 2 8 3 2 3 6" xfId="36975"/>
    <cellStyle name="Total 2 8 3 2 3 7" xfId="50315"/>
    <cellStyle name="Total 2 8 3 2 3 8" xfId="58337"/>
    <cellStyle name="Total 2 8 3 2 4" xfId="1526"/>
    <cellStyle name="Total 2 8 3 2 4 2" xfId="33947"/>
    <cellStyle name="Total 2 8 3 2 4 3" xfId="33948"/>
    <cellStyle name="Total 2 8 3 2 4 4" xfId="33949"/>
    <cellStyle name="Total 2 8 3 2 4 5" xfId="33950"/>
    <cellStyle name="Total 2 8 3 2 4 6" xfId="37591"/>
    <cellStyle name="Total 2 8 3 2 4 7" xfId="50316"/>
    <cellStyle name="Total 2 8 3 2 4 8" xfId="58338"/>
    <cellStyle name="Total 2 8 3 2 5" xfId="3596"/>
    <cellStyle name="Total 2 8 3 2 5 2" xfId="33951"/>
    <cellStyle name="Total 2 8 3 2 5 3" xfId="33952"/>
    <cellStyle name="Total 2 8 3 2 5 4" xfId="33953"/>
    <cellStyle name="Total 2 8 3 2 5 5" xfId="33954"/>
    <cellStyle name="Total 2 8 3 2 5 6" xfId="38208"/>
    <cellStyle name="Total 2 8 3 2 5 7" xfId="50317"/>
    <cellStyle name="Total 2 8 3 2 5 8" xfId="58339"/>
    <cellStyle name="Total 2 8 3 2 6" xfId="3914"/>
    <cellStyle name="Total 2 8 3 2 6 2" xfId="33955"/>
    <cellStyle name="Total 2 8 3 2 6 3" xfId="33956"/>
    <cellStyle name="Total 2 8 3 2 6 4" xfId="33957"/>
    <cellStyle name="Total 2 8 3 2 6 5" xfId="33958"/>
    <cellStyle name="Total 2 8 3 2 6 6" xfId="38826"/>
    <cellStyle name="Total 2 8 3 2 6 7" xfId="50318"/>
    <cellStyle name="Total 2 8 3 2 6 8" xfId="58340"/>
    <cellStyle name="Total 2 8 3 2 7" xfId="33959"/>
    <cellStyle name="Total 2 8 3 2 7 2" xfId="33960"/>
    <cellStyle name="Total 2 8 3 2 7 3" xfId="33961"/>
    <cellStyle name="Total 2 8 3 2 7 4" xfId="33962"/>
    <cellStyle name="Total 2 8 3 2 7 5" xfId="33963"/>
    <cellStyle name="Total 2 8 3 2 7 6" xfId="39446"/>
    <cellStyle name="Total 2 8 3 2 7 7" xfId="50319"/>
    <cellStyle name="Total 2 8 3 2 7 8" xfId="58341"/>
    <cellStyle name="Total 2 8 3 2 8" xfId="33964"/>
    <cellStyle name="Total 2 8 3 2 8 2" xfId="33965"/>
    <cellStyle name="Total 2 8 3 2 8 3" xfId="33966"/>
    <cellStyle name="Total 2 8 3 2 8 4" xfId="33967"/>
    <cellStyle name="Total 2 8 3 2 8 5" xfId="33968"/>
    <cellStyle name="Total 2 8 3 2 8 6" xfId="40062"/>
    <cellStyle name="Total 2 8 3 2 8 7" xfId="50320"/>
    <cellStyle name="Total 2 8 3 2 8 8" xfId="58342"/>
    <cellStyle name="Total 2 8 3 2 9" xfId="33969"/>
    <cellStyle name="Total 2 8 3 2 9 2" xfId="33970"/>
    <cellStyle name="Total 2 8 3 2 9 3" xfId="33971"/>
    <cellStyle name="Total 2 8 3 2 9 4" xfId="33972"/>
    <cellStyle name="Total 2 8 3 2 9 5" xfId="33973"/>
    <cellStyle name="Total 2 8 3 2 9 6" xfId="40677"/>
    <cellStyle name="Total 2 8 3 2 9 7" xfId="50321"/>
    <cellStyle name="Total 2 8 3 2 9 8" xfId="58343"/>
    <cellStyle name="Total 2 8 3 20" xfId="891"/>
    <cellStyle name="Total 2 8 3 21" xfId="34782"/>
    <cellStyle name="Total 2 8 3 22" xfId="40975"/>
    <cellStyle name="Total 2 8 3 23" xfId="41536"/>
    <cellStyle name="Total 2 8 3 24" xfId="50623"/>
    <cellStyle name="Total 2 8 3 3" xfId="3038"/>
    <cellStyle name="Total 2 8 3 3 10" xfId="34972"/>
    <cellStyle name="Total 2 8 3 3 10 2" xfId="50323"/>
    <cellStyle name="Total 2 8 3 3 10 3" xfId="58345"/>
    <cellStyle name="Total 2 8 3 3 11" xfId="41190"/>
    <cellStyle name="Total 2 8 3 3 12" xfId="50322"/>
    <cellStyle name="Total 2 8 3 3 13" xfId="58344"/>
    <cellStyle name="Total 2 8 3 3 2" xfId="3039"/>
    <cellStyle name="Total 2 8 3 3 2 2" xfId="36267"/>
    <cellStyle name="Total 2 8 3 3 2 3" xfId="50324"/>
    <cellStyle name="Total 2 8 3 3 2 4" xfId="58346"/>
    <cellStyle name="Total 2 8 3 3 3" xfId="3040"/>
    <cellStyle name="Total 2 8 3 3 3 2" xfId="36764"/>
    <cellStyle name="Total 2 8 3 3 3 3" xfId="50325"/>
    <cellStyle name="Total 2 8 3 3 3 4" xfId="58347"/>
    <cellStyle name="Total 2 8 3 3 4" xfId="33974"/>
    <cellStyle name="Total 2 8 3 3 4 2" xfId="37380"/>
    <cellStyle name="Total 2 8 3 3 4 3" xfId="50326"/>
    <cellStyle name="Total 2 8 3 3 4 4" xfId="58348"/>
    <cellStyle name="Total 2 8 3 3 5" xfId="33975"/>
    <cellStyle name="Total 2 8 3 3 5 2" xfId="37996"/>
    <cellStyle name="Total 2 8 3 3 5 3" xfId="50327"/>
    <cellStyle name="Total 2 8 3 3 5 4" xfId="58349"/>
    <cellStyle name="Total 2 8 3 3 6" xfId="38613"/>
    <cellStyle name="Total 2 8 3 3 6 2" xfId="50328"/>
    <cellStyle name="Total 2 8 3 3 6 3" xfId="58350"/>
    <cellStyle name="Total 2 8 3 3 7" xfId="39233"/>
    <cellStyle name="Total 2 8 3 3 7 2" xfId="50329"/>
    <cellStyle name="Total 2 8 3 3 7 3" xfId="58351"/>
    <cellStyle name="Total 2 8 3 3 8" xfId="39849"/>
    <cellStyle name="Total 2 8 3 3 8 2" xfId="50330"/>
    <cellStyle name="Total 2 8 3 3 8 3" xfId="58352"/>
    <cellStyle name="Total 2 8 3 3 9" xfId="40464"/>
    <cellStyle name="Total 2 8 3 3 9 2" xfId="50331"/>
    <cellStyle name="Total 2 8 3 3 9 3" xfId="58353"/>
    <cellStyle name="Total 2 8 3 4" xfId="3041"/>
    <cellStyle name="Total 2 8 3 4 10" xfId="50332"/>
    <cellStyle name="Total 2 8 3 4 11" xfId="58354"/>
    <cellStyle name="Total 2 8 3 4 2" xfId="33976"/>
    <cellStyle name="Total 2 8 3 4 2 2" xfId="50333"/>
    <cellStyle name="Total 2 8 3 4 2 3" xfId="58355"/>
    <cellStyle name="Total 2 8 3 4 3" xfId="33977"/>
    <cellStyle name="Total 2 8 3 4 3 2" xfId="50334"/>
    <cellStyle name="Total 2 8 3 4 3 3" xfId="58356"/>
    <cellStyle name="Total 2 8 3 4 4" xfId="33978"/>
    <cellStyle name="Total 2 8 3 4 4 2" xfId="50335"/>
    <cellStyle name="Total 2 8 3 4 4 3" xfId="58357"/>
    <cellStyle name="Total 2 8 3 4 5" xfId="33979"/>
    <cellStyle name="Total 2 8 3 4 5 2" xfId="50336"/>
    <cellStyle name="Total 2 8 3 4 5 3" xfId="58358"/>
    <cellStyle name="Total 2 8 3 4 6" xfId="36552"/>
    <cellStyle name="Total 2 8 3 4 6 2" xfId="50337"/>
    <cellStyle name="Total 2 8 3 4 6 3" xfId="58359"/>
    <cellStyle name="Total 2 8 3 4 7" xfId="50338"/>
    <cellStyle name="Total 2 8 3 4 7 2" xfId="58360"/>
    <cellStyle name="Total 2 8 3 4 8" xfId="50339"/>
    <cellStyle name="Total 2 8 3 4 8 2" xfId="58361"/>
    <cellStyle name="Total 2 8 3 4 9" xfId="50340"/>
    <cellStyle name="Total 2 8 3 4 9 2" xfId="58362"/>
    <cellStyle name="Total 2 8 3 5" xfId="1525"/>
    <cellStyle name="Total 2 8 3 5 2" xfId="33980"/>
    <cellStyle name="Total 2 8 3 5 3" xfId="33981"/>
    <cellStyle name="Total 2 8 3 5 4" xfId="33982"/>
    <cellStyle name="Total 2 8 3 5 5" xfId="33983"/>
    <cellStyle name="Total 2 8 3 5 6" xfId="37168"/>
    <cellStyle name="Total 2 8 3 5 7" xfId="50341"/>
    <cellStyle name="Total 2 8 3 5 8" xfId="58363"/>
    <cellStyle name="Total 2 8 3 6" xfId="3595"/>
    <cellStyle name="Total 2 8 3 6 2" xfId="33984"/>
    <cellStyle name="Total 2 8 3 6 3" xfId="33985"/>
    <cellStyle name="Total 2 8 3 6 4" xfId="33986"/>
    <cellStyle name="Total 2 8 3 6 5" xfId="33987"/>
    <cellStyle name="Total 2 8 3 6 6" xfId="37782"/>
    <cellStyle name="Total 2 8 3 6 7" xfId="50342"/>
    <cellStyle name="Total 2 8 3 6 8" xfId="58364"/>
    <cellStyle name="Total 2 8 3 7" xfId="3913"/>
    <cellStyle name="Total 2 8 3 7 2" xfId="33988"/>
    <cellStyle name="Total 2 8 3 7 3" xfId="33989"/>
    <cellStyle name="Total 2 8 3 7 4" xfId="33990"/>
    <cellStyle name="Total 2 8 3 7 5" xfId="33991"/>
    <cellStyle name="Total 2 8 3 7 6" xfId="38398"/>
    <cellStyle name="Total 2 8 3 7 7" xfId="50343"/>
    <cellStyle name="Total 2 8 3 7 8" xfId="58365"/>
    <cellStyle name="Total 2 8 3 8" xfId="33992"/>
    <cellStyle name="Total 2 8 3 8 2" xfId="33993"/>
    <cellStyle name="Total 2 8 3 8 3" xfId="33994"/>
    <cellStyle name="Total 2 8 3 8 4" xfId="33995"/>
    <cellStyle name="Total 2 8 3 8 5" xfId="33996"/>
    <cellStyle name="Total 2 8 3 8 6" xfId="39018"/>
    <cellStyle name="Total 2 8 3 8 7" xfId="50344"/>
    <cellStyle name="Total 2 8 3 8 8" xfId="58366"/>
    <cellStyle name="Total 2 8 3 9" xfId="33997"/>
    <cellStyle name="Total 2 8 3 9 2" xfId="33998"/>
    <cellStyle name="Total 2 8 3 9 3" xfId="33999"/>
    <cellStyle name="Total 2 8 3 9 4" xfId="34000"/>
    <cellStyle name="Total 2 8 3 9 5" xfId="34001"/>
    <cellStyle name="Total 2 8 3 9 6" xfId="39634"/>
    <cellStyle name="Total 2 8 3 9 7" xfId="50345"/>
    <cellStyle name="Total 2 8 3 9 8" xfId="58367"/>
    <cellStyle name="Total 2 8 4" xfId="543"/>
    <cellStyle name="Total 2 8 4 10" xfId="34002"/>
    <cellStyle name="Total 2 8 4 10 2" xfId="34003"/>
    <cellStyle name="Total 2 8 4 10 3" xfId="34004"/>
    <cellStyle name="Total 2 8 4 10 4" xfId="34005"/>
    <cellStyle name="Total 2 8 4 10 5" xfId="34006"/>
    <cellStyle name="Total 2 8 4 10 6" xfId="50346"/>
    <cellStyle name="Total 2 8 4 10 7" xfId="58368"/>
    <cellStyle name="Total 2 8 4 11" xfId="34007"/>
    <cellStyle name="Total 2 8 4 11 2" xfId="34008"/>
    <cellStyle name="Total 2 8 4 11 3" xfId="34009"/>
    <cellStyle name="Total 2 8 4 11 4" xfId="34010"/>
    <cellStyle name="Total 2 8 4 11 5" xfId="34011"/>
    <cellStyle name="Total 2 8 4 12" xfId="34012"/>
    <cellStyle name="Total 2 8 4 12 2" xfId="34013"/>
    <cellStyle name="Total 2 8 4 12 3" xfId="34014"/>
    <cellStyle name="Total 2 8 4 12 4" xfId="34015"/>
    <cellStyle name="Total 2 8 4 12 5" xfId="34016"/>
    <cellStyle name="Total 2 8 4 13" xfId="34017"/>
    <cellStyle name="Total 2 8 4 13 2" xfId="34018"/>
    <cellStyle name="Total 2 8 4 13 3" xfId="34019"/>
    <cellStyle name="Total 2 8 4 13 4" xfId="34020"/>
    <cellStyle name="Total 2 8 4 13 5" xfId="34021"/>
    <cellStyle name="Total 2 8 4 14" xfId="34022"/>
    <cellStyle name="Total 2 8 4 14 2" xfId="34023"/>
    <cellStyle name="Total 2 8 4 14 3" xfId="34024"/>
    <cellStyle name="Total 2 8 4 14 4" xfId="34025"/>
    <cellStyle name="Total 2 8 4 14 5" xfId="34026"/>
    <cellStyle name="Total 2 8 4 15" xfId="34027"/>
    <cellStyle name="Total 2 8 4 15 2" xfId="34028"/>
    <cellStyle name="Total 2 8 4 15 3" xfId="34029"/>
    <cellStyle name="Total 2 8 4 15 4" xfId="34030"/>
    <cellStyle name="Total 2 8 4 15 5" xfId="34031"/>
    <cellStyle name="Total 2 8 4 16" xfId="34032"/>
    <cellStyle name="Total 2 8 4 16 2" xfId="34033"/>
    <cellStyle name="Total 2 8 4 16 3" xfId="34034"/>
    <cellStyle name="Total 2 8 4 16 4" xfId="34035"/>
    <cellStyle name="Total 2 8 4 16 5" xfId="34036"/>
    <cellStyle name="Total 2 8 4 17" xfId="34037"/>
    <cellStyle name="Total 2 8 4 17 2" xfId="34038"/>
    <cellStyle name="Total 2 8 4 17 3" xfId="34039"/>
    <cellStyle name="Total 2 8 4 17 4" xfId="34040"/>
    <cellStyle name="Total 2 8 4 17 5" xfId="34041"/>
    <cellStyle name="Total 2 8 4 18" xfId="34042"/>
    <cellStyle name="Total 2 8 4 18 2" xfId="34043"/>
    <cellStyle name="Total 2 8 4 18 3" xfId="34044"/>
    <cellStyle name="Total 2 8 4 18 4" xfId="34045"/>
    <cellStyle name="Total 2 8 4 18 5" xfId="34046"/>
    <cellStyle name="Total 2 8 4 19" xfId="34047"/>
    <cellStyle name="Total 2 8 4 2" xfId="3042"/>
    <cellStyle name="Total 2 8 4 2 2" xfId="34048"/>
    <cellStyle name="Total 2 8 4 2 2 2" xfId="50348"/>
    <cellStyle name="Total 2 8 4 2 2 3" xfId="58370"/>
    <cellStyle name="Total 2 8 4 2 3" xfId="34049"/>
    <cellStyle name="Total 2 8 4 2 4" xfId="34050"/>
    <cellStyle name="Total 2 8 4 2 5" xfId="34051"/>
    <cellStyle name="Total 2 8 4 2 6" xfId="36347"/>
    <cellStyle name="Total 2 8 4 2 7" xfId="50347"/>
    <cellStyle name="Total 2 8 4 2 8" xfId="58369"/>
    <cellStyle name="Total 2 8 4 20" xfId="972"/>
    <cellStyle name="Total 2 8 4 21" xfId="35052"/>
    <cellStyle name="Total 2 8 4 22" xfId="40761"/>
    <cellStyle name="Total 2 8 4 23" xfId="41271"/>
    <cellStyle name="Total 2 8 4 3" xfId="3043"/>
    <cellStyle name="Total 2 8 4 3 2" xfId="34052"/>
    <cellStyle name="Total 2 8 4 3 3" xfId="34053"/>
    <cellStyle name="Total 2 8 4 3 4" xfId="34054"/>
    <cellStyle name="Total 2 8 4 3 5" xfId="34055"/>
    <cellStyle name="Total 2 8 4 3 6" xfId="36844"/>
    <cellStyle name="Total 2 8 4 3 7" xfId="50349"/>
    <cellStyle name="Total 2 8 4 3 8" xfId="58371"/>
    <cellStyle name="Total 2 8 4 4" xfId="1527"/>
    <cellStyle name="Total 2 8 4 4 2" xfId="34056"/>
    <cellStyle name="Total 2 8 4 4 3" xfId="34057"/>
    <cellStyle name="Total 2 8 4 4 4" xfId="34058"/>
    <cellStyle name="Total 2 8 4 4 5" xfId="34059"/>
    <cellStyle name="Total 2 8 4 4 6" xfId="37460"/>
    <cellStyle name="Total 2 8 4 4 7" xfId="50350"/>
    <cellStyle name="Total 2 8 4 4 8" xfId="58372"/>
    <cellStyle name="Total 2 8 4 5" xfId="3597"/>
    <cellStyle name="Total 2 8 4 5 2" xfId="34060"/>
    <cellStyle name="Total 2 8 4 5 3" xfId="34061"/>
    <cellStyle name="Total 2 8 4 5 4" xfId="34062"/>
    <cellStyle name="Total 2 8 4 5 5" xfId="34063"/>
    <cellStyle name="Total 2 8 4 5 6" xfId="38076"/>
    <cellStyle name="Total 2 8 4 5 7" xfId="50351"/>
    <cellStyle name="Total 2 8 4 5 8" xfId="58373"/>
    <cellStyle name="Total 2 8 4 6" xfId="3915"/>
    <cellStyle name="Total 2 8 4 6 2" xfId="34064"/>
    <cellStyle name="Total 2 8 4 6 3" xfId="34065"/>
    <cellStyle name="Total 2 8 4 6 4" xfId="34066"/>
    <cellStyle name="Total 2 8 4 6 5" xfId="34067"/>
    <cellStyle name="Total 2 8 4 6 6" xfId="38694"/>
    <cellStyle name="Total 2 8 4 6 7" xfId="50352"/>
    <cellStyle name="Total 2 8 4 6 8" xfId="58374"/>
    <cellStyle name="Total 2 8 4 7" xfId="34068"/>
    <cellStyle name="Total 2 8 4 7 2" xfId="34069"/>
    <cellStyle name="Total 2 8 4 7 3" xfId="34070"/>
    <cellStyle name="Total 2 8 4 7 4" xfId="34071"/>
    <cellStyle name="Total 2 8 4 7 5" xfId="34072"/>
    <cellStyle name="Total 2 8 4 7 6" xfId="39314"/>
    <cellStyle name="Total 2 8 4 7 7" xfId="50353"/>
    <cellStyle name="Total 2 8 4 7 8" xfId="58375"/>
    <cellStyle name="Total 2 8 4 8" xfId="34073"/>
    <cellStyle name="Total 2 8 4 8 2" xfId="34074"/>
    <cellStyle name="Total 2 8 4 8 3" xfId="34075"/>
    <cellStyle name="Total 2 8 4 8 4" xfId="34076"/>
    <cellStyle name="Total 2 8 4 8 5" xfId="34077"/>
    <cellStyle name="Total 2 8 4 8 6" xfId="39930"/>
    <cellStyle name="Total 2 8 4 8 7" xfId="50354"/>
    <cellStyle name="Total 2 8 4 8 8" xfId="58376"/>
    <cellStyle name="Total 2 8 4 9" xfId="34078"/>
    <cellStyle name="Total 2 8 4 9 2" xfId="34079"/>
    <cellStyle name="Total 2 8 4 9 3" xfId="34080"/>
    <cellStyle name="Total 2 8 4 9 4" xfId="34081"/>
    <cellStyle name="Total 2 8 4 9 5" xfId="34082"/>
    <cellStyle name="Total 2 8 4 9 6" xfId="40545"/>
    <cellStyle name="Total 2 8 4 9 7" xfId="50355"/>
    <cellStyle name="Total 2 8 4 9 8" xfId="58377"/>
    <cellStyle name="Total 2 8 5" xfId="3044"/>
    <cellStyle name="Total 2 8 5 10" xfId="34632"/>
    <cellStyle name="Total 2 8 5 10 2" xfId="50357"/>
    <cellStyle name="Total 2 8 5 10 3" xfId="58379"/>
    <cellStyle name="Total 2 8 5 11" xfId="41057"/>
    <cellStyle name="Total 2 8 5 12" xfId="50356"/>
    <cellStyle name="Total 2 8 5 13" xfId="58378"/>
    <cellStyle name="Total 2 8 5 2" xfId="3045"/>
    <cellStyle name="Total 2 8 5 2 2" xfId="36134"/>
    <cellStyle name="Total 2 8 5 2 3" xfId="50358"/>
    <cellStyle name="Total 2 8 5 2 4" xfId="58380"/>
    <cellStyle name="Total 2 8 5 3" xfId="3046"/>
    <cellStyle name="Total 2 8 5 3 2" xfId="36633"/>
    <cellStyle name="Total 2 8 5 3 3" xfId="50359"/>
    <cellStyle name="Total 2 8 5 3 4" xfId="58381"/>
    <cellStyle name="Total 2 8 5 4" xfId="34083"/>
    <cellStyle name="Total 2 8 5 4 2" xfId="37249"/>
    <cellStyle name="Total 2 8 5 4 3" xfId="50360"/>
    <cellStyle name="Total 2 8 5 4 4" xfId="58382"/>
    <cellStyle name="Total 2 8 5 5" xfId="34084"/>
    <cellStyle name="Total 2 8 5 5 2" xfId="37865"/>
    <cellStyle name="Total 2 8 5 5 3" xfId="50361"/>
    <cellStyle name="Total 2 8 5 5 4" xfId="58383"/>
    <cellStyle name="Total 2 8 5 6" xfId="38480"/>
    <cellStyle name="Total 2 8 5 6 2" xfId="50362"/>
    <cellStyle name="Total 2 8 5 6 3" xfId="58384"/>
    <cellStyle name="Total 2 8 5 7" xfId="39100"/>
    <cellStyle name="Total 2 8 5 7 2" xfId="50363"/>
    <cellStyle name="Total 2 8 5 7 3" xfId="58385"/>
    <cellStyle name="Total 2 8 5 8" xfId="39716"/>
    <cellStyle name="Total 2 8 5 8 2" xfId="50364"/>
    <cellStyle name="Total 2 8 5 8 3" xfId="58386"/>
    <cellStyle name="Total 2 8 5 9" xfId="40331"/>
    <cellStyle name="Total 2 8 5 9 2" xfId="50365"/>
    <cellStyle name="Total 2 8 5 9 3" xfId="58387"/>
    <cellStyle name="Total 2 8 6" xfId="1522"/>
    <cellStyle name="Total 2 8 6 10" xfId="50366"/>
    <cellStyle name="Total 2 8 6 11" xfId="58388"/>
    <cellStyle name="Total 2 8 6 2" xfId="34085"/>
    <cellStyle name="Total 2 8 6 2 2" xfId="50367"/>
    <cellStyle name="Total 2 8 6 2 3" xfId="58389"/>
    <cellStyle name="Total 2 8 6 3" xfId="34086"/>
    <cellStyle name="Total 2 8 6 3 2" xfId="50368"/>
    <cellStyle name="Total 2 8 6 3 3" xfId="58390"/>
    <cellStyle name="Total 2 8 6 4" xfId="34087"/>
    <cellStyle name="Total 2 8 6 4 2" xfId="50369"/>
    <cellStyle name="Total 2 8 6 4 3" xfId="58391"/>
    <cellStyle name="Total 2 8 6 5" xfId="34088"/>
    <cellStyle name="Total 2 8 6 5 2" xfId="50370"/>
    <cellStyle name="Total 2 8 6 5 3" xfId="58392"/>
    <cellStyle name="Total 2 8 6 6" xfId="35452"/>
    <cellStyle name="Total 2 8 6 6 2" xfId="50371"/>
    <cellStyle name="Total 2 8 6 6 3" xfId="58393"/>
    <cellStyle name="Total 2 8 6 7" xfId="50372"/>
    <cellStyle name="Total 2 8 6 7 2" xfId="58394"/>
    <cellStyle name="Total 2 8 6 8" xfId="50373"/>
    <cellStyle name="Total 2 8 6 8 2" xfId="58395"/>
    <cellStyle name="Total 2 8 6 9" xfId="50374"/>
    <cellStyle name="Total 2 8 6 9 2" xfId="58396"/>
    <cellStyle name="Total 2 8 7" xfId="3592"/>
    <cellStyle name="Total 2 8 7 2" xfId="34089"/>
    <cellStyle name="Total 2 8 7 3" xfId="34090"/>
    <cellStyle name="Total 2 8 7 4" xfId="34091"/>
    <cellStyle name="Total 2 8 7 5" xfId="34092"/>
    <cellStyle name="Total 2 8 7 6" xfId="35984"/>
    <cellStyle name="Total 2 8 7 7" xfId="50375"/>
    <cellStyle name="Total 2 8 7 8" xfId="58397"/>
    <cellStyle name="Total 2 8 8" xfId="3910"/>
    <cellStyle name="Total 2 8 8 2" xfId="34093"/>
    <cellStyle name="Total 2 8 8 3" xfId="34094"/>
    <cellStyle name="Total 2 8 8 4" xfId="34095"/>
    <cellStyle name="Total 2 8 8 5" xfId="34096"/>
    <cellStyle name="Total 2 8 8 6" xfId="35987"/>
    <cellStyle name="Total 2 8 8 7" xfId="50376"/>
    <cellStyle name="Total 2 8 8 8" xfId="58398"/>
    <cellStyle name="Total 2 8 9" xfId="34097"/>
    <cellStyle name="Total 2 8 9 2" xfId="34098"/>
    <cellStyle name="Total 2 8 9 3" xfId="34099"/>
    <cellStyle name="Total 2 8 9 4" xfId="34100"/>
    <cellStyle name="Total 2 8 9 5" xfId="34101"/>
    <cellStyle name="Total 2 8 9 6" xfId="37029"/>
    <cellStyle name="Total 2 8 9 7" xfId="50377"/>
    <cellStyle name="Total 2 8 9 8" xfId="58399"/>
    <cellStyle name="Total 2 9" xfId="314"/>
    <cellStyle name="Total 2 9 10" xfId="34102"/>
    <cellStyle name="Total 2 9 10 2" xfId="34103"/>
    <cellStyle name="Total 2 9 10 3" xfId="34104"/>
    <cellStyle name="Total 2 9 10 4" xfId="34105"/>
    <cellStyle name="Total 2 9 10 5" xfId="34106"/>
    <cellStyle name="Total 2 9 10 6" xfId="37642"/>
    <cellStyle name="Total 2 9 10 7" xfId="50378"/>
    <cellStyle name="Total 2 9 10 8" xfId="58400"/>
    <cellStyle name="Total 2 9 11" xfId="34107"/>
    <cellStyle name="Total 2 9 11 2" xfId="34108"/>
    <cellStyle name="Total 2 9 11 3" xfId="34109"/>
    <cellStyle name="Total 2 9 11 4" xfId="34110"/>
    <cellStyle name="Total 2 9 11 5" xfId="34111"/>
    <cellStyle name="Total 2 9 11 6" xfId="38259"/>
    <cellStyle name="Total 2 9 11 7" xfId="50379"/>
    <cellStyle name="Total 2 9 11 8" xfId="58401"/>
    <cellStyle name="Total 2 9 12" xfId="34112"/>
    <cellStyle name="Total 2 9 12 2" xfId="34113"/>
    <cellStyle name="Total 2 9 12 3" xfId="34114"/>
    <cellStyle name="Total 2 9 12 4" xfId="34115"/>
    <cellStyle name="Total 2 9 12 5" xfId="34116"/>
    <cellStyle name="Total 2 9 12 6" xfId="38881"/>
    <cellStyle name="Total 2 9 12 7" xfId="50380"/>
    <cellStyle name="Total 2 9 12 8" xfId="58402"/>
    <cellStyle name="Total 2 9 13" xfId="34117"/>
    <cellStyle name="Total 2 9 13 2" xfId="34118"/>
    <cellStyle name="Total 2 9 13 3" xfId="34119"/>
    <cellStyle name="Total 2 9 13 4" xfId="34120"/>
    <cellStyle name="Total 2 9 13 5" xfId="34121"/>
    <cellStyle name="Total 2 9 13 6" xfId="39501"/>
    <cellStyle name="Total 2 9 13 7" xfId="50381"/>
    <cellStyle name="Total 2 9 13 8" xfId="58403"/>
    <cellStyle name="Total 2 9 14" xfId="34122"/>
    <cellStyle name="Total 2 9 14 2" xfId="34123"/>
    <cellStyle name="Total 2 9 14 3" xfId="34124"/>
    <cellStyle name="Total 2 9 14 4" xfId="34125"/>
    <cellStyle name="Total 2 9 14 5" xfId="34126"/>
    <cellStyle name="Total 2 9 14 6" xfId="40119"/>
    <cellStyle name="Total 2 9 14 7" xfId="50382"/>
    <cellStyle name="Total 2 9 14 8" xfId="58404"/>
    <cellStyle name="Total 2 9 15" xfId="34127"/>
    <cellStyle name="Total 2 9 15 2" xfId="34128"/>
    <cellStyle name="Total 2 9 15 3" xfId="34129"/>
    <cellStyle name="Total 2 9 15 4" xfId="34130"/>
    <cellStyle name="Total 2 9 15 5" xfId="34131"/>
    <cellStyle name="Total 2 9 15 6" xfId="50383"/>
    <cellStyle name="Total 2 9 15 7" xfId="58405"/>
    <cellStyle name="Total 2 9 16" xfId="34132"/>
    <cellStyle name="Total 2 9 16 2" xfId="34133"/>
    <cellStyle name="Total 2 9 16 3" xfId="34134"/>
    <cellStyle name="Total 2 9 16 4" xfId="34135"/>
    <cellStyle name="Total 2 9 16 5" xfId="34136"/>
    <cellStyle name="Total 2 9 17" xfId="34137"/>
    <cellStyle name="Total 2 9 17 2" xfId="34138"/>
    <cellStyle name="Total 2 9 17 3" xfId="34139"/>
    <cellStyle name="Total 2 9 17 4" xfId="34140"/>
    <cellStyle name="Total 2 9 17 5" xfId="34141"/>
    <cellStyle name="Total 2 9 18" xfId="34142"/>
    <cellStyle name="Total 2 9 19" xfId="759"/>
    <cellStyle name="Total 2 9 2" xfId="461"/>
    <cellStyle name="Total 2 9 2 10" xfId="34143"/>
    <cellStyle name="Total 2 9 2 10 2" xfId="34144"/>
    <cellStyle name="Total 2 9 2 10 3" xfId="34145"/>
    <cellStyle name="Total 2 9 2 10 4" xfId="34146"/>
    <cellStyle name="Total 2 9 2 10 5" xfId="34147"/>
    <cellStyle name="Total 2 9 2 10 6" xfId="39635"/>
    <cellStyle name="Total 2 9 2 10 7" xfId="50384"/>
    <cellStyle name="Total 2 9 2 10 8" xfId="58406"/>
    <cellStyle name="Total 2 9 2 11" xfId="34148"/>
    <cellStyle name="Total 2 9 2 11 2" xfId="34149"/>
    <cellStyle name="Total 2 9 2 11 3" xfId="34150"/>
    <cellStyle name="Total 2 9 2 11 4" xfId="34151"/>
    <cellStyle name="Total 2 9 2 11 5" xfId="34152"/>
    <cellStyle name="Total 2 9 2 11 6" xfId="40250"/>
    <cellStyle name="Total 2 9 2 11 7" xfId="50385"/>
    <cellStyle name="Total 2 9 2 11 8" xfId="58407"/>
    <cellStyle name="Total 2 9 2 12" xfId="34153"/>
    <cellStyle name="Total 2 9 2 12 2" xfId="34154"/>
    <cellStyle name="Total 2 9 2 12 3" xfId="34155"/>
    <cellStyle name="Total 2 9 2 12 4" xfId="34156"/>
    <cellStyle name="Total 2 9 2 12 5" xfId="34157"/>
    <cellStyle name="Total 2 9 2 12 6" xfId="50386"/>
    <cellStyle name="Total 2 9 2 12 7" xfId="58408"/>
    <cellStyle name="Total 2 9 2 13" xfId="34158"/>
    <cellStyle name="Total 2 9 2 13 2" xfId="34159"/>
    <cellStyle name="Total 2 9 2 13 3" xfId="34160"/>
    <cellStyle name="Total 2 9 2 13 4" xfId="34161"/>
    <cellStyle name="Total 2 9 2 13 5" xfId="34162"/>
    <cellStyle name="Total 2 9 2 13 6" xfId="50387"/>
    <cellStyle name="Total 2 9 2 13 7" xfId="58409"/>
    <cellStyle name="Total 2 9 2 14" xfId="34163"/>
    <cellStyle name="Total 2 9 2 14 2" xfId="34164"/>
    <cellStyle name="Total 2 9 2 14 3" xfId="34165"/>
    <cellStyle name="Total 2 9 2 14 4" xfId="34166"/>
    <cellStyle name="Total 2 9 2 14 5" xfId="34167"/>
    <cellStyle name="Total 2 9 2 15" xfId="34168"/>
    <cellStyle name="Total 2 9 2 15 2" xfId="34169"/>
    <cellStyle name="Total 2 9 2 15 3" xfId="34170"/>
    <cellStyle name="Total 2 9 2 15 4" xfId="34171"/>
    <cellStyle name="Total 2 9 2 15 5" xfId="34172"/>
    <cellStyle name="Total 2 9 2 16" xfId="34173"/>
    <cellStyle name="Total 2 9 2 16 2" xfId="34174"/>
    <cellStyle name="Total 2 9 2 16 3" xfId="34175"/>
    <cellStyle name="Total 2 9 2 16 4" xfId="34176"/>
    <cellStyle name="Total 2 9 2 16 5" xfId="34177"/>
    <cellStyle name="Total 2 9 2 17" xfId="34178"/>
    <cellStyle name="Total 2 9 2 17 2" xfId="34179"/>
    <cellStyle name="Total 2 9 2 17 3" xfId="34180"/>
    <cellStyle name="Total 2 9 2 17 4" xfId="34181"/>
    <cellStyle name="Total 2 9 2 17 5" xfId="34182"/>
    <cellStyle name="Total 2 9 2 18" xfId="34183"/>
    <cellStyle name="Total 2 9 2 18 2" xfId="34184"/>
    <cellStyle name="Total 2 9 2 18 3" xfId="34185"/>
    <cellStyle name="Total 2 9 2 18 4" xfId="34186"/>
    <cellStyle name="Total 2 9 2 18 5" xfId="34187"/>
    <cellStyle name="Total 2 9 2 19" xfId="34188"/>
    <cellStyle name="Total 2 9 2 2" xfId="676"/>
    <cellStyle name="Total 2 9 2 2 10" xfId="34189"/>
    <cellStyle name="Total 2 9 2 2 10 2" xfId="34190"/>
    <cellStyle name="Total 2 9 2 2 10 3" xfId="34191"/>
    <cellStyle name="Total 2 9 2 2 10 4" xfId="34192"/>
    <cellStyle name="Total 2 9 2 2 10 5" xfId="34193"/>
    <cellStyle name="Total 2 9 2 2 10 6" xfId="50388"/>
    <cellStyle name="Total 2 9 2 2 10 7" xfId="58410"/>
    <cellStyle name="Total 2 9 2 2 11" xfId="34194"/>
    <cellStyle name="Total 2 9 2 2 11 2" xfId="34195"/>
    <cellStyle name="Total 2 9 2 2 11 3" xfId="34196"/>
    <cellStyle name="Total 2 9 2 2 11 4" xfId="34197"/>
    <cellStyle name="Total 2 9 2 2 11 5" xfId="34198"/>
    <cellStyle name="Total 2 9 2 2 12" xfId="34199"/>
    <cellStyle name="Total 2 9 2 2 12 2" xfId="34200"/>
    <cellStyle name="Total 2 9 2 2 12 3" xfId="34201"/>
    <cellStyle name="Total 2 9 2 2 12 4" xfId="34202"/>
    <cellStyle name="Total 2 9 2 2 12 5" xfId="34203"/>
    <cellStyle name="Total 2 9 2 2 13" xfId="34204"/>
    <cellStyle name="Total 2 9 2 2 13 2" xfId="34205"/>
    <cellStyle name="Total 2 9 2 2 13 3" xfId="34206"/>
    <cellStyle name="Total 2 9 2 2 13 4" xfId="34207"/>
    <cellStyle name="Total 2 9 2 2 13 5" xfId="34208"/>
    <cellStyle name="Total 2 9 2 2 14" xfId="34209"/>
    <cellStyle name="Total 2 9 2 2 14 2" xfId="34210"/>
    <cellStyle name="Total 2 9 2 2 14 3" xfId="34211"/>
    <cellStyle name="Total 2 9 2 2 14 4" xfId="34212"/>
    <cellStyle name="Total 2 9 2 2 14 5" xfId="34213"/>
    <cellStyle name="Total 2 9 2 2 15" xfId="34214"/>
    <cellStyle name="Total 2 9 2 2 15 2" xfId="34215"/>
    <cellStyle name="Total 2 9 2 2 15 3" xfId="34216"/>
    <cellStyle name="Total 2 9 2 2 15 4" xfId="34217"/>
    <cellStyle name="Total 2 9 2 2 15 5" xfId="34218"/>
    <cellStyle name="Total 2 9 2 2 16" xfId="34219"/>
    <cellStyle name="Total 2 9 2 2 16 2" xfId="34220"/>
    <cellStyle name="Total 2 9 2 2 16 3" xfId="34221"/>
    <cellStyle name="Total 2 9 2 2 16 4" xfId="34222"/>
    <cellStyle name="Total 2 9 2 2 16 5" xfId="34223"/>
    <cellStyle name="Total 2 9 2 2 17" xfId="34224"/>
    <cellStyle name="Total 2 9 2 2 17 2" xfId="34225"/>
    <cellStyle name="Total 2 9 2 2 17 3" xfId="34226"/>
    <cellStyle name="Total 2 9 2 2 17 4" xfId="34227"/>
    <cellStyle name="Total 2 9 2 2 17 5" xfId="34228"/>
    <cellStyle name="Total 2 9 2 2 18" xfId="34229"/>
    <cellStyle name="Total 2 9 2 2 18 2" xfId="34230"/>
    <cellStyle name="Total 2 9 2 2 18 3" xfId="34231"/>
    <cellStyle name="Total 2 9 2 2 18 4" xfId="34232"/>
    <cellStyle name="Total 2 9 2 2 18 5" xfId="34233"/>
    <cellStyle name="Total 2 9 2 2 19" xfId="34234"/>
    <cellStyle name="Total 2 9 2 2 2" xfId="3047"/>
    <cellStyle name="Total 2 9 2 2 2 2" xfId="34235"/>
    <cellStyle name="Total 2 9 2 2 2 2 2" xfId="50390"/>
    <cellStyle name="Total 2 9 2 2 2 2 3" xfId="58412"/>
    <cellStyle name="Total 2 9 2 2 2 3" xfId="34236"/>
    <cellStyle name="Total 2 9 2 2 2 4" xfId="34237"/>
    <cellStyle name="Total 2 9 2 2 2 5" xfId="34238"/>
    <cellStyle name="Total 2 9 2 2 2 6" xfId="36479"/>
    <cellStyle name="Total 2 9 2 2 2 7" xfId="50389"/>
    <cellStyle name="Total 2 9 2 2 2 8" xfId="58411"/>
    <cellStyle name="Total 2 9 2 2 20" xfId="1104"/>
    <cellStyle name="Total 2 9 2 2 21" xfId="35184"/>
    <cellStyle name="Total 2 9 2 2 22" xfId="41404"/>
    <cellStyle name="Total 2 9 2 2 3" xfId="3048"/>
    <cellStyle name="Total 2 9 2 2 3 2" xfId="34239"/>
    <cellStyle name="Total 2 9 2 2 3 3" xfId="34240"/>
    <cellStyle name="Total 2 9 2 2 3 4" xfId="34241"/>
    <cellStyle name="Total 2 9 2 2 3 5" xfId="34242"/>
    <cellStyle name="Total 2 9 2 2 3 6" xfId="36976"/>
    <cellStyle name="Total 2 9 2 2 3 7" xfId="50391"/>
    <cellStyle name="Total 2 9 2 2 3 8" xfId="58413"/>
    <cellStyle name="Total 2 9 2 2 4" xfId="1530"/>
    <cellStyle name="Total 2 9 2 2 4 2" xfId="34243"/>
    <cellStyle name="Total 2 9 2 2 4 3" xfId="34244"/>
    <cellStyle name="Total 2 9 2 2 4 4" xfId="34245"/>
    <cellStyle name="Total 2 9 2 2 4 5" xfId="34246"/>
    <cellStyle name="Total 2 9 2 2 4 6" xfId="37592"/>
    <cellStyle name="Total 2 9 2 2 4 7" xfId="50392"/>
    <cellStyle name="Total 2 9 2 2 4 8" xfId="58414"/>
    <cellStyle name="Total 2 9 2 2 5" xfId="3600"/>
    <cellStyle name="Total 2 9 2 2 5 2" xfId="34247"/>
    <cellStyle name="Total 2 9 2 2 5 3" xfId="34248"/>
    <cellStyle name="Total 2 9 2 2 5 4" xfId="34249"/>
    <cellStyle name="Total 2 9 2 2 5 5" xfId="34250"/>
    <cellStyle name="Total 2 9 2 2 5 6" xfId="38209"/>
    <cellStyle name="Total 2 9 2 2 5 7" xfId="50393"/>
    <cellStyle name="Total 2 9 2 2 5 8" xfId="58415"/>
    <cellStyle name="Total 2 9 2 2 6" xfId="3918"/>
    <cellStyle name="Total 2 9 2 2 6 2" xfId="34251"/>
    <cellStyle name="Total 2 9 2 2 6 3" xfId="34252"/>
    <cellStyle name="Total 2 9 2 2 6 4" xfId="34253"/>
    <cellStyle name="Total 2 9 2 2 6 5" xfId="34254"/>
    <cellStyle name="Total 2 9 2 2 6 6" xfId="38827"/>
    <cellStyle name="Total 2 9 2 2 6 7" xfId="50394"/>
    <cellStyle name="Total 2 9 2 2 6 8" xfId="58416"/>
    <cellStyle name="Total 2 9 2 2 7" xfId="34255"/>
    <cellStyle name="Total 2 9 2 2 7 2" xfId="34256"/>
    <cellStyle name="Total 2 9 2 2 7 3" xfId="34257"/>
    <cellStyle name="Total 2 9 2 2 7 4" xfId="34258"/>
    <cellStyle name="Total 2 9 2 2 7 5" xfId="34259"/>
    <cellStyle name="Total 2 9 2 2 7 6" xfId="39447"/>
    <cellStyle name="Total 2 9 2 2 7 7" xfId="50395"/>
    <cellStyle name="Total 2 9 2 2 7 8" xfId="58417"/>
    <cellStyle name="Total 2 9 2 2 8" xfId="34260"/>
    <cellStyle name="Total 2 9 2 2 8 2" xfId="34261"/>
    <cellStyle name="Total 2 9 2 2 8 3" xfId="34262"/>
    <cellStyle name="Total 2 9 2 2 8 4" xfId="34263"/>
    <cellStyle name="Total 2 9 2 2 8 5" xfId="34264"/>
    <cellStyle name="Total 2 9 2 2 8 6" xfId="40063"/>
    <cellStyle name="Total 2 9 2 2 8 7" xfId="50396"/>
    <cellStyle name="Total 2 9 2 2 8 8" xfId="58418"/>
    <cellStyle name="Total 2 9 2 2 9" xfId="34265"/>
    <cellStyle name="Total 2 9 2 2 9 2" xfId="34266"/>
    <cellStyle name="Total 2 9 2 2 9 3" xfId="34267"/>
    <cellStyle name="Total 2 9 2 2 9 4" xfId="34268"/>
    <cellStyle name="Total 2 9 2 2 9 5" xfId="34269"/>
    <cellStyle name="Total 2 9 2 2 9 6" xfId="40678"/>
    <cellStyle name="Total 2 9 2 2 9 7" xfId="50397"/>
    <cellStyle name="Total 2 9 2 2 9 8" xfId="58419"/>
    <cellStyle name="Total 2 9 2 20" xfId="892"/>
    <cellStyle name="Total 2 9 2 21" xfId="34781"/>
    <cellStyle name="Total 2 9 2 22" xfId="40976"/>
    <cellStyle name="Total 2 9 2 23" xfId="41537"/>
    <cellStyle name="Total 2 9 2 24" xfId="50624"/>
    <cellStyle name="Total 2 9 2 3" xfId="3049"/>
    <cellStyle name="Total 2 9 2 3 10" xfId="34973"/>
    <cellStyle name="Total 2 9 2 3 10 2" xfId="50399"/>
    <cellStyle name="Total 2 9 2 3 10 3" xfId="58421"/>
    <cellStyle name="Total 2 9 2 3 11" xfId="41191"/>
    <cellStyle name="Total 2 9 2 3 12" xfId="50398"/>
    <cellStyle name="Total 2 9 2 3 13" xfId="58420"/>
    <cellStyle name="Total 2 9 2 3 2" xfId="3050"/>
    <cellStyle name="Total 2 9 2 3 2 2" xfId="36268"/>
    <cellStyle name="Total 2 9 2 3 2 3" xfId="50400"/>
    <cellStyle name="Total 2 9 2 3 2 4" xfId="58422"/>
    <cellStyle name="Total 2 9 2 3 3" xfId="3051"/>
    <cellStyle name="Total 2 9 2 3 3 2" xfId="36765"/>
    <cellStyle name="Total 2 9 2 3 3 3" xfId="50401"/>
    <cellStyle name="Total 2 9 2 3 3 4" xfId="58423"/>
    <cellStyle name="Total 2 9 2 3 4" xfId="34270"/>
    <cellStyle name="Total 2 9 2 3 4 2" xfId="37381"/>
    <cellStyle name="Total 2 9 2 3 4 3" xfId="50402"/>
    <cellStyle name="Total 2 9 2 3 4 4" xfId="58424"/>
    <cellStyle name="Total 2 9 2 3 5" xfId="34271"/>
    <cellStyle name="Total 2 9 2 3 5 2" xfId="37997"/>
    <cellStyle name="Total 2 9 2 3 5 3" xfId="50403"/>
    <cellStyle name="Total 2 9 2 3 5 4" xfId="58425"/>
    <cellStyle name="Total 2 9 2 3 6" xfId="38614"/>
    <cellStyle name="Total 2 9 2 3 6 2" xfId="50404"/>
    <cellStyle name="Total 2 9 2 3 6 3" xfId="58426"/>
    <cellStyle name="Total 2 9 2 3 7" xfId="39234"/>
    <cellStyle name="Total 2 9 2 3 7 2" xfId="50405"/>
    <cellStyle name="Total 2 9 2 3 7 3" xfId="58427"/>
    <cellStyle name="Total 2 9 2 3 8" xfId="39850"/>
    <cellStyle name="Total 2 9 2 3 8 2" xfId="50406"/>
    <cellStyle name="Total 2 9 2 3 8 3" xfId="58428"/>
    <cellStyle name="Total 2 9 2 3 9" xfId="40465"/>
    <cellStyle name="Total 2 9 2 3 9 2" xfId="50407"/>
    <cellStyle name="Total 2 9 2 3 9 3" xfId="58429"/>
    <cellStyle name="Total 2 9 2 4" xfId="3052"/>
    <cellStyle name="Total 2 9 2 4 10" xfId="50408"/>
    <cellStyle name="Total 2 9 2 4 11" xfId="58430"/>
    <cellStyle name="Total 2 9 2 4 2" xfId="34272"/>
    <cellStyle name="Total 2 9 2 4 2 2" xfId="50409"/>
    <cellStyle name="Total 2 9 2 4 2 3" xfId="58431"/>
    <cellStyle name="Total 2 9 2 4 3" xfId="34273"/>
    <cellStyle name="Total 2 9 2 4 3 2" xfId="50410"/>
    <cellStyle name="Total 2 9 2 4 3 3" xfId="58432"/>
    <cellStyle name="Total 2 9 2 4 4" xfId="34274"/>
    <cellStyle name="Total 2 9 2 4 4 2" xfId="50411"/>
    <cellStyle name="Total 2 9 2 4 4 3" xfId="58433"/>
    <cellStyle name="Total 2 9 2 4 5" xfId="34275"/>
    <cellStyle name="Total 2 9 2 4 5 2" xfId="50412"/>
    <cellStyle name="Total 2 9 2 4 5 3" xfId="58434"/>
    <cellStyle name="Total 2 9 2 4 6" xfId="35722"/>
    <cellStyle name="Total 2 9 2 4 6 2" xfId="50413"/>
    <cellStyle name="Total 2 9 2 4 6 3" xfId="58435"/>
    <cellStyle name="Total 2 9 2 4 7" xfId="50414"/>
    <cellStyle name="Total 2 9 2 4 7 2" xfId="58436"/>
    <cellStyle name="Total 2 9 2 4 8" xfId="50415"/>
    <cellStyle name="Total 2 9 2 4 8 2" xfId="58437"/>
    <cellStyle name="Total 2 9 2 4 9" xfId="50416"/>
    <cellStyle name="Total 2 9 2 4 9 2" xfId="58438"/>
    <cellStyle name="Total 2 9 2 5" xfId="1529"/>
    <cellStyle name="Total 2 9 2 5 2" xfId="34276"/>
    <cellStyle name="Total 2 9 2 5 3" xfId="34277"/>
    <cellStyle name="Total 2 9 2 5 4" xfId="34278"/>
    <cellStyle name="Total 2 9 2 5 5" xfId="34279"/>
    <cellStyle name="Total 2 9 2 5 6" xfId="36553"/>
    <cellStyle name="Total 2 9 2 5 7" xfId="50417"/>
    <cellStyle name="Total 2 9 2 5 8" xfId="58439"/>
    <cellStyle name="Total 2 9 2 6" xfId="3599"/>
    <cellStyle name="Total 2 9 2 6 2" xfId="34280"/>
    <cellStyle name="Total 2 9 2 6 3" xfId="34281"/>
    <cellStyle name="Total 2 9 2 6 4" xfId="34282"/>
    <cellStyle name="Total 2 9 2 6 5" xfId="34283"/>
    <cellStyle name="Total 2 9 2 6 6" xfId="37169"/>
    <cellStyle name="Total 2 9 2 6 7" xfId="50418"/>
    <cellStyle name="Total 2 9 2 6 8" xfId="58440"/>
    <cellStyle name="Total 2 9 2 7" xfId="3917"/>
    <cellStyle name="Total 2 9 2 7 2" xfId="34284"/>
    <cellStyle name="Total 2 9 2 7 3" xfId="34285"/>
    <cellStyle name="Total 2 9 2 7 4" xfId="34286"/>
    <cellStyle name="Total 2 9 2 7 5" xfId="34287"/>
    <cellStyle name="Total 2 9 2 7 6" xfId="37783"/>
    <cellStyle name="Total 2 9 2 7 7" xfId="50419"/>
    <cellStyle name="Total 2 9 2 7 8" xfId="58441"/>
    <cellStyle name="Total 2 9 2 8" xfId="34288"/>
    <cellStyle name="Total 2 9 2 8 2" xfId="34289"/>
    <cellStyle name="Total 2 9 2 8 3" xfId="34290"/>
    <cellStyle name="Total 2 9 2 8 4" xfId="34291"/>
    <cellStyle name="Total 2 9 2 8 5" xfId="34292"/>
    <cellStyle name="Total 2 9 2 8 6" xfId="38399"/>
    <cellStyle name="Total 2 9 2 8 7" xfId="50420"/>
    <cellStyle name="Total 2 9 2 8 8" xfId="58442"/>
    <cellStyle name="Total 2 9 2 9" xfId="34293"/>
    <cellStyle name="Total 2 9 2 9 2" xfId="34294"/>
    <cellStyle name="Total 2 9 2 9 3" xfId="34295"/>
    <cellStyle name="Total 2 9 2 9 4" xfId="34296"/>
    <cellStyle name="Total 2 9 2 9 5" xfId="34297"/>
    <cellStyle name="Total 2 9 2 9 6" xfId="39019"/>
    <cellStyle name="Total 2 9 2 9 7" xfId="50421"/>
    <cellStyle name="Total 2 9 2 9 8" xfId="58443"/>
    <cellStyle name="Total 2 9 20" xfId="34939"/>
    <cellStyle name="Total 2 9 21" xfId="40843"/>
    <cellStyle name="Total 2 9 3" xfId="462"/>
    <cellStyle name="Total 2 9 3 10" xfId="34298"/>
    <cellStyle name="Total 2 9 3 10 2" xfId="34299"/>
    <cellStyle name="Total 2 9 3 10 3" xfId="34300"/>
    <cellStyle name="Total 2 9 3 10 4" xfId="34301"/>
    <cellStyle name="Total 2 9 3 10 5" xfId="34302"/>
    <cellStyle name="Total 2 9 3 10 6" xfId="40251"/>
    <cellStyle name="Total 2 9 3 10 7" xfId="50422"/>
    <cellStyle name="Total 2 9 3 10 8" xfId="58444"/>
    <cellStyle name="Total 2 9 3 11" xfId="34303"/>
    <cellStyle name="Total 2 9 3 11 2" xfId="34304"/>
    <cellStyle name="Total 2 9 3 11 3" xfId="34305"/>
    <cellStyle name="Total 2 9 3 11 4" xfId="34306"/>
    <cellStyle name="Total 2 9 3 11 5" xfId="34307"/>
    <cellStyle name="Total 2 9 3 11 6" xfId="50423"/>
    <cellStyle name="Total 2 9 3 11 7" xfId="58445"/>
    <cellStyle name="Total 2 9 3 12" xfId="34308"/>
    <cellStyle name="Total 2 9 3 12 2" xfId="34309"/>
    <cellStyle name="Total 2 9 3 12 3" xfId="34310"/>
    <cellStyle name="Total 2 9 3 12 4" xfId="34311"/>
    <cellStyle name="Total 2 9 3 12 5" xfId="34312"/>
    <cellStyle name="Total 2 9 3 12 6" xfId="50424"/>
    <cellStyle name="Total 2 9 3 12 7" xfId="58446"/>
    <cellStyle name="Total 2 9 3 13" xfId="34313"/>
    <cellStyle name="Total 2 9 3 13 2" xfId="34314"/>
    <cellStyle name="Total 2 9 3 13 3" xfId="34315"/>
    <cellStyle name="Total 2 9 3 13 4" xfId="34316"/>
    <cellStyle name="Total 2 9 3 13 5" xfId="34317"/>
    <cellStyle name="Total 2 9 3 13 6" xfId="50425"/>
    <cellStyle name="Total 2 9 3 13 7" xfId="58447"/>
    <cellStyle name="Total 2 9 3 14" xfId="34318"/>
    <cellStyle name="Total 2 9 3 14 2" xfId="34319"/>
    <cellStyle name="Total 2 9 3 14 3" xfId="34320"/>
    <cellStyle name="Total 2 9 3 14 4" xfId="34321"/>
    <cellStyle name="Total 2 9 3 14 5" xfId="34322"/>
    <cellStyle name="Total 2 9 3 15" xfId="34323"/>
    <cellStyle name="Total 2 9 3 15 2" xfId="34324"/>
    <cellStyle name="Total 2 9 3 15 3" xfId="34325"/>
    <cellStyle name="Total 2 9 3 15 4" xfId="34326"/>
    <cellStyle name="Total 2 9 3 15 5" xfId="34327"/>
    <cellStyle name="Total 2 9 3 16" xfId="34328"/>
    <cellStyle name="Total 2 9 3 16 2" xfId="34329"/>
    <cellStyle name="Total 2 9 3 16 3" xfId="34330"/>
    <cellStyle name="Total 2 9 3 16 4" xfId="34331"/>
    <cellStyle name="Total 2 9 3 16 5" xfId="34332"/>
    <cellStyle name="Total 2 9 3 17" xfId="34333"/>
    <cellStyle name="Total 2 9 3 17 2" xfId="34334"/>
    <cellStyle name="Total 2 9 3 17 3" xfId="34335"/>
    <cellStyle name="Total 2 9 3 17 4" xfId="34336"/>
    <cellStyle name="Total 2 9 3 17 5" xfId="34337"/>
    <cellStyle name="Total 2 9 3 18" xfId="34338"/>
    <cellStyle name="Total 2 9 3 18 2" xfId="34339"/>
    <cellStyle name="Total 2 9 3 18 3" xfId="34340"/>
    <cellStyle name="Total 2 9 3 18 4" xfId="34341"/>
    <cellStyle name="Total 2 9 3 18 5" xfId="34342"/>
    <cellStyle name="Total 2 9 3 19" xfId="34343"/>
    <cellStyle name="Total 2 9 3 2" xfId="677"/>
    <cellStyle name="Total 2 9 3 2 10" xfId="34344"/>
    <cellStyle name="Total 2 9 3 2 10 2" xfId="34345"/>
    <cellStyle name="Total 2 9 3 2 10 3" xfId="34346"/>
    <cellStyle name="Total 2 9 3 2 10 4" xfId="34347"/>
    <cellStyle name="Total 2 9 3 2 10 5" xfId="34348"/>
    <cellStyle name="Total 2 9 3 2 10 6" xfId="50426"/>
    <cellStyle name="Total 2 9 3 2 10 7" xfId="58448"/>
    <cellStyle name="Total 2 9 3 2 11" xfId="34349"/>
    <cellStyle name="Total 2 9 3 2 11 2" xfId="34350"/>
    <cellStyle name="Total 2 9 3 2 11 3" xfId="34351"/>
    <cellStyle name="Total 2 9 3 2 11 4" xfId="34352"/>
    <cellStyle name="Total 2 9 3 2 11 5" xfId="34353"/>
    <cellStyle name="Total 2 9 3 2 12" xfId="34354"/>
    <cellStyle name="Total 2 9 3 2 12 2" xfId="34355"/>
    <cellStyle name="Total 2 9 3 2 12 3" xfId="34356"/>
    <cellStyle name="Total 2 9 3 2 12 4" xfId="34357"/>
    <cellStyle name="Total 2 9 3 2 12 5" xfId="34358"/>
    <cellStyle name="Total 2 9 3 2 13" xfId="34359"/>
    <cellStyle name="Total 2 9 3 2 13 2" xfId="34360"/>
    <cellStyle name="Total 2 9 3 2 13 3" xfId="34361"/>
    <cellStyle name="Total 2 9 3 2 13 4" xfId="34362"/>
    <cellStyle name="Total 2 9 3 2 13 5" xfId="34363"/>
    <cellStyle name="Total 2 9 3 2 14" xfId="34364"/>
    <cellStyle name="Total 2 9 3 2 14 2" xfId="34365"/>
    <cellStyle name="Total 2 9 3 2 14 3" xfId="34366"/>
    <cellStyle name="Total 2 9 3 2 14 4" xfId="34367"/>
    <cellStyle name="Total 2 9 3 2 14 5" xfId="34368"/>
    <cellStyle name="Total 2 9 3 2 15" xfId="34369"/>
    <cellStyle name="Total 2 9 3 2 15 2" xfId="34370"/>
    <cellStyle name="Total 2 9 3 2 15 3" xfId="34371"/>
    <cellStyle name="Total 2 9 3 2 15 4" xfId="34372"/>
    <cellStyle name="Total 2 9 3 2 15 5" xfId="34373"/>
    <cellStyle name="Total 2 9 3 2 16" xfId="34374"/>
    <cellStyle name="Total 2 9 3 2 16 2" xfId="34375"/>
    <cellStyle name="Total 2 9 3 2 16 3" xfId="34376"/>
    <cellStyle name="Total 2 9 3 2 16 4" xfId="34377"/>
    <cellStyle name="Total 2 9 3 2 16 5" xfId="34378"/>
    <cellStyle name="Total 2 9 3 2 17" xfId="34379"/>
    <cellStyle name="Total 2 9 3 2 17 2" xfId="34380"/>
    <cellStyle name="Total 2 9 3 2 17 3" xfId="34381"/>
    <cellStyle name="Total 2 9 3 2 17 4" xfId="34382"/>
    <cellStyle name="Total 2 9 3 2 17 5" xfId="34383"/>
    <cellStyle name="Total 2 9 3 2 18" xfId="34384"/>
    <cellStyle name="Total 2 9 3 2 18 2" xfId="34385"/>
    <cellStyle name="Total 2 9 3 2 18 3" xfId="34386"/>
    <cellStyle name="Total 2 9 3 2 18 4" xfId="34387"/>
    <cellStyle name="Total 2 9 3 2 18 5" xfId="34388"/>
    <cellStyle name="Total 2 9 3 2 19" xfId="34389"/>
    <cellStyle name="Total 2 9 3 2 2" xfId="3053"/>
    <cellStyle name="Total 2 9 3 2 2 2" xfId="34390"/>
    <cellStyle name="Total 2 9 3 2 2 2 2" xfId="50428"/>
    <cellStyle name="Total 2 9 3 2 2 2 3" xfId="58450"/>
    <cellStyle name="Total 2 9 3 2 2 3" xfId="34391"/>
    <cellStyle name="Total 2 9 3 2 2 4" xfId="34392"/>
    <cellStyle name="Total 2 9 3 2 2 5" xfId="34393"/>
    <cellStyle name="Total 2 9 3 2 2 6" xfId="36480"/>
    <cellStyle name="Total 2 9 3 2 2 7" xfId="50427"/>
    <cellStyle name="Total 2 9 3 2 2 8" xfId="58449"/>
    <cellStyle name="Total 2 9 3 2 20" xfId="1105"/>
    <cellStyle name="Total 2 9 3 2 21" xfId="35185"/>
    <cellStyle name="Total 2 9 3 2 22" xfId="41405"/>
    <cellStyle name="Total 2 9 3 2 3" xfId="3054"/>
    <cellStyle name="Total 2 9 3 2 3 2" xfId="34394"/>
    <cellStyle name="Total 2 9 3 2 3 3" xfId="34395"/>
    <cellStyle name="Total 2 9 3 2 3 4" xfId="34396"/>
    <cellStyle name="Total 2 9 3 2 3 5" xfId="34397"/>
    <cellStyle name="Total 2 9 3 2 3 6" xfId="36977"/>
    <cellStyle name="Total 2 9 3 2 3 7" xfId="50429"/>
    <cellStyle name="Total 2 9 3 2 3 8" xfId="58451"/>
    <cellStyle name="Total 2 9 3 2 4" xfId="1532"/>
    <cellStyle name="Total 2 9 3 2 4 2" xfId="34398"/>
    <cellStyle name="Total 2 9 3 2 4 3" xfId="34399"/>
    <cellStyle name="Total 2 9 3 2 4 4" xfId="34400"/>
    <cellStyle name="Total 2 9 3 2 4 5" xfId="34401"/>
    <cellStyle name="Total 2 9 3 2 4 6" xfId="37593"/>
    <cellStyle name="Total 2 9 3 2 4 7" xfId="50430"/>
    <cellStyle name="Total 2 9 3 2 4 8" xfId="58452"/>
    <cellStyle name="Total 2 9 3 2 5" xfId="3602"/>
    <cellStyle name="Total 2 9 3 2 5 2" xfId="34402"/>
    <cellStyle name="Total 2 9 3 2 5 3" xfId="34403"/>
    <cellStyle name="Total 2 9 3 2 5 4" xfId="34404"/>
    <cellStyle name="Total 2 9 3 2 5 5" xfId="34405"/>
    <cellStyle name="Total 2 9 3 2 5 6" xfId="38210"/>
    <cellStyle name="Total 2 9 3 2 5 7" xfId="50431"/>
    <cellStyle name="Total 2 9 3 2 5 8" xfId="58453"/>
    <cellStyle name="Total 2 9 3 2 6" xfId="3920"/>
    <cellStyle name="Total 2 9 3 2 6 2" xfId="34406"/>
    <cellStyle name="Total 2 9 3 2 6 3" xfId="34407"/>
    <cellStyle name="Total 2 9 3 2 6 4" xfId="34408"/>
    <cellStyle name="Total 2 9 3 2 6 5" xfId="34409"/>
    <cellStyle name="Total 2 9 3 2 6 6" xfId="38828"/>
    <cellStyle name="Total 2 9 3 2 6 7" xfId="50432"/>
    <cellStyle name="Total 2 9 3 2 6 8" xfId="58454"/>
    <cellStyle name="Total 2 9 3 2 7" xfId="34410"/>
    <cellStyle name="Total 2 9 3 2 7 2" xfId="34411"/>
    <cellStyle name="Total 2 9 3 2 7 3" xfId="34412"/>
    <cellStyle name="Total 2 9 3 2 7 4" xfId="34413"/>
    <cellStyle name="Total 2 9 3 2 7 5" xfId="34414"/>
    <cellStyle name="Total 2 9 3 2 7 6" xfId="39448"/>
    <cellStyle name="Total 2 9 3 2 7 7" xfId="50433"/>
    <cellStyle name="Total 2 9 3 2 7 8" xfId="58455"/>
    <cellStyle name="Total 2 9 3 2 8" xfId="34415"/>
    <cellStyle name="Total 2 9 3 2 8 2" xfId="34416"/>
    <cellStyle name="Total 2 9 3 2 8 3" xfId="34417"/>
    <cellStyle name="Total 2 9 3 2 8 4" xfId="34418"/>
    <cellStyle name="Total 2 9 3 2 8 5" xfId="34419"/>
    <cellStyle name="Total 2 9 3 2 8 6" xfId="40064"/>
    <cellStyle name="Total 2 9 3 2 8 7" xfId="50434"/>
    <cellStyle name="Total 2 9 3 2 8 8" xfId="58456"/>
    <cellStyle name="Total 2 9 3 2 9" xfId="34420"/>
    <cellStyle name="Total 2 9 3 2 9 2" xfId="34421"/>
    <cellStyle name="Total 2 9 3 2 9 3" xfId="34422"/>
    <cellStyle name="Total 2 9 3 2 9 4" xfId="34423"/>
    <cellStyle name="Total 2 9 3 2 9 5" xfId="34424"/>
    <cellStyle name="Total 2 9 3 2 9 6" xfId="40679"/>
    <cellStyle name="Total 2 9 3 2 9 7" xfId="50435"/>
    <cellStyle name="Total 2 9 3 2 9 8" xfId="58457"/>
    <cellStyle name="Total 2 9 3 20" xfId="893"/>
    <cellStyle name="Total 2 9 3 21" xfId="34780"/>
    <cellStyle name="Total 2 9 3 22" xfId="40977"/>
    <cellStyle name="Total 2 9 3 23" xfId="41538"/>
    <cellStyle name="Total 2 9 3 24" xfId="50625"/>
    <cellStyle name="Total 2 9 3 3" xfId="3055"/>
    <cellStyle name="Total 2 9 3 3 10" xfId="34974"/>
    <cellStyle name="Total 2 9 3 3 10 2" xfId="50437"/>
    <cellStyle name="Total 2 9 3 3 10 3" xfId="58459"/>
    <cellStyle name="Total 2 9 3 3 11" xfId="41192"/>
    <cellStyle name="Total 2 9 3 3 12" xfId="50436"/>
    <cellStyle name="Total 2 9 3 3 13" xfId="58458"/>
    <cellStyle name="Total 2 9 3 3 2" xfId="3056"/>
    <cellStyle name="Total 2 9 3 3 2 2" xfId="36269"/>
    <cellStyle name="Total 2 9 3 3 2 3" xfId="50438"/>
    <cellStyle name="Total 2 9 3 3 2 4" xfId="58460"/>
    <cellStyle name="Total 2 9 3 3 3" xfId="3057"/>
    <cellStyle name="Total 2 9 3 3 3 2" xfId="36766"/>
    <cellStyle name="Total 2 9 3 3 3 3" xfId="50439"/>
    <cellStyle name="Total 2 9 3 3 3 4" xfId="58461"/>
    <cellStyle name="Total 2 9 3 3 4" xfId="34425"/>
    <cellStyle name="Total 2 9 3 3 4 2" xfId="37382"/>
    <cellStyle name="Total 2 9 3 3 4 3" xfId="50440"/>
    <cellStyle name="Total 2 9 3 3 4 4" xfId="58462"/>
    <cellStyle name="Total 2 9 3 3 5" xfId="34426"/>
    <cellStyle name="Total 2 9 3 3 5 2" xfId="37998"/>
    <cellStyle name="Total 2 9 3 3 5 3" xfId="50441"/>
    <cellStyle name="Total 2 9 3 3 5 4" xfId="58463"/>
    <cellStyle name="Total 2 9 3 3 6" xfId="38615"/>
    <cellStyle name="Total 2 9 3 3 6 2" xfId="50442"/>
    <cellStyle name="Total 2 9 3 3 6 3" xfId="58464"/>
    <cellStyle name="Total 2 9 3 3 7" xfId="39235"/>
    <cellStyle name="Total 2 9 3 3 7 2" xfId="50443"/>
    <cellStyle name="Total 2 9 3 3 7 3" xfId="58465"/>
    <cellStyle name="Total 2 9 3 3 8" xfId="39851"/>
    <cellStyle name="Total 2 9 3 3 8 2" xfId="50444"/>
    <cellStyle name="Total 2 9 3 3 8 3" xfId="58466"/>
    <cellStyle name="Total 2 9 3 3 9" xfId="40466"/>
    <cellStyle name="Total 2 9 3 3 9 2" xfId="50445"/>
    <cellStyle name="Total 2 9 3 3 9 3" xfId="58467"/>
    <cellStyle name="Total 2 9 3 4" xfId="3058"/>
    <cellStyle name="Total 2 9 3 4 10" xfId="50446"/>
    <cellStyle name="Total 2 9 3 4 11" xfId="58468"/>
    <cellStyle name="Total 2 9 3 4 2" xfId="34427"/>
    <cellStyle name="Total 2 9 3 4 2 2" xfId="50447"/>
    <cellStyle name="Total 2 9 3 4 2 3" xfId="58469"/>
    <cellStyle name="Total 2 9 3 4 3" xfId="34428"/>
    <cellStyle name="Total 2 9 3 4 3 2" xfId="50448"/>
    <cellStyle name="Total 2 9 3 4 3 3" xfId="58470"/>
    <cellStyle name="Total 2 9 3 4 4" xfId="34429"/>
    <cellStyle name="Total 2 9 3 4 4 2" xfId="50449"/>
    <cellStyle name="Total 2 9 3 4 4 3" xfId="58471"/>
    <cellStyle name="Total 2 9 3 4 5" xfId="34430"/>
    <cellStyle name="Total 2 9 3 4 5 2" xfId="50450"/>
    <cellStyle name="Total 2 9 3 4 5 3" xfId="58472"/>
    <cellStyle name="Total 2 9 3 4 6" xfId="36554"/>
    <cellStyle name="Total 2 9 3 4 6 2" xfId="50451"/>
    <cellStyle name="Total 2 9 3 4 6 3" xfId="58473"/>
    <cellStyle name="Total 2 9 3 4 7" xfId="50452"/>
    <cellStyle name="Total 2 9 3 4 7 2" xfId="58474"/>
    <cellStyle name="Total 2 9 3 4 8" xfId="50453"/>
    <cellStyle name="Total 2 9 3 4 8 2" xfId="58475"/>
    <cellStyle name="Total 2 9 3 4 9" xfId="50454"/>
    <cellStyle name="Total 2 9 3 4 9 2" xfId="58476"/>
    <cellStyle name="Total 2 9 3 5" xfId="1531"/>
    <cellStyle name="Total 2 9 3 5 2" xfId="34431"/>
    <cellStyle name="Total 2 9 3 5 3" xfId="34432"/>
    <cellStyle name="Total 2 9 3 5 4" xfId="34433"/>
    <cellStyle name="Total 2 9 3 5 5" xfId="34434"/>
    <cellStyle name="Total 2 9 3 5 6" xfId="37170"/>
    <cellStyle name="Total 2 9 3 5 7" xfId="50455"/>
    <cellStyle name="Total 2 9 3 5 8" xfId="58477"/>
    <cellStyle name="Total 2 9 3 6" xfId="3601"/>
    <cellStyle name="Total 2 9 3 6 2" xfId="34435"/>
    <cellStyle name="Total 2 9 3 6 3" xfId="34436"/>
    <cellStyle name="Total 2 9 3 6 4" xfId="34437"/>
    <cellStyle name="Total 2 9 3 6 5" xfId="34438"/>
    <cellStyle name="Total 2 9 3 6 6" xfId="37784"/>
    <cellStyle name="Total 2 9 3 6 7" xfId="50456"/>
    <cellStyle name="Total 2 9 3 6 8" xfId="58478"/>
    <cellStyle name="Total 2 9 3 7" xfId="3919"/>
    <cellStyle name="Total 2 9 3 7 2" xfId="34439"/>
    <cellStyle name="Total 2 9 3 7 3" xfId="34440"/>
    <cellStyle name="Total 2 9 3 7 4" xfId="34441"/>
    <cellStyle name="Total 2 9 3 7 5" xfId="34442"/>
    <cellStyle name="Total 2 9 3 7 6" xfId="38400"/>
    <cellStyle name="Total 2 9 3 7 7" xfId="50457"/>
    <cellStyle name="Total 2 9 3 7 8" xfId="58479"/>
    <cellStyle name="Total 2 9 3 8" xfId="34443"/>
    <cellStyle name="Total 2 9 3 8 2" xfId="34444"/>
    <cellStyle name="Total 2 9 3 8 3" xfId="34445"/>
    <cellStyle name="Total 2 9 3 8 4" xfId="34446"/>
    <cellStyle name="Total 2 9 3 8 5" xfId="34447"/>
    <cellStyle name="Total 2 9 3 8 6" xfId="39020"/>
    <cellStyle name="Total 2 9 3 8 7" xfId="50458"/>
    <cellStyle name="Total 2 9 3 8 8" xfId="58480"/>
    <cellStyle name="Total 2 9 3 9" xfId="34448"/>
    <cellStyle name="Total 2 9 3 9 2" xfId="34449"/>
    <cellStyle name="Total 2 9 3 9 3" xfId="34450"/>
    <cellStyle name="Total 2 9 3 9 4" xfId="34451"/>
    <cellStyle name="Total 2 9 3 9 5" xfId="34452"/>
    <cellStyle name="Total 2 9 3 9 6" xfId="39636"/>
    <cellStyle name="Total 2 9 3 9 7" xfId="50459"/>
    <cellStyle name="Total 2 9 3 9 8" xfId="58481"/>
    <cellStyle name="Total 2 9 4" xfId="544"/>
    <cellStyle name="Total 2 9 4 10" xfId="34453"/>
    <cellStyle name="Total 2 9 4 10 2" xfId="34454"/>
    <cellStyle name="Total 2 9 4 10 3" xfId="34455"/>
    <cellStyle name="Total 2 9 4 10 4" xfId="34456"/>
    <cellStyle name="Total 2 9 4 10 5" xfId="34457"/>
    <cellStyle name="Total 2 9 4 10 6" xfId="50460"/>
    <cellStyle name="Total 2 9 4 10 7" xfId="58482"/>
    <cellStyle name="Total 2 9 4 11" xfId="34458"/>
    <cellStyle name="Total 2 9 4 11 2" xfId="34459"/>
    <cellStyle name="Total 2 9 4 11 3" xfId="34460"/>
    <cellStyle name="Total 2 9 4 11 4" xfId="34461"/>
    <cellStyle name="Total 2 9 4 11 5" xfId="34462"/>
    <cellStyle name="Total 2 9 4 12" xfId="34463"/>
    <cellStyle name="Total 2 9 4 12 2" xfId="34464"/>
    <cellStyle name="Total 2 9 4 12 3" xfId="34465"/>
    <cellStyle name="Total 2 9 4 12 4" xfId="34466"/>
    <cellStyle name="Total 2 9 4 12 5" xfId="34467"/>
    <cellStyle name="Total 2 9 4 13" xfId="34468"/>
    <cellStyle name="Total 2 9 4 13 2" xfId="34469"/>
    <cellStyle name="Total 2 9 4 13 3" xfId="34470"/>
    <cellStyle name="Total 2 9 4 13 4" xfId="34471"/>
    <cellStyle name="Total 2 9 4 13 5" xfId="34472"/>
    <cellStyle name="Total 2 9 4 14" xfId="34473"/>
    <cellStyle name="Total 2 9 4 14 2" xfId="34474"/>
    <cellStyle name="Total 2 9 4 14 3" xfId="34475"/>
    <cellStyle name="Total 2 9 4 14 4" xfId="34476"/>
    <cellStyle name="Total 2 9 4 14 5" xfId="34477"/>
    <cellStyle name="Total 2 9 4 15" xfId="34478"/>
    <cellStyle name="Total 2 9 4 15 2" xfId="34479"/>
    <cellStyle name="Total 2 9 4 15 3" xfId="34480"/>
    <cellStyle name="Total 2 9 4 15 4" xfId="34481"/>
    <cellStyle name="Total 2 9 4 15 5" xfId="34482"/>
    <cellStyle name="Total 2 9 4 16" xfId="34483"/>
    <cellStyle name="Total 2 9 4 16 2" xfId="34484"/>
    <cellStyle name="Total 2 9 4 16 3" xfId="34485"/>
    <cellStyle name="Total 2 9 4 16 4" xfId="34486"/>
    <cellStyle name="Total 2 9 4 16 5" xfId="34487"/>
    <cellStyle name="Total 2 9 4 17" xfId="34488"/>
    <cellStyle name="Total 2 9 4 17 2" xfId="34489"/>
    <cellStyle name="Total 2 9 4 17 3" xfId="34490"/>
    <cellStyle name="Total 2 9 4 17 4" xfId="34491"/>
    <cellStyle name="Total 2 9 4 17 5" xfId="34492"/>
    <cellStyle name="Total 2 9 4 18" xfId="34493"/>
    <cellStyle name="Total 2 9 4 18 2" xfId="34494"/>
    <cellStyle name="Total 2 9 4 18 3" xfId="34495"/>
    <cellStyle name="Total 2 9 4 18 4" xfId="34496"/>
    <cellStyle name="Total 2 9 4 18 5" xfId="34497"/>
    <cellStyle name="Total 2 9 4 19" xfId="34498"/>
    <cellStyle name="Total 2 9 4 2" xfId="3059"/>
    <cellStyle name="Total 2 9 4 2 2" xfId="34499"/>
    <cellStyle name="Total 2 9 4 2 2 2" xfId="50462"/>
    <cellStyle name="Total 2 9 4 2 2 3" xfId="58484"/>
    <cellStyle name="Total 2 9 4 2 3" xfId="34500"/>
    <cellStyle name="Total 2 9 4 2 4" xfId="34501"/>
    <cellStyle name="Total 2 9 4 2 5" xfId="34502"/>
    <cellStyle name="Total 2 9 4 2 6" xfId="36348"/>
    <cellStyle name="Total 2 9 4 2 7" xfId="50461"/>
    <cellStyle name="Total 2 9 4 2 8" xfId="58483"/>
    <cellStyle name="Total 2 9 4 20" xfId="973"/>
    <cellStyle name="Total 2 9 4 21" xfId="35053"/>
    <cellStyle name="Total 2 9 4 22" xfId="40762"/>
    <cellStyle name="Total 2 9 4 23" xfId="41272"/>
    <cellStyle name="Total 2 9 4 3" xfId="3060"/>
    <cellStyle name="Total 2 9 4 3 2" xfId="34503"/>
    <cellStyle name="Total 2 9 4 3 3" xfId="34504"/>
    <cellStyle name="Total 2 9 4 3 4" xfId="34505"/>
    <cellStyle name="Total 2 9 4 3 5" xfId="34506"/>
    <cellStyle name="Total 2 9 4 3 6" xfId="36845"/>
    <cellStyle name="Total 2 9 4 3 7" xfId="50463"/>
    <cellStyle name="Total 2 9 4 3 8" xfId="58485"/>
    <cellStyle name="Total 2 9 4 4" xfId="1533"/>
    <cellStyle name="Total 2 9 4 4 2" xfId="34507"/>
    <cellStyle name="Total 2 9 4 4 3" xfId="34508"/>
    <cellStyle name="Total 2 9 4 4 4" xfId="34509"/>
    <cellStyle name="Total 2 9 4 4 5" xfId="34510"/>
    <cellStyle name="Total 2 9 4 4 6" xfId="37461"/>
    <cellStyle name="Total 2 9 4 4 7" xfId="50464"/>
    <cellStyle name="Total 2 9 4 4 8" xfId="58486"/>
    <cellStyle name="Total 2 9 4 5" xfId="3603"/>
    <cellStyle name="Total 2 9 4 5 2" xfId="34511"/>
    <cellStyle name="Total 2 9 4 5 3" xfId="34512"/>
    <cellStyle name="Total 2 9 4 5 4" xfId="34513"/>
    <cellStyle name="Total 2 9 4 5 5" xfId="34514"/>
    <cellStyle name="Total 2 9 4 5 6" xfId="38077"/>
    <cellStyle name="Total 2 9 4 5 7" xfId="50465"/>
    <cellStyle name="Total 2 9 4 5 8" xfId="58487"/>
    <cellStyle name="Total 2 9 4 6" xfId="3921"/>
    <cellStyle name="Total 2 9 4 6 2" xfId="34515"/>
    <cellStyle name="Total 2 9 4 6 3" xfId="34516"/>
    <cellStyle name="Total 2 9 4 6 4" xfId="34517"/>
    <cellStyle name="Total 2 9 4 6 5" xfId="34518"/>
    <cellStyle name="Total 2 9 4 6 6" xfId="38695"/>
    <cellStyle name="Total 2 9 4 6 7" xfId="50466"/>
    <cellStyle name="Total 2 9 4 6 8" xfId="58488"/>
    <cellStyle name="Total 2 9 4 7" xfId="34519"/>
    <cellStyle name="Total 2 9 4 7 2" xfId="34520"/>
    <cellStyle name="Total 2 9 4 7 3" xfId="34521"/>
    <cellStyle name="Total 2 9 4 7 4" xfId="34522"/>
    <cellStyle name="Total 2 9 4 7 5" xfId="34523"/>
    <cellStyle name="Total 2 9 4 7 6" xfId="39315"/>
    <cellStyle name="Total 2 9 4 7 7" xfId="50467"/>
    <cellStyle name="Total 2 9 4 7 8" xfId="58489"/>
    <cellStyle name="Total 2 9 4 8" xfId="34524"/>
    <cellStyle name="Total 2 9 4 8 2" xfId="34525"/>
    <cellStyle name="Total 2 9 4 8 3" xfId="34526"/>
    <cellStyle name="Total 2 9 4 8 4" xfId="34527"/>
    <cellStyle name="Total 2 9 4 8 5" xfId="34528"/>
    <cellStyle name="Total 2 9 4 8 6" xfId="39931"/>
    <cellStyle name="Total 2 9 4 8 7" xfId="50468"/>
    <cellStyle name="Total 2 9 4 8 8" xfId="58490"/>
    <cellStyle name="Total 2 9 4 9" xfId="34529"/>
    <cellStyle name="Total 2 9 4 9 2" xfId="34530"/>
    <cellStyle name="Total 2 9 4 9 3" xfId="34531"/>
    <cellStyle name="Total 2 9 4 9 4" xfId="34532"/>
    <cellStyle name="Total 2 9 4 9 5" xfId="34533"/>
    <cellStyle name="Total 2 9 4 9 6" xfId="40546"/>
    <cellStyle name="Total 2 9 4 9 7" xfId="50469"/>
    <cellStyle name="Total 2 9 4 9 8" xfId="58491"/>
    <cellStyle name="Total 2 9 5" xfId="3061"/>
    <cellStyle name="Total 2 9 5 10" xfId="34631"/>
    <cellStyle name="Total 2 9 5 10 2" xfId="50471"/>
    <cellStyle name="Total 2 9 5 10 3" xfId="58493"/>
    <cellStyle name="Total 2 9 5 11" xfId="41058"/>
    <cellStyle name="Total 2 9 5 12" xfId="50470"/>
    <cellStyle name="Total 2 9 5 13" xfId="58492"/>
    <cellStyle name="Total 2 9 5 2" xfId="3062"/>
    <cellStyle name="Total 2 9 5 2 2" xfId="36135"/>
    <cellStyle name="Total 2 9 5 2 3" xfId="50472"/>
    <cellStyle name="Total 2 9 5 2 4" xfId="58494"/>
    <cellStyle name="Total 2 9 5 3" xfId="3063"/>
    <cellStyle name="Total 2 9 5 3 2" xfId="36634"/>
    <cellStyle name="Total 2 9 5 3 3" xfId="50473"/>
    <cellStyle name="Total 2 9 5 3 4" xfId="58495"/>
    <cellStyle name="Total 2 9 5 4" xfId="34534"/>
    <cellStyle name="Total 2 9 5 4 2" xfId="37250"/>
    <cellStyle name="Total 2 9 5 4 3" xfId="50474"/>
    <cellStyle name="Total 2 9 5 4 4" xfId="58496"/>
    <cellStyle name="Total 2 9 5 5" xfId="34535"/>
    <cellStyle name="Total 2 9 5 5 2" xfId="37866"/>
    <cellStyle name="Total 2 9 5 5 3" xfId="50475"/>
    <cellStyle name="Total 2 9 5 5 4" xfId="58497"/>
    <cellStyle name="Total 2 9 5 6" xfId="38481"/>
    <cellStyle name="Total 2 9 5 6 2" xfId="50476"/>
    <cellStyle name="Total 2 9 5 6 3" xfId="58498"/>
    <cellStyle name="Total 2 9 5 7" xfId="39101"/>
    <cellStyle name="Total 2 9 5 7 2" xfId="50477"/>
    <cellStyle name="Total 2 9 5 7 3" xfId="58499"/>
    <cellStyle name="Total 2 9 5 8" xfId="39717"/>
    <cellStyle name="Total 2 9 5 8 2" xfId="50478"/>
    <cellStyle name="Total 2 9 5 8 3" xfId="58500"/>
    <cellStyle name="Total 2 9 5 9" xfId="40332"/>
    <cellStyle name="Total 2 9 5 9 2" xfId="50479"/>
    <cellStyle name="Total 2 9 5 9 3" xfId="58501"/>
    <cellStyle name="Total 2 9 6" xfId="1528"/>
    <cellStyle name="Total 2 9 6 10" xfId="50480"/>
    <cellStyle name="Total 2 9 6 11" xfId="58502"/>
    <cellStyle name="Total 2 9 6 2" xfId="34536"/>
    <cellStyle name="Total 2 9 6 2 2" xfId="50481"/>
    <cellStyle name="Total 2 9 6 2 3" xfId="58503"/>
    <cellStyle name="Total 2 9 6 3" xfId="34537"/>
    <cellStyle name="Total 2 9 6 3 2" xfId="50482"/>
    <cellStyle name="Total 2 9 6 3 3" xfId="58504"/>
    <cellStyle name="Total 2 9 6 4" xfId="34538"/>
    <cellStyle name="Total 2 9 6 4 2" xfId="50483"/>
    <cellStyle name="Total 2 9 6 4 3" xfId="58505"/>
    <cellStyle name="Total 2 9 6 5" xfId="34539"/>
    <cellStyle name="Total 2 9 6 5 2" xfId="50484"/>
    <cellStyle name="Total 2 9 6 5 3" xfId="58506"/>
    <cellStyle name="Total 2 9 6 6" xfId="35453"/>
    <cellStyle name="Total 2 9 6 6 2" xfId="50485"/>
    <cellStyle name="Total 2 9 6 6 3" xfId="58507"/>
    <cellStyle name="Total 2 9 6 7" xfId="50486"/>
    <cellStyle name="Total 2 9 6 7 2" xfId="58508"/>
    <cellStyle name="Total 2 9 6 8" xfId="50487"/>
    <cellStyle name="Total 2 9 6 8 2" xfId="58509"/>
    <cellStyle name="Total 2 9 6 9" xfId="50488"/>
    <cellStyle name="Total 2 9 6 9 2" xfId="58510"/>
    <cellStyle name="Total 2 9 7" xfId="3598"/>
    <cellStyle name="Total 2 9 7 2" xfId="34540"/>
    <cellStyle name="Total 2 9 7 3" xfId="34541"/>
    <cellStyle name="Total 2 9 7 4" xfId="34542"/>
    <cellStyle name="Total 2 9 7 5" xfId="34543"/>
    <cellStyle name="Total 2 9 7 6" xfId="35985"/>
    <cellStyle name="Total 2 9 7 7" xfId="50489"/>
    <cellStyle name="Total 2 9 7 8" xfId="58511"/>
    <cellStyle name="Total 2 9 8" xfId="3916"/>
    <cellStyle name="Total 2 9 8 2" xfId="34544"/>
    <cellStyle name="Total 2 9 8 3" xfId="34545"/>
    <cellStyle name="Total 2 9 8 4" xfId="34546"/>
    <cellStyle name="Total 2 9 8 5" xfId="34547"/>
    <cellStyle name="Total 2 9 8 6" xfId="35794"/>
    <cellStyle name="Total 2 9 8 7" xfId="50490"/>
    <cellStyle name="Total 2 9 8 8" xfId="58512"/>
    <cellStyle name="Total 2 9 9" xfId="34548"/>
    <cellStyle name="Total 2 9 9 2" xfId="34549"/>
    <cellStyle name="Total 2 9 9 3" xfId="34550"/>
    <cellStyle name="Total 2 9 9 4" xfId="34551"/>
    <cellStyle name="Total 2 9 9 5" xfId="34552"/>
    <cellStyle name="Total 2 9 9 6" xfId="37030"/>
    <cellStyle name="Total 2 9 9 7" xfId="50491"/>
    <cellStyle name="Total 2 9 9 8" xfId="58513"/>
    <cellStyle name="Total 3" xfId="50492"/>
    <cellStyle name="Warning Text 2" xfId="232"/>
    <cellStyle name="Warning Text 2 2" xfId="35642"/>
    <cellStyle name="Warning Text 2 3" xfId="35374"/>
    <cellStyle name="Warning Text 3" xfId="50493"/>
    <cellStyle name="year" xfId="233"/>
    <cellStyle name="year 2" xfId="264"/>
    <cellStyle name="year 2 2" xfId="463"/>
    <cellStyle name="year 2 2 2" xfId="3064"/>
    <cellStyle name="year 2 3" xfId="3065"/>
    <cellStyle name="year 2 4" xfId="3066"/>
    <cellStyle name="year 3" xfId="464"/>
    <cellStyle name="year 3 2" xfId="3067"/>
    <cellStyle name="year 4" xfId="3068"/>
    <cellStyle name="year 5" xfId="3069"/>
  </cellStyles>
  <dxfs count="794">
    <dxf>
      <numFmt numFmtId="187" formatCode="&quot;$&quot;#,##0"/>
    </dxf>
    <dxf>
      <numFmt numFmtId="187" formatCode="&quot;$&quot;#,##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font>
      <numFmt numFmtId="183" formatCode="_-&quot;$&quot;* #,##0_-;\-&quot;$&quot;* #,##0_-;_-&quot;$&quot;* &quot;-&quot;??_-;_-@_-"/>
    </dxf>
    <dxf>
      <font>
        <b val="0"/>
      </font>
      <numFmt numFmtId="183" formatCode="_-&quot;$&quot;* #,##0_-;\-&quot;$&quot;* #,##0_-;_-&quot;$&quot;* &quot;-&quot;??_-;_-@_-"/>
    </dxf>
    <dxf>
      <font>
        <b val="0"/>
      </font>
      <numFmt numFmtId="183" formatCode="_-&quot;$&quot;* #,##0_-;\-&quot;$&quot;* #,##0_-;_-&quot;$&quot;* &quot;-&quot;??_-;_-@_-"/>
    </dxf>
    <dxf>
      <font>
        <b val="0"/>
      </font>
      <numFmt numFmtId="183" formatCode="_-&quot;$&quot;* #,##0_-;\-&quot;$&quot;* #,##0_-;_-&quot;$&quot;* &quot;-&quot;??_-;_-@_-"/>
    </dxf>
    <dxf>
      <font>
        <b val="0"/>
      </font>
      <numFmt numFmtId="183" formatCode="_-&quot;$&quot;* #,##0_-;\-&quot;$&quot;* #,##0_-;_-&quot;$&quot;* &quot;-&quot;??_-;_-@_-"/>
    </dxf>
    <dxf>
      <font>
        <b val="0"/>
      </font>
      <numFmt numFmtId="183" formatCode="_-&quot;$&quot;* #,##0_-;\-&quot;$&quot;* #,##0_-;_-&quot;$&quot;* &quot;-&quot;??_-;_-@_-"/>
    </dxf>
    <dxf>
      <font>
        <b val="0"/>
      </font>
    </dxf>
    <dxf>
      <font>
        <b val="0"/>
      </font>
    </dxf>
    <dxf>
      <font>
        <b val="0"/>
      </font>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_-* #,##0_-;\-* #,##0_-;_-* &quot;-&quot;??_-;_-@_-"/>
      <fill>
        <patternFill patternType="none">
          <fgColor indexed="64"/>
          <bgColor auto="1"/>
        </patternFill>
      </fill>
      <alignment horizontal="left" vertical="top" textRotation="0" wrapText="1" indent="0" justifyLastLine="0" shrinkToFit="0" readingOrder="0"/>
    </dxf>
    <dxf>
      <fill>
        <patternFill patternType="none">
          <fgColor indexed="64"/>
          <bgColor indexed="65"/>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border diagonalUp="0" diagonalDown="0" outline="0">
        <left style="thin">
          <color rgb="FFFFFFFF"/>
        </left>
        <right style="thin">
          <color rgb="FFFFFFFF"/>
        </right>
        <top/>
        <bottom/>
      </border>
    </dxf>
    <dxf>
      <font>
        <b val="0"/>
      </font>
      <numFmt numFmtId="182" formatCode="_-* #,##0.0_-;\-* #,##0.0_-;_-* &quot;-&quot;??_-;_-@_-"/>
    </dxf>
    <dxf>
      <font>
        <b val="0"/>
      </font>
    </dxf>
    <dxf>
      <font>
        <b val="0"/>
        <i val="0"/>
        <strike val="0"/>
        <condense val="0"/>
        <extend val="0"/>
        <outline val="0"/>
        <shadow val="0"/>
        <u val="none"/>
        <vertAlign val="baseline"/>
        <sz val="11"/>
        <color theme="1"/>
        <name val="Calibri"/>
        <scheme val="minor"/>
      </font>
      <numFmt numFmtId="183" formatCode="_-&quot;$&quot;* #,##0_-;\-&quot;$&quot;* #,##0_-;_-&quot;$&quot;* &quot;-&quot;??_-;_-@_-"/>
    </dxf>
    <dxf>
      <font>
        <b val="0"/>
      </font>
      <numFmt numFmtId="183" formatCode="_-&quot;$&quot;* #,##0_-;\-&quot;$&quot;* #,##0_-;_-&quot;$&quot;* &quot;-&quot;??_-;_-@_-"/>
    </dxf>
    <dxf>
      <font>
        <b val="0"/>
      </font>
      <numFmt numFmtId="183" formatCode="_-&quot;$&quot;* #,##0_-;\-&quot;$&quot;* #,##0_-;_-&quot;$&quot;* &quot;-&quot;??_-;_-@_-"/>
    </dxf>
    <dxf>
      <font>
        <b val="0"/>
      </font>
      <numFmt numFmtId="183" formatCode="_-&quot;$&quot;* #,##0_-;\-&quot;$&quot;* #,##0_-;_-&quot;$&quot;* &quot;-&quot;??_-;_-@_-"/>
    </dxf>
    <dxf>
      <font>
        <b val="0"/>
      </font>
      <numFmt numFmtId="183" formatCode="_-&quot;$&quot;* #,##0_-;\-&quot;$&quot;* #,##0_-;_-&quot;$&quot;* &quot;-&quot;??_-;_-@_-"/>
    </dxf>
    <dxf>
      <font>
        <b val="0"/>
      </font>
      <numFmt numFmtId="183" formatCode="_-&quot;$&quot;* #,##0_-;\-&quot;$&quot;* #,##0_-;_-&quot;$&quot;* &quot;-&quot;??_-;_-@_-"/>
    </dxf>
    <dxf>
      <font>
        <b val="0"/>
      </font>
    </dxf>
    <dxf>
      <font>
        <b val="0"/>
      </font>
    </dxf>
    <dxf>
      <font>
        <b val="0"/>
      </font>
    </dxf>
    <dxf>
      <font>
        <b/>
      </font>
      <numFmt numFmtId="182" formatCode="_-* #,##0.0_-;\-* #,##0.0_-;_-* &quot;-&quot;??_-;_-@_-"/>
    </dxf>
    <dxf>
      <font>
        <b val="0"/>
      </font>
      <numFmt numFmtId="182" formatCode="_-* #,##0.0_-;\-* #,##0.0_-;_-* &quot;-&quot;??_-;_-@_-"/>
    </dxf>
    <dxf>
      <font>
        <b val="0"/>
      </font>
      <numFmt numFmtId="182" formatCode="_-* #,##0.0_-;\-* #,##0.0_-;_-* &quot;-&quot;??_-;_-@_-"/>
    </dxf>
    <dxf>
      <font>
        <b val="0"/>
      </font>
      <numFmt numFmtId="182" formatCode="_-* #,##0.0_-;\-* #,##0.0_-;_-* &quot;-&quot;??_-;_-@_-"/>
    </dxf>
    <dxf>
      <font>
        <b val="0"/>
      </font>
      <numFmt numFmtId="182" formatCode="_-* #,##0.0_-;\-* #,##0.0_-;_-* &quot;-&quot;??_-;_-@_-"/>
    </dxf>
    <dxf>
      <font>
        <b val="0"/>
      </font>
      <numFmt numFmtId="182" formatCode="_-* #,##0.0_-;\-* #,##0.0_-;_-* &quot;-&quot;??_-;_-@_-"/>
    </dxf>
    <dxf>
      <font>
        <b val="0"/>
      </font>
    </dxf>
    <dxf>
      <font>
        <b val="0"/>
      </font>
    </dxf>
    <dxf>
      <alignment textRotation="0" wrapText="0" indent="0" justifyLastLine="0" shrinkToFit="0" readingOrder="0"/>
    </dxf>
    <dxf>
      <font>
        <b val="0"/>
        <i val="0"/>
        <strike val="0"/>
        <condense val="0"/>
        <extend val="0"/>
        <outline val="0"/>
        <shadow val="0"/>
        <u val="none"/>
        <vertAlign val="baseline"/>
        <sz val="11"/>
        <color rgb="FF000000"/>
        <name val="Calibri"/>
        <scheme val="none"/>
      </font>
      <numFmt numFmtId="187" formatCode="&quot;$&quot;#,##0"/>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7" formatCode="&quot;$&quot;#,##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1"/>
        <color rgb="FF000000"/>
        <name val="Calibri"/>
        <scheme val="none"/>
      </font>
      <numFmt numFmtId="32" formatCode="_-&quot;$&quot;* #,##0_-;\-&quot;$&quot;* #,##0_-;_-&quot;$&quot;* &quot;-&quot;_-;_-@_-"/>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32" formatCode="_-&quot;$&quot;* #,##0_-;\-&quot;$&quot;* #,##0_-;_-&quot;$&quot;*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1"/>
        <color rgb="FF000000"/>
        <name val="Calibri"/>
        <scheme val="none"/>
      </font>
      <numFmt numFmtId="32" formatCode="_-&quot;$&quot;* #,##0_-;\-&quot;$&quot;* #,##0_-;_-&quot;$&quot;* &quot;-&quot;_-;_-@_-"/>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32" formatCode="_-&quot;$&quot;* #,##0_-;\-&quot;$&quot;* #,##0_-;_-&quot;$&quot;*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1"/>
        <color rgb="FF000000"/>
        <name val="Calibri"/>
        <scheme val="none"/>
      </font>
      <numFmt numFmtId="32" formatCode="_-&quot;$&quot;* #,##0_-;\-&quot;$&quot;* #,##0_-;_-&quot;$&quot;* &quot;-&quot;_-;_-@_-"/>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32" formatCode="_-&quot;$&quot;* #,##0_-;\-&quot;$&quot;* #,##0_-;_-&quot;$&quot;*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1"/>
        <color rgb="FF000000"/>
        <name val="Calibri"/>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1"/>
        <color rgb="FF000000"/>
        <name val="Calibri"/>
        <scheme val="none"/>
      </font>
      <numFmt numFmtId="32" formatCode="_-&quot;$&quot;* #,##0_-;\-&quot;$&quot;* #,##0_-;_-&quot;$&quot;* &quot;-&quot;_-;_-@_-"/>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32" formatCode="_-&quot;$&quot;* #,##0_-;\-&quot;$&quot;* #,##0_-;_-&quot;$&quot;*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1"/>
        <color rgb="FF000000"/>
        <name val="Calibri"/>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numFmt numFmtId="183" formatCode="_-&quot;$&quot;* #,##0_-;\-&quot;$&quot;* #,##0_-;_-&quot;$&quot;* &quot;-&quot;??_-;_-@_-"/>
      <alignment textRotation="0" wrapText="1"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187" formatCode="&quot;$&quot;#,##0"/>
    </dxf>
    <dxf>
      <font>
        <b val="0"/>
        <i val="0"/>
        <strike val="0"/>
        <condense val="0"/>
        <extend val="0"/>
        <outline val="0"/>
        <shadow val="0"/>
        <u val="none"/>
        <vertAlign val="baseline"/>
        <sz val="11"/>
        <color rgb="FF000000"/>
        <name val="Calibri"/>
        <scheme val="none"/>
      </font>
      <numFmt numFmtId="188" formatCode="&quot;$&quot;#,##0.00"/>
      <alignment horizontal="center" vertical="center" textRotation="0" wrapText="0" indent="0" justifyLastLine="0" shrinkToFit="0" readingOrder="0"/>
    </dxf>
    <dxf>
      <numFmt numFmtId="187" formatCode="&quot;$&quot;#,##0"/>
    </dxf>
    <dxf>
      <font>
        <b val="0"/>
        <i val="0"/>
        <strike val="0"/>
        <condense val="0"/>
        <extend val="0"/>
        <outline val="0"/>
        <shadow val="0"/>
        <u val="none"/>
        <vertAlign val="baseline"/>
        <sz val="11"/>
        <color theme="1"/>
        <name val="Calibri"/>
        <scheme val="minor"/>
      </font>
      <numFmt numFmtId="187" formatCode="&quot;$&quot;#,##0"/>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numFmt numFmtId="164" formatCode="_-* #,##0_-;\-* #,##0_-;_-* &quot;-&quot;??_-;_-@_-"/>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dxf>
    <dxf>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numFmt numFmtId="164" formatCode="_-* #,##0_-;\-* #,##0_-;_-* &quot;-&quot;??_-;_-@_-"/>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dxf>
    <dxf>
      <alignment textRotation="0" wrapText="1" indent="0" justifyLastLine="0" shrinkToFit="0" readingOrder="0"/>
    </dxf>
    <dxf>
      <numFmt numFmtId="33" formatCode="_-* #,##0_-;\-* #,##0_-;_-* &quot;-&quot;_-;_-@_-"/>
      <alignment horizontal="left" vertical="center" textRotation="0" wrapText="1" indent="0" justifyLastLine="0" shrinkToFit="0" readingOrder="0"/>
    </dxf>
    <dxf>
      <numFmt numFmtId="33" formatCode="_-* #,##0_-;\-* #,##0_-;_-* &quot;-&quot;_-;_-@_-"/>
      <alignment horizontal="left" vertical="center" textRotation="0" wrapText="1" indent="0" justifyLastLine="0" shrinkToFit="0" readingOrder="0"/>
    </dxf>
    <dxf>
      <numFmt numFmtId="33" formatCode="_-* #,##0_-;\-* #,##0_-;_-* &quot;-&quot;_-;_-@_-"/>
      <alignment horizontal="left" vertical="center" textRotation="0" wrapText="1" indent="0" justifyLastLine="0" shrinkToFit="0" readingOrder="0"/>
    </dxf>
    <dxf>
      <numFmt numFmtId="33" formatCode="_-* #,##0_-;\-* #,##0_-;_-* &quot;-&quot;_-;_-@_-"/>
      <alignment horizontal="left" vertical="center" textRotation="0" wrapText="1" indent="0" justifyLastLine="0" shrinkToFit="0" readingOrder="0"/>
    </dxf>
    <dxf>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numFmt numFmtId="33" formatCode="_-* #,##0_-;\-* #,##0_-;_-* &quot;-&quot;_-;_-@_-"/>
      <alignment horizontal="left" vertical="center" textRotation="0" wrapText="1" indent="0" justifyLastLine="0" shrinkToFit="0" readingOrder="0"/>
    </dxf>
    <dxf>
      <numFmt numFmtId="33" formatCode="_-* #,##0_-;\-* #,##0_-;_-* &quot;-&quot;_-;_-@_-"/>
      <alignment horizontal="left" vertical="center" textRotation="0" wrapText="1" indent="0" justifyLastLine="0" shrinkToFit="0" readingOrder="0"/>
    </dxf>
    <dxf>
      <numFmt numFmtId="33" formatCode="_-* #,##0_-;\-* #,##0_-;_-* &quot;-&quot;_-;_-@_-"/>
      <alignment horizontal="left" vertical="center" textRotation="0" wrapText="1" indent="0" justifyLastLine="0" shrinkToFit="0" readingOrder="0"/>
    </dxf>
    <dxf>
      <numFmt numFmtId="33" formatCode="_-* #,##0_-;\-* #,##0_-;_-* &quot;-&quot;_-;_-@_-"/>
      <alignment horizontal="left" vertical="center"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3"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numFmt numFmtId="183" formatCode="_-&quot;$&quot;* #,##0_-;\-&quot;$&quot;* #,##0_-;_-&quot;$&quot;* &quot;-&quot;??_-;_-@_-"/>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2" formatCode="0.00"/>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numFmt numFmtId="183" formatCode="_-&quot;$&quot;* #,##0_-;\-&quot;$&quot;* #,##0_-;_-&quot;$&quot;* &quot;-&quot;??_-;_-@_-"/>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3" formatCode="_-&quot;$&quot;* #,##0_-;\-&quot;$&quot;* #,##0_-;_-&quot;$&quot;*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164" formatCode="_-* #,##0_-;\-* #,##0_-;_-*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textRotation="0" wrapText="1" indent="0" justifyLastLine="0" shrinkToFit="0" readingOrder="0"/>
    </dxf>
    <dxf>
      <numFmt numFmtId="164" formatCode="_-* #,##0_-;\-* #,##0_-;_-* &quot;-&quot;??_-;_-@_-"/>
      <alignment textRotation="0" wrapText="1" indent="0" justifyLastLine="0" shrinkToFit="0" readingOrder="0"/>
    </dxf>
    <dxf>
      <font>
        <b val="0"/>
        <i val="0"/>
        <strike val="0"/>
        <condense val="0"/>
        <extend val="0"/>
        <outline val="0"/>
        <shadow val="0"/>
        <u val="none"/>
        <vertAlign val="baseline"/>
        <sz val="8"/>
        <color theme="1"/>
        <name val="Calibri"/>
        <scheme val="minor"/>
      </font>
      <numFmt numFmtId="0" formatCode="General"/>
      <alignment horizontal="left" vertical="center" textRotation="0" wrapText="0"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8"/>
        <color theme="1"/>
        <name val="Calibri"/>
        <scheme val="minor"/>
      </font>
      <numFmt numFmtId="164" formatCode="_-* #,##0_-;\-* #,##0_-;_-* &quot;-&quot;??_-;_-@_-"/>
      <alignment horizontal="left" vertical="center" textRotation="0" wrapText="0"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center" vertical="center" textRotation="0" wrapText="1"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center" vertical="center" textRotation="0" wrapText="1" indent="0" justifyLastLine="0" shrinkToFit="0" readingOrder="0"/>
      <border diagonalUp="0" diagonalDown="0" outline="0">
        <left/>
        <right style="thin">
          <color theme="9"/>
        </right>
        <top style="thin">
          <color theme="9"/>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center" vertical="center" textRotation="0" wrapText="1" indent="0" justifyLastLine="0" shrinkToFit="0" readingOrder="0"/>
      <border diagonalUp="0" diagonalDown="0" outline="0">
        <left/>
        <right style="thin">
          <color theme="9"/>
        </right>
        <top style="thin">
          <color theme="9"/>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center" vertical="center" textRotation="0" wrapText="1" indent="0" justifyLastLine="0" shrinkToFit="0" readingOrder="0"/>
      <border diagonalUp="0" diagonalDown="0" outline="0">
        <left/>
        <right style="thin">
          <color theme="9"/>
        </right>
        <top style="thin">
          <color theme="9"/>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center" vertical="center" textRotation="0" wrapText="1" indent="0" justifyLastLine="0" shrinkToFit="0" readingOrder="0"/>
      <border diagonalUp="0" diagonalDown="0" outline="0">
        <left/>
        <right style="thin">
          <color theme="9"/>
        </right>
        <top style="thin">
          <color theme="9"/>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center" vertical="center" textRotation="0" wrapText="1" indent="0" justifyLastLine="0" shrinkToFit="0" readingOrder="0"/>
      <border diagonalUp="0" diagonalDown="0" outline="0">
        <left/>
        <right style="thin">
          <color theme="9"/>
        </right>
        <top style="thin">
          <color theme="9"/>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center" vertical="center" textRotation="0" wrapText="1" indent="0" justifyLastLine="0" shrinkToFit="0" readingOrder="0"/>
      <border diagonalUp="0" diagonalDown="0" outline="0">
        <left style="thin">
          <color theme="9"/>
        </left>
        <right style="thin">
          <color theme="9"/>
        </right>
        <top style="thin">
          <color theme="9"/>
        </top>
        <bottom/>
      </border>
    </dxf>
    <dxf>
      <font>
        <b/>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right style="thin">
          <color theme="9"/>
        </right>
        <top style="thin">
          <color theme="9"/>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9"/>
          <bgColor theme="9"/>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0" formatCode="General"/>
      <alignment horizontal="left" vertical="center" textRotation="0" wrapText="0"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8"/>
        <color theme="1"/>
        <name val="Calibri"/>
        <scheme val="minor"/>
      </font>
      <numFmt numFmtId="164" formatCode="_-* #,##0_-;\-* #,##0_-;_-* &quot;-&quot;??_-;_-@_-"/>
      <alignment horizontal="left" vertical="center" textRotation="0" wrapText="0"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style="thin">
          <color theme="9"/>
        </left>
        <right/>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left style="thin">
          <color theme="9"/>
        </left>
        <right/>
        <top style="thin">
          <color theme="9"/>
        </top>
        <bottom/>
      </border>
    </dxf>
    <dxf>
      <font>
        <b/>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9"/>
          <bgColor theme="9"/>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182" formatCode="_-* #,##0.0_-;\-* #,##0.0_-;_-*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82" formatCode="_-* #,##0.0_-;\-* #,##0.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2" formatCode="_-* #,##0.0_-;\-* #,##0.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2" formatCode="_-* #,##0.0_-;\-* #,##0.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2" formatCode="_-* #,##0.0_-;\-* #,##0.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2" formatCode="_-* #,##0.0_-;\-* #,##0.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2" formatCode="_-* #,##0.0_-;\-* #,##0.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2" formatCode="_-* #,##0.0_-;\-* #,##0.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2" formatCode="_-* #,##0.0_-;\-* #,##0.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2" formatCode="_-* #,##0.0_-;\-* #,##0.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82" formatCode="_-* #,##0.0_-;\-* #,##0.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border diagonalUp="0" diagonalDown="0">
        <left style="thin">
          <color theme="9"/>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border diagonalUp="0" diagonalDown="0">
        <left style="thin">
          <color theme="9"/>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border diagonalUp="0" diagonalDown="0">
        <left style="thin">
          <color theme="9"/>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border diagonalUp="0" diagonalDown="0">
        <left style="thin">
          <color theme="9"/>
        </left>
        <right/>
        <top style="thin">
          <color theme="9"/>
        </top>
        <bottom/>
      </border>
    </dxf>
    <dxf>
      <font>
        <b val="0"/>
        <i val="0"/>
        <strike val="0"/>
        <condense val="0"/>
        <extend val="0"/>
        <outline val="0"/>
        <shadow val="0"/>
        <u val="none"/>
        <vertAlign val="baseline"/>
        <sz val="8"/>
        <color theme="1"/>
        <name val="Calibri"/>
        <scheme val="minor"/>
      </font>
      <numFmt numFmtId="164" formatCode="_-* #,##0_-;\-* #,##0_-;_-* &quot;-&quot;??_-;_-@_-"/>
      <alignment horizontal="left" vertical="center" textRotation="0" wrapText="0" indent="0" justifyLastLine="0" shrinkToFit="0" readingOrder="0"/>
      <border diagonalUp="0" diagonalDown="0" outline="0">
        <left style="thin">
          <color theme="9"/>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alignment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border diagonalUp="0" diagonalDown="0" outline="0">
        <left style="thin">
          <color theme="9"/>
        </left>
        <right/>
        <top style="thin">
          <color theme="9"/>
        </top>
        <bottom/>
      </border>
    </dxf>
    <dxf>
      <font>
        <b/>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top style="thin">
          <color theme="9"/>
        </top>
        <bottom/>
        <vertical/>
        <horizontal/>
      </border>
    </dxf>
    <dxf>
      <border outline="0">
        <left style="thin">
          <color theme="9"/>
        </left>
        <top style="thin">
          <color theme="9"/>
        </top>
        <bottom style="thin">
          <color theme="9"/>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9"/>
          <bgColor theme="9"/>
        </patternFill>
      </fill>
      <alignment horizontal="left" vertical="center" textRotation="0" wrapText="1" indent="0" justifyLastLine="0" shrinkToFit="0" readingOrder="0"/>
    </dxf>
    <dxf>
      <font>
        <b/>
        <strike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dxf>
    <dxf>
      <font>
        <strike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dxf>
    <dxf>
      <font>
        <strike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dxf>
    <dxf>
      <font>
        <strike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dxf>
    <dxf>
      <font>
        <b val="0"/>
        <strike val="0"/>
        <outline val="0"/>
        <shadow val="0"/>
        <u val="none"/>
        <vertAlign val="baseline"/>
        <sz val="8"/>
        <color theme="1"/>
        <name val="Calibri"/>
        <scheme val="minor"/>
      </font>
      <numFmt numFmtId="164" formatCode="_-* #,##0_-;\-* #,##0_-;_-*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strike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strike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strike val="0"/>
        <outline val="0"/>
        <shadow val="0"/>
        <u val="none"/>
        <vertAlign val="baseline"/>
        <sz val="11"/>
        <color theme="1"/>
        <name val="Calibri"/>
        <scheme val="minor"/>
      </font>
      <numFmt numFmtId="164" formatCode="_-* #,##0_-;\-* #,##0_-;_-* &quot;-&quot;??_-;_-@_-"/>
      <alignment horizontal="left" vertical="center" textRotation="0" wrapText="1" indent="0" justifyLastLine="0" shrinkToFit="0" readingOrder="0"/>
    </dxf>
    <dxf>
      <font>
        <strike val="0"/>
        <outline val="0"/>
        <shadow val="0"/>
        <u val="none"/>
        <vertAlign val="baseline"/>
        <sz val="11"/>
        <color theme="1"/>
        <name val="Calibri"/>
        <scheme val="minor"/>
      </font>
      <alignment horizontal="left" vertical="center" textRotation="0" wrapText="0" indent="0" justifyLastLine="0" shrinkToFit="0" readingOrder="0"/>
    </dxf>
    <dxf>
      <font>
        <strike val="0"/>
        <outline val="0"/>
        <shadow val="0"/>
        <u val="none"/>
        <vertAlign val="baseline"/>
        <sz val="11"/>
        <color theme="1"/>
        <name val="Calibri"/>
        <scheme val="minor"/>
      </font>
      <alignment vertical="center" textRotation="0" wrapText="0" indent="0" justifyLastLine="0" shrinkToFit="0" readingOrder="0"/>
    </dxf>
    <dxf>
      <font>
        <strike val="0"/>
        <outline val="0"/>
        <shadow val="0"/>
        <u val="none"/>
        <vertAlign val="baseline"/>
        <sz val="11"/>
        <color theme="1"/>
        <name val="Calibri"/>
        <scheme val="minor"/>
      </font>
      <alignment vertical="center" textRotation="0" wrapText="0" indent="0" justifyLastLine="0" shrinkToFit="0" readingOrder="0"/>
    </dxf>
    <dxf>
      <fill>
        <patternFill>
          <bgColor theme="8" tint="0.59996337778862885"/>
        </patternFill>
      </fill>
    </dxf>
    <dxf>
      <fill>
        <patternFill>
          <bgColor theme="8" tint="0.59996337778862885"/>
        </patternFill>
      </fill>
    </dxf>
  </dxfs>
  <tableStyles count="0" defaultTableStyle="TableStyleLight14" defaultPivotStyle="PivotStyleLight16"/>
  <colors>
    <mruColors>
      <color rgb="FF996600"/>
      <color rgb="FFFFEFEF"/>
      <color rgb="FFFF5050"/>
      <color rgb="FFEAF46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title>
      <c:tx>
        <c:strRef>
          <c:f>'Asset Comparison'!$A$79</c:f>
          <c:strCache>
            <c:ptCount val="1"/>
            <c:pt idx="0">
              <c:v>Pole Material Comparison</c:v>
            </c:pt>
          </c:strCache>
        </c:strRef>
      </c:tx>
      <c:overlay val="0"/>
      <c:txPr>
        <a:bodyPr/>
        <a:lstStyle/>
        <a:p>
          <a:pPr>
            <a:defRPr sz="1400"/>
          </a:pPr>
          <a:endParaRPr lang="en-US"/>
        </a:p>
      </c:txPr>
    </c:title>
    <c:autoTitleDeleted val="0"/>
    <c:plotArea>
      <c:layout/>
      <c:barChart>
        <c:barDir val="col"/>
        <c:grouping val="percentStacked"/>
        <c:varyColors val="0"/>
        <c:ser>
          <c:idx val="2"/>
          <c:order val="0"/>
          <c:tx>
            <c:strRef>
              <c:f>'Asset Comparison'!$A$81</c:f>
              <c:strCache>
                <c:ptCount val="1"/>
                <c:pt idx="0">
                  <c:v>Wood</c:v>
                </c:pt>
              </c:strCache>
            </c:strRef>
          </c:tx>
          <c:spPr>
            <a:solidFill>
              <a:srgbClr val="996600"/>
            </a:solidFill>
          </c:spPr>
          <c:invertIfNegative val="0"/>
          <c:cat>
            <c:strRef>
              <c:f>('Asset Comparison'!$E$80:$F$80,'Asset Comparison'!$H$80:$K$80)</c:f>
              <c:strCache>
                <c:ptCount val="6"/>
                <c:pt idx="0">
                  <c:v>Powercor</c:v>
                </c:pt>
                <c:pt idx="1">
                  <c:v>AusNet</c:v>
                </c:pt>
                <c:pt idx="2">
                  <c:v>Essential</c:v>
                </c:pt>
                <c:pt idx="3">
                  <c:v>SA Power</c:v>
                </c:pt>
                <c:pt idx="4">
                  <c:v>AusNet + Powercor</c:v>
                </c:pt>
                <c:pt idx="5">
                  <c:v>SA Power + Powercor</c:v>
                </c:pt>
              </c:strCache>
            </c:strRef>
          </c:cat>
          <c:val>
            <c:numRef>
              <c:f>('Asset Comparison'!$E$81:$F$81,'Asset Comparison'!$H$81:$K$81)</c:f>
              <c:numCache>
                <c:formatCode>0%</c:formatCode>
                <c:ptCount val="6"/>
                <c:pt idx="0">
                  <c:v>0.73139243926129383</c:v>
                </c:pt>
                <c:pt idx="1">
                  <c:v>0.51168653490628069</c:v>
                </c:pt>
                <c:pt idx="2">
                  <c:v>0.88891182614174002</c:v>
                </c:pt>
                <c:pt idx="3">
                  <c:v>0</c:v>
                </c:pt>
                <c:pt idx="4">
                  <c:v>0.63889047513823127</c:v>
                </c:pt>
                <c:pt idx="5">
                  <c:v>0.28282170846005111</c:v>
                </c:pt>
              </c:numCache>
            </c:numRef>
          </c:val>
        </c:ser>
        <c:ser>
          <c:idx val="4"/>
          <c:order val="1"/>
          <c:tx>
            <c:strRef>
              <c:f>'Asset Comparison'!$A$82</c:f>
              <c:strCache>
                <c:ptCount val="1"/>
                <c:pt idx="0">
                  <c:v>Concrete</c:v>
                </c:pt>
              </c:strCache>
            </c:strRef>
          </c:tx>
          <c:spPr>
            <a:solidFill>
              <a:sysClr val="window" lastClr="FFFFFF">
                <a:lumMod val="65000"/>
              </a:sysClr>
            </a:solidFill>
          </c:spPr>
          <c:invertIfNegative val="0"/>
          <c:cat>
            <c:strRef>
              <c:f>('Asset Comparison'!$E$80:$F$80,'Asset Comparison'!$H$80:$K$80)</c:f>
              <c:strCache>
                <c:ptCount val="6"/>
                <c:pt idx="0">
                  <c:v>Powercor</c:v>
                </c:pt>
                <c:pt idx="1">
                  <c:v>AusNet</c:v>
                </c:pt>
                <c:pt idx="2">
                  <c:v>Essential</c:v>
                </c:pt>
                <c:pt idx="3">
                  <c:v>SA Power</c:v>
                </c:pt>
                <c:pt idx="4">
                  <c:v>AusNet + Powercor</c:v>
                </c:pt>
                <c:pt idx="5">
                  <c:v>SA Power + Powercor</c:v>
                </c:pt>
              </c:strCache>
            </c:strRef>
          </c:cat>
          <c:val>
            <c:numRef>
              <c:f>('Asset Comparison'!$E$82:$F$82,'Asset Comparison'!$H$82:$K$82)</c:f>
              <c:numCache>
                <c:formatCode>0%</c:formatCode>
                <c:ptCount val="6"/>
                <c:pt idx="0">
                  <c:v>0.25290801765930576</c:v>
                </c:pt>
                <c:pt idx="1">
                  <c:v>0.33181680136576336</c:v>
                </c:pt>
                <c:pt idx="2">
                  <c:v>7.7299306683303814E-2</c:v>
                </c:pt>
                <c:pt idx="3">
                  <c:v>0</c:v>
                </c:pt>
                <c:pt idx="4">
                  <c:v>0.28613069094538529</c:v>
                </c:pt>
                <c:pt idx="5">
                  <c:v>9.7796851318141573E-2</c:v>
                </c:pt>
              </c:numCache>
            </c:numRef>
          </c:val>
        </c:ser>
        <c:ser>
          <c:idx val="6"/>
          <c:order val="2"/>
          <c:tx>
            <c:strRef>
              <c:f>'Asset Comparison'!$A$83</c:f>
              <c:strCache>
                <c:ptCount val="1"/>
                <c:pt idx="0">
                  <c:v>Steel</c:v>
                </c:pt>
              </c:strCache>
            </c:strRef>
          </c:tx>
          <c:invertIfNegative val="0"/>
          <c:cat>
            <c:strRef>
              <c:f>('Asset Comparison'!$E$80:$F$80,'Asset Comparison'!$H$80:$K$80)</c:f>
              <c:strCache>
                <c:ptCount val="6"/>
                <c:pt idx="0">
                  <c:v>Powercor</c:v>
                </c:pt>
                <c:pt idx="1">
                  <c:v>AusNet</c:v>
                </c:pt>
                <c:pt idx="2">
                  <c:v>Essential</c:v>
                </c:pt>
                <c:pt idx="3">
                  <c:v>SA Power</c:v>
                </c:pt>
                <c:pt idx="4">
                  <c:v>AusNet + Powercor</c:v>
                </c:pt>
                <c:pt idx="5">
                  <c:v>SA Power + Powercor</c:v>
                </c:pt>
              </c:strCache>
            </c:strRef>
          </c:cat>
          <c:val>
            <c:numRef>
              <c:f>('Asset Comparison'!$E$83:$F$83,'Asset Comparison'!$H$83:$K$83)</c:f>
              <c:numCache>
                <c:formatCode>0%</c:formatCode>
                <c:ptCount val="6"/>
                <c:pt idx="0">
                  <c:v>6.8398719507357687E-3</c:v>
                </c:pt>
                <c:pt idx="1">
                  <c:v>0.15649666372795598</c:v>
                </c:pt>
                <c:pt idx="2">
                  <c:v>2.4688894393829573E-2</c:v>
                </c:pt>
                <c:pt idx="3">
                  <c:v>0</c:v>
                </c:pt>
                <c:pt idx="4">
                  <c:v>6.9849317347250389E-2</c:v>
                </c:pt>
                <c:pt idx="5">
                  <c:v>2.6449060270692451E-3</c:v>
                </c:pt>
              </c:numCache>
            </c:numRef>
          </c:val>
        </c:ser>
        <c:ser>
          <c:idx val="7"/>
          <c:order val="3"/>
          <c:tx>
            <c:strRef>
              <c:f>'Asset Comparison'!$A$84</c:f>
              <c:strCache>
                <c:ptCount val="1"/>
                <c:pt idx="0">
                  <c:v>Stobie</c:v>
                </c:pt>
              </c:strCache>
            </c:strRef>
          </c:tx>
          <c:spPr>
            <a:solidFill>
              <a:srgbClr val="C0504D">
                <a:lumMod val="60000"/>
                <a:lumOff val="40000"/>
              </a:srgbClr>
            </a:solidFill>
          </c:spPr>
          <c:invertIfNegative val="0"/>
          <c:cat>
            <c:strRef>
              <c:f>('Asset Comparison'!$E$80:$F$80,'Asset Comparison'!$H$80:$K$80)</c:f>
              <c:strCache>
                <c:ptCount val="6"/>
                <c:pt idx="0">
                  <c:v>Powercor</c:v>
                </c:pt>
                <c:pt idx="1">
                  <c:v>AusNet</c:v>
                </c:pt>
                <c:pt idx="2">
                  <c:v>Essential</c:v>
                </c:pt>
                <c:pt idx="3">
                  <c:v>SA Power</c:v>
                </c:pt>
                <c:pt idx="4">
                  <c:v>AusNet + Powercor</c:v>
                </c:pt>
                <c:pt idx="5">
                  <c:v>SA Power + Powercor</c:v>
                </c:pt>
              </c:strCache>
            </c:strRef>
          </c:cat>
          <c:val>
            <c:numRef>
              <c:f>('Asset Comparison'!$E$84:$F$84,'Asset Comparison'!$H$84:$K$84)</c:f>
              <c:numCache>
                <c:formatCode>0%</c:formatCode>
                <c:ptCount val="6"/>
                <c:pt idx="0">
                  <c:v>0</c:v>
                </c:pt>
                <c:pt idx="1">
                  <c:v>0</c:v>
                </c:pt>
                <c:pt idx="2">
                  <c:v>0</c:v>
                </c:pt>
                <c:pt idx="3">
                  <c:v>1</c:v>
                </c:pt>
                <c:pt idx="4">
                  <c:v>0</c:v>
                </c:pt>
                <c:pt idx="5">
                  <c:v>0.6133105932217443</c:v>
                </c:pt>
              </c:numCache>
            </c:numRef>
          </c:val>
        </c:ser>
        <c:ser>
          <c:idx val="8"/>
          <c:order val="4"/>
          <c:tx>
            <c:strRef>
              <c:f>'Asset Comparison'!$A$85</c:f>
              <c:strCache>
                <c:ptCount val="1"/>
                <c:pt idx="0">
                  <c:v>Other</c:v>
                </c:pt>
              </c:strCache>
            </c:strRef>
          </c:tx>
          <c:invertIfNegative val="0"/>
          <c:cat>
            <c:strRef>
              <c:f>('Asset Comparison'!$E$80:$F$80,'Asset Comparison'!$H$80:$K$80)</c:f>
              <c:strCache>
                <c:ptCount val="6"/>
                <c:pt idx="0">
                  <c:v>Powercor</c:v>
                </c:pt>
                <c:pt idx="1">
                  <c:v>AusNet</c:v>
                </c:pt>
                <c:pt idx="2">
                  <c:v>Essential</c:v>
                </c:pt>
                <c:pt idx="3">
                  <c:v>SA Power</c:v>
                </c:pt>
                <c:pt idx="4">
                  <c:v>AusNet + Powercor</c:v>
                </c:pt>
                <c:pt idx="5">
                  <c:v>SA Power + Powercor</c:v>
                </c:pt>
              </c:strCache>
            </c:strRef>
          </c:cat>
          <c:val>
            <c:numRef>
              <c:f>('Asset Comparison'!$E$85:$F$85,'Asset Comparison'!$H$85:$K$85)</c:f>
              <c:numCache>
                <c:formatCode>0%</c:formatCode>
                <c:ptCount val="6"/>
                <c:pt idx="0">
                  <c:v>8.8596711286646375E-3</c:v>
                </c:pt>
                <c:pt idx="1">
                  <c:v>0</c:v>
                </c:pt>
                <c:pt idx="2">
                  <c:v>9.0999727811266161E-3</c:v>
                </c:pt>
                <c:pt idx="3">
                  <c:v>0</c:v>
                </c:pt>
                <c:pt idx="4">
                  <c:v>5.1295165691330226E-3</c:v>
                </c:pt>
                <c:pt idx="5">
                  <c:v>3.4259409729937682E-3</c:v>
                </c:pt>
              </c:numCache>
            </c:numRef>
          </c:val>
        </c:ser>
        <c:dLbls>
          <c:showLegendKey val="0"/>
          <c:showVal val="0"/>
          <c:showCatName val="0"/>
          <c:showSerName val="0"/>
          <c:showPercent val="0"/>
          <c:showBubbleSize val="0"/>
        </c:dLbls>
        <c:gapWidth val="150"/>
        <c:overlap val="100"/>
        <c:axId val="330206592"/>
        <c:axId val="330208384"/>
      </c:barChart>
      <c:catAx>
        <c:axId val="330206592"/>
        <c:scaling>
          <c:orientation val="minMax"/>
        </c:scaling>
        <c:delete val="0"/>
        <c:axPos val="b"/>
        <c:numFmt formatCode="General" sourceLinked="1"/>
        <c:majorTickMark val="out"/>
        <c:minorTickMark val="none"/>
        <c:tickLblPos val="nextTo"/>
        <c:crossAx val="330208384"/>
        <c:crosses val="autoZero"/>
        <c:auto val="1"/>
        <c:lblAlgn val="ctr"/>
        <c:lblOffset val="100"/>
        <c:noMultiLvlLbl val="0"/>
      </c:catAx>
      <c:valAx>
        <c:axId val="330208384"/>
        <c:scaling>
          <c:orientation val="minMax"/>
        </c:scaling>
        <c:delete val="0"/>
        <c:axPos val="l"/>
        <c:majorGridlines/>
        <c:numFmt formatCode="0%" sourceLinked="1"/>
        <c:majorTickMark val="out"/>
        <c:minorTickMark val="none"/>
        <c:tickLblPos val="nextTo"/>
        <c:crossAx val="330206592"/>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0"/>
          <c:order val="0"/>
          <c:tx>
            <c:strRef>
              <c:f>'Forecast OPEX'!$B$63</c:f>
              <c:strCache>
                <c:ptCount val="1"/>
                <c:pt idx="0">
                  <c:v>2004-05</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OPEX'!$B$64:$B$69</c:f>
              <c:numCache>
                <c:formatCode>_-* #,##0_-;\-* #,##0_-;_-* "-"??_-;_-@_-</c:formatCode>
                <c:ptCount val="6"/>
                <c:pt idx="0">
                  <c:v>13</c:v>
                </c:pt>
                <c:pt idx="1">
                  <c:v>41</c:v>
                </c:pt>
                <c:pt idx="2">
                  <c:v>33</c:v>
                </c:pt>
                <c:pt idx="3">
                  <c:v>47</c:v>
                </c:pt>
                <c:pt idx="4">
                  <c:v>157</c:v>
                </c:pt>
                <c:pt idx="5">
                  <c:v>292</c:v>
                </c:pt>
              </c:numCache>
            </c:numRef>
          </c:val>
        </c:ser>
        <c:ser>
          <c:idx val="1"/>
          <c:order val="1"/>
          <c:tx>
            <c:strRef>
              <c:f>'Forecast OPEX'!$C$63</c:f>
              <c:strCache>
                <c:ptCount val="1"/>
                <c:pt idx="0">
                  <c:v>2005-06</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OPEX'!$C$64:$C$69</c:f>
              <c:numCache>
                <c:formatCode>_-* #,##0_-;\-* #,##0_-;_-* "-"??_-;_-@_-</c:formatCode>
                <c:ptCount val="6"/>
                <c:pt idx="0">
                  <c:v>15</c:v>
                </c:pt>
                <c:pt idx="1">
                  <c:v>36</c:v>
                </c:pt>
                <c:pt idx="2">
                  <c:v>43</c:v>
                </c:pt>
                <c:pt idx="3">
                  <c:v>49</c:v>
                </c:pt>
                <c:pt idx="4">
                  <c:v>159</c:v>
                </c:pt>
                <c:pt idx="5">
                  <c:v>301</c:v>
                </c:pt>
              </c:numCache>
            </c:numRef>
          </c:val>
        </c:ser>
        <c:ser>
          <c:idx val="2"/>
          <c:order val="2"/>
          <c:tx>
            <c:strRef>
              <c:f>'Forecast OPEX'!$D$63</c:f>
              <c:strCache>
                <c:ptCount val="1"/>
                <c:pt idx="0">
                  <c:v>2006-07</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OPEX'!$D$64:$D$69</c:f>
              <c:numCache>
                <c:formatCode>_-* #,##0_-;\-* #,##0_-;_-* "-"??_-;_-@_-</c:formatCode>
                <c:ptCount val="6"/>
                <c:pt idx="0">
                  <c:v>24</c:v>
                </c:pt>
                <c:pt idx="1">
                  <c:v>49</c:v>
                </c:pt>
                <c:pt idx="2">
                  <c:v>51</c:v>
                </c:pt>
                <c:pt idx="3">
                  <c:v>62</c:v>
                </c:pt>
                <c:pt idx="4">
                  <c:v>174</c:v>
                </c:pt>
                <c:pt idx="5">
                  <c:v>361</c:v>
                </c:pt>
              </c:numCache>
            </c:numRef>
          </c:val>
        </c:ser>
        <c:ser>
          <c:idx val="3"/>
          <c:order val="3"/>
          <c:tx>
            <c:strRef>
              <c:f>'Forecast OPEX'!$E$63</c:f>
              <c:strCache>
                <c:ptCount val="1"/>
                <c:pt idx="0">
                  <c:v>2007-08</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OPEX'!$E$64:$E$69</c:f>
              <c:numCache>
                <c:formatCode>_-* #,##0_-;\-* #,##0_-;_-* "-"??_-;_-@_-</c:formatCode>
                <c:ptCount val="6"/>
                <c:pt idx="0">
                  <c:v>27</c:v>
                </c:pt>
                <c:pt idx="1">
                  <c:v>52</c:v>
                </c:pt>
                <c:pt idx="2">
                  <c:v>56</c:v>
                </c:pt>
                <c:pt idx="3">
                  <c:v>66</c:v>
                </c:pt>
                <c:pt idx="4">
                  <c:v>207</c:v>
                </c:pt>
                <c:pt idx="5">
                  <c:v>408</c:v>
                </c:pt>
              </c:numCache>
            </c:numRef>
          </c:val>
        </c:ser>
        <c:ser>
          <c:idx val="4"/>
          <c:order val="4"/>
          <c:tx>
            <c:strRef>
              <c:f>'Forecast OPEX'!$F$63</c:f>
              <c:strCache>
                <c:ptCount val="1"/>
                <c:pt idx="0">
                  <c:v>2008-09</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OPEX'!$F$64:$F$69</c:f>
              <c:numCache>
                <c:formatCode>_-* #,##0_-;\-* #,##0_-;_-* "-"??_-;_-@_-</c:formatCode>
                <c:ptCount val="6"/>
                <c:pt idx="0">
                  <c:v>30</c:v>
                </c:pt>
                <c:pt idx="1">
                  <c:v>55</c:v>
                </c:pt>
                <c:pt idx="2">
                  <c:v>79</c:v>
                </c:pt>
                <c:pt idx="3">
                  <c:v>69</c:v>
                </c:pt>
                <c:pt idx="4">
                  <c:v>156</c:v>
                </c:pt>
                <c:pt idx="5">
                  <c:v>389</c:v>
                </c:pt>
              </c:numCache>
            </c:numRef>
          </c:val>
        </c:ser>
        <c:ser>
          <c:idx val="5"/>
          <c:order val="5"/>
          <c:tx>
            <c:strRef>
              <c:f>'Forecast OPEX'!$G$63</c:f>
              <c:strCache>
                <c:ptCount val="1"/>
                <c:pt idx="0">
                  <c:v>2009-10</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OPEX'!$G$64:$G$69</c:f>
              <c:numCache>
                <c:formatCode>_-* #,##0_-;\-* #,##0_-;_-* "-"??_-;_-@_-</c:formatCode>
                <c:ptCount val="6"/>
                <c:pt idx="0">
                  <c:v>38</c:v>
                </c:pt>
                <c:pt idx="1">
                  <c:v>86</c:v>
                </c:pt>
                <c:pt idx="2">
                  <c:v>100</c:v>
                </c:pt>
                <c:pt idx="3">
                  <c:v>77</c:v>
                </c:pt>
                <c:pt idx="4">
                  <c:v>103</c:v>
                </c:pt>
                <c:pt idx="5">
                  <c:v>404</c:v>
                </c:pt>
              </c:numCache>
            </c:numRef>
          </c:val>
        </c:ser>
        <c:ser>
          <c:idx val="6"/>
          <c:order val="6"/>
          <c:tx>
            <c:strRef>
              <c:f>'Forecast OPEX'!$H$63</c:f>
              <c:strCache>
                <c:ptCount val="1"/>
                <c:pt idx="0">
                  <c:v>2010-11</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OPEX'!$H$64:$H$69</c:f>
              <c:numCache>
                <c:formatCode>_-* #,##0_-;\-* #,##0_-;_-* "-"??_-;_-@_-</c:formatCode>
                <c:ptCount val="6"/>
                <c:pt idx="0">
                  <c:v>42</c:v>
                </c:pt>
                <c:pt idx="1">
                  <c:v>72</c:v>
                </c:pt>
                <c:pt idx="2">
                  <c:v>104</c:v>
                </c:pt>
                <c:pt idx="3">
                  <c:v>72</c:v>
                </c:pt>
                <c:pt idx="4">
                  <c:v>130</c:v>
                </c:pt>
                <c:pt idx="5">
                  <c:v>420</c:v>
                </c:pt>
              </c:numCache>
            </c:numRef>
          </c:val>
        </c:ser>
        <c:ser>
          <c:idx val="7"/>
          <c:order val="7"/>
          <c:tx>
            <c:strRef>
              <c:f>'Forecast OPEX'!$I$63</c:f>
              <c:strCache>
                <c:ptCount val="1"/>
                <c:pt idx="0">
                  <c:v>2011-12</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OPEX'!$I$64:$I$69</c:f>
              <c:numCache>
                <c:formatCode>_-* #,##0_-;\-* #,##0_-;_-* "-"??_-;_-@_-</c:formatCode>
                <c:ptCount val="6"/>
                <c:pt idx="0">
                  <c:v>46</c:v>
                </c:pt>
                <c:pt idx="1">
                  <c:v>81</c:v>
                </c:pt>
                <c:pt idx="2">
                  <c:v>152</c:v>
                </c:pt>
                <c:pt idx="3">
                  <c:v>80</c:v>
                </c:pt>
                <c:pt idx="4">
                  <c:v>149</c:v>
                </c:pt>
                <c:pt idx="5">
                  <c:v>508</c:v>
                </c:pt>
              </c:numCache>
            </c:numRef>
          </c:val>
        </c:ser>
        <c:ser>
          <c:idx val="8"/>
          <c:order val="8"/>
          <c:tx>
            <c:strRef>
              <c:f>'Forecast OPEX'!$J$63</c:f>
              <c:strCache>
                <c:ptCount val="1"/>
                <c:pt idx="0">
                  <c:v>2012-13</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OPEX'!$J$64:$J$69</c:f>
              <c:numCache>
                <c:formatCode>_-* #,##0_-;\-* #,##0_-;_-* "-"??_-;_-@_-</c:formatCode>
                <c:ptCount val="6"/>
                <c:pt idx="0">
                  <c:v>31</c:v>
                </c:pt>
                <c:pt idx="1">
                  <c:v>76</c:v>
                </c:pt>
                <c:pt idx="2">
                  <c:v>182</c:v>
                </c:pt>
                <c:pt idx="3">
                  <c:v>74</c:v>
                </c:pt>
                <c:pt idx="4">
                  <c:v>107</c:v>
                </c:pt>
                <c:pt idx="5">
                  <c:v>469</c:v>
                </c:pt>
              </c:numCache>
            </c:numRef>
          </c:val>
        </c:ser>
        <c:ser>
          <c:idx val="9"/>
          <c:order val="9"/>
          <c:tx>
            <c:strRef>
              <c:f>'Forecast OPEX'!$K$63</c:f>
              <c:strCache>
                <c:ptCount val="1"/>
                <c:pt idx="0">
                  <c:v>2013-14</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OPEX'!$K$64:$K$69</c:f>
              <c:numCache>
                <c:formatCode>_-* #,##0_-;\-* #,##0_-;_-* "-"??_-;_-@_-</c:formatCode>
                <c:ptCount val="6"/>
                <c:pt idx="0">
                  <c:v>32</c:v>
                </c:pt>
                <c:pt idx="1">
                  <c:v>80</c:v>
                </c:pt>
                <c:pt idx="2">
                  <c:v>193</c:v>
                </c:pt>
                <c:pt idx="3">
                  <c:v>78</c:v>
                </c:pt>
                <c:pt idx="4">
                  <c:v>113</c:v>
                </c:pt>
                <c:pt idx="5">
                  <c:v>496</c:v>
                </c:pt>
              </c:numCache>
            </c:numRef>
          </c:val>
        </c:ser>
        <c:ser>
          <c:idx val="10"/>
          <c:order val="10"/>
          <c:tx>
            <c:strRef>
              <c:f>'Forecast OPEX'!$L$63</c:f>
              <c:strCache>
                <c:ptCount val="1"/>
                <c:pt idx="0">
                  <c:v>2014-15</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OPEX'!$L$64:$L$69</c:f>
              <c:numCache>
                <c:formatCode>_-* #,##0_-;\-* #,##0_-;_-* "-"??_-;_-@_-</c:formatCode>
                <c:ptCount val="6"/>
                <c:pt idx="0">
                  <c:v>32</c:v>
                </c:pt>
                <c:pt idx="1">
                  <c:v>78</c:v>
                </c:pt>
                <c:pt idx="2">
                  <c:v>163</c:v>
                </c:pt>
                <c:pt idx="3">
                  <c:v>79</c:v>
                </c:pt>
                <c:pt idx="4">
                  <c:v>111</c:v>
                </c:pt>
                <c:pt idx="5">
                  <c:v>464</c:v>
                </c:pt>
              </c:numCache>
            </c:numRef>
          </c:val>
        </c:ser>
        <c:ser>
          <c:idx val="11"/>
          <c:order val="11"/>
          <c:tx>
            <c:strRef>
              <c:f>'Forecast OPEX'!$M$63</c:f>
              <c:strCache>
                <c:ptCount val="1"/>
                <c:pt idx="0">
                  <c:v>2015-16</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OPEX'!$M$64:$M$69</c:f>
              <c:numCache>
                <c:formatCode>_-* #,##0_-;\-* #,##0_-;_-* "-"??_-;_-@_-</c:formatCode>
                <c:ptCount val="6"/>
                <c:pt idx="0">
                  <c:v>33</c:v>
                </c:pt>
                <c:pt idx="1">
                  <c:v>79</c:v>
                </c:pt>
                <c:pt idx="2">
                  <c:v>156</c:v>
                </c:pt>
                <c:pt idx="3">
                  <c:v>80</c:v>
                </c:pt>
                <c:pt idx="4">
                  <c:v>117</c:v>
                </c:pt>
                <c:pt idx="5">
                  <c:v>465</c:v>
                </c:pt>
              </c:numCache>
            </c:numRef>
          </c:val>
        </c:ser>
        <c:ser>
          <c:idx val="12"/>
          <c:order val="12"/>
          <c:tx>
            <c:strRef>
              <c:f>'Forecast OPEX'!$N$63</c:f>
              <c:strCache>
                <c:ptCount val="1"/>
                <c:pt idx="0">
                  <c:v>2016-17</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OPEX'!$N$64:$N$69</c:f>
              <c:numCache>
                <c:formatCode>_-* #,##0_-;\-* #,##0_-;_-* "-"??_-;_-@_-</c:formatCode>
                <c:ptCount val="6"/>
                <c:pt idx="0">
                  <c:v>33</c:v>
                </c:pt>
                <c:pt idx="1">
                  <c:v>81</c:v>
                </c:pt>
                <c:pt idx="2">
                  <c:v>145</c:v>
                </c:pt>
                <c:pt idx="3">
                  <c:v>82</c:v>
                </c:pt>
                <c:pt idx="4">
                  <c:v>120</c:v>
                </c:pt>
                <c:pt idx="5">
                  <c:v>461</c:v>
                </c:pt>
              </c:numCache>
            </c:numRef>
          </c:val>
        </c:ser>
        <c:ser>
          <c:idx val="13"/>
          <c:order val="13"/>
          <c:tx>
            <c:strRef>
              <c:f>'Forecast OPEX'!$O$63</c:f>
              <c:strCache>
                <c:ptCount val="1"/>
                <c:pt idx="0">
                  <c:v>2017-18</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OPEX'!$O$64:$O$69</c:f>
              <c:numCache>
                <c:formatCode>_-* #,##0_-;\-* #,##0_-;_-* "-"??_-;_-@_-</c:formatCode>
                <c:ptCount val="6"/>
                <c:pt idx="0">
                  <c:v>34</c:v>
                </c:pt>
                <c:pt idx="1">
                  <c:v>83</c:v>
                </c:pt>
                <c:pt idx="2">
                  <c:v>148</c:v>
                </c:pt>
                <c:pt idx="3">
                  <c:v>84</c:v>
                </c:pt>
                <c:pt idx="4">
                  <c:v>118</c:v>
                </c:pt>
                <c:pt idx="5">
                  <c:v>467</c:v>
                </c:pt>
              </c:numCache>
            </c:numRef>
          </c:val>
        </c:ser>
        <c:ser>
          <c:idx val="14"/>
          <c:order val="14"/>
          <c:tx>
            <c:strRef>
              <c:f>'Forecast OPEX'!$P$63</c:f>
              <c:strCache>
                <c:ptCount val="1"/>
                <c:pt idx="0">
                  <c:v>2018-19</c:v>
                </c:pt>
              </c:strCache>
            </c:strRef>
          </c:tx>
          <c:invertIfNegative val="0"/>
          <c:cat>
            <c:strRef>
              <c:f>'Forecast OPEX'!$A$64:$A$69</c:f>
              <c:strCache>
                <c:ptCount val="6"/>
                <c:pt idx="0">
                  <c:v>Inspections</c:v>
                </c:pt>
                <c:pt idx="1">
                  <c:v>Maintenance and repair</c:v>
                </c:pt>
                <c:pt idx="2">
                  <c:v>Vegetation management</c:v>
                </c:pt>
                <c:pt idx="3">
                  <c:v>Emergency response</c:v>
                </c:pt>
                <c:pt idx="4">
                  <c:v>Other network costs</c:v>
                </c:pt>
                <c:pt idx="5">
                  <c:v>Total network costs</c:v>
                </c:pt>
              </c:strCache>
            </c:strRef>
          </c:cat>
          <c:val>
            <c:numRef>
              <c:f>'Forecast OPEX'!$P$64:$P$69</c:f>
              <c:numCache>
                <c:formatCode>_-* #,##0_-;\-* #,##0_-;_-* "-"??_-;_-@_-</c:formatCode>
                <c:ptCount val="6"/>
                <c:pt idx="0">
                  <c:v>35</c:v>
                </c:pt>
                <c:pt idx="1">
                  <c:v>85</c:v>
                </c:pt>
                <c:pt idx="2">
                  <c:v>150</c:v>
                </c:pt>
                <c:pt idx="3">
                  <c:v>86</c:v>
                </c:pt>
                <c:pt idx="4">
                  <c:v>121</c:v>
                </c:pt>
                <c:pt idx="5">
                  <c:v>477</c:v>
                </c:pt>
              </c:numCache>
            </c:numRef>
          </c:val>
        </c:ser>
        <c:dLbls>
          <c:showLegendKey val="0"/>
          <c:showVal val="0"/>
          <c:showCatName val="0"/>
          <c:showSerName val="0"/>
          <c:showPercent val="0"/>
          <c:showBubbleSize val="0"/>
        </c:dLbls>
        <c:gapWidth val="150"/>
        <c:axId val="352283648"/>
        <c:axId val="352289536"/>
      </c:barChart>
      <c:catAx>
        <c:axId val="352283648"/>
        <c:scaling>
          <c:orientation val="minMax"/>
        </c:scaling>
        <c:delete val="0"/>
        <c:axPos val="b"/>
        <c:majorTickMark val="out"/>
        <c:minorTickMark val="none"/>
        <c:tickLblPos val="nextTo"/>
        <c:crossAx val="352289536"/>
        <c:crosses val="autoZero"/>
        <c:auto val="1"/>
        <c:lblAlgn val="ctr"/>
        <c:lblOffset val="100"/>
        <c:noMultiLvlLbl val="0"/>
      </c:catAx>
      <c:valAx>
        <c:axId val="352289536"/>
        <c:scaling>
          <c:orientation val="minMax"/>
        </c:scaling>
        <c:delete val="0"/>
        <c:axPos val="l"/>
        <c:majorGridlines/>
        <c:title>
          <c:tx>
            <c:rich>
              <a:bodyPr rot="-5400000" vert="horz"/>
              <a:lstStyle/>
              <a:p>
                <a:pPr>
                  <a:defRPr/>
                </a:pPr>
                <a:r>
                  <a:rPr lang="en-US"/>
                  <a:t>$Million 2013/14</a:t>
                </a:r>
              </a:p>
            </c:rich>
          </c:tx>
          <c:overlay val="0"/>
        </c:title>
        <c:numFmt formatCode="_-* #,##0_-;\-* #,##0_-;_-* &quot;-&quot;??_-;_-@_-" sourceLinked="1"/>
        <c:majorTickMark val="out"/>
        <c:minorTickMark val="none"/>
        <c:tickLblPos val="nextTo"/>
        <c:crossAx val="352283648"/>
        <c:crosses val="autoZero"/>
        <c:crossBetween val="between"/>
      </c:valAx>
    </c:plotArea>
    <c:legend>
      <c:legendPos val="r"/>
      <c:overlay val="0"/>
    </c:legend>
    <c:plotVisOnly val="1"/>
    <c:dispBlanksAs val="gap"/>
    <c:showDLblsOverMax val="0"/>
  </c:chart>
  <c:printSettings>
    <c:headerFooter/>
    <c:pageMargins b="0.75" l="0.25" r="0.25"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en-US"/>
              <a:t>Proposed OPEX vs Draft Determination</a:t>
            </a:r>
          </a:p>
        </c:rich>
      </c:tx>
      <c:overlay val="0"/>
    </c:title>
    <c:autoTitleDeleted val="0"/>
    <c:plotArea>
      <c:layout/>
      <c:barChart>
        <c:barDir val="col"/>
        <c:grouping val="clustered"/>
        <c:varyColors val="0"/>
        <c:ser>
          <c:idx val="0"/>
          <c:order val="0"/>
          <c:tx>
            <c:strRef>
              <c:f>'Forecast OPEX'!$A$96</c:f>
              <c:strCache>
                <c:ptCount val="1"/>
                <c:pt idx="0">
                  <c:v>Essential Revised Proposal OPEX</c:v>
                </c:pt>
              </c:strCache>
            </c:strRef>
          </c:tx>
          <c:spPr>
            <a:solidFill>
              <a:schemeClr val="accent6"/>
            </a:solidFill>
          </c:spPr>
          <c:invertIfNegative val="0"/>
          <c:cat>
            <c:strRef>
              <c:f>'Forecast OPEX'!$H$95</c:f>
              <c:strCache>
                <c:ptCount val="1"/>
                <c:pt idx="0">
                  <c:v>Total 2015-19</c:v>
                </c:pt>
              </c:strCache>
            </c:strRef>
          </c:cat>
          <c:val>
            <c:numRef>
              <c:f>'Forecast OPEX'!$H$96</c:f>
              <c:numCache>
                <c:formatCode>_-"$"* #,##0_-;\-"$"* #,##0_-;_-"$"* "-"??_-;_-@_-</c:formatCode>
                <c:ptCount val="1"/>
                <c:pt idx="0">
                  <c:v>2334</c:v>
                </c:pt>
              </c:numCache>
            </c:numRef>
          </c:val>
        </c:ser>
        <c:ser>
          <c:idx val="4"/>
          <c:order val="1"/>
          <c:tx>
            <c:strRef>
              <c:f>'Forecast OPEX'!$A$99</c:f>
              <c:strCache>
                <c:ptCount val="1"/>
                <c:pt idx="0">
                  <c:v>Essential Revised Proposal excl. Veg</c:v>
                </c:pt>
              </c:strCache>
            </c:strRef>
          </c:tx>
          <c:spPr>
            <a:pattFill prst="ltUpDiag">
              <a:fgClr>
                <a:schemeClr val="accent6"/>
              </a:fgClr>
              <a:bgClr>
                <a:schemeClr val="accent6">
                  <a:lumMod val="20000"/>
                  <a:lumOff val="80000"/>
                </a:schemeClr>
              </a:bgClr>
            </a:pattFill>
          </c:spPr>
          <c:invertIfNegative val="0"/>
          <c:cat>
            <c:strRef>
              <c:f>'Forecast OPEX'!$H$95</c:f>
              <c:strCache>
                <c:ptCount val="1"/>
                <c:pt idx="0">
                  <c:v>Total 2015-19</c:v>
                </c:pt>
              </c:strCache>
            </c:strRef>
          </c:cat>
          <c:val>
            <c:numRef>
              <c:f>'Forecast OPEX'!$H$99</c:f>
              <c:numCache>
                <c:formatCode>_-"$"* #,##0_-;\-"$"* #,##0_-;_-"$"* "-"??_-;_-@_-</c:formatCode>
                <c:ptCount val="1"/>
                <c:pt idx="0">
                  <c:v>1572</c:v>
                </c:pt>
              </c:numCache>
            </c:numRef>
          </c:val>
        </c:ser>
        <c:ser>
          <c:idx val="8"/>
          <c:order val="2"/>
          <c:tx>
            <c:strRef>
              <c:f>'Forecast OPEX'!$A$100</c:f>
              <c:strCache>
                <c:ptCount val="1"/>
                <c:pt idx="0">
                  <c:v>Essential Draft Det excluding Veg</c:v>
                </c:pt>
              </c:strCache>
            </c:strRef>
          </c:tx>
          <c:spPr>
            <a:pattFill prst="wdUpDiag">
              <a:fgClr>
                <a:schemeClr val="accent6"/>
              </a:fgClr>
              <a:bgClr>
                <a:schemeClr val="bg1"/>
              </a:bgClr>
            </a:pattFill>
          </c:spPr>
          <c:invertIfNegative val="0"/>
          <c:cat>
            <c:strRef>
              <c:f>'Forecast OPEX'!$H$95</c:f>
              <c:strCache>
                <c:ptCount val="1"/>
                <c:pt idx="0">
                  <c:v>Total 2015-19</c:v>
                </c:pt>
              </c:strCache>
            </c:strRef>
          </c:cat>
          <c:val>
            <c:numRef>
              <c:f>'Forecast OPEX'!$H$100</c:f>
              <c:numCache>
                <c:formatCode>_-"$"* #,##0_-;\-"$"* #,##0_-;_-"$"* "-"??_-;_-@_-</c:formatCode>
                <c:ptCount val="1"/>
                <c:pt idx="0">
                  <c:v>677.52412605001723</c:v>
                </c:pt>
              </c:numCache>
            </c:numRef>
          </c:val>
        </c:ser>
        <c:ser>
          <c:idx val="9"/>
          <c:order val="3"/>
          <c:tx>
            <c:strRef>
              <c:f>'Forecast OPEX'!$A$101</c:f>
              <c:strCache>
                <c:ptCount val="1"/>
                <c:pt idx="0">
                  <c:v>Endeavour Proposal Total OPEX</c:v>
                </c:pt>
              </c:strCache>
            </c:strRef>
          </c:tx>
          <c:spPr>
            <a:solidFill>
              <a:schemeClr val="accent4"/>
            </a:solidFill>
          </c:spPr>
          <c:invertIfNegative val="0"/>
          <c:cat>
            <c:strRef>
              <c:f>'Forecast OPEX'!$H$95</c:f>
              <c:strCache>
                <c:ptCount val="1"/>
                <c:pt idx="0">
                  <c:v>Total 2015-19</c:v>
                </c:pt>
              </c:strCache>
            </c:strRef>
          </c:cat>
          <c:val>
            <c:numRef>
              <c:f>'Forecast OPEX'!$H$101</c:f>
              <c:numCache>
                <c:formatCode>_-"$"* #,##0_-;\-"$"* #,##0_-;_-"$"* "-"??_-;_-@_-</c:formatCode>
                <c:ptCount val="1"/>
                <c:pt idx="0">
                  <c:v>1384.3000000000002</c:v>
                </c:pt>
              </c:numCache>
            </c:numRef>
          </c:val>
        </c:ser>
        <c:ser>
          <c:idx val="6"/>
          <c:order val="4"/>
          <c:tx>
            <c:strRef>
              <c:f>'Forecast OPEX'!$A$104</c:f>
              <c:strCache>
                <c:ptCount val="1"/>
                <c:pt idx="0">
                  <c:v>Endeavour Proposal excluding Veg</c:v>
                </c:pt>
              </c:strCache>
            </c:strRef>
          </c:tx>
          <c:spPr>
            <a:pattFill prst="ltUpDiag">
              <a:fgClr>
                <a:schemeClr val="accent4"/>
              </a:fgClr>
              <a:bgClr>
                <a:schemeClr val="accent4">
                  <a:lumMod val="20000"/>
                  <a:lumOff val="80000"/>
                </a:schemeClr>
              </a:bgClr>
            </a:pattFill>
          </c:spPr>
          <c:invertIfNegative val="0"/>
          <c:cat>
            <c:strRef>
              <c:f>'Forecast OPEX'!$H$95</c:f>
              <c:strCache>
                <c:ptCount val="1"/>
                <c:pt idx="0">
                  <c:v>Total 2015-19</c:v>
                </c:pt>
              </c:strCache>
            </c:strRef>
          </c:cat>
          <c:val>
            <c:numRef>
              <c:f>'Forecast OPEX'!$H$104</c:f>
              <c:numCache>
                <c:formatCode>_-"$"* #,##0_-;\-"$"* #,##0_-;_-"$"* "-"??_-;_-@_-</c:formatCode>
                <c:ptCount val="1"/>
                <c:pt idx="0">
                  <c:v>1060.9000000000001</c:v>
                </c:pt>
              </c:numCache>
            </c:numRef>
          </c:val>
        </c:ser>
        <c:ser>
          <c:idx val="7"/>
          <c:order val="5"/>
          <c:tx>
            <c:strRef>
              <c:f>'Forecast OPEX'!$A$105</c:f>
              <c:strCache>
                <c:ptCount val="1"/>
                <c:pt idx="0">
                  <c:v>Endeavour Draft Det excluding Veg</c:v>
                </c:pt>
              </c:strCache>
            </c:strRef>
          </c:tx>
          <c:spPr>
            <a:pattFill prst="wdUpDiag">
              <a:fgClr>
                <a:schemeClr val="accent4"/>
              </a:fgClr>
              <a:bgClr>
                <a:schemeClr val="bg1"/>
              </a:bgClr>
            </a:pattFill>
          </c:spPr>
          <c:invertIfNegative val="0"/>
          <c:cat>
            <c:strRef>
              <c:f>'Forecast OPEX'!$H$95</c:f>
              <c:strCache>
                <c:ptCount val="1"/>
                <c:pt idx="0">
                  <c:v>Total 2015-19</c:v>
                </c:pt>
              </c:strCache>
            </c:strRef>
          </c:cat>
          <c:val>
            <c:numRef>
              <c:f>'Forecast OPEX'!$H$105</c:f>
              <c:numCache>
                <c:formatCode>_-"$"* #,##0_-;\-"$"* #,##0_-;_-"$"* "-"??_-;_-@_-</c:formatCode>
                <c:ptCount val="1"/>
                <c:pt idx="0">
                  <c:v>747.41988234708401</c:v>
                </c:pt>
              </c:numCache>
            </c:numRef>
          </c:val>
        </c:ser>
        <c:dLbls>
          <c:showLegendKey val="0"/>
          <c:showVal val="0"/>
          <c:showCatName val="0"/>
          <c:showSerName val="0"/>
          <c:showPercent val="0"/>
          <c:showBubbleSize val="0"/>
        </c:dLbls>
        <c:gapWidth val="150"/>
        <c:axId val="352335360"/>
        <c:axId val="352336896"/>
      </c:barChart>
      <c:catAx>
        <c:axId val="352335360"/>
        <c:scaling>
          <c:orientation val="minMax"/>
        </c:scaling>
        <c:delete val="0"/>
        <c:axPos val="b"/>
        <c:majorTickMark val="out"/>
        <c:minorTickMark val="none"/>
        <c:tickLblPos val="nextTo"/>
        <c:crossAx val="352336896"/>
        <c:crosses val="autoZero"/>
        <c:auto val="1"/>
        <c:lblAlgn val="ctr"/>
        <c:lblOffset val="100"/>
        <c:noMultiLvlLbl val="0"/>
      </c:catAx>
      <c:valAx>
        <c:axId val="352336896"/>
        <c:scaling>
          <c:orientation val="minMax"/>
        </c:scaling>
        <c:delete val="0"/>
        <c:axPos val="l"/>
        <c:majorGridlines/>
        <c:title>
          <c:tx>
            <c:strRef>
              <c:f>'Forecast OPEX'!$A$95</c:f>
              <c:strCache>
                <c:ptCount val="1"/>
                <c:pt idx="0">
                  <c:v>DNSP OPEX Real $13-14</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523353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barChart>
        <c:barDir val="col"/>
        <c:grouping val="clustered"/>
        <c:varyColors val="0"/>
        <c:ser>
          <c:idx val="0"/>
          <c:order val="0"/>
          <c:tx>
            <c:strRef>
              <c:f>'Forecast OPEX'!$A$5</c:f>
              <c:strCache>
                <c:ptCount val="1"/>
                <c:pt idx="0">
                  <c:v>Essential Revised Proposal</c:v>
                </c:pt>
              </c:strCache>
            </c:strRef>
          </c:tx>
          <c:spPr>
            <a:solidFill>
              <a:schemeClr val="accent6"/>
            </a:solidFill>
          </c:spPr>
          <c:invertIfNegative val="0"/>
          <c:cat>
            <c:strRef>
              <c:f>'Forecast OPEX'!$H$95</c:f>
              <c:strCache>
                <c:ptCount val="1"/>
                <c:pt idx="0">
                  <c:v>Total 2015-19</c:v>
                </c:pt>
              </c:strCache>
            </c:strRef>
          </c:cat>
          <c:val>
            <c:numRef>
              <c:f>'Forecast OPEX'!$H$5</c:f>
              <c:numCache>
                <c:formatCode>_-* #,##0.0_-;\-* #,##0.0_-;_-* "-"??_-;_-@_-</c:formatCode>
                <c:ptCount val="1"/>
                <c:pt idx="0">
                  <c:v>2330.7373462051055</c:v>
                </c:pt>
              </c:numCache>
            </c:numRef>
          </c:val>
        </c:ser>
        <c:ser>
          <c:idx val="4"/>
          <c:order val="1"/>
          <c:tx>
            <c:strRef>
              <c:f>'Forecast OPEX'!$A$7</c:f>
              <c:strCache>
                <c:ptCount val="1"/>
                <c:pt idx="0">
                  <c:v>Essential Revised Proposal excl. Veg</c:v>
                </c:pt>
              </c:strCache>
            </c:strRef>
          </c:tx>
          <c:spPr>
            <a:pattFill prst="dkUpDiag">
              <a:fgClr>
                <a:schemeClr val="accent6"/>
              </a:fgClr>
              <a:bgClr>
                <a:schemeClr val="accent6">
                  <a:lumMod val="20000"/>
                  <a:lumOff val="80000"/>
                </a:schemeClr>
              </a:bgClr>
            </a:pattFill>
          </c:spPr>
          <c:invertIfNegative val="0"/>
          <c:cat>
            <c:strRef>
              <c:f>'Forecast OPEX'!$H$95</c:f>
              <c:strCache>
                <c:ptCount val="1"/>
                <c:pt idx="0">
                  <c:v>Total 2015-19</c:v>
                </c:pt>
              </c:strCache>
            </c:strRef>
          </c:cat>
          <c:val>
            <c:numRef>
              <c:f>'Forecast OPEX'!$H$7</c:f>
              <c:numCache>
                <c:formatCode>_-* #,##0.0_-;\-* #,##0.0_-;_-* "-"??_-;_-@_-</c:formatCode>
                <c:ptCount val="1"/>
                <c:pt idx="0">
                  <c:v>1593.7370241471081</c:v>
                </c:pt>
              </c:numCache>
            </c:numRef>
          </c:val>
        </c:ser>
        <c:ser>
          <c:idx val="8"/>
          <c:order val="2"/>
          <c:tx>
            <c:strRef>
              <c:f>'Forecast OPEX'!$A$8</c:f>
              <c:strCache>
                <c:ptCount val="1"/>
                <c:pt idx="0">
                  <c:v>Essential Draft Det excl. Veg</c:v>
                </c:pt>
              </c:strCache>
            </c:strRef>
          </c:tx>
          <c:spPr>
            <a:pattFill prst="dkHorz">
              <a:fgClr>
                <a:schemeClr val="accent6"/>
              </a:fgClr>
              <a:bgClr>
                <a:schemeClr val="bg1"/>
              </a:bgClr>
            </a:pattFill>
          </c:spPr>
          <c:invertIfNegative val="0"/>
          <c:cat>
            <c:strRef>
              <c:f>'Forecast OPEX'!$H$95</c:f>
              <c:strCache>
                <c:ptCount val="1"/>
                <c:pt idx="0">
                  <c:v>Total 2015-19</c:v>
                </c:pt>
              </c:strCache>
            </c:strRef>
          </c:cat>
          <c:val>
            <c:numRef>
              <c:f>'Forecast OPEX'!$H$8</c:f>
              <c:numCache>
                <c:formatCode>_-* #,##0.0_-;\-* #,##0.0_-;_-* "-"??_-;_-@_-</c:formatCode>
                <c:ptCount val="1"/>
                <c:pt idx="0">
                  <c:v>702.52380399202002</c:v>
                </c:pt>
              </c:numCache>
            </c:numRef>
          </c:val>
        </c:ser>
        <c:ser>
          <c:idx val="9"/>
          <c:order val="3"/>
          <c:tx>
            <c:strRef>
              <c:f>'Forecast OPEX'!$A$10</c:f>
              <c:strCache>
                <c:ptCount val="1"/>
                <c:pt idx="0">
                  <c:v>Endeavour Proposal</c:v>
                </c:pt>
              </c:strCache>
            </c:strRef>
          </c:tx>
          <c:spPr>
            <a:solidFill>
              <a:schemeClr val="accent4"/>
            </a:solidFill>
          </c:spPr>
          <c:invertIfNegative val="0"/>
          <c:cat>
            <c:strRef>
              <c:f>'Forecast OPEX'!$H$95</c:f>
              <c:strCache>
                <c:ptCount val="1"/>
                <c:pt idx="0">
                  <c:v>Total 2015-19</c:v>
                </c:pt>
              </c:strCache>
            </c:strRef>
          </c:cat>
          <c:val>
            <c:numRef>
              <c:f>'Forecast OPEX'!$H$10</c:f>
              <c:numCache>
                <c:formatCode>_-* #,##0.0_-;\-* #,##0.0_-;_-* "-"??_-;_-@_-</c:formatCode>
                <c:ptCount val="1"/>
                <c:pt idx="0">
                  <c:v>1384.3000000000002</c:v>
                </c:pt>
              </c:numCache>
            </c:numRef>
          </c:val>
        </c:ser>
        <c:ser>
          <c:idx val="6"/>
          <c:order val="4"/>
          <c:tx>
            <c:strRef>
              <c:f>'Forecast OPEX'!$A$14</c:f>
              <c:strCache>
                <c:ptCount val="1"/>
                <c:pt idx="0">
                  <c:v>Endeavdour Proposal excl. Veg</c:v>
                </c:pt>
              </c:strCache>
            </c:strRef>
          </c:tx>
          <c:spPr>
            <a:pattFill prst="dkUpDiag">
              <a:fgClr>
                <a:schemeClr val="accent4"/>
              </a:fgClr>
              <a:bgClr>
                <a:schemeClr val="accent4">
                  <a:lumMod val="20000"/>
                  <a:lumOff val="80000"/>
                </a:schemeClr>
              </a:bgClr>
            </a:pattFill>
          </c:spPr>
          <c:invertIfNegative val="0"/>
          <c:cat>
            <c:strRef>
              <c:f>'Forecast OPEX'!$H$95</c:f>
              <c:strCache>
                <c:ptCount val="1"/>
                <c:pt idx="0">
                  <c:v>Total 2015-19</c:v>
                </c:pt>
              </c:strCache>
            </c:strRef>
          </c:cat>
          <c:val>
            <c:numRef>
              <c:f>'Forecast OPEX'!$H$14</c:f>
              <c:numCache>
                <c:formatCode>_-* #,##0.0_-;\-* #,##0.0_-;_-* "-"??_-;_-@_-</c:formatCode>
                <c:ptCount val="1"/>
                <c:pt idx="0">
                  <c:v>1060.9000000000001</c:v>
                </c:pt>
              </c:numCache>
            </c:numRef>
          </c:val>
        </c:ser>
        <c:ser>
          <c:idx val="7"/>
          <c:order val="5"/>
          <c:tx>
            <c:strRef>
              <c:f>'Forecast OPEX'!$A$15</c:f>
              <c:strCache>
                <c:ptCount val="1"/>
                <c:pt idx="0">
                  <c:v>Endeavour Draft Det excl. Veg</c:v>
                </c:pt>
              </c:strCache>
            </c:strRef>
          </c:tx>
          <c:spPr>
            <a:pattFill prst="dkHorz">
              <a:fgClr>
                <a:schemeClr val="accent4"/>
              </a:fgClr>
              <a:bgClr>
                <a:schemeClr val="bg1"/>
              </a:bgClr>
            </a:pattFill>
          </c:spPr>
          <c:invertIfNegative val="0"/>
          <c:cat>
            <c:strRef>
              <c:f>'Forecast OPEX'!$H$95</c:f>
              <c:strCache>
                <c:ptCount val="1"/>
                <c:pt idx="0">
                  <c:v>Total 2015-19</c:v>
                </c:pt>
              </c:strCache>
            </c:strRef>
          </c:cat>
          <c:val>
            <c:numRef>
              <c:f>'Forecast OPEX'!$H$15</c:f>
              <c:numCache>
                <c:formatCode>_-* #,##0.0_-;\-* #,##0.0_-;_-* "-"??_-;_-@_-</c:formatCode>
                <c:ptCount val="1"/>
                <c:pt idx="0">
                  <c:v>747.41988234708401</c:v>
                </c:pt>
              </c:numCache>
            </c:numRef>
          </c:val>
        </c:ser>
        <c:dLbls>
          <c:showLegendKey val="0"/>
          <c:showVal val="0"/>
          <c:showCatName val="0"/>
          <c:showSerName val="0"/>
          <c:showPercent val="0"/>
          <c:showBubbleSize val="0"/>
        </c:dLbls>
        <c:gapWidth val="150"/>
        <c:axId val="352378240"/>
        <c:axId val="352457856"/>
      </c:barChart>
      <c:catAx>
        <c:axId val="352378240"/>
        <c:scaling>
          <c:orientation val="minMax"/>
        </c:scaling>
        <c:delete val="0"/>
        <c:axPos val="b"/>
        <c:majorTickMark val="out"/>
        <c:minorTickMark val="none"/>
        <c:tickLblPos val="nextTo"/>
        <c:crossAx val="352457856"/>
        <c:crosses val="autoZero"/>
        <c:auto val="1"/>
        <c:lblAlgn val="ctr"/>
        <c:lblOffset val="100"/>
        <c:noMultiLvlLbl val="0"/>
      </c:catAx>
      <c:valAx>
        <c:axId val="352457856"/>
        <c:scaling>
          <c:orientation val="minMax"/>
        </c:scaling>
        <c:delete val="0"/>
        <c:axPos val="l"/>
        <c:majorGridlines>
          <c:spPr>
            <a:ln>
              <a:solidFill>
                <a:schemeClr val="bg1">
                  <a:lumMod val="85000"/>
                </a:schemeClr>
              </a:solidFill>
            </a:ln>
          </c:spPr>
        </c:majorGridlines>
        <c:title>
          <c:tx>
            <c:strRef>
              <c:f>Table20[[#Headers],[OPEX $Million Real 2013-14]]</c:f>
              <c:strCache>
                <c:ptCount val="1"/>
                <c:pt idx="0">
                  <c:v>OPEX $Million Real 2013-14</c:v>
                </c:pt>
              </c:strCache>
            </c:strRef>
          </c:tx>
          <c:overlay val="0"/>
          <c:txPr>
            <a:bodyPr rot="-5400000" vert="horz"/>
            <a:lstStyle/>
            <a:p>
              <a:pPr>
                <a:defRPr/>
              </a:pPr>
              <a:endParaRPr lang="en-US"/>
            </a:p>
          </c:txPr>
        </c:title>
        <c:numFmt formatCode="_-* #,##0.0_-;\-* #,##0.0_-;_-* &quot;-&quot;??_-;_-@_-" sourceLinked="1"/>
        <c:majorTickMark val="out"/>
        <c:minorTickMark val="none"/>
        <c:tickLblPos val="nextTo"/>
        <c:crossAx val="35237824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'Forecast OPEX'!$A$126</c:f>
          <c:strCache>
            <c:ptCount val="1"/>
            <c:pt idx="0">
              <c:v>$m; Real 13-14</c:v>
            </c:pt>
          </c:strCache>
        </c:strRef>
      </c:tx>
      <c:overlay val="0"/>
    </c:title>
    <c:autoTitleDeleted val="0"/>
    <c:plotArea>
      <c:layout/>
      <c:barChart>
        <c:barDir val="col"/>
        <c:grouping val="clustered"/>
        <c:varyColors val="0"/>
        <c:ser>
          <c:idx val="0"/>
          <c:order val="0"/>
          <c:tx>
            <c:strRef>
              <c:f>'Forecast OPEX'!$A$127</c:f>
              <c:strCache>
                <c:ptCount val="1"/>
                <c:pt idx="0">
                  <c:v>Vegetation direct</c:v>
                </c:pt>
              </c:strCache>
            </c:strRef>
          </c:tx>
          <c:invertIfNegative val="0"/>
          <c:cat>
            <c:strRef>
              <c:f>'Forecast OPEX'!$B$126:$L$126</c:f>
              <c:strCache>
                <c:ptCount val="11"/>
                <c:pt idx="0">
                  <c:v>2008-09</c:v>
                </c:pt>
                <c:pt idx="1">
                  <c:v>2009-10</c:v>
                </c:pt>
                <c:pt idx="2">
                  <c:v>2010-11</c:v>
                </c:pt>
                <c:pt idx="3">
                  <c:v>2011-12</c:v>
                </c:pt>
                <c:pt idx="4">
                  <c:v>2012-13</c:v>
                </c:pt>
                <c:pt idx="5">
                  <c:v>2013-14</c:v>
                </c:pt>
                <c:pt idx="6">
                  <c:v>2014-15</c:v>
                </c:pt>
                <c:pt idx="7">
                  <c:v>2015-16</c:v>
                </c:pt>
                <c:pt idx="8">
                  <c:v>2016-17</c:v>
                </c:pt>
                <c:pt idx="9">
                  <c:v>2017-18</c:v>
                </c:pt>
                <c:pt idx="10">
                  <c:v>2018-19</c:v>
                </c:pt>
              </c:strCache>
            </c:strRef>
          </c:cat>
          <c:val>
            <c:numRef>
              <c:f>'Forecast OPEX'!$B$127:$L$127</c:f>
              <c:numCache>
                <c:formatCode>_-* #,##0_-;\-* #,##0_-;_-* "-"??_-;_-@_-</c:formatCode>
                <c:ptCount val="11"/>
                <c:pt idx="0" formatCode="General">
                  <c:v>46</c:v>
                </c:pt>
                <c:pt idx="1">
                  <c:v>57</c:v>
                </c:pt>
                <c:pt idx="2">
                  <c:v>65</c:v>
                </c:pt>
                <c:pt idx="3">
                  <c:v>99</c:v>
                </c:pt>
                <c:pt idx="4">
                  <c:v>117</c:v>
                </c:pt>
                <c:pt idx="5">
                  <c:v>110</c:v>
                </c:pt>
                <c:pt idx="6">
                  <c:v>118.51450604356796</c:v>
                </c:pt>
                <c:pt idx="7">
                  <c:v>116.50901641882305</c:v>
                </c:pt>
                <c:pt idx="8">
                  <c:v>102.38679518753408</c:v>
                </c:pt>
                <c:pt idx="9">
                  <c:v>105.20677701238296</c:v>
                </c:pt>
                <c:pt idx="10">
                  <c:v>96.355420634413477</c:v>
                </c:pt>
              </c:numCache>
            </c:numRef>
          </c:val>
        </c:ser>
        <c:dLbls>
          <c:showLegendKey val="0"/>
          <c:showVal val="0"/>
          <c:showCatName val="0"/>
          <c:showSerName val="0"/>
          <c:showPercent val="0"/>
          <c:showBubbleSize val="0"/>
        </c:dLbls>
        <c:gapWidth val="150"/>
        <c:axId val="352470144"/>
        <c:axId val="352471680"/>
      </c:barChart>
      <c:catAx>
        <c:axId val="352470144"/>
        <c:scaling>
          <c:orientation val="minMax"/>
        </c:scaling>
        <c:delete val="0"/>
        <c:axPos val="b"/>
        <c:majorTickMark val="out"/>
        <c:minorTickMark val="none"/>
        <c:tickLblPos val="nextTo"/>
        <c:crossAx val="352471680"/>
        <c:crosses val="autoZero"/>
        <c:auto val="1"/>
        <c:lblAlgn val="ctr"/>
        <c:lblOffset val="100"/>
        <c:noMultiLvlLbl val="0"/>
      </c:catAx>
      <c:valAx>
        <c:axId val="352471680"/>
        <c:scaling>
          <c:orientation val="minMax"/>
        </c:scaling>
        <c:delete val="0"/>
        <c:axPos val="l"/>
        <c:majorGridlines/>
        <c:numFmt formatCode="General" sourceLinked="1"/>
        <c:majorTickMark val="out"/>
        <c:minorTickMark val="none"/>
        <c:tickLblPos val="nextTo"/>
        <c:crossAx val="352470144"/>
        <c:crosses val="autoZero"/>
        <c:crossBetween val="between"/>
      </c:valAx>
    </c:plotArea>
    <c:legend>
      <c:legendPos val="r"/>
      <c:overlay val="0"/>
    </c:legend>
    <c:plotVisOnly val="1"/>
    <c:dispBlanksAs val="gap"/>
    <c:showDLblsOverMax val="0"/>
  </c:chart>
  <c:printSettings>
    <c:headerFooter/>
    <c:pageMargins b="0.75" l="0.7" r="0.7" t="0.75"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barChart>
        <c:barDir val="col"/>
        <c:grouping val="clustered"/>
        <c:varyColors val="0"/>
        <c:ser>
          <c:idx val="0"/>
          <c:order val="0"/>
          <c:tx>
            <c:strRef>
              <c:f>Graphs!$B$1</c:f>
              <c:strCache>
                <c:ptCount val="1"/>
                <c:pt idx="0">
                  <c:v>Powercor</c:v>
                </c:pt>
              </c:strCache>
            </c:strRef>
          </c:tx>
          <c:spPr>
            <a:solidFill>
              <a:schemeClr val="accent2"/>
            </a:solidFill>
          </c:spPr>
          <c:invertIfNegative val="0"/>
          <c:cat>
            <c:strRef>
              <c:f>Graphs!$A$2</c:f>
              <c:strCache>
                <c:ptCount val="1"/>
                <c:pt idx="0">
                  <c:v>Total Line Length</c:v>
                </c:pt>
              </c:strCache>
            </c:strRef>
          </c:cat>
          <c:val>
            <c:numRef>
              <c:f>Graphs!$B$2</c:f>
              <c:numCache>
                <c:formatCode>_-* #,##0_-;\-* #,##0_-;_-* "-"??_-;_-@_-</c:formatCode>
                <c:ptCount val="1"/>
                <c:pt idx="0">
                  <c:v>75088.23000000001</c:v>
                </c:pt>
              </c:numCache>
            </c:numRef>
          </c:val>
        </c:ser>
        <c:ser>
          <c:idx val="1"/>
          <c:order val="1"/>
          <c:tx>
            <c:strRef>
              <c:f>Graphs!$C$1</c:f>
              <c:strCache>
                <c:ptCount val="1"/>
                <c:pt idx="0">
                  <c:v>AusNet</c:v>
                </c:pt>
              </c:strCache>
            </c:strRef>
          </c:tx>
          <c:spPr>
            <a:solidFill>
              <a:schemeClr val="accent1"/>
            </a:solidFill>
          </c:spPr>
          <c:invertIfNegative val="0"/>
          <c:cat>
            <c:strRef>
              <c:f>Graphs!$A$2</c:f>
              <c:strCache>
                <c:ptCount val="1"/>
                <c:pt idx="0">
                  <c:v>Total Line Length</c:v>
                </c:pt>
              </c:strCache>
            </c:strRef>
          </c:cat>
          <c:val>
            <c:numRef>
              <c:f>Graphs!$C$2</c:f>
              <c:numCache>
                <c:formatCode>_-* #,##0_-;\-* #,##0_-;_-* "-"??_-;_-@_-</c:formatCode>
                <c:ptCount val="1"/>
                <c:pt idx="0">
                  <c:v>44616.377207440004</c:v>
                </c:pt>
              </c:numCache>
            </c:numRef>
          </c:val>
        </c:ser>
        <c:ser>
          <c:idx val="3"/>
          <c:order val="2"/>
          <c:tx>
            <c:strRef>
              <c:f>Graphs!$D$1</c:f>
              <c:strCache>
                <c:ptCount val="1"/>
                <c:pt idx="0">
                  <c:v>SA Power</c:v>
                </c:pt>
              </c:strCache>
            </c:strRef>
          </c:tx>
          <c:spPr>
            <a:solidFill>
              <a:schemeClr val="accent3"/>
            </a:solidFill>
          </c:spPr>
          <c:invertIfNegative val="0"/>
          <c:cat>
            <c:strRef>
              <c:f>Graphs!$A$2</c:f>
              <c:strCache>
                <c:ptCount val="1"/>
                <c:pt idx="0">
                  <c:v>Total Line Length</c:v>
                </c:pt>
              </c:strCache>
            </c:strRef>
          </c:cat>
          <c:val>
            <c:numRef>
              <c:f>Graphs!$D$2</c:f>
              <c:numCache>
                <c:formatCode>_-* #,##0_-;\-* #,##0_-;_-* "-"??_-;_-@_-</c:formatCode>
                <c:ptCount val="1"/>
                <c:pt idx="0">
                  <c:v>87895.373227180011</c:v>
                </c:pt>
              </c:numCache>
            </c:numRef>
          </c:val>
        </c:ser>
        <c:ser>
          <c:idx val="2"/>
          <c:order val="3"/>
          <c:tx>
            <c:strRef>
              <c:f>Graphs!$E$1</c:f>
              <c:strCache>
                <c:ptCount val="1"/>
                <c:pt idx="0">
                  <c:v>Essential</c:v>
                </c:pt>
              </c:strCache>
            </c:strRef>
          </c:tx>
          <c:spPr>
            <a:solidFill>
              <a:schemeClr val="accent6"/>
            </a:solidFill>
          </c:spPr>
          <c:invertIfNegative val="0"/>
          <c:cat>
            <c:strRef>
              <c:f>Graphs!$A$2</c:f>
              <c:strCache>
                <c:ptCount val="1"/>
                <c:pt idx="0">
                  <c:v>Total Line Length</c:v>
                </c:pt>
              </c:strCache>
            </c:strRef>
          </c:cat>
          <c:val>
            <c:numRef>
              <c:f>Graphs!$E$2</c:f>
              <c:numCache>
                <c:formatCode>_-* #,##0_-;\-* #,##0_-;_-* "-"??_-;_-@_-</c:formatCode>
                <c:ptCount val="1"/>
                <c:pt idx="0">
                  <c:v>193422.82999999952</c:v>
                </c:pt>
              </c:numCache>
            </c:numRef>
          </c:val>
        </c:ser>
        <c:ser>
          <c:idx val="4"/>
          <c:order val="4"/>
          <c:tx>
            <c:strRef>
              <c:f>Graphs!$F$1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Graphs!$A$2</c:f>
              <c:strCache>
                <c:ptCount val="1"/>
                <c:pt idx="0">
                  <c:v>Total Line Length</c:v>
                </c:pt>
              </c:strCache>
            </c:strRef>
          </c:cat>
          <c:val>
            <c:numRef>
              <c:f>Graphs!$F$2</c:f>
              <c:numCache>
                <c:formatCode>_-* #,##0_-;\-* #,##0_-;_-* "-"??_-;_-@_-</c:formatCode>
                <c:ptCount val="1"/>
                <c:pt idx="0">
                  <c:v>119704.60720744001</c:v>
                </c:pt>
              </c:numCache>
            </c:numRef>
          </c:val>
        </c:ser>
        <c:ser>
          <c:idx val="5"/>
          <c:order val="5"/>
          <c:tx>
            <c:strRef>
              <c:f>Graphs!$G$1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Graphs!$A$2</c:f>
              <c:strCache>
                <c:ptCount val="1"/>
                <c:pt idx="0">
                  <c:v>Total Line Length</c:v>
                </c:pt>
              </c:strCache>
            </c:strRef>
          </c:cat>
          <c:val>
            <c:numRef>
              <c:f>Graphs!$G$2</c:f>
              <c:numCache>
                <c:formatCode>_-* #,##0_-;\-* #,##0_-;_-* "-"??_-;_-@_-</c:formatCode>
                <c:ptCount val="1"/>
                <c:pt idx="0">
                  <c:v>162983.60322718002</c:v>
                </c:pt>
              </c:numCache>
            </c:numRef>
          </c:val>
        </c:ser>
        <c:dLbls>
          <c:showLegendKey val="0"/>
          <c:showVal val="0"/>
          <c:showCatName val="0"/>
          <c:showSerName val="0"/>
          <c:showPercent val="0"/>
          <c:showBubbleSize val="0"/>
        </c:dLbls>
        <c:gapWidth val="150"/>
        <c:axId val="349359488"/>
        <c:axId val="349373568"/>
      </c:barChart>
      <c:catAx>
        <c:axId val="349359488"/>
        <c:scaling>
          <c:orientation val="minMax"/>
        </c:scaling>
        <c:delete val="1"/>
        <c:axPos val="b"/>
        <c:majorTickMark val="out"/>
        <c:minorTickMark val="none"/>
        <c:tickLblPos val="nextTo"/>
        <c:crossAx val="349373568"/>
        <c:crosses val="autoZero"/>
        <c:auto val="1"/>
        <c:lblAlgn val="ctr"/>
        <c:lblOffset val="100"/>
        <c:noMultiLvlLbl val="0"/>
      </c:catAx>
      <c:valAx>
        <c:axId val="349373568"/>
        <c:scaling>
          <c:orientation val="minMax"/>
        </c:scaling>
        <c:delete val="0"/>
        <c:axPos val="l"/>
        <c:majorGridlines/>
        <c:title>
          <c:tx>
            <c:strRef>
              <c:f>Graphs!$A$2</c:f>
              <c:strCache>
                <c:ptCount val="1"/>
                <c:pt idx="0">
                  <c:v>Total Line Length</c:v>
                </c:pt>
              </c:strCache>
            </c:strRef>
          </c:tx>
          <c:overlay val="0"/>
          <c:txPr>
            <a:bodyPr rot="-5400000" vert="horz"/>
            <a:lstStyle/>
            <a:p>
              <a:pPr>
                <a:defRPr/>
              </a:pPr>
              <a:endParaRPr lang="en-US"/>
            </a:p>
          </c:txPr>
        </c:title>
        <c:numFmt formatCode="_-* #,##0_-;\-* #,##0_-;_-* &quot;-&quot;??_-;_-@_-" sourceLinked="1"/>
        <c:majorTickMark val="out"/>
        <c:minorTickMark val="none"/>
        <c:tickLblPos val="nextTo"/>
        <c:crossAx val="349359488"/>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Graphs!$T$1</c:f>
              <c:strCache>
                <c:ptCount val="1"/>
                <c:pt idx="0">
                  <c:v>Powercor</c:v>
                </c:pt>
              </c:strCache>
            </c:strRef>
          </c:tx>
          <c:spPr>
            <a:solidFill>
              <a:schemeClr val="accent2"/>
            </a:solidFill>
          </c:spPr>
          <c:invertIfNegative val="0"/>
          <c:cat>
            <c:strRef>
              <c:f>Graphs!$S$2</c:f>
              <c:strCache>
                <c:ptCount val="1"/>
                <c:pt idx="0">
                  <c:v>Total Assets</c:v>
                </c:pt>
              </c:strCache>
            </c:strRef>
          </c:cat>
          <c:val>
            <c:numRef>
              <c:f>Graphs!$T$2</c:f>
              <c:numCache>
                <c:formatCode>_-* #,##0_-;\-* #,##0_-;_-* "-"??_-;_-@_-</c:formatCode>
                <c:ptCount val="1"/>
                <c:pt idx="0">
                  <c:v>1217378.45</c:v>
                </c:pt>
              </c:numCache>
            </c:numRef>
          </c:val>
        </c:ser>
        <c:ser>
          <c:idx val="1"/>
          <c:order val="1"/>
          <c:tx>
            <c:strRef>
              <c:f>Graphs!$U$1</c:f>
              <c:strCache>
                <c:ptCount val="1"/>
                <c:pt idx="0">
                  <c:v>AusNet</c:v>
                </c:pt>
              </c:strCache>
            </c:strRef>
          </c:tx>
          <c:spPr>
            <a:solidFill>
              <a:schemeClr val="accent1"/>
            </a:solidFill>
          </c:spPr>
          <c:invertIfNegative val="0"/>
          <c:cat>
            <c:strRef>
              <c:f>Graphs!$S$2</c:f>
              <c:strCache>
                <c:ptCount val="1"/>
                <c:pt idx="0">
                  <c:v>Total Assets</c:v>
                </c:pt>
              </c:strCache>
            </c:strRef>
          </c:cat>
          <c:val>
            <c:numRef>
              <c:f>Graphs!$U$2</c:f>
              <c:numCache>
                <c:formatCode>_-* #,##0_-;\-* #,##0_-;_-* "-"??_-;_-@_-</c:formatCode>
                <c:ptCount val="1"/>
                <c:pt idx="0">
                  <c:v>691672.35720743996</c:v>
                </c:pt>
              </c:numCache>
            </c:numRef>
          </c:val>
        </c:ser>
        <c:ser>
          <c:idx val="3"/>
          <c:order val="2"/>
          <c:tx>
            <c:strRef>
              <c:f>Graphs!$V$1</c:f>
              <c:strCache>
                <c:ptCount val="1"/>
                <c:pt idx="0">
                  <c:v>SA Power</c:v>
                </c:pt>
              </c:strCache>
            </c:strRef>
          </c:tx>
          <c:spPr>
            <a:solidFill>
              <a:schemeClr val="accent3"/>
            </a:solidFill>
          </c:spPr>
          <c:invertIfNegative val="0"/>
          <c:cat>
            <c:strRef>
              <c:f>Graphs!$S$2</c:f>
              <c:strCache>
                <c:ptCount val="1"/>
                <c:pt idx="0">
                  <c:v>Total Assets</c:v>
                </c:pt>
              </c:strCache>
            </c:strRef>
          </c:cat>
          <c:val>
            <c:numRef>
              <c:f>Graphs!$V$2</c:f>
              <c:numCache>
                <c:formatCode>_-* #,##0_-;\-* #,##0_-;_-* "-"??_-;_-@_-</c:formatCode>
                <c:ptCount val="1"/>
                <c:pt idx="0">
                  <c:v>929407.86322717997</c:v>
                </c:pt>
              </c:numCache>
            </c:numRef>
          </c:val>
        </c:ser>
        <c:ser>
          <c:idx val="2"/>
          <c:order val="3"/>
          <c:tx>
            <c:strRef>
              <c:f>Graphs!$W$1</c:f>
              <c:strCache>
                <c:ptCount val="1"/>
                <c:pt idx="0">
                  <c:v>Essential</c:v>
                </c:pt>
              </c:strCache>
            </c:strRef>
          </c:tx>
          <c:spPr>
            <a:solidFill>
              <a:schemeClr val="accent6"/>
            </a:solidFill>
          </c:spPr>
          <c:invertIfNegative val="0"/>
          <c:cat>
            <c:strRef>
              <c:f>Graphs!$S$2</c:f>
              <c:strCache>
                <c:ptCount val="1"/>
                <c:pt idx="0">
                  <c:v>Total Assets</c:v>
                </c:pt>
              </c:strCache>
            </c:strRef>
          </c:cat>
          <c:val>
            <c:numRef>
              <c:f>Graphs!$W$2</c:f>
              <c:numCache>
                <c:formatCode>_-* #,##0_-;\-* #,##0_-;_-* "-"??_-;_-@_-</c:formatCode>
                <c:ptCount val="1"/>
                <c:pt idx="0">
                  <c:v>2343085.6011641417</c:v>
                </c:pt>
              </c:numCache>
            </c:numRef>
          </c:val>
        </c:ser>
        <c:ser>
          <c:idx val="4"/>
          <c:order val="4"/>
          <c:tx>
            <c:strRef>
              <c:f>Graphs!$X$1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Graphs!$S$2</c:f>
              <c:strCache>
                <c:ptCount val="1"/>
                <c:pt idx="0">
                  <c:v>Total Assets</c:v>
                </c:pt>
              </c:strCache>
            </c:strRef>
          </c:cat>
          <c:val>
            <c:numRef>
              <c:f>Graphs!$X$2</c:f>
              <c:numCache>
                <c:formatCode>_-* #,##0_-;\-* #,##0_-;_-* "-"??_-;_-@_-</c:formatCode>
                <c:ptCount val="1"/>
                <c:pt idx="0">
                  <c:v>1909050.80720744</c:v>
                </c:pt>
              </c:numCache>
            </c:numRef>
          </c:val>
        </c:ser>
        <c:ser>
          <c:idx val="5"/>
          <c:order val="5"/>
          <c:tx>
            <c:strRef>
              <c:f>Graphs!$Y$1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Graphs!$S$2</c:f>
              <c:strCache>
                <c:ptCount val="1"/>
                <c:pt idx="0">
                  <c:v>Total Assets</c:v>
                </c:pt>
              </c:strCache>
            </c:strRef>
          </c:cat>
          <c:val>
            <c:numRef>
              <c:f>Graphs!$Y$2</c:f>
              <c:numCache>
                <c:formatCode>_-* #,##0_-;\-* #,##0_-;_-* "-"??_-;_-@_-</c:formatCode>
                <c:ptCount val="1"/>
                <c:pt idx="0">
                  <c:v>2146786.3132271799</c:v>
                </c:pt>
              </c:numCache>
            </c:numRef>
          </c:val>
        </c:ser>
        <c:dLbls>
          <c:showLegendKey val="0"/>
          <c:showVal val="0"/>
          <c:showCatName val="0"/>
          <c:showSerName val="0"/>
          <c:showPercent val="0"/>
          <c:showBubbleSize val="0"/>
        </c:dLbls>
        <c:gapWidth val="150"/>
        <c:axId val="349426816"/>
        <c:axId val="349428352"/>
      </c:barChart>
      <c:catAx>
        <c:axId val="349426816"/>
        <c:scaling>
          <c:orientation val="minMax"/>
        </c:scaling>
        <c:delete val="1"/>
        <c:axPos val="b"/>
        <c:majorTickMark val="out"/>
        <c:minorTickMark val="none"/>
        <c:tickLblPos val="nextTo"/>
        <c:crossAx val="349428352"/>
        <c:crosses val="autoZero"/>
        <c:auto val="1"/>
        <c:lblAlgn val="ctr"/>
        <c:lblOffset val="100"/>
        <c:noMultiLvlLbl val="0"/>
      </c:catAx>
      <c:valAx>
        <c:axId val="349428352"/>
        <c:scaling>
          <c:orientation val="minMax"/>
        </c:scaling>
        <c:delete val="0"/>
        <c:axPos val="l"/>
        <c:majorGridlines/>
        <c:title>
          <c:tx>
            <c:strRef>
              <c:f>Graphs!$S$1</c:f>
              <c:strCache>
                <c:ptCount val="1"/>
                <c:pt idx="0">
                  <c:v>Total Assets (Asset)</c:v>
                </c:pt>
              </c:strCache>
            </c:strRef>
          </c:tx>
          <c:overlay val="0"/>
          <c:txPr>
            <a:bodyPr rot="-5400000" vert="horz"/>
            <a:lstStyle/>
            <a:p>
              <a:pPr>
                <a:defRPr/>
              </a:pPr>
              <a:endParaRPr lang="en-US"/>
            </a:p>
          </c:txPr>
        </c:title>
        <c:numFmt formatCode="_-* #,##0_-;\-* #,##0_-;_-* &quot;-&quot;??_-;_-@_-" sourceLinked="1"/>
        <c:majorTickMark val="out"/>
        <c:minorTickMark val="none"/>
        <c:tickLblPos val="nextTo"/>
        <c:crossAx val="349426816"/>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Graphs!$K$1</c:f>
              <c:strCache>
                <c:ptCount val="1"/>
                <c:pt idx="0">
                  <c:v>Powercor</c:v>
                </c:pt>
              </c:strCache>
            </c:strRef>
          </c:tx>
          <c:spPr>
            <a:solidFill>
              <a:schemeClr val="accent2"/>
            </a:solidFill>
          </c:spPr>
          <c:invertIfNegative val="0"/>
          <c:cat>
            <c:strRef>
              <c:f>Graphs!$J$2</c:f>
              <c:strCache>
                <c:ptCount val="1"/>
                <c:pt idx="0">
                  <c:v>Total Poles</c:v>
                </c:pt>
              </c:strCache>
            </c:strRef>
          </c:cat>
          <c:val>
            <c:numRef>
              <c:f>Graphs!$K$2</c:f>
              <c:numCache>
                <c:formatCode>_-* #,##0_-;\-* #,##0_-;_-* "-"??_-;_-@_-</c:formatCode>
                <c:ptCount val="1"/>
                <c:pt idx="0">
                  <c:v>547567</c:v>
                </c:pt>
              </c:numCache>
            </c:numRef>
          </c:val>
        </c:ser>
        <c:ser>
          <c:idx val="1"/>
          <c:order val="1"/>
          <c:tx>
            <c:strRef>
              <c:f>Graphs!$L$1</c:f>
              <c:strCache>
                <c:ptCount val="1"/>
                <c:pt idx="0">
                  <c:v>AusNet</c:v>
                </c:pt>
              </c:strCache>
            </c:strRef>
          </c:tx>
          <c:spPr>
            <a:solidFill>
              <a:schemeClr val="accent1"/>
            </a:solidFill>
          </c:spPr>
          <c:invertIfNegative val="0"/>
          <c:cat>
            <c:strRef>
              <c:f>Graphs!$J$2</c:f>
              <c:strCache>
                <c:ptCount val="1"/>
                <c:pt idx="0">
                  <c:v>Total Poles</c:v>
                </c:pt>
              </c:strCache>
            </c:strRef>
          </c:cat>
          <c:val>
            <c:numRef>
              <c:f>Graphs!$L$2</c:f>
              <c:numCache>
                <c:formatCode>_-* #,##0_-;\-* #,##0_-;_-* "-"??_-;_-@_-</c:formatCode>
                <c:ptCount val="1"/>
                <c:pt idx="0">
                  <c:v>372147</c:v>
                </c:pt>
              </c:numCache>
            </c:numRef>
          </c:val>
        </c:ser>
        <c:ser>
          <c:idx val="3"/>
          <c:order val="2"/>
          <c:tx>
            <c:strRef>
              <c:f>Graphs!$M$1</c:f>
              <c:strCache>
                <c:ptCount val="1"/>
                <c:pt idx="0">
                  <c:v>SA Power</c:v>
                </c:pt>
              </c:strCache>
            </c:strRef>
          </c:tx>
          <c:spPr>
            <a:solidFill>
              <a:schemeClr val="accent3"/>
            </a:solidFill>
          </c:spPr>
          <c:invertIfNegative val="0"/>
          <c:cat>
            <c:strRef>
              <c:f>Graphs!$J$2</c:f>
              <c:strCache>
                <c:ptCount val="1"/>
                <c:pt idx="0">
                  <c:v>Total Poles</c:v>
                </c:pt>
              </c:strCache>
            </c:strRef>
          </c:cat>
          <c:val>
            <c:numRef>
              <c:f>Graphs!$M$2</c:f>
              <c:numCache>
                <c:formatCode>_-* #,##0_-;\-* #,##0_-;_-* "-"??_-;_-@_-</c:formatCode>
                <c:ptCount val="1"/>
                <c:pt idx="0">
                  <c:v>739709</c:v>
                </c:pt>
              </c:numCache>
            </c:numRef>
          </c:val>
        </c:ser>
        <c:ser>
          <c:idx val="2"/>
          <c:order val="3"/>
          <c:tx>
            <c:strRef>
              <c:f>Graphs!$N$1</c:f>
              <c:strCache>
                <c:ptCount val="1"/>
                <c:pt idx="0">
                  <c:v>Essential</c:v>
                </c:pt>
              </c:strCache>
            </c:strRef>
          </c:tx>
          <c:spPr>
            <a:solidFill>
              <a:schemeClr val="accent6"/>
            </a:solidFill>
          </c:spPr>
          <c:invertIfNegative val="0"/>
          <c:cat>
            <c:strRef>
              <c:f>Graphs!$J$2</c:f>
              <c:strCache>
                <c:ptCount val="1"/>
                <c:pt idx="0">
                  <c:v>Total Poles</c:v>
                </c:pt>
              </c:strCache>
            </c:strRef>
          </c:cat>
          <c:val>
            <c:numRef>
              <c:f>Graphs!$N$2</c:f>
              <c:numCache>
                <c:formatCode>_-* #,##0_-;\-* #,##0_-;_-* "-"??_-;_-@_-</c:formatCode>
                <c:ptCount val="1"/>
                <c:pt idx="0">
                  <c:v>1377483</c:v>
                </c:pt>
              </c:numCache>
            </c:numRef>
          </c:val>
        </c:ser>
        <c:ser>
          <c:idx val="4"/>
          <c:order val="4"/>
          <c:tx>
            <c:strRef>
              <c:f>Graphs!$O$1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Graphs!$J$2</c:f>
              <c:strCache>
                <c:ptCount val="1"/>
                <c:pt idx="0">
                  <c:v>Total Poles</c:v>
                </c:pt>
              </c:strCache>
            </c:strRef>
          </c:cat>
          <c:val>
            <c:numRef>
              <c:f>Graphs!$O$2</c:f>
              <c:numCache>
                <c:formatCode>_-* #,##0_-;\-* #,##0_-;_-* "-"??_-;_-@_-</c:formatCode>
                <c:ptCount val="1"/>
                <c:pt idx="0">
                  <c:v>919714</c:v>
                </c:pt>
              </c:numCache>
            </c:numRef>
          </c:val>
        </c:ser>
        <c:ser>
          <c:idx val="5"/>
          <c:order val="5"/>
          <c:tx>
            <c:strRef>
              <c:f>Graphs!$P$1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Graphs!$J$2</c:f>
              <c:strCache>
                <c:ptCount val="1"/>
                <c:pt idx="0">
                  <c:v>Total Poles</c:v>
                </c:pt>
              </c:strCache>
            </c:strRef>
          </c:cat>
          <c:val>
            <c:numRef>
              <c:f>Graphs!$P$2</c:f>
              <c:numCache>
                <c:formatCode>_-* #,##0_-;\-* #,##0_-;_-* "-"??_-;_-@_-</c:formatCode>
                <c:ptCount val="1"/>
                <c:pt idx="0">
                  <c:v>1287276</c:v>
                </c:pt>
              </c:numCache>
            </c:numRef>
          </c:val>
        </c:ser>
        <c:dLbls>
          <c:showLegendKey val="0"/>
          <c:showVal val="0"/>
          <c:showCatName val="0"/>
          <c:showSerName val="0"/>
          <c:showPercent val="0"/>
          <c:showBubbleSize val="0"/>
        </c:dLbls>
        <c:gapWidth val="150"/>
        <c:axId val="351873664"/>
        <c:axId val="351875456"/>
      </c:barChart>
      <c:catAx>
        <c:axId val="351873664"/>
        <c:scaling>
          <c:orientation val="minMax"/>
        </c:scaling>
        <c:delete val="1"/>
        <c:axPos val="b"/>
        <c:majorTickMark val="out"/>
        <c:minorTickMark val="none"/>
        <c:tickLblPos val="nextTo"/>
        <c:crossAx val="351875456"/>
        <c:crosses val="autoZero"/>
        <c:auto val="1"/>
        <c:lblAlgn val="ctr"/>
        <c:lblOffset val="100"/>
        <c:noMultiLvlLbl val="0"/>
      </c:catAx>
      <c:valAx>
        <c:axId val="351875456"/>
        <c:scaling>
          <c:orientation val="minMax"/>
        </c:scaling>
        <c:delete val="0"/>
        <c:axPos val="l"/>
        <c:majorGridlines/>
        <c:title>
          <c:tx>
            <c:strRef>
              <c:f>Graphs!$J$2</c:f>
              <c:strCache>
                <c:ptCount val="1"/>
                <c:pt idx="0">
                  <c:v>Total Poles</c:v>
                </c:pt>
              </c:strCache>
            </c:strRef>
          </c:tx>
          <c:overlay val="0"/>
          <c:txPr>
            <a:bodyPr rot="-5400000" vert="horz"/>
            <a:lstStyle/>
            <a:p>
              <a:pPr>
                <a:defRPr/>
              </a:pPr>
              <a:endParaRPr lang="en-US"/>
            </a:p>
          </c:txPr>
        </c:title>
        <c:numFmt formatCode="_-* #,##0_-;\-* #,##0_-;_-* &quot;-&quot;??_-;_-@_-" sourceLinked="1"/>
        <c:majorTickMark val="out"/>
        <c:minorTickMark val="none"/>
        <c:tickLblPos val="nextTo"/>
        <c:crossAx val="351873664"/>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Graphs!$AC$1</c:f>
              <c:strCache>
                <c:ptCount val="1"/>
                <c:pt idx="0">
                  <c:v>Powercor</c:v>
                </c:pt>
              </c:strCache>
            </c:strRef>
          </c:tx>
          <c:spPr>
            <a:solidFill>
              <a:schemeClr val="accent2"/>
            </a:solidFill>
          </c:spPr>
          <c:invertIfNegative val="0"/>
          <c:cat>
            <c:strRef>
              <c:f>Graphs!$AB$2</c:f>
              <c:strCache>
                <c:ptCount val="1"/>
                <c:pt idx="0">
                  <c:v>Customer Count</c:v>
                </c:pt>
              </c:strCache>
            </c:strRef>
          </c:cat>
          <c:val>
            <c:numRef>
              <c:f>Graphs!$AC$2</c:f>
              <c:numCache>
                <c:formatCode>_-* #,##0_-;\-* #,##0_-;_-* "-"??_-;_-@_-</c:formatCode>
                <c:ptCount val="1"/>
                <c:pt idx="0">
                  <c:v>753913</c:v>
                </c:pt>
              </c:numCache>
            </c:numRef>
          </c:val>
        </c:ser>
        <c:ser>
          <c:idx val="1"/>
          <c:order val="1"/>
          <c:tx>
            <c:strRef>
              <c:f>Graphs!$AD$1</c:f>
              <c:strCache>
                <c:ptCount val="1"/>
                <c:pt idx="0">
                  <c:v>AusNet</c:v>
                </c:pt>
              </c:strCache>
            </c:strRef>
          </c:tx>
          <c:spPr>
            <a:solidFill>
              <a:schemeClr val="accent1"/>
            </a:solidFill>
          </c:spPr>
          <c:invertIfNegative val="0"/>
          <c:cat>
            <c:strRef>
              <c:f>Graphs!$AB$2</c:f>
              <c:strCache>
                <c:ptCount val="1"/>
                <c:pt idx="0">
                  <c:v>Customer Count</c:v>
                </c:pt>
              </c:strCache>
            </c:strRef>
          </c:cat>
          <c:val>
            <c:numRef>
              <c:f>Graphs!$AD$2</c:f>
              <c:numCache>
                <c:formatCode>_-* #,##0_-;\-* #,##0_-;_-* "-"??_-;_-@_-</c:formatCode>
                <c:ptCount val="1"/>
                <c:pt idx="0">
                  <c:v>681299</c:v>
                </c:pt>
              </c:numCache>
            </c:numRef>
          </c:val>
        </c:ser>
        <c:ser>
          <c:idx val="3"/>
          <c:order val="2"/>
          <c:tx>
            <c:strRef>
              <c:f>Graphs!$AE$1</c:f>
              <c:strCache>
                <c:ptCount val="1"/>
                <c:pt idx="0">
                  <c:v>SA Power</c:v>
                </c:pt>
              </c:strCache>
            </c:strRef>
          </c:tx>
          <c:spPr>
            <a:solidFill>
              <a:schemeClr val="accent3"/>
            </a:solidFill>
          </c:spPr>
          <c:invertIfNegative val="0"/>
          <c:cat>
            <c:strRef>
              <c:f>Graphs!$AB$2</c:f>
              <c:strCache>
                <c:ptCount val="1"/>
                <c:pt idx="0">
                  <c:v>Customer Count</c:v>
                </c:pt>
              </c:strCache>
            </c:strRef>
          </c:cat>
          <c:val>
            <c:numRef>
              <c:f>Graphs!$AE$2</c:f>
              <c:numCache>
                <c:formatCode>_-* #,##0_-;\-* #,##0_-;_-* "-"??_-;_-@_-</c:formatCode>
                <c:ptCount val="1"/>
                <c:pt idx="0">
                  <c:v>847766</c:v>
                </c:pt>
              </c:numCache>
            </c:numRef>
          </c:val>
        </c:ser>
        <c:ser>
          <c:idx val="2"/>
          <c:order val="3"/>
          <c:tx>
            <c:strRef>
              <c:f>Graphs!$AF$1</c:f>
              <c:strCache>
                <c:ptCount val="1"/>
                <c:pt idx="0">
                  <c:v>Essential</c:v>
                </c:pt>
              </c:strCache>
            </c:strRef>
          </c:tx>
          <c:spPr>
            <a:solidFill>
              <a:schemeClr val="accent6"/>
            </a:solidFill>
          </c:spPr>
          <c:invertIfNegative val="0"/>
          <c:cat>
            <c:strRef>
              <c:f>Graphs!$AB$2</c:f>
              <c:strCache>
                <c:ptCount val="1"/>
                <c:pt idx="0">
                  <c:v>Customer Count</c:v>
                </c:pt>
              </c:strCache>
            </c:strRef>
          </c:cat>
          <c:val>
            <c:numRef>
              <c:f>Graphs!$AF$2</c:f>
              <c:numCache>
                <c:formatCode>_-* #,##0_-;\-* #,##0_-;_-* "-"??_-;_-@_-</c:formatCode>
                <c:ptCount val="1"/>
                <c:pt idx="0">
                  <c:v>844244</c:v>
                </c:pt>
              </c:numCache>
            </c:numRef>
          </c:val>
        </c:ser>
        <c:ser>
          <c:idx val="4"/>
          <c:order val="4"/>
          <c:tx>
            <c:strRef>
              <c:f>Graphs!$AG$1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Graphs!$AB$2</c:f>
              <c:strCache>
                <c:ptCount val="1"/>
                <c:pt idx="0">
                  <c:v>Customer Count</c:v>
                </c:pt>
              </c:strCache>
            </c:strRef>
          </c:cat>
          <c:val>
            <c:numRef>
              <c:f>Graphs!$AG$2</c:f>
              <c:numCache>
                <c:formatCode>_-* #,##0_-;\-* #,##0_-;_-* "-"??_-;_-@_-</c:formatCode>
                <c:ptCount val="1"/>
                <c:pt idx="0">
                  <c:v>1435212</c:v>
                </c:pt>
              </c:numCache>
            </c:numRef>
          </c:val>
        </c:ser>
        <c:ser>
          <c:idx val="5"/>
          <c:order val="5"/>
          <c:tx>
            <c:strRef>
              <c:f>Graphs!$AH$1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Graphs!$AB$2</c:f>
              <c:strCache>
                <c:ptCount val="1"/>
                <c:pt idx="0">
                  <c:v>Customer Count</c:v>
                </c:pt>
              </c:strCache>
            </c:strRef>
          </c:cat>
          <c:val>
            <c:numRef>
              <c:f>Graphs!$AH$2</c:f>
              <c:numCache>
                <c:formatCode>_-* #,##0_-;\-* #,##0_-;_-* "-"??_-;_-@_-</c:formatCode>
                <c:ptCount val="1"/>
                <c:pt idx="0">
                  <c:v>1601679</c:v>
                </c:pt>
              </c:numCache>
            </c:numRef>
          </c:val>
        </c:ser>
        <c:dLbls>
          <c:showLegendKey val="0"/>
          <c:showVal val="0"/>
          <c:showCatName val="0"/>
          <c:showSerName val="0"/>
          <c:showPercent val="0"/>
          <c:showBubbleSize val="0"/>
        </c:dLbls>
        <c:gapWidth val="150"/>
        <c:axId val="351936896"/>
        <c:axId val="351938432"/>
      </c:barChart>
      <c:catAx>
        <c:axId val="351936896"/>
        <c:scaling>
          <c:orientation val="minMax"/>
        </c:scaling>
        <c:delete val="1"/>
        <c:axPos val="b"/>
        <c:majorTickMark val="out"/>
        <c:minorTickMark val="none"/>
        <c:tickLblPos val="nextTo"/>
        <c:crossAx val="351938432"/>
        <c:crosses val="autoZero"/>
        <c:auto val="1"/>
        <c:lblAlgn val="ctr"/>
        <c:lblOffset val="100"/>
        <c:noMultiLvlLbl val="0"/>
      </c:catAx>
      <c:valAx>
        <c:axId val="351938432"/>
        <c:scaling>
          <c:orientation val="minMax"/>
        </c:scaling>
        <c:delete val="0"/>
        <c:axPos val="l"/>
        <c:majorGridlines/>
        <c:title>
          <c:tx>
            <c:strRef>
              <c:f>Graphs!$AB$2</c:f>
              <c:strCache>
                <c:ptCount val="1"/>
                <c:pt idx="0">
                  <c:v>Customer Count</c:v>
                </c:pt>
              </c:strCache>
            </c:strRef>
          </c:tx>
          <c:overlay val="0"/>
          <c:txPr>
            <a:bodyPr rot="-5400000" vert="horz"/>
            <a:lstStyle/>
            <a:p>
              <a:pPr>
                <a:defRPr/>
              </a:pPr>
              <a:endParaRPr lang="en-US"/>
            </a:p>
          </c:txPr>
        </c:title>
        <c:numFmt formatCode="_-* #,##0_-;\-* #,##0_-;_-* &quot;-&quot;??_-;_-@_-" sourceLinked="1"/>
        <c:majorTickMark val="out"/>
        <c:minorTickMark val="none"/>
        <c:tickLblPos val="nextTo"/>
        <c:crossAx val="351936896"/>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Graphs!$B$41</c:f>
              <c:strCache>
                <c:ptCount val="1"/>
                <c:pt idx="0">
                  <c:v>Powercor</c:v>
                </c:pt>
              </c:strCache>
            </c:strRef>
          </c:tx>
          <c:spPr>
            <a:solidFill>
              <a:schemeClr val="accent2"/>
            </a:solidFill>
          </c:spPr>
          <c:invertIfNegative val="0"/>
          <c:cat>
            <c:strRef>
              <c:f>Graphs!$A$42</c:f>
              <c:strCache>
                <c:ptCount val="1"/>
                <c:pt idx="0">
                  <c:v>Total Line Length</c:v>
                </c:pt>
              </c:strCache>
            </c:strRef>
          </c:cat>
          <c:val>
            <c:numRef>
              <c:f>Graphs!$B$42</c:f>
              <c:numCache>
                <c:formatCode>_-"$"* #,##0_-;\-"$"* #,##0_-;_-"$"* "-"??_-;_-@_-</c:formatCode>
                <c:ptCount val="1"/>
                <c:pt idx="0">
                  <c:v>229.64621706947517</c:v>
                </c:pt>
              </c:numCache>
            </c:numRef>
          </c:val>
        </c:ser>
        <c:ser>
          <c:idx val="1"/>
          <c:order val="1"/>
          <c:tx>
            <c:strRef>
              <c:f>Graphs!$C$41</c:f>
              <c:strCache>
                <c:ptCount val="1"/>
                <c:pt idx="0">
                  <c:v>AusNet</c:v>
                </c:pt>
              </c:strCache>
            </c:strRef>
          </c:tx>
          <c:spPr>
            <a:solidFill>
              <a:schemeClr val="accent1"/>
            </a:solidFill>
          </c:spPr>
          <c:invertIfNegative val="0"/>
          <c:cat>
            <c:strRef>
              <c:f>Graphs!$A$42</c:f>
              <c:strCache>
                <c:ptCount val="1"/>
                <c:pt idx="0">
                  <c:v>Total Line Length</c:v>
                </c:pt>
              </c:strCache>
            </c:strRef>
          </c:cat>
          <c:val>
            <c:numRef>
              <c:f>Graphs!$C$42</c:f>
              <c:numCache>
                <c:formatCode>_-"$"* #,##0_-;\-"$"* #,##0_-;_-"$"* "-"??_-;_-@_-</c:formatCode>
                <c:ptCount val="1"/>
                <c:pt idx="0">
                  <c:v>249.22776734651026</c:v>
                </c:pt>
              </c:numCache>
            </c:numRef>
          </c:val>
        </c:ser>
        <c:ser>
          <c:idx val="3"/>
          <c:order val="2"/>
          <c:tx>
            <c:strRef>
              <c:f>Graphs!$D$41</c:f>
              <c:strCache>
                <c:ptCount val="1"/>
                <c:pt idx="0">
                  <c:v>SA Power</c:v>
                </c:pt>
              </c:strCache>
            </c:strRef>
          </c:tx>
          <c:spPr>
            <a:solidFill>
              <a:schemeClr val="accent3"/>
            </a:solidFill>
          </c:spPr>
          <c:invertIfNegative val="0"/>
          <c:cat>
            <c:strRef>
              <c:f>Graphs!$A$42</c:f>
              <c:strCache>
                <c:ptCount val="1"/>
                <c:pt idx="0">
                  <c:v>Total Line Length</c:v>
                </c:pt>
              </c:strCache>
            </c:strRef>
          </c:cat>
          <c:val>
            <c:numRef>
              <c:f>Graphs!$D$42</c:f>
              <c:numCache>
                <c:formatCode>_-"$"* #,##0_-;\-"$"* #,##0_-;_-"$"* "-"??_-;_-@_-</c:formatCode>
                <c:ptCount val="1"/>
                <c:pt idx="0">
                  <c:v>152.03362653817638</c:v>
                </c:pt>
              </c:numCache>
            </c:numRef>
          </c:val>
        </c:ser>
        <c:ser>
          <c:idx val="2"/>
          <c:order val="3"/>
          <c:tx>
            <c:strRef>
              <c:f>Graphs!$E$41</c:f>
              <c:strCache>
                <c:ptCount val="1"/>
                <c:pt idx="0">
                  <c:v>Essential</c:v>
                </c:pt>
              </c:strCache>
            </c:strRef>
          </c:tx>
          <c:spPr>
            <a:solidFill>
              <a:schemeClr val="accent6"/>
            </a:solidFill>
          </c:spPr>
          <c:invertIfNegative val="0"/>
          <c:cat>
            <c:strRef>
              <c:f>Graphs!$A$42</c:f>
              <c:strCache>
                <c:ptCount val="1"/>
                <c:pt idx="0">
                  <c:v>Total Line Length</c:v>
                </c:pt>
              </c:strCache>
            </c:strRef>
          </c:cat>
          <c:val>
            <c:numRef>
              <c:f>Graphs!$E$42</c:f>
              <c:numCache>
                <c:formatCode>_-"$"* #,##0_-;\-"$"* #,##0_-;_-"$"* "-"??_-;_-@_-</c:formatCode>
                <c:ptCount val="1"/>
                <c:pt idx="0">
                  <c:v>192.84994543191306</c:v>
                </c:pt>
              </c:numCache>
            </c:numRef>
          </c:val>
        </c:ser>
        <c:ser>
          <c:idx val="4"/>
          <c:order val="4"/>
          <c:tx>
            <c:strRef>
              <c:f>Graphs!$F$41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Graphs!$A$42</c:f>
              <c:strCache>
                <c:ptCount val="1"/>
                <c:pt idx="0">
                  <c:v>Total Line Length</c:v>
                </c:pt>
              </c:strCache>
            </c:strRef>
          </c:cat>
          <c:val>
            <c:numRef>
              <c:f>Graphs!$F$42</c:f>
              <c:numCache>
                <c:formatCode>_-"$"* #,##0_-;\-"$"* #,##0_-;_-"$"* "-"??_-;_-@_-</c:formatCode>
                <c:ptCount val="1"/>
                <c:pt idx="0">
                  <c:v>236.94466492246934</c:v>
                </c:pt>
              </c:numCache>
            </c:numRef>
          </c:val>
        </c:ser>
        <c:ser>
          <c:idx val="5"/>
          <c:order val="5"/>
          <c:tx>
            <c:strRef>
              <c:f>Graphs!$G$41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Graphs!$A$42</c:f>
              <c:strCache>
                <c:ptCount val="1"/>
                <c:pt idx="0">
                  <c:v>Total Line Length</c:v>
                </c:pt>
              </c:strCache>
            </c:strRef>
          </c:cat>
          <c:val>
            <c:numRef>
              <c:f>Graphs!$G$42</c:f>
              <c:numCache>
                <c:formatCode>_-"$"* #,##0_-;\-"$"* #,##0_-;_-"$"* "-"??_-;_-@_-</c:formatCode>
                <c:ptCount val="1"/>
                <c:pt idx="0">
                  <c:v>187.7905489114456</c:v>
                </c:pt>
              </c:numCache>
            </c:numRef>
          </c:val>
        </c:ser>
        <c:dLbls>
          <c:showLegendKey val="0"/>
          <c:showVal val="0"/>
          <c:showCatName val="0"/>
          <c:showSerName val="0"/>
          <c:showPercent val="0"/>
          <c:showBubbleSize val="0"/>
        </c:dLbls>
        <c:gapWidth val="150"/>
        <c:axId val="351999872"/>
        <c:axId val="352001408"/>
      </c:barChart>
      <c:catAx>
        <c:axId val="351999872"/>
        <c:scaling>
          <c:orientation val="minMax"/>
        </c:scaling>
        <c:delete val="1"/>
        <c:axPos val="b"/>
        <c:majorTickMark val="out"/>
        <c:minorTickMark val="none"/>
        <c:tickLblPos val="nextTo"/>
        <c:crossAx val="352001408"/>
        <c:crosses val="autoZero"/>
        <c:auto val="1"/>
        <c:lblAlgn val="ctr"/>
        <c:lblOffset val="100"/>
        <c:noMultiLvlLbl val="0"/>
      </c:catAx>
      <c:valAx>
        <c:axId val="352001408"/>
        <c:scaling>
          <c:orientation val="minMax"/>
        </c:scaling>
        <c:delete val="0"/>
        <c:axPos val="l"/>
        <c:majorGridlines/>
        <c:title>
          <c:tx>
            <c:strRef>
              <c:f>Graphs!$A$41</c:f>
              <c:strCache>
                <c:ptCount val="1"/>
                <c:pt idx="0">
                  <c:v>Routine Maintenance Avg Annual Opex per km (Total Line Length)</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51999872"/>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Graphs!$T$41</c:f>
              <c:strCache>
                <c:ptCount val="1"/>
                <c:pt idx="0">
                  <c:v>Powercor</c:v>
                </c:pt>
              </c:strCache>
            </c:strRef>
          </c:tx>
          <c:spPr>
            <a:solidFill>
              <a:schemeClr val="accent2"/>
            </a:solidFill>
          </c:spPr>
          <c:invertIfNegative val="0"/>
          <c:cat>
            <c:strRef>
              <c:f>Graphs!$S$42</c:f>
              <c:strCache>
                <c:ptCount val="1"/>
                <c:pt idx="0">
                  <c:v>Total Line Length</c:v>
                </c:pt>
              </c:strCache>
            </c:strRef>
          </c:cat>
          <c:val>
            <c:numRef>
              <c:f>Graphs!$T$42</c:f>
              <c:numCache>
                <c:formatCode>_-"$"* #,##0_-;\-"$"* #,##0_-;_-"$"* "-"??_-;_-@_-</c:formatCode>
                <c:ptCount val="1"/>
                <c:pt idx="0">
                  <c:v>229.64621706947517</c:v>
                </c:pt>
              </c:numCache>
            </c:numRef>
          </c:val>
        </c:ser>
        <c:ser>
          <c:idx val="1"/>
          <c:order val="1"/>
          <c:tx>
            <c:strRef>
              <c:f>Graphs!$U$41</c:f>
              <c:strCache>
                <c:ptCount val="1"/>
                <c:pt idx="0">
                  <c:v>AusNet</c:v>
                </c:pt>
              </c:strCache>
            </c:strRef>
          </c:tx>
          <c:spPr>
            <a:solidFill>
              <a:schemeClr val="accent1"/>
            </a:solidFill>
          </c:spPr>
          <c:invertIfNegative val="0"/>
          <c:cat>
            <c:strRef>
              <c:f>Graphs!$S$42</c:f>
              <c:strCache>
                <c:ptCount val="1"/>
                <c:pt idx="0">
                  <c:v>Total Line Length</c:v>
                </c:pt>
              </c:strCache>
            </c:strRef>
          </c:cat>
          <c:val>
            <c:numRef>
              <c:f>Graphs!$U$42</c:f>
              <c:numCache>
                <c:formatCode>_-"$"* #,##0_-;\-"$"* #,##0_-;_-"$"* "-"??_-;_-@_-</c:formatCode>
                <c:ptCount val="1"/>
                <c:pt idx="0">
                  <c:v>249.22776734651026</c:v>
                </c:pt>
              </c:numCache>
            </c:numRef>
          </c:val>
        </c:ser>
        <c:ser>
          <c:idx val="3"/>
          <c:order val="2"/>
          <c:tx>
            <c:strRef>
              <c:f>Graphs!$V$41</c:f>
              <c:strCache>
                <c:ptCount val="1"/>
                <c:pt idx="0">
                  <c:v>SA Power</c:v>
                </c:pt>
              </c:strCache>
            </c:strRef>
          </c:tx>
          <c:spPr>
            <a:solidFill>
              <a:schemeClr val="accent3"/>
            </a:solidFill>
          </c:spPr>
          <c:invertIfNegative val="0"/>
          <c:cat>
            <c:strRef>
              <c:f>Graphs!$S$42</c:f>
              <c:strCache>
                <c:ptCount val="1"/>
                <c:pt idx="0">
                  <c:v>Total Line Length</c:v>
                </c:pt>
              </c:strCache>
            </c:strRef>
          </c:cat>
          <c:val>
            <c:numRef>
              <c:f>Graphs!$V$42</c:f>
              <c:numCache>
                <c:formatCode>_-"$"* #,##0_-;\-"$"* #,##0_-;_-"$"* "-"??_-;_-@_-</c:formatCode>
                <c:ptCount val="1"/>
                <c:pt idx="0">
                  <c:v>152.03362653817638</c:v>
                </c:pt>
              </c:numCache>
            </c:numRef>
          </c:val>
        </c:ser>
        <c:ser>
          <c:idx val="2"/>
          <c:order val="3"/>
          <c:tx>
            <c:strRef>
              <c:f>Graphs!$W$41</c:f>
              <c:strCache>
                <c:ptCount val="1"/>
                <c:pt idx="0">
                  <c:v>Essential -10%</c:v>
                </c:pt>
              </c:strCache>
            </c:strRef>
          </c:tx>
          <c:spPr>
            <a:solidFill>
              <a:schemeClr val="accent6"/>
            </a:solidFill>
          </c:spPr>
          <c:invertIfNegative val="0"/>
          <c:cat>
            <c:strRef>
              <c:f>Graphs!$S$42</c:f>
              <c:strCache>
                <c:ptCount val="1"/>
                <c:pt idx="0">
                  <c:v>Total Line Length</c:v>
                </c:pt>
              </c:strCache>
            </c:strRef>
          </c:cat>
          <c:val>
            <c:numRef>
              <c:f>Graphs!$W$42</c:f>
              <c:numCache>
                <c:formatCode>_-"$"* #,##0_-;\-"$"* #,##0_-;_-"$"* "-"??_-;_-@_-</c:formatCode>
                <c:ptCount val="1"/>
                <c:pt idx="0">
                  <c:v>173.56495088872174</c:v>
                </c:pt>
              </c:numCache>
            </c:numRef>
          </c:val>
        </c:ser>
        <c:ser>
          <c:idx val="4"/>
          <c:order val="4"/>
          <c:tx>
            <c:strRef>
              <c:f>Graphs!$X$41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Graphs!$S$42</c:f>
              <c:strCache>
                <c:ptCount val="1"/>
                <c:pt idx="0">
                  <c:v>Total Line Length</c:v>
                </c:pt>
              </c:strCache>
            </c:strRef>
          </c:cat>
          <c:val>
            <c:numRef>
              <c:f>Graphs!$X$42</c:f>
              <c:numCache>
                <c:formatCode>_-"$"* #,##0_-;\-"$"* #,##0_-;_-"$"* "-"??_-;_-@_-</c:formatCode>
                <c:ptCount val="1"/>
                <c:pt idx="0">
                  <c:v>236.94466492246934</c:v>
                </c:pt>
              </c:numCache>
            </c:numRef>
          </c:val>
        </c:ser>
        <c:ser>
          <c:idx val="5"/>
          <c:order val="5"/>
          <c:tx>
            <c:strRef>
              <c:f>Graphs!$Y$41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Graphs!$S$42</c:f>
              <c:strCache>
                <c:ptCount val="1"/>
                <c:pt idx="0">
                  <c:v>Total Line Length</c:v>
                </c:pt>
              </c:strCache>
            </c:strRef>
          </c:cat>
          <c:val>
            <c:numRef>
              <c:f>Graphs!$Y$42</c:f>
              <c:numCache>
                <c:formatCode>_-"$"* #,##0_-;\-"$"* #,##0_-;_-"$"* "-"??_-;_-@_-</c:formatCode>
                <c:ptCount val="1"/>
                <c:pt idx="0">
                  <c:v>187.7905489114456</c:v>
                </c:pt>
              </c:numCache>
            </c:numRef>
          </c:val>
        </c:ser>
        <c:dLbls>
          <c:showLegendKey val="0"/>
          <c:showVal val="0"/>
          <c:showCatName val="0"/>
          <c:showSerName val="0"/>
          <c:showPercent val="0"/>
          <c:showBubbleSize val="0"/>
        </c:dLbls>
        <c:gapWidth val="150"/>
        <c:axId val="352042368"/>
        <c:axId val="361038976"/>
      </c:barChart>
      <c:catAx>
        <c:axId val="352042368"/>
        <c:scaling>
          <c:orientation val="minMax"/>
        </c:scaling>
        <c:delete val="1"/>
        <c:axPos val="b"/>
        <c:majorTickMark val="out"/>
        <c:minorTickMark val="none"/>
        <c:tickLblPos val="nextTo"/>
        <c:crossAx val="361038976"/>
        <c:crosses val="autoZero"/>
        <c:auto val="1"/>
        <c:lblAlgn val="ctr"/>
        <c:lblOffset val="100"/>
        <c:noMultiLvlLbl val="0"/>
      </c:catAx>
      <c:valAx>
        <c:axId val="361038976"/>
        <c:scaling>
          <c:orientation val="minMax"/>
        </c:scaling>
        <c:delete val="0"/>
        <c:axPos val="l"/>
        <c:majorGridlines/>
        <c:title>
          <c:tx>
            <c:strRef>
              <c:f>Graphs!$S$41</c:f>
              <c:strCache>
                <c:ptCount val="1"/>
                <c:pt idx="0">
                  <c:v>Routine Maintenance Avg Annual Opex per km (Total Line Length)</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52042368"/>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title>
      <c:tx>
        <c:strRef>
          <c:f>'Asset Comparison'!$A$79</c:f>
          <c:strCache>
            <c:ptCount val="1"/>
            <c:pt idx="0">
              <c:v>Pole Material Comparison</c:v>
            </c:pt>
          </c:strCache>
        </c:strRef>
      </c:tx>
      <c:overlay val="0"/>
      <c:txPr>
        <a:bodyPr/>
        <a:lstStyle/>
        <a:p>
          <a:pPr>
            <a:defRPr sz="1400"/>
          </a:pPr>
          <a:endParaRPr lang="en-US"/>
        </a:p>
      </c:txPr>
    </c:title>
    <c:autoTitleDeleted val="0"/>
    <c:plotArea>
      <c:layout/>
      <c:barChart>
        <c:barDir val="col"/>
        <c:grouping val="percentStacked"/>
        <c:varyColors val="0"/>
        <c:ser>
          <c:idx val="2"/>
          <c:order val="0"/>
          <c:tx>
            <c:strRef>
              <c:f>'Asset Comparison'!$A$81</c:f>
              <c:strCache>
                <c:ptCount val="1"/>
                <c:pt idx="0">
                  <c:v>Wood</c:v>
                </c:pt>
              </c:strCache>
            </c:strRef>
          </c:tx>
          <c:spPr>
            <a:solidFill>
              <a:srgbClr val="996600"/>
            </a:solidFill>
          </c:spPr>
          <c:invertIfNegative val="0"/>
          <c:cat>
            <c:strRef>
              <c:f>('Asset Comparison'!$E$80:$F$80,'Asset Comparison'!$H$80:$K$80)</c:f>
              <c:strCache>
                <c:ptCount val="6"/>
                <c:pt idx="0">
                  <c:v>Powercor</c:v>
                </c:pt>
                <c:pt idx="1">
                  <c:v>AusNet</c:v>
                </c:pt>
                <c:pt idx="2">
                  <c:v>Essential</c:v>
                </c:pt>
                <c:pt idx="3">
                  <c:v>SA Power</c:v>
                </c:pt>
                <c:pt idx="4">
                  <c:v>AusNet + Powercor</c:v>
                </c:pt>
                <c:pt idx="5">
                  <c:v>SA Power + Powercor</c:v>
                </c:pt>
              </c:strCache>
            </c:strRef>
          </c:cat>
          <c:val>
            <c:numRef>
              <c:f>('Asset Comparison'!$E$81:$F$81,'Asset Comparison'!$H$81:$K$81)</c:f>
              <c:numCache>
                <c:formatCode>0%</c:formatCode>
                <c:ptCount val="6"/>
                <c:pt idx="0">
                  <c:v>0.73139243926129383</c:v>
                </c:pt>
                <c:pt idx="1">
                  <c:v>0.51168653490628069</c:v>
                </c:pt>
                <c:pt idx="2">
                  <c:v>0.88891182614174002</c:v>
                </c:pt>
                <c:pt idx="3">
                  <c:v>0</c:v>
                </c:pt>
                <c:pt idx="4">
                  <c:v>0.63889047513823127</c:v>
                </c:pt>
                <c:pt idx="5">
                  <c:v>0.28282170846005111</c:v>
                </c:pt>
              </c:numCache>
            </c:numRef>
          </c:val>
        </c:ser>
        <c:ser>
          <c:idx val="4"/>
          <c:order val="1"/>
          <c:tx>
            <c:strRef>
              <c:f>'Asset Comparison'!$A$82</c:f>
              <c:strCache>
                <c:ptCount val="1"/>
                <c:pt idx="0">
                  <c:v>Concrete</c:v>
                </c:pt>
              </c:strCache>
            </c:strRef>
          </c:tx>
          <c:spPr>
            <a:solidFill>
              <a:sysClr val="window" lastClr="FFFFFF">
                <a:lumMod val="65000"/>
              </a:sysClr>
            </a:solidFill>
          </c:spPr>
          <c:invertIfNegative val="0"/>
          <c:cat>
            <c:strRef>
              <c:f>('Asset Comparison'!$E$80:$F$80,'Asset Comparison'!$H$80:$K$80)</c:f>
              <c:strCache>
                <c:ptCount val="6"/>
                <c:pt idx="0">
                  <c:v>Powercor</c:v>
                </c:pt>
                <c:pt idx="1">
                  <c:v>AusNet</c:v>
                </c:pt>
                <c:pt idx="2">
                  <c:v>Essential</c:v>
                </c:pt>
                <c:pt idx="3">
                  <c:v>SA Power</c:v>
                </c:pt>
                <c:pt idx="4">
                  <c:v>AusNet + Powercor</c:v>
                </c:pt>
                <c:pt idx="5">
                  <c:v>SA Power + Powercor</c:v>
                </c:pt>
              </c:strCache>
            </c:strRef>
          </c:cat>
          <c:val>
            <c:numRef>
              <c:f>('Asset Comparison'!$E$82:$F$82,'Asset Comparison'!$H$82:$K$82)</c:f>
              <c:numCache>
                <c:formatCode>0%</c:formatCode>
                <c:ptCount val="6"/>
                <c:pt idx="0">
                  <c:v>0.25290801765930576</c:v>
                </c:pt>
                <c:pt idx="1">
                  <c:v>0.33181680136576336</c:v>
                </c:pt>
                <c:pt idx="2">
                  <c:v>7.7299306683303814E-2</c:v>
                </c:pt>
                <c:pt idx="3">
                  <c:v>0</c:v>
                </c:pt>
                <c:pt idx="4">
                  <c:v>0.28613069094538529</c:v>
                </c:pt>
                <c:pt idx="5">
                  <c:v>9.7796851318141573E-2</c:v>
                </c:pt>
              </c:numCache>
            </c:numRef>
          </c:val>
        </c:ser>
        <c:ser>
          <c:idx val="6"/>
          <c:order val="2"/>
          <c:tx>
            <c:strRef>
              <c:f>'Asset Comparison'!$A$83</c:f>
              <c:strCache>
                <c:ptCount val="1"/>
                <c:pt idx="0">
                  <c:v>Steel</c:v>
                </c:pt>
              </c:strCache>
            </c:strRef>
          </c:tx>
          <c:invertIfNegative val="0"/>
          <c:cat>
            <c:strRef>
              <c:f>('Asset Comparison'!$E$80:$F$80,'Asset Comparison'!$H$80:$K$80)</c:f>
              <c:strCache>
                <c:ptCount val="6"/>
                <c:pt idx="0">
                  <c:v>Powercor</c:v>
                </c:pt>
                <c:pt idx="1">
                  <c:v>AusNet</c:v>
                </c:pt>
                <c:pt idx="2">
                  <c:v>Essential</c:v>
                </c:pt>
                <c:pt idx="3">
                  <c:v>SA Power</c:v>
                </c:pt>
                <c:pt idx="4">
                  <c:v>AusNet + Powercor</c:v>
                </c:pt>
                <c:pt idx="5">
                  <c:v>SA Power + Powercor</c:v>
                </c:pt>
              </c:strCache>
            </c:strRef>
          </c:cat>
          <c:val>
            <c:numRef>
              <c:f>('Asset Comparison'!$E$83:$F$83,'Asset Comparison'!$H$83:$K$83)</c:f>
              <c:numCache>
                <c:formatCode>0%</c:formatCode>
                <c:ptCount val="6"/>
                <c:pt idx="0">
                  <c:v>6.8398719507357687E-3</c:v>
                </c:pt>
                <c:pt idx="1">
                  <c:v>0.15649666372795598</c:v>
                </c:pt>
                <c:pt idx="2">
                  <c:v>2.4688894393829573E-2</c:v>
                </c:pt>
                <c:pt idx="3">
                  <c:v>0</c:v>
                </c:pt>
                <c:pt idx="4">
                  <c:v>6.9849317347250389E-2</c:v>
                </c:pt>
                <c:pt idx="5">
                  <c:v>2.6449060270692451E-3</c:v>
                </c:pt>
              </c:numCache>
            </c:numRef>
          </c:val>
        </c:ser>
        <c:ser>
          <c:idx val="7"/>
          <c:order val="3"/>
          <c:tx>
            <c:strRef>
              <c:f>'Asset Comparison'!$A$84</c:f>
              <c:strCache>
                <c:ptCount val="1"/>
                <c:pt idx="0">
                  <c:v>Stobie</c:v>
                </c:pt>
              </c:strCache>
            </c:strRef>
          </c:tx>
          <c:spPr>
            <a:solidFill>
              <a:srgbClr val="C0504D">
                <a:lumMod val="60000"/>
                <a:lumOff val="40000"/>
              </a:srgbClr>
            </a:solidFill>
          </c:spPr>
          <c:invertIfNegative val="0"/>
          <c:cat>
            <c:strRef>
              <c:f>('Asset Comparison'!$E$80:$F$80,'Asset Comparison'!$H$80:$K$80)</c:f>
              <c:strCache>
                <c:ptCount val="6"/>
                <c:pt idx="0">
                  <c:v>Powercor</c:v>
                </c:pt>
                <c:pt idx="1">
                  <c:v>AusNet</c:v>
                </c:pt>
                <c:pt idx="2">
                  <c:v>Essential</c:v>
                </c:pt>
                <c:pt idx="3">
                  <c:v>SA Power</c:v>
                </c:pt>
                <c:pt idx="4">
                  <c:v>AusNet + Powercor</c:v>
                </c:pt>
                <c:pt idx="5">
                  <c:v>SA Power + Powercor</c:v>
                </c:pt>
              </c:strCache>
            </c:strRef>
          </c:cat>
          <c:val>
            <c:numRef>
              <c:f>('Asset Comparison'!$E$84:$F$84,'Asset Comparison'!$H$84:$K$84)</c:f>
              <c:numCache>
                <c:formatCode>0%</c:formatCode>
                <c:ptCount val="6"/>
                <c:pt idx="0">
                  <c:v>0</c:v>
                </c:pt>
                <c:pt idx="1">
                  <c:v>0</c:v>
                </c:pt>
                <c:pt idx="2">
                  <c:v>0</c:v>
                </c:pt>
                <c:pt idx="3">
                  <c:v>1</c:v>
                </c:pt>
                <c:pt idx="4">
                  <c:v>0</c:v>
                </c:pt>
                <c:pt idx="5">
                  <c:v>0.6133105932217443</c:v>
                </c:pt>
              </c:numCache>
            </c:numRef>
          </c:val>
        </c:ser>
        <c:ser>
          <c:idx val="8"/>
          <c:order val="4"/>
          <c:tx>
            <c:strRef>
              <c:f>'Asset Comparison'!$A$85</c:f>
              <c:strCache>
                <c:ptCount val="1"/>
                <c:pt idx="0">
                  <c:v>Other</c:v>
                </c:pt>
              </c:strCache>
            </c:strRef>
          </c:tx>
          <c:invertIfNegative val="0"/>
          <c:cat>
            <c:strRef>
              <c:f>('Asset Comparison'!$E$80:$F$80,'Asset Comparison'!$H$80:$K$80)</c:f>
              <c:strCache>
                <c:ptCount val="6"/>
                <c:pt idx="0">
                  <c:v>Powercor</c:v>
                </c:pt>
                <c:pt idx="1">
                  <c:v>AusNet</c:v>
                </c:pt>
                <c:pt idx="2">
                  <c:v>Essential</c:v>
                </c:pt>
                <c:pt idx="3">
                  <c:v>SA Power</c:v>
                </c:pt>
                <c:pt idx="4">
                  <c:v>AusNet + Powercor</c:v>
                </c:pt>
                <c:pt idx="5">
                  <c:v>SA Power + Powercor</c:v>
                </c:pt>
              </c:strCache>
            </c:strRef>
          </c:cat>
          <c:val>
            <c:numRef>
              <c:f>('Asset Comparison'!$E$85:$F$85,'Asset Comparison'!$H$85:$K$85)</c:f>
              <c:numCache>
                <c:formatCode>0%</c:formatCode>
                <c:ptCount val="6"/>
                <c:pt idx="0">
                  <c:v>8.8596711286646375E-3</c:v>
                </c:pt>
                <c:pt idx="1">
                  <c:v>0</c:v>
                </c:pt>
                <c:pt idx="2">
                  <c:v>9.0999727811266161E-3</c:v>
                </c:pt>
                <c:pt idx="3">
                  <c:v>0</c:v>
                </c:pt>
                <c:pt idx="4">
                  <c:v>5.1295165691330226E-3</c:v>
                </c:pt>
                <c:pt idx="5">
                  <c:v>3.4259409729937682E-3</c:v>
                </c:pt>
              </c:numCache>
            </c:numRef>
          </c:val>
        </c:ser>
        <c:dLbls>
          <c:showLegendKey val="0"/>
          <c:showVal val="0"/>
          <c:showCatName val="0"/>
          <c:showSerName val="0"/>
          <c:showPercent val="0"/>
          <c:showBubbleSize val="0"/>
        </c:dLbls>
        <c:gapWidth val="150"/>
        <c:overlap val="100"/>
        <c:axId val="348678016"/>
        <c:axId val="348679552"/>
      </c:barChart>
      <c:catAx>
        <c:axId val="348678016"/>
        <c:scaling>
          <c:orientation val="minMax"/>
        </c:scaling>
        <c:delete val="0"/>
        <c:axPos val="b"/>
        <c:numFmt formatCode="General" sourceLinked="1"/>
        <c:majorTickMark val="out"/>
        <c:minorTickMark val="none"/>
        <c:tickLblPos val="nextTo"/>
        <c:crossAx val="348679552"/>
        <c:crosses val="autoZero"/>
        <c:auto val="1"/>
        <c:lblAlgn val="ctr"/>
        <c:lblOffset val="100"/>
        <c:noMultiLvlLbl val="0"/>
      </c:catAx>
      <c:valAx>
        <c:axId val="348679552"/>
        <c:scaling>
          <c:orientation val="minMax"/>
        </c:scaling>
        <c:delete val="0"/>
        <c:axPos val="l"/>
        <c:majorGridlines/>
        <c:numFmt formatCode="0%" sourceLinked="1"/>
        <c:majorTickMark val="out"/>
        <c:minorTickMark val="none"/>
        <c:tickLblPos val="nextTo"/>
        <c:crossAx val="348678016"/>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Graphs!$K$41</c:f>
              <c:strCache>
                <c:ptCount val="1"/>
                <c:pt idx="0">
                  <c:v>Powercor</c:v>
                </c:pt>
              </c:strCache>
            </c:strRef>
          </c:tx>
          <c:spPr>
            <a:solidFill>
              <a:schemeClr val="accent2"/>
            </a:solidFill>
          </c:spPr>
          <c:invertIfNegative val="0"/>
          <c:cat>
            <c:strRef>
              <c:f>Graphs!$J$42</c:f>
              <c:strCache>
                <c:ptCount val="1"/>
                <c:pt idx="0">
                  <c:v>Total Line Length</c:v>
                </c:pt>
              </c:strCache>
            </c:strRef>
          </c:cat>
          <c:val>
            <c:numRef>
              <c:f>Graphs!$K$42</c:f>
              <c:numCache>
                <c:formatCode>_-"$"* #,##0_-;\-"$"* #,##0_-;_-"$"* "-"??_-;_-@_-</c:formatCode>
                <c:ptCount val="1"/>
                <c:pt idx="0">
                  <c:v>229.64621706947517</c:v>
                </c:pt>
              </c:numCache>
            </c:numRef>
          </c:val>
        </c:ser>
        <c:ser>
          <c:idx val="1"/>
          <c:order val="1"/>
          <c:tx>
            <c:strRef>
              <c:f>Graphs!$L$41</c:f>
              <c:strCache>
                <c:ptCount val="1"/>
                <c:pt idx="0">
                  <c:v>AusNet</c:v>
                </c:pt>
              </c:strCache>
            </c:strRef>
          </c:tx>
          <c:spPr>
            <a:solidFill>
              <a:schemeClr val="accent1"/>
            </a:solidFill>
          </c:spPr>
          <c:invertIfNegative val="0"/>
          <c:cat>
            <c:strRef>
              <c:f>Graphs!$J$42</c:f>
              <c:strCache>
                <c:ptCount val="1"/>
                <c:pt idx="0">
                  <c:v>Total Line Length</c:v>
                </c:pt>
              </c:strCache>
            </c:strRef>
          </c:cat>
          <c:val>
            <c:numRef>
              <c:f>Graphs!$L$42</c:f>
              <c:numCache>
                <c:formatCode>_-"$"* #,##0_-;\-"$"* #,##0_-;_-"$"* "-"??_-;_-@_-</c:formatCode>
                <c:ptCount val="1"/>
                <c:pt idx="0">
                  <c:v>249.22776734651026</c:v>
                </c:pt>
              </c:numCache>
            </c:numRef>
          </c:val>
        </c:ser>
        <c:ser>
          <c:idx val="3"/>
          <c:order val="2"/>
          <c:tx>
            <c:strRef>
              <c:f>Graphs!$M$41</c:f>
              <c:strCache>
                <c:ptCount val="1"/>
                <c:pt idx="0">
                  <c:v>SA Power</c:v>
                </c:pt>
              </c:strCache>
            </c:strRef>
          </c:tx>
          <c:spPr>
            <a:solidFill>
              <a:schemeClr val="accent3"/>
            </a:solidFill>
          </c:spPr>
          <c:invertIfNegative val="0"/>
          <c:cat>
            <c:strRef>
              <c:f>Graphs!$J$42</c:f>
              <c:strCache>
                <c:ptCount val="1"/>
                <c:pt idx="0">
                  <c:v>Total Line Length</c:v>
                </c:pt>
              </c:strCache>
            </c:strRef>
          </c:cat>
          <c:val>
            <c:numRef>
              <c:f>Graphs!$M$42</c:f>
              <c:numCache>
                <c:formatCode>_-"$"* #,##0_-;\-"$"* #,##0_-;_-"$"* "-"??_-;_-@_-</c:formatCode>
                <c:ptCount val="1"/>
                <c:pt idx="0">
                  <c:v>152.03362653817638</c:v>
                </c:pt>
              </c:numCache>
            </c:numRef>
          </c:val>
        </c:ser>
        <c:ser>
          <c:idx val="2"/>
          <c:order val="3"/>
          <c:tx>
            <c:strRef>
              <c:f>Graphs!$N$41</c:f>
              <c:strCache>
                <c:ptCount val="1"/>
                <c:pt idx="0">
                  <c:v>Essential +16%Dir</c:v>
                </c:pt>
              </c:strCache>
            </c:strRef>
          </c:tx>
          <c:spPr>
            <a:solidFill>
              <a:schemeClr val="accent6"/>
            </a:solidFill>
          </c:spPr>
          <c:invertIfNegative val="0"/>
          <c:cat>
            <c:strRef>
              <c:f>Graphs!$J$42</c:f>
              <c:strCache>
                <c:ptCount val="1"/>
                <c:pt idx="0">
                  <c:v>Total Line Length</c:v>
                </c:pt>
              </c:strCache>
            </c:strRef>
          </c:cat>
          <c:val>
            <c:numRef>
              <c:f>Graphs!$N$42</c:f>
              <c:numCache>
                <c:formatCode>_-"$"* #,##0_-;\-"$"* #,##0_-;_-"$"* "-"??_-;_-@_-</c:formatCode>
                <c:ptCount val="1"/>
                <c:pt idx="0">
                  <c:v>201.33534303091722</c:v>
                </c:pt>
              </c:numCache>
            </c:numRef>
          </c:val>
        </c:ser>
        <c:ser>
          <c:idx val="4"/>
          <c:order val="4"/>
          <c:tx>
            <c:strRef>
              <c:f>Graphs!$O$41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Graphs!$J$42</c:f>
              <c:strCache>
                <c:ptCount val="1"/>
                <c:pt idx="0">
                  <c:v>Total Line Length</c:v>
                </c:pt>
              </c:strCache>
            </c:strRef>
          </c:cat>
          <c:val>
            <c:numRef>
              <c:f>Graphs!$O$42</c:f>
              <c:numCache>
                <c:formatCode>_-"$"* #,##0_-;\-"$"* #,##0_-;_-"$"* "-"??_-;_-@_-</c:formatCode>
                <c:ptCount val="1"/>
                <c:pt idx="0">
                  <c:v>236.94466492246934</c:v>
                </c:pt>
              </c:numCache>
            </c:numRef>
          </c:val>
        </c:ser>
        <c:ser>
          <c:idx val="5"/>
          <c:order val="5"/>
          <c:tx>
            <c:strRef>
              <c:f>Graphs!$P$41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Graphs!$J$42</c:f>
              <c:strCache>
                <c:ptCount val="1"/>
                <c:pt idx="0">
                  <c:v>Total Line Length</c:v>
                </c:pt>
              </c:strCache>
            </c:strRef>
          </c:cat>
          <c:val>
            <c:numRef>
              <c:f>Graphs!$P$42</c:f>
              <c:numCache>
                <c:formatCode>_-"$"* #,##0_-;\-"$"* #,##0_-;_-"$"* "-"??_-;_-@_-</c:formatCode>
                <c:ptCount val="1"/>
                <c:pt idx="0">
                  <c:v>187.7905489114456</c:v>
                </c:pt>
              </c:numCache>
            </c:numRef>
          </c:val>
        </c:ser>
        <c:dLbls>
          <c:showLegendKey val="0"/>
          <c:showVal val="0"/>
          <c:showCatName val="0"/>
          <c:showSerName val="0"/>
          <c:showPercent val="0"/>
          <c:showBubbleSize val="0"/>
        </c:dLbls>
        <c:gapWidth val="150"/>
        <c:axId val="361079936"/>
        <c:axId val="361081472"/>
      </c:barChart>
      <c:catAx>
        <c:axId val="361079936"/>
        <c:scaling>
          <c:orientation val="minMax"/>
        </c:scaling>
        <c:delete val="1"/>
        <c:axPos val="b"/>
        <c:majorTickMark val="out"/>
        <c:minorTickMark val="none"/>
        <c:tickLblPos val="nextTo"/>
        <c:crossAx val="361081472"/>
        <c:crosses val="autoZero"/>
        <c:auto val="1"/>
        <c:lblAlgn val="ctr"/>
        <c:lblOffset val="100"/>
        <c:noMultiLvlLbl val="0"/>
      </c:catAx>
      <c:valAx>
        <c:axId val="361081472"/>
        <c:scaling>
          <c:orientation val="minMax"/>
        </c:scaling>
        <c:delete val="0"/>
        <c:axPos val="l"/>
        <c:majorGridlines/>
        <c:title>
          <c:tx>
            <c:strRef>
              <c:f>Graphs!$J$41</c:f>
              <c:strCache>
                <c:ptCount val="1"/>
                <c:pt idx="0">
                  <c:v>Routine Maintenance Avg Annual Opex per km (Total Line Length)</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61079936"/>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Graphs!$B$61</c:f>
              <c:strCache>
                <c:ptCount val="1"/>
                <c:pt idx="0">
                  <c:v>Powercor</c:v>
                </c:pt>
              </c:strCache>
            </c:strRef>
          </c:tx>
          <c:spPr>
            <a:solidFill>
              <a:schemeClr val="accent2"/>
            </a:solidFill>
          </c:spPr>
          <c:invertIfNegative val="0"/>
          <c:cat>
            <c:strRef>
              <c:f>Graphs!$A$62</c:f>
              <c:strCache>
                <c:ptCount val="1"/>
                <c:pt idx="0">
                  <c:v>Total Line Length</c:v>
                </c:pt>
              </c:strCache>
            </c:strRef>
          </c:cat>
          <c:val>
            <c:numRef>
              <c:f>Graphs!$B$62</c:f>
              <c:numCache>
                <c:formatCode>_-"$"* #,##0_-;\-"$"* #,##0_-;_-"$"* "-"??_-;_-@_-</c:formatCode>
                <c:ptCount val="1"/>
                <c:pt idx="0">
                  <c:v>299.39239967656442</c:v>
                </c:pt>
              </c:numCache>
            </c:numRef>
          </c:val>
        </c:ser>
        <c:ser>
          <c:idx val="1"/>
          <c:order val="1"/>
          <c:tx>
            <c:strRef>
              <c:f>Graphs!$C$61</c:f>
              <c:strCache>
                <c:ptCount val="1"/>
                <c:pt idx="0">
                  <c:v>AusNet</c:v>
                </c:pt>
              </c:strCache>
            </c:strRef>
          </c:tx>
          <c:spPr>
            <a:solidFill>
              <a:schemeClr val="accent1"/>
            </a:solidFill>
          </c:spPr>
          <c:invertIfNegative val="0"/>
          <c:cat>
            <c:strRef>
              <c:f>Graphs!$A$62</c:f>
              <c:strCache>
                <c:ptCount val="1"/>
                <c:pt idx="0">
                  <c:v>Total Line Length</c:v>
                </c:pt>
              </c:strCache>
            </c:strRef>
          </c:cat>
          <c:val>
            <c:numRef>
              <c:f>Graphs!$C$62</c:f>
              <c:numCache>
                <c:formatCode>_-"$"* #,##0_-;\-"$"* #,##0_-;_-"$"* "-"??_-;_-@_-</c:formatCode>
                <c:ptCount val="1"/>
                <c:pt idx="0">
                  <c:v>273.95057843158554</c:v>
                </c:pt>
              </c:numCache>
            </c:numRef>
          </c:val>
        </c:ser>
        <c:ser>
          <c:idx val="3"/>
          <c:order val="2"/>
          <c:tx>
            <c:strRef>
              <c:f>Graphs!$D$61</c:f>
              <c:strCache>
                <c:ptCount val="1"/>
                <c:pt idx="0">
                  <c:v>SA Power</c:v>
                </c:pt>
              </c:strCache>
            </c:strRef>
          </c:tx>
          <c:spPr>
            <a:solidFill>
              <a:schemeClr val="accent3"/>
            </a:solidFill>
          </c:spPr>
          <c:invertIfNegative val="0"/>
          <c:cat>
            <c:strRef>
              <c:f>Graphs!$A$62</c:f>
              <c:strCache>
                <c:ptCount val="1"/>
                <c:pt idx="0">
                  <c:v>Total Line Length</c:v>
                </c:pt>
              </c:strCache>
            </c:strRef>
          </c:cat>
          <c:val>
            <c:numRef>
              <c:f>Graphs!$D$62</c:f>
              <c:numCache>
                <c:formatCode>_-"$"* #,##0_-;\-"$"* #,##0_-;_-"$"* "-"??_-;_-@_-</c:formatCode>
                <c:ptCount val="1"/>
                <c:pt idx="0">
                  <c:v>78.58342288095082</c:v>
                </c:pt>
              </c:numCache>
            </c:numRef>
          </c:val>
        </c:ser>
        <c:ser>
          <c:idx val="2"/>
          <c:order val="3"/>
          <c:tx>
            <c:strRef>
              <c:f>Graphs!$E$61</c:f>
              <c:strCache>
                <c:ptCount val="1"/>
                <c:pt idx="0">
                  <c:v>Essential</c:v>
                </c:pt>
              </c:strCache>
            </c:strRef>
          </c:tx>
          <c:spPr>
            <a:solidFill>
              <a:schemeClr val="accent6"/>
            </a:solidFill>
          </c:spPr>
          <c:invertIfNegative val="0"/>
          <c:cat>
            <c:strRef>
              <c:f>Graphs!$A$62</c:f>
              <c:strCache>
                <c:ptCount val="1"/>
                <c:pt idx="0">
                  <c:v>Total Line Length</c:v>
                </c:pt>
              </c:strCache>
            </c:strRef>
          </c:cat>
          <c:val>
            <c:numRef>
              <c:f>Graphs!$E$62</c:f>
              <c:numCache>
                <c:formatCode>_-"$"* #,##0_-;\-"$"* #,##0_-;_-"$"* "-"??_-;_-@_-</c:formatCode>
                <c:ptCount val="1"/>
                <c:pt idx="0">
                  <c:v>243.30643794062189</c:v>
                </c:pt>
              </c:numCache>
            </c:numRef>
          </c:val>
        </c:ser>
        <c:ser>
          <c:idx val="4"/>
          <c:order val="4"/>
          <c:tx>
            <c:strRef>
              <c:f>Graphs!$F$61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Graphs!$A$62</c:f>
              <c:strCache>
                <c:ptCount val="1"/>
                <c:pt idx="0">
                  <c:v>Total Line Length</c:v>
                </c:pt>
              </c:strCache>
            </c:strRef>
          </c:cat>
          <c:val>
            <c:numRef>
              <c:f>Graphs!$F$62</c:f>
              <c:numCache>
                <c:formatCode>_-"$"* #,##0_-;\-"$"* #,##0_-;_-"$"* "-"??_-;_-@_-</c:formatCode>
                <c:ptCount val="1"/>
                <c:pt idx="0">
                  <c:v>289.90970790728994</c:v>
                </c:pt>
              </c:numCache>
            </c:numRef>
          </c:val>
        </c:ser>
        <c:ser>
          <c:idx val="5"/>
          <c:order val="5"/>
          <c:tx>
            <c:strRef>
              <c:f>Graphs!$G$61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Graphs!$A$62</c:f>
              <c:strCache>
                <c:ptCount val="1"/>
                <c:pt idx="0">
                  <c:v>Total Line Length</c:v>
                </c:pt>
              </c:strCache>
            </c:strRef>
          </c:cat>
          <c:val>
            <c:numRef>
              <c:f>Graphs!$G$62</c:f>
              <c:numCache>
                <c:formatCode>_-"$"* #,##0_-;\-"$"* #,##0_-;_-"$"* "-"??_-;_-@_-</c:formatCode>
                <c:ptCount val="1"/>
                <c:pt idx="0">
                  <c:v>180.31239995223885</c:v>
                </c:pt>
              </c:numCache>
            </c:numRef>
          </c:val>
        </c:ser>
        <c:dLbls>
          <c:showLegendKey val="0"/>
          <c:showVal val="0"/>
          <c:showCatName val="0"/>
          <c:showSerName val="0"/>
          <c:showPercent val="0"/>
          <c:showBubbleSize val="0"/>
        </c:dLbls>
        <c:gapWidth val="150"/>
        <c:axId val="361138816"/>
        <c:axId val="361144704"/>
      </c:barChart>
      <c:catAx>
        <c:axId val="361138816"/>
        <c:scaling>
          <c:orientation val="minMax"/>
        </c:scaling>
        <c:delete val="1"/>
        <c:axPos val="b"/>
        <c:majorTickMark val="out"/>
        <c:minorTickMark val="none"/>
        <c:tickLblPos val="nextTo"/>
        <c:crossAx val="361144704"/>
        <c:crosses val="autoZero"/>
        <c:auto val="1"/>
        <c:lblAlgn val="ctr"/>
        <c:lblOffset val="100"/>
        <c:noMultiLvlLbl val="0"/>
      </c:catAx>
      <c:valAx>
        <c:axId val="361144704"/>
        <c:scaling>
          <c:orientation val="minMax"/>
        </c:scaling>
        <c:delete val="0"/>
        <c:axPos val="l"/>
        <c:majorGridlines/>
        <c:title>
          <c:tx>
            <c:strRef>
              <c:f>Graphs!$A$61</c:f>
              <c:strCache>
                <c:ptCount val="1"/>
                <c:pt idx="0">
                  <c:v>Non-Routine Maintenance Avg Annual Opex per km (Total Line Length)</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61138816"/>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Graphs!$T$61</c:f>
              <c:strCache>
                <c:ptCount val="1"/>
                <c:pt idx="0">
                  <c:v>Powercor</c:v>
                </c:pt>
              </c:strCache>
            </c:strRef>
          </c:tx>
          <c:spPr>
            <a:solidFill>
              <a:schemeClr val="accent2"/>
            </a:solidFill>
          </c:spPr>
          <c:invertIfNegative val="0"/>
          <c:cat>
            <c:strRef>
              <c:f>Graphs!$S$62</c:f>
              <c:strCache>
                <c:ptCount val="1"/>
                <c:pt idx="0">
                  <c:v>Total Line Length</c:v>
                </c:pt>
              </c:strCache>
            </c:strRef>
          </c:cat>
          <c:val>
            <c:numRef>
              <c:f>Graphs!$T$62</c:f>
              <c:numCache>
                <c:formatCode>_-"$"* #,##0_-;\-"$"* #,##0_-;_-"$"* "-"??_-;_-@_-</c:formatCode>
                <c:ptCount val="1"/>
                <c:pt idx="0">
                  <c:v>299.39239967656442</c:v>
                </c:pt>
              </c:numCache>
            </c:numRef>
          </c:val>
        </c:ser>
        <c:ser>
          <c:idx val="1"/>
          <c:order val="1"/>
          <c:tx>
            <c:strRef>
              <c:f>Graphs!$U$61</c:f>
              <c:strCache>
                <c:ptCount val="1"/>
                <c:pt idx="0">
                  <c:v>AusNet</c:v>
                </c:pt>
              </c:strCache>
            </c:strRef>
          </c:tx>
          <c:spPr>
            <a:solidFill>
              <a:schemeClr val="accent1"/>
            </a:solidFill>
          </c:spPr>
          <c:invertIfNegative val="0"/>
          <c:cat>
            <c:strRef>
              <c:f>Graphs!$S$62</c:f>
              <c:strCache>
                <c:ptCount val="1"/>
                <c:pt idx="0">
                  <c:v>Total Line Length</c:v>
                </c:pt>
              </c:strCache>
            </c:strRef>
          </c:cat>
          <c:val>
            <c:numRef>
              <c:f>Graphs!$U$62</c:f>
              <c:numCache>
                <c:formatCode>_-"$"* #,##0_-;\-"$"* #,##0_-;_-"$"* "-"??_-;_-@_-</c:formatCode>
                <c:ptCount val="1"/>
                <c:pt idx="0">
                  <c:v>273.95057843158554</c:v>
                </c:pt>
              </c:numCache>
            </c:numRef>
          </c:val>
        </c:ser>
        <c:ser>
          <c:idx val="3"/>
          <c:order val="2"/>
          <c:tx>
            <c:strRef>
              <c:f>Graphs!$V$61</c:f>
              <c:strCache>
                <c:ptCount val="1"/>
                <c:pt idx="0">
                  <c:v>SA Power</c:v>
                </c:pt>
              </c:strCache>
            </c:strRef>
          </c:tx>
          <c:spPr>
            <a:solidFill>
              <a:schemeClr val="accent3"/>
            </a:solidFill>
          </c:spPr>
          <c:invertIfNegative val="0"/>
          <c:cat>
            <c:strRef>
              <c:f>Graphs!$S$62</c:f>
              <c:strCache>
                <c:ptCount val="1"/>
                <c:pt idx="0">
                  <c:v>Total Line Length</c:v>
                </c:pt>
              </c:strCache>
            </c:strRef>
          </c:cat>
          <c:val>
            <c:numRef>
              <c:f>Graphs!$V$62</c:f>
              <c:numCache>
                <c:formatCode>_-"$"* #,##0_-;\-"$"* #,##0_-;_-"$"* "-"??_-;_-@_-</c:formatCode>
                <c:ptCount val="1"/>
                <c:pt idx="0">
                  <c:v>78.58342288095082</c:v>
                </c:pt>
              </c:numCache>
            </c:numRef>
          </c:val>
        </c:ser>
        <c:ser>
          <c:idx val="2"/>
          <c:order val="3"/>
          <c:tx>
            <c:strRef>
              <c:f>Graphs!$W$61</c:f>
              <c:strCache>
                <c:ptCount val="1"/>
                <c:pt idx="0">
                  <c:v>Essential -10%</c:v>
                </c:pt>
              </c:strCache>
            </c:strRef>
          </c:tx>
          <c:spPr>
            <a:solidFill>
              <a:schemeClr val="accent6"/>
            </a:solidFill>
          </c:spPr>
          <c:invertIfNegative val="0"/>
          <c:cat>
            <c:strRef>
              <c:f>Graphs!$S$62</c:f>
              <c:strCache>
                <c:ptCount val="1"/>
                <c:pt idx="0">
                  <c:v>Total Line Length</c:v>
                </c:pt>
              </c:strCache>
            </c:strRef>
          </c:cat>
          <c:val>
            <c:numRef>
              <c:f>Graphs!$W$62</c:f>
              <c:numCache>
                <c:formatCode>_-"$"* #,##0_-;\-"$"* #,##0_-;_-"$"* "-"??_-;_-@_-</c:formatCode>
                <c:ptCount val="1"/>
                <c:pt idx="0">
                  <c:v>218.97579414655968</c:v>
                </c:pt>
              </c:numCache>
            </c:numRef>
          </c:val>
        </c:ser>
        <c:ser>
          <c:idx val="4"/>
          <c:order val="4"/>
          <c:tx>
            <c:strRef>
              <c:f>Graphs!$X$61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Graphs!$S$62</c:f>
              <c:strCache>
                <c:ptCount val="1"/>
                <c:pt idx="0">
                  <c:v>Total Line Length</c:v>
                </c:pt>
              </c:strCache>
            </c:strRef>
          </c:cat>
          <c:val>
            <c:numRef>
              <c:f>Graphs!$X$62</c:f>
              <c:numCache>
                <c:formatCode>_-"$"* #,##0_-;\-"$"* #,##0_-;_-"$"* "-"??_-;_-@_-</c:formatCode>
                <c:ptCount val="1"/>
                <c:pt idx="0">
                  <c:v>289.90970790728994</c:v>
                </c:pt>
              </c:numCache>
            </c:numRef>
          </c:val>
        </c:ser>
        <c:ser>
          <c:idx val="5"/>
          <c:order val="5"/>
          <c:tx>
            <c:strRef>
              <c:f>Graphs!$Y$61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Graphs!$S$62</c:f>
              <c:strCache>
                <c:ptCount val="1"/>
                <c:pt idx="0">
                  <c:v>Total Line Length</c:v>
                </c:pt>
              </c:strCache>
            </c:strRef>
          </c:cat>
          <c:val>
            <c:numRef>
              <c:f>Graphs!$Y$62</c:f>
              <c:numCache>
                <c:formatCode>_-"$"* #,##0_-;\-"$"* #,##0_-;_-"$"* "-"??_-;_-@_-</c:formatCode>
                <c:ptCount val="1"/>
                <c:pt idx="0">
                  <c:v>180.31239995223885</c:v>
                </c:pt>
              </c:numCache>
            </c:numRef>
          </c:val>
        </c:ser>
        <c:dLbls>
          <c:showLegendKey val="0"/>
          <c:showVal val="0"/>
          <c:showCatName val="0"/>
          <c:showSerName val="0"/>
          <c:showPercent val="0"/>
          <c:showBubbleSize val="0"/>
        </c:dLbls>
        <c:gapWidth val="150"/>
        <c:axId val="361197952"/>
        <c:axId val="361199488"/>
      </c:barChart>
      <c:catAx>
        <c:axId val="361197952"/>
        <c:scaling>
          <c:orientation val="minMax"/>
        </c:scaling>
        <c:delete val="1"/>
        <c:axPos val="b"/>
        <c:majorTickMark val="out"/>
        <c:minorTickMark val="none"/>
        <c:tickLblPos val="nextTo"/>
        <c:crossAx val="361199488"/>
        <c:crosses val="autoZero"/>
        <c:auto val="1"/>
        <c:lblAlgn val="ctr"/>
        <c:lblOffset val="100"/>
        <c:noMultiLvlLbl val="0"/>
      </c:catAx>
      <c:valAx>
        <c:axId val="361199488"/>
        <c:scaling>
          <c:orientation val="minMax"/>
        </c:scaling>
        <c:delete val="0"/>
        <c:axPos val="l"/>
        <c:majorGridlines/>
        <c:title>
          <c:tx>
            <c:strRef>
              <c:f>Graphs!$S$61</c:f>
              <c:strCache>
                <c:ptCount val="1"/>
                <c:pt idx="0">
                  <c:v>Non-Routine Maintenance Avg Annual Opex per km (Total Line Length)</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61197952"/>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Graphs!$K$61</c:f>
              <c:strCache>
                <c:ptCount val="1"/>
                <c:pt idx="0">
                  <c:v>Powercor</c:v>
                </c:pt>
              </c:strCache>
            </c:strRef>
          </c:tx>
          <c:spPr>
            <a:solidFill>
              <a:schemeClr val="accent2"/>
            </a:solidFill>
          </c:spPr>
          <c:invertIfNegative val="0"/>
          <c:cat>
            <c:strRef>
              <c:f>Graphs!$J$62</c:f>
              <c:strCache>
                <c:ptCount val="1"/>
                <c:pt idx="0">
                  <c:v>Total Line Length</c:v>
                </c:pt>
              </c:strCache>
            </c:strRef>
          </c:cat>
          <c:val>
            <c:numRef>
              <c:f>Graphs!$K$62</c:f>
              <c:numCache>
                <c:formatCode>_-"$"* #,##0_-;\-"$"* #,##0_-;_-"$"* "-"??_-;_-@_-</c:formatCode>
                <c:ptCount val="1"/>
                <c:pt idx="0">
                  <c:v>299.39239967656442</c:v>
                </c:pt>
              </c:numCache>
            </c:numRef>
          </c:val>
        </c:ser>
        <c:ser>
          <c:idx val="1"/>
          <c:order val="1"/>
          <c:tx>
            <c:strRef>
              <c:f>Graphs!$L$61</c:f>
              <c:strCache>
                <c:ptCount val="1"/>
                <c:pt idx="0">
                  <c:v>AusNet</c:v>
                </c:pt>
              </c:strCache>
            </c:strRef>
          </c:tx>
          <c:spPr>
            <a:solidFill>
              <a:schemeClr val="accent1"/>
            </a:solidFill>
          </c:spPr>
          <c:invertIfNegative val="0"/>
          <c:cat>
            <c:strRef>
              <c:f>Graphs!$J$62</c:f>
              <c:strCache>
                <c:ptCount val="1"/>
                <c:pt idx="0">
                  <c:v>Total Line Length</c:v>
                </c:pt>
              </c:strCache>
            </c:strRef>
          </c:cat>
          <c:val>
            <c:numRef>
              <c:f>Graphs!$L$62</c:f>
              <c:numCache>
                <c:formatCode>_-"$"* #,##0_-;\-"$"* #,##0_-;_-"$"* "-"??_-;_-@_-</c:formatCode>
                <c:ptCount val="1"/>
                <c:pt idx="0">
                  <c:v>273.95057843158554</c:v>
                </c:pt>
              </c:numCache>
            </c:numRef>
          </c:val>
        </c:ser>
        <c:ser>
          <c:idx val="3"/>
          <c:order val="2"/>
          <c:tx>
            <c:strRef>
              <c:f>Graphs!$M$61</c:f>
              <c:strCache>
                <c:ptCount val="1"/>
                <c:pt idx="0">
                  <c:v>SA Power</c:v>
                </c:pt>
              </c:strCache>
            </c:strRef>
          </c:tx>
          <c:spPr>
            <a:solidFill>
              <a:schemeClr val="accent3"/>
            </a:solidFill>
          </c:spPr>
          <c:invertIfNegative val="0"/>
          <c:cat>
            <c:strRef>
              <c:f>Graphs!$J$62</c:f>
              <c:strCache>
                <c:ptCount val="1"/>
                <c:pt idx="0">
                  <c:v>Total Line Length</c:v>
                </c:pt>
              </c:strCache>
            </c:strRef>
          </c:cat>
          <c:val>
            <c:numRef>
              <c:f>Graphs!$M$62</c:f>
              <c:numCache>
                <c:formatCode>_-"$"* #,##0_-;\-"$"* #,##0_-;_-"$"* "-"??_-;_-@_-</c:formatCode>
                <c:ptCount val="1"/>
                <c:pt idx="0">
                  <c:v>78.58342288095082</c:v>
                </c:pt>
              </c:numCache>
            </c:numRef>
          </c:val>
        </c:ser>
        <c:ser>
          <c:idx val="2"/>
          <c:order val="3"/>
          <c:tx>
            <c:strRef>
              <c:f>Graphs!$N$61</c:f>
              <c:strCache>
                <c:ptCount val="1"/>
                <c:pt idx="0">
                  <c:v>Essential +16%Dir</c:v>
                </c:pt>
              </c:strCache>
            </c:strRef>
          </c:tx>
          <c:spPr>
            <a:solidFill>
              <a:schemeClr val="accent6"/>
            </a:solidFill>
          </c:spPr>
          <c:invertIfNegative val="0"/>
          <c:cat>
            <c:strRef>
              <c:f>Graphs!$J$62</c:f>
              <c:strCache>
                <c:ptCount val="1"/>
                <c:pt idx="0">
                  <c:v>Total Line Length</c:v>
                </c:pt>
              </c:strCache>
            </c:strRef>
          </c:cat>
          <c:val>
            <c:numRef>
              <c:f>Graphs!$N$62</c:f>
              <c:numCache>
                <c:formatCode>_-"$"* #,##0_-;\-"$"* #,##0_-;_-"$"* "-"??_-;_-@_-</c:formatCode>
                <c:ptCount val="1"/>
                <c:pt idx="0">
                  <c:v>254.01192121000929</c:v>
                </c:pt>
              </c:numCache>
            </c:numRef>
          </c:val>
        </c:ser>
        <c:ser>
          <c:idx val="4"/>
          <c:order val="4"/>
          <c:tx>
            <c:strRef>
              <c:f>Graphs!$O$61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Graphs!$J$62</c:f>
              <c:strCache>
                <c:ptCount val="1"/>
                <c:pt idx="0">
                  <c:v>Total Line Length</c:v>
                </c:pt>
              </c:strCache>
            </c:strRef>
          </c:cat>
          <c:val>
            <c:numRef>
              <c:f>Graphs!$O$62</c:f>
              <c:numCache>
                <c:formatCode>_-"$"* #,##0_-;\-"$"* #,##0_-;_-"$"* "-"??_-;_-@_-</c:formatCode>
                <c:ptCount val="1"/>
                <c:pt idx="0">
                  <c:v>289.90970790728994</c:v>
                </c:pt>
              </c:numCache>
            </c:numRef>
          </c:val>
        </c:ser>
        <c:ser>
          <c:idx val="5"/>
          <c:order val="5"/>
          <c:tx>
            <c:strRef>
              <c:f>Graphs!$P$61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Graphs!$J$62</c:f>
              <c:strCache>
                <c:ptCount val="1"/>
                <c:pt idx="0">
                  <c:v>Total Line Length</c:v>
                </c:pt>
              </c:strCache>
            </c:strRef>
          </c:cat>
          <c:val>
            <c:numRef>
              <c:f>Graphs!$P$62</c:f>
              <c:numCache>
                <c:formatCode>_-"$"* #,##0_-;\-"$"* #,##0_-;_-"$"* "-"??_-;_-@_-</c:formatCode>
                <c:ptCount val="1"/>
                <c:pt idx="0">
                  <c:v>180.31239995223885</c:v>
                </c:pt>
              </c:numCache>
            </c:numRef>
          </c:val>
        </c:ser>
        <c:dLbls>
          <c:showLegendKey val="0"/>
          <c:showVal val="0"/>
          <c:showCatName val="0"/>
          <c:showSerName val="0"/>
          <c:showPercent val="0"/>
          <c:showBubbleSize val="0"/>
        </c:dLbls>
        <c:gapWidth val="150"/>
        <c:axId val="361248640"/>
        <c:axId val="361250176"/>
      </c:barChart>
      <c:catAx>
        <c:axId val="361248640"/>
        <c:scaling>
          <c:orientation val="minMax"/>
        </c:scaling>
        <c:delete val="1"/>
        <c:axPos val="b"/>
        <c:majorTickMark val="out"/>
        <c:minorTickMark val="none"/>
        <c:tickLblPos val="nextTo"/>
        <c:crossAx val="361250176"/>
        <c:crosses val="autoZero"/>
        <c:auto val="1"/>
        <c:lblAlgn val="ctr"/>
        <c:lblOffset val="100"/>
        <c:noMultiLvlLbl val="0"/>
      </c:catAx>
      <c:valAx>
        <c:axId val="361250176"/>
        <c:scaling>
          <c:orientation val="minMax"/>
        </c:scaling>
        <c:delete val="0"/>
        <c:axPos val="l"/>
        <c:majorGridlines/>
        <c:title>
          <c:tx>
            <c:strRef>
              <c:f>Graphs!$J$61</c:f>
              <c:strCache>
                <c:ptCount val="1"/>
                <c:pt idx="0">
                  <c:v>Non-Routine Maintenance Avg Annual Opex per km (Total Line Length)</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61248640"/>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Graphs!$B$81</c:f>
              <c:strCache>
                <c:ptCount val="1"/>
                <c:pt idx="0">
                  <c:v>Powercor</c:v>
                </c:pt>
              </c:strCache>
            </c:strRef>
          </c:tx>
          <c:spPr>
            <a:solidFill>
              <a:schemeClr val="accent2"/>
            </a:solidFill>
          </c:spPr>
          <c:invertIfNegative val="0"/>
          <c:cat>
            <c:strRef>
              <c:f>Graphs!$A$82</c:f>
              <c:strCache>
                <c:ptCount val="1"/>
                <c:pt idx="0">
                  <c:v>Total Line Length</c:v>
                </c:pt>
              </c:strCache>
            </c:strRef>
          </c:cat>
          <c:val>
            <c:numRef>
              <c:f>Graphs!$B$82</c:f>
              <c:numCache>
                <c:formatCode>_-"$"* #,##0_-;\-"$"* #,##0_-;_-"$"* "-"??_-;_-@_-</c:formatCode>
                <c:ptCount val="1"/>
                <c:pt idx="0">
                  <c:v>248.06657448177961</c:v>
                </c:pt>
              </c:numCache>
            </c:numRef>
          </c:val>
        </c:ser>
        <c:ser>
          <c:idx val="1"/>
          <c:order val="1"/>
          <c:tx>
            <c:strRef>
              <c:f>Graphs!$C$81</c:f>
              <c:strCache>
                <c:ptCount val="1"/>
                <c:pt idx="0">
                  <c:v>AusNet</c:v>
                </c:pt>
              </c:strCache>
            </c:strRef>
          </c:tx>
          <c:spPr>
            <a:solidFill>
              <a:schemeClr val="accent1"/>
            </a:solidFill>
          </c:spPr>
          <c:invertIfNegative val="0"/>
          <c:cat>
            <c:strRef>
              <c:f>Graphs!$A$82</c:f>
              <c:strCache>
                <c:ptCount val="1"/>
                <c:pt idx="0">
                  <c:v>Total Line Length</c:v>
                </c:pt>
              </c:strCache>
            </c:strRef>
          </c:cat>
          <c:val>
            <c:numRef>
              <c:f>Graphs!$C$82</c:f>
              <c:numCache>
                <c:formatCode>_-"$"* #,##0_-;\-"$"* #,##0_-;_-"$"* "-"??_-;_-@_-</c:formatCode>
                <c:ptCount val="1"/>
                <c:pt idx="0">
                  <c:v>381.26262194392615</c:v>
                </c:pt>
              </c:numCache>
            </c:numRef>
          </c:val>
        </c:ser>
        <c:ser>
          <c:idx val="3"/>
          <c:order val="2"/>
          <c:tx>
            <c:strRef>
              <c:f>Graphs!$D$81</c:f>
              <c:strCache>
                <c:ptCount val="1"/>
                <c:pt idx="0">
                  <c:v>SA Power</c:v>
                </c:pt>
              </c:strCache>
            </c:strRef>
          </c:tx>
          <c:spPr>
            <a:solidFill>
              <a:schemeClr val="accent3"/>
            </a:solidFill>
          </c:spPr>
          <c:invertIfNegative val="0"/>
          <c:cat>
            <c:strRef>
              <c:f>Graphs!$A$82</c:f>
              <c:strCache>
                <c:ptCount val="1"/>
                <c:pt idx="0">
                  <c:v>Total Line Length</c:v>
                </c:pt>
              </c:strCache>
            </c:strRef>
          </c:cat>
          <c:val>
            <c:numRef>
              <c:f>Graphs!$D$82</c:f>
              <c:numCache>
                <c:formatCode>_-"$"* #,##0_-;\-"$"* #,##0_-;_-"$"* "-"??_-;_-@_-</c:formatCode>
                <c:ptCount val="1"/>
                <c:pt idx="0">
                  <c:v>313.16324158332623</c:v>
                </c:pt>
              </c:numCache>
            </c:numRef>
          </c:val>
        </c:ser>
        <c:ser>
          <c:idx val="2"/>
          <c:order val="3"/>
          <c:tx>
            <c:strRef>
              <c:f>Graphs!$E$81</c:f>
              <c:strCache>
                <c:ptCount val="1"/>
                <c:pt idx="0">
                  <c:v>Essential</c:v>
                </c:pt>
              </c:strCache>
            </c:strRef>
          </c:tx>
          <c:spPr>
            <a:solidFill>
              <a:schemeClr val="accent6"/>
            </a:solidFill>
          </c:spPr>
          <c:invertIfNegative val="0"/>
          <c:cat>
            <c:strRef>
              <c:f>Graphs!$A$82</c:f>
              <c:strCache>
                <c:ptCount val="1"/>
                <c:pt idx="0">
                  <c:v>Total Line Length</c:v>
                </c:pt>
              </c:strCache>
            </c:strRef>
          </c:cat>
          <c:val>
            <c:numRef>
              <c:f>Graphs!$E$82</c:f>
              <c:numCache>
                <c:formatCode>_-"$"* #,##0_-;\-"$"* #,##0_-;_-"$"* "-"??_-;_-@_-</c:formatCode>
                <c:ptCount val="1"/>
                <c:pt idx="0">
                  <c:v>234.59278307529732</c:v>
                </c:pt>
              </c:numCache>
            </c:numRef>
          </c:val>
        </c:ser>
        <c:ser>
          <c:idx val="4"/>
          <c:order val="4"/>
          <c:tx>
            <c:strRef>
              <c:f>Graphs!$F$81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Graphs!$A$82</c:f>
              <c:strCache>
                <c:ptCount val="1"/>
                <c:pt idx="0">
                  <c:v>Total Line Length</c:v>
                </c:pt>
              </c:strCache>
            </c:strRef>
          </c:cat>
          <c:val>
            <c:numRef>
              <c:f>Graphs!$F$82</c:f>
              <c:numCache>
                <c:formatCode>_-"$"* #,##0_-;\-"$"* #,##0_-;_-"$"* "-"??_-;_-@_-</c:formatCode>
                <c:ptCount val="1"/>
                <c:pt idx="0">
                  <c:v>297.7114898676416</c:v>
                </c:pt>
              </c:numCache>
            </c:numRef>
          </c:val>
        </c:ser>
        <c:ser>
          <c:idx val="5"/>
          <c:order val="5"/>
          <c:tx>
            <c:strRef>
              <c:f>Graphs!$G$81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Graphs!$A$82</c:f>
              <c:strCache>
                <c:ptCount val="1"/>
                <c:pt idx="0">
                  <c:v>Total Line Length</c:v>
                </c:pt>
              </c:strCache>
            </c:strRef>
          </c:cat>
          <c:val>
            <c:numRef>
              <c:f>Graphs!$G$82</c:f>
              <c:numCache>
                <c:formatCode>_-"$"* #,##0_-;\-"$"* #,##0_-;_-"$"* "-"??_-;_-@_-</c:formatCode>
                <c:ptCount val="1"/>
                <c:pt idx="0">
                  <c:v>283.17253445224708</c:v>
                </c:pt>
              </c:numCache>
            </c:numRef>
          </c:val>
        </c:ser>
        <c:dLbls>
          <c:showLegendKey val="0"/>
          <c:showVal val="0"/>
          <c:showCatName val="0"/>
          <c:showSerName val="0"/>
          <c:showPercent val="0"/>
          <c:showBubbleSize val="0"/>
        </c:dLbls>
        <c:gapWidth val="150"/>
        <c:axId val="361446784"/>
        <c:axId val="361460864"/>
      </c:barChart>
      <c:catAx>
        <c:axId val="361446784"/>
        <c:scaling>
          <c:orientation val="minMax"/>
        </c:scaling>
        <c:delete val="1"/>
        <c:axPos val="b"/>
        <c:majorTickMark val="out"/>
        <c:minorTickMark val="none"/>
        <c:tickLblPos val="nextTo"/>
        <c:crossAx val="361460864"/>
        <c:crosses val="autoZero"/>
        <c:auto val="1"/>
        <c:lblAlgn val="ctr"/>
        <c:lblOffset val="100"/>
        <c:noMultiLvlLbl val="0"/>
      </c:catAx>
      <c:valAx>
        <c:axId val="361460864"/>
        <c:scaling>
          <c:orientation val="minMax"/>
        </c:scaling>
        <c:delete val="0"/>
        <c:axPos val="l"/>
        <c:majorGridlines/>
        <c:title>
          <c:tx>
            <c:strRef>
              <c:f>Graphs!$A$81</c:f>
              <c:strCache>
                <c:ptCount val="1"/>
                <c:pt idx="0">
                  <c:v>Emergency Response Avg Annual Opex per km (Total Line Length)</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61446784"/>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Graphs!$T$81</c:f>
              <c:strCache>
                <c:ptCount val="1"/>
                <c:pt idx="0">
                  <c:v>Powercor</c:v>
                </c:pt>
              </c:strCache>
            </c:strRef>
          </c:tx>
          <c:spPr>
            <a:solidFill>
              <a:schemeClr val="accent2"/>
            </a:solidFill>
          </c:spPr>
          <c:invertIfNegative val="0"/>
          <c:cat>
            <c:strRef>
              <c:f>Graphs!$S$82</c:f>
              <c:strCache>
                <c:ptCount val="1"/>
                <c:pt idx="0">
                  <c:v>Total Line Length</c:v>
                </c:pt>
              </c:strCache>
            </c:strRef>
          </c:cat>
          <c:val>
            <c:numRef>
              <c:f>Graphs!$T$82</c:f>
              <c:numCache>
                <c:formatCode>_-"$"* #,##0_-;\-"$"* #,##0_-;_-"$"* "-"??_-;_-@_-</c:formatCode>
                <c:ptCount val="1"/>
                <c:pt idx="0">
                  <c:v>248.06657448177961</c:v>
                </c:pt>
              </c:numCache>
            </c:numRef>
          </c:val>
        </c:ser>
        <c:ser>
          <c:idx val="1"/>
          <c:order val="1"/>
          <c:tx>
            <c:strRef>
              <c:f>Graphs!$U$81</c:f>
              <c:strCache>
                <c:ptCount val="1"/>
                <c:pt idx="0">
                  <c:v>AusNet</c:v>
                </c:pt>
              </c:strCache>
            </c:strRef>
          </c:tx>
          <c:spPr>
            <a:solidFill>
              <a:schemeClr val="accent1"/>
            </a:solidFill>
          </c:spPr>
          <c:invertIfNegative val="0"/>
          <c:cat>
            <c:strRef>
              <c:f>Graphs!$S$82</c:f>
              <c:strCache>
                <c:ptCount val="1"/>
                <c:pt idx="0">
                  <c:v>Total Line Length</c:v>
                </c:pt>
              </c:strCache>
            </c:strRef>
          </c:cat>
          <c:val>
            <c:numRef>
              <c:f>Graphs!$U$82</c:f>
              <c:numCache>
                <c:formatCode>_-"$"* #,##0_-;\-"$"* #,##0_-;_-"$"* "-"??_-;_-@_-</c:formatCode>
                <c:ptCount val="1"/>
                <c:pt idx="0">
                  <c:v>381.26262194392615</c:v>
                </c:pt>
              </c:numCache>
            </c:numRef>
          </c:val>
        </c:ser>
        <c:ser>
          <c:idx val="3"/>
          <c:order val="2"/>
          <c:tx>
            <c:strRef>
              <c:f>Graphs!$V$81</c:f>
              <c:strCache>
                <c:ptCount val="1"/>
                <c:pt idx="0">
                  <c:v>SA Power</c:v>
                </c:pt>
              </c:strCache>
            </c:strRef>
          </c:tx>
          <c:spPr>
            <a:solidFill>
              <a:schemeClr val="accent3"/>
            </a:solidFill>
          </c:spPr>
          <c:invertIfNegative val="0"/>
          <c:cat>
            <c:strRef>
              <c:f>Graphs!$S$82</c:f>
              <c:strCache>
                <c:ptCount val="1"/>
                <c:pt idx="0">
                  <c:v>Total Line Length</c:v>
                </c:pt>
              </c:strCache>
            </c:strRef>
          </c:cat>
          <c:val>
            <c:numRef>
              <c:f>Graphs!$V$82</c:f>
              <c:numCache>
                <c:formatCode>_-"$"* #,##0_-;\-"$"* #,##0_-;_-"$"* "-"??_-;_-@_-</c:formatCode>
                <c:ptCount val="1"/>
                <c:pt idx="0">
                  <c:v>313.16324158332623</c:v>
                </c:pt>
              </c:numCache>
            </c:numRef>
          </c:val>
        </c:ser>
        <c:ser>
          <c:idx val="2"/>
          <c:order val="3"/>
          <c:tx>
            <c:strRef>
              <c:f>Graphs!$W$81</c:f>
              <c:strCache>
                <c:ptCount val="1"/>
                <c:pt idx="0">
                  <c:v>Essential -10%</c:v>
                </c:pt>
              </c:strCache>
            </c:strRef>
          </c:tx>
          <c:spPr>
            <a:solidFill>
              <a:schemeClr val="accent6"/>
            </a:solidFill>
          </c:spPr>
          <c:invertIfNegative val="0"/>
          <c:cat>
            <c:strRef>
              <c:f>Graphs!$S$82</c:f>
              <c:strCache>
                <c:ptCount val="1"/>
                <c:pt idx="0">
                  <c:v>Total Line Length</c:v>
                </c:pt>
              </c:strCache>
            </c:strRef>
          </c:cat>
          <c:val>
            <c:numRef>
              <c:f>Graphs!$W$82</c:f>
              <c:numCache>
                <c:formatCode>_-"$"* #,##0_-;\-"$"* #,##0_-;_-"$"* "-"??_-;_-@_-</c:formatCode>
                <c:ptCount val="1"/>
                <c:pt idx="0">
                  <c:v>211.13350476776759</c:v>
                </c:pt>
              </c:numCache>
            </c:numRef>
          </c:val>
        </c:ser>
        <c:ser>
          <c:idx val="4"/>
          <c:order val="4"/>
          <c:tx>
            <c:strRef>
              <c:f>Graphs!$X$81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Graphs!$S$82</c:f>
              <c:strCache>
                <c:ptCount val="1"/>
                <c:pt idx="0">
                  <c:v>Total Line Length</c:v>
                </c:pt>
              </c:strCache>
            </c:strRef>
          </c:cat>
          <c:val>
            <c:numRef>
              <c:f>Graphs!$X$82</c:f>
              <c:numCache>
                <c:formatCode>_-"$"* #,##0_-;\-"$"* #,##0_-;_-"$"* "-"??_-;_-@_-</c:formatCode>
                <c:ptCount val="1"/>
                <c:pt idx="0">
                  <c:v>297.7114898676416</c:v>
                </c:pt>
              </c:numCache>
            </c:numRef>
          </c:val>
        </c:ser>
        <c:ser>
          <c:idx val="5"/>
          <c:order val="5"/>
          <c:tx>
            <c:strRef>
              <c:f>Graphs!$Y$81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Graphs!$S$82</c:f>
              <c:strCache>
                <c:ptCount val="1"/>
                <c:pt idx="0">
                  <c:v>Total Line Length</c:v>
                </c:pt>
              </c:strCache>
            </c:strRef>
          </c:cat>
          <c:val>
            <c:numRef>
              <c:f>Graphs!$Y$82</c:f>
              <c:numCache>
                <c:formatCode>_-"$"* #,##0_-;\-"$"* #,##0_-;_-"$"* "-"??_-;_-@_-</c:formatCode>
                <c:ptCount val="1"/>
                <c:pt idx="0">
                  <c:v>283.17253445224708</c:v>
                </c:pt>
              </c:numCache>
            </c:numRef>
          </c:val>
        </c:ser>
        <c:dLbls>
          <c:showLegendKey val="0"/>
          <c:showVal val="0"/>
          <c:showCatName val="0"/>
          <c:showSerName val="0"/>
          <c:showPercent val="0"/>
          <c:showBubbleSize val="0"/>
        </c:dLbls>
        <c:gapWidth val="150"/>
        <c:axId val="361378944"/>
        <c:axId val="361380480"/>
      </c:barChart>
      <c:catAx>
        <c:axId val="361378944"/>
        <c:scaling>
          <c:orientation val="minMax"/>
        </c:scaling>
        <c:delete val="1"/>
        <c:axPos val="b"/>
        <c:majorTickMark val="out"/>
        <c:minorTickMark val="none"/>
        <c:tickLblPos val="nextTo"/>
        <c:crossAx val="361380480"/>
        <c:crosses val="autoZero"/>
        <c:auto val="1"/>
        <c:lblAlgn val="ctr"/>
        <c:lblOffset val="100"/>
        <c:noMultiLvlLbl val="0"/>
      </c:catAx>
      <c:valAx>
        <c:axId val="361380480"/>
        <c:scaling>
          <c:orientation val="minMax"/>
        </c:scaling>
        <c:delete val="0"/>
        <c:axPos val="l"/>
        <c:majorGridlines/>
        <c:title>
          <c:tx>
            <c:strRef>
              <c:f>Graphs!$S$81</c:f>
              <c:strCache>
                <c:ptCount val="1"/>
                <c:pt idx="0">
                  <c:v>Emergency Response Avg Annual Opex per km (Total Line Length)</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61378944"/>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Graphs!$K$81</c:f>
              <c:strCache>
                <c:ptCount val="1"/>
                <c:pt idx="0">
                  <c:v>Powercor</c:v>
                </c:pt>
              </c:strCache>
            </c:strRef>
          </c:tx>
          <c:spPr>
            <a:solidFill>
              <a:schemeClr val="accent2"/>
            </a:solidFill>
          </c:spPr>
          <c:invertIfNegative val="0"/>
          <c:cat>
            <c:strRef>
              <c:f>Graphs!$J$82</c:f>
              <c:strCache>
                <c:ptCount val="1"/>
                <c:pt idx="0">
                  <c:v>Total Line Length</c:v>
                </c:pt>
              </c:strCache>
            </c:strRef>
          </c:cat>
          <c:val>
            <c:numRef>
              <c:f>Graphs!$K$82</c:f>
              <c:numCache>
                <c:formatCode>_-"$"* #,##0_-;\-"$"* #,##0_-;_-"$"* "-"??_-;_-@_-</c:formatCode>
                <c:ptCount val="1"/>
                <c:pt idx="0">
                  <c:v>248.06657448177961</c:v>
                </c:pt>
              </c:numCache>
            </c:numRef>
          </c:val>
        </c:ser>
        <c:ser>
          <c:idx val="1"/>
          <c:order val="1"/>
          <c:tx>
            <c:strRef>
              <c:f>Graphs!$L$81</c:f>
              <c:strCache>
                <c:ptCount val="1"/>
                <c:pt idx="0">
                  <c:v>AusNet</c:v>
                </c:pt>
              </c:strCache>
            </c:strRef>
          </c:tx>
          <c:spPr>
            <a:solidFill>
              <a:schemeClr val="accent1"/>
            </a:solidFill>
          </c:spPr>
          <c:invertIfNegative val="0"/>
          <c:cat>
            <c:strRef>
              <c:f>Graphs!$J$82</c:f>
              <c:strCache>
                <c:ptCount val="1"/>
                <c:pt idx="0">
                  <c:v>Total Line Length</c:v>
                </c:pt>
              </c:strCache>
            </c:strRef>
          </c:cat>
          <c:val>
            <c:numRef>
              <c:f>Graphs!$L$82</c:f>
              <c:numCache>
                <c:formatCode>_-"$"* #,##0_-;\-"$"* #,##0_-;_-"$"* "-"??_-;_-@_-</c:formatCode>
                <c:ptCount val="1"/>
                <c:pt idx="0">
                  <c:v>381.26262194392615</c:v>
                </c:pt>
              </c:numCache>
            </c:numRef>
          </c:val>
        </c:ser>
        <c:ser>
          <c:idx val="3"/>
          <c:order val="2"/>
          <c:tx>
            <c:strRef>
              <c:f>Graphs!$M$81</c:f>
              <c:strCache>
                <c:ptCount val="1"/>
                <c:pt idx="0">
                  <c:v>SA Power</c:v>
                </c:pt>
              </c:strCache>
            </c:strRef>
          </c:tx>
          <c:spPr>
            <a:solidFill>
              <a:schemeClr val="accent3"/>
            </a:solidFill>
          </c:spPr>
          <c:invertIfNegative val="0"/>
          <c:cat>
            <c:strRef>
              <c:f>Graphs!$J$82</c:f>
              <c:strCache>
                <c:ptCount val="1"/>
                <c:pt idx="0">
                  <c:v>Total Line Length</c:v>
                </c:pt>
              </c:strCache>
            </c:strRef>
          </c:cat>
          <c:val>
            <c:numRef>
              <c:f>Graphs!$M$82</c:f>
              <c:numCache>
                <c:formatCode>_-"$"* #,##0_-;\-"$"* #,##0_-;_-"$"* "-"??_-;_-@_-</c:formatCode>
                <c:ptCount val="1"/>
                <c:pt idx="0">
                  <c:v>313.16324158332623</c:v>
                </c:pt>
              </c:numCache>
            </c:numRef>
          </c:val>
        </c:ser>
        <c:ser>
          <c:idx val="2"/>
          <c:order val="3"/>
          <c:tx>
            <c:strRef>
              <c:f>Graphs!$N$81</c:f>
              <c:strCache>
                <c:ptCount val="1"/>
                <c:pt idx="0">
                  <c:v>Essential +16%Dir</c:v>
                </c:pt>
              </c:strCache>
            </c:strRef>
          </c:tx>
          <c:spPr>
            <a:solidFill>
              <a:schemeClr val="accent6"/>
            </a:solidFill>
          </c:spPr>
          <c:invertIfNegative val="0"/>
          <c:cat>
            <c:strRef>
              <c:f>Graphs!$J$82</c:f>
              <c:strCache>
                <c:ptCount val="1"/>
                <c:pt idx="0">
                  <c:v>Total Line Length</c:v>
                </c:pt>
              </c:strCache>
            </c:strRef>
          </c:cat>
          <c:val>
            <c:numRef>
              <c:f>Graphs!$N$82</c:f>
              <c:numCache>
                <c:formatCode>_-"$"* #,##0_-;\-"$"* #,##0_-;_-"$"* "-"??_-;_-@_-</c:formatCode>
                <c:ptCount val="1"/>
                <c:pt idx="0">
                  <c:v>272.12762836734487</c:v>
                </c:pt>
              </c:numCache>
            </c:numRef>
          </c:val>
        </c:ser>
        <c:ser>
          <c:idx val="4"/>
          <c:order val="4"/>
          <c:tx>
            <c:strRef>
              <c:f>Graphs!$O$81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Graphs!$J$82</c:f>
              <c:strCache>
                <c:ptCount val="1"/>
                <c:pt idx="0">
                  <c:v>Total Line Length</c:v>
                </c:pt>
              </c:strCache>
            </c:strRef>
          </c:cat>
          <c:val>
            <c:numRef>
              <c:f>Graphs!$O$82</c:f>
              <c:numCache>
                <c:formatCode>_-"$"* #,##0_-;\-"$"* #,##0_-;_-"$"* "-"??_-;_-@_-</c:formatCode>
                <c:ptCount val="1"/>
                <c:pt idx="0">
                  <c:v>297.7114898676416</c:v>
                </c:pt>
              </c:numCache>
            </c:numRef>
          </c:val>
        </c:ser>
        <c:ser>
          <c:idx val="5"/>
          <c:order val="5"/>
          <c:tx>
            <c:strRef>
              <c:f>Graphs!$P$81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Graphs!$J$82</c:f>
              <c:strCache>
                <c:ptCount val="1"/>
                <c:pt idx="0">
                  <c:v>Total Line Length</c:v>
                </c:pt>
              </c:strCache>
            </c:strRef>
          </c:cat>
          <c:val>
            <c:numRef>
              <c:f>Graphs!$P$82</c:f>
              <c:numCache>
                <c:formatCode>_-"$"* #,##0_-;\-"$"* #,##0_-;_-"$"* "-"??_-;_-@_-</c:formatCode>
                <c:ptCount val="1"/>
                <c:pt idx="0">
                  <c:v>283.17253445224708</c:v>
                </c:pt>
              </c:numCache>
            </c:numRef>
          </c:val>
        </c:ser>
        <c:dLbls>
          <c:showLegendKey val="0"/>
          <c:showVal val="0"/>
          <c:showCatName val="0"/>
          <c:showSerName val="0"/>
          <c:showPercent val="0"/>
          <c:showBubbleSize val="0"/>
        </c:dLbls>
        <c:gapWidth val="150"/>
        <c:axId val="361425536"/>
        <c:axId val="361427328"/>
      </c:barChart>
      <c:catAx>
        <c:axId val="361425536"/>
        <c:scaling>
          <c:orientation val="minMax"/>
        </c:scaling>
        <c:delete val="1"/>
        <c:axPos val="b"/>
        <c:majorTickMark val="out"/>
        <c:minorTickMark val="none"/>
        <c:tickLblPos val="nextTo"/>
        <c:crossAx val="361427328"/>
        <c:crosses val="autoZero"/>
        <c:auto val="1"/>
        <c:lblAlgn val="ctr"/>
        <c:lblOffset val="100"/>
        <c:noMultiLvlLbl val="0"/>
      </c:catAx>
      <c:valAx>
        <c:axId val="361427328"/>
        <c:scaling>
          <c:orientation val="minMax"/>
        </c:scaling>
        <c:delete val="0"/>
        <c:axPos val="l"/>
        <c:majorGridlines/>
        <c:title>
          <c:tx>
            <c:strRef>
              <c:f>Graphs!$J$81</c:f>
              <c:strCache>
                <c:ptCount val="1"/>
                <c:pt idx="0">
                  <c:v>Emergency Response Avg Annual Opex per km (Total Line Length)</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61425536"/>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Graphs!$B$122</c:f>
              <c:strCache>
                <c:ptCount val="1"/>
                <c:pt idx="0">
                  <c:v>Powercor</c:v>
                </c:pt>
              </c:strCache>
            </c:strRef>
          </c:tx>
          <c:spPr>
            <a:solidFill>
              <a:schemeClr val="accent2"/>
            </a:solidFill>
          </c:spPr>
          <c:invertIfNegative val="0"/>
          <c:cat>
            <c:strRef>
              <c:f>Graphs!$A$123</c:f>
              <c:strCache>
                <c:ptCount val="1"/>
                <c:pt idx="0">
                  <c:v>Total Route Length</c:v>
                </c:pt>
              </c:strCache>
            </c:strRef>
          </c:cat>
          <c:val>
            <c:numRef>
              <c:f>Graphs!$B$123</c:f>
              <c:numCache>
                <c:formatCode>_-"$"* #,##0_-;\-"$"* #,##0_-;_-"$"* "-"??_-;_-@_-</c:formatCode>
                <c:ptCount val="1"/>
                <c:pt idx="0">
                  <c:v>408.53342510024538</c:v>
                </c:pt>
              </c:numCache>
            </c:numRef>
          </c:val>
        </c:ser>
        <c:ser>
          <c:idx val="1"/>
          <c:order val="1"/>
          <c:tx>
            <c:strRef>
              <c:f>Graphs!$C$122</c:f>
              <c:strCache>
                <c:ptCount val="1"/>
                <c:pt idx="0">
                  <c:v>AusNet</c:v>
                </c:pt>
              </c:strCache>
            </c:strRef>
          </c:tx>
          <c:spPr>
            <a:solidFill>
              <a:schemeClr val="accent1"/>
            </a:solidFill>
          </c:spPr>
          <c:invertIfNegative val="0"/>
          <c:cat>
            <c:strRef>
              <c:f>Graphs!$A$123</c:f>
              <c:strCache>
                <c:ptCount val="1"/>
                <c:pt idx="0">
                  <c:v>Total Route Length</c:v>
                </c:pt>
              </c:strCache>
            </c:strRef>
          </c:cat>
          <c:val>
            <c:numRef>
              <c:f>Graphs!$C$123</c:f>
              <c:numCache>
                <c:formatCode>_-"$"* #,##0_-;\-"$"* #,##0_-;_-"$"* "-"??_-;_-@_-</c:formatCode>
                <c:ptCount val="1"/>
                <c:pt idx="0">
                  <c:v>822.93268000933074</c:v>
                </c:pt>
              </c:numCache>
            </c:numRef>
          </c:val>
        </c:ser>
        <c:ser>
          <c:idx val="3"/>
          <c:order val="2"/>
          <c:tx>
            <c:strRef>
              <c:f>Graphs!$D$122</c:f>
              <c:strCache>
                <c:ptCount val="1"/>
                <c:pt idx="0">
                  <c:v>SA Power</c:v>
                </c:pt>
              </c:strCache>
            </c:strRef>
          </c:tx>
          <c:spPr>
            <a:solidFill>
              <a:schemeClr val="accent3"/>
            </a:solidFill>
          </c:spPr>
          <c:invertIfNegative val="0"/>
          <c:cat>
            <c:strRef>
              <c:f>Graphs!$A$123</c:f>
              <c:strCache>
                <c:ptCount val="1"/>
                <c:pt idx="0">
                  <c:v>Total Route Length</c:v>
                </c:pt>
              </c:strCache>
            </c:strRef>
          </c:cat>
          <c:val>
            <c:numRef>
              <c:f>Graphs!$D$123</c:f>
              <c:numCache>
                <c:formatCode>_-"$"* #,##0_-;\-"$"* #,##0_-;_-"$"* "-"??_-;_-@_-</c:formatCode>
                <c:ptCount val="1"/>
                <c:pt idx="0">
                  <c:v>309.26211222993209</c:v>
                </c:pt>
              </c:numCache>
            </c:numRef>
          </c:val>
        </c:ser>
        <c:ser>
          <c:idx val="2"/>
          <c:order val="3"/>
          <c:tx>
            <c:strRef>
              <c:f>Graphs!$E$122</c:f>
              <c:strCache>
                <c:ptCount val="1"/>
                <c:pt idx="0">
                  <c:v>Essential</c:v>
                </c:pt>
              </c:strCache>
            </c:strRef>
          </c:tx>
          <c:spPr>
            <a:solidFill>
              <a:schemeClr val="accent6"/>
            </a:solidFill>
          </c:spPr>
          <c:invertIfNegative val="0"/>
          <c:cat>
            <c:strRef>
              <c:f>Graphs!$A$123</c:f>
              <c:strCache>
                <c:ptCount val="1"/>
                <c:pt idx="0">
                  <c:v>Total Route Length</c:v>
                </c:pt>
              </c:strCache>
            </c:strRef>
          </c:cat>
          <c:val>
            <c:numRef>
              <c:f>Graphs!$E$123</c:f>
              <c:numCache>
                <c:formatCode>_-"$"* #,##0_-;\-"$"* #,##0_-;_-"$"* "-"??_-;_-@_-</c:formatCode>
                <c:ptCount val="1"/>
                <c:pt idx="0">
                  <c:v>425.41430409666259</c:v>
                </c:pt>
              </c:numCache>
            </c:numRef>
          </c:val>
        </c:ser>
        <c:ser>
          <c:idx val="4"/>
          <c:order val="4"/>
          <c:tx>
            <c:strRef>
              <c:f>Graphs!$F$122</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Graphs!$A$123</c:f>
              <c:strCache>
                <c:ptCount val="1"/>
                <c:pt idx="0">
                  <c:v>Total Route Length</c:v>
                </c:pt>
              </c:strCache>
            </c:strRef>
          </c:cat>
          <c:val>
            <c:numRef>
              <c:f>Graphs!$F$123</c:f>
              <c:numCache>
                <c:formatCode>_-"$"* #,##0_-;\-"$"* #,##0_-;_-"$"* "-"??_-;_-@_-</c:formatCode>
                <c:ptCount val="1"/>
                <c:pt idx="0">
                  <c:v>549.06226835411496</c:v>
                </c:pt>
              </c:numCache>
            </c:numRef>
          </c:val>
        </c:ser>
        <c:ser>
          <c:idx val="5"/>
          <c:order val="5"/>
          <c:tx>
            <c:strRef>
              <c:f>Graphs!$G$122</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Graphs!$A$123</c:f>
              <c:strCache>
                <c:ptCount val="1"/>
                <c:pt idx="0">
                  <c:v>Total Route Length</c:v>
                </c:pt>
              </c:strCache>
            </c:strRef>
          </c:cat>
          <c:val>
            <c:numRef>
              <c:f>Graphs!$G$123</c:f>
              <c:numCache>
                <c:formatCode>_-"$"* #,##0_-;\-"$"* #,##0_-;_-"$"* "-"??_-;_-@_-</c:formatCode>
                <c:ptCount val="1"/>
                <c:pt idx="0">
                  <c:v>354.10068052955609</c:v>
                </c:pt>
              </c:numCache>
            </c:numRef>
          </c:val>
        </c:ser>
        <c:dLbls>
          <c:showLegendKey val="0"/>
          <c:showVal val="0"/>
          <c:showCatName val="0"/>
          <c:showSerName val="0"/>
          <c:showPercent val="0"/>
          <c:showBubbleSize val="0"/>
        </c:dLbls>
        <c:gapWidth val="150"/>
        <c:axId val="361542016"/>
        <c:axId val="361543552"/>
      </c:barChart>
      <c:catAx>
        <c:axId val="361542016"/>
        <c:scaling>
          <c:orientation val="minMax"/>
        </c:scaling>
        <c:delete val="1"/>
        <c:axPos val="b"/>
        <c:majorTickMark val="out"/>
        <c:minorTickMark val="none"/>
        <c:tickLblPos val="nextTo"/>
        <c:crossAx val="361543552"/>
        <c:crosses val="autoZero"/>
        <c:auto val="1"/>
        <c:lblAlgn val="ctr"/>
        <c:lblOffset val="100"/>
        <c:noMultiLvlLbl val="0"/>
      </c:catAx>
      <c:valAx>
        <c:axId val="361543552"/>
        <c:scaling>
          <c:orientation val="minMax"/>
        </c:scaling>
        <c:delete val="0"/>
        <c:axPos val="l"/>
        <c:majorGridlines/>
        <c:title>
          <c:tx>
            <c:strRef>
              <c:f>Graphs!$A$122</c:f>
              <c:strCache>
                <c:ptCount val="1"/>
                <c:pt idx="0">
                  <c:v>Veg Management Avg Annual (2009-13) Direct Opex per km (Total Route Length)</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61542016"/>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Graphs!$T$21</c:f>
              <c:strCache>
                <c:ptCount val="1"/>
                <c:pt idx="0">
                  <c:v>Powercor</c:v>
                </c:pt>
              </c:strCache>
            </c:strRef>
          </c:tx>
          <c:spPr>
            <a:solidFill>
              <a:schemeClr val="accent2"/>
            </a:solidFill>
          </c:spPr>
          <c:invertIfNegative val="0"/>
          <c:cat>
            <c:strRef>
              <c:f>Graphs!$S$22</c:f>
              <c:strCache>
                <c:ptCount val="1"/>
                <c:pt idx="0">
                  <c:v>Total Assets</c:v>
                </c:pt>
              </c:strCache>
            </c:strRef>
          </c:cat>
          <c:val>
            <c:numRef>
              <c:f>Graphs!$T$22</c:f>
              <c:numCache>
                <c:formatCode>"$"#,##0_);\("$"#,##0\)</c:formatCode>
                <c:ptCount val="1"/>
                <c:pt idx="0">
                  <c:v>125.12960123452162</c:v>
                </c:pt>
              </c:numCache>
            </c:numRef>
          </c:val>
        </c:ser>
        <c:ser>
          <c:idx val="1"/>
          <c:order val="1"/>
          <c:tx>
            <c:strRef>
              <c:f>Graphs!$U$21</c:f>
              <c:strCache>
                <c:ptCount val="1"/>
                <c:pt idx="0">
                  <c:v>AusNet</c:v>
                </c:pt>
              </c:strCache>
            </c:strRef>
          </c:tx>
          <c:spPr>
            <a:solidFill>
              <a:schemeClr val="accent1"/>
            </a:solidFill>
          </c:spPr>
          <c:invertIfNegative val="0"/>
          <c:cat>
            <c:strRef>
              <c:f>Graphs!$S$22</c:f>
              <c:strCache>
                <c:ptCount val="1"/>
                <c:pt idx="0">
                  <c:v>Total Assets</c:v>
                </c:pt>
              </c:strCache>
            </c:strRef>
          </c:cat>
          <c:val>
            <c:numRef>
              <c:f>Graphs!$U$22</c:f>
              <c:numCache>
                <c:formatCode>"$"#,##0_);\("$"#,##0\)</c:formatCode>
                <c:ptCount val="1"/>
                <c:pt idx="0">
                  <c:v>222.24664759467765</c:v>
                </c:pt>
              </c:numCache>
            </c:numRef>
          </c:val>
        </c:ser>
        <c:ser>
          <c:idx val="3"/>
          <c:order val="2"/>
          <c:tx>
            <c:strRef>
              <c:f>Graphs!$V$21</c:f>
              <c:strCache>
                <c:ptCount val="1"/>
                <c:pt idx="0">
                  <c:v>SA Power</c:v>
                </c:pt>
              </c:strCache>
            </c:strRef>
          </c:tx>
          <c:spPr>
            <a:solidFill>
              <a:schemeClr val="accent3"/>
            </a:solidFill>
          </c:spPr>
          <c:invertIfNegative val="0"/>
          <c:cat>
            <c:strRef>
              <c:f>Graphs!$S$22</c:f>
              <c:strCache>
                <c:ptCount val="1"/>
                <c:pt idx="0">
                  <c:v>Total Assets</c:v>
                </c:pt>
              </c:strCache>
            </c:strRef>
          </c:cat>
          <c:val>
            <c:numRef>
              <c:f>Graphs!$V$22</c:f>
              <c:numCache>
                <c:formatCode>"$"#,##0_);\("$"#,##0\)</c:formatCode>
                <c:ptCount val="1"/>
                <c:pt idx="0">
                  <c:v>200.27934706046332</c:v>
                </c:pt>
              </c:numCache>
            </c:numRef>
          </c:val>
        </c:ser>
        <c:ser>
          <c:idx val="2"/>
          <c:order val="3"/>
          <c:tx>
            <c:strRef>
              <c:f>Graphs!$W$21</c:f>
              <c:strCache>
                <c:ptCount val="1"/>
                <c:pt idx="0">
                  <c:v>Essential</c:v>
                </c:pt>
              </c:strCache>
            </c:strRef>
          </c:tx>
          <c:spPr>
            <a:solidFill>
              <a:schemeClr val="accent6"/>
            </a:solidFill>
          </c:spPr>
          <c:invertIfNegative val="0"/>
          <c:cat>
            <c:strRef>
              <c:f>Graphs!$S$22</c:f>
              <c:strCache>
                <c:ptCount val="1"/>
                <c:pt idx="0">
                  <c:v>Total Assets</c:v>
                </c:pt>
              </c:strCache>
            </c:strRef>
          </c:cat>
          <c:val>
            <c:numRef>
              <c:f>Graphs!$W$22</c:f>
              <c:numCache>
                <c:formatCode>"$"#,##0_);\("$"#,##0\)</c:formatCode>
                <c:ptCount val="1"/>
                <c:pt idx="0">
                  <c:v>173.90809946902036</c:v>
                </c:pt>
              </c:numCache>
            </c:numRef>
          </c:val>
        </c:ser>
        <c:ser>
          <c:idx val="4"/>
          <c:order val="4"/>
          <c:tx>
            <c:strRef>
              <c:f>Graphs!$X$21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Graphs!$S$22</c:f>
              <c:strCache>
                <c:ptCount val="1"/>
                <c:pt idx="0">
                  <c:v>Total Assets</c:v>
                </c:pt>
              </c:strCache>
            </c:strRef>
          </c:cat>
          <c:val>
            <c:numRef>
              <c:f>Graphs!$X$22</c:f>
              <c:numCache>
                <c:formatCode>"$"#,##0_);\("$"#,##0\)</c:formatCode>
                <c:ptCount val="1"/>
                <c:pt idx="0">
                  <c:v>160.31628989013382</c:v>
                </c:pt>
              </c:numCache>
            </c:numRef>
          </c:val>
        </c:ser>
        <c:ser>
          <c:idx val="5"/>
          <c:order val="5"/>
          <c:tx>
            <c:strRef>
              <c:f>Graphs!$Y$21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Graphs!$S$22</c:f>
              <c:strCache>
                <c:ptCount val="1"/>
                <c:pt idx="0">
                  <c:v>Total Assets</c:v>
                </c:pt>
              </c:strCache>
            </c:strRef>
          </c:cat>
          <c:val>
            <c:numRef>
              <c:f>Graphs!$Y$22</c:f>
              <c:numCache>
                <c:formatCode>"$"#,##0_);\("$"#,##0\)</c:formatCode>
                <c:ptCount val="1"/>
                <c:pt idx="0">
                  <c:v>157.66416895549764</c:v>
                </c:pt>
              </c:numCache>
            </c:numRef>
          </c:val>
        </c:ser>
        <c:dLbls>
          <c:showLegendKey val="0"/>
          <c:showVal val="0"/>
          <c:showCatName val="0"/>
          <c:showSerName val="0"/>
          <c:showPercent val="0"/>
          <c:showBubbleSize val="0"/>
        </c:dLbls>
        <c:gapWidth val="150"/>
        <c:axId val="361678720"/>
        <c:axId val="361680256"/>
      </c:barChart>
      <c:catAx>
        <c:axId val="361678720"/>
        <c:scaling>
          <c:orientation val="minMax"/>
        </c:scaling>
        <c:delete val="1"/>
        <c:axPos val="b"/>
        <c:majorTickMark val="out"/>
        <c:minorTickMark val="none"/>
        <c:tickLblPos val="nextTo"/>
        <c:crossAx val="361680256"/>
        <c:crosses val="autoZero"/>
        <c:auto val="1"/>
        <c:lblAlgn val="ctr"/>
        <c:lblOffset val="100"/>
        <c:noMultiLvlLbl val="0"/>
      </c:catAx>
      <c:valAx>
        <c:axId val="361680256"/>
        <c:scaling>
          <c:orientation val="minMax"/>
        </c:scaling>
        <c:delete val="0"/>
        <c:axPos val="l"/>
        <c:majorGridlines/>
        <c:title>
          <c:tx>
            <c:strRef>
              <c:f>Graphs!$S$21</c:f>
              <c:strCache>
                <c:ptCount val="1"/>
                <c:pt idx="0">
                  <c:v>Avg Annual Total Opex per Asset (Total Assets)</c:v>
                </c:pt>
              </c:strCache>
            </c:strRef>
          </c:tx>
          <c:overlay val="0"/>
          <c:txPr>
            <a:bodyPr rot="-5400000" vert="horz"/>
            <a:lstStyle/>
            <a:p>
              <a:pPr>
                <a:defRPr/>
              </a:pPr>
              <a:endParaRPr lang="en-US"/>
            </a:p>
          </c:txPr>
        </c:title>
        <c:numFmt formatCode="&quot;$&quot;#,##0_);\(&quot;$&quot;#,##0\)" sourceLinked="1"/>
        <c:majorTickMark val="out"/>
        <c:minorTickMark val="none"/>
        <c:tickLblPos val="nextTo"/>
        <c:crossAx val="361678720"/>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Graphs!$B$102</c:f>
              <c:strCache>
                <c:ptCount val="1"/>
                <c:pt idx="0">
                  <c:v>Powercor</c:v>
                </c:pt>
              </c:strCache>
            </c:strRef>
          </c:tx>
          <c:spPr>
            <a:solidFill>
              <a:schemeClr val="accent2"/>
            </a:solidFill>
          </c:spPr>
          <c:invertIfNegative val="0"/>
          <c:cat>
            <c:strRef>
              <c:f>Graphs!$A$103</c:f>
              <c:strCache>
                <c:ptCount val="1"/>
                <c:pt idx="0">
                  <c:v>Total Line Length</c:v>
                </c:pt>
              </c:strCache>
            </c:strRef>
          </c:cat>
          <c:val>
            <c:numRef>
              <c:f>Graphs!$B$103</c:f>
              <c:numCache>
                <c:formatCode>"$"#,##0_);\("$"#,##0\)</c:formatCode>
                <c:ptCount val="1"/>
                <c:pt idx="0">
                  <c:v>887.93782993686216</c:v>
                </c:pt>
              </c:numCache>
            </c:numRef>
          </c:val>
        </c:ser>
        <c:ser>
          <c:idx val="1"/>
          <c:order val="1"/>
          <c:tx>
            <c:strRef>
              <c:f>Graphs!$C$102</c:f>
              <c:strCache>
                <c:ptCount val="1"/>
                <c:pt idx="0">
                  <c:v>AusNet</c:v>
                </c:pt>
              </c:strCache>
            </c:strRef>
          </c:tx>
          <c:spPr>
            <a:solidFill>
              <a:schemeClr val="accent1"/>
            </a:solidFill>
          </c:spPr>
          <c:invertIfNegative val="0"/>
          <c:cat>
            <c:strRef>
              <c:f>Graphs!$A$103</c:f>
              <c:strCache>
                <c:ptCount val="1"/>
                <c:pt idx="0">
                  <c:v>Total Line Length</c:v>
                </c:pt>
              </c:strCache>
            </c:strRef>
          </c:cat>
          <c:val>
            <c:numRef>
              <c:f>Graphs!$C$103</c:f>
              <c:numCache>
                <c:formatCode>"$"#,##0_);\("$"#,##0\)</c:formatCode>
                <c:ptCount val="1"/>
                <c:pt idx="0">
                  <c:v>1324.6093468416348</c:v>
                </c:pt>
              </c:numCache>
            </c:numRef>
          </c:val>
        </c:ser>
        <c:ser>
          <c:idx val="3"/>
          <c:order val="2"/>
          <c:tx>
            <c:strRef>
              <c:f>Graphs!$D$102</c:f>
              <c:strCache>
                <c:ptCount val="1"/>
                <c:pt idx="0">
                  <c:v>SA Power</c:v>
                </c:pt>
              </c:strCache>
            </c:strRef>
          </c:tx>
          <c:spPr>
            <a:solidFill>
              <a:schemeClr val="accent3"/>
            </a:solidFill>
          </c:spPr>
          <c:invertIfNegative val="0"/>
          <c:cat>
            <c:strRef>
              <c:f>Graphs!$A$103</c:f>
              <c:strCache>
                <c:ptCount val="1"/>
                <c:pt idx="0">
                  <c:v>Total Line Length</c:v>
                </c:pt>
              </c:strCache>
            </c:strRef>
          </c:cat>
          <c:val>
            <c:numRef>
              <c:f>Graphs!$D$103</c:f>
              <c:numCache>
                <c:formatCode>"$"#,##0_);\("$"#,##0\)</c:formatCode>
                <c:ptCount val="1"/>
                <c:pt idx="0">
                  <c:v>1287.9585789732248</c:v>
                </c:pt>
              </c:numCache>
            </c:numRef>
          </c:val>
        </c:ser>
        <c:ser>
          <c:idx val="2"/>
          <c:order val="3"/>
          <c:tx>
            <c:strRef>
              <c:f>Graphs!$E$102</c:f>
              <c:strCache>
                <c:ptCount val="1"/>
                <c:pt idx="0">
                  <c:v>Essential</c:v>
                </c:pt>
              </c:strCache>
            </c:strRef>
          </c:tx>
          <c:spPr>
            <a:solidFill>
              <a:schemeClr val="accent6"/>
            </a:solidFill>
          </c:spPr>
          <c:invertIfNegative val="0"/>
          <c:cat>
            <c:strRef>
              <c:f>Graphs!$A$103</c:f>
              <c:strCache>
                <c:ptCount val="1"/>
                <c:pt idx="0">
                  <c:v>Total Line Length</c:v>
                </c:pt>
              </c:strCache>
            </c:strRef>
          </c:cat>
          <c:val>
            <c:numRef>
              <c:f>Graphs!$E$103</c:f>
              <c:numCache>
                <c:formatCode>"$"#,##0_);\("$"#,##0\)</c:formatCode>
                <c:ptCount val="1"/>
                <c:pt idx="0">
                  <c:v>920.45270521556677</c:v>
                </c:pt>
              </c:numCache>
            </c:numRef>
          </c:val>
        </c:ser>
        <c:ser>
          <c:idx val="4"/>
          <c:order val="4"/>
          <c:tx>
            <c:strRef>
              <c:f>Graphs!$F$102</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Graphs!$A$103</c:f>
              <c:strCache>
                <c:ptCount val="1"/>
                <c:pt idx="0">
                  <c:v>Total Line Length</c:v>
                </c:pt>
              </c:strCache>
            </c:strRef>
          </c:cat>
          <c:val>
            <c:numRef>
              <c:f>Graphs!$F$103</c:f>
              <c:numCache>
                <c:formatCode>"$"#,##0_);\("$"#,##0\)</c:formatCode>
                <c:ptCount val="1"/>
                <c:pt idx="0">
                  <c:v>1050.6943149918286</c:v>
                </c:pt>
              </c:numCache>
            </c:numRef>
          </c:val>
        </c:ser>
        <c:ser>
          <c:idx val="5"/>
          <c:order val="5"/>
          <c:tx>
            <c:strRef>
              <c:f>Graphs!$G$102</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Graphs!$A$103</c:f>
              <c:strCache>
                <c:ptCount val="1"/>
                <c:pt idx="0">
                  <c:v>Total Line Length</c:v>
                </c:pt>
              </c:strCache>
            </c:strRef>
          </c:cat>
          <c:val>
            <c:numRef>
              <c:f>Graphs!$G$103</c:f>
              <c:numCache>
                <c:formatCode>"$"#,##0_);\("$"#,##0\)</c:formatCode>
                <c:ptCount val="1"/>
                <c:pt idx="0">
                  <c:v>1103.6648867632985</c:v>
                </c:pt>
              </c:numCache>
            </c:numRef>
          </c:val>
        </c:ser>
        <c:dLbls>
          <c:showLegendKey val="0"/>
          <c:showVal val="0"/>
          <c:showCatName val="0"/>
          <c:showSerName val="0"/>
          <c:showPercent val="0"/>
          <c:showBubbleSize val="0"/>
        </c:dLbls>
        <c:gapWidth val="150"/>
        <c:axId val="361733504"/>
        <c:axId val="361743488"/>
      </c:barChart>
      <c:catAx>
        <c:axId val="361733504"/>
        <c:scaling>
          <c:orientation val="minMax"/>
        </c:scaling>
        <c:delete val="1"/>
        <c:axPos val="b"/>
        <c:majorTickMark val="out"/>
        <c:minorTickMark val="none"/>
        <c:tickLblPos val="nextTo"/>
        <c:crossAx val="361743488"/>
        <c:crosses val="autoZero"/>
        <c:auto val="1"/>
        <c:lblAlgn val="ctr"/>
        <c:lblOffset val="100"/>
        <c:noMultiLvlLbl val="0"/>
      </c:catAx>
      <c:valAx>
        <c:axId val="361743488"/>
        <c:scaling>
          <c:orientation val="minMax"/>
        </c:scaling>
        <c:delete val="0"/>
        <c:axPos val="l"/>
        <c:majorGridlines/>
        <c:title>
          <c:tx>
            <c:strRef>
              <c:f>Graphs!$A$102</c:f>
              <c:strCache>
                <c:ptCount val="1"/>
                <c:pt idx="0">
                  <c:v>Opex Overheads Avg Annual per km (Total Line Length)</c:v>
                </c:pt>
              </c:strCache>
            </c:strRef>
          </c:tx>
          <c:overlay val="0"/>
          <c:txPr>
            <a:bodyPr rot="-5400000" vert="horz"/>
            <a:lstStyle/>
            <a:p>
              <a:pPr>
                <a:defRPr/>
              </a:pPr>
              <a:endParaRPr lang="en-US"/>
            </a:p>
          </c:txPr>
        </c:title>
        <c:numFmt formatCode="&quot;$&quot;#,##0_);\(&quot;$&quot;#,##0\)" sourceLinked="1"/>
        <c:majorTickMark val="out"/>
        <c:minorTickMark val="none"/>
        <c:tickLblPos val="nextTo"/>
        <c:crossAx val="361733504"/>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REPEX_Spend_5yrHistory[[#Headers],[REPEX Spend (2009-13)]]</c:f>
          <c:strCache>
            <c:ptCount val="1"/>
            <c:pt idx="0">
              <c:v>REPEX Spend (2009-13)</c:v>
            </c:pt>
          </c:strCache>
        </c:strRef>
      </c:tx>
      <c:overlay val="0"/>
    </c:title>
    <c:autoTitleDeleted val="0"/>
    <c:plotArea>
      <c:layout/>
      <c:barChart>
        <c:barDir val="col"/>
        <c:grouping val="clustered"/>
        <c:varyColors val="0"/>
        <c:ser>
          <c:idx val="0"/>
          <c:order val="0"/>
          <c:tx>
            <c:strRef>
              <c:f>'REPEX Comparison'!$B$2</c:f>
              <c:strCache>
                <c:ptCount val="1"/>
                <c:pt idx="0">
                  <c:v>Ausgrid</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Comparison'!$B$3:$B$14</c:f>
              <c:numCache>
                <c:formatCode>_-"$"* #,##0_-;\-"$"* #,##0_-;_-"$"* "-"??_-;_-@_-</c:formatCode>
                <c:ptCount val="12"/>
                <c:pt idx="0">
                  <c:v>19733000</c:v>
                </c:pt>
                <c:pt idx="1">
                  <c:v>235128000</c:v>
                </c:pt>
                <c:pt idx="2">
                  <c:v>0</c:v>
                </c:pt>
                <c:pt idx="3">
                  <c:v>135137000</c:v>
                </c:pt>
                <c:pt idx="4">
                  <c:v>1021174000</c:v>
                </c:pt>
                <c:pt idx="5">
                  <c:v>54541000</c:v>
                </c:pt>
                <c:pt idx="6">
                  <c:v>305940000</c:v>
                </c:pt>
                <c:pt idx="7">
                  <c:v>642251000</c:v>
                </c:pt>
                <c:pt idx="8">
                  <c:v>55777000</c:v>
                </c:pt>
                <c:pt idx="9">
                  <c:v>96511000</c:v>
                </c:pt>
                <c:pt idx="10">
                  <c:v>44087000</c:v>
                </c:pt>
                <c:pt idx="11">
                  <c:v>543329000</c:v>
                </c:pt>
              </c:numCache>
            </c:numRef>
          </c:val>
        </c:ser>
        <c:ser>
          <c:idx val="1"/>
          <c:order val="1"/>
          <c:tx>
            <c:strRef>
              <c:f>'REPEX Comparison'!$C$2</c:f>
              <c:strCache>
                <c:ptCount val="1"/>
                <c:pt idx="0">
                  <c:v>Ergon</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Comparison'!$C$3:$C$14</c:f>
              <c:numCache>
                <c:formatCode>_-"$"* #,##0_-;\-"$"* #,##0_-;_-"$"* "-"??_-;_-@_-</c:formatCode>
                <c:ptCount val="12"/>
                <c:pt idx="0">
                  <c:v>20704556.388</c:v>
                </c:pt>
                <c:pt idx="1">
                  <c:v>69478351.123669997</c:v>
                </c:pt>
                <c:pt idx="2">
                  <c:v>44703037.034400001</c:v>
                </c:pt>
                <c:pt idx="3">
                  <c:v>152345435.25489998</c:v>
                </c:pt>
                <c:pt idx="4">
                  <c:v>6382117.0324599994</c:v>
                </c:pt>
                <c:pt idx="5">
                  <c:v>31153113.925299998</c:v>
                </c:pt>
                <c:pt idx="6">
                  <c:v>159673572.99908301</c:v>
                </c:pt>
                <c:pt idx="7">
                  <c:v>106555625.09740999</c:v>
                </c:pt>
                <c:pt idx="8">
                  <c:v>990882.02010000008</c:v>
                </c:pt>
                <c:pt idx="9">
                  <c:v>1388874.0371300001</c:v>
                </c:pt>
                <c:pt idx="10">
                  <c:v>90607074.084839985</c:v>
                </c:pt>
                <c:pt idx="11">
                  <c:v>33650251.116600007</c:v>
                </c:pt>
              </c:numCache>
            </c:numRef>
          </c:val>
        </c:ser>
        <c:ser>
          <c:idx val="2"/>
          <c:order val="2"/>
          <c:tx>
            <c:strRef>
              <c:f>'REPEX Comparison'!$D$2</c:f>
              <c:strCache>
                <c:ptCount val="1"/>
                <c:pt idx="0">
                  <c:v>Endeavour</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Comparison'!$D$3:$D$14</c:f>
              <c:numCache>
                <c:formatCode>_-"$"* #,##0_-;\-"$"* #,##0_-;_-"$"* "-"??_-;_-@_-</c:formatCode>
                <c:ptCount val="12"/>
                <c:pt idx="0">
                  <c:v>0</c:v>
                </c:pt>
                <c:pt idx="1">
                  <c:v>67239424</c:v>
                </c:pt>
                <c:pt idx="2">
                  <c:v>0</c:v>
                </c:pt>
                <c:pt idx="3">
                  <c:v>86331375.999999985</c:v>
                </c:pt>
                <c:pt idx="4">
                  <c:v>34368206.000000007</c:v>
                </c:pt>
                <c:pt idx="5">
                  <c:v>6260011</c:v>
                </c:pt>
                <c:pt idx="6">
                  <c:v>73678250</c:v>
                </c:pt>
                <c:pt idx="7">
                  <c:v>29131699.999999996</c:v>
                </c:pt>
                <c:pt idx="8">
                  <c:v>23550703.999999996</c:v>
                </c:pt>
                <c:pt idx="9">
                  <c:v>0</c:v>
                </c:pt>
                <c:pt idx="10">
                  <c:v>24270159</c:v>
                </c:pt>
                <c:pt idx="11">
                  <c:v>291734222.51999998</c:v>
                </c:pt>
              </c:numCache>
            </c:numRef>
          </c:val>
        </c:ser>
        <c:ser>
          <c:idx val="3"/>
          <c:order val="3"/>
          <c:tx>
            <c:strRef>
              <c:f>'REPEX Comparison'!$E$2</c:f>
              <c:strCache>
                <c:ptCount val="1"/>
                <c:pt idx="0">
                  <c:v>Powercor</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Comparison'!$E$3:$E$14</c:f>
              <c:numCache>
                <c:formatCode>_-"$"* #,##0_-;\-"$"* #,##0_-;_-"$"* "-"??_-;_-@_-</c:formatCode>
                <c:ptCount val="12"/>
                <c:pt idx="0">
                  <c:v>3832300</c:v>
                </c:pt>
                <c:pt idx="1">
                  <c:v>63041473.1846193</c:v>
                </c:pt>
                <c:pt idx="2">
                  <c:v>82242248.379383162</c:v>
                </c:pt>
                <c:pt idx="3">
                  <c:v>8657571.7903963141</c:v>
                </c:pt>
                <c:pt idx="4">
                  <c:v>11363173.057629876</c:v>
                </c:pt>
                <c:pt idx="5">
                  <c:v>20673241.448500786</c:v>
                </c:pt>
                <c:pt idx="6">
                  <c:v>37811891.217172131</c:v>
                </c:pt>
                <c:pt idx="7">
                  <c:v>47788664.491418138</c:v>
                </c:pt>
                <c:pt idx="8">
                  <c:v>2587740.3643846628</c:v>
                </c:pt>
                <c:pt idx="9">
                  <c:v>5503210.4172545187</c:v>
                </c:pt>
                <c:pt idx="10">
                  <c:v>14995059.85</c:v>
                </c:pt>
                <c:pt idx="11">
                  <c:v>47784248.938048013</c:v>
                </c:pt>
              </c:numCache>
            </c:numRef>
          </c:val>
        </c:ser>
        <c:ser>
          <c:idx val="4"/>
          <c:order val="4"/>
          <c:tx>
            <c:strRef>
              <c:f>'REPEX Comparison'!$F$2</c:f>
              <c:strCache>
                <c:ptCount val="1"/>
                <c:pt idx="0">
                  <c:v>AusNet</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Comparison'!$F$3:$F$14</c:f>
              <c:numCache>
                <c:formatCode>_-"$"* #,##0_-;\-"$"* #,##0_-;_-"$"* "-"??_-;_-@_-</c:formatCode>
                <c:ptCount val="12"/>
                <c:pt idx="0">
                  <c:v>2426229</c:v>
                </c:pt>
                <c:pt idx="1">
                  <c:v>106874421.72999999</c:v>
                </c:pt>
                <c:pt idx="2">
                  <c:v>146958132</c:v>
                </c:pt>
                <c:pt idx="3">
                  <c:v>23143695</c:v>
                </c:pt>
                <c:pt idx="4">
                  <c:v>12475504.17</c:v>
                </c:pt>
                <c:pt idx="5">
                  <c:v>18605171.442816354</c:v>
                </c:pt>
                <c:pt idx="6">
                  <c:v>21203311.999999996</c:v>
                </c:pt>
                <c:pt idx="7">
                  <c:v>58452753</c:v>
                </c:pt>
                <c:pt idx="8">
                  <c:v>0</c:v>
                </c:pt>
                <c:pt idx="9">
                  <c:v>0</c:v>
                </c:pt>
                <c:pt idx="10">
                  <c:v>13201065.999999998</c:v>
                </c:pt>
                <c:pt idx="11">
                  <c:v>5091798</c:v>
                </c:pt>
              </c:numCache>
            </c:numRef>
          </c:val>
        </c:ser>
        <c:ser>
          <c:idx val="5"/>
          <c:order val="5"/>
          <c:tx>
            <c:strRef>
              <c:f>'REPEX Comparison'!$G$2</c:f>
              <c:strCache>
                <c:ptCount val="1"/>
                <c:pt idx="0">
                  <c:v>Essential (Original)</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Comparison'!$G$3:$G$14</c:f>
              <c:numCache>
                <c:formatCode>_-"$"* #,##0_-;\-"$"* #,##0_-;_-"$"* "-"??_-;_-@_-</c:formatCode>
                <c:ptCount val="12"/>
                <c:pt idx="0">
                  <c:v>178209.30545092493</c:v>
                </c:pt>
                <c:pt idx="1">
                  <c:v>203440568.33023095</c:v>
                </c:pt>
                <c:pt idx="2">
                  <c:v>26963890.065142497</c:v>
                </c:pt>
                <c:pt idx="3">
                  <c:v>56961527.957163751</c:v>
                </c:pt>
                <c:pt idx="4">
                  <c:v>25556486.492528956</c:v>
                </c:pt>
                <c:pt idx="5">
                  <c:v>22496543.592275076</c:v>
                </c:pt>
                <c:pt idx="6">
                  <c:v>80831785.497606635</c:v>
                </c:pt>
                <c:pt idx="7">
                  <c:v>139871213.70346034</c:v>
                </c:pt>
                <c:pt idx="8">
                  <c:v>4775324.4034123784</c:v>
                </c:pt>
                <c:pt idx="9">
                  <c:v>3554624.514834967</c:v>
                </c:pt>
                <c:pt idx="10">
                  <c:v>15377468.619329644</c:v>
                </c:pt>
                <c:pt idx="11">
                  <c:v>22411567.377569016</c:v>
                </c:pt>
              </c:numCache>
            </c:numRef>
          </c:val>
        </c:ser>
        <c:ser>
          <c:idx val="6"/>
          <c:order val="6"/>
          <c:tx>
            <c:strRef>
              <c:f>'REPEX Comparison'!$H$2</c:f>
              <c:strCache>
                <c:ptCount val="1"/>
                <c:pt idx="0">
                  <c:v>Essential</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Comparison'!$H$3:$H$14</c:f>
              <c:numCache>
                <c:formatCode>_-"$"* #,##0_-;\-"$"* #,##0_-;_-"$"* "-"??_-;_-@_-</c:formatCode>
                <c:ptCount val="12"/>
                <c:pt idx="0">
                  <c:v>178209.30545092493</c:v>
                </c:pt>
                <c:pt idx="1">
                  <c:v>203440568.33023098</c:v>
                </c:pt>
                <c:pt idx="2">
                  <c:v>26963890.065142497</c:v>
                </c:pt>
                <c:pt idx="3">
                  <c:v>56961527.957163751</c:v>
                </c:pt>
                <c:pt idx="4">
                  <c:v>25556486.492528956</c:v>
                </c:pt>
                <c:pt idx="5">
                  <c:v>22496543.592275076</c:v>
                </c:pt>
                <c:pt idx="6">
                  <c:v>61896771.955927759</c:v>
                </c:pt>
                <c:pt idx="7">
                  <c:v>159934389.37204921</c:v>
                </c:pt>
                <c:pt idx="8">
                  <c:v>4775324.4034123784</c:v>
                </c:pt>
                <c:pt idx="9">
                  <c:v>3554624.514834967</c:v>
                </c:pt>
                <c:pt idx="10">
                  <c:v>15377468.619329644</c:v>
                </c:pt>
                <c:pt idx="11">
                  <c:v>21283405.250658941</c:v>
                </c:pt>
              </c:numCache>
            </c:numRef>
          </c:val>
        </c:ser>
        <c:ser>
          <c:idx val="7"/>
          <c:order val="7"/>
          <c:tx>
            <c:strRef>
              <c:f>'REPEX Comparison'!$I$2</c:f>
              <c:strCache>
                <c:ptCount val="1"/>
                <c:pt idx="0">
                  <c:v>SA Power</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Comparison'!$I$3:$I$14</c:f>
              <c:numCache>
                <c:formatCode>_-"$"* #,##0_-;\-"$"* #,##0_-;_-"$"* "-"??_-;_-@_-</c:formatCode>
                <c:ptCount val="12"/>
                <c:pt idx="0">
                  <c:v>0</c:v>
                </c:pt>
                <c:pt idx="1">
                  <c:v>45057064.407960057</c:v>
                </c:pt>
                <c:pt idx="2">
                  <c:v>41027307.780240797</c:v>
                </c:pt>
                <c:pt idx="3">
                  <c:v>15093310.434885472</c:v>
                </c:pt>
                <c:pt idx="4">
                  <c:v>22583640.803429388</c:v>
                </c:pt>
                <c:pt idx="5">
                  <c:v>15891726.058808193</c:v>
                </c:pt>
                <c:pt idx="6">
                  <c:v>35090904.875871353</c:v>
                </c:pt>
                <c:pt idx="7">
                  <c:v>50025698.142336071</c:v>
                </c:pt>
                <c:pt idx="8">
                  <c:v>0</c:v>
                </c:pt>
                <c:pt idx="9">
                  <c:v>0</c:v>
                </c:pt>
                <c:pt idx="10">
                  <c:v>19770693.370571524</c:v>
                </c:pt>
                <c:pt idx="11">
                  <c:v>26959654.125897188</c:v>
                </c:pt>
              </c:numCache>
            </c:numRef>
          </c:val>
        </c:ser>
        <c:ser>
          <c:idx val="8"/>
          <c:order val="8"/>
          <c:tx>
            <c:strRef>
              <c:f>'REPEX Comparison'!$J$2</c:f>
              <c:strCache>
                <c:ptCount val="1"/>
                <c:pt idx="0">
                  <c:v>AusNet + Powercor</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Comparison'!$J$3:$J$14</c:f>
              <c:numCache>
                <c:formatCode>_-"$"* #,##0_-;\-"$"* #,##0_-;_-"$"* "-"??_-;_-@_-</c:formatCode>
                <c:ptCount val="12"/>
                <c:pt idx="0">
                  <c:v>6258529</c:v>
                </c:pt>
                <c:pt idx="1">
                  <c:v>169915894.9146193</c:v>
                </c:pt>
                <c:pt idx="2">
                  <c:v>229200380.37938315</c:v>
                </c:pt>
                <c:pt idx="3">
                  <c:v>31801266.790396314</c:v>
                </c:pt>
                <c:pt idx="4">
                  <c:v>23838677.227629878</c:v>
                </c:pt>
                <c:pt idx="5">
                  <c:v>39278412.891317144</c:v>
                </c:pt>
                <c:pt idx="6">
                  <c:v>59015203.217172131</c:v>
                </c:pt>
                <c:pt idx="7">
                  <c:v>106241417.49141814</c:v>
                </c:pt>
                <c:pt idx="8">
                  <c:v>2587740.3643846628</c:v>
                </c:pt>
                <c:pt idx="9">
                  <c:v>5503210.4172545187</c:v>
                </c:pt>
                <c:pt idx="10">
                  <c:v>28196125.849999998</c:v>
                </c:pt>
                <c:pt idx="11">
                  <c:v>52876046.938048013</c:v>
                </c:pt>
              </c:numCache>
            </c:numRef>
          </c:val>
        </c:ser>
        <c:ser>
          <c:idx val="9"/>
          <c:order val="9"/>
          <c:tx>
            <c:strRef>
              <c:f>'REPEX Comparison'!$K$2</c:f>
              <c:strCache>
                <c:ptCount val="1"/>
                <c:pt idx="0">
                  <c:v>SA Power + Powercor</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Comparison'!$K$3:$K$14</c:f>
              <c:numCache>
                <c:formatCode>_-"$"* #,##0_-;\-"$"* #,##0_-;_-"$"* "-"??_-;_-@_-</c:formatCode>
                <c:ptCount val="12"/>
                <c:pt idx="0">
                  <c:v>3832300</c:v>
                </c:pt>
                <c:pt idx="1">
                  <c:v>108098537.59257936</c:v>
                </c:pt>
                <c:pt idx="2">
                  <c:v>123269556.15962395</c:v>
                </c:pt>
                <c:pt idx="3">
                  <c:v>23750882.225281786</c:v>
                </c:pt>
                <c:pt idx="4">
                  <c:v>33946813.861059263</c:v>
                </c:pt>
                <c:pt idx="5">
                  <c:v>36564967.507308975</c:v>
                </c:pt>
                <c:pt idx="6">
                  <c:v>72902796.093043476</c:v>
                </c:pt>
                <c:pt idx="7">
                  <c:v>97814362.633754209</c:v>
                </c:pt>
                <c:pt idx="8">
                  <c:v>2587740.3643846628</c:v>
                </c:pt>
                <c:pt idx="9">
                  <c:v>5503210.4172545187</c:v>
                </c:pt>
                <c:pt idx="10">
                  <c:v>34765753.220571525</c:v>
                </c:pt>
                <c:pt idx="11">
                  <c:v>74743903.063945204</c:v>
                </c:pt>
              </c:numCache>
            </c:numRef>
          </c:val>
        </c:ser>
        <c:ser>
          <c:idx val="10"/>
          <c:order val="10"/>
          <c:tx>
            <c:strRef>
              <c:f>'REPEX Comparison'!$L$2</c:f>
              <c:strCache>
                <c:ptCount val="1"/>
                <c:pt idx="0">
                  <c:v>Source</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Comparison'!$L$3:$L$14</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1"/>
          <c:order val="11"/>
          <c:tx>
            <c:strRef>
              <c:f>'REPEX Comparison'!$M$2</c:f>
              <c:strCache>
                <c:ptCount val="1"/>
                <c:pt idx="0">
                  <c:v>Comments</c:v>
                </c:pt>
              </c:strCache>
            </c:strRef>
          </c:tx>
          <c:invertIfNegative val="0"/>
          <c:cat>
            <c:strRef>
              <c:f>'REPEX Comparison'!$A$3:$A$14</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Comparison'!$M$3:$M$14</c:f>
              <c:numCache>
                <c:formatCode>_-"$"* #,##0_-;\-"$"* #,##0_-;_-"$"* "-"??_-;_-@_-</c:formatCode>
                <c:ptCount val="12"/>
              </c:numCache>
            </c:numRef>
          </c:val>
        </c:ser>
        <c:dLbls>
          <c:showLegendKey val="0"/>
          <c:showVal val="0"/>
          <c:showCatName val="0"/>
          <c:showSerName val="0"/>
          <c:showPercent val="0"/>
          <c:showBubbleSize val="0"/>
        </c:dLbls>
        <c:gapWidth val="150"/>
        <c:axId val="354881536"/>
        <c:axId val="354883072"/>
      </c:barChart>
      <c:catAx>
        <c:axId val="354881536"/>
        <c:scaling>
          <c:orientation val="minMax"/>
        </c:scaling>
        <c:delete val="0"/>
        <c:axPos val="b"/>
        <c:majorTickMark val="out"/>
        <c:minorTickMark val="none"/>
        <c:tickLblPos val="nextTo"/>
        <c:crossAx val="354883072"/>
        <c:crosses val="autoZero"/>
        <c:auto val="1"/>
        <c:lblAlgn val="ctr"/>
        <c:lblOffset val="100"/>
        <c:noMultiLvlLbl val="0"/>
      </c:catAx>
      <c:valAx>
        <c:axId val="354883072"/>
        <c:scaling>
          <c:orientation val="minMax"/>
        </c:scaling>
        <c:delete val="0"/>
        <c:axPos val="l"/>
        <c:majorGridlines/>
        <c:numFmt formatCode="_-&quot;$&quot;* #,##0_-;\-&quot;$&quot;* #,##0_-;_-&quot;$&quot;* &quot;-&quot;??_-;_-@_-" sourceLinked="1"/>
        <c:majorTickMark val="out"/>
        <c:minorTickMark val="none"/>
        <c:tickLblPos val="nextTo"/>
        <c:crossAx val="3548815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barChart>
        <c:barDir val="col"/>
        <c:grouping val="clustered"/>
        <c:varyColors val="0"/>
        <c:ser>
          <c:idx val="0"/>
          <c:order val="0"/>
          <c:tx>
            <c:strRef>
              <c:f>Graphs!$B$21</c:f>
              <c:strCache>
                <c:ptCount val="1"/>
                <c:pt idx="0">
                  <c:v>Powercor</c:v>
                </c:pt>
              </c:strCache>
            </c:strRef>
          </c:tx>
          <c:spPr>
            <a:solidFill>
              <a:schemeClr val="accent2"/>
            </a:solidFill>
          </c:spPr>
          <c:invertIfNegative val="0"/>
          <c:cat>
            <c:strRef>
              <c:f>Graphs!$A$22</c:f>
              <c:strCache>
                <c:ptCount val="1"/>
                <c:pt idx="0">
                  <c:v>Total Line Length</c:v>
                </c:pt>
              </c:strCache>
            </c:strRef>
          </c:cat>
          <c:val>
            <c:numRef>
              <c:f>Graphs!$B$22</c:f>
              <c:numCache>
                <c:formatCode>"$"#,##0_);\("$"#,##0\)</c:formatCode>
                <c:ptCount val="1"/>
                <c:pt idx="0">
                  <c:v>2028.6811927781489</c:v>
                </c:pt>
              </c:numCache>
            </c:numRef>
          </c:val>
        </c:ser>
        <c:ser>
          <c:idx val="1"/>
          <c:order val="1"/>
          <c:tx>
            <c:strRef>
              <c:f>Graphs!$C$21</c:f>
              <c:strCache>
                <c:ptCount val="1"/>
                <c:pt idx="0">
                  <c:v>AusNet</c:v>
                </c:pt>
              </c:strCache>
            </c:strRef>
          </c:tx>
          <c:spPr>
            <a:solidFill>
              <a:schemeClr val="accent1"/>
            </a:solidFill>
          </c:spPr>
          <c:invertIfNegative val="0"/>
          <c:cat>
            <c:strRef>
              <c:f>Graphs!$A$22</c:f>
              <c:strCache>
                <c:ptCount val="1"/>
                <c:pt idx="0">
                  <c:v>Total Line Length</c:v>
                </c:pt>
              </c:strCache>
            </c:strRef>
          </c:cat>
          <c:val>
            <c:numRef>
              <c:f>Graphs!$C$22</c:f>
              <c:numCache>
                <c:formatCode>"$"#,##0_);\("$"#,##0\)</c:formatCode>
                <c:ptCount val="1"/>
                <c:pt idx="0">
                  <c:v>3445.413371608935</c:v>
                </c:pt>
              </c:numCache>
            </c:numRef>
          </c:val>
        </c:ser>
        <c:ser>
          <c:idx val="3"/>
          <c:order val="2"/>
          <c:tx>
            <c:strRef>
              <c:f>Graphs!$D$21</c:f>
              <c:strCache>
                <c:ptCount val="1"/>
                <c:pt idx="0">
                  <c:v>SA Power</c:v>
                </c:pt>
              </c:strCache>
            </c:strRef>
          </c:tx>
          <c:spPr>
            <a:solidFill>
              <a:schemeClr val="accent3"/>
            </a:solidFill>
          </c:spPr>
          <c:invertIfNegative val="0"/>
          <c:cat>
            <c:strRef>
              <c:f>Graphs!$A$22</c:f>
              <c:strCache>
                <c:ptCount val="1"/>
                <c:pt idx="0">
                  <c:v>Total Line Length</c:v>
                </c:pt>
              </c:strCache>
            </c:strRef>
          </c:cat>
          <c:val>
            <c:numRef>
              <c:f>Graphs!$D$22</c:f>
              <c:numCache>
                <c:formatCode>"$"#,##0_);\("$"#,##0\)</c:formatCode>
                <c:ptCount val="1"/>
                <c:pt idx="0">
                  <c:v>2117.7587985079435</c:v>
                </c:pt>
              </c:numCache>
            </c:numRef>
          </c:val>
        </c:ser>
        <c:ser>
          <c:idx val="2"/>
          <c:order val="3"/>
          <c:tx>
            <c:strRef>
              <c:f>Graphs!$E$21</c:f>
              <c:strCache>
                <c:ptCount val="1"/>
                <c:pt idx="0">
                  <c:v>Essential</c:v>
                </c:pt>
              </c:strCache>
            </c:strRef>
          </c:tx>
          <c:spPr>
            <a:solidFill>
              <a:schemeClr val="accent6"/>
            </a:solidFill>
          </c:spPr>
          <c:invertIfNegative val="0"/>
          <c:cat>
            <c:strRef>
              <c:f>Graphs!$A$22</c:f>
              <c:strCache>
                <c:ptCount val="1"/>
                <c:pt idx="0">
                  <c:v>Total Line Length</c:v>
                </c:pt>
              </c:strCache>
            </c:strRef>
          </c:cat>
          <c:val>
            <c:numRef>
              <c:f>Graphs!$E$22</c:f>
              <c:numCache>
                <c:formatCode>"$"#,##0_);\("$"#,##0\)</c:formatCode>
                <c:ptCount val="1"/>
                <c:pt idx="0">
                  <c:v>2106.6880460371917</c:v>
                </c:pt>
              </c:numCache>
            </c:numRef>
          </c:val>
        </c:ser>
        <c:ser>
          <c:idx val="4"/>
          <c:order val="4"/>
          <c:tx>
            <c:strRef>
              <c:f>Graphs!$F$21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Graphs!$A$22</c:f>
              <c:strCache>
                <c:ptCount val="1"/>
                <c:pt idx="0">
                  <c:v>Total Line Length</c:v>
                </c:pt>
              </c:strCache>
            </c:strRef>
          </c:cat>
          <c:val>
            <c:numRef>
              <c:f>Graphs!$F$22</c:f>
              <c:numCache>
                <c:formatCode>"$"#,##0_);\("$"#,##0\)</c:formatCode>
                <c:ptCount val="1"/>
                <c:pt idx="0">
                  <c:v>2556.7265100573327</c:v>
                </c:pt>
              </c:numCache>
            </c:numRef>
          </c:val>
        </c:ser>
        <c:ser>
          <c:idx val="5"/>
          <c:order val="5"/>
          <c:tx>
            <c:strRef>
              <c:f>Graphs!$G$21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Graphs!$A$22</c:f>
              <c:strCache>
                <c:ptCount val="1"/>
                <c:pt idx="0">
                  <c:v>Total Line Length</c:v>
                </c:pt>
              </c:strCache>
            </c:strRef>
          </c:cat>
          <c:val>
            <c:numRef>
              <c:f>Graphs!$G$22</c:f>
              <c:numCache>
                <c:formatCode>"$"#,##0_);\("$"#,##0\)</c:formatCode>
                <c:ptCount val="1"/>
                <c:pt idx="0">
                  <c:v>2076.7198251729087</c:v>
                </c:pt>
              </c:numCache>
            </c:numRef>
          </c:val>
        </c:ser>
        <c:dLbls>
          <c:showLegendKey val="0"/>
          <c:showVal val="0"/>
          <c:showCatName val="0"/>
          <c:showSerName val="0"/>
          <c:showPercent val="0"/>
          <c:showBubbleSize val="0"/>
        </c:dLbls>
        <c:gapWidth val="150"/>
        <c:axId val="361768064"/>
        <c:axId val="361769600"/>
      </c:barChart>
      <c:catAx>
        <c:axId val="361768064"/>
        <c:scaling>
          <c:orientation val="minMax"/>
        </c:scaling>
        <c:delete val="1"/>
        <c:axPos val="b"/>
        <c:majorTickMark val="out"/>
        <c:minorTickMark val="none"/>
        <c:tickLblPos val="nextTo"/>
        <c:crossAx val="361769600"/>
        <c:crosses val="autoZero"/>
        <c:auto val="1"/>
        <c:lblAlgn val="ctr"/>
        <c:lblOffset val="100"/>
        <c:noMultiLvlLbl val="0"/>
      </c:catAx>
      <c:valAx>
        <c:axId val="361769600"/>
        <c:scaling>
          <c:orientation val="minMax"/>
        </c:scaling>
        <c:delete val="0"/>
        <c:axPos val="l"/>
        <c:majorGridlines/>
        <c:title>
          <c:tx>
            <c:strRef>
              <c:f>Graphs!$A$21</c:f>
              <c:strCache>
                <c:ptCount val="1"/>
                <c:pt idx="0">
                  <c:v>Avg Annual Total Opex per km (Total Line Length)</c:v>
                </c:pt>
              </c:strCache>
            </c:strRef>
          </c:tx>
          <c:overlay val="0"/>
          <c:txPr>
            <a:bodyPr rot="-5400000" vert="horz"/>
            <a:lstStyle/>
            <a:p>
              <a:pPr>
                <a:defRPr/>
              </a:pPr>
              <a:endParaRPr lang="en-US"/>
            </a:p>
          </c:txPr>
        </c:title>
        <c:numFmt formatCode="&quot;$&quot;#,##0_);\(&quot;$&quot;#,##0\)" sourceLinked="1"/>
        <c:majorTickMark val="out"/>
        <c:minorTickMark val="none"/>
        <c:tickLblPos val="nextTo"/>
        <c:crossAx val="361768064"/>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Graphs!$K$21</c:f>
              <c:strCache>
                <c:ptCount val="1"/>
                <c:pt idx="0">
                  <c:v>Powercor</c:v>
                </c:pt>
              </c:strCache>
            </c:strRef>
          </c:tx>
          <c:spPr>
            <a:solidFill>
              <a:schemeClr val="accent2"/>
            </a:solidFill>
          </c:spPr>
          <c:invertIfNegative val="0"/>
          <c:cat>
            <c:strRef>
              <c:f>Graphs!$J$22</c:f>
              <c:strCache>
                <c:ptCount val="1"/>
                <c:pt idx="0">
                  <c:v>Total Poles</c:v>
                </c:pt>
              </c:strCache>
            </c:strRef>
          </c:cat>
          <c:val>
            <c:numRef>
              <c:f>Graphs!$K$22</c:f>
              <c:numCache>
                <c:formatCode>"$"#,##0_);\("$"#,##0\)</c:formatCode>
                <c:ptCount val="1"/>
                <c:pt idx="0">
                  <c:v>278.19441273853244</c:v>
                </c:pt>
              </c:numCache>
            </c:numRef>
          </c:val>
        </c:ser>
        <c:ser>
          <c:idx val="1"/>
          <c:order val="1"/>
          <c:tx>
            <c:strRef>
              <c:f>Graphs!$L$21</c:f>
              <c:strCache>
                <c:ptCount val="1"/>
                <c:pt idx="0">
                  <c:v>AusNet</c:v>
                </c:pt>
              </c:strCache>
            </c:strRef>
          </c:tx>
          <c:spPr>
            <a:solidFill>
              <a:schemeClr val="accent1"/>
            </a:solidFill>
          </c:spPr>
          <c:invertIfNegative val="0"/>
          <c:cat>
            <c:strRef>
              <c:f>Graphs!$J$22</c:f>
              <c:strCache>
                <c:ptCount val="1"/>
                <c:pt idx="0">
                  <c:v>Total Poles</c:v>
                </c:pt>
              </c:strCache>
            </c:strRef>
          </c:cat>
          <c:val>
            <c:numRef>
              <c:f>Graphs!$L$22</c:f>
              <c:numCache>
                <c:formatCode>"$"#,##0_);\("$"#,##0\)</c:formatCode>
                <c:ptCount val="1"/>
                <c:pt idx="0">
                  <c:v>413.06758518344066</c:v>
                </c:pt>
              </c:numCache>
            </c:numRef>
          </c:val>
        </c:ser>
        <c:ser>
          <c:idx val="3"/>
          <c:order val="2"/>
          <c:tx>
            <c:strRef>
              <c:f>Graphs!$M$21</c:f>
              <c:strCache>
                <c:ptCount val="1"/>
                <c:pt idx="0">
                  <c:v>SA Power</c:v>
                </c:pt>
              </c:strCache>
            </c:strRef>
          </c:tx>
          <c:spPr>
            <a:solidFill>
              <a:schemeClr val="accent3"/>
            </a:solidFill>
          </c:spPr>
          <c:invertIfNegative val="0"/>
          <c:cat>
            <c:strRef>
              <c:f>Graphs!$J$22</c:f>
              <c:strCache>
                <c:ptCount val="1"/>
                <c:pt idx="0">
                  <c:v>Total Poles</c:v>
                </c:pt>
              </c:strCache>
            </c:strRef>
          </c:cat>
          <c:val>
            <c:numRef>
              <c:f>Graphs!$M$22</c:f>
              <c:numCache>
                <c:formatCode>"$"#,##0_);\("$"#,##0\)</c:formatCode>
                <c:ptCount val="1"/>
                <c:pt idx="0">
                  <c:v>251.64111833166825</c:v>
                </c:pt>
              </c:numCache>
            </c:numRef>
          </c:val>
        </c:ser>
        <c:ser>
          <c:idx val="2"/>
          <c:order val="3"/>
          <c:tx>
            <c:strRef>
              <c:f>Graphs!$N$21</c:f>
              <c:strCache>
                <c:ptCount val="1"/>
                <c:pt idx="0">
                  <c:v>Essential</c:v>
                </c:pt>
              </c:strCache>
            </c:strRef>
          </c:tx>
          <c:spPr>
            <a:solidFill>
              <a:schemeClr val="accent6"/>
            </a:solidFill>
          </c:spPr>
          <c:invertIfNegative val="0"/>
          <c:cat>
            <c:strRef>
              <c:f>Graphs!$J$22</c:f>
              <c:strCache>
                <c:ptCount val="1"/>
                <c:pt idx="0">
                  <c:v>Total Poles</c:v>
                </c:pt>
              </c:strCache>
            </c:strRef>
          </c:cat>
          <c:val>
            <c:numRef>
              <c:f>Graphs!$N$22</c:f>
              <c:numCache>
                <c:formatCode>"$"#,##0_);\("$"#,##0\)</c:formatCode>
                <c:ptCount val="1"/>
                <c:pt idx="0">
                  <c:v>295.81603823182058</c:v>
                </c:pt>
              </c:numCache>
            </c:numRef>
          </c:val>
        </c:ser>
        <c:ser>
          <c:idx val="4"/>
          <c:order val="4"/>
          <c:tx>
            <c:strRef>
              <c:f>Graphs!$O$21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Graphs!$J$22</c:f>
              <c:strCache>
                <c:ptCount val="1"/>
                <c:pt idx="0">
                  <c:v>Total Poles</c:v>
                </c:pt>
              </c:strCache>
            </c:strRef>
          </c:cat>
          <c:val>
            <c:numRef>
              <c:f>Graphs!$O$22</c:f>
              <c:numCache>
                <c:formatCode>"$"#,##0_);\("$"#,##0\)</c:formatCode>
                <c:ptCount val="1"/>
                <c:pt idx="0">
                  <c:v>332.76860265611043</c:v>
                </c:pt>
              </c:numCache>
            </c:numRef>
          </c:val>
        </c:ser>
        <c:ser>
          <c:idx val="5"/>
          <c:order val="5"/>
          <c:tx>
            <c:strRef>
              <c:f>Graphs!$P$21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Graphs!$J$22</c:f>
              <c:strCache>
                <c:ptCount val="1"/>
                <c:pt idx="0">
                  <c:v>Total Poles</c:v>
                </c:pt>
              </c:strCache>
            </c:strRef>
          </c:cat>
          <c:val>
            <c:numRef>
              <c:f>Graphs!$P$22</c:f>
              <c:numCache>
                <c:formatCode>"$"#,##0_);\("$"#,##0\)</c:formatCode>
                <c:ptCount val="1"/>
                <c:pt idx="0">
                  <c:v>262.93606033204998</c:v>
                </c:pt>
              </c:numCache>
            </c:numRef>
          </c:val>
        </c:ser>
        <c:dLbls>
          <c:showLegendKey val="0"/>
          <c:showVal val="0"/>
          <c:showCatName val="0"/>
          <c:showSerName val="0"/>
          <c:showPercent val="0"/>
          <c:showBubbleSize val="0"/>
        </c:dLbls>
        <c:gapWidth val="150"/>
        <c:axId val="361896576"/>
        <c:axId val="361898368"/>
      </c:barChart>
      <c:catAx>
        <c:axId val="361896576"/>
        <c:scaling>
          <c:orientation val="minMax"/>
        </c:scaling>
        <c:delete val="1"/>
        <c:axPos val="b"/>
        <c:majorTickMark val="out"/>
        <c:minorTickMark val="none"/>
        <c:tickLblPos val="nextTo"/>
        <c:crossAx val="361898368"/>
        <c:crosses val="autoZero"/>
        <c:auto val="1"/>
        <c:lblAlgn val="ctr"/>
        <c:lblOffset val="100"/>
        <c:noMultiLvlLbl val="0"/>
      </c:catAx>
      <c:valAx>
        <c:axId val="361898368"/>
        <c:scaling>
          <c:orientation val="minMax"/>
        </c:scaling>
        <c:delete val="0"/>
        <c:axPos val="l"/>
        <c:majorGridlines/>
        <c:title>
          <c:tx>
            <c:strRef>
              <c:f>Graphs!$J$21</c:f>
              <c:strCache>
                <c:ptCount val="1"/>
                <c:pt idx="0">
                  <c:v>Avg Annual Total Opex per Pole (Total Poles)</c:v>
                </c:pt>
              </c:strCache>
            </c:strRef>
          </c:tx>
          <c:overlay val="0"/>
          <c:txPr>
            <a:bodyPr rot="-5400000" vert="horz"/>
            <a:lstStyle/>
            <a:p>
              <a:pPr>
                <a:defRPr/>
              </a:pPr>
              <a:endParaRPr lang="en-US"/>
            </a:p>
          </c:txPr>
        </c:title>
        <c:numFmt formatCode="&quot;$&quot;#,##0_);\(&quot;$&quot;#,##0\)" sourceLinked="1"/>
        <c:majorTickMark val="out"/>
        <c:minorTickMark val="none"/>
        <c:tickLblPos val="nextTo"/>
        <c:crossAx val="361896576"/>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Graphs!$AC$21</c:f>
              <c:strCache>
                <c:ptCount val="1"/>
                <c:pt idx="0">
                  <c:v>Powercor</c:v>
                </c:pt>
              </c:strCache>
            </c:strRef>
          </c:tx>
          <c:spPr>
            <a:solidFill>
              <a:schemeClr val="accent2"/>
            </a:solidFill>
          </c:spPr>
          <c:invertIfNegative val="0"/>
          <c:cat>
            <c:strRef>
              <c:f>Graphs!$AB$22</c:f>
              <c:strCache>
                <c:ptCount val="1"/>
                <c:pt idx="0">
                  <c:v>Customer Count</c:v>
                </c:pt>
              </c:strCache>
            </c:strRef>
          </c:cat>
          <c:val>
            <c:numRef>
              <c:f>Graphs!$AC$22</c:f>
              <c:numCache>
                <c:formatCode>"$"#,##0_);\("$"#,##0\)</c:formatCode>
                <c:ptCount val="1"/>
                <c:pt idx="0">
                  <c:v>202.05259758088798</c:v>
                </c:pt>
              </c:numCache>
            </c:numRef>
          </c:val>
        </c:ser>
        <c:ser>
          <c:idx val="1"/>
          <c:order val="1"/>
          <c:tx>
            <c:strRef>
              <c:f>Graphs!$AD$21</c:f>
              <c:strCache>
                <c:ptCount val="1"/>
                <c:pt idx="0">
                  <c:v>AusNet</c:v>
                </c:pt>
              </c:strCache>
            </c:strRef>
          </c:tx>
          <c:spPr>
            <a:solidFill>
              <a:schemeClr val="accent1"/>
            </a:solidFill>
          </c:spPr>
          <c:invertIfNegative val="0"/>
          <c:cat>
            <c:strRef>
              <c:f>Graphs!$AB$22</c:f>
              <c:strCache>
                <c:ptCount val="1"/>
                <c:pt idx="0">
                  <c:v>Customer Count</c:v>
                </c:pt>
              </c:strCache>
            </c:strRef>
          </c:cat>
          <c:val>
            <c:numRef>
              <c:f>Graphs!$AD$22</c:f>
              <c:numCache>
                <c:formatCode>"$"#,##0_);\("$"#,##0\)</c:formatCode>
                <c:ptCount val="1"/>
                <c:pt idx="0">
                  <c:v>225.63054198415364</c:v>
                </c:pt>
              </c:numCache>
            </c:numRef>
          </c:val>
        </c:ser>
        <c:ser>
          <c:idx val="3"/>
          <c:order val="2"/>
          <c:tx>
            <c:strRef>
              <c:f>Graphs!$AE$21</c:f>
              <c:strCache>
                <c:ptCount val="1"/>
                <c:pt idx="0">
                  <c:v>SA Power</c:v>
                </c:pt>
              </c:strCache>
            </c:strRef>
          </c:tx>
          <c:spPr>
            <a:solidFill>
              <a:schemeClr val="accent3"/>
            </a:solidFill>
          </c:spPr>
          <c:invertIfNegative val="0"/>
          <c:cat>
            <c:strRef>
              <c:f>Graphs!$AB$22</c:f>
              <c:strCache>
                <c:ptCount val="1"/>
                <c:pt idx="0">
                  <c:v>Customer Count</c:v>
                </c:pt>
              </c:strCache>
            </c:strRef>
          </c:cat>
          <c:val>
            <c:numRef>
              <c:f>Graphs!$AE$22</c:f>
              <c:numCache>
                <c:formatCode>"$"#,##0_);\("$"#,##0\)</c:formatCode>
                <c:ptCount val="1"/>
                <c:pt idx="0">
                  <c:v>219.56672006190388</c:v>
                </c:pt>
              </c:numCache>
            </c:numRef>
          </c:val>
        </c:ser>
        <c:ser>
          <c:idx val="2"/>
          <c:order val="3"/>
          <c:tx>
            <c:strRef>
              <c:f>Graphs!$AF$21</c:f>
              <c:strCache>
                <c:ptCount val="1"/>
                <c:pt idx="0">
                  <c:v>Essential</c:v>
                </c:pt>
              </c:strCache>
            </c:strRef>
          </c:tx>
          <c:spPr>
            <a:solidFill>
              <a:schemeClr val="accent6"/>
            </a:solidFill>
          </c:spPr>
          <c:invertIfNegative val="0"/>
          <c:cat>
            <c:strRef>
              <c:f>Graphs!$AB$22</c:f>
              <c:strCache>
                <c:ptCount val="1"/>
                <c:pt idx="0">
                  <c:v>Customer Count</c:v>
                </c:pt>
              </c:strCache>
            </c:strRef>
          </c:cat>
          <c:val>
            <c:numRef>
              <c:f>Graphs!$AF$22</c:f>
              <c:numCache>
                <c:formatCode>"$"#,##0_);\("$"#,##0\)</c:formatCode>
                <c:ptCount val="1"/>
                <c:pt idx="0">
                  <c:v>482.65852501371984</c:v>
                </c:pt>
              </c:numCache>
            </c:numRef>
          </c:val>
        </c:ser>
        <c:ser>
          <c:idx val="4"/>
          <c:order val="4"/>
          <c:tx>
            <c:strRef>
              <c:f>Graphs!$AG$21</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Graphs!$AB$22</c:f>
              <c:strCache>
                <c:ptCount val="1"/>
                <c:pt idx="0">
                  <c:v>Customer Count</c:v>
                </c:pt>
              </c:strCache>
            </c:strRef>
          </c:cat>
          <c:val>
            <c:numRef>
              <c:f>Graphs!$AG$22</c:f>
              <c:numCache>
                <c:formatCode>"$"#,##0_);\("$"#,##0\)</c:formatCode>
                <c:ptCount val="1"/>
                <c:pt idx="0">
                  <c:v>213.24511126109726</c:v>
                </c:pt>
              </c:numCache>
            </c:numRef>
          </c:val>
        </c:ser>
        <c:ser>
          <c:idx val="5"/>
          <c:order val="5"/>
          <c:tx>
            <c:strRef>
              <c:f>Graphs!$AH$21</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Graphs!$AB$22</c:f>
              <c:strCache>
                <c:ptCount val="1"/>
                <c:pt idx="0">
                  <c:v>Customer Count</c:v>
                </c:pt>
              </c:strCache>
            </c:strRef>
          </c:cat>
          <c:val>
            <c:numRef>
              <c:f>Graphs!$AH$22</c:f>
              <c:numCache>
                <c:formatCode>"$"#,##0_);\("$"#,##0\)</c:formatCode>
                <c:ptCount val="1"/>
                <c:pt idx="0">
                  <c:v>211.32279314394458</c:v>
                </c:pt>
              </c:numCache>
            </c:numRef>
          </c:val>
        </c:ser>
        <c:dLbls>
          <c:showLegendKey val="0"/>
          <c:showVal val="0"/>
          <c:showCatName val="0"/>
          <c:showSerName val="0"/>
          <c:showPercent val="0"/>
          <c:showBubbleSize val="0"/>
        </c:dLbls>
        <c:gapWidth val="150"/>
        <c:axId val="361952000"/>
        <c:axId val="361953536"/>
      </c:barChart>
      <c:catAx>
        <c:axId val="361952000"/>
        <c:scaling>
          <c:orientation val="minMax"/>
        </c:scaling>
        <c:delete val="1"/>
        <c:axPos val="b"/>
        <c:majorTickMark val="out"/>
        <c:minorTickMark val="none"/>
        <c:tickLblPos val="nextTo"/>
        <c:crossAx val="361953536"/>
        <c:crosses val="autoZero"/>
        <c:auto val="1"/>
        <c:lblAlgn val="ctr"/>
        <c:lblOffset val="100"/>
        <c:noMultiLvlLbl val="0"/>
      </c:catAx>
      <c:valAx>
        <c:axId val="361953536"/>
        <c:scaling>
          <c:orientation val="minMax"/>
        </c:scaling>
        <c:delete val="0"/>
        <c:axPos val="l"/>
        <c:majorGridlines/>
        <c:title>
          <c:tx>
            <c:strRef>
              <c:f>Graphs!$AB$21</c:f>
              <c:strCache>
                <c:ptCount val="1"/>
                <c:pt idx="0">
                  <c:v>Avg Annual Total Opex per Customer (Customer Count)</c:v>
                </c:pt>
              </c:strCache>
            </c:strRef>
          </c:tx>
          <c:overlay val="0"/>
          <c:txPr>
            <a:bodyPr rot="-5400000" vert="horz"/>
            <a:lstStyle/>
            <a:p>
              <a:pPr>
                <a:defRPr/>
              </a:pPr>
              <a:endParaRPr lang="en-US"/>
            </a:p>
          </c:txPr>
        </c:title>
        <c:numFmt formatCode="&quot;$&quot;#,##0_);\(&quot;$&quot;#,##0\)" sourceLinked="1"/>
        <c:majorTickMark val="out"/>
        <c:minorTickMark val="none"/>
        <c:tickLblPos val="nextTo"/>
        <c:crossAx val="361952000"/>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Graphs!$T$102</c:f>
              <c:strCache>
                <c:ptCount val="1"/>
                <c:pt idx="0">
                  <c:v>Powercor</c:v>
                </c:pt>
              </c:strCache>
            </c:strRef>
          </c:tx>
          <c:spPr>
            <a:solidFill>
              <a:schemeClr val="accent2"/>
            </a:solidFill>
          </c:spPr>
          <c:invertIfNegative val="0"/>
          <c:cat>
            <c:strRef>
              <c:f>Graphs!$S$103</c:f>
              <c:strCache>
                <c:ptCount val="1"/>
                <c:pt idx="0">
                  <c:v>Total Line Length</c:v>
                </c:pt>
              </c:strCache>
            </c:strRef>
          </c:cat>
          <c:val>
            <c:numRef>
              <c:f>Graphs!$T$103</c:f>
              <c:numCache>
                <c:formatCode>"$"#,##0_);\("$"#,##0\)</c:formatCode>
                <c:ptCount val="1"/>
                <c:pt idx="0">
                  <c:v>887.93782993686216</c:v>
                </c:pt>
              </c:numCache>
            </c:numRef>
          </c:val>
        </c:ser>
        <c:ser>
          <c:idx val="1"/>
          <c:order val="1"/>
          <c:tx>
            <c:strRef>
              <c:f>Graphs!$U$102</c:f>
              <c:strCache>
                <c:ptCount val="1"/>
                <c:pt idx="0">
                  <c:v>AusNet</c:v>
                </c:pt>
              </c:strCache>
            </c:strRef>
          </c:tx>
          <c:spPr>
            <a:solidFill>
              <a:schemeClr val="accent1"/>
            </a:solidFill>
          </c:spPr>
          <c:invertIfNegative val="0"/>
          <c:cat>
            <c:strRef>
              <c:f>Graphs!$S$103</c:f>
              <c:strCache>
                <c:ptCount val="1"/>
                <c:pt idx="0">
                  <c:v>Total Line Length</c:v>
                </c:pt>
              </c:strCache>
            </c:strRef>
          </c:cat>
          <c:val>
            <c:numRef>
              <c:f>Graphs!$U$103</c:f>
              <c:numCache>
                <c:formatCode>"$"#,##0_);\("$"#,##0\)</c:formatCode>
                <c:ptCount val="1"/>
                <c:pt idx="0">
                  <c:v>1324.6093468416348</c:v>
                </c:pt>
              </c:numCache>
            </c:numRef>
          </c:val>
        </c:ser>
        <c:ser>
          <c:idx val="3"/>
          <c:order val="2"/>
          <c:tx>
            <c:strRef>
              <c:f>Graphs!$V$102</c:f>
              <c:strCache>
                <c:ptCount val="1"/>
                <c:pt idx="0">
                  <c:v>SA Power</c:v>
                </c:pt>
              </c:strCache>
            </c:strRef>
          </c:tx>
          <c:spPr>
            <a:solidFill>
              <a:schemeClr val="accent3"/>
            </a:solidFill>
          </c:spPr>
          <c:invertIfNegative val="0"/>
          <c:cat>
            <c:strRef>
              <c:f>Graphs!$S$103</c:f>
              <c:strCache>
                <c:ptCount val="1"/>
                <c:pt idx="0">
                  <c:v>Total Line Length</c:v>
                </c:pt>
              </c:strCache>
            </c:strRef>
          </c:cat>
          <c:val>
            <c:numRef>
              <c:f>Graphs!$V$103</c:f>
              <c:numCache>
                <c:formatCode>"$"#,##0_);\("$"#,##0\)</c:formatCode>
                <c:ptCount val="1"/>
                <c:pt idx="0">
                  <c:v>1287.9585789732248</c:v>
                </c:pt>
              </c:numCache>
            </c:numRef>
          </c:val>
        </c:ser>
        <c:ser>
          <c:idx val="2"/>
          <c:order val="3"/>
          <c:tx>
            <c:strRef>
              <c:f>Graphs!$W$102</c:f>
              <c:strCache>
                <c:ptCount val="1"/>
                <c:pt idx="0">
                  <c:v>Essential -10%</c:v>
                </c:pt>
              </c:strCache>
            </c:strRef>
          </c:tx>
          <c:spPr>
            <a:solidFill>
              <a:schemeClr val="accent6"/>
            </a:solidFill>
          </c:spPr>
          <c:invertIfNegative val="0"/>
          <c:cat>
            <c:strRef>
              <c:f>Graphs!$S$103</c:f>
              <c:strCache>
                <c:ptCount val="1"/>
                <c:pt idx="0">
                  <c:v>Total Line Length</c:v>
                </c:pt>
              </c:strCache>
            </c:strRef>
          </c:cat>
          <c:val>
            <c:numRef>
              <c:f>Graphs!$W$103</c:f>
              <c:numCache>
                <c:formatCode>"$"#,##0_);\("$"#,##0\)</c:formatCode>
                <c:ptCount val="1"/>
                <c:pt idx="0">
                  <c:v>828.40743469401013</c:v>
                </c:pt>
              </c:numCache>
            </c:numRef>
          </c:val>
        </c:ser>
        <c:ser>
          <c:idx val="4"/>
          <c:order val="4"/>
          <c:tx>
            <c:strRef>
              <c:f>Graphs!$X$102</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Graphs!$S$103</c:f>
              <c:strCache>
                <c:ptCount val="1"/>
                <c:pt idx="0">
                  <c:v>Total Line Length</c:v>
                </c:pt>
              </c:strCache>
            </c:strRef>
          </c:cat>
          <c:val>
            <c:numRef>
              <c:f>Graphs!$X$103</c:f>
              <c:numCache>
                <c:formatCode>"$"#,##0_);\("$"#,##0\)</c:formatCode>
                <c:ptCount val="1"/>
                <c:pt idx="0">
                  <c:v>1050.6943149918286</c:v>
                </c:pt>
              </c:numCache>
            </c:numRef>
          </c:val>
        </c:ser>
        <c:ser>
          <c:idx val="5"/>
          <c:order val="5"/>
          <c:tx>
            <c:strRef>
              <c:f>Graphs!$Y$102</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Graphs!$S$103</c:f>
              <c:strCache>
                <c:ptCount val="1"/>
                <c:pt idx="0">
                  <c:v>Total Line Length</c:v>
                </c:pt>
              </c:strCache>
            </c:strRef>
          </c:cat>
          <c:val>
            <c:numRef>
              <c:f>Graphs!$Y$103</c:f>
              <c:numCache>
                <c:formatCode>"$"#,##0_);\("$"#,##0\)</c:formatCode>
                <c:ptCount val="1"/>
                <c:pt idx="0">
                  <c:v>1103.6648867632985</c:v>
                </c:pt>
              </c:numCache>
            </c:numRef>
          </c:val>
        </c:ser>
        <c:dLbls>
          <c:showLegendKey val="0"/>
          <c:showVal val="0"/>
          <c:showCatName val="0"/>
          <c:showSerName val="0"/>
          <c:showPercent val="0"/>
          <c:showBubbleSize val="0"/>
        </c:dLbls>
        <c:gapWidth val="150"/>
        <c:axId val="362014976"/>
        <c:axId val="362016768"/>
      </c:barChart>
      <c:catAx>
        <c:axId val="362014976"/>
        <c:scaling>
          <c:orientation val="minMax"/>
        </c:scaling>
        <c:delete val="1"/>
        <c:axPos val="b"/>
        <c:majorTickMark val="out"/>
        <c:minorTickMark val="none"/>
        <c:tickLblPos val="nextTo"/>
        <c:crossAx val="362016768"/>
        <c:crosses val="autoZero"/>
        <c:auto val="1"/>
        <c:lblAlgn val="ctr"/>
        <c:lblOffset val="100"/>
        <c:noMultiLvlLbl val="0"/>
      </c:catAx>
      <c:valAx>
        <c:axId val="362016768"/>
        <c:scaling>
          <c:orientation val="minMax"/>
        </c:scaling>
        <c:delete val="0"/>
        <c:axPos val="l"/>
        <c:majorGridlines/>
        <c:title>
          <c:tx>
            <c:strRef>
              <c:f>Graphs!$S$102</c:f>
              <c:strCache>
                <c:ptCount val="1"/>
                <c:pt idx="0">
                  <c:v>Opex Overheads Avg Annual per km (Total Line Length)</c:v>
                </c:pt>
              </c:strCache>
            </c:strRef>
          </c:tx>
          <c:overlay val="0"/>
          <c:txPr>
            <a:bodyPr rot="-5400000" vert="horz"/>
            <a:lstStyle/>
            <a:p>
              <a:pPr>
                <a:defRPr/>
              </a:pPr>
              <a:endParaRPr lang="en-US"/>
            </a:p>
          </c:txPr>
        </c:title>
        <c:numFmt formatCode="&quot;$&quot;#,##0_);\(&quot;$&quot;#,##0\)" sourceLinked="1"/>
        <c:majorTickMark val="out"/>
        <c:minorTickMark val="none"/>
        <c:tickLblPos val="nextTo"/>
        <c:crossAx val="362014976"/>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Graphs!$T$122</c:f>
              <c:strCache>
                <c:ptCount val="1"/>
                <c:pt idx="0">
                  <c:v>Powercor</c:v>
                </c:pt>
              </c:strCache>
            </c:strRef>
          </c:tx>
          <c:spPr>
            <a:solidFill>
              <a:schemeClr val="accent2"/>
            </a:solidFill>
          </c:spPr>
          <c:invertIfNegative val="0"/>
          <c:val>
            <c:numRef>
              <c:f>Graphs!$T$123</c:f>
              <c:numCache>
                <c:formatCode>_-* #,##0_-;\-* #,##0_-;_-* "-"??_-;_-@_-</c:formatCode>
                <c:ptCount val="1"/>
                <c:pt idx="0">
                  <c:v>408.53342510024538</c:v>
                </c:pt>
              </c:numCache>
            </c:numRef>
          </c:val>
        </c:ser>
        <c:ser>
          <c:idx val="1"/>
          <c:order val="1"/>
          <c:tx>
            <c:strRef>
              <c:f>Graphs!$U$122</c:f>
              <c:strCache>
                <c:ptCount val="1"/>
                <c:pt idx="0">
                  <c:v>AusNet</c:v>
                </c:pt>
              </c:strCache>
            </c:strRef>
          </c:tx>
          <c:spPr>
            <a:solidFill>
              <a:schemeClr val="accent1"/>
            </a:solidFill>
          </c:spPr>
          <c:invertIfNegative val="0"/>
          <c:val>
            <c:numRef>
              <c:f>Graphs!$U$123</c:f>
              <c:numCache>
                <c:formatCode>_-* #,##0_-;\-* #,##0_-;_-* "-"??_-;_-@_-</c:formatCode>
                <c:ptCount val="1"/>
                <c:pt idx="0">
                  <c:v>822.93268000933074</c:v>
                </c:pt>
              </c:numCache>
            </c:numRef>
          </c:val>
        </c:ser>
        <c:ser>
          <c:idx val="3"/>
          <c:order val="2"/>
          <c:tx>
            <c:strRef>
              <c:f>Graphs!$V$122</c:f>
              <c:strCache>
                <c:ptCount val="1"/>
                <c:pt idx="0">
                  <c:v>SA Power</c:v>
                </c:pt>
              </c:strCache>
            </c:strRef>
          </c:tx>
          <c:spPr>
            <a:solidFill>
              <a:schemeClr val="accent3"/>
            </a:solidFill>
          </c:spPr>
          <c:invertIfNegative val="0"/>
          <c:val>
            <c:numRef>
              <c:f>Graphs!$V$123</c:f>
              <c:numCache>
                <c:formatCode>_-* #,##0_-;\-* #,##0_-;_-* "-"??_-;_-@_-</c:formatCode>
                <c:ptCount val="1"/>
                <c:pt idx="0">
                  <c:v>309.26211222993209</c:v>
                </c:pt>
              </c:numCache>
            </c:numRef>
          </c:val>
        </c:ser>
        <c:ser>
          <c:idx val="2"/>
          <c:order val="3"/>
          <c:tx>
            <c:strRef>
              <c:f>Graphs!$W$122</c:f>
              <c:strCache>
                <c:ptCount val="1"/>
                <c:pt idx="0">
                  <c:v>Essential -10%</c:v>
                </c:pt>
              </c:strCache>
            </c:strRef>
          </c:tx>
          <c:spPr>
            <a:solidFill>
              <a:schemeClr val="accent6"/>
            </a:solidFill>
          </c:spPr>
          <c:invertIfNegative val="0"/>
          <c:val>
            <c:numRef>
              <c:f>Graphs!$W$123</c:f>
              <c:numCache>
                <c:formatCode>_-* #,##0_-;\-* #,##0_-;_-* "-"??_-;_-@_-</c:formatCode>
                <c:ptCount val="1"/>
                <c:pt idx="0">
                  <c:v>382.8728736869964</c:v>
                </c:pt>
              </c:numCache>
            </c:numRef>
          </c:val>
        </c:ser>
        <c:ser>
          <c:idx val="4"/>
          <c:order val="4"/>
          <c:tx>
            <c:strRef>
              <c:f>Graphs!$X$122</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val>
            <c:numRef>
              <c:f>Graphs!$X$123</c:f>
              <c:numCache>
                <c:formatCode>_-* #,##0_-;\-* #,##0_-;_-* "-"??_-;_-@_-</c:formatCode>
                <c:ptCount val="1"/>
                <c:pt idx="0">
                  <c:v>549.06226835411496</c:v>
                </c:pt>
              </c:numCache>
            </c:numRef>
          </c:val>
        </c:ser>
        <c:ser>
          <c:idx val="5"/>
          <c:order val="5"/>
          <c:tx>
            <c:strRef>
              <c:f>Graphs!$Y$122</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val>
            <c:numRef>
              <c:f>Graphs!$Y$123</c:f>
              <c:numCache>
                <c:formatCode>_-* #,##0_-;\-* #,##0_-;_-* "-"??_-;_-@_-</c:formatCode>
                <c:ptCount val="1"/>
                <c:pt idx="0">
                  <c:v>354.10068052955609</c:v>
                </c:pt>
              </c:numCache>
            </c:numRef>
          </c:val>
        </c:ser>
        <c:dLbls>
          <c:showLegendKey val="0"/>
          <c:showVal val="0"/>
          <c:showCatName val="0"/>
          <c:showSerName val="0"/>
          <c:showPercent val="0"/>
          <c:showBubbleSize val="0"/>
        </c:dLbls>
        <c:gapWidth val="150"/>
        <c:axId val="362074112"/>
        <c:axId val="362075648"/>
      </c:barChart>
      <c:catAx>
        <c:axId val="362074112"/>
        <c:scaling>
          <c:orientation val="minMax"/>
        </c:scaling>
        <c:delete val="1"/>
        <c:axPos val="b"/>
        <c:majorTickMark val="out"/>
        <c:minorTickMark val="none"/>
        <c:tickLblPos val="nextTo"/>
        <c:crossAx val="362075648"/>
        <c:crosses val="autoZero"/>
        <c:auto val="1"/>
        <c:lblAlgn val="ctr"/>
        <c:lblOffset val="100"/>
        <c:noMultiLvlLbl val="0"/>
      </c:catAx>
      <c:valAx>
        <c:axId val="362075648"/>
        <c:scaling>
          <c:orientation val="minMax"/>
        </c:scaling>
        <c:delete val="0"/>
        <c:axPos val="l"/>
        <c:majorGridlines/>
        <c:title>
          <c:tx>
            <c:strRef>
              <c:f>Graphs!$S$122</c:f>
              <c:strCache>
                <c:ptCount val="1"/>
                <c:pt idx="0">
                  <c:v>Veg Management Avg Annual Opex per km (Total Route Length)</c:v>
                </c:pt>
              </c:strCache>
            </c:strRef>
          </c:tx>
          <c:overlay val="0"/>
          <c:txPr>
            <a:bodyPr rot="-5400000" vert="horz"/>
            <a:lstStyle/>
            <a:p>
              <a:pPr>
                <a:defRPr/>
              </a:pPr>
              <a:endParaRPr lang="en-US"/>
            </a:p>
          </c:txPr>
        </c:title>
        <c:numFmt formatCode="_-* #,##0_-;\-* #,##0_-;_-* &quot;-&quot;??_-;_-@_-" sourceLinked="1"/>
        <c:majorTickMark val="out"/>
        <c:minorTickMark val="none"/>
        <c:tickLblPos val="nextTo"/>
        <c:crossAx val="362074112"/>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Graphs!$K$102</c:f>
              <c:strCache>
                <c:ptCount val="1"/>
                <c:pt idx="0">
                  <c:v>Powercor</c:v>
                </c:pt>
              </c:strCache>
            </c:strRef>
          </c:tx>
          <c:spPr>
            <a:solidFill>
              <a:schemeClr val="accent2"/>
            </a:solidFill>
          </c:spPr>
          <c:invertIfNegative val="0"/>
          <c:cat>
            <c:strRef>
              <c:f>Graphs!$J$103</c:f>
              <c:strCache>
                <c:ptCount val="1"/>
                <c:pt idx="0">
                  <c:v>Total Line Length</c:v>
                </c:pt>
              </c:strCache>
            </c:strRef>
          </c:cat>
          <c:val>
            <c:numRef>
              <c:f>Graphs!$K$103</c:f>
              <c:numCache>
                <c:formatCode>"$"#,##0_);\("$"#,##0\)</c:formatCode>
                <c:ptCount val="1"/>
                <c:pt idx="0">
                  <c:v>887.93782993686216</c:v>
                </c:pt>
              </c:numCache>
            </c:numRef>
          </c:val>
        </c:ser>
        <c:ser>
          <c:idx val="1"/>
          <c:order val="1"/>
          <c:tx>
            <c:strRef>
              <c:f>Graphs!$L$102</c:f>
              <c:strCache>
                <c:ptCount val="1"/>
                <c:pt idx="0">
                  <c:v>AusNet</c:v>
                </c:pt>
              </c:strCache>
            </c:strRef>
          </c:tx>
          <c:spPr>
            <a:solidFill>
              <a:schemeClr val="accent1"/>
            </a:solidFill>
          </c:spPr>
          <c:invertIfNegative val="0"/>
          <c:cat>
            <c:strRef>
              <c:f>Graphs!$J$103</c:f>
              <c:strCache>
                <c:ptCount val="1"/>
                <c:pt idx="0">
                  <c:v>Total Line Length</c:v>
                </c:pt>
              </c:strCache>
            </c:strRef>
          </c:cat>
          <c:val>
            <c:numRef>
              <c:f>Graphs!$L$103</c:f>
              <c:numCache>
                <c:formatCode>"$"#,##0_);\("$"#,##0\)</c:formatCode>
                <c:ptCount val="1"/>
                <c:pt idx="0">
                  <c:v>1324.6093468416348</c:v>
                </c:pt>
              </c:numCache>
            </c:numRef>
          </c:val>
        </c:ser>
        <c:ser>
          <c:idx val="3"/>
          <c:order val="2"/>
          <c:tx>
            <c:strRef>
              <c:f>Graphs!$M$102</c:f>
              <c:strCache>
                <c:ptCount val="1"/>
                <c:pt idx="0">
                  <c:v>SA Power</c:v>
                </c:pt>
              </c:strCache>
            </c:strRef>
          </c:tx>
          <c:spPr>
            <a:solidFill>
              <a:schemeClr val="accent3"/>
            </a:solidFill>
          </c:spPr>
          <c:invertIfNegative val="0"/>
          <c:cat>
            <c:strRef>
              <c:f>Graphs!$J$103</c:f>
              <c:strCache>
                <c:ptCount val="1"/>
                <c:pt idx="0">
                  <c:v>Total Line Length</c:v>
                </c:pt>
              </c:strCache>
            </c:strRef>
          </c:cat>
          <c:val>
            <c:numRef>
              <c:f>Graphs!$M$103</c:f>
              <c:numCache>
                <c:formatCode>"$"#,##0_);\("$"#,##0\)</c:formatCode>
                <c:ptCount val="1"/>
                <c:pt idx="0">
                  <c:v>1287.9585789732248</c:v>
                </c:pt>
              </c:numCache>
            </c:numRef>
          </c:val>
        </c:ser>
        <c:ser>
          <c:idx val="2"/>
          <c:order val="3"/>
          <c:tx>
            <c:strRef>
              <c:f>Graphs!$N$102</c:f>
              <c:strCache>
                <c:ptCount val="1"/>
                <c:pt idx="0">
                  <c:v>Essential +16%Dir</c:v>
                </c:pt>
              </c:strCache>
            </c:strRef>
          </c:tx>
          <c:spPr>
            <a:solidFill>
              <a:schemeClr val="accent6"/>
            </a:solidFill>
          </c:spPr>
          <c:invertIfNegative val="0"/>
          <c:cat>
            <c:strRef>
              <c:f>Graphs!$J$103</c:f>
              <c:strCache>
                <c:ptCount val="1"/>
                <c:pt idx="0">
                  <c:v>Total Line Length</c:v>
                </c:pt>
              </c:strCache>
            </c:strRef>
          </c:cat>
          <c:val>
            <c:numRef>
              <c:f>Graphs!$N$103</c:f>
              <c:numCache>
                <c:formatCode>"$"#,##0_);\("$"#,##0\)</c:formatCode>
                <c:ptCount val="1"/>
                <c:pt idx="0">
                  <c:v>794.25855125266776</c:v>
                </c:pt>
              </c:numCache>
            </c:numRef>
          </c:val>
        </c:ser>
        <c:ser>
          <c:idx val="4"/>
          <c:order val="4"/>
          <c:tx>
            <c:strRef>
              <c:f>Graphs!$O$102</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Graphs!$J$103</c:f>
              <c:strCache>
                <c:ptCount val="1"/>
                <c:pt idx="0">
                  <c:v>Total Line Length</c:v>
                </c:pt>
              </c:strCache>
            </c:strRef>
          </c:cat>
          <c:val>
            <c:numRef>
              <c:f>Graphs!$O$103</c:f>
              <c:numCache>
                <c:formatCode>"$"#,##0_);\("$"#,##0\)</c:formatCode>
                <c:ptCount val="1"/>
                <c:pt idx="0">
                  <c:v>1050.6943149918286</c:v>
                </c:pt>
              </c:numCache>
            </c:numRef>
          </c:val>
        </c:ser>
        <c:ser>
          <c:idx val="5"/>
          <c:order val="5"/>
          <c:tx>
            <c:strRef>
              <c:f>Graphs!$P$102</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Graphs!$J$103</c:f>
              <c:strCache>
                <c:ptCount val="1"/>
                <c:pt idx="0">
                  <c:v>Total Line Length</c:v>
                </c:pt>
              </c:strCache>
            </c:strRef>
          </c:cat>
          <c:val>
            <c:numRef>
              <c:f>Graphs!$P$103</c:f>
              <c:numCache>
                <c:formatCode>"$"#,##0_);\("$"#,##0\)</c:formatCode>
                <c:ptCount val="1"/>
                <c:pt idx="0">
                  <c:v>1103.6648867632985</c:v>
                </c:pt>
              </c:numCache>
            </c:numRef>
          </c:val>
        </c:ser>
        <c:dLbls>
          <c:showLegendKey val="0"/>
          <c:showVal val="0"/>
          <c:showCatName val="0"/>
          <c:showSerName val="0"/>
          <c:showPercent val="0"/>
          <c:showBubbleSize val="0"/>
        </c:dLbls>
        <c:gapWidth val="150"/>
        <c:axId val="362194432"/>
        <c:axId val="362195968"/>
      </c:barChart>
      <c:catAx>
        <c:axId val="362194432"/>
        <c:scaling>
          <c:orientation val="minMax"/>
        </c:scaling>
        <c:delete val="1"/>
        <c:axPos val="b"/>
        <c:majorTickMark val="out"/>
        <c:minorTickMark val="none"/>
        <c:tickLblPos val="nextTo"/>
        <c:crossAx val="362195968"/>
        <c:crosses val="autoZero"/>
        <c:auto val="1"/>
        <c:lblAlgn val="ctr"/>
        <c:lblOffset val="100"/>
        <c:noMultiLvlLbl val="0"/>
      </c:catAx>
      <c:valAx>
        <c:axId val="362195968"/>
        <c:scaling>
          <c:orientation val="minMax"/>
        </c:scaling>
        <c:delete val="0"/>
        <c:axPos val="l"/>
        <c:majorGridlines/>
        <c:title>
          <c:tx>
            <c:strRef>
              <c:f>Graphs!$J$102</c:f>
              <c:strCache>
                <c:ptCount val="1"/>
                <c:pt idx="0">
                  <c:v>Opex Overheads Avg Annual per km (Total Line Length)</c:v>
                </c:pt>
              </c:strCache>
            </c:strRef>
          </c:tx>
          <c:overlay val="0"/>
          <c:txPr>
            <a:bodyPr rot="-5400000" vert="horz"/>
            <a:lstStyle/>
            <a:p>
              <a:pPr>
                <a:defRPr/>
              </a:pPr>
              <a:endParaRPr lang="en-US"/>
            </a:p>
          </c:txPr>
        </c:title>
        <c:numFmt formatCode="&quot;$&quot;#,##0_);\(&quot;$&quot;#,##0\)" sourceLinked="1"/>
        <c:majorTickMark val="out"/>
        <c:minorTickMark val="none"/>
        <c:tickLblPos val="nextTo"/>
        <c:crossAx val="362194432"/>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72035865459015"/>
          <c:y val="0.12727180653277348"/>
          <c:w val="0.73983463049777742"/>
          <c:h val="0.74123962251683029"/>
        </c:manualLayout>
      </c:layout>
      <c:barChart>
        <c:barDir val="col"/>
        <c:grouping val="clustered"/>
        <c:varyColors val="0"/>
        <c:ser>
          <c:idx val="1"/>
          <c:order val="1"/>
          <c:tx>
            <c:strRef>
              <c:f>Graphs!$AB$104</c:f>
              <c:strCache>
                <c:ptCount val="1"/>
                <c:pt idx="0">
                  <c:v>Total Line Length</c:v>
                </c:pt>
              </c:strCache>
            </c:strRef>
          </c:tx>
          <c:spPr>
            <a:ln w="47625">
              <a:noFill/>
            </a:ln>
          </c:spPr>
          <c:invertIfNegative val="0"/>
          <c:dPt>
            <c:idx val="0"/>
            <c:invertIfNegative val="0"/>
            <c:bubble3D val="0"/>
            <c:spPr>
              <a:solidFill>
                <a:srgbClr val="C0504D"/>
              </a:solidFill>
              <a:ln w="47625">
                <a:noFill/>
              </a:ln>
            </c:spPr>
          </c:dPt>
          <c:dPt>
            <c:idx val="1"/>
            <c:invertIfNegative val="0"/>
            <c:bubble3D val="0"/>
            <c:spPr>
              <a:solidFill>
                <a:srgbClr val="4F81BD"/>
              </a:solidFill>
              <a:ln w="47625">
                <a:noFill/>
              </a:ln>
            </c:spPr>
          </c:dPt>
          <c:dPt>
            <c:idx val="2"/>
            <c:invertIfNegative val="0"/>
            <c:bubble3D val="0"/>
            <c:spPr>
              <a:solidFill>
                <a:srgbClr val="9BBB59"/>
              </a:solidFill>
              <a:ln w="47625">
                <a:noFill/>
              </a:ln>
            </c:spPr>
          </c:dPt>
          <c:dPt>
            <c:idx val="3"/>
            <c:invertIfNegative val="0"/>
            <c:bubble3D val="0"/>
            <c:spPr>
              <a:solidFill>
                <a:srgbClr val="F79646"/>
              </a:solidFill>
              <a:ln w="47625">
                <a:noFill/>
              </a:ln>
            </c:spPr>
          </c:dPt>
          <c:dPt>
            <c:idx val="4"/>
            <c:invertIfNegative val="0"/>
            <c:bubble3D val="0"/>
            <c:spPr>
              <a:gradFill>
                <a:gsLst>
                  <a:gs pos="0">
                    <a:srgbClr val="4F81BD"/>
                  </a:gs>
                  <a:gs pos="50000">
                    <a:sysClr val="window" lastClr="FFFFFF">
                      <a:lumMod val="95000"/>
                    </a:sysClr>
                  </a:gs>
                  <a:gs pos="100000">
                    <a:srgbClr val="C0504D"/>
                  </a:gs>
                </a:gsLst>
                <a:lin ang="5400000" scaled="0"/>
              </a:gradFill>
              <a:ln w="47625">
                <a:noFill/>
              </a:ln>
            </c:spPr>
          </c:dPt>
          <c:dPt>
            <c:idx val="5"/>
            <c:invertIfNegative val="0"/>
            <c:bubble3D val="0"/>
            <c:spPr>
              <a:gradFill>
                <a:gsLst>
                  <a:gs pos="0">
                    <a:srgbClr val="9BBB59"/>
                  </a:gs>
                  <a:gs pos="50000">
                    <a:sysClr val="window" lastClr="FFFFFF">
                      <a:lumMod val="95000"/>
                    </a:sysClr>
                  </a:gs>
                  <a:gs pos="100000">
                    <a:srgbClr val="C0504D"/>
                  </a:gs>
                </a:gsLst>
                <a:lin ang="5400000" scaled="0"/>
              </a:gradFill>
              <a:ln w="47625">
                <a:noFill/>
              </a:ln>
            </c:spPr>
          </c:dPt>
          <c:cat>
            <c:strRef>
              <c:f>Graphs!$AC$102:$AH$102</c:f>
              <c:strCache>
                <c:ptCount val="6"/>
                <c:pt idx="0">
                  <c:v>Powercor</c:v>
                </c:pt>
                <c:pt idx="1">
                  <c:v>AusNet</c:v>
                </c:pt>
                <c:pt idx="2">
                  <c:v>SA Power</c:v>
                </c:pt>
                <c:pt idx="3">
                  <c:v>Essential</c:v>
                </c:pt>
                <c:pt idx="4">
                  <c:v>AusNet + Powercor</c:v>
                </c:pt>
                <c:pt idx="5">
                  <c:v>SA Power + Powercor</c:v>
                </c:pt>
              </c:strCache>
            </c:strRef>
          </c:cat>
          <c:val>
            <c:numRef>
              <c:f>Graphs!$AC$104:$AH$104</c:f>
              <c:numCache>
                <c:formatCode>_-* #,##0_-;\-* #,##0_-;_-* "-"??_-;_-@_-</c:formatCode>
                <c:ptCount val="6"/>
                <c:pt idx="0">
                  <c:v>75088.23000000001</c:v>
                </c:pt>
                <c:pt idx="1">
                  <c:v>44616.377207440004</c:v>
                </c:pt>
                <c:pt idx="2">
                  <c:v>87895.373227180011</c:v>
                </c:pt>
                <c:pt idx="3">
                  <c:v>193422.82999999952</c:v>
                </c:pt>
                <c:pt idx="4">
                  <c:v>119704.60720744001</c:v>
                </c:pt>
                <c:pt idx="5">
                  <c:v>162983.60322718002</c:v>
                </c:pt>
              </c:numCache>
            </c:numRef>
          </c:val>
        </c:ser>
        <c:dLbls>
          <c:showLegendKey val="0"/>
          <c:showVal val="0"/>
          <c:showCatName val="0"/>
          <c:showSerName val="0"/>
          <c:showPercent val="0"/>
          <c:showBubbleSize val="0"/>
        </c:dLbls>
        <c:gapWidth val="150"/>
        <c:axId val="362310272"/>
        <c:axId val="362316544"/>
      </c:barChart>
      <c:lineChart>
        <c:grouping val="standard"/>
        <c:varyColors val="0"/>
        <c:ser>
          <c:idx val="0"/>
          <c:order val="0"/>
          <c:tx>
            <c:strRef>
              <c:f>Graphs!$AB$103</c:f>
              <c:strCache>
                <c:ptCount val="1"/>
                <c:pt idx="0">
                  <c:v>Customer Count</c:v>
                </c:pt>
              </c:strCache>
            </c:strRef>
          </c:tx>
          <c:spPr>
            <a:ln>
              <a:noFill/>
            </a:ln>
          </c:spPr>
          <c:marker>
            <c:symbol val="dash"/>
            <c:size val="26"/>
            <c:spPr>
              <a:solidFill>
                <a:sysClr val="windowText" lastClr="000000"/>
              </a:solidFill>
              <a:ln>
                <a:noFill/>
              </a:ln>
            </c:spPr>
          </c:marker>
          <c:cat>
            <c:strRef>
              <c:f>Graphs!$AC$102:$AH$102</c:f>
              <c:strCache>
                <c:ptCount val="6"/>
                <c:pt idx="0">
                  <c:v>Powercor</c:v>
                </c:pt>
                <c:pt idx="1">
                  <c:v>AusNet</c:v>
                </c:pt>
                <c:pt idx="2">
                  <c:v>SA Power</c:v>
                </c:pt>
                <c:pt idx="3">
                  <c:v>Essential</c:v>
                </c:pt>
                <c:pt idx="4">
                  <c:v>AusNet + Powercor</c:v>
                </c:pt>
                <c:pt idx="5">
                  <c:v>SA Power + Powercor</c:v>
                </c:pt>
              </c:strCache>
            </c:strRef>
          </c:cat>
          <c:val>
            <c:numRef>
              <c:f>Graphs!$AC$103:$AH$103</c:f>
              <c:numCache>
                <c:formatCode>_-* #,##0_-;\-* #,##0_-;_-* "-"??_-;_-@_-</c:formatCode>
                <c:ptCount val="6"/>
                <c:pt idx="0">
                  <c:v>753913</c:v>
                </c:pt>
                <c:pt idx="1">
                  <c:v>681299</c:v>
                </c:pt>
                <c:pt idx="2">
                  <c:v>847766</c:v>
                </c:pt>
                <c:pt idx="3">
                  <c:v>844244</c:v>
                </c:pt>
                <c:pt idx="4">
                  <c:v>1435212</c:v>
                </c:pt>
                <c:pt idx="5">
                  <c:v>1601679</c:v>
                </c:pt>
              </c:numCache>
            </c:numRef>
          </c:val>
          <c:smooth val="0"/>
        </c:ser>
        <c:dLbls>
          <c:showLegendKey val="0"/>
          <c:showVal val="0"/>
          <c:showCatName val="0"/>
          <c:showSerName val="0"/>
          <c:showPercent val="0"/>
          <c:showBubbleSize val="0"/>
        </c:dLbls>
        <c:marker val="1"/>
        <c:smooth val="0"/>
        <c:axId val="362320640"/>
        <c:axId val="362318464"/>
      </c:lineChart>
      <c:catAx>
        <c:axId val="362310272"/>
        <c:scaling>
          <c:orientation val="minMax"/>
        </c:scaling>
        <c:delete val="0"/>
        <c:axPos val="b"/>
        <c:numFmt formatCode="_-* #,##0_-;\-* #,##0_-;_-* &quot;-&quot;??_-;_-@_-" sourceLinked="1"/>
        <c:majorTickMark val="out"/>
        <c:minorTickMark val="none"/>
        <c:tickLblPos val="nextTo"/>
        <c:crossAx val="362316544"/>
        <c:crosses val="autoZero"/>
        <c:auto val="1"/>
        <c:lblAlgn val="ctr"/>
        <c:lblOffset val="100"/>
        <c:noMultiLvlLbl val="0"/>
      </c:catAx>
      <c:valAx>
        <c:axId val="362316544"/>
        <c:scaling>
          <c:orientation val="minMax"/>
          <c:max val="200000"/>
        </c:scaling>
        <c:delete val="0"/>
        <c:axPos val="l"/>
        <c:majorGridlines>
          <c:spPr>
            <a:ln>
              <a:solidFill>
                <a:sysClr val="window" lastClr="FFFFFF">
                  <a:lumMod val="85000"/>
                </a:sysClr>
              </a:solidFill>
            </a:ln>
          </c:spPr>
        </c:majorGridlines>
        <c:title>
          <c:tx>
            <c:strRef>
              <c:f>Graphs!$AB$104</c:f>
              <c:strCache>
                <c:ptCount val="1"/>
                <c:pt idx="0">
                  <c:v>Total Line Length</c:v>
                </c:pt>
              </c:strCache>
            </c:strRef>
          </c:tx>
          <c:overlay val="0"/>
          <c:txPr>
            <a:bodyPr rot="-5400000" vert="horz"/>
            <a:lstStyle/>
            <a:p>
              <a:pPr>
                <a:defRPr/>
              </a:pPr>
              <a:endParaRPr lang="en-US"/>
            </a:p>
          </c:txPr>
        </c:title>
        <c:numFmt formatCode="_-* #,##0_-;\-* #,##0_-;_-* &quot;-&quot;??_-;_-@_-" sourceLinked="1"/>
        <c:majorTickMark val="out"/>
        <c:minorTickMark val="none"/>
        <c:tickLblPos val="nextTo"/>
        <c:crossAx val="362310272"/>
        <c:crosses val="autoZero"/>
        <c:crossBetween val="between"/>
      </c:valAx>
      <c:valAx>
        <c:axId val="362318464"/>
        <c:scaling>
          <c:orientation val="minMax"/>
        </c:scaling>
        <c:delete val="0"/>
        <c:axPos val="r"/>
        <c:title>
          <c:tx>
            <c:strRef>
              <c:f>Graphs!$AB$103</c:f>
              <c:strCache>
                <c:ptCount val="1"/>
                <c:pt idx="0">
                  <c:v>Customer Count</c:v>
                </c:pt>
              </c:strCache>
            </c:strRef>
          </c:tx>
          <c:overlay val="0"/>
          <c:txPr>
            <a:bodyPr rot="-5400000" vert="horz"/>
            <a:lstStyle/>
            <a:p>
              <a:pPr>
                <a:defRPr/>
              </a:pPr>
              <a:endParaRPr lang="en-US"/>
            </a:p>
          </c:txPr>
        </c:title>
        <c:numFmt formatCode="_-* #,##0_-;\-* #,##0_-;_-* &quot;-&quot;??_-;_-@_-" sourceLinked="1"/>
        <c:majorTickMark val="out"/>
        <c:minorTickMark val="none"/>
        <c:tickLblPos val="nextTo"/>
        <c:crossAx val="362320640"/>
        <c:crosses val="max"/>
        <c:crossBetween val="between"/>
      </c:valAx>
      <c:catAx>
        <c:axId val="362320640"/>
        <c:scaling>
          <c:orientation val="minMax"/>
        </c:scaling>
        <c:delete val="1"/>
        <c:axPos val="b"/>
        <c:majorTickMark val="out"/>
        <c:minorTickMark val="none"/>
        <c:tickLblPos val="nextTo"/>
        <c:crossAx val="362318464"/>
        <c:crosses val="autoZero"/>
        <c:auto val="1"/>
        <c:lblAlgn val="ctr"/>
        <c:lblOffset val="100"/>
        <c:noMultiLvlLbl val="0"/>
      </c:catAx>
      <c:spPr>
        <a:noFill/>
        <a:ln w="25400">
          <a:noFill/>
        </a:ln>
      </c:spPr>
    </c:plotArea>
    <c:legend>
      <c:legendPos val="t"/>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Graphs!$T$143</c:f>
              <c:strCache>
                <c:ptCount val="1"/>
                <c:pt idx="0">
                  <c:v>Powercor</c:v>
                </c:pt>
              </c:strCache>
            </c:strRef>
          </c:tx>
          <c:spPr>
            <a:solidFill>
              <a:schemeClr val="accent2"/>
            </a:solidFill>
          </c:spPr>
          <c:invertIfNegative val="0"/>
          <c:cat>
            <c:strRef>
              <c:f>Graphs!$S$144</c:f>
              <c:strCache>
                <c:ptCount val="1"/>
                <c:pt idx="0">
                  <c:v>Switchgear</c:v>
                </c:pt>
              </c:strCache>
            </c:strRef>
          </c:cat>
          <c:val>
            <c:numRef>
              <c:f>Graphs!$T$144</c:f>
              <c:numCache>
                <c:formatCode>_(* #,##0.00_);_(* \(#,##0.00\);_(* "-"??_);_(@_)</c:formatCode>
                <c:ptCount val="1"/>
                <c:pt idx="0">
                  <c:v>19.364807392400635</c:v>
                </c:pt>
              </c:numCache>
            </c:numRef>
          </c:val>
        </c:ser>
        <c:ser>
          <c:idx val="1"/>
          <c:order val="1"/>
          <c:tx>
            <c:strRef>
              <c:f>Graphs!$U$143</c:f>
              <c:strCache>
                <c:ptCount val="1"/>
                <c:pt idx="0">
                  <c:v>AusNet</c:v>
                </c:pt>
              </c:strCache>
            </c:strRef>
          </c:tx>
          <c:spPr>
            <a:solidFill>
              <a:schemeClr val="accent1"/>
            </a:solidFill>
          </c:spPr>
          <c:invertIfNegative val="0"/>
          <c:cat>
            <c:strRef>
              <c:f>Graphs!$S$144</c:f>
              <c:strCache>
                <c:ptCount val="1"/>
                <c:pt idx="0">
                  <c:v>Switchgear</c:v>
                </c:pt>
              </c:strCache>
            </c:strRef>
          </c:cat>
          <c:val>
            <c:numRef>
              <c:f>Graphs!$U$144</c:f>
              <c:numCache>
                <c:formatCode>_(* #,##0.00_);_(* \(#,##0.00\);_(* "-"??_);_(@_)</c:formatCode>
                <c:ptCount val="1"/>
                <c:pt idx="0">
                  <c:v>24.71103148423121</c:v>
                </c:pt>
              </c:numCache>
            </c:numRef>
          </c:val>
        </c:ser>
        <c:ser>
          <c:idx val="3"/>
          <c:order val="2"/>
          <c:tx>
            <c:strRef>
              <c:f>Graphs!$V$143</c:f>
              <c:strCache>
                <c:ptCount val="1"/>
                <c:pt idx="0">
                  <c:v>SA Power</c:v>
                </c:pt>
              </c:strCache>
            </c:strRef>
          </c:tx>
          <c:spPr>
            <a:solidFill>
              <a:schemeClr val="accent3"/>
            </a:solidFill>
          </c:spPr>
          <c:invertIfNegative val="0"/>
          <c:cat>
            <c:strRef>
              <c:f>Graphs!$S$144</c:f>
              <c:strCache>
                <c:ptCount val="1"/>
                <c:pt idx="0">
                  <c:v>Switchgear</c:v>
                </c:pt>
              </c:strCache>
            </c:strRef>
          </c:cat>
          <c:val>
            <c:numRef>
              <c:f>Graphs!$V$144</c:f>
              <c:numCache>
                <c:formatCode>_(* #,##0.00_);_(* \(#,##0.00\);_(* "-"??_);_(@_)</c:formatCode>
                <c:ptCount val="1"/>
                <c:pt idx="0">
                  <c:v>22.403631185475259</c:v>
                </c:pt>
              </c:numCache>
            </c:numRef>
          </c:val>
        </c:ser>
        <c:ser>
          <c:idx val="2"/>
          <c:order val="3"/>
          <c:tx>
            <c:strRef>
              <c:f>Graphs!$W$143</c:f>
              <c:strCache>
                <c:ptCount val="1"/>
                <c:pt idx="0">
                  <c:v>Essential</c:v>
                </c:pt>
              </c:strCache>
            </c:strRef>
          </c:tx>
          <c:spPr>
            <a:solidFill>
              <a:schemeClr val="accent6"/>
            </a:solidFill>
          </c:spPr>
          <c:invertIfNegative val="0"/>
          <c:cat>
            <c:strRef>
              <c:f>Graphs!$S$144</c:f>
              <c:strCache>
                <c:ptCount val="1"/>
                <c:pt idx="0">
                  <c:v>Switchgear</c:v>
                </c:pt>
              </c:strCache>
            </c:strRef>
          </c:cat>
          <c:val>
            <c:numRef>
              <c:f>Graphs!$W$144</c:f>
              <c:numCache>
                <c:formatCode>_(* #,##0.00_);_(* \(#,##0.00\);_(* "-"??_);_(@_)</c:formatCode>
                <c:ptCount val="1"/>
                <c:pt idx="0">
                  <c:v>27.995995678145437</c:v>
                </c:pt>
              </c:numCache>
            </c:numRef>
          </c:val>
        </c:ser>
        <c:ser>
          <c:idx val="4"/>
          <c:order val="4"/>
          <c:tx>
            <c:strRef>
              <c:f>Graphs!$X$143</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Graphs!$S$144</c:f>
              <c:strCache>
                <c:ptCount val="1"/>
                <c:pt idx="0">
                  <c:v>Switchgear</c:v>
                </c:pt>
              </c:strCache>
            </c:strRef>
          </c:cat>
          <c:val>
            <c:numRef>
              <c:f>Graphs!$X$144</c:f>
              <c:numCache>
                <c:formatCode>_(* #,##0.00_);_(* \(#,##0.00\);_(* "-"??_);_(@_)</c:formatCode>
                <c:ptCount val="1"/>
                <c:pt idx="0">
                  <c:v>20.684791580685101</c:v>
                </c:pt>
              </c:numCache>
            </c:numRef>
          </c:val>
        </c:ser>
        <c:ser>
          <c:idx val="5"/>
          <c:order val="5"/>
          <c:tx>
            <c:strRef>
              <c:f>Graphs!$Y$143</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Graphs!$S$144</c:f>
              <c:strCache>
                <c:ptCount val="1"/>
                <c:pt idx="0">
                  <c:v>Switchgear</c:v>
                </c:pt>
              </c:strCache>
            </c:strRef>
          </c:cat>
          <c:val>
            <c:numRef>
              <c:f>Graphs!$Y$144</c:f>
              <c:numCache>
                <c:formatCode>_(* #,##0.00_);_(* \(#,##0.00\);_(* "-"??_);_(@_)</c:formatCode>
                <c:ptCount val="1"/>
                <c:pt idx="0">
                  <c:v>19.484326519182304</c:v>
                </c:pt>
              </c:numCache>
            </c:numRef>
          </c:val>
        </c:ser>
        <c:dLbls>
          <c:showLegendKey val="0"/>
          <c:showVal val="0"/>
          <c:showCatName val="0"/>
          <c:showSerName val="0"/>
          <c:showPercent val="0"/>
          <c:showBubbleSize val="0"/>
        </c:dLbls>
        <c:gapWidth val="150"/>
        <c:axId val="362242432"/>
        <c:axId val="362243968"/>
      </c:barChart>
      <c:catAx>
        <c:axId val="362242432"/>
        <c:scaling>
          <c:orientation val="minMax"/>
        </c:scaling>
        <c:delete val="1"/>
        <c:axPos val="b"/>
        <c:numFmt formatCode="General" sourceLinked="1"/>
        <c:majorTickMark val="out"/>
        <c:minorTickMark val="none"/>
        <c:tickLblPos val="nextTo"/>
        <c:crossAx val="362243968"/>
        <c:crosses val="autoZero"/>
        <c:auto val="1"/>
        <c:lblAlgn val="ctr"/>
        <c:lblOffset val="100"/>
        <c:noMultiLvlLbl val="0"/>
      </c:catAx>
      <c:valAx>
        <c:axId val="362243968"/>
        <c:scaling>
          <c:orientation val="minMax"/>
        </c:scaling>
        <c:delete val="0"/>
        <c:axPos val="l"/>
        <c:majorGridlines/>
        <c:title>
          <c:tx>
            <c:strRef>
              <c:f>Graphs!$S$143</c:f>
              <c:strCache>
                <c:ptCount val="1"/>
                <c:pt idx="0">
                  <c:v>Switchgear Average Age (Years)</c:v>
                </c:pt>
              </c:strCache>
            </c:strRef>
          </c:tx>
          <c:overlay val="0"/>
          <c:txPr>
            <a:bodyPr rot="-5400000" vert="horz"/>
            <a:lstStyle/>
            <a:p>
              <a:pPr>
                <a:defRPr/>
              </a:pPr>
              <a:endParaRPr lang="en-US"/>
            </a:p>
          </c:txPr>
        </c:title>
        <c:numFmt formatCode="_(* #,##0.00_);_(* \(#,##0.00\);_(* &quot;-&quot;??_);_(@_)" sourceLinked="1"/>
        <c:majorTickMark val="out"/>
        <c:minorTickMark val="none"/>
        <c:tickLblPos val="nextTo"/>
        <c:crossAx val="362242432"/>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title>
      <c:tx>
        <c:strRef>
          <c:f>Graphs!$Q$143</c:f>
          <c:strCache>
            <c:ptCount val="1"/>
            <c:pt idx="0">
              <c:v> OH Cond - Average Age </c:v>
            </c:pt>
          </c:strCache>
        </c:strRef>
      </c:tx>
      <c:overlay val="0"/>
      <c:txPr>
        <a:bodyPr/>
        <a:lstStyle/>
        <a:p>
          <a:pPr>
            <a:defRPr sz="1400"/>
          </a:pPr>
          <a:endParaRPr lang="en-US"/>
        </a:p>
      </c:txPr>
    </c:title>
    <c:autoTitleDeleted val="0"/>
    <c:plotArea>
      <c:layout/>
      <c:barChart>
        <c:barDir val="col"/>
        <c:grouping val="clustered"/>
        <c:varyColors val="0"/>
        <c:ser>
          <c:idx val="0"/>
          <c:order val="0"/>
          <c:tx>
            <c:strRef>
              <c:f>Graphs!$K$143</c:f>
              <c:strCache>
                <c:ptCount val="1"/>
                <c:pt idx="0">
                  <c:v>Powercor</c:v>
                </c:pt>
              </c:strCache>
            </c:strRef>
          </c:tx>
          <c:spPr>
            <a:solidFill>
              <a:schemeClr val="accent2"/>
            </a:solidFill>
          </c:spPr>
          <c:invertIfNegative val="0"/>
          <c:cat>
            <c:strRef>
              <c:f>Graphs!$J$144</c:f>
              <c:strCache>
                <c:ptCount val="1"/>
                <c:pt idx="0">
                  <c:v>OH Cond</c:v>
                </c:pt>
              </c:strCache>
            </c:strRef>
          </c:cat>
          <c:val>
            <c:numRef>
              <c:f>Graphs!$K$144</c:f>
              <c:numCache>
                <c:formatCode>_(* #,##0.00_);_(* \(#,##0.00\);_(* "-"??_);_(@_)</c:formatCode>
                <c:ptCount val="1"/>
                <c:pt idx="0">
                  <c:v>35.386844868984682</c:v>
                </c:pt>
              </c:numCache>
            </c:numRef>
          </c:val>
        </c:ser>
        <c:ser>
          <c:idx val="1"/>
          <c:order val="1"/>
          <c:tx>
            <c:strRef>
              <c:f>Graphs!$L$143</c:f>
              <c:strCache>
                <c:ptCount val="1"/>
                <c:pt idx="0">
                  <c:v>AusNet</c:v>
                </c:pt>
              </c:strCache>
            </c:strRef>
          </c:tx>
          <c:spPr>
            <a:solidFill>
              <a:schemeClr val="accent1"/>
            </a:solidFill>
          </c:spPr>
          <c:invertIfNegative val="0"/>
          <c:cat>
            <c:strRef>
              <c:f>Graphs!$J$144</c:f>
              <c:strCache>
                <c:ptCount val="1"/>
                <c:pt idx="0">
                  <c:v>OH Cond</c:v>
                </c:pt>
              </c:strCache>
            </c:strRef>
          </c:cat>
          <c:val>
            <c:numRef>
              <c:f>Graphs!$L$144</c:f>
              <c:numCache>
                <c:formatCode>_(* #,##0.00_);_(* \(#,##0.00\);_(* "-"??_);_(@_)</c:formatCode>
                <c:ptCount val="1"/>
                <c:pt idx="0">
                  <c:v>36.924893349534138</c:v>
                </c:pt>
              </c:numCache>
            </c:numRef>
          </c:val>
        </c:ser>
        <c:ser>
          <c:idx val="3"/>
          <c:order val="2"/>
          <c:tx>
            <c:strRef>
              <c:f>Graphs!$M$143</c:f>
              <c:strCache>
                <c:ptCount val="1"/>
                <c:pt idx="0">
                  <c:v>SA Power</c:v>
                </c:pt>
              </c:strCache>
            </c:strRef>
          </c:tx>
          <c:spPr>
            <a:solidFill>
              <a:schemeClr val="accent3"/>
            </a:solidFill>
          </c:spPr>
          <c:invertIfNegative val="0"/>
          <c:cat>
            <c:strRef>
              <c:f>Graphs!$J$144</c:f>
              <c:strCache>
                <c:ptCount val="1"/>
                <c:pt idx="0">
                  <c:v>OH Cond</c:v>
                </c:pt>
              </c:strCache>
            </c:strRef>
          </c:cat>
          <c:val>
            <c:numRef>
              <c:f>Graphs!$M$144</c:f>
              <c:numCache>
                <c:formatCode>_(* #,##0.00_);_(* \(#,##0.00\);_(* "-"??_);_(@_)</c:formatCode>
                <c:ptCount val="1"/>
                <c:pt idx="0">
                  <c:v>50.280401992419691</c:v>
                </c:pt>
              </c:numCache>
            </c:numRef>
          </c:val>
        </c:ser>
        <c:ser>
          <c:idx val="2"/>
          <c:order val="3"/>
          <c:tx>
            <c:strRef>
              <c:f>Graphs!$N$143</c:f>
              <c:strCache>
                <c:ptCount val="1"/>
                <c:pt idx="0">
                  <c:v>Essential</c:v>
                </c:pt>
              </c:strCache>
            </c:strRef>
          </c:tx>
          <c:spPr>
            <a:solidFill>
              <a:schemeClr val="accent6"/>
            </a:solidFill>
          </c:spPr>
          <c:invertIfNegative val="0"/>
          <c:cat>
            <c:strRef>
              <c:f>Graphs!$J$144</c:f>
              <c:strCache>
                <c:ptCount val="1"/>
                <c:pt idx="0">
                  <c:v>OH Cond</c:v>
                </c:pt>
              </c:strCache>
            </c:strRef>
          </c:cat>
          <c:val>
            <c:numRef>
              <c:f>Graphs!$N$144</c:f>
              <c:numCache>
                <c:formatCode>_(* #,##0.00_);_(* \(#,##0.00\);_(* "-"??_);_(@_)</c:formatCode>
                <c:ptCount val="1"/>
                <c:pt idx="0">
                  <c:v>42.9181310036874</c:v>
                </c:pt>
              </c:numCache>
            </c:numRef>
          </c:val>
        </c:ser>
        <c:ser>
          <c:idx val="4"/>
          <c:order val="4"/>
          <c:tx>
            <c:strRef>
              <c:f>Graphs!$O$143</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Graphs!$J$144</c:f>
              <c:strCache>
                <c:ptCount val="1"/>
                <c:pt idx="0">
                  <c:v>OH Cond</c:v>
                </c:pt>
              </c:strCache>
            </c:strRef>
          </c:cat>
          <c:val>
            <c:numRef>
              <c:f>Graphs!$O$144</c:f>
              <c:numCache>
                <c:formatCode>_(* #,##0.00_);_(* \(#,##0.00\);_(* "-"??_);_(@_)</c:formatCode>
                <c:ptCount val="1"/>
                <c:pt idx="0">
                  <c:v>35.93800676991625</c:v>
                </c:pt>
              </c:numCache>
            </c:numRef>
          </c:val>
        </c:ser>
        <c:ser>
          <c:idx val="5"/>
          <c:order val="5"/>
          <c:tx>
            <c:strRef>
              <c:f>Graphs!$P$143</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Graphs!$J$144</c:f>
              <c:strCache>
                <c:ptCount val="1"/>
                <c:pt idx="0">
                  <c:v>OH Cond</c:v>
                </c:pt>
              </c:strCache>
            </c:strRef>
          </c:cat>
          <c:val>
            <c:numRef>
              <c:f>Graphs!$P$144</c:f>
              <c:numCache>
                <c:formatCode>_(* #,##0.00_);_(* \(#,##0.00\);_(* "-"??_);_(@_)</c:formatCode>
                <c:ptCount val="1"/>
                <c:pt idx="0">
                  <c:v>46.062893720743219</c:v>
                </c:pt>
              </c:numCache>
            </c:numRef>
          </c:val>
        </c:ser>
        <c:dLbls>
          <c:showLegendKey val="0"/>
          <c:showVal val="0"/>
          <c:showCatName val="0"/>
          <c:showSerName val="0"/>
          <c:showPercent val="0"/>
          <c:showBubbleSize val="0"/>
        </c:dLbls>
        <c:gapWidth val="150"/>
        <c:axId val="362559360"/>
        <c:axId val="362560896"/>
      </c:barChart>
      <c:catAx>
        <c:axId val="362559360"/>
        <c:scaling>
          <c:orientation val="minMax"/>
        </c:scaling>
        <c:delete val="1"/>
        <c:axPos val="b"/>
        <c:numFmt formatCode="General" sourceLinked="1"/>
        <c:majorTickMark val="out"/>
        <c:minorTickMark val="none"/>
        <c:tickLblPos val="nextTo"/>
        <c:crossAx val="362560896"/>
        <c:crosses val="autoZero"/>
        <c:auto val="1"/>
        <c:lblAlgn val="ctr"/>
        <c:lblOffset val="100"/>
        <c:noMultiLvlLbl val="0"/>
      </c:catAx>
      <c:valAx>
        <c:axId val="362560896"/>
        <c:scaling>
          <c:orientation val="minMax"/>
        </c:scaling>
        <c:delete val="0"/>
        <c:axPos val="l"/>
        <c:majorGridlines/>
        <c:title>
          <c:tx>
            <c:rich>
              <a:bodyPr rot="-5400000" vert="horz"/>
              <a:lstStyle/>
              <a:p>
                <a:pPr>
                  <a:defRPr/>
                </a:pPr>
                <a:r>
                  <a:rPr lang="en-US"/>
                  <a:t>Years</a:t>
                </a:r>
              </a:p>
            </c:rich>
          </c:tx>
          <c:overlay val="0"/>
        </c:title>
        <c:numFmt formatCode="_(* #,##0.00_);_(* \(#,##0.00\);_(* &quot;-&quot;??_);_(@_)" sourceLinked="1"/>
        <c:majorTickMark val="out"/>
        <c:minorTickMark val="none"/>
        <c:tickLblPos val="nextTo"/>
        <c:crossAx val="362559360"/>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Graphs!$K$122</c:f>
              <c:strCache>
                <c:ptCount val="1"/>
                <c:pt idx="0">
                  <c:v>Powercor</c:v>
                </c:pt>
              </c:strCache>
            </c:strRef>
          </c:tx>
          <c:spPr>
            <a:solidFill>
              <a:schemeClr val="accent2"/>
            </a:solidFill>
          </c:spPr>
          <c:invertIfNegative val="0"/>
          <c:cat>
            <c:strRef>
              <c:f>Graphs!$J$123</c:f>
              <c:strCache>
                <c:ptCount val="1"/>
                <c:pt idx="0">
                  <c:v>Total Route Length</c:v>
                </c:pt>
              </c:strCache>
            </c:strRef>
          </c:cat>
          <c:val>
            <c:numRef>
              <c:f>Graphs!$K$123</c:f>
              <c:numCache>
                <c:formatCode>"$"#,##0_);\("$"#,##0\)</c:formatCode>
                <c:ptCount val="1"/>
                <c:pt idx="0">
                  <c:v>675.43838649829434</c:v>
                </c:pt>
              </c:numCache>
            </c:numRef>
          </c:val>
        </c:ser>
        <c:ser>
          <c:idx val="1"/>
          <c:order val="1"/>
          <c:tx>
            <c:strRef>
              <c:f>Graphs!$L$122</c:f>
              <c:strCache>
                <c:ptCount val="1"/>
                <c:pt idx="0">
                  <c:v>AusNet</c:v>
                </c:pt>
              </c:strCache>
            </c:strRef>
          </c:tx>
          <c:spPr>
            <a:solidFill>
              <a:schemeClr val="accent1"/>
            </a:solidFill>
          </c:spPr>
          <c:invertIfNegative val="0"/>
          <c:cat>
            <c:strRef>
              <c:f>Graphs!$J$123</c:f>
              <c:strCache>
                <c:ptCount val="1"/>
                <c:pt idx="0">
                  <c:v>Total Route Length</c:v>
                </c:pt>
              </c:strCache>
            </c:strRef>
          </c:cat>
          <c:val>
            <c:numRef>
              <c:f>Graphs!$L$123</c:f>
              <c:numCache>
                <c:formatCode>"$"#,##0_);\("$"#,##0\)</c:formatCode>
                <c:ptCount val="1"/>
                <c:pt idx="0">
                  <c:v>1133.7792002770082</c:v>
                </c:pt>
              </c:numCache>
            </c:numRef>
          </c:val>
        </c:ser>
        <c:ser>
          <c:idx val="3"/>
          <c:order val="2"/>
          <c:tx>
            <c:strRef>
              <c:f>Graphs!$M$122</c:f>
              <c:strCache>
                <c:ptCount val="1"/>
                <c:pt idx="0">
                  <c:v>SA Power</c:v>
                </c:pt>
              </c:strCache>
            </c:strRef>
          </c:tx>
          <c:spPr>
            <a:solidFill>
              <a:schemeClr val="accent3"/>
            </a:solidFill>
          </c:spPr>
          <c:invertIfNegative val="0"/>
          <c:cat>
            <c:strRef>
              <c:f>Graphs!$J$123</c:f>
              <c:strCache>
                <c:ptCount val="1"/>
                <c:pt idx="0">
                  <c:v>Total Route Length</c:v>
                </c:pt>
              </c:strCache>
            </c:strRef>
          </c:cat>
          <c:val>
            <c:numRef>
              <c:f>Graphs!$M$123</c:f>
              <c:numCache>
                <c:formatCode>"$"#,##0_);\("$"#,##0\)</c:formatCode>
                <c:ptCount val="1"/>
                <c:pt idx="0">
                  <c:v>488.38384460850165</c:v>
                </c:pt>
              </c:numCache>
            </c:numRef>
          </c:val>
        </c:ser>
        <c:ser>
          <c:idx val="2"/>
          <c:order val="3"/>
          <c:tx>
            <c:strRef>
              <c:f>Graphs!$N$122</c:f>
              <c:strCache>
                <c:ptCount val="1"/>
                <c:pt idx="0">
                  <c:v>Essential</c:v>
                </c:pt>
              </c:strCache>
            </c:strRef>
          </c:tx>
          <c:spPr>
            <a:solidFill>
              <a:schemeClr val="accent6"/>
            </a:solidFill>
          </c:spPr>
          <c:invertIfNegative val="0"/>
          <c:cat>
            <c:strRef>
              <c:f>Graphs!$J$123</c:f>
              <c:strCache>
                <c:ptCount val="1"/>
                <c:pt idx="0">
                  <c:v>Total Route Length</c:v>
                </c:pt>
              </c:strCache>
            </c:strRef>
          </c:cat>
          <c:val>
            <c:numRef>
              <c:f>Graphs!$N$123</c:f>
              <c:numCache>
                <c:formatCode>"$"#,##0_);\("$"#,##0\)</c:formatCode>
                <c:ptCount val="1"/>
                <c:pt idx="0">
                  <c:v>646.77865173923635</c:v>
                </c:pt>
              </c:numCache>
            </c:numRef>
          </c:val>
        </c:ser>
        <c:ser>
          <c:idx val="4"/>
          <c:order val="4"/>
          <c:tx>
            <c:strRef>
              <c:f>Graphs!$O$122</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Graphs!$J$123</c:f>
              <c:strCache>
                <c:ptCount val="1"/>
                <c:pt idx="0">
                  <c:v>Total Route Length</c:v>
                </c:pt>
              </c:strCache>
            </c:strRef>
          </c:cat>
          <c:val>
            <c:numRef>
              <c:f>Graphs!$O$123</c:f>
              <c:numCache>
                <c:formatCode>"$"#,##0_);\("$"#,##0\)</c:formatCode>
                <c:ptCount val="1"/>
                <c:pt idx="0">
                  <c:v>830.86845451444151</c:v>
                </c:pt>
              </c:numCache>
            </c:numRef>
          </c:val>
        </c:ser>
        <c:ser>
          <c:idx val="5"/>
          <c:order val="5"/>
          <c:tx>
            <c:strRef>
              <c:f>Graphs!$P$122</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Graphs!$J$123</c:f>
              <c:strCache>
                <c:ptCount val="1"/>
                <c:pt idx="0">
                  <c:v>Total Route Length</c:v>
                </c:pt>
              </c:strCache>
            </c:strRef>
          </c:cat>
          <c:val>
            <c:numRef>
              <c:f>Graphs!$P$123</c:f>
              <c:numCache>
                <c:formatCode>"$"#,##0_);\("$"#,##0\)</c:formatCode>
                <c:ptCount val="1"/>
                <c:pt idx="0">
                  <c:v>572.87207801423233</c:v>
                </c:pt>
              </c:numCache>
            </c:numRef>
          </c:val>
        </c:ser>
        <c:dLbls>
          <c:showLegendKey val="0"/>
          <c:showVal val="0"/>
          <c:showCatName val="0"/>
          <c:showSerName val="0"/>
          <c:showPercent val="0"/>
          <c:showBubbleSize val="0"/>
        </c:dLbls>
        <c:gapWidth val="150"/>
        <c:axId val="362491904"/>
        <c:axId val="362493440"/>
      </c:barChart>
      <c:catAx>
        <c:axId val="362491904"/>
        <c:scaling>
          <c:orientation val="minMax"/>
        </c:scaling>
        <c:delete val="1"/>
        <c:axPos val="b"/>
        <c:majorTickMark val="out"/>
        <c:minorTickMark val="none"/>
        <c:tickLblPos val="nextTo"/>
        <c:crossAx val="362493440"/>
        <c:crosses val="autoZero"/>
        <c:auto val="1"/>
        <c:lblAlgn val="ctr"/>
        <c:lblOffset val="100"/>
        <c:noMultiLvlLbl val="0"/>
      </c:catAx>
      <c:valAx>
        <c:axId val="362493440"/>
        <c:scaling>
          <c:orientation val="minMax"/>
        </c:scaling>
        <c:delete val="0"/>
        <c:axPos val="l"/>
        <c:majorGridlines/>
        <c:title>
          <c:tx>
            <c:strRef>
              <c:f>Graphs!$J$122</c:f>
              <c:strCache>
                <c:ptCount val="1"/>
                <c:pt idx="0">
                  <c:v>Veg Management 2012/13 Direct Opex per km (Total Route Length)</c:v>
                </c:pt>
              </c:strCache>
            </c:strRef>
          </c:tx>
          <c:overlay val="0"/>
          <c:txPr>
            <a:bodyPr rot="-5400000" vert="horz"/>
            <a:lstStyle/>
            <a:p>
              <a:pPr>
                <a:defRPr/>
              </a:pPr>
              <a:endParaRPr lang="en-US"/>
            </a:p>
          </c:txPr>
        </c:title>
        <c:numFmt formatCode="&quot;$&quot;#,##0_);\(&quot;$&quot;#,##0\)" sourceLinked="1"/>
        <c:majorTickMark val="out"/>
        <c:minorTickMark val="none"/>
        <c:tickLblPos val="nextTo"/>
        <c:crossAx val="362491904"/>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Unit_Rates_2013FY[[#Headers],[Category]]</c:f>
          <c:strCache>
            <c:ptCount val="1"/>
            <c:pt idx="0">
              <c:v>Category</c:v>
            </c:pt>
          </c:strCache>
        </c:strRef>
      </c:tx>
      <c:overlay val="0"/>
    </c:title>
    <c:autoTitleDeleted val="0"/>
    <c:plotArea>
      <c:layout/>
      <c:barChart>
        <c:barDir val="col"/>
        <c:grouping val="clustered"/>
        <c:varyColors val="0"/>
        <c:ser>
          <c:idx val="0"/>
          <c:order val="0"/>
          <c:tx>
            <c:strRef>
              <c:f>'REPEX Comparison'!$B$86</c:f>
              <c:strCache>
                <c:ptCount val="1"/>
                <c:pt idx="0">
                  <c:v>Ausgrid</c:v>
                </c:pt>
              </c:strCache>
            </c:strRef>
          </c:tx>
          <c:invertIfNegative val="0"/>
          <c:cat>
            <c:strRef>
              <c:f>'REPEX Comparison'!$A$87:$A$98</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Comparison'!$B$87:$B$98</c:f>
              <c:numCache>
                <c:formatCode>_-"$"* #,##0_-;\-"$"* #,##0_-;_-"$"* "-"??_-;_-@_-</c:formatCode>
                <c:ptCount val="12"/>
                <c:pt idx="0">
                  <c:v>1213.8902559055118</c:v>
                </c:pt>
                <c:pt idx="1">
                  <c:v>13901.38346931536</c:v>
                </c:pt>
                <c:pt idx="2">
                  <c:v>0</c:v>
                </c:pt>
                <c:pt idx="3">
                  <c:v>21656.570512820512</c:v>
                </c:pt>
                <c:pt idx="4">
                  <c:v>1610684.5425867508</c:v>
                </c:pt>
                <c:pt idx="5">
                  <c:v>739.83993488876831</c:v>
                </c:pt>
                <c:pt idx="6">
                  <c:v>263287.43545611016</c:v>
                </c:pt>
                <c:pt idx="7">
                  <c:v>126751.726860075</c:v>
                </c:pt>
                <c:pt idx="8">
                  <c:v>1086.7413541159278</c:v>
                </c:pt>
                <c:pt idx="9">
                  <c:v>144.85594854822853</c:v>
                </c:pt>
                <c:pt idx="10">
                  <c:v>293913.33333333331</c:v>
                </c:pt>
                <c:pt idx="11">
                  <c:v>59917.181296868104</c:v>
                </c:pt>
              </c:numCache>
            </c:numRef>
          </c:val>
        </c:ser>
        <c:ser>
          <c:idx val="1"/>
          <c:order val="1"/>
          <c:tx>
            <c:strRef>
              <c:f>'REPEX Comparison'!$C$86</c:f>
              <c:strCache>
                <c:ptCount val="1"/>
                <c:pt idx="0">
                  <c:v>Ergon</c:v>
                </c:pt>
              </c:strCache>
            </c:strRef>
          </c:tx>
          <c:invertIfNegative val="0"/>
          <c:cat>
            <c:strRef>
              <c:f>'REPEX Comparison'!$A$87:$A$98</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Comparison'!$C$87:$C$98</c:f>
              <c:numCache>
                <c:formatCode>_-"$"* #,##0_-;\-"$"* #,##0_-;_-"$"* "-"??_-;_-@_-</c:formatCode>
                <c:ptCount val="12"/>
                <c:pt idx="0">
                  <c:v>1354.4783715818396</c:v>
                </c:pt>
                <c:pt idx="1">
                  <c:v>4312.2114649745527</c:v>
                </c:pt>
                <c:pt idx="2">
                  <c:v>1143.212465396517</c:v>
                </c:pt>
                <c:pt idx="3">
                  <c:v>99896.877402826227</c:v>
                </c:pt>
                <c:pt idx="4">
                  <c:v>197310.81703668204</c:v>
                </c:pt>
                <c:pt idx="5">
                  <c:v>1332.1270852545554</c:v>
                </c:pt>
                <c:pt idx="6">
                  <c:v>22266.56993433036</c:v>
                </c:pt>
                <c:pt idx="7">
                  <c:v>1513.0154360237696</c:v>
                </c:pt>
                <c:pt idx="8">
                  <c:v>267.4445398380567</c:v>
                </c:pt>
                <c:pt idx="9">
                  <c:v>142.1715669085884</c:v>
                </c:pt>
                <c:pt idx="10">
                  <c:v>31599.667632588804</c:v>
                </c:pt>
                <c:pt idx="11">
                  <c:v>95057.206544067813</c:v>
                </c:pt>
              </c:numCache>
            </c:numRef>
          </c:val>
        </c:ser>
        <c:ser>
          <c:idx val="2"/>
          <c:order val="2"/>
          <c:tx>
            <c:strRef>
              <c:f>'REPEX Comparison'!$D$86</c:f>
              <c:strCache>
                <c:ptCount val="1"/>
                <c:pt idx="0">
                  <c:v>Endeavour</c:v>
                </c:pt>
              </c:strCache>
            </c:strRef>
          </c:tx>
          <c:invertIfNegative val="0"/>
          <c:cat>
            <c:strRef>
              <c:f>'REPEX Comparison'!$A$87:$A$98</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Comparison'!$D$87:$D$98</c:f>
              <c:numCache>
                <c:formatCode>_-"$"* #,##0_-;\-"$"* #,##0_-;_-"$"* "-"??_-;_-@_-</c:formatCode>
                <c:ptCount val="12"/>
                <c:pt idx="0">
                  <c:v>0</c:v>
                </c:pt>
                <c:pt idx="1">
                  <c:v>11119.468166032744</c:v>
                </c:pt>
                <c:pt idx="2">
                  <c:v>0</c:v>
                </c:pt>
                <c:pt idx="3">
                  <c:v>116498.91667795903</c:v>
                </c:pt>
                <c:pt idx="4">
                  <c:v>52340.134313454051</c:v>
                </c:pt>
                <c:pt idx="5">
                  <c:v>417.33406666666667</c:v>
                </c:pt>
                <c:pt idx="6">
                  <c:v>59610.234627831713</c:v>
                </c:pt>
                <c:pt idx="7">
                  <c:v>8451.3199883957059</c:v>
                </c:pt>
                <c:pt idx="8">
                  <c:v>6230.3449735449722</c:v>
                </c:pt>
                <c:pt idx="9">
                  <c:v>0</c:v>
                </c:pt>
                <c:pt idx="10">
                  <c:v>147988.7743902439</c:v>
                </c:pt>
                <c:pt idx="11">
                  <c:v>301071.31062944478</c:v>
                </c:pt>
              </c:numCache>
            </c:numRef>
          </c:val>
        </c:ser>
        <c:ser>
          <c:idx val="3"/>
          <c:order val="3"/>
          <c:tx>
            <c:strRef>
              <c:f>'REPEX Comparison'!$E$86</c:f>
              <c:strCache>
                <c:ptCount val="1"/>
                <c:pt idx="0">
                  <c:v>Powercor</c:v>
                </c:pt>
              </c:strCache>
            </c:strRef>
          </c:tx>
          <c:invertIfNegative val="0"/>
          <c:cat>
            <c:strRef>
              <c:f>'REPEX Comparison'!$A$87:$A$98</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Comparison'!$E$87:$E$98</c:f>
              <c:numCache>
                <c:formatCode>_-"$"* #,##0_-;\-"$"* #,##0_-;_-"$"* "-"??_-;_-@_-</c:formatCode>
                <c:ptCount val="12"/>
                <c:pt idx="0">
                  <c:v>827.71058315334778</c:v>
                </c:pt>
                <c:pt idx="1">
                  <c:v>9879.5601292304182</c:v>
                </c:pt>
                <c:pt idx="2">
                  <c:v>2680.3848508745286</c:v>
                </c:pt>
                <c:pt idx="3">
                  <c:v>50468.519973862763</c:v>
                </c:pt>
                <c:pt idx="4">
                  <c:v>185067.96510797841</c:v>
                </c:pt>
                <c:pt idx="5">
                  <c:v>25348.846285377105</c:v>
                </c:pt>
                <c:pt idx="6">
                  <c:v>10865.485981946014</c:v>
                </c:pt>
                <c:pt idx="7">
                  <c:v>3325.3541501230352</c:v>
                </c:pt>
                <c:pt idx="8">
                  <c:v>3936.2383885065856</c:v>
                </c:pt>
                <c:pt idx="9">
                  <c:v>5189.3225038690607</c:v>
                </c:pt>
                <c:pt idx="10">
                  <c:v>37962.176835443039</c:v>
                </c:pt>
                <c:pt idx="11">
                  <c:v>123.3253298699186</c:v>
                </c:pt>
              </c:numCache>
            </c:numRef>
          </c:val>
        </c:ser>
        <c:ser>
          <c:idx val="4"/>
          <c:order val="4"/>
          <c:tx>
            <c:strRef>
              <c:f>'REPEX Comparison'!$F$86</c:f>
              <c:strCache>
                <c:ptCount val="1"/>
                <c:pt idx="0">
                  <c:v>AusNet</c:v>
                </c:pt>
              </c:strCache>
            </c:strRef>
          </c:tx>
          <c:invertIfNegative val="0"/>
          <c:cat>
            <c:strRef>
              <c:f>'REPEX Comparison'!$A$87:$A$98</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Comparison'!$F$87:$F$98</c:f>
              <c:numCache>
                <c:formatCode>_-"$"* #,##0_-;\-"$"* #,##0_-;_-"$"* "-"??_-;_-@_-</c:formatCode>
                <c:ptCount val="12"/>
                <c:pt idx="0">
                  <c:v>1528.8147448015122</c:v>
                </c:pt>
                <c:pt idx="1">
                  <c:v>8827.490024779052</c:v>
                </c:pt>
                <c:pt idx="2">
                  <c:v>3403.0690070396445</c:v>
                </c:pt>
                <c:pt idx="3">
                  <c:v>42156.092896174865</c:v>
                </c:pt>
                <c:pt idx="4">
                  <c:v>28161.408961625282</c:v>
                </c:pt>
                <c:pt idx="5">
                  <c:v>25794.200971944199</c:v>
                </c:pt>
                <c:pt idx="6">
                  <c:v>8608.7340641494102</c:v>
                </c:pt>
                <c:pt idx="7">
                  <c:v>14705.095094339622</c:v>
                </c:pt>
                <c:pt idx="8">
                  <c:v>0</c:v>
                </c:pt>
                <c:pt idx="9">
                  <c:v>0</c:v>
                </c:pt>
                <c:pt idx="10">
                  <c:v>4803.8813682678301</c:v>
                </c:pt>
                <c:pt idx="11">
                  <c:v>12634.734491315137</c:v>
                </c:pt>
              </c:numCache>
            </c:numRef>
          </c:val>
        </c:ser>
        <c:ser>
          <c:idx val="5"/>
          <c:order val="5"/>
          <c:tx>
            <c:strRef>
              <c:f>'REPEX Comparison'!$G$86</c:f>
              <c:strCache>
                <c:ptCount val="1"/>
                <c:pt idx="0">
                  <c:v>Essential (Original)</c:v>
                </c:pt>
              </c:strCache>
            </c:strRef>
          </c:tx>
          <c:invertIfNegative val="0"/>
          <c:cat>
            <c:strRef>
              <c:f>'REPEX Comparison'!$A$87:$A$98</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Comparison'!$G$87:$G$98</c:f>
              <c:numCache>
                <c:formatCode>_-"$"* #,##0_-;\-"$"* #,##0_-;_-"$"* "-"??_-;_-@_-</c:formatCode>
                <c:ptCount val="12"/>
                <c:pt idx="0">
                  <c:v>634.19681655133434</c:v>
                </c:pt>
                <c:pt idx="1">
                  <c:v>7178.5662784132301</c:v>
                </c:pt>
                <c:pt idx="2">
                  <c:v>4213.7662236509605</c:v>
                </c:pt>
                <c:pt idx="3">
                  <c:v>53625.991298403074</c:v>
                </c:pt>
                <c:pt idx="4">
                  <c:v>3872194.9231104483</c:v>
                </c:pt>
                <c:pt idx="5">
                  <c:v>352.56066686948668</c:v>
                </c:pt>
                <c:pt idx="6">
                  <c:v>46455.049136555535</c:v>
                </c:pt>
                <c:pt idx="7">
                  <c:v>16116.051815123901</c:v>
                </c:pt>
                <c:pt idx="8">
                  <c:v>66.075250147533296</c:v>
                </c:pt>
                <c:pt idx="9">
                  <c:v>2337.0312392077362</c:v>
                </c:pt>
                <c:pt idx="10">
                  <c:v>137298.8269583004</c:v>
                </c:pt>
                <c:pt idx="11">
                  <c:v>0</c:v>
                </c:pt>
              </c:numCache>
            </c:numRef>
          </c:val>
        </c:ser>
        <c:ser>
          <c:idx val="6"/>
          <c:order val="6"/>
          <c:tx>
            <c:strRef>
              <c:f>'REPEX Comparison'!$H$86</c:f>
              <c:strCache>
                <c:ptCount val="1"/>
                <c:pt idx="0">
                  <c:v>Essential</c:v>
                </c:pt>
              </c:strCache>
            </c:strRef>
          </c:tx>
          <c:invertIfNegative val="0"/>
          <c:cat>
            <c:strRef>
              <c:f>'REPEX Comparison'!$A$87:$A$98</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Comparison'!$H$87:$H$98</c:f>
              <c:numCache>
                <c:formatCode>_-"$"* #,##0_-;\-"$"* #,##0_-;_-"$"* "-"??_-;_-@_-</c:formatCode>
                <c:ptCount val="12"/>
                <c:pt idx="0">
                  <c:v>634.19681655133434</c:v>
                </c:pt>
                <c:pt idx="1">
                  <c:v>7178.5662784132319</c:v>
                </c:pt>
                <c:pt idx="2">
                  <c:v>4213.7662236509605</c:v>
                </c:pt>
                <c:pt idx="3">
                  <c:v>53625.991298403074</c:v>
                </c:pt>
                <c:pt idx="4">
                  <c:v>3872194.9231104483</c:v>
                </c:pt>
                <c:pt idx="5">
                  <c:v>352.56066686948668</c:v>
                </c:pt>
                <c:pt idx="6">
                  <c:v>35572.857445935493</c:v>
                </c:pt>
                <c:pt idx="7">
                  <c:v>18427.743907368269</c:v>
                </c:pt>
                <c:pt idx="8">
                  <c:v>66.075250147533296</c:v>
                </c:pt>
                <c:pt idx="9">
                  <c:v>2337.0312392077362</c:v>
                </c:pt>
                <c:pt idx="10">
                  <c:v>137.2988269583004</c:v>
                </c:pt>
                <c:pt idx="11">
                  <c:v>114.15135104322866</c:v>
                </c:pt>
              </c:numCache>
            </c:numRef>
          </c:val>
        </c:ser>
        <c:ser>
          <c:idx val="7"/>
          <c:order val="7"/>
          <c:tx>
            <c:strRef>
              <c:f>'REPEX Comparison'!$I$86</c:f>
              <c:strCache>
                <c:ptCount val="1"/>
                <c:pt idx="0">
                  <c:v>SA Power</c:v>
                </c:pt>
              </c:strCache>
            </c:strRef>
          </c:tx>
          <c:invertIfNegative val="0"/>
          <c:cat>
            <c:strRef>
              <c:f>'REPEX Comparison'!$A$87:$A$98</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Comparison'!$I$87:$I$98</c:f>
              <c:numCache>
                <c:formatCode>_-"$"* #,##0_-;\-"$"* #,##0_-;_-"$"* "-"??_-;_-@_-</c:formatCode>
                <c:ptCount val="12"/>
                <c:pt idx="0">
                  <c:v>0</c:v>
                </c:pt>
                <c:pt idx="1">
                  <c:v>2914.4284869314397</c:v>
                </c:pt>
                <c:pt idx="2">
                  <c:v>1327.7016206673181</c:v>
                </c:pt>
                <c:pt idx="3">
                  <c:v>22908.116611322093</c:v>
                </c:pt>
                <c:pt idx="4">
                  <c:v>408347.18024463521</c:v>
                </c:pt>
                <c:pt idx="5">
                  <c:v>414.04111455391052</c:v>
                </c:pt>
                <c:pt idx="6">
                  <c:v>20425.439392241769</c:v>
                </c:pt>
                <c:pt idx="7">
                  <c:v>38275.208984189805</c:v>
                </c:pt>
                <c:pt idx="8">
                  <c:v>0</c:v>
                </c:pt>
                <c:pt idx="9">
                  <c:v>0</c:v>
                </c:pt>
                <c:pt idx="10">
                  <c:v>69370.853931829915</c:v>
                </c:pt>
                <c:pt idx="11">
                  <c:v>103293.69396895474</c:v>
                </c:pt>
              </c:numCache>
            </c:numRef>
          </c:val>
        </c:ser>
        <c:ser>
          <c:idx val="8"/>
          <c:order val="8"/>
          <c:tx>
            <c:strRef>
              <c:f>'REPEX Comparison'!$J$86</c:f>
              <c:strCache>
                <c:ptCount val="1"/>
                <c:pt idx="0">
                  <c:v>Source</c:v>
                </c:pt>
              </c:strCache>
            </c:strRef>
          </c:tx>
          <c:invertIfNegative val="0"/>
          <c:cat>
            <c:strRef>
              <c:f>'REPEX Comparison'!$A$87:$A$98</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Comparison'!$J$87:$J$98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9"/>
          <c:order val="9"/>
          <c:tx>
            <c:strRef>
              <c:f>'REPEX Comparison'!$K$86</c:f>
              <c:strCache>
                <c:ptCount val="1"/>
                <c:pt idx="0">
                  <c:v>Comments</c:v>
                </c:pt>
              </c:strCache>
            </c:strRef>
          </c:tx>
          <c:invertIfNegative val="0"/>
          <c:cat>
            <c:strRef>
              <c:f>'REPEX Comparison'!$A$87:$A$98</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Comparison'!$K$87:$K$98</c:f>
              <c:numCache>
                <c:formatCode>_-"$"* #,##0_-;\-"$"* #,##0_-;_-"$"* "-"??_-;_-@_-</c:formatCode>
                <c:ptCount val="12"/>
              </c:numCache>
            </c:numRef>
          </c:val>
        </c:ser>
        <c:dLbls>
          <c:showLegendKey val="0"/>
          <c:showVal val="0"/>
          <c:showCatName val="0"/>
          <c:showSerName val="0"/>
          <c:showPercent val="0"/>
          <c:showBubbleSize val="0"/>
        </c:dLbls>
        <c:gapWidth val="150"/>
        <c:axId val="355123968"/>
        <c:axId val="355125504"/>
      </c:barChart>
      <c:catAx>
        <c:axId val="355123968"/>
        <c:scaling>
          <c:orientation val="minMax"/>
        </c:scaling>
        <c:delete val="0"/>
        <c:axPos val="b"/>
        <c:majorTickMark val="out"/>
        <c:minorTickMark val="none"/>
        <c:tickLblPos val="nextTo"/>
        <c:crossAx val="355125504"/>
        <c:crosses val="autoZero"/>
        <c:auto val="1"/>
        <c:lblAlgn val="ctr"/>
        <c:lblOffset val="100"/>
        <c:noMultiLvlLbl val="0"/>
      </c:catAx>
      <c:valAx>
        <c:axId val="355125504"/>
        <c:scaling>
          <c:orientation val="minMax"/>
        </c:scaling>
        <c:delete val="0"/>
        <c:axPos val="l"/>
        <c:majorGridlines/>
        <c:numFmt formatCode="_-&quot;$&quot;* #,##0_-;\-&quot;$&quot;* #,##0_-;_-&quot;$&quot;* &quot;-&quot;??_-;_-@_-" sourceLinked="1"/>
        <c:majorTickMark val="out"/>
        <c:minorTickMark val="none"/>
        <c:tickLblPos val="nextTo"/>
        <c:crossAx val="3551239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Graphs!$B$143</c:f>
              <c:strCache>
                <c:ptCount val="1"/>
                <c:pt idx="0">
                  <c:v>Powercor</c:v>
                </c:pt>
              </c:strCache>
            </c:strRef>
          </c:tx>
          <c:spPr>
            <a:solidFill>
              <a:schemeClr val="accent2"/>
            </a:solidFill>
          </c:spPr>
          <c:invertIfNegative val="0"/>
          <c:cat>
            <c:strRef>
              <c:f>Graphs!$A$144</c:f>
              <c:strCache>
                <c:ptCount val="1"/>
                <c:pt idx="0">
                  <c:v>Total Line Length</c:v>
                </c:pt>
              </c:strCache>
            </c:strRef>
          </c:cat>
          <c:val>
            <c:numRef>
              <c:f>Graphs!$B$144</c:f>
              <c:numCache>
                <c:formatCode>_-"$"* #,##0_-;\-"$"* #,##0_-;_-"$"* "-"??_-;_-@_-</c:formatCode>
                <c:ptCount val="1"/>
                <c:pt idx="0">
                  <c:v>922.33049877139695</c:v>
                </c:pt>
              </c:numCache>
            </c:numRef>
          </c:val>
        </c:ser>
        <c:ser>
          <c:idx val="1"/>
          <c:order val="1"/>
          <c:tx>
            <c:strRef>
              <c:f>Graphs!$C$143</c:f>
              <c:strCache>
                <c:ptCount val="1"/>
                <c:pt idx="0">
                  <c:v>AusNet</c:v>
                </c:pt>
              </c:strCache>
            </c:strRef>
          </c:tx>
          <c:spPr>
            <a:solidFill>
              <a:schemeClr val="accent1"/>
            </a:solidFill>
          </c:spPr>
          <c:invertIfNegative val="0"/>
          <c:cat>
            <c:strRef>
              <c:f>Graphs!$A$144</c:f>
              <c:strCache>
                <c:ptCount val="1"/>
                <c:pt idx="0">
                  <c:v>Total Line Length</c:v>
                </c:pt>
              </c:strCache>
            </c:strRef>
          </c:cat>
          <c:val>
            <c:numRef>
              <c:f>Graphs!$C$144</c:f>
              <c:numCache>
                <c:formatCode>_-"$"* #,##0_-;\-"$"* #,##0_-;_-"$"* "-"??_-;_-@_-</c:formatCode>
                <c:ptCount val="1"/>
                <c:pt idx="0">
                  <c:v>1830.8617055295488</c:v>
                </c:pt>
              </c:numCache>
            </c:numRef>
          </c:val>
        </c:ser>
        <c:ser>
          <c:idx val="3"/>
          <c:order val="2"/>
          <c:tx>
            <c:strRef>
              <c:f>Graphs!$D$143</c:f>
              <c:strCache>
                <c:ptCount val="1"/>
                <c:pt idx="0">
                  <c:v>SA Power</c:v>
                </c:pt>
              </c:strCache>
            </c:strRef>
          </c:tx>
          <c:spPr>
            <a:solidFill>
              <a:schemeClr val="accent3"/>
            </a:solidFill>
          </c:spPr>
          <c:invertIfNegative val="0"/>
          <c:cat>
            <c:strRef>
              <c:f>Graphs!$A$144</c:f>
              <c:strCache>
                <c:ptCount val="1"/>
                <c:pt idx="0">
                  <c:v>Total Line Length</c:v>
                </c:pt>
              </c:strCache>
            </c:strRef>
          </c:cat>
          <c:val>
            <c:numRef>
              <c:f>Graphs!$D$144</c:f>
              <c:numCache>
                <c:formatCode>_-"$"* #,##0_-;\-"$"* #,##0_-;_-"$"* "-"??_-;_-@_-</c:formatCode>
                <c:ptCount val="1"/>
                <c:pt idx="0">
                  <c:v>617.77995821978891</c:v>
                </c:pt>
              </c:numCache>
            </c:numRef>
          </c:val>
        </c:ser>
        <c:ser>
          <c:idx val="2"/>
          <c:order val="3"/>
          <c:tx>
            <c:strRef>
              <c:f>Graphs!$E$143</c:f>
              <c:strCache>
                <c:ptCount val="1"/>
                <c:pt idx="0">
                  <c:v>Essential</c:v>
                </c:pt>
              </c:strCache>
            </c:strRef>
          </c:tx>
          <c:spPr>
            <a:solidFill>
              <a:schemeClr val="accent6"/>
            </a:solidFill>
          </c:spPr>
          <c:invertIfNegative val="0"/>
          <c:cat>
            <c:strRef>
              <c:f>Graphs!$A$144</c:f>
              <c:strCache>
                <c:ptCount val="1"/>
                <c:pt idx="0">
                  <c:v>Total Line Length</c:v>
                </c:pt>
              </c:strCache>
            </c:strRef>
          </c:cat>
          <c:val>
            <c:numRef>
              <c:f>Graphs!$E$144</c:f>
              <c:numCache>
                <c:formatCode>_-"$"* #,##0_-;\-"$"* #,##0_-;_-"$"* "-"??_-;_-@_-</c:formatCode>
                <c:ptCount val="1"/>
                <c:pt idx="0">
                  <c:v>622.90393523764146</c:v>
                </c:pt>
              </c:numCache>
            </c:numRef>
          </c:val>
        </c:ser>
        <c:ser>
          <c:idx val="4"/>
          <c:order val="4"/>
          <c:tx>
            <c:strRef>
              <c:f>Graphs!$F$143</c:f>
              <c:strCache>
                <c:ptCount val="1"/>
                <c:pt idx="0">
                  <c:v>AusNet + Powercor</c:v>
                </c:pt>
              </c:strCache>
            </c:strRef>
          </c:tx>
          <c:spPr>
            <a:gradFill>
              <a:gsLst>
                <a:gs pos="50000">
                  <a:schemeClr val="accent1">
                    <a:lumMod val="20000"/>
                    <a:lumOff val="80000"/>
                  </a:schemeClr>
                </a:gs>
                <a:gs pos="0">
                  <a:schemeClr val="accent1"/>
                </a:gs>
                <a:gs pos="100000">
                  <a:schemeClr val="accent2"/>
                </a:gs>
              </a:gsLst>
              <a:lin ang="5400000" scaled="0"/>
            </a:gradFill>
          </c:spPr>
          <c:invertIfNegative val="0"/>
          <c:cat>
            <c:strRef>
              <c:f>Graphs!$A$144</c:f>
              <c:strCache>
                <c:ptCount val="1"/>
                <c:pt idx="0">
                  <c:v>Total Line Length</c:v>
                </c:pt>
              </c:strCache>
            </c:strRef>
          </c:cat>
          <c:val>
            <c:numRef>
              <c:f>Graphs!$F$144</c:f>
              <c:numCache>
                <c:formatCode>_-"$"* #,##0_-;\-"$"* #,##0_-;_-"$"* "-"??_-;_-@_-</c:formatCode>
                <c:ptCount val="1"/>
                <c:pt idx="0">
                  <c:v>1260.9588270462418</c:v>
                </c:pt>
              </c:numCache>
            </c:numRef>
          </c:val>
        </c:ser>
        <c:ser>
          <c:idx val="5"/>
          <c:order val="5"/>
          <c:tx>
            <c:strRef>
              <c:f>Graphs!$G$143</c:f>
              <c:strCache>
                <c:ptCount val="1"/>
                <c:pt idx="0">
                  <c:v>SA Power + Powercor</c:v>
                </c:pt>
              </c:strCache>
            </c:strRef>
          </c:tx>
          <c:spPr>
            <a:gradFill>
              <a:gsLst>
                <a:gs pos="50000">
                  <a:schemeClr val="accent3">
                    <a:lumMod val="20000"/>
                    <a:lumOff val="80000"/>
                  </a:schemeClr>
                </a:gs>
                <a:gs pos="0">
                  <a:schemeClr val="accent3"/>
                </a:gs>
                <a:gs pos="100000">
                  <a:schemeClr val="accent2"/>
                </a:gs>
                <a:gs pos="100000">
                  <a:schemeClr val="accent3"/>
                </a:gs>
              </a:gsLst>
              <a:lin ang="5400000" scaled="0"/>
            </a:gradFill>
          </c:spPr>
          <c:invertIfNegative val="0"/>
          <c:cat>
            <c:strRef>
              <c:f>Graphs!$A$144</c:f>
              <c:strCache>
                <c:ptCount val="1"/>
                <c:pt idx="0">
                  <c:v>Total Line Length</c:v>
                </c:pt>
              </c:strCache>
            </c:strRef>
          </c:cat>
          <c:val>
            <c:numRef>
              <c:f>Graphs!$G$144</c:f>
              <c:numCache>
                <c:formatCode>_-"$"* #,##0_-;\-"$"* #,##0_-;_-"$"* "-"??_-;_-@_-</c:formatCode>
                <c:ptCount val="1"/>
                <c:pt idx="0">
                  <c:v>758.08953895526884</c:v>
                </c:pt>
              </c:numCache>
            </c:numRef>
          </c:val>
        </c:ser>
        <c:dLbls>
          <c:showLegendKey val="0"/>
          <c:showVal val="0"/>
          <c:showCatName val="0"/>
          <c:showSerName val="0"/>
          <c:showPercent val="0"/>
          <c:showBubbleSize val="0"/>
        </c:dLbls>
        <c:gapWidth val="150"/>
        <c:axId val="362612224"/>
        <c:axId val="362613760"/>
      </c:barChart>
      <c:catAx>
        <c:axId val="362612224"/>
        <c:scaling>
          <c:orientation val="minMax"/>
        </c:scaling>
        <c:delete val="1"/>
        <c:axPos val="b"/>
        <c:numFmt formatCode="General" sourceLinked="1"/>
        <c:majorTickMark val="out"/>
        <c:minorTickMark val="none"/>
        <c:tickLblPos val="nextTo"/>
        <c:crossAx val="362613760"/>
        <c:crosses val="autoZero"/>
        <c:auto val="1"/>
        <c:lblAlgn val="ctr"/>
        <c:lblOffset val="100"/>
        <c:noMultiLvlLbl val="0"/>
      </c:catAx>
      <c:valAx>
        <c:axId val="362613760"/>
        <c:scaling>
          <c:orientation val="minMax"/>
        </c:scaling>
        <c:delete val="0"/>
        <c:axPos val="l"/>
        <c:majorGridlines/>
        <c:title>
          <c:tx>
            <c:strRef>
              <c:f>Graphs!$A$143</c:f>
              <c:strCache>
                <c:ptCount val="1"/>
                <c:pt idx="0">
                  <c:v>REPEX per km per annum (avg 2009-13 Nominal)</c:v>
                </c:pt>
              </c:strCache>
            </c:strRef>
          </c:tx>
          <c:layout>
            <c:manualLayout>
              <c:xMode val="edge"/>
              <c:yMode val="edge"/>
              <c:x val="1.4714523319283542E-2"/>
              <c:y val="0.15574814339057447"/>
            </c:manualLayout>
          </c:layout>
          <c:overlay val="0"/>
          <c:txPr>
            <a:bodyPr rot="-5400000" vert="horz"/>
            <a:lstStyle/>
            <a:p>
              <a:pPr>
                <a:defRPr/>
              </a:pPr>
              <a:endParaRPr lang="en-US"/>
            </a:p>
          </c:txPr>
        </c:title>
        <c:numFmt formatCode="_-&quot;$&quot;* #,##0_-;\-&quot;$&quot;* #,##0_-;_-&quot;$&quot;* &quot;-&quot;??_-;_-@_-" sourceLinked="1"/>
        <c:majorTickMark val="out"/>
        <c:minorTickMark val="none"/>
        <c:tickLblPos val="nextTo"/>
        <c:crossAx val="362612224"/>
        <c:crosses val="autoZero"/>
        <c:crossBetween val="between"/>
      </c:valAx>
    </c:plotArea>
    <c:legend>
      <c:legendPos val="r"/>
      <c:overlay val="0"/>
      <c:spPr>
        <a:noFill/>
      </c:spPr>
    </c:legend>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REPEX_Spend_5yrForecast[[#Headers],[5 yr REPEX Spend (2015-19)]]</c:f>
          <c:strCache>
            <c:ptCount val="1"/>
            <c:pt idx="0">
              <c:v>5 yr REPEX Spend (2015-19)</c:v>
            </c:pt>
          </c:strCache>
        </c:strRef>
      </c:tx>
      <c:overlay val="0"/>
    </c:title>
    <c:autoTitleDeleted val="0"/>
    <c:plotArea>
      <c:layout/>
      <c:barChart>
        <c:barDir val="col"/>
        <c:grouping val="clustered"/>
        <c:varyColors val="0"/>
        <c:ser>
          <c:idx val="0"/>
          <c:order val="0"/>
          <c:tx>
            <c:strRef>
              <c:f>'REPEX Comparison'!$B$144</c:f>
              <c:strCache>
                <c:ptCount val="1"/>
                <c:pt idx="0">
                  <c:v>Ausgrid</c:v>
                </c:pt>
              </c:strCache>
            </c:strRef>
          </c:tx>
          <c:invertIfNegative val="0"/>
          <c:cat>
            <c:strRef>
              <c:f>'REPEX Comparison'!$A$145:$A$156</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Comparison'!$B$145:$B$156</c:f>
              <c:numCache>
                <c:formatCode>_-"$"* #,##0_-;\-"$"* #,##0_-;_-"$"* "-"??_-;_-@_-</c:formatCode>
                <c:ptCount val="12"/>
                <c:pt idx="0">
                  <c:v>13678000</c:v>
                </c:pt>
                <c:pt idx="1">
                  <c:v>372120000</c:v>
                </c:pt>
                <c:pt idx="2">
                  <c:v>60808000</c:v>
                </c:pt>
                <c:pt idx="3">
                  <c:v>174589000</c:v>
                </c:pt>
                <c:pt idx="4">
                  <c:v>794236000</c:v>
                </c:pt>
                <c:pt idx="5">
                  <c:v>58386000</c:v>
                </c:pt>
                <c:pt idx="6">
                  <c:v>266964000</c:v>
                </c:pt>
                <c:pt idx="7">
                  <c:v>948536000</c:v>
                </c:pt>
                <c:pt idx="8">
                  <c:v>41278000</c:v>
                </c:pt>
                <c:pt idx="9">
                  <c:v>131742000</c:v>
                </c:pt>
                <c:pt idx="10">
                  <c:v>114400000</c:v>
                </c:pt>
                <c:pt idx="11">
                  <c:v>658555000</c:v>
                </c:pt>
              </c:numCache>
            </c:numRef>
          </c:val>
        </c:ser>
        <c:ser>
          <c:idx val="1"/>
          <c:order val="1"/>
          <c:tx>
            <c:strRef>
              <c:f>'REPEX Comparison'!$C$144</c:f>
              <c:strCache>
                <c:ptCount val="1"/>
                <c:pt idx="0">
                  <c:v>Ergon</c:v>
                </c:pt>
              </c:strCache>
            </c:strRef>
          </c:tx>
          <c:invertIfNegative val="0"/>
          <c:cat>
            <c:strRef>
              <c:f>'REPEX Comparison'!$A$145:$A$156</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Comparison'!$C$145:$C$156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'REPEX Comparison'!$D$144</c:f>
              <c:strCache>
                <c:ptCount val="1"/>
                <c:pt idx="0">
                  <c:v>Endeavour</c:v>
                </c:pt>
              </c:strCache>
            </c:strRef>
          </c:tx>
          <c:invertIfNegative val="0"/>
          <c:cat>
            <c:strRef>
              <c:f>'REPEX Comparison'!$A$145:$A$156</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Comparison'!$D$145:$D$156</c:f>
              <c:numCache>
                <c:formatCode>_-"$"* #,##0_-;\-"$"* #,##0_-;_-"$"* "-"??_-;_-@_-</c:formatCode>
                <c:ptCount val="12"/>
                <c:pt idx="0">
                  <c:v>0</c:v>
                </c:pt>
                <c:pt idx="1">
                  <c:v>82078048.000000015</c:v>
                </c:pt>
                <c:pt idx="2">
                  <c:v>0</c:v>
                </c:pt>
                <c:pt idx="3">
                  <c:v>137446343.00000003</c:v>
                </c:pt>
                <c:pt idx="4">
                  <c:v>75754963</c:v>
                </c:pt>
                <c:pt idx="5">
                  <c:v>63595754</c:v>
                </c:pt>
                <c:pt idx="6">
                  <c:v>68742262</c:v>
                </c:pt>
                <c:pt idx="7">
                  <c:v>56892432</c:v>
                </c:pt>
                <c:pt idx="8">
                  <c:v>30102481.999999996</c:v>
                </c:pt>
                <c:pt idx="9">
                  <c:v>0</c:v>
                </c:pt>
                <c:pt idx="10">
                  <c:v>51824394.000000007</c:v>
                </c:pt>
                <c:pt idx="11">
                  <c:v>173219034.822</c:v>
                </c:pt>
              </c:numCache>
            </c:numRef>
          </c:val>
        </c:ser>
        <c:ser>
          <c:idx val="3"/>
          <c:order val="3"/>
          <c:tx>
            <c:strRef>
              <c:f>'REPEX Comparison'!$E$144</c:f>
              <c:strCache>
                <c:ptCount val="1"/>
                <c:pt idx="0">
                  <c:v>Powercor</c:v>
                </c:pt>
              </c:strCache>
            </c:strRef>
          </c:tx>
          <c:invertIfNegative val="0"/>
          <c:cat>
            <c:strRef>
              <c:f>'REPEX Comparison'!$A$145:$A$156</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Comparison'!$E$145:$E$156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'REPEX Comparison'!$F$144</c:f>
              <c:strCache>
                <c:ptCount val="1"/>
                <c:pt idx="0">
                  <c:v>AusNet</c:v>
                </c:pt>
              </c:strCache>
            </c:strRef>
          </c:tx>
          <c:invertIfNegative val="0"/>
          <c:cat>
            <c:strRef>
              <c:f>'REPEX Comparison'!$A$145:$A$156</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Comparison'!$F$145:$F$156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'REPEX Comparison'!$G$144</c:f>
              <c:strCache>
                <c:ptCount val="1"/>
                <c:pt idx="0">
                  <c:v>Essential (Original)</c:v>
                </c:pt>
              </c:strCache>
            </c:strRef>
          </c:tx>
          <c:invertIfNegative val="0"/>
          <c:cat>
            <c:strRef>
              <c:f>'REPEX Comparison'!$A$145:$A$156</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Comparison'!$G$145:$G$156</c:f>
              <c:numCache>
                <c:formatCode>_-"$"* #,##0_-;\-"$"* #,##0_-;_-"$"* "-"??_-;_-@_-</c:formatCode>
                <c:ptCount val="12"/>
                <c:pt idx="0">
                  <c:v>4861735.0628571762</c:v>
                </c:pt>
                <c:pt idx="1">
                  <c:v>277153913.76447541</c:v>
                </c:pt>
                <c:pt idx="2">
                  <c:v>37345470</c:v>
                </c:pt>
                <c:pt idx="3">
                  <c:v>78892735.000000015</c:v>
                </c:pt>
                <c:pt idx="4">
                  <c:v>33905643.200026505</c:v>
                </c:pt>
                <c:pt idx="5">
                  <c:v>31158115.234830115</c:v>
                </c:pt>
                <c:pt idx="6">
                  <c:v>77101504.98622936</c:v>
                </c:pt>
                <c:pt idx="7">
                  <c:v>154791995.13984275</c:v>
                </c:pt>
                <c:pt idx="8">
                  <c:v>2276280.5252729193</c:v>
                </c:pt>
                <c:pt idx="9">
                  <c:v>3718975.85806377</c:v>
                </c:pt>
                <c:pt idx="10">
                  <c:v>28375108.903017025</c:v>
                </c:pt>
                <c:pt idx="11">
                  <c:v>133267311.3541539</c:v>
                </c:pt>
              </c:numCache>
            </c:numRef>
          </c:val>
        </c:ser>
        <c:ser>
          <c:idx val="6"/>
          <c:order val="6"/>
          <c:tx>
            <c:strRef>
              <c:f>'REPEX Comparison'!$H$144</c:f>
              <c:strCache>
                <c:ptCount val="1"/>
                <c:pt idx="0">
                  <c:v>Essential</c:v>
                </c:pt>
              </c:strCache>
            </c:strRef>
          </c:tx>
          <c:invertIfNegative val="0"/>
          <c:cat>
            <c:strRef>
              <c:f>'REPEX Comparison'!$A$145:$A$156</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Comparison'!$H$145:$H$156</c:f>
              <c:numCache>
                <c:formatCode>_-"$"* #,##0_-;\-"$"* #,##0_-;_-"$"* "-"??_-;_-@_-</c:formatCode>
                <c:ptCount val="12"/>
                <c:pt idx="0">
                  <c:v>5120537.6009890037</c:v>
                </c:pt>
                <c:pt idx="1">
                  <c:v>306498901.81341916</c:v>
                </c:pt>
                <c:pt idx="2">
                  <c:v>58972548.717986219</c:v>
                </c:pt>
                <c:pt idx="3">
                  <c:v>91695316.857347906</c:v>
                </c:pt>
                <c:pt idx="4">
                  <c:v>42658138.419676058</c:v>
                </c:pt>
                <c:pt idx="5">
                  <c:v>32956816.184283998</c:v>
                </c:pt>
                <c:pt idx="6">
                  <c:v>95388193.466767266</c:v>
                </c:pt>
                <c:pt idx="7">
                  <c:v>195187970.93197733</c:v>
                </c:pt>
                <c:pt idx="8">
                  <c:v>6803790.4004867924</c:v>
                </c:pt>
                <c:pt idx="9">
                  <c:v>11119501.847894996</c:v>
                </c:pt>
                <c:pt idx="10">
                  <c:v>28375108.903017025</c:v>
                </c:pt>
                <c:pt idx="11">
                  <c:v>0</c:v>
                </c:pt>
              </c:numCache>
            </c:numRef>
          </c:val>
        </c:ser>
        <c:ser>
          <c:idx val="7"/>
          <c:order val="7"/>
          <c:tx>
            <c:strRef>
              <c:f>'REPEX Comparison'!$I$144</c:f>
              <c:strCache>
                <c:ptCount val="1"/>
                <c:pt idx="0">
                  <c:v>SA Power</c:v>
                </c:pt>
              </c:strCache>
            </c:strRef>
          </c:tx>
          <c:invertIfNegative val="0"/>
          <c:cat>
            <c:strRef>
              <c:f>'REPEX Comparison'!$A$145:$A$156</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Comparison'!$I$145:$I$156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'REPEX Comparison'!$J$144</c:f>
              <c:strCache>
                <c:ptCount val="1"/>
                <c:pt idx="0">
                  <c:v>Source</c:v>
                </c:pt>
              </c:strCache>
            </c:strRef>
          </c:tx>
          <c:invertIfNegative val="0"/>
          <c:cat>
            <c:strRef>
              <c:f>'REPEX Comparison'!$A$145:$A$156</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Comparison'!$J$145:$J$156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9"/>
          <c:order val="9"/>
          <c:tx>
            <c:strRef>
              <c:f>'REPEX Comparison'!$K$144</c:f>
              <c:strCache>
                <c:ptCount val="1"/>
                <c:pt idx="0">
                  <c:v>Comments</c:v>
                </c:pt>
              </c:strCache>
            </c:strRef>
          </c:tx>
          <c:invertIfNegative val="0"/>
          <c:cat>
            <c:strRef>
              <c:f>'REPEX Comparison'!$A$145:$A$156</c:f>
              <c:strCache>
                <c:ptCount val="12"/>
                <c:pt idx="0">
                  <c:v>Pole Staking</c:v>
                </c:pt>
                <c:pt idx="1">
                  <c:v>Poles</c:v>
                </c:pt>
                <c:pt idx="2">
                  <c:v>Crossarms</c:v>
                </c:pt>
                <c:pt idx="3">
                  <c:v>OH Conductors</c:v>
                </c:pt>
                <c:pt idx="4">
                  <c:v>UG Cables</c:v>
                </c:pt>
                <c:pt idx="5">
                  <c:v>Service Lines</c:v>
                </c:pt>
                <c:pt idx="6">
                  <c:v>Transformers</c:v>
                </c:pt>
                <c:pt idx="7">
                  <c:v>Switchgear</c:v>
                </c:pt>
                <c:pt idx="8">
                  <c:v>Public Lighting - Luminaires</c:v>
                </c:pt>
                <c:pt idx="9">
                  <c:v>Public Lighting - Other</c:v>
                </c:pt>
                <c:pt idx="10">
                  <c:v>SCADA</c:v>
                </c:pt>
                <c:pt idx="11">
                  <c:v>Other</c:v>
                </c:pt>
              </c:strCache>
            </c:strRef>
          </c:cat>
          <c:val>
            <c:numRef>
              <c:f>'REPEX Comparison'!$K$145:$K$156</c:f>
              <c:numCache>
                <c:formatCode>_-"$"* #,##0_-;\-"$"* #,##0_-;_-"$"* "-"??_-;_-@_-</c:formatCode>
                <c:ptCount val="12"/>
              </c:numCache>
            </c:numRef>
          </c:val>
        </c:ser>
        <c:dLbls>
          <c:showLegendKey val="0"/>
          <c:showVal val="0"/>
          <c:showCatName val="0"/>
          <c:showSerName val="0"/>
          <c:showPercent val="0"/>
          <c:showBubbleSize val="0"/>
        </c:dLbls>
        <c:gapWidth val="150"/>
        <c:axId val="355063296"/>
        <c:axId val="355064832"/>
      </c:barChart>
      <c:catAx>
        <c:axId val="355063296"/>
        <c:scaling>
          <c:orientation val="minMax"/>
        </c:scaling>
        <c:delete val="0"/>
        <c:axPos val="b"/>
        <c:majorTickMark val="out"/>
        <c:minorTickMark val="none"/>
        <c:tickLblPos val="nextTo"/>
        <c:crossAx val="355064832"/>
        <c:crosses val="autoZero"/>
        <c:auto val="1"/>
        <c:lblAlgn val="ctr"/>
        <c:lblOffset val="100"/>
        <c:noMultiLvlLbl val="0"/>
      </c:catAx>
      <c:valAx>
        <c:axId val="355064832"/>
        <c:scaling>
          <c:orientation val="minMax"/>
        </c:scaling>
        <c:delete val="0"/>
        <c:axPos val="l"/>
        <c:majorGridlines/>
        <c:numFmt formatCode="_-&quot;$&quot;* #,##0_-;\-&quot;$&quot;* #,##0_-;_-&quot;$&quot;* &quot;-&quot;??_-;_-@_-" sourceLinked="1"/>
        <c:majorTickMark val="out"/>
        <c:minorTickMark val="none"/>
        <c:tickLblPos val="nextTo"/>
        <c:crossAx val="35506329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REPEX_Spend_5yrHistory13[[#Headers],[Asset Replacements (2009-13)]]</c:f>
          <c:strCache>
            <c:ptCount val="1"/>
            <c:pt idx="0">
              <c:v>Asset Replacements (2009-13)</c:v>
            </c:pt>
          </c:strCache>
        </c:strRef>
      </c:tx>
      <c:overlay val="0"/>
    </c:title>
    <c:autoTitleDeleted val="0"/>
    <c:plotArea>
      <c:layout/>
      <c:barChart>
        <c:barDir val="col"/>
        <c:grouping val="clustered"/>
        <c:varyColors val="0"/>
        <c:ser>
          <c:idx val="0"/>
          <c:order val="0"/>
          <c:tx>
            <c:strRef>
              <c:f>'REPEX Comparison'!$B$44</c:f>
              <c:strCache>
                <c:ptCount val="1"/>
                <c:pt idx="0">
                  <c:v>Ausgrid</c:v>
                </c:pt>
              </c:strCache>
            </c:strRef>
          </c:tx>
          <c:invertIfNegative val="0"/>
          <c:cat>
            <c:strRef>
              <c:f>'REPEX Comparison'!$A$45:$A$53</c:f>
              <c:strCache>
                <c:ptCount val="9"/>
                <c:pt idx="0">
                  <c:v>Pole Staking</c:v>
                </c:pt>
                <c:pt idx="1">
                  <c:v>Poles</c:v>
                </c:pt>
                <c:pt idx="2">
                  <c:v>Crossarms</c:v>
                </c:pt>
                <c:pt idx="3">
                  <c:v>OH Conductors</c:v>
                </c:pt>
                <c:pt idx="4">
                  <c:v>UG Cables</c:v>
                </c:pt>
                <c:pt idx="5">
                  <c:v>Service Lines</c:v>
                </c:pt>
                <c:pt idx="6">
                  <c:v>Transformers</c:v>
                </c:pt>
                <c:pt idx="7">
                  <c:v>Switchgear</c:v>
                </c:pt>
                <c:pt idx="8">
                  <c:v>Public Lighting - Luminaires</c:v>
                </c:pt>
              </c:strCache>
            </c:strRef>
          </c:cat>
          <c:val>
            <c:numRef>
              <c:f>'REPEX Comparison'!$B$45:$B$53</c:f>
              <c:numCache>
                <c:formatCode>_-* #,##0_-;\-* #,##0_-;_-* "-"??_-;_-@_-</c:formatCode>
                <c:ptCount val="9"/>
                <c:pt idx="0">
                  <c:v>16256</c:v>
                </c:pt>
                <c:pt idx="1">
                  <c:v>16914</c:v>
                </c:pt>
                <c:pt idx="2">
                  <c:v>0</c:v>
                </c:pt>
                <c:pt idx="3">
                  <c:v>6240</c:v>
                </c:pt>
                <c:pt idx="4">
                  <c:v>634</c:v>
                </c:pt>
                <c:pt idx="5">
                  <c:v>73720</c:v>
                </c:pt>
                <c:pt idx="6">
                  <c:v>1162</c:v>
                </c:pt>
                <c:pt idx="7">
                  <c:v>5067</c:v>
                </c:pt>
                <c:pt idx="8">
                  <c:v>51325</c:v>
                </c:pt>
              </c:numCache>
            </c:numRef>
          </c:val>
        </c:ser>
        <c:ser>
          <c:idx val="1"/>
          <c:order val="1"/>
          <c:tx>
            <c:strRef>
              <c:f>'REPEX Comparison'!$C$44</c:f>
              <c:strCache>
                <c:ptCount val="1"/>
                <c:pt idx="0">
                  <c:v>Ergon</c:v>
                </c:pt>
              </c:strCache>
            </c:strRef>
          </c:tx>
          <c:invertIfNegative val="0"/>
          <c:cat>
            <c:strRef>
              <c:f>'REPEX Comparison'!$A$45:$A$53</c:f>
              <c:strCache>
                <c:ptCount val="9"/>
                <c:pt idx="0">
                  <c:v>Pole Staking</c:v>
                </c:pt>
                <c:pt idx="1">
                  <c:v>Poles</c:v>
                </c:pt>
                <c:pt idx="2">
                  <c:v>Crossarms</c:v>
                </c:pt>
                <c:pt idx="3">
                  <c:v>OH Conductors</c:v>
                </c:pt>
                <c:pt idx="4">
                  <c:v>UG Cables</c:v>
                </c:pt>
                <c:pt idx="5">
                  <c:v>Service Lines</c:v>
                </c:pt>
                <c:pt idx="6">
                  <c:v>Transformers</c:v>
                </c:pt>
                <c:pt idx="7">
                  <c:v>Switchgear</c:v>
                </c:pt>
                <c:pt idx="8">
                  <c:v>Public Lighting - Luminaires</c:v>
                </c:pt>
              </c:strCache>
            </c:strRef>
          </c:cat>
          <c:val>
            <c:numRef>
              <c:f>'REPEX Comparison'!$C$45:$C$53</c:f>
              <c:numCache>
                <c:formatCode>_-* #,##0_-;\-* #,##0_-;_-* "-"??_-;_-@_-</c:formatCode>
                <c:ptCount val="9"/>
                <c:pt idx="0">
                  <c:v>15286</c:v>
                </c:pt>
                <c:pt idx="1">
                  <c:v>16112</c:v>
                </c:pt>
                <c:pt idx="2">
                  <c:v>39103</c:v>
                </c:pt>
                <c:pt idx="3">
                  <c:v>1525.0269999990001</c:v>
                </c:pt>
                <c:pt idx="4">
                  <c:v>32.345500000000001</c:v>
                </c:pt>
                <c:pt idx="5">
                  <c:v>23385.992425299999</c:v>
                </c:pt>
                <c:pt idx="6">
                  <c:v>7171</c:v>
                </c:pt>
                <c:pt idx="7">
                  <c:v>70426</c:v>
                </c:pt>
                <c:pt idx="8">
                  <c:v>3705</c:v>
                </c:pt>
              </c:numCache>
            </c:numRef>
          </c:val>
        </c:ser>
        <c:ser>
          <c:idx val="2"/>
          <c:order val="2"/>
          <c:tx>
            <c:strRef>
              <c:f>'REPEX Comparison'!$D$44</c:f>
              <c:strCache>
                <c:ptCount val="1"/>
                <c:pt idx="0">
                  <c:v>Endeavour</c:v>
                </c:pt>
              </c:strCache>
            </c:strRef>
          </c:tx>
          <c:invertIfNegative val="0"/>
          <c:cat>
            <c:strRef>
              <c:f>'REPEX Comparison'!$A$45:$A$53</c:f>
              <c:strCache>
                <c:ptCount val="9"/>
                <c:pt idx="0">
                  <c:v>Pole Staking</c:v>
                </c:pt>
                <c:pt idx="1">
                  <c:v>Poles</c:v>
                </c:pt>
                <c:pt idx="2">
                  <c:v>Crossarms</c:v>
                </c:pt>
                <c:pt idx="3">
                  <c:v>OH Conductors</c:v>
                </c:pt>
                <c:pt idx="4">
                  <c:v>UG Cables</c:v>
                </c:pt>
                <c:pt idx="5">
                  <c:v>Service Lines</c:v>
                </c:pt>
                <c:pt idx="6">
                  <c:v>Transformers</c:v>
                </c:pt>
                <c:pt idx="7">
                  <c:v>Switchgear</c:v>
                </c:pt>
                <c:pt idx="8">
                  <c:v>Public Lighting - Luminaires</c:v>
                </c:pt>
              </c:strCache>
            </c:strRef>
          </c:cat>
          <c:val>
            <c:numRef>
              <c:f>'REPEX Comparison'!$D$45:$D$53</c:f>
              <c:numCache>
                <c:formatCode>_-* #,##0_-;\-* #,##0_-;_-* "-"??_-;_-@_-</c:formatCode>
                <c:ptCount val="9"/>
                <c:pt idx="0">
                  <c:v>0</c:v>
                </c:pt>
                <c:pt idx="1">
                  <c:v>6047</c:v>
                </c:pt>
                <c:pt idx="2">
                  <c:v>0</c:v>
                </c:pt>
                <c:pt idx="3">
                  <c:v>741.0487450166429</c:v>
                </c:pt>
                <c:pt idx="4">
                  <c:v>656.63197947059234</c:v>
                </c:pt>
                <c:pt idx="5">
                  <c:v>15000</c:v>
                </c:pt>
                <c:pt idx="6">
                  <c:v>1236</c:v>
                </c:pt>
                <c:pt idx="7">
                  <c:v>3447</c:v>
                </c:pt>
                <c:pt idx="8">
                  <c:v>3780</c:v>
                </c:pt>
              </c:numCache>
            </c:numRef>
          </c:val>
        </c:ser>
        <c:ser>
          <c:idx val="3"/>
          <c:order val="3"/>
          <c:tx>
            <c:strRef>
              <c:f>'REPEX Comparison'!$E$44</c:f>
              <c:strCache>
                <c:ptCount val="1"/>
                <c:pt idx="0">
                  <c:v>Powercor</c:v>
                </c:pt>
              </c:strCache>
            </c:strRef>
          </c:tx>
          <c:invertIfNegative val="0"/>
          <c:cat>
            <c:strRef>
              <c:f>'REPEX Comparison'!$A$45:$A$53</c:f>
              <c:strCache>
                <c:ptCount val="9"/>
                <c:pt idx="0">
                  <c:v>Pole Staking</c:v>
                </c:pt>
                <c:pt idx="1">
                  <c:v>Poles</c:v>
                </c:pt>
                <c:pt idx="2">
                  <c:v>Crossarms</c:v>
                </c:pt>
                <c:pt idx="3">
                  <c:v>OH Conductors</c:v>
                </c:pt>
                <c:pt idx="4">
                  <c:v>UG Cables</c:v>
                </c:pt>
                <c:pt idx="5">
                  <c:v>Service Lines</c:v>
                </c:pt>
                <c:pt idx="6">
                  <c:v>Transformers</c:v>
                </c:pt>
                <c:pt idx="7">
                  <c:v>Switchgear</c:v>
                </c:pt>
                <c:pt idx="8">
                  <c:v>Public Lighting - Luminaires</c:v>
                </c:pt>
              </c:strCache>
            </c:strRef>
          </c:cat>
          <c:val>
            <c:numRef>
              <c:f>'REPEX Comparison'!$E$45:$E$53</c:f>
              <c:numCache>
                <c:formatCode>_-* #,##0_-;\-* #,##0_-;_-* "-"??_-;_-@_-</c:formatCode>
                <c:ptCount val="9"/>
                <c:pt idx="0">
                  <c:v>4630</c:v>
                </c:pt>
                <c:pt idx="1">
                  <c:v>6381</c:v>
                </c:pt>
                <c:pt idx="2">
                  <c:v>30683</c:v>
                </c:pt>
                <c:pt idx="3">
                  <c:v>171.54400000000001</c:v>
                </c:pt>
                <c:pt idx="4">
                  <c:v>61.400000000000006</c:v>
                </c:pt>
                <c:pt idx="5">
                  <c:v>815.54960000000005</c:v>
                </c:pt>
                <c:pt idx="6">
                  <c:v>3480</c:v>
                </c:pt>
                <c:pt idx="7">
                  <c:v>14371</c:v>
                </c:pt>
                <c:pt idx="8">
                  <c:v>657.41454377880177</c:v>
                </c:pt>
              </c:numCache>
            </c:numRef>
          </c:val>
        </c:ser>
        <c:ser>
          <c:idx val="4"/>
          <c:order val="4"/>
          <c:tx>
            <c:strRef>
              <c:f>'REPEX Comparison'!$F$44</c:f>
              <c:strCache>
                <c:ptCount val="1"/>
                <c:pt idx="0">
                  <c:v>AusNet</c:v>
                </c:pt>
              </c:strCache>
            </c:strRef>
          </c:tx>
          <c:invertIfNegative val="0"/>
          <c:cat>
            <c:strRef>
              <c:f>'REPEX Comparison'!$A$45:$A$53</c:f>
              <c:strCache>
                <c:ptCount val="9"/>
                <c:pt idx="0">
                  <c:v>Pole Staking</c:v>
                </c:pt>
                <c:pt idx="1">
                  <c:v>Poles</c:v>
                </c:pt>
                <c:pt idx="2">
                  <c:v>Crossarms</c:v>
                </c:pt>
                <c:pt idx="3">
                  <c:v>OH Conductors</c:v>
                </c:pt>
                <c:pt idx="4">
                  <c:v>UG Cables</c:v>
                </c:pt>
                <c:pt idx="5">
                  <c:v>Service Lines</c:v>
                </c:pt>
                <c:pt idx="6">
                  <c:v>Transformers</c:v>
                </c:pt>
                <c:pt idx="7">
                  <c:v>Switchgear</c:v>
                </c:pt>
                <c:pt idx="8">
                  <c:v>Public Lighting - Luminaires</c:v>
                </c:pt>
              </c:strCache>
            </c:strRef>
          </c:cat>
          <c:val>
            <c:numRef>
              <c:f>'REPEX Comparison'!$F$45:$F$53</c:f>
              <c:numCache>
                <c:formatCode>_-* #,##0_-;\-* #,##0_-;_-* "-"??_-;_-@_-</c:formatCode>
                <c:ptCount val="9"/>
                <c:pt idx="0">
                  <c:v>1587</c:v>
                </c:pt>
                <c:pt idx="1">
                  <c:v>12107</c:v>
                </c:pt>
                <c:pt idx="2">
                  <c:v>43184</c:v>
                </c:pt>
                <c:pt idx="3">
                  <c:v>549</c:v>
                </c:pt>
                <c:pt idx="4">
                  <c:v>443</c:v>
                </c:pt>
                <c:pt idx="5">
                  <c:v>721.29280000000006</c:v>
                </c:pt>
                <c:pt idx="6">
                  <c:v>2463</c:v>
                </c:pt>
                <c:pt idx="7">
                  <c:v>3975</c:v>
                </c:pt>
                <c:pt idx="8">
                  <c:v>0</c:v>
                </c:pt>
              </c:numCache>
            </c:numRef>
          </c:val>
        </c:ser>
        <c:ser>
          <c:idx val="5"/>
          <c:order val="5"/>
          <c:tx>
            <c:strRef>
              <c:f>'REPEX Comparison'!$G$44</c:f>
              <c:strCache>
                <c:ptCount val="1"/>
                <c:pt idx="0">
                  <c:v>Essential (Original)</c:v>
                </c:pt>
              </c:strCache>
            </c:strRef>
          </c:tx>
          <c:invertIfNegative val="0"/>
          <c:cat>
            <c:strRef>
              <c:f>'REPEX Comparison'!$A$45:$A$53</c:f>
              <c:strCache>
                <c:ptCount val="9"/>
                <c:pt idx="0">
                  <c:v>Pole Staking</c:v>
                </c:pt>
                <c:pt idx="1">
                  <c:v>Poles</c:v>
                </c:pt>
                <c:pt idx="2">
                  <c:v>Crossarms</c:v>
                </c:pt>
                <c:pt idx="3">
                  <c:v>OH Conductors</c:v>
                </c:pt>
                <c:pt idx="4">
                  <c:v>UG Cables</c:v>
                </c:pt>
                <c:pt idx="5">
                  <c:v>Service Lines</c:v>
                </c:pt>
                <c:pt idx="6">
                  <c:v>Transformers</c:v>
                </c:pt>
                <c:pt idx="7">
                  <c:v>Switchgear</c:v>
                </c:pt>
                <c:pt idx="8">
                  <c:v>Public Lighting - Luminaires</c:v>
                </c:pt>
              </c:strCache>
            </c:strRef>
          </c:cat>
          <c:val>
            <c:numRef>
              <c:f>'REPEX Comparison'!$G$45:$G$53</c:f>
              <c:numCache>
                <c:formatCode>_-* #,##0_-;\-* #,##0_-;_-* "-"??_-;_-@_-</c:formatCode>
                <c:ptCount val="9"/>
                <c:pt idx="0">
                  <c:v>281</c:v>
                </c:pt>
                <c:pt idx="1">
                  <c:v>28340</c:v>
                </c:pt>
                <c:pt idx="2">
                  <c:v>6399</c:v>
                </c:pt>
                <c:pt idx="3">
                  <c:v>1062.2</c:v>
                </c:pt>
                <c:pt idx="4">
                  <c:v>6.6</c:v>
                </c:pt>
                <c:pt idx="5">
                  <c:v>63809</c:v>
                </c:pt>
                <c:pt idx="6">
                  <c:v>1740</c:v>
                </c:pt>
                <c:pt idx="7">
                  <c:v>8679</c:v>
                </c:pt>
                <c:pt idx="8">
                  <c:v>72271</c:v>
                </c:pt>
              </c:numCache>
            </c:numRef>
          </c:val>
        </c:ser>
        <c:ser>
          <c:idx val="6"/>
          <c:order val="6"/>
          <c:tx>
            <c:strRef>
              <c:f>'REPEX Comparison'!$I$44</c:f>
              <c:strCache>
                <c:ptCount val="1"/>
                <c:pt idx="0">
                  <c:v>SA Power</c:v>
                </c:pt>
              </c:strCache>
            </c:strRef>
          </c:tx>
          <c:invertIfNegative val="0"/>
          <c:cat>
            <c:strRef>
              <c:f>'REPEX Comparison'!$A$45:$A$53</c:f>
              <c:strCache>
                <c:ptCount val="9"/>
                <c:pt idx="0">
                  <c:v>Pole Staking</c:v>
                </c:pt>
                <c:pt idx="1">
                  <c:v>Poles</c:v>
                </c:pt>
                <c:pt idx="2">
                  <c:v>Crossarms</c:v>
                </c:pt>
                <c:pt idx="3">
                  <c:v>OH Conductors</c:v>
                </c:pt>
                <c:pt idx="4">
                  <c:v>UG Cables</c:v>
                </c:pt>
                <c:pt idx="5">
                  <c:v>Service Lines</c:v>
                </c:pt>
                <c:pt idx="6">
                  <c:v>Transformers</c:v>
                </c:pt>
                <c:pt idx="7">
                  <c:v>Switchgear</c:v>
                </c:pt>
                <c:pt idx="8">
                  <c:v>Public Lighting - Luminaires</c:v>
                </c:pt>
              </c:strCache>
            </c:strRef>
          </c:cat>
          <c:val>
            <c:numRef>
              <c:f>'REPEX Comparison'!$I$45:$I$53</c:f>
              <c:numCache>
                <c:formatCode>_-* #,##0_-;\-* #,##0_-;_-* "-"??_-;_-@_-</c:formatCode>
                <c:ptCount val="9"/>
                <c:pt idx="0">
                  <c:v>0</c:v>
                </c:pt>
                <c:pt idx="1">
                  <c:v>15460</c:v>
                </c:pt>
                <c:pt idx="2">
                  <c:v>30901</c:v>
                </c:pt>
                <c:pt idx="3">
                  <c:v>658.86299999999846</c:v>
                </c:pt>
                <c:pt idx="4">
                  <c:v>55.304999999999602</c:v>
                </c:pt>
                <c:pt idx="5">
                  <c:v>38382</c:v>
                </c:pt>
                <c:pt idx="6">
                  <c:v>1717.9999999999998</c:v>
                </c:pt>
                <c:pt idx="7">
                  <c:v>1307</c:v>
                </c:pt>
                <c:pt idx="8">
                  <c:v>0</c:v>
                </c:pt>
              </c:numCache>
            </c:numRef>
          </c:val>
        </c:ser>
        <c:dLbls>
          <c:showLegendKey val="0"/>
          <c:showVal val="0"/>
          <c:showCatName val="0"/>
          <c:showSerName val="0"/>
          <c:showPercent val="0"/>
          <c:showBubbleSize val="0"/>
        </c:dLbls>
        <c:gapWidth val="150"/>
        <c:axId val="355766656"/>
        <c:axId val="355768192"/>
      </c:barChart>
      <c:catAx>
        <c:axId val="355766656"/>
        <c:scaling>
          <c:orientation val="minMax"/>
        </c:scaling>
        <c:delete val="0"/>
        <c:axPos val="b"/>
        <c:majorTickMark val="out"/>
        <c:minorTickMark val="none"/>
        <c:tickLblPos val="nextTo"/>
        <c:crossAx val="355768192"/>
        <c:crosses val="autoZero"/>
        <c:auto val="1"/>
        <c:lblAlgn val="ctr"/>
        <c:lblOffset val="100"/>
        <c:noMultiLvlLbl val="0"/>
      </c:catAx>
      <c:valAx>
        <c:axId val="355768192"/>
        <c:scaling>
          <c:orientation val="minMax"/>
        </c:scaling>
        <c:delete val="0"/>
        <c:axPos val="l"/>
        <c:majorGridlines/>
        <c:numFmt formatCode="_-* #,##0_-;\-* #,##0_-;_-* &quot;-&quot;??_-;_-@_-" sourceLinked="1"/>
        <c:majorTickMark val="out"/>
        <c:minorTickMark val="none"/>
        <c:tickLblPos val="nextTo"/>
        <c:crossAx val="3557666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en-AU" sz="1400"/>
              <a:t>OPEX Comparison</a:t>
            </a:r>
          </a:p>
        </c:rich>
      </c:tx>
      <c:overlay val="0"/>
    </c:title>
    <c:autoTitleDeleted val="0"/>
    <c:plotArea>
      <c:layout/>
      <c:barChart>
        <c:barDir val="col"/>
        <c:grouping val="clustered"/>
        <c:varyColors val="0"/>
        <c:ser>
          <c:idx val="0"/>
          <c:order val="0"/>
          <c:tx>
            <c:strRef>
              <c:f>'Forecast OPEX'!$A$2:$B$2</c:f>
              <c:strCache>
                <c:ptCount val="1"/>
                <c:pt idx="0">
                  <c:v>Essential Proposal $13-14</c:v>
                </c:pt>
              </c:strCache>
            </c:strRef>
          </c:tx>
          <c:spPr>
            <a:solidFill>
              <a:schemeClr val="accent6"/>
            </a:solidFill>
          </c:spPr>
          <c:invertIfNegative val="0"/>
          <c:cat>
            <c:strRef>
              <c:f>'Forecast OPEX'!$C$1:$G$1</c:f>
              <c:strCache>
                <c:ptCount val="5"/>
                <c:pt idx="0">
                  <c:v>2015</c:v>
                </c:pt>
                <c:pt idx="1">
                  <c:v>2016</c:v>
                </c:pt>
                <c:pt idx="2">
                  <c:v>2017</c:v>
                </c:pt>
                <c:pt idx="3">
                  <c:v>2018</c:v>
                </c:pt>
                <c:pt idx="4">
                  <c:v>2019</c:v>
                </c:pt>
              </c:strCache>
            </c:strRef>
          </c:cat>
          <c:val>
            <c:numRef>
              <c:f>'Forecast OPEX'!$C$2:$G$2</c:f>
              <c:numCache>
                <c:formatCode>_-* #,##0.0_-;\-* #,##0.0_-;_-* "-"??_-;_-@_-</c:formatCode>
                <c:ptCount val="5"/>
                <c:pt idx="0">
                  <c:v>464</c:v>
                </c:pt>
                <c:pt idx="1">
                  <c:v>465</c:v>
                </c:pt>
                <c:pt idx="2">
                  <c:v>461</c:v>
                </c:pt>
                <c:pt idx="3">
                  <c:v>467</c:v>
                </c:pt>
                <c:pt idx="4">
                  <c:v>477</c:v>
                </c:pt>
              </c:numCache>
            </c:numRef>
          </c:val>
        </c:ser>
        <c:ser>
          <c:idx val="2"/>
          <c:order val="1"/>
          <c:tx>
            <c:strRef>
              <c:f>'Forecast OPEX'!$A$4:$B$4</c:f>
              <c:strCache>
                <c:ptCount val="1"/>
                <c:pt idx="0">
                  <c:v>Essential Draft Det $13-14</c:v>
                </c:pt>
              </c:strCache>
            </c:strRef>
          </c:tx>
          <c:spPr>
            <a:solidFill>
              <a:schemeClr val="accent6">
                <a:lumMod val="60000"/>
                <a:lumOff val="40000"/>
              </a:schemeClr>
            </a:solidFill>
          </c:spPr>
          <c:invertIfNegative val="0"/>
          <c:cat>
            <c:strRef>
              <c:f>'Forecast OPEX'!$C$1:$G$1</c:f>
              <c:strCache>
                <c:ptCount val="5"/>
                <c:pt idx="0">
                  <c:v>2015</c:v>
                </c:pt>
                <c:pt idx="1">
                  <c:v>2016</c:v>
                </c:pt>
                <c:pt idx="2">
                  <c:v>2017</c:v>
                </c:pt>
                <c:pt idx="3">
                  <c:v>2018</c:v>
                </c:pt>
                <c:pt idx="4">
                  <c:v>2019</c:v>
                </c:pt>
              </c:strCache>
            </c:strRef>
          </c:cat>
          <c:val>
            <c:numRef>
              <c:f>'Forecast OPEX'!$C$4:$G$4</c:f>
              <c:numCache>
                <c:formatCode>_-* #,##0.0_-;\-* #,##0.0_-;_-* "-"??_-;_-@_-</c:formatCode>
                <c:ptCount val="5"/>
                <c:pt idx="0">
                  <c:v>281.26829268292687</c:v>
                </c:pt>
                <c:pt idx="1">
                  <c:v>284.02141582391431</c:v>
                </c:pt>
                <c:pt idx="2">
                  <c:v>287.49437762075416</c:v>
                </c:pt>
                <c:pt idx="3">
                  <c:v>291.44432243208109</c:v>
                </c:pt>
                <c:pt idx="4">
                  <c:v>295.29571749034091</c:v>
                </c:pt>
              </c:numCache>
            </c:numRef>
          </c:val>
        </c:ser>
        <c:ser>
          <c:idx val="4"/>
          <c:order val="2"/>
          <c:tx>
            <c:strRef>
              <c:f>'Forecast OPEX'!$A$9:$B$9</c:f>
              <c:strCache>
                <c:ptCount val="1"/>
                <c:pt idx="0">
                  <c:v>SA Power Proposal $13-14</c:v>
                </c:pt>
              </c:strCache>
            </c:strRef>
          </c:tx>
          <c:spPr>
            <a:solidFill>
              <a:schemeClr val="accent3"/>
            </a:solidFill>
          </c:spPr>
          <c:invertIfNegative val="0"/>
          <c:cat>
            <c:strRef>
              <c:f>'Forecast OPEX'!$C$1:$G$1</c:f>
              <c:strCache>
                <c:ptCount val="5"/>
                <c:pt idx="0">
                  <c:v>2015</c:v>
                </c:pt>
                <c:pt idx="1">
                  <c:v>2016</c:v>
                </c:pt>
                <c:pt idx="2">
                  <c:v>2017</c:v>
                </c:pt>
                <c:pt idx="3">
                  <c:v>2018</c:v>
                </c:pt>
                <c:pt idx="4">
                  <c:v>2019</c:v>
                </c:pt>
              </c:strCache>
            </c:strRef>
          </c:cat>
          <c:val>
            <c:numRef>
              <c:f>'Forecast OPEX'!$C$9:$G$9</c:f>
              <c:numCache>
                <c:formatCode>_-* #,##0.0_-;\-* #,##0.0_-;_-* "-"??_-;_-@_-</c:formatCode>
                <c:ptCount val="5"/>
                <c:pt idx="0">
                  <c:v>248.78048780487808</c:v>
                </c:pt>
                <c:pt idx="1">
                  <c:v>278.73170731707319</c:v>
                </c:pt>
                <c:pt idx="2">
                  <c:v>291.60975609756099</c:v>
                </c:pt>
                <c:pt idx="3">
                  <c:v>308.19512195121951</c:v>
                </c:pt>
                <c:pt idx="4">
                  <c:v>316.58536585365857</c:v>
                </c:pt>
              </c:numCache>
            </c:numRef>
          </c:val>
        </c:ser>
        <c:ser>
          <c:idx val="5"/>
          <c:order val="3"/>
          <c:tx>
            <c:strRef>
              <c:f>'Forecast OPEX'!$A$10:$B$10</c:f>
              <c:strCache>
                <c:ptCount val="1"/>
                <c:pt idx="0">
                  <c:v>Endeavour Proposal $13-14</c:v>
                </c:pt>
              </c:strCache>
            </c:strRef>
          </c:tx>
          <c:spPr>
            <a:solidFill>
              <a:schemeClr val="accent4"/>
            </a:solidFill>
          </c:spPr>
          <c:invertIfNegative val="0"/>
          <c:cat>
            <c:strRef>
              <c:f>'Forecast OPEX'!$C$1:$G$1</c:f>
              <c:strCache>
                <c:ptCount val="5"/>
                <c:pt idx="0">
                  <c:v>2015</c:v>
                </c:pt>
                <c:pt idx="1">
                  <c:v>2016</c:v>
                </c:pt>
                <c:pt idx="2">
                  <c:v>2017</c:v>
                </c:pt>
                <c:pt idx="3">
                  <c:v>2018</c:v>
                </c:pt>
                <c:pt idx="4">
                  <c:v>2019</c:v>
                </c:pt>
              </c:strCache>
            </c:strRef>
          </c:cat>
          <c:val>
            <c:numRef>
              <c:f>'Forecast OPEX'!$C$10:$G$10</c:f>
              <c:numCache>
                <c:formatCode>_-* #,##0.0_-;\-* #,##0.0_-;_-* "-"??_-;_-@_-</c:formatCode>
                <c:ptCount val="5"/>
                <c:pt idx="0">
                  <c:v>267.60000000000002</c:v>
                </c:pt>
                <c:pt idx="1">
                  <c:v>272.39999999999998</c:v>
                </c:pt>
                <c:pt idx="2">
                  <c:v>281.2</c:v>
                </c:pt>
                <c:pt idx="3">
                  <c:v>278.7</c:v>
                </c:pt>
                <c:pt idx="4">
                  <c:v>284.39999999999998</c:v>
                </c:pt>
              </c:numCache>
            </c:numRef>
          </c:val>
        </c:ser>
        <c:ser>
          <c:idx val="7"/>
          <c:order val="4"/>
          <c:tx>
            <c:strRef>
              <c:f>'Forecast OPEX'!$A$12:$B$12</c:f>
              <c:strCache>
                <c:ptCount val="1"/>
                <c:pt idx="0">
                  <c:v>Endeavour Draft Det $13-14</c:v>
                </c:pt>
              </c:strCache>
            </c:strRef>
          </c:tx>
          <c:spPr>
            <a:solidFill>
              <a:schemeClr val="accent4">
                <a:lumMod val="60000"/>
                <a:lumOff val="40000"/>
              </a:schemeClr>
            </a:solidFill>
          </c:spPr>
          <c:invertIfNegative val="0"/>
          <c:cat>
            <c:strRef>
              <c:f>'Forecast OPEX'!$C$1:$G$1</c:f>
              <c:strCache>
                <c:ptCount val="5"/>
                <c:pt idx="0">
                  <c:v>2015</c:v>
                </c:pt>
                <c:pt idx="1">
                  <c:v>2016</c:v>
                </c:pt>
                <c:pt idx="2">
                  <c:v>2017</c:v>
                </c:pt>
                <c:pt idx="3">
                  <c:v>2018</c:v>
                </c:pt>
                <c:pt idx="4">
                  <c:v>2019</c:v>
                </c:pt>
              </c:strCache>
            </c:strRef>
          </c:cat>
          <c:val>
            <c:numRef>
              <c:f>'Forecast OPEX'!$C$12:$G$12</c:f>
              <c:numCache>
                <c:formatCode>_-* #,##0.0_-;\-* #,##0.0_-;_-* "-"??_-;_-@_-</c:formatCode>
                <c:ptCount val="5"/>
                <c:pt idx="0">
                  <c:v>206.92682926829269</c:v>
                </c:pt>
                <c:pt idx="1">
                  <c:v>209.87507436049972</c:v>
                </c:pt>
                <c:pt idx="2">
                  <c:v>213.67072445263415</c:v>
                </c:pt>
                <c:pt idx="3">
                  <c:v>217.88113007434103</c:v>
                </c:pt>
                <c:pt idx="4">
                  <c:v>222.46612419131637</c:v>
                </c:pt>
              </c:numCache>
            </c:numRef>
          </c:val>
        </c:ser>
        <c:dLbls>
          <c:showLegendKey val="0"/>
          <c:showVal val="0"/>
          <c:showCatName val="0"/>
          <c:showSerName val="0"/>
          <c:showPercent val="0"/>
          <c:showBubbleSize val="0"/>
        </c:dLbls>
        <c:gapWidth val="150"/>
        <c:axId val="351527680"/>
        <c:axId val="351529216"/>
      </c:barChart>
      <c:catAx>
        <c:axId val="351527680"/>
        <c:scaling>
          <c:orientation val="minMax"/>
        </c:scaling>
        <c:delete val="0"/>
        <c:axPos val="b"/>
        <c:majorTickMark val="out"/>
        <c:minorTickMark val="none"/>
        <c:tickLblPos val="nextTo"/>
        <c:crossAx val="351529216"/>
        <c:crosses val="autoZero"/>
        <c:auto val="1"/>
        <c:lblAlgn val="ctr"/>
        <c:lblOffset val="100"/>
        <c:noMultiLvlLbl val="0"/>
      </c:catAx>
      <c:valAx>
        <c:axId val="351529216"/>
        <c:scaling>
          <c:orientation val="minMax"/>
        </c:scaling>
        <c:delete val="0"/>
        <c:axPos val="l"/>
        <c:majorGridlines/>
        <c:title>
          <c:tx>
            <c:strRef>
              <c:f>'Forecast OPEX'!$A$1</c:f>
              <c:strCache>
                <c:ptCount val="1"/>
                <c:pt idx="0">
                  <c:v>OPEX $Million Real 2013-14</c:v>
                </c:pt>
              </c:strCache>
            </c:strRef>
          </c:tx>
          <c:overlay val="0"/>
          <c:txPr>
            <a:bodyPr rot="-5400000" vert="horz"/>
            <a:lstStyle/>
            <a:p>
              <a:pPr>
                <a:defRPr/>
              </a:pPr>
              <a:endParaRPr lang="en-US"/>
            </a:p>
          </c:txPr>
        </c:title>
        <c:numFmt formatCode="_-* #,##0.0_-;\-* #,##0.0_-;_-* &quot;-&quot;??_-;_-@_-" sourceLinked="1"/>
        <c:majorTickMark val="out"/>
        <c:minorTickMark val="none"/>
        <c:tickLblPos val="nextTo"/>
        <c:crossAx val="35152768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barChart>
        <c:barDir val="col"/>
        <c:grouping val="clustered"/>
        <c:varyColors val="0"/>
        <c:ser>
          <c:idx val="0"/>
          <c:order val="0"/>
          <c:tx>
            <c:strRef>
              <c:f>'Forecast OPEX'!$A$37</c:f>
              <c:strCache>
                <c:ptCount val="1"/>
                <c:pt idx="0">
                  <c:v>Essential Revised Proposal</c:v>
                </c:pt>
              </c:strCache>
            </c:strRef>
          </c:tx>
          <c:spPr>
            <a:solidFill>
              <a:schemeClr val="accent6"/>
            </a:solidFill>
          </c:spPr>
          <c:invertIfNegative val="0"/>
          <c:cat>
            <c:strRef>
              <c:f>'Forecast OPEX'!$C$35:$G$35</c:f>
              <c:strCache>
                <c:ptCount val="5"/>
                <c:pt idx="0">
                  <c:v>2015</c:v>
                </c:pt>
                <c:pt idx="1">
                  <c:v>2016</c:v>
                </c:pt>
                <c:pt idx="2">
                  <c:v>2017</c:v>
                </c:pt>
                <c:pt idx="3">
                  <c:v>2018</c:v>
                </c:pt>
                <c:pt idx="4">
                  <c:v>2019</c:v>
                </c:pt>
              </c:strCache>
            </c:strRef>
          </c:cat>
          <c:val>
            <c:numRef>
              <c:f>'Forecast OPEX'!$C$37:$G$37</c:f>
              <c:numCache>
                <c:formatCode>_-"$"* #,##0_-;\-"$"* #,##0_-;_-"$"* "-"??_-;_-@_-</c:formatCode>
                <c:ptCount val="5"/>
                <c:pt idx="0">
                  <c:v>212.55124431981878</c:v>
                </c:pt>
                <c:pt idx="1">
                  <c:v>209.58952816682523</c:v>
                </c:pt>
                <c:pt idx="2">
                  <c:v>194.09129214336315</c:v>
                </c:pt>
                <c:pt idx="3">
                  <c:v>196.00683460902579</c:v>
                </c:pt>
                <c:pt idx="4">
                  <c:v>182.49101803206403</c:v>
                </c:pt>
              </c:numCache>
            </c:numRef>
          </c:val>
        </c:ser>
        <c:ser>
          <c:idx val="1"/>
          <c:order val="1"/>
          <c:tx>
            <c:strRef>
              <c:f>'Forecast OPEX'!$A$38</c:f>
              <c:strCache>
                <c:ptCount val="1"/>
                <c:pt idx="0">
                  <c:v>Essential Draft Det</c:v>
                </c:pt>
              </c:strCache>
            </c:strRef>
          </c:tx>
          <c:spPr>
            <a:solidFill>
              <a:schemeClr val="accent6">
                <a:lumMod val="60000"/>
                <a:lumOff val="40000"/>
              </a:schemeClr>
            </a:solidFill>
          </c:spPr>
          <c:invertIfNegative val="0"/>
          <c:cat>
            <c:strRef>
              <c:f>'Forecast OPEX'!$C$35:$G$35</c:f>
              <c:strCache>
                <c:ptCount val="5"/>
                <c:pt idx="0">
                  <c:v>2015</c:v>
                </c:pt>
                <c:pt idx="1">
                  <c:v>2016</c:v>
                </c:pt>
                <c:pt idx="2">
                  <c:v>2017</c:v>
                </c:pt>
                <c:pt idx="3">
                  <c:v>2018</c:v>
                </c:pt>
                <c:pt idx="4">
                  <c:v>2019</c:v>
                </c:pt>
              </c:strCache>
            </c:strRef>
          </c:cat>
          <c:val>
            <c:numRef>
              <c:f>'Forecast OPEX'!$C$38:$G$38</c:f>
              <c:numCache>
                <c:formatCode>_-"$"* #,##0_-;\-"$"* #,##0_-;_-"$"* "-"??_-;_-@_-</c:formatCode>
                <c:ptCount val="5"/>
                <c:pt idx="0">
                  <c:v>120.04183395740266</c:v>
                </c:pt>
                <c:pt idx="1">
                  <c:v>121.21683291587841</c:v>
                </c:pt>
                <c:pt idx="2">
                  <c:v>122.69905012344198</c:v>
                </c:pt>
                <c:pt idx="3">
                  <c:v>124.38483779136347</c:v>
                </c:pt>
                <c:pt idx="4">
                  <c:v>126.02856564165893</c:v>
                </c:pt>
              </c:numCache>
            </c:numRef>
          </c:val>
        </c:ser>
        <c:ser>
          <c:idx val="2"/>
          <c:order val="2"/>
          <c:tx>
            <c:strRef>
              <c:f>'Forecast OPEX'!$A$39</c:f>
              <c:strCache>
                <c:ptCount val="1"/>
                <c:pt idx="0">
                  <c:v>SA Power Proposal</c:v>
                </c:pt>
              </c:strCache>
            </c:strRef>
          </c:tx>
          <c:spPr>
            <a:solidFill>
              <a:schemeClr val="accent3"/>
            </a:solidFill>
          </c:spPr>
          <c:invertIfNegative val="0"/>
          <c:cat>
            <c:strRef>
              <c:f>'Forecast OPEX'!$C$35:$G$35</c:f>
              <c:strCache>
                <c:ptCount val="5"/>
                <c:pt idx="0">
                  <c:v>2015</c:v>
                </c:pt>
                <c:pt idx="1">
                  <c:v>2016</c:v>
                </c:pt>
                <c:pt idx="2">
                  <c:v>2017</c:v>
                </c:pt>
                <c:pt idx="3">
                  <c:v>2018</c:v>
                </c:pt>
                <c:pt idx="4">
                  <c:v>2019</c:v>
                </c:pt>
              </c:strCache>
            </c:strRef>
          </c:cat>
          <c:val>
            <c:numRef>
              <c:f>'Forecast OPEX'!$C$39:$G$39</c:f>
              <c:numCache>
                <c:formatCode>_-"$"* #,##0_-;\-"$"* #,##0_-;_-"$"* "-"??_-;_-@_-</c:formatCode>
                <c:ptCount val="5"/>
                <c:pt idx="0">
                  <c:v>267.67633204763126</c:v>
                </c:pt>
                <c:pt idx="1">
                  <c:v>299.90246300395387</c:v>
                </c:pt>
                <c:pt idx="2">
                  <c:v>313.75864960406659</c:v>
                </c:pt>
                <c:pt idx="3">
                  <c:v>331.60373840724196</c:v>
                </c:pt>
                <c:pt idx="4">
                  <c:v>340.63125391943663</c:v>
                </c:pt>
              </c:numCache>
            </c:numRef>
          </c:val>
        </c:ser>
        <c:dLbls>
          <c:showLegendKey val="0"/>
          <c:showVal val="0"/>
          <c:showCatName val="0"/>
          <c:showSerName val="0"/>
          <c:showPercent val="0"/>
          <c:showBubbleSize val="0"/>
        </c:dLbls>
        <c:gapWidth val="150"/>
        <c:axId val="352066176"/>
        <c:axId val="352096640"/>
      </c:barChart>
      <c:catAx>
        <c:axId val="352066176"/>
        <c:scaling>
          <c:orientation val="minMax"/>
        </c:scaling>
        <c:delete val="0"/>
        <c:axPos val="b"/>
        <c:majorTickMark val="out"/>
        <c:minorTickMark val="none"/>
        <c:tickLblPos val="nextTo"/>
        <c:crossAx val="352096640"/>
        <c:crosses val="autoZero"/>
        <c:auto val="1"/>
        <c:lblAlgn val="ctr"/>
        <c:lblOffset val="100"/>
        <c:noMultiLvlLbl val="0"/>
      </c:catAx>
      <c:valAx>
        <c:axId val="352096640"/>
        <c:scaling>
          <c:orientation val="minMax"/>
        </c:scaling>
        <c:delete val="0"/>
        <c:axPos val="l"/>
        <c:majorGridlines/>
        <c:title>
          <c:tx>
            <c:strRef>
              <c:f>'Forecast OPEX'!$I$34</c:f>
              <c:strCache>
                <c:ptCount val="1"/>
                <c:pt idx="0">
                  <c:v>Total Opex per Asset (Total Assets) Real $2013-14</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52066176"/>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manualLayout>
          <c:layoutTarget val="inner"/>
          <c:xMode val="edge"/>
          <c:yMode val="edge"/>
          <c:x val="0.14402961418652427"/>
          <c:y val="7.9226473723899432E-2"/>
          <c:w val="0.58643386617369864"/>
          <c:h val="0.8173606235535793"/>
        </c:manualLayout>
      </c:layout>
      <c:barChart>
        <c:barDir val="col"/>
        <c:grouping val="clustered"/>
        <c:varyColors val="0"/>
        <c:ser>
          <c:idx val="0"/>
          <c:order val="0"/>
          <c:tx>
            <c:strRef>
              <c:f>'Forecast OPEX'!$A$37</c:f>
              <c:strCache>
                <c:ptCount val="1"/>
                <c:pt idx="0">
                  <c:v>Essential Revised Proposal</c:v>
                </c:pt>
              </c:strCache>
            </c:strRef>
          </c:tx>
          <c:spPr>
            <a:solidFill>
              <a:schemeClr val="accent6"/>
            </a:solidFill>
          </c:spPr>
          <c:invertIfNegative val="0"/>
          <c:cat>
            <c:strRef>
              <c:f>'Forecast OPEX'!$C$35:$G$35</c:f>
              <c:strCache>
                <c:ptCount val="5"/>
                <c:pt idx="0">
                  <c:v>2015</c:v>
                </c:pt>
                <c:pt idx="1">
                  <c:v>2016</c:v>
                </c:pt>
                <c:pt idx="2">
                  <c:v>2017</c:v>
                </c:pt>
                <c:pt idx="3">
                  <c:v>2018</c:v>
                </c:pt>
                <c:pt idx="4">
                  <c:v>2019</c:v>
                </c:pt>
              </c:strCache>
            </c:strRef>
          </c:cat>
          <c:val>
            <c:numRef>
              <c:f>'Forecast OPEX'!$C$37:$G$37</c:f>
              <c:numCache>
                <c:formatCode>_-"$"* #,##0_-;\-"$"* #,##0_-;_-"$"* "-"??_-;_-@_-</c:formatCode>
                <c:ptCount val="5"/>
                <c:pt idx="0">
                  <c:v>212.55124431981878</c:v>
                </c:pt>
                <c:pt idx="1">
                  <c:v>209.58952816682523</c:v>
                </c:pt>
                <c:pt idx="2">
                  <c:v>194.09129214336315</c:v>
                </c:pt>
                <c:pt idx="3">
                  <c:v>196.00683460902579</c:v>
                </c:pt>
                <c:pt idx="4">
                  <c:v>182.49101803206403</c:v>
                </c:pt>
              </c:numCache>
            </c:numRef>
          </c:val>
        </c:ser>
        <c:ser>
          <c:idx val="1"/>
          <c:order val="1"/>
          <c:tx>
            <c:strRef>
              <c:f>'Forecast OPEX'!$A$38</c:f>
              <c:strCache>
                <c:ptCount val="1"/>
                <c:pt idx="0">
                  <c:v>Essential Draft Det</c:v>
                </c:pt>
              </c:strCache>
            </c:strRef>
          </c:tx>
          <c:spPr>
            <a:solidFill>
              <a:schemeClr val="accent6">
                <a:lumMod val="60000"/>
                <a:lumOff val="40000"/>
              </a:schemeClr>
            </a:solidFill>
          </c:spPr>
          <c:invertIfNegative val="0"/>
          <c:cat>
            <c:strRef>
              <c:f>'Forecast OPEX'!$C$35:$G$35</c:f>
              <c:strCache>
                <c:ptCount val="5"/>
                <c:pt idx="0">
                  <c:v>2015</c:v>
                </c:pt>
                <c:pt idx="1">
                  <c:v>2016</c:v>
                </c:pt>
                <c:pt idx="2">
                  <c:v>2017</c:v>
                </c:pt>
                <c:pt idx="3">
                  <c:v>2018</c:v>
                </c:pt>
                <c:pt idx="4">
                  <c:v>2019</c:v>
                </c:pt>
              </c:strCache>
            </c:strRef>
          </c:cat>
          <c:val>
            <c:numRef>
              <c:f>'Forecast OPEX'!$C$38:$G$38</c:f>
              <c:numCache>
                <c:formatCode>_-"$"* #,##0_-;\-"$"* #,##0_-;_-"$"* "-"??_-;_-@_-</c:formatCode>
                <c:ptCount val="5"/>
                <c:pt idx="0">
                  <c:v>120.04183395740266</c:v>
                </c:pt>
                <c:pt idx="1">
                  <c:v>121.21683291587841</c:v>
                </c:pt>
                <c:pt idx="2">
                  <c:v>122.69905012344198</c:v>
                </c:pt>
                <c:pt idx="3">
                  <c:v>124.38483779136347</c:v>
                </c:pt>
                <c:pt idx="4">
                  <c:v>126.02856564165893</c:v>
                </c:pt>
              </c:numCache>
            </c:numRef>
          </c:val>
        </c:ser>
        <c:ser>
          <c:idx val="3"/>
          <c:order val="2"/>
          <c:tx>
            <c:strRef>
              <c:f>'Forecast OPEX'!$A$40</c:f>
              <c:strCache>
                <c:ptCount val="1"/>
                <c:pt idx="0">
                  <c:v>Endeavour Proposal</c:v>
                </c:pt>
              </c:strCache>
            </c:strRef>
          </c:tx>
          <c:invertIfNegative val="0"/>
          <c:cat>
            <c:strRef>
              <c:f>'Forecast OPEX'!$C$35:$G$35</c:f>
              <c:strCache>
                <c:ptCount val="5"/>
                <c:pt idx="0">
                  <c:v>2015</c:v>
                </c:pt>
                <c:pt idx="1">
                  <c:v>2016</c:v>
                </c:pt>
                <c:pt idx="2">
                  <c:v>2017</c:v>
                </c:pt>
                <c:pt idx="3">
                  <c:v>2018</c:v>
                </c:pt>
                <c:pt idx="4">
                  <c:v>2019</c:v>
                </c:pt>
              </c:strCache>
            </c:strRef>
          </c:cat>
          <c:val>
            <c:numRef>
              <c:f>'Forecast OPEX'!$C$40:$G$40</c:f>
              <c:numCache>
                <c:formatCode>_-"$"* #,##0_-;\-"$"* #,##0_-;_-"$"* "-"??_-;_-@_-</c:formatCode>
                <c:ptCount val="5"/>
                <c:pt idx="0">
                  <c:v>404.9093351223288</c:v>
                </c:pt>
                <c:pt idx="1">
                  <c:v>412.17228283752746</c:v>
                </c:pt>
                <c:pt idx="2">
                  <c:v>425.48768698205845</c:v>
                </c:pt>
                <c:pt idx="3">
                  <c:v>421.7049017137258</c:v>
                </c:pt>
                <c:pt idx="4">
                  <c:v>430.32965212552426</c:v>
                </c:pt>
              </c:numCache>
            </c:numRef>
          </c:val>
        </c:ser>
        <c:ser>
          <c:idx val="4"/>
          <c:order val="3"/>
          <c:tx>
            <c:strRef>
              <c:f>'Forecast OPEX'!$A$41</c:f>
              <c:strCache>
                <c:ptCount val="1"/>
                <c:pt idx="0">
                  <c:v>Endeavour Draft Det</c:v>
                </c:pt>
              </c:strCache>
            </c:strRef>
          </c:tx>
          <c:spPr>
            <a:solidFill>
              <a:schemeClr val="accent4">
                <a:lumMod val="60000"/>
                <a:lumOff val="40000"/>
              </a:schemeClr>
            </a:solidFill>
          </c:spPr>
          <c:invertIfNegative val="0"/>
          <c:cat>
            <c:strRef>
              <c:f>'Forecast OPEX'!$C$35:$G$35</c:f>
              <c:strCache>
                <c:ptCount val="5"/>
                <c:pt idx="0">
                  <c:v>2015</c:v>
                </c:pt>
                <c:pt idx="1">
                  <c:v>2016</c:v>
                </c:pt>
                <c:pt idx="2">
                  <c:v>2017</c:v>
                </c:pt>
                <c:pt idx="3">
                  <c:v>2018</c:v>
                </c:pt>
                <c:pt idx="4">
                  <c:v>2019</c:v>
                </c:pt>
              </c:strCache>
            </c:strRef>
          </c:cat>
          <c:val>
            <c:numRef>
              <c:f>'Forecast OPEX'!$C$41:$G$41</c:f>
              <c:numCache>
                <c:formatCode>_-"$"* #,##0_-;\-"$"* #,##0_-;_-"$"* "-"??_-;_-@_-</c:formatCode>
                <c:ptCount val="5"/>
                <c:pt idx="0">
                  <c:v>313.10390455155471</c:v>
                </c:pt>
                <c:pt idx="1">
                  <c:v>317.56493579244858</c:v>
                </c:pt>
                <c:pt idx="2">
                  <c:v>323.30818749335725</c:v>
                </c:pt>
                <c:pt idx="3">
                  <c:v>329.67901163715641</c:v>
                </c:pt>
                <c:pt idx="4">
                  <c:v>336.6166309175909</c:v>
                </c:pt>
              </c:numCache>
            </c:numRef>
          </c:val>
        </c:ser>
        <c:dLbls>
          <c:showLegendKey val="0"/>
          <c:showVal val="0"/>
          <c:showCatName val="0"/>
          <c:showSerName val="0"/>
          <c:showPercent val="0"/>
          <c:showBubbleSize val="0"/>
        </c:dLbls>
        <c:gapWidth val="150"/>
        <c:axId val="352217728"/>
        <c:axId val="352219520"/>
      </c:barChart>
      <c:catAx>
        <c:axId val="352217728"/>
        <c:scaling>
          <c:orientation val="minMax"/>
        </c:scaling>
        <c:delete val="0"/>
        <c:axPos val="b"/>
        <c:majorTickMark val="out"/>
        <c:minorTickMark val="none"/>
        <c:tickLblPos val="nextTo"/>
        <c:crossAx val="352219520"/>
        <c:crosses val="autoZero"/>
        <c:auto val="1"/>
        <c:lblAlgn val="ctr"/>
        <c:lblOffset val="100"/>
        <c:noMultiLvlLbl val="0"/>
      </c:catAx>
      <c:valAx>
        <c:axId val="352219520"/>
        <c:scaling>
          <c:orientation val="minMax"/>
        </c:scaling>
        <c:delete val="0"/>
        <c:axPos val="l"/>
        <c:majorGridlines/>
        <c:title>
          <c:tx>
            <c:strRef>
              <c:f>'Forecast OPEX'!$I$34</c:f>
              <c:strCache>
                <c:ptCount val="1"/>
                <c:pt idx="0">
                  <c:v>Total Opex per Asset (Total Assets) Real $2013-14</c:v>
                </c:pt>
              </c:strCache>
            </c:strRef>
          </c:tx>
          <c:overlay val="0"/>
          <c:txPr>
            <a:bodyPr rot="-5400000" vert="horz"/>
            <a:lstStyle/>
            <a:p>
              <a:pPr>
                <a:defRPr/>
              </a:pPr>
              <a:endParaRPr lang="en-US"/>
            </a:p>
          </c:txPr>
        </c:title>
        <c:numFmt formatCode="_-&quot;$&quot;* #,##0_-;\-&quot;$&quot;* #,##0_-;_-&quot;$&quot;* &quot;-&quot;??_-;_-@_-" sourceLinked="1"/>
        <c:majorTickMark val="out"/>
        <c:minorTickMark val="none"/>
        <c:tickLblPos val="nextTo"/>
        <c:crossAx val="352217728"/>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18" Type="http://schemas.openxmlformats.org/officeDocument/2006/relationships/chart" Target="../charts/chart31.xml"/><Relationship Id="rId26" Type="http://schemas.openxmlformats.org/officeDocument/2006/relationships/chart" Target="../charts/chart39.xml"/><Relationship Id="rId3" Type="http://schemas.openxmlformats.org/officeDocument/2006/relationships/chart" Target="../charts/chart16.xml"/><Relationship Id="rId21" Type="http://schemas.openxmlformats.org/officeDocument/2006/relationships/chart" Target="../charts/chart34.xml"/><Relationship Id="rId7" Type="http://schemas.openxmlformats.org/officeDocument/2006/relationships/chart" Target="../charts/chart20.xml"/><Relationship Id="rId12" Type="http://schemas.openxmlformats.org/officeDocument/2006/relationships/chart" Target="../charts/chart25.xml"/><Relationship Id="rId17" Type="http://schemas.openxmlformats.org/officeDocument/2006/relationships/chart" Target="../charts/chart30.xml"/><Relationship Id="rId25" Type="http://schemas.openxmlformats.org/officeDocument/2006/relationships/chart" Target="../charts/chart38.xml"/><Relationship Id="rId2" Type="http://schemas.openxmlformats.org/officeDocument/2006/relationships/chart" Target="../charts/chart15.xml"/><Relationship Id="rId16" Type="http://schemas.openxmlformats.org/officeDocument/2006/relationships/chart" Target="../charts/chart29.xml"/><Relationship Id="rId20" Type="http://schemas.openxmlformats.org/officeDocument/2006/relationships/chart" Target="../charts/chart33.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24" Type="http://schemas.openxmlformats.org/officeDocument/2006/relationships/chart" Target="../charts/chart37.xml"/><Relationship Id="rId5" Type="http://schemas.openxmlformats.org/officeDocument/2006/relationships/chart" Target="../charts/chart18.xml"/><Relationship Id="rId15" Type="http://schemas.openxmlformats.org/officeDocument/2006/relationships/chart" Target="../charts/chart28.xml"/><Relationship Id="rId23" Type="http://schemas.openxmlformats.org/officeDocument/2006/relationships/chart" Target="../charts/chart36.xml"/><Relationship Id="rId10" Type="http://schemas.openxmlformats.org/officeDocument/2006/relationships/chart" Target="../charts/chart23.xml"/><Relationship Id="rId19" Type="http://schemas.openxmlformats.org/officeDocument/2006/relationships/chart" Target="../charts/chart32.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 Id="rId22" Type="http://schemas.openxmlformats.org/officeDocument/2006/relationships/chart" Target="../charts/chart35.xml"/><Relationship Id="rId27"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xdr:from>
      <xdr:col>0</xdr:col>
      <xdr:colOff>0</xdr:colOff>
      <xdr:row>89</xdr:row>
      <xdr:rowOff>0</xdr:rowOff>
    </xdr:from>
    <xdr:to>
      <xdr:col>7</xdr:col>
      <xdr:colOff>61913</xdr:colOff>
      <xdr:row>105</xdr:row>
      <xdr:rowOff>28576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89</xdr:row>
      <xdr:rowOff>0</xdr:rowOff>
    </xdr:from>
    <xdr:to>
      <xdr:col>12</xdr:col>
      <xdr:colOff>3081338</xdr:colOff>
      <xdr:row>105</xdr:row>
      <xdr:rowOff>28576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114300</xdr:rowOff>
    </xdr:from>
    <xdr:to>
      <xdr:col>11</xdr:col>
      <xdr:colOff>491475</xdr:colOff>
      <xdr:row>40</xdr:row>
      <xdr:rowOff>31800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98</xdr:row>
      <xdr:rowOff>104775</xdr:rowOff>
    </xdr:from>
    <xdr:to>
      <xdr:col>11</xdr:col>
      <xdr:colOff>491475</xdr:colOff>
      <xdr:row>123</xdr:row>
      <xdr:rowOff>22275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158</xdr:row>
      <xdr:rowOff>9525</xdr:rowOff>
    </xdr:from>
    <xdr:to>
      <xdr:col>11</xdr:col>
      <xdr:colOff>491475</xdr:colOff>
      <xdr:row>182</xdr:row>
      <xdr:rowOff>117525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57</xdr:row>
      <xdr:rowOff>114300</xdr:rowOff>
    </xdr:from>
    <xdr:to>
      <xdr:col>11</xdr:col>
      <xdr:colOff>491475</xdr:colOff>
      <xdr:row>82</xdr:row>
      <xdr:rowOff>31800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16</xdr:row>
      <xdr:rowOff>85725</xdr:rowOff>
    </xdr:from>
    <xdr:to>
      <xdr:col>8</xdr:col>
      <xdr:colOff>58395</xdr:colOff>
      <xdr:row>32</xdr:row>
      <xdr:rowOff>114285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8</xdr:col>
      <xdr:colOff>58395</xdr:colOff>
      <xdr:row>58</xdr:row>
      <xdr:rowOff>28560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523875</xdr:colOff>
      <xdr:row>42</xdr:row>
      <xdr:rowOff>85725</xdr:rowOff>
    </xdr:from>
    <xdr:to>
      <xdr:col>12</xdr:col>
      <xdr:colOff>1763370</xdr:colOff>
      <xdr:row>58</xdr:row>
      <xdr:rowOff>114285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9524</xdr:rowOff>
    </xdr:from>
    <xdr:to>
      <xdr:col>8</xdr:col>
      <xdr:colOff>2209800</xdr:colOff>
      <xdr:row>90</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107</xdr:row>
      <xdr:rowOff>0</xdr:rowOff>
    </xdr:from>
    <xdr:to>
      <xdr:col>8</xdr:col>
      <xdr:colOff>58395</xdr:colOff>
      <xdr:row>123</xdr:row>
      <xdr:rowOff>28560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0</xdr:row>
      <xdr:rowOff>0</xdr:rowOff>
    </xdr:from>
    <xdr:to>
      <xdr:col>18</xdr:col>
      <xdr:colOff>500250</xdr:colOff>
      <xdr:row>16</xdr:row>
      <xdr:rowOff>28560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223837</xdr:colOff>
      <xdr:row>109</xdr:row>
      <xdr:rowOff>152400</xdr:rowOff>
    </xdr:from>
    <xdr:to>
      <xdr:col>11</xdr:col>
      <xdr:colOff>61912</xdr:colOff>
      <xdr:row>124</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190499</xdr:rowOff>
    </xdr:from>
    <xdr:to>
      <xdr:col>7</xdr:col>
      <xdr:colOff>838200</xdr:colOff>
      <xdr:row>19</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2</xdr:row>
      <xdr:rowOff>190499</xdr:rowOff>
    </xdr:from>
    <xdr:to>
      <xdr:col>25</xdr:col>
      <xdr:colOff>838200</xdr:colOff>
      <xdr:row>19</xdr:row>
      <xdr:rowOff>28575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xdr:row>
      <xdr:rowOff>190499</xdr:rowOff>
    </xdr:from>
    <xdr:to>
      <xdr:col>16</xdr:col>
      <xdr:colOff>838200</xdr:colOff>
      <xdr:row>19</xdr:row>
      <xdr:rowOff>28575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0</xdr:colOff>
      <xdr:row>2</xdr:row>
      <xdr:rowOff>190499</xdr:rowOff>
    </xdr:from>
    <xdr:to>
      <xdr:col>34</xdr:col>
      <xdr:colOff>838200</xdr:colOff>
      <xdr:row>19</xdr:row>
      <xdr:rowOff>28575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42</xdr:row>
      <xdr:rowOff>190499</xdr:rowOff>
    </xdr:from>
    <xdr:to>
      <xdr:col>7</xdr:col>
      <xdr:colOff>838200</xdr:colOff>
      <xdr:row>59</xdr:row>
      <xdr:rowOff>28575</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42</xdr:row>
      <xdr:rowOff>190499</xdr:rowOff>
    </xdr:from>
    <xdr:to>
      <xdr:col>25</xdr:col>
      <xdr:colOff>838200</xdr:colOff>
      <xdr:row>59</xdr:row>
      <xdr:rowOff>28575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42</xdr:row>
      <xdr:rowOff>190499</xdr:rowOff>
    </xdr:from>
    <xdr:to>
      <xdr:col>16</xdr:col>
      <xdr:colOff>838200</xdr:colOff>
      <xdr:row>59</xdr:row>
      <xdr:rowOff>28575</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62</xdr:row>
      <xdr:rowOff>190499</xdr:rowOff>
    </xdr:from>
    <xdr:to>
      <xdr:col>7</xdr:col>
      <xdr:colOff>838200</xdr:colOff>
      <xdr:row>79</xdr:row>
      <xdr:rowOff>28575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62</xdr:row>
      <xdr:rowOff>190499</xdr:rowOff>
    </xdr:from>
    <xdr:to>
      <xdr:col>25</xdr:col>
      <xdr:colOff>838200</xdr:colOff>
      <xdr:row>79</xdr:row>
      <xdr:rowOff>28575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62</xdr:row>
      <xdr:rowOff>190499</xdr:rowOff>
    </xdr:from>
    <xdr:to>
      <xdr:col>16</xdr:col>
      <xdr:colOff>838200</xdr:colOff>
      <xdr:row>79</xdr:row>
      <xdr:rowOff>28575</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82</xdr:row>
      <xdr:rowOff>190499</xdr:rowOff>
    </xdr:from>
    <xdr:to>
      <xdr:col>7</xdr:col>
      <xdr:colOff>838200</xdr:colOff>
      <xdr:row>99</xdr:row>
      <xdr:rowOff>28575</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82</xdr:row>
      <xdr:rowOff>190499</xdr:rowOff>
    </xdr:from>
    <xdr:to>
      <xdr:col>25</xdr:col>
      <xdr:colOff>838200</xdr:colOff>
      <xdr:row>99</xdr:row>
      <xdr:rowOff>28575</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82</xdr:row>
      <xdr:rowOff>190499</xdr:rowOff>
    </xdr:from>
    <xdr:to>
      <xdr:col>16</xdr:col>
      <xdr:colOff>838200</xdr:colOff>
      <xdr:row>99</xdr:row>
      <xdr:rowOff>28575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123</xdr:row>
      <xdr:rowOff>190499</xdr:rowOff>
    </xdr:from>
    <xdr:to>
      <xdr:col>7</xdr:col>
      <xdr:colOff>838200</xdr:colOff>
      <xdr:row>140</xdr:row>
      <xdr:rowOff>28575</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22</xdr:row>
      <xdr:rowOff>190499</xdr:rowOff>
    </xdr:from>
    <xdr:to>
      <xdr:col>25</xdr:col>
      <xdr:colOff>838200</xdr:colOff>
      <xdr:row>39</xdr:row>
      <xdr:rowOff>28575</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103</xdr:row>
      <xdr:rowOff>190499</xdr:rowOff>
    </xdr:from>
    <xdr:to>
      <xdr:col>7</xdr:col>
      <xdr:colOff>838200</xdr:colOff>
      <xdr:row>120</xdr:row>
      <xdr:rowOff>28575</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22</xdr:row>
      <xdr:rowOff>190499</xdr:rowOff>
    </xdr:from>
    <xdr:to>
      <xdr:col>7</xdr:col>
      <xdr:colOff>838200</xdr:colOff>
      <xdr:row>39</xdr:row>
      <xdr:rowOff>28575</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0</xdr:colOff>
      <xdr:row>22</xdr:row>
      <xdr:rowOff>190499</xdr:rowOff>
    </xdr:from>
    <xdr:to>
      <xdr:col>16</xdr:col>
      <xdr:colOff>838200</xdr:colOff>
      <xdr:row>39</xdr:row>
      <xdr:rowOff>28575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27</xdr:col>
      <xdr:colOff>0</xdr:colOff>
      <xdr:row>22</xdr:row>
      <xdr:rowOff>190499</xdr:rowOff>
    </xdr:from>
    <xdr:to>
      <xdr:col>34</xdr:col>
      <xdr:colOff>838200</xdr:colOff>
      <xdr:row>39</xdr:row>
      <xdr:rowOff>28575</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0</xdr:colOff>
      <xdr:row>103</xdr:row>
      <xdr:rowOff>190499</xdr:rowOff>
    </xdr:from>
    <xdr:to>
      <xdr:col>25</xdr:col>
      <xdr:colOff>838200</xdr:colOff>
      <xdr:row>120</xdr:row>
      <xdr:rowOff>28575</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0</xdr:colOff>
      <xdr:row>123</xdr:row>
      <xdr:rowOff>190499</xdr:rowOff>
    </xdr:from>
    <xdr:to>
      <xdr:col>25</xdr:col>
      <xdr:colOff>838200</xdr:colOff>
      <xdr:row>140</xdr:row>
      <xdr:rowOff>28575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0</xdr:colOff>
      <xdr:row>103</xdr:row>
      <xdr:rowOff>190499</xdr:rowOff>
    </xdr:from>
    <xdr:to>
      <xdr:col>16</xdr:col>
      <xdr:colOff>838200</xdr:colOff>
      <xdr:row>120</xdr:row>
      <xdr:rowOff>28575</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27</xdr:col>
      <xdr:colOff>0</xdr:colOff>
      <xdr:row>103</xdr:row>
      <xdr:rowOff>190498</xdr:rowOff>
    </xdr:from>
    <xdr:to>
      <xdr:col>34</xdr:col>
      <xdr:colOff>838200</xdr:colOff>
      <xdr:row>121</xdr:row>
      <xdr:rowOff>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0</xdr:colOff>
      <xdr:row>144</xdr:row>
      <xdr:rowOff>190499</xdr:rowOff>
    </xdr:from>
    <xdr:to>
      <xdr:col>25</xdr:col>
      <xdr:colOff>838200</xdr:colOff>
      <xdr:row>161</xdr:row>
      <xdr:rowOff>28575</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0</xdr:colOff>
      <xdr:row>144</xdr:row>
      <xdr:rowOff>190499</xdr:rowOff>
    </xdr:from>
    <xdr:to>
      <xdr:col>16</xdr:col>
      <xdr:colOff>838200</xdr:colOff>
      <xdr:row>161</xdr:row>
      <xdr:rowOff>28575</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0</xdr:colOff>
      <xdr:row>123</xdr:row>
      <xdr:rowOff>190499</xdr:rowOff>
    </xdr:from>
    <xdr:to>
      <xdr:col>16</xdr:col>
      <xdr:colOff>838200</xdr:colOff>
      <xdr:row>140</xdr:row>
      <xdr:rowOff>28575</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144</xdr:row>
      <xdr:rowOff>190499</xdr:rowOff>
    </xdr:from>
    <xdr:to>
      <xdr:col>7</xdr:col>
      <xdr:colOff>838200</xdr:colOff>
      <xdr:row>161</xdr:row>
      <xdr:rowOff>28575</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tables/table1.xml><?xml version="1.0" encoding="utf-8"?>
<table xmlns="http://schemas.openxmlformats.org/spreadsheetml/2006/main" id="2" name="Asset_Count_5.2_AgeProfile" displayName="Asset_Count_5.2_AgeProfile" ref="A2:Q13" totalsRowShown="0" headerRowDxfId="791" dataDxfId="790">
  <tableColumns count="17">
    <tableColumn id="1" name="Asset Count (5.2 Age Profile)" dataDxfId="789"/>
    <tableColumn id="5" name="Ausgrid" dataDxfId="788" dataCellStyle="Comma">
      <calculatedColumnFormula>SUMIFS('5.2 Age Profiles'!$DG:$DG,'5.2 Age Profiles'!$B:$B,Asset_Count_5.2_AgeProfile[#Headers],'5.2 Age Profiles'!$DK:$DK,Asset_Count_5.2_AgeProfile[[#This Row],[Asset Count (5.2 Age Profile)]])</calculatedColumnFormula>
    </tableColumn>
    <tableColumn id="6" name="Ergon" dataDxfId="787" dataCellStyle="Comma">
      <calculatedColumnFormula>SUMIFS('5.2 Age Profiles'!$DG:$DG,'5.2 Age Profiles'!$B:$B,Asset_Count_5.2_AgeProfile[#Headers],'5.2 Age Profiles'!$DK:$DK,Asset_Count_5.2_AgeProfile[[#This Row],[Asset Count (5.2 Age Profile)]])</calculatedColumnFormula>
    </tableColumn>
    <tableColumn id="8" name="Endeavour" dataDxfId="786" dataCellStyle="Comma">
      <calculatedColumnFormula>SUMIFS('5.2 Age Profiles'!$DG:$DG,'5.2 Age Profiles'!$B:$B,Asset_Count_5.2_AgeProfile[#Headers],'5.2 Age Profiles'!$DK:$DK,Asset_Count_5.2_AgeProfile[[#This Row],[Asset Count (5.2 Age Profile)]])</calculatedColumnFormula>
    </tableColumn>
    <tableColumn id="9" name="Powercor" dataDxfId="785" dataCellStyle="Comma">
      <calculatedColumnFormula>SUMIFS('5.2 Age Profiles'!$DG:$DG,'5.2 Age Profiles'!$B:$B,Asset_Count_5.2_AgeProfile[#Headers],'5.2 Age Profiles'!$DK:$DK,Asset_Count_5.2_AgeProfile[[#This Row],[Asset Count (5.2 Age Profile)]])</calculatedColumnFormula>
    </tableColumn>
    <tableColumn id="10" name="AusNet" dataDxfId="784" dataCellStyle="Comma">
      <calculatedColumnFormula>SUMIFS('5.2 Age Profiles'!$DG:$DG,'5.2 Age Profiles'!$B:$B,Asset_Count_5.2_AgeProfile[#Headers],'5.2 Age Profiles'!$DK:$DK,Asset_Count_5.2_AgeProfile[[#This Row],[Asset Count (5.2 Age Profile)]])</calculatedColumnFormula>
    </tableColumn>
    <tableColumn id="11" name="Essential (Original)" dataDxfId="783" dataCellStyle="Comma">
      <calculatedColumnFormula>SUMIFS('5.2 Age Profiles'!$DG:$DG,'5.2 Age Profiles'!$B:$B,Asset_Count_5.2_AgeProfile[#Headers],'5.2 Age Profiles'!$DK:$DK,Asset_Count_5.2_AgeProfile[[#This Row],[Asset Count (5.2 Age Profile)]])</calculatedColumnFormula>
    </tableColumn>
    <tableColumn id="17" name="Essential" dataDxfId="782" dataCellStyle="Comma">
      <calculatedColumnFormula>SUMIFS('5.2 Age Profiles'!$DG:$DG,'5.2 Age Profiles'!$B:$B,Asset_Count_5.2_AgeProfile[#Headers],'5.2 Age Profiles'!$DK:$DK,Asset_Count_5.2_AgeProfile[[#This Row],[Asset Count (5.2 Age Profile)]])</calculatedColumnFormula>
    </tableColumn>
    <tableColumn id="14" name="SA Power" dataDxfId="781" dataCellStyle="Comma">
      <calculatedColumnFormula>SUMIFS('5.2 Age Profiles'!$DG:$DG,'5.2 Age Profiles'!$B:$B,Asset_Count_5.2_AgeProfile[#Headers],'5.2 Age Profiles'!$DK:$DK,Asset_Count_5.2_AgeProfile[[#This Row],[Asset Count (5.2 Age Profile)]])</calculatedColumnFormula>
    </tableColumn>
    <tableColumn id="15" name="AusNet + Powercor" dataDxfId="780" dataCellStyle="Comma">
      <calculatedColumnFormula>Asset_Count_5.2_AgeProfile[[#This Row],[Powercor]]+Asset_Count_5.2_AgeProfile[[#This Row],[AusNet]]</calculatedColumnFormula>
    </tableColumn>
    <tableColumn id="16" name="SA Power + Powercor" dataDxfId="779" dataCellStyle="Comma">
      <calculatedColumnFormula>Asset_Count_5.2_AgeProfile[[#This Row],[Powercor]]+Asset_Count_5.2_AgeProfile[[#This Row],[SA Power]]</calculatedColumnFormula>
    </tableColumn>
    <tableColumn id="13" name="Source" dataDxfId="778" dataCellStyle="Comma"/>
    <tableColumn id="12" name="Comments" dataDxfId="777" dataCellStyle="Comma"/>
    <tableColumn id="2" name="CitiPower" dataDxfId="776" dataCellStyle="Comma"/>
    <tableColumn id="3" name="Jemena" dataDxfId="775" dataCellStyle="Comma"/>
    <tableColumn id="4" name="United Energy" dataDxfId="774" dataCellStyle="Comma"/>
    <tableColumn id="7" name="All VIC DNSP’s" dataDxfId="773" dataCellStyle="Comma">
      <calculatedColumnFormula>Asset_Count_5.2_AgeProfile[[#This Row],[Ausgrid]]+Asset_Count_5.2_AgeProfile[[#This Row],[Ergon]]+Asset_Count_5.2_AgeProfile[[#This Row],[CitiPower]]+Asset_Count_5.2_AgeProfile[[#This Row],[Jemena]]+Asset_Count_5.2_AgeProfile[[#This Row],[United Energy]]</calculatedColumnFormula>
    </tableColumn>
  </tableColumns>
  <tableStyleInfo name="TableStyleLight14" showFirstColumn="1" showLastColumn="0" showRowStripes="1" showColumnStripes="1"/>
</table>
</file>

<file path=xl/tables/table10.xml><?xml version="1.0" encoding="utf-8"?>
<table xmlns="http://schemas.openxmlformats.org/spreadsheetml/2006/main" id="11" name="REPEX_Spend_5yrHistory12" displayName="REPEX_Spend_5yrHistory12" ref="A126:K139" totalsRowCount="1" headerRowDxfId="605" dataDxfId="604">
  <tableColumns count="11">
    <tableColumn id="1" name="Asset Failures (2009-13)" totalsRowLabel="Total" dataDxfId="603" totalsRowDxfId="602"/>
    <tableColumn id="5" name="Ausgrid" totalsRowFunction="sum" dataDxfId="601" totalsRowDxfId="600" dataCellStyle="Comma">
      <calculatedColumnFormula>(SUMIFS('2.2.1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calculatedColumnFormula>
    </tableColumn>
    <tableColumn id="7" name="Ergon" totalsRowFunction="sum" dataDxfId="599" totalsRowDxfId="598" dataCellStyle="Comma">
      <calculatedColumnFormula>(SUMIFS('2.2.1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calculatedColumnFormula>
    </tableColumn>
    <tableColumn id="6" name="Endeavour" totalsRowFunction="sum" dataDxfId="597" totalsRowDxfId="596" dataCellStyle="Comma">
      <calculatedColumnFormula>(SUMIFS('2.2.1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calculatedColumnFormula>
    </tableColumn>
    <tableColumn id="3" name="Powercor" totalsRowFunction="sum" dataDxfId="595" totalsRowDxfId="594" dataCellStyle="Comma">
      <calculatedColumnFormula>(SUMIFS('2.2.1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calculatedColumnFormula>
    </tableColumn>
    <tableColumn id="2" name="AusNet" totalsRowFunction="sum" dataDxfId="593" totalsRowDxfId="592" dataCellStyle="Comma">
      <calculatedColumnFormula>(SUMIFS('2.2.1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calculatedColumnFormula>
    </tableColumn>
    <tableColumn id="4" name="Essential (Original)" totalsRowFunction="sum" dataDxfId="591" totalsRowDxfId="590" dataCellStyle="Comma">
      <calculatedColumnFormula>(SUMIFS('2.2.1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calculatedColumnFormula>
    </tableColumn>
    <tableColumn id="11" name="Essential" totalsRowFunction="sum" dataDxfId="589" totalsRowDxfId="588" dataCellStyle="Comma">
      <calculatedColumnFormula>(SUMIFS('2.2.1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calculatedColumnFormula>
    </tableColumn>
    <tableColumn id="8" name="SA Power" totalsRowFunction="sum" dataDxfId="587" totalsRowDxfId="586" dataCellStyle="Comma">
      <calculatedColumnFormula>(SUMIFS('2.2.1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calculatedColumnFormula>
    </tableColumn>
    <tableColumn id="9" name="Source" dataDxfId="585" totalsRowDxfId="584" dataCellStyle="Currency"/>
    <tableColumn id="10" name="Comments" dataDxfId="583" totalsRowDxfId="582" dataCellStyle="Currency"/>
  </tableColumns>
  <tableStyleInfo name="TableStyleLight14" showFirstColumn="1" showLastColumn="0" showRowStripes="1" showColumnStripes="1"/>
</table>
</file>

<file path=xl/tables/table11.xml><?xml version="1.0" encoding="utf-8"?>
<table xmlns="http://schemas.openxmlformats.org/spreadsheetml/2006/main" id="12" name="REPEX_Spend_5yrHistory13" displayName="REPEX_Spend_5yrHistory13" ref="A44:K57" totalsRowCount="1" headerRowDxfId="581" dataDxfId="580">
  <tableColumns count="11">
    <tableColumn id="1" name="Asset Replacements (2009-13)" totalsRowLabel="Total" dataDxfId="579" totalsRowDxfId="578"/>
    <tableColumn id="5" name="Ausgrid" totalsRowFunction="sum" dataDxfId="577" totalsRowDxfId="576" dataCellStyle="Comma">
      <calculatedColumnFormula>(SUMIFS('2.2.1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calculatedColumnFormula>
    </tableColumn>
    <tableColumn id="7" name="Ergon" totalsRowFunction="sum" dataDxfId="575" totalsRowDxfId="574" dataCellStyle="Comma">
      <calculatedColumnFormula>(SUMIFS('2.2.1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calculatedColumnFormula>
    </tableColumn>
    <tableColumn id="6" name="Endeavour" totalsRowFunction="sum" dataDxfId="573" totalsRowDxfId="572" dataCellStyle="Comma">
      <calculatedColumnFormula>(SUMIFS('2.2.1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calculatedColumnFormula>
    </tableColumn>
    <tableColumn id="3" name="Powercor" totalsRowFunction="sum" dataDxfId="571" totalsRowDxfId="570" dataCellStyle="Comma">
      <calculatedColumnFormula>(SUMIFS('2.2.1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calculatedColumnFormula>
    </tableColumn>
    <tableColumn id="2" name="AusNet" totalsRowFunction="sum" dataDxfId="569" totalsRowDxfId="568" dataCellStyle="Comma">
      <calculatedColumnFormula>(SUMIFS('2.2.1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calculatedColumnFormula>
    </tableColumn>
    <tableColumn id="4" name="Essential (Original)" totalsRowFunction="sum" dataDxfId="567" totalsRowDxfId="566" dataCellStyle="Comma">
      <calculatedColumnFormula>(SUMIFS('2.2.1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calculatedColumnFormula>
    </tableColumn>
    <tableColumn id="11" name="Essential" totalsRowFunction="sum" dataDxfId="565" totalsRowDxfId="564" dataCellStyle="Comma">
      <calculatedColumnFormula>(SUMIFS('2.2.1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calculatedColumnFormula>
    </tableColumn>
    <tableColumn id="8" name="SA Power" totalsRowFunction="sum" dataDxfId="563" totalsRowDxfId="562" dataCellStyle="Comma">
      <calculatedColumnFormula>(SUMIFS('2.2.1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calculatedColumnFormula>
    </tableColumn>
    <tableColumn id="9" name="Source" dataDxfId="561" totalsRowDxfId="560" dataCellStyle="Currency"/>
    <tableColumn id="10" name="Comments" dataDxfId="559" totalsRowDxfId="558" dataCellStyle="Currency"/>
  </tableColumns>
  <tableStyleInfo name="TableStyleLight14" showFirstColumn="1" showLastColumn="0" showRowStripes="1" showColumnStripes="1"/>
</table>
</file>

<file path=xl/tables/table12.xml><?xml version="1.0" encoding="utf-8"?>
<table xmlns="http://schemas.openxmlformats.org/spreadsheetml/2006/main" id="17" name="REPEX_Spend_5yrForecast18" displayName="REPEX_Spend_5yrForecast18" ref="A185:K198" totalsRowCount="1" headerRowDxfId="557" dataDxfId="556">
  <tableColumns count="11">
    <tableColumn id="1" name="5 yr REPEX Spend (2015-19)" totalsRowLabel="Total" dataDxfId="555" totalsRowDxfId="554"/>
    <tableColumn id="5" name="Ausgrid" totalsRowFunction="sum" dataDxfId="553" totalsRowDxfId="552" dataCellStyle="Comma">
      <calculatedColumnFormula>(SUMIFS('2.2.1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calculatedColumnFormula>
    </tableColumn>
    <tableColumn id="7" name="Ergon" totalsRowFunction="sum" dataDxfId="551" totalsRowDxfId="550" dataCellStyle="Comma">
      <calculatedColumnFormula>(SUMIFS('2.2.1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calculatedColumnFormula>
    </tableColumn>
    <tableColumn id="6" name="Endeavour" totalsRowFunction="sum" dataDxfId="549" totalsRowDxfId="548" dataCellStyle="Comma">
      <calculatedColumnFormula>(SUMIFS('2.2.1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calculatedColumnFormula>
    </tableColumn>
    <tableColumn id="3" name="Powercor" totalsRowFunction="sum" dataDxfId="547" totalsRowDxfId="546" dataCellStyle="Comma">
      <calculatedColumnFormula>(SUMIFS('2.2.1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calculatedColumnFormula>
    </tableColumn>
    <tableColumn id="2" name="AusNet" totalsRowFunction="sum" dataDxfId="545" totalsRowDxfId="544" dataCellStyle="Comma">
      <calculatedColumnFormula>(SUMIFS('2.2.1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calculatedColumnFormula>
    </tableColumn>
    <tableColumn id="4" name="Essential (Original)" totalsRowFunction="sum" dataDxfId="543" totalsRowDxfId="542" dataCellStyle="Comma">
      <calculatedColumnFormula>(SUMIFS('2.2.1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calculatedColumnFormula>
    </tableColumn>
    <tableColumn id="11" name="Essential" totalsRowFunction="sum" dataDxfId="541" totalsRowDxfId="540" dataCellStyle="Comma">
      <calculatedColumnFormula>(SUMIFS('2.2.1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calculatedColumnFormula>
    </tableColumn>
    <tableColumn id="8" name="SA Power" totalsRowFunction="sum" dataDxfId="539" totalsRowDxfId="538" dataCellStyle="Comma">
      <calculatedColumnFormula>(SUMIFS('2.2.1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calculatedColumnFormula>
    </tableColumn>
    <tableColumn id="9" name="Source" dataDxfId="537" totalsRowDxfId="536" dataCellStyle="Currency"/>
    <tableColumn id="10" name="Comments" dataDxfId="535" totalsRowDxfId="534" dataCellStyle="Currency"/>
  </tableColumns>
  <tableStyleInfo name="TableStyleLight14" showFirstColumn="1" showLastColumn="0" showRowStripes="1" showColumnStripes="1"/>
</table>
</file>

<file path=xl/tables/table13.xml><?xml version="1.0" encoding="utf-8"?>
<table xmlns="http://schemas.openxmlformats.org/spreadsheetml/2006/main" id="18" name="Table18" displayName="Table18" ref="A201:K213" totalsRowShown="0" headerRowDxfId="533" dataDxfId="532" dataCellStyle="Comma">
  <tableColumns count="11">
    <tableColumn id="1" name="Category" dataDxfId="531"/>
    <tableColumn id="2" name="Ausgrid" dataDxfId="530" dataCellStyle="Currency">
      <calculatedColumnFormula>IFERROR(VLOOKUP(Table18[[#This Row],[Category]],REPEX_Spend_5yrForecast[#All],MATCH(Table18[#Headers],REPEX_Spend_5yrForecast[#Headers],0),FALSE)/VLOOKUP(Table18[[#This Row],[Category]],REPEX_Spend_5yrForecast18[#All],MATCH(Table18[#Headers],REPEX_Spend_5yrForecast18[#Headers],0),FALSE),"")</calculatedColumnFormula>
    </tableColumn>
    <tableColumn id="3" name="Ergon" dataDxfId="529" dataCellStyle="Currency">
      <calculatedColumnFormula>IFERROR(VLOOKUP(Table18[[#This Row],[Category]],REPEX_Spend_5yrForecast[#All],MATCH(Table18[#Headers],REPEX_Spend_5yrForecast[#Headers],0),FALSE)/VLOOKUP(Table18[[#This Row],[Category]],REPEX_Spend_5yrForecast18[#All],MATCH(Table18[#Headers],REPEX_Spend_5yrForecast18[#Headers],0),FALSE),"")</calculatedColumnFormula>
    </tableColumn>
    <tableColumn id="4" name="Endeavour" dataDxfId="528" dataCellStyle="Currency">
      <calculatedColumnFormula>IFERROR(VLOOKUP(Table18[[#This Row],[Category]],REPEX_Spend_5yrForecast[#All],MATCH(Table18[#Headers],REPEX_Spend_5yrForecast[#Headers],0),FALSE)/VLOOKUP(Table18[[#This Row],[Category]],REPEX_Spend_5yrForecast18[#All],MATCH(Table18[#Headers],REPEX_Spend_5yrForecast18[#Headers],0),FALSE),"")</calculatedColumnFormula>
    </tableColumn>
    <tableColumn id="5" name="Powercor" dataDxfId="527" dataCellStyle="Currency">
      <calculatedColumnFormula>IFERROR(VLOOKUP(Table18[[#This Row],[Category]],REPEX_Spend_5yrForecast[#All],MATCH(Table18[#Headers],REPEX_Spend_5yrForecast[#Headers],0),FALSE)/VLOOKUP(Table18[[#This Row],[Category]],REPEX_Spend_5yrForecast18[#All],MATCH(Table18[#Headers],REPEX_Spend_5yrForecast18[#Headers],0),FALSE),"")</calculatedColumnFormula>
    </tableColumn>
    <tableColumn id="6" name="AusNet" dataDxfId="526" dataCellStyle="Currency">
      <calculatedColumnFormula>IFERROR(VLOOKUP(Table18[[#This Row],[Category]],REPEX_Spend_5yrForecast[#All],MATCH(Table18[#Headers],REPEX_Spend_5yrForecast[#Headers],0),FALSE)/VLOOKUP(Table18[[#This Row],[Category]],REPEX_Spend_5yrForecast18[#All],MATCH(Table18[#Headers],REPEX_Spend_5yrForecast18[#Headers],0),FALSE),"")</calculatedColumnFormula>
    </tableColumn>
    <tableColumn id="7" name="Essential (Original)" dataDxfId="525" dataCellStyle="Currency">
      <calculatedColumnFormula>IFERROR(VLOOKUP(Table18[[#This Row],[Category]],REPEX_Spend_5yrForecast[#All],MATCH(Table18[#Headers],REPEX_Spend_5yrForecast[#Headers],0),FALSE)/VLOOKUP(Table18[[#This Row],[Category]],REPEX_Spend_5yrForecast18[#All],MATCH(Table18[#Headers],REPEX_Spend_5yrForecast18[#Headers],0),FALSE),"")</calculatedColumnFormula>
    </tableColumn>
    <tableColumn id="8" name="Essential" dataDxfId="524" dataCellStyle="Currency">
      <calculatedColumnFormula>IFERROR(VLOOKUP(Table18[[#This Row],[Category]],REPEX_Spend_5yrForecast[#All],MATCH(Table18[#Headers],REPEX_Spend_5yrForecast[#Headers],0),FALSE)/VLOOKUP(Table18[[#This Row],[Category]],REPEX_Spend_5yrForecast18[#All],MATCH(Table18[#Headers],REPEX_Spend_5yrForecast18[#Headers],0),FALSE),"")</calculatedColumnFormula>
    </tableColumn>
    <tableColumn id="9" name="SA Power" dataDxfId="523" dataCellStyle="Currency">
      <calculatedColumnFormula>IFERROR(VLOOKUP(Table18[[#This Row],[Category]],REPEX_Spend_5yrForecast[#All],MATCH(Table18[#Headers],REPEX_Spend_5yrForecast[#Headers],0),FALSE)/VLOOKUP(Table18[[#This Row],[Category]],REPEX_Spend_5yrForecast18[#All],MATCH(Table18[#Headers],REPEX_Spend_5yrForecast18[#Headers],0),FALSE),"")</calculatedColumnFormula>
    </tableColumn>
    <tableColumn id="10" name="Source" dataDxfId="522" dataCellStyle="Currency"/>
    <tableColumn id="11" name="Comments" dataDxfId="521" dataCellStyle="Currency"/>
  </tableColumns>
  <tableStyleInfo name="TableStyleLight14" showFirstColumn="0" showLastColumn="0" showRowStripes="1" showColumnStripes="1"/>
</table>
</file>

<file path=xl/tables/table14.xml><?xml version="1.0" encoding="utf-8"?>
<table xmlns="http://schemas.openxmlformats.org/spreadsheetml/2006/main" id="6" name="OPEX_RoutineSpend_5yrHistory" displayName="OPEX_RoutineSpend_5yrHistory" ref="C16:O27" totalsRowCount="1" headerRowDxfId="520" dataDxfId="519">
  <tableColumns count="13">
    <tableColumn id="1" name="5 yr Routine Maint Spend (2009-13)" totalsRowLabel="Total" dataDxfId="518" totalsRowDxfId="517"/>
    <tableColumn id="5" name="Ausgrid" totalsRowFunction="sum" dataDxfId="516" totalsRowDxfId="515" dataCellStyle="Currency">
      <calculatedColumnFormula>SUMIFS('2.8 Maintenance'!$AL:$AL,'2.8 Maintenance'!$A:$A,OPEX_RoutineSpend_5yrHistory[#Headers],'2.8 Maintenance'!$B:$B,OPEX_RoutineSpend_5yrHistory[[#This Row],[5 yr Routine Maint Spend (2009-13)]])*1000</calculatedColumnFormula>
    </tableColumn>
    <tableColumn id="7" name="Ergon" totalsRowFunction="sum" dataDxfId="514" totalsRowDxfId="513" dataCellStyle="Currency">
      <calculatedColumnFormula>SUMIFS('2.8 Maintenance'!$AL:$AL,'2.8 Maintenance'!$A:$A,OPEX_RoutineSpend_5yrHistory[#Headers],'2.8 Maintenance'!$B:$B,OPEX_RoutineSpend_5yrHistory[[#This Row],[5 yr Routine Maint Spend (2009-13)]])*1000</calculatedColumnFormula>
    </tableColumn>
    <tableColumn id="6" name="Endeavour" totalsRowFunction="sum" dataDxfId="512" totalsRowDxfId="511" dataCellStyle="Currency">
      <calculatedColumnFormula>SUMIFS('2.8 Maintenance'!$AL:$AL,'2.8 Maintenance'!$A:$A,OPEX_RoutineSpend_5yrHistory[#Headers],'2.8 Maintenance'!$B:$B,OPEX_RoutineSpend_5yrHistory[[#This Row],[5 yr Routine Maint Spend (2009-13)]])*1000</calculatedColumnFormula>
    </tableColumn>
    <tableColumn id="3" name="Powercor" totalsRowFunction="sum" dataDxfId="510" totalsRowDxfId="509" dataCellStyle="Currency">
      <calculatedColumnFormula>SUMIFS('2.8 Maintenance'!$AL:$AL,'2.8 Maintenance'!$A:$A,OPEX_RoutineSpend_5yrHistory[#Headers],'2.8 Maintenance'!$B:$B,OPEX_RoutineSpend_5yrHistory[[#This Row],[5 yr Routine Maint Spend (2009-13)]])*1000</calculatedColumnFormula>
    </tableColumn>
    <tableColumn id="8" name="AusNet" totalsRowFunction="sum" dataDxfId="508" totalsRowDxfId="507" dataCellStyle="Currency">
      <calculatedColumnFormula>SUMIFS('2.8 Maintenance'!$AL:$AL,'2.8 Maintenance'!$A:$A,OPEX_RoutineSpend_5yrHistory[#Headers],'2.8 Maintenance'!$B:$B,OPEX_RoutineSpend_5yrHistory[[#This Row],[5 yr Routine Maint Spend (2009-13)]])*1000</calculatedColumnFormula>
    </tableColumn>
    <tableColumn id="2" name="Essential (Original)" totalsRowFunction="sum" dataDxfId="506" totalsRowDxfId="505" dataCellStyle="Currency">
      <calculatedColumnFormula>SUMIFS('2.8 Maintenance'!$AL:$AL,'2.8 Maintenance'!$A:$A,OPEX_RoutineSpend_5yrHistory[#Headers],'2.8 Maintenance'!$B:$B,OPEX_RoutineSpend_5yrHistory[[#This Row],[5 yr Routine Maint Spend (2009-13)]])*1000</calculatedColumnFormula>
    </tableColumn>
    <tableColumn id="11" name="Essential" totalsRowFunction="sum" dataDxfId="504" totalsRowDxfId="503" dataCellStyle="Currency">
      <calculatedColumnFormula>SUMIFS('2.8 Maintenance'!$AL:$AL,'2.8 Maintenance'!$A:$A,OPEX_RoutineSpend_5yrHistory[#Headers],'2.8 Maintenance'!$B:$B,OPEX_RoutineSpend_5yrHistory[[#This Row],[5 yr Routine Maint Spend (2009-13)]])*1000</calculatedColumnFormula>
    </tableColumn>
    <tableColumn id="4" name="SA Power" totalsRowFunction="sum" dataDxfId="502" totalsRowDxfId="501" dataCellStyle="Currency">
      <calculatedColumnFormula>SUMIFS('2.8 Maintenance'!$AL:$AL,'2.8 Maintenance'!$A:$A,OPEX_RoutineSpend_5yrHistory[#Headers],'2.8 Maintenance'!$B:$B,OPEX_RoutineSpend_5yrHistory[[#This Row],[5 yr Routine Maint Spend (2009-13)]])*1000</calculatedColumnFormula>
    </tableColumn>
    <tableColumn id="9" name="AusNet + Powercor" totalsRowFunction="sum" dataDxfId="500" totalsRowDxfId="499" dataCellStyle="Currency">
      <calculatedColumnFormula>OPEX_RoutineSpend_5yrHistory[[#This Row],[AusNet]]+OPEX_RoutineSpend_5yrHistory[[#This Row],[Powercor]]</calculatedColumnFormula>
    </tableColumn>
    <tableColumn id="10" name="SA Power + Powercor" totalsRowFunction="sum" dataDxfId="498" totalsRowDxfId="497" dataCellStyle="Currency">
      <calculatedColumnFormula>OPEX_RoutineSpend_5yrHistory[[#This Row],[Powercor]]+OPEX_RoutineSpend_5yrHistory[[#This Row],[SA Power]]</calculatedColumnFormula>
    </tableColumn>
    <tableColumn id="12" name="Essential -10%" totalsRowFunction="sum" dataDxfId="496" totalsRowDxfId="495" dataCellStyle="Currency">
      <calculatedColumnFormula>OPEX_RoutineSpend_5yrHistory[[#This Row],[Essential]]*0.9</calculatedColumnFormula>
    </tableColumn>
    <tableColumn id="13" name="Essential +16%Dir" totalsRowFunction="sum" dataDxfId="494" totalsRowDxfId="493" dataCellStyle="Currency">
      <calculatedColumnFormula>OPEX_RoutineSpend_5yrHistory[[#This Row],[Essential -10%]]*(1+DirectCostInc)</calculatedColumnFormula>
    </tableColumn>
  </tableColumns>
  <tableStyleInfo name="TableStyleLight14" showFirstColumn="1" showLastColumn="0" showRowStripes="1" showColumnStripes="1"/>
</table>
</file>

<file path=xl/tables/table15.xml><?xml version="1.0" encoding="utf-8"?>
<table xmlns="http://schemas.openxmlformats.org/spreadsheetml/2006/main" id="15" name="OPEX_NonRoutineSpend_5yrHistory" displayName="OPEX_NonRoutineSpend_5yrHistory" ref="C30:O41" totalsRowCount="1" headerRowDxfId="492" dataDxfId="491">
  <tableColumns count="13">
    <tableColumn id="1" name="5 yr Non Routine Maint Spend (2009-13)" totalsRowLabel="Total" dataDxfId="490" totalsRowDxfId="489"/>
    <tableColumn id="5" name="Ausgrid" totalsRowFunction="sum" dataDxfId="488" totalsRowDxfId="487" dataCellStyle="Currency">
      <calculatedColumnFormula>SUMIFS('2.8 Maintenance'!$AM:$AM,'2.8 Maintenance'!$A:$A,OPEX_NonRoutineSpend_5yrHistory[#Headers],'2.8 Maintenance'!$B:$B,OPEX_NonRoutineSpend_5yrHistory[[#This Row],[5 yr Non Routine Maint Spend (2009-13)]])*1000</calculatedColumnFormula>
    </tableColumn>
    <tableColumn id="7" name="Ergon" totalsRowFunction="sum" dataDxfId="486" totalsRowDxfId="485" dataCellStyle="Currency">
      <calculatedColumnFormula>SUMIFS('2.8 Maintenance'!$AM:$AM,'2.8 Maintenance'!$A:$A,OPEX_NonRoutineSpend_5yrHistory[#Headers],'2.8 Maintenance'!$B:$B,OPEX_NonRoutineSpend_5yrHistory[[#This Row],[5 yr Non Routine Maint Spend (2009-13)]])*1000</calculatedColumnFormula>
    </tableColumn>
    <tableColumn id="6" name="Endeavour" totalsRowFunction="sum" dataDxfId="484" totalsRowDxfId="483" dataCellStyle="Currency">
      <calculatedColumnFormula>SUMIFS('2.8 Maintenance'!$AM:$AM,'2.8 Maintenance'!$A:$A,OPEX_NonRoutineSpend_5yrHistory[#Headers],'2.8 Maintenance'!$B:$B,OPEX_NonRoutineSpend_5yrHistory[[#This Row],[5 yr Non Routine Maint Spend (2009-13)]])*1000</calculatedColumnFormula>
    </tableColumn>
    <tableColumn id="3" name="Powercor" totalsRowFunction="sum" dataDxfId="482" totalsRowDxfId="481" dataCellStyle="Currency">
      <calculatedColumnFormula>SUMIFS('2.8 Maintenance'!$AM:$AM,'2.8 Maintenance'!$A:$A,OPEX_NonRoutineSpend_5yrHistory[#Headers],'2.8 Maintenance'!$B:$B,OPEX_NonRoutineSpend_5yrHistory[[#This Row],[5 yr Non Routine Maint Spend (2009-13)]])*1000</calculatedColumnFormula>
    </tableColumn>
    <tableColumn id="8" name="AusNet" totalsRowFunction="sum" dataDxfId="480" totalsRowDxfId="479" dataCellStyle="Currency">
      <calculatedColumnFormula>SUMIFS('2.8 Maintenance'!$AM:$AM,'2.8 Maintenance'!$A:$A,OPEX_NonRoutineSpend_5yrHistory[#Headers],'2.8 Maintenance'!$B:$B,OPEX_NonRoutineSpend_5yrHistory[[#This Row],[5 yr Non Routine Maint Spend (2009-13)]])*1000</calculatedColumnFormula>
    </tableColumn>
    <tableColumn id="2" name="Essential (Original)" totalsRowFunction="sum" dataDxfId="478" totalsRowDxfId="477" dataCellStyle="Currency">
      <calculatedColumnFormula>SUMIFS('2.8 Maintenance'!$AM:$AM,'2.8 Maintenance'!$A:$A,OPEX_NonRoutineSpend_5yrHistory[#Headers],'2.8 Maintenance'!$B:$B,OPEX_NonRoutineSpend_5yrHistory[[#This Row],[5 yr Non Routine Maint Spend (2009-13)]])*1000</calculatedColumnFormula>
    </tableColumn>
    <tableColumn id="11" name="Essential" totalsRowFunction="sum" dataDxfId="476" totalsRowDxfId="475" dataCellStyle="Currency">
      <calculatedColumnFormula>SUMIFS('2.8 Maintenance'!$AM:$AM,'2.8 Maintenance'!$A:$A,OPEX_NonRoutineSpend_5yrHistory[#Headers],'2.8 Maintenance'!$B:$B,OPEX_NonRoutineSpend_5yrHistory[[#This Row],[5 yr Non Routine Maint Spend (2009-13)]])*1000</calculatedColumnFormula>
    </tableColumn>
    <tableColumn id="4" name="SA Power" totalsRowFunction="sum" dataDxfId="474" totalsRowDxfId="473" dataCellStyle="Currency">
      <calculatedColumnFormula>SUMIFS('2.8 Maintenance'!$AM:$AM,'2.8 Maintenance'!$A:$A,OPEX_NonRoutineSpend_5yrHistory[#Headers],'2.8 Maintenance'!$B:$B,OPEX_NonRoutineSpend_5yrHistory[[#This Row],[5 yr Non Routine Maint Spend (2009-13)]])*1000</calculatedColumnFormula>
    </tableColumn>
    <tableColumn id="9" name="AusNet + Powercor" totalsRowFunction="sum" dataDxfId="472" totalsRowDxfId="471" dataCellStyle="Currency">
      <calculatedColumnFormula>OPEX_NonRoutineSpend_5yrHistory[[#This Row],[AusNet]]+OPEX_NonRoutineSpend_5yrHistory[[#This Row],[Powercor]]</calculatedColumnFormula>
    </tableColumn>
    <tableColumn id="10" name="SA Power + Powercor" totalsRowFunction="sum" dataDxfId="470" totalsRowDxfId="469" dataCellStyle="Currency">
      <calculatedColumnFormula>OPEX_NonRoutineSpend_5yrHistory[[#This Row],[Powercor]]+OPEX_NonRoutineSpend_5yrHistory[[#This Row],[SA Power]]</calculatedColumnFormula>
    </tableColumn>
    <tableColumn id="12" name="Essential -10%" totalsRowFunction="sum" dataDxfId="468" totalsRowDxfId="467" dataCellStyle="Currency"/>
    <tableColumn id="13" name="Essential +16%Dir" totalsRowFunction="sum" dataDxfId="466" totalsRowDxfId="465" dataCellStyle="Currency">
      <calculatedColumnFormula>OPEX_NonRoutineSpend_5yrHistory[[#This Row],[Essential -10%]]*(1+DirectCostInc)</calculatedColumnFormula>
    </tableColumn>
  </tableColumns>
  <tableStyleInfo name="TableStyleLight14" showFirstColumn="1" showLastColumn="0" showRowStripes="1" showColumnStripes="1"/>
</table>
</file>

<file path=xl/tables/table16.xml><?xml version="1.0" encoding="utf-8"?>
<table xmlns="http://schemas.openxmlformats.org/spreadsheetml/2006/main" id="19" name="OPEX_TotalSpend_5yrHistory" displayName="OPEX_TotalSpend_5yrHistory" ref="C2:O13" totalsRowCount="1" headerRowDxfId="464" dataDxfId="463">
  <tableColumns count="13">
    <tableColumn id="1" name="5 yr Total Maint Spend (2009-13)" totalsRowLabel="Total" dataDxfId="462" totalsRowDxfId="461"/>
    <tableColumn id="5" name="Ausgrid" totalsRowFunction="sum" dataDxfId="460" totalsRowDxfId="459" dataCellStyle="Currency">
      <calculatedColumnFormula>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calculatedColumnFormula>
    </tableColumn>
    <tableColumn id="7" name="Ergon" totalsRowFunction="sum" dataDxfId="458" totalsRowDxfId="457" dataCellStyle="Currency">
      <calculatedColumnFormula>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calculatedColumnFormula>
    </tableColumn>
    <tableColumn id="6" name="Endeavour" totalsRowFunction="sum" dataDxfId="456" totalsRowDxfId="455" dataCellStyle="Currency">
      <calculatedColumnFormula>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calculatedColumnFormula>
    </tableColumn>
    <tableColumn id="3" name="Powercor" totalsRowFunction="sum" dataDxfId="454" totalsRowDxfId="453" dataCellStyle="Currency">
      <calculatedColumnFormula>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calculatedColumnFormula>
    </tableColumn>
    <tableColumn id="9" name="AusNet" totalsRowFunction="sum" dataDxfId="452" totalsRowDxfId="451" dataCellStyle="Currency">
      <calculatedColumnFormula>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calculatedColumnFormula>
    </tableColumn>
    <tableColumn id="2" name="Essential (Original)" totalsRowFunction="sum" dataDxfId="450" totalsRowDxfId="449" dataCellStyle="Currency">
      <calculatedColumnFormula>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calculatedColumnFormula>
    </tableColumn>
    <tableColumn id="11" name="Essential" totalsRowFunction="sum" dataDxfId="448" totalsRowDxfId="447" dataCellStyle="Currency">
      <calculatedColumnFormula>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calculatedColumnFormula>
    </tableColumn>
    <tableColumn id="4" name="SA Power" totalsRowFunction="sum" dataDxfId="446" totalsRowDxfId="445" dataCellStyle="Currency">
      <calculatedColumnFormula>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calculatedColumnFormula>
    </tableColumn>
    <tableColumn id="8" name="AusNet + Powercor" totalsRowFunction="sum" dataDxfId="444" totalsRowDxfId="443" dataCellStyle="Currency">
      <calculatedColumnFormula>OPEX_TotalSpend_5yrHistory[[#This Row],[Powercor]]+OPEX_TotalSpend_5yrHistory[[#This Row],[AusNet]]</calculatedColumnFormula>
    </tableColumn>
    <tableColumn id="10" name="SA Power + Powercor" totalsRowFunction="sum" dataDxfId="442" totalsRowDxfId="441" dataCellStyle="Currency">
      <calculatedColumnFormula>OPEX_TotalSpend_5yrHistory[[#This Row],[Powercor]]+OPEX_TotalSpend_5yrHistory[[#This Row],[SA Power]]</calculatedColumnFormula>
    </tableColumn>
    <tableColumn id="12" name="Essential -10%" totalsRowFunction="sum" dataDxfId="440" totalsRowDxfId="439" dataCellStyle="Currency">
      <calculatedColumnFormula>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calculatedColumnFormula>
    </tableColumn>
    <tableColumn id="13" name="Essential +16%Dir" totalsRowFunction="sum" dataDxfId="438" totalsRowDxfId="437" dataCellStyle="Currency">
      <calculatedColumnFormula>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calculatedColumnFormula>
    </tableColumn>
  </tableColumns>
  <tableStyleInfo name="TableStyleLight14" showFirstColumn="1" showLastColumn="0" showRowStripes="1" showColumnStripes="1"/>
</table>
</file>

<file path=xl/tables/table17.xml><?xml version="1.0" encoding="utf-8"?>
<table xmlns="http://schemas.openxmlformats.org/spreadsheetml/2006/main" id="21" name="OPEX_MaintQty_5yrHistory" displayName="OPEX_MaintQty_5yrHistory" ref="C44:O55" totalsRowCount="1" headerRowDxfId="436" dataDxfId="435">
  <tableColumns count="13">
    <tableColumn id="1" name="5 yr Maintenance/Inspection Qty (2009-13)" totalsRowLabel="Total" dataDxfId="434" totalsRowDxfId="433"/>
    <tableColumn id="5" name="Ausgrid" totalsRowFunction="sum" dataDxfId="432" totalsRowDxfId="431" dataCellStyle="Currency">
      <calculatedColumnFormula>SUMIFS('2.8 Maintenance'!$AK:$AK,'2.8 Maintenance'!$A:$A,OPEX_MaintQty_5yrHistory[#Headers],'2.8 Maintenance'!$B:$B,OPEX_MaintQty_5yrHistory[[#This Row],[5 yr Maintenance/Inspection Qty (2009-13)]])*1000</calculatedColumnFormula>
    </tableColumn>
    <tableColumn id="7" name="Ergon" totalsRowFunction="sum" dataDxfId="430" totalsRowDxfId="429" dataCellStyle="Currency">
      <calculatedColumnFormula>SUMIFS('2.8 Maintenance'!$AK:$AK,'2.8 Maintenance'!$A:$A,OPEX_MaintQty_5yrHistory[#Headers],'2.8 Maintenance'!$B:$B,OPEX_MaintQty_5yrHistory[[#This Row],[5 yr Maintenance/Inspection Qty (2009-13)]])*1000</calculatedColumnFormula>
    </tableColumn>
    <tableColumn id="6" name="Endeavour" totalsRowFunction="sum" dataDxfId="428" totalsRowDxfId="427" dataCellStyle="Currency">
      <calculatedColumnFormula>SUMIFS('2.8 Maintenance'!$AK:$AK,'2.8 Maintenance'!$A:$A,OPEX_MaintQty_5yrHistory[#Headers],'2.8 Maintenance'!$B:$B,OPEX_MaintQty_5yrHistory[[#This Row],[5 yr Maintenance/Inspection Qty (2009-13)]])*1000</calculatedColumnFormula>
    </tableColumn>
    <tableColumn id="3" name="Powercor" totalsRowFunction="sum" dataDxfId="426" totalsRowDxfId="425" dataCellStyle="Currency">
      <calculatedColumnFormula>SUMIFS('2.8 Maintenance'!$AK:$AK,'2.8 Maintenance'!$A:$A,OPEX_MaintQty_5yrHistory[#Headers],'2.8 Maintenance'!$B:$B,OPEX_MaintQty_5yrHistory[[#This Row],[5 yr Maintenance/Inspection Qty (2009-13)]])*1000</calculatedColumnFormula>
    </tableColumn>
    <tableColumn id="8" name="AusNet" totalsRowFunction="sum" dataDxfId="424" totalsRowDxfId="423" dataCellStyle="Currency">
      <calculatedColumnFormula>SUMIFS('2.8 Maintenance'!$AK:$AK,'2.8 Maintenance'!$A:$A,OPEX_MaintQty_5yrHistory[#Headers],'2.8 Maintenance'!$B:$B,OPEX_MaintQty_5yrHistory[[#This Row],[5 yr Maintenance/Inspection Qty (2009-13)]])*1000</calculatedColumnFormula>
    </tableColumn>
    <tableColumn id="2" name="Essential (Original)" totalsRowFunction="sum" dataDxfId="422" totalsRowDxfId="421" dataCellStyle="Currency">
      <calculatedColumnFormula>SUMIFS('2.8 Maintenance'!$AK:$AK,'2.8 Maintenance'!$A:$A,OPEX_MaintQty_5yrHistory[#Headers],'2.8 Maintenance'!$B:$B,OPEX_MaintQty_5yrHistory[[#This Row],[5 yr Maintenance/Inspection Qty (2009-13)]])*1000</calculatedColumnFormula>
    </tableColumn>
    <tableColumn id="11" name="Essential" totalsRowFunction="sum" dataDxfId="420" totalsRowDxfId="419" dataCellStyle="Currency">
      <calculatedColumnFormula>SUMIFS('2.8 Maintenance'!$AK:$AK,'2.8 Maintenance'!$A:$A,OPEX_MaintQty_5yrHistory[#Headers],'2.8 Maintenance'!$B:$B,OPEX_MaintQty_5yrHistory[[#This Row],[5 yr Maintenance/Inspection Qty (2009-13)]])*1000</calculatedColumnFormula>
    </tableColumn>
    <tableColumn id="4" name="SA Power" totalsRowFunction="sum" dataDxfId="418" totalsRowDxfId="417" dataCellStyle="Currency">
      <calculatedColumnFormula>SUMIFS('2.8 Maintenance'!$AK:$AK,'2.8 Maintenance'!$A:$A,OPEX_MaintQty_5yrHistory[#Headers],'2.8 Maintenance'!$B:$B,OPEX_MaintQty_5yrHistory[[#This Row],[5 yr Maintenance/Inspection Qty (2009-13)]])*1000</calculatedColumnFormula>
    </tableColumn>
    <tableColumn id="9" name="AusNet + Powercor" totalsRowFunction="sum" dataDxfId="416" totalsRowDxfId="415" dataCellStyle="Currency">
      <calculatedColumnFormula>OPEX_MaintQty_5yrHistory[[#This Row],[Powercor]]+OPEX_MaintQty_5yrHistory[[#This Row],[AusNet]]</calculatedColumnFormula>
    </tableColumn>
    <tableColumn id="10" name="SA Power + Powercor" totalsRowFunction="sum" dataDxfId="414" totalsRowDxfId="413" dataCellStyle="Currency">
      <calculatedColumnFormula>OPEX_MaintQty_5yrHistory[[#This Row],[Powercor]]+OPEX_MaintQty_5yrHistory[[#This Row],[SA Power]]</calculatedColumnFormula>
    </tableColumn>
    <tableColumn id="12" name="Essential -10%" totalsRowFunction="sum" dataDxfId="412" totalsRowDxfId="411" dataCellStyle="Currency">
      <calculatedColumnFormula>OPEX_MaintQty_5yrHistory[[#This Row],[Essential]]</calculatedColumnFormula>
    </tableColumn>
    <tableColumn id="13" name="Essential +16%Dir" totalsRowFunction="sum" dataDxfId="410" totalsRowDxfId="409" dataCellStyle="Currency">
      <calculatedColumnFormula>OPEX_MaintQty_5yrHistory[[#This Row],[Essential]]</calculatedColumnFormula>
    </tableColumn>
  </tableColumns>
  <tableStyleInfo name="TableStyleLight14" showFirstColumn="1" showLastColumn="0" showRowStripes="1" showColumnStripes="1"/>
</table>
</file>

<file path=xl/tables/table18.xml><?xml version="1.0" encoding="utf-8"?>
<table xmlns="http://schemas.openxmlformats.org/spreadsheetml/2006/main" id="23" name="OPEX_NonRoutineSpend_5yrHistory7162224" displayName="OPEX_NonRoutineSpend_5yrHistory7162224" ref="C58:O67" headerRowDxfId="408" dataDxfId="407">
  <tableColumns count="13">
    <tableColumn id="1" name="Category" totalsRowLabel="Total" dataDxfId="406"/>
    <tableColumn id="5" name="Ausgrid" totalsRowFunction="sum" dataDxfId="405" totalsRowDxfId="404"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 id="7" name="Ergon" totalsRowFunction="sum" dataDxfId="403" totalsRowDxfId="402"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 id="6" name="Endeavour" totalsRowFunction="sum" dataDxfId="401" totalsRowDxfId="400"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 id="3" name="Powercor" totalsRowFunction="sum" dataDxfId="399" totalsRowDxfId="398"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 id="8" name="AusNet" dataDxfId="397" totalsRowDxfId="396"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 id="2" name="Essential (Original)" totalsRowFunction="sum" dataDxfId="395" totalsRowDxfId="394"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 id="11" name="Essential" dataDxfId="393" totalsRowDxfId="392"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 id="4" name="SA Power" totalsRowFunction="sum" dataDxfId="391" totalsRowDxfId="390"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 id="9" name="AusNet + Powercor" dataDxfId="389" totalsRowDxfId="388"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 id="10" name="SA Power + Powercor" dataDxfId="387" totalsRowDxfId="386"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 id="12" name="Essential -10%" dataDxfId="385" totalsRowDxfId="384"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 id="13" name="Essential +16%Dir" dataDxfId="383" totalsRowDxfId="382" dataCellStyle="Currency">
      <calculatedColumnFormula>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calculatedColumnFormula>
    </tableColumn>
  </tableColumns>
  <tableStyleInfo name="TableStyleLight14" showFirstColumn="1" showLastColumn="0" showRowStripes="1" showColumnStripes="1"/>
</table>
</file>

<file path=xl/tables/table19.xml><?xml version="1.0" encoding="utf-8"?>
<table xmlns="http://schemas.openxmlformats.org/spreadsheetml/2006/main" id="3" name="NormalisedOPEX_RoutineSpend_5yrHistory" displayName="NormalisedOPEX_RoutineSpend_5yrHistory" ref="C83:O92" headerRowDxfId="381" dataDxfId="380">
  <tableColumns count="13">
    <tableColumn id="1" name="Normalised by" totalsRowLabel="Total" dataDxfId="379" totalsRowDxfId="378"/>
    <tableColumn id="5" name="Ausgrid" totalsRowFunction="sum" dataDxfId="377" totalsRowDxfId="376"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 id="7" name="Ergon" totalsRowFunction="sum" dataDxfId="375" totalsRowDxfId="374"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 id="6" name="Endeavour" totalsRowFunction="sum" dataDxfId="373" totalsRowDxfId="372"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 id="3" name="Powercor" totalsRowFunction="sum" dataDxfId="371" totalsRowDxfId="370"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 id="9" name="AusNet" dataDxfId="369" totalsRowDxfId="368"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 id="2" name="Essential (Original)" totalsRowFunction="sum" dataDxfId="367" totalsRowDxfId="366"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 id="11" name="Essential" dataDxfId="365" totalsRowDxfId="364"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 id="4" name="SA Power" totalsRowFunction="sum" dataDxfId="363" totalsRowDxfId="362"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 id="8" name="AusNet + Powercor" dataDxfId="361" totalsRowDxfId="360"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 id="10" name="SA Power + Powercor" dataDxfId="359" totalsRowDxfId="358"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 id="12" name="Essential -10%" dataDxfId="357" totalsRowDxfId="356"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 id="13" name="Essential +16%Dir" dataDxfId="355" totalsRowDxfId="354" dataCellStyle="Currency">
      <calculatedColumnFormula>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calculatedColumnFormula>
    </tableColumn>
  </tableColumns>
  <tableStyleInfo name="TableStyleLight14" showFirstColumn="1" showLastColumn="0" showRowStripes="1" showColumnStripes="1"/>
</table>
</file>

<file path=xl/tables/table2.xml><?xml version="1.0" encoding="utf-8"?>
<table xmlns="http://schemas.openxmlformats.org/spreadsheetml/2006/main" id="22" name="Network_Size_Comparison" displayName="Network_Size_Comparison" ref="A35:Q67" totalsRowShown="0" headerRowDxfId="772" dataDxfId="771" tableBorderDxfId="770" dataCellStyle="Comma">
  <tableColumns count="17">
    <tableColumn id="1" name="Category" dataDxfId="769"/>
    <tableColumn id="2" name="Ausgrid" dataDxfId="768" dataCellStyle="Comma">
      <calculatedColumnFormula>VLOOKUP(Network_Size_Comparison[[#This Row],[Category]],Asset_Count_5.2_AgeProfile[#All],MATCH(Network_Size_Comparison[#Headers],Asset_Count_5.2_AgeProfile[#Headers],0),FALSE)</calculatedColumnFormula>
    </tableColumn>
    <tableColumn id="3" name="Ergon" dataDxfId="767" dataCellStyle="Comma">
      <calculatedColumnFormula>IFERROR(VLOOKUP(Asset_Count_5.2_AgeProfile[#Headers]&amp;"-Total-"&amp;Asset_Count_5.2_AgeProfile[[#This Row],[Asset Count (5.2 Age Profile)]],'5.2 Age Profiles'!$1:$1048576,MATCH("Total Count",'5.2 Age Profiles'!$1:$1,0),FALSE),"")</calculatedColumnFormula>
    </tableColumn>
    <tableColumn id="4" name="Endeavour" dataDxfId="766" dataCellStyle="Comma">
      <calculatedColumnFormula>IFERROR(VLOOKUP(Asset_Count_5.2_AgeProfile[#Headers]&amp;"-Total-"&amp;Asset_Count_5.2_AgeProfile[[#This Row],[Asset Count (5.2 Age Profile)]],'5.2 Age Profiles'!$1:$1048576,MATCH("Total Count",'5.2 Age Profiles'!$1:$1,0),FALSE),"")</calculatedColumnFormula>
    </tableColumn>
    <tableColumn id="5" name="Powercor" dataDxfId="765" dataCellStyle="Comma">
      <calculatedColumnFormula>IFERROR(VLOOKUP(Asset_Count_5.2_AgeProfile[#Headers]&amp;"-Total-"&amp;Asset_Count_5.2_AgeProfile[[#This Row],[Asset Count (5.2 Age Profile)]],'5.2 Age Profiles'!$1:$1048576,MATCH("Total Count",'5.2 Age Profiles'!$1:$1,0),FALSE),"")</calculatedColumnFormula>
    </tableColumn>
    <tableColumn id="6" name="AusNet" dataDxfId="764" dataCellStyle="Comma">
      <calculatedColumnFormula>IFERROR(VLOOKUP(Asset_Count_5.2_AgeProfile[#Headers]&amp;"-Total-"&amp;Asset_Count_5.2_AgeProfile[[#This Row],[Asset Count (5.2 Age Profile)]],'5.2 Age Profiles'!$1:$1048576,MATCH("Total Count",'5.2 Age Profiles'!$1:$1,0),FALSE),"")</calculatedColumnFormula>
    </tableColumn>
    <tableColumn id="7" name="Essential (Original)" dataDxfId="763" dataCellStyle="Comma">
      <calculatedColumnFormula>IFERROR(VLOOKUP(Asset_Count_5.2_AgeProfile[#Headers]&amp;"-Total-"&amp;Asset_Count_5.2_AgeProfile[[#This Row],[Asset Count (5.2 Age Profile)]],'5.2 Age Profiles'!$1:$1048576,MATCH("Total Count",'5.2 Age Profiles'!$1:$1,0),FALSE),"")</calculatedColumnFormula>
    </tableColumn>
    <tableColumn id="13" name="Essential" dataDxfId="762"/>
    <tableColumn id="10" name="SA Power" dataDxfId="761" dataCellStyle="Comma"/>
    <tableColumn id="11" name="AusNet + Powercor" dataDxfId="760"/>
    <tableColumn id="12" name="SA Power + Powercor" dataDxfId="759" dataCellStyle="Comma"/>
    <tableColumn id="8" name="Source" dataDxfId="758" dataCellStyle="Comma"/>
    <tableColumn id="9" name="Comments" dataDxfId="757" dataCellStyle="Comma"/>
    <tableColumn id="14" name="Units" dataDxfId="756" dataCellStyle="Comma"/>
    <tableColumn id="15" name="Essential -10%" dataDxfId="755" dataCellStyle="Comma">
      <calculatedColumnFormula>Network_Size_Comparison[[#This Row],[Essential]]</calculatedColumnFormula>
    </tableColumn>
    <tableColumn id="16" name="Essential +16%Dir" dataDxfId="754" dataCellStyle="Comma">
      <calculatedColumnFormula>Network_Size_Comparison[[#This Row],[Essential]]</calculatedColumnFormula>
    </tableColumn>
    <tableColumn id="17" name="Citipower" dataDxfId="753" dataCellStyle="Comma"/>
  </tableColumns>
  <tableStyleInfo name="TableStyleLight14" showFirstColumn="0" showLastColumn="0" showRowStripes="1" showColumnStripes="1"/>
</table>
</file>

<file path=xl/tables/table20.xml><?xml version="1.0" encoding="utf-8"?>
<table xmlns="http://schemas.openxmlformats.org/spreadsheetml/2006/main" id="26" name="NormalisedOPEX_NonRoutineSpend_5yrHistory" displayName="NormalisedOPEX_NonRoutineSpend_5yrHistory" ref="C95:O104" headerRowDxfId="353" dataDxfId="352">
  <tableColumns count="13">
    <tableColumn id="1" name="Normalised by" totalsRowLabel="Total" dataDxfId="351" totalsRowDxfId="350"/>
    <tableColumn id="5" name="Ausgrid" totalsRowFunction="sum" dataDxfId="349" totalsRowDxfId="348"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 id="7" name="Ergon" totalsRowFunction="sum" dataDxfId="347" totalsRowDxfId="346"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 id="6" name="Endeavour" totalsRowFunction="sum" dataDxfId="345" totalsRowDxfId="344"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 id="3" name="Powercor" totalsRowFunction="sum" dataDxfId="343" totalsRowDxfId="342"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 id="9" name="AusNet" dataDxfId="341" totalsRowDxfId="340"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 id="2" name="Essential (Original)" totalsRowFunction="sum" dataDxfId="339" totalsRowDxfId="338"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 id="11" name="Essential" dataDxfId="337" totalsRowDxfId="336"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 id="4" name="SA Power" totalsRowFunction="sum" dataDxfId="335" totalsRowDxfId="334"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 id="8" name="AusNet + Powercor" dataDxfId="333" totalsRowDxfId="332"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 id="10" name="SA Power + Powercor" dataDxfId="331" totalsRowDxfId="330"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 id="12" name="Essential -10%" dataDxfId="329" totalsRowDxfId="328"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 id="13" name="Essential +16%Dir" dataDxfId="327" totalsRowDxfId="326" dataCellStyle="Currency">
      <calculatedColumnFormula>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calculatedColumnFormula>
    </tableColumn>
  </tableColumns>
  <tableStyleInfo name="TableStyleLight14" showFirstColumn="1" showLastColumn="0" showRowStripes="1" showColumnStripes="1"/>
</table>
</file>

<file path=xl/tables/table21.xml><?xml version="1.0" encoding="utf-8"?>
<table xmlns="http://schemas.openxmlformats.org/spreadsheetml/2006/main" id="28" name="NormalisedOPEX_TotalSpend_5yrHistory29" displayName="NormalisedOPEX_TotalSpend_5yrHistory29" ref="C71:O80" headerRowDxfId="325" dataDxfId="324">
  <tableColumns count="13">
    <tableColumn id="1" name="Normalised by" totalsRowLabel="Total" dataDxfId="323" totalsRowDxfId="322">
      <calculatedColumnFormula>OFFSET('2.8 Maintenance'!#REF!,,(ROW(C72)-ROW(#REF!))*4)</calculatedColumnFormula>
    </tableColumn>
    <tableColumn id="5" name="Ausgrid" totalsRowFunction="sum" dataDxfId="321" totalsRowDxfId="320"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 id="7" name="Ergon" totalsRowFunction="sum" dataDxfId="319" totalsRowDxfId="318"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 id="6" name="Endeavour" totalsRowFunction="sum" dataDxfId="317" totalsRowDxfId="316"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 id="3" name="Powercor" totalsRowFunction="sum" dataDxfId="315" totalsRowDxfId="314"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 id="9" name="AusNet" dataDxfId="313" totalsRowDxfId="312"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 id="2" name="Essential (Original)" totalsRowFunction="sum" dataDxfId="311" totalsRowDxfId="310"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 id="11" name="Essential" dataDxfId="309" totalsRowDxfId="308"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 id="4" name="SA Power" totalsRowFunction="sum" dataDxfId="307" totalsRowDxfId="306"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 id="8" name="AusNet + Powercor" dataDxfId="305" totalsRowDxfId="304"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 id="10" name="SA Power + Powercor" dataDxfId="303" totalsRowDxfId="302"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 id="12" name="Essential -10%" dataDxfId="301" totalsRowDxfId="300"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 id="13" name="Essential +16%Dir" dataDxfId="299" totalsRowDxfId="298" dataCellStyle="Currency">
      <calculatedColumnFormula>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calculatedColumnFormula>
    </tableColumn>
  </tableColumns>
  <tableStyleInfo name="TableStyleLight14" showFirstColumn="1" showLastColumn="0" showRowStripes="1" showColumnStripes="1"/>
</table>
</file>

<file path=xl/tables/table22.xml><?xml version="1.0" encoding="utf-8"?>
<table xmlns="http://schemas.openxmlformats.org/spreadsheetml/2006/main" id="10" name="OH_Maint" displayName="OH_Maint" ref="C108:O115" totalsRowShown="0" headerRowDxfId="297">
  <tableColumns count="13">
    <tableColumn id="1" name="OH Maintenance (Defects) Normalised by"/>
    <tableColumn id="2" name="Ausgrid" dataDxfId="296" dataCellStyle="Comma">
      <calculatedColumnFormula>IFERROR((SUMIFS('2.8 Maintenance'!$AK:$AK,'2.8 Maintenance'!$A:$A,OH_Maint[#Headers],'2.8 Maintenance'!$B:$B,"OH Maintenance"))*1000/VLOOKUP(OH_Maint[[#This Row],[OH Maintenance (Defects) Normalised by]],Network_Size_Comparison[#All],MATCH(OH_Maint[#Headers],Network_Size_Comparison[#Headers],0),FALSE)/5,"")</calculatedColumnFormula>
    </tableColumn>
    <tableColumn id="3" name="Ergon" dataDxfId="295" dataCellStyle="Comma">
      <calculatedColumnFormula>IFERROR((SUMIFS('2.8 Maintenance'!$AK:$AK,'2.8 Maintenance'!$A:$A,OH_Maint[#Headers],'2.8 Maintenance'!$B:$B,"OH Maintenance"))*1000/VLOOKUP(OH_Maint[[#This Row],[OH Maintenance (Defects) Normalised by]],Network_Size_Comparison[#All],MATCH(OH_Maint[#Headers],Network_Size_Comparison[#Headers],0),FALSE)/5,"")</calculatedColumnFormula>
    </tableColumn>
    <tableColumn id="4" name="Endeavour" dataDxfId="294" dataCellStyle="Comma">
      <calculatedColumnFormula>IFERROR((SUMIFS('2.8 Maintenance'!$AK:$AK,'2.8 Maintenance'!$A:$A,OH_Maint[#Headers],'2.8 Maintenance'!$B:$B,"OH Maintenance"))*1000/VLOOKUP(OH_Maint[[#This Row],[OH Maintenance (Defects) Normalised by]],Network_Size_Comparison[#All],MATCH(OH_Maint[#Headers],Network_Size_Comparison[#Headers],0),FALSE)/5,"")</calculatedColumnFormula>
    </tableColumn>
    <tableColumn id="5" name="Powercor" dataDxfId="293" dataCellStyle="Comma">
      <calculatedColumnFormula>IFERROR((SUMIFS('2.8 Maintenance'!$AK:$AK,'2.8 Maintenance'!$A:$A,OH_Maint[#Headers],'2.8 Maintenance'!$B:$B,"OH Maintenance"))*1000/VLOOKUP(OH_Maint[[#This Row],[OH Maintenance (Defects) Normalised by]],Network_Size_Comparison[#All],MATCH(OH_Maint[#Headers],Network_Size_Comparison[#Headers],0),FALSE)/5,"")</calculatedColumnFormula>
    </tableColumn>
    <tableColumn id="9" name="AusNet" dataDxfId="292" dataCellStyle="Comma">
      <calculatedColumnFormula>IFERROR((SUMIFS('2.8 Maintenance'!$AK:$AK,'2.8 Maintenance'!$A:$A,OH_Maint[#Headers],'2.8 Maintenance'!$B:$B,"OH Maintenance"))*1000/VLOOKUP(OH_Maint[[#This Row],[OH Maintenance (Defects) Normalised by]],Network_Size_Comparison[#All],MATCH(OH_Maint[#Headers],Network_Size_Comparison[#Headers],0),FALSE)/5,"")</calculatedColumnFormula>
    </tableColumn>
    <tableColumn id="6" name="Essential (Original)" dataDxfId="291" dataCellStyle="Comma">
      <calculatedColumnFormula>IFERROR((SUMIFS('2.8 Maintenance'!$AK:$AK,'2.8 Maintenance'!$A:$A,OH_Maint[#Headers],'2.8 Maintenance'!$B:$B,"OH Maintenance"))*1000/VLOOKUP(OH_Maint[[#This Row],[OH Maintenance (Defects) Normalised by]],Network_Size_Comparison[#All],MATCH(OH_Maint[#Headers],Network_Size_Comparison[#Headers],0),FALSE)/5,"")</calculatedColumnFormula>
    </tableColumn>
    <tableColumn id="11" name="Essential" dataDxfId="290" dataCellStyle="Currency">
      <calculatedColumnFormula>IFERROR((SUMIFS('2.8 Maintenance'!$AK:$AK,'2.8 Maintenance'!$A:$A,OH_Maint[#Headers],'2.8 Maintenance'!$B:$B,"OH Maintenance"))*1000/VLOOKUP(OH_Maint[[#This Row],[OH Maintenance (Defects) Normalised by]],Network_Size_Comparison[#All],MATCH(OH_Maint[#Headers],Network_Size_Comparison[#Headers],0),FALSE)/5,"")</calculatedColumnFormula>
    </tableColumn>
    <tableColumn id="7" name="SA Power" dataDxfId="289" dataCellStyle="Comma">
      <calculatedColumnFormula>IFERROR((SUMIFS('2.8 Maintenance'!$AK:$AK,'2.8 Maintenance'!$A:$A,OH_Maint[#Headers],'2.8 Maintenance'!$B:$B,"OH Maintenance"))*1000/VLOOKUP(OH_Maint[[#This Row],[OH Maintenance (Defects) Normalised by]],Network_Size_Comparison[#All],MATCH(OH_Maint[#Headers],Network_Size_Comparison[#Headers],0),FALSE)/5,"")</calculatedColumnFormula>
    </tableColumn>
    <tableColumn id="8" name="AusNet + Powercor" dataDxfId="288" dataCellStyle="Comma">
      <calculatedColumnFormula>IFERROR((SUMIFS('2.8 Maintenance'!$AK:$AK,'2.8 Maintenance'!$A:$A,OH_Maint[#Headers],'2.8 Maintenance'!$B:$B,"OH Maintenance"))*1000/VLOOKUP(OH_Maint[[#This Row],[OH Maintenance (Defects) Normalised by]],Network_Size_Comparison[#All],MATCH(OH_Maint[#Headers],Network_Size_Comparison[#Headers],0),FALSE)/5,"")</calculatedColumnFormula>
    </tableColumn>
    <tableColumn id="10" name="SA Power + Powercor" dataDxfId="287" dataCellStyle="Comma">
      <calculatedColumnFormula>IFERROR((SUMIFS('2.8 Maintenance'!$AK:$AK,'2.8 Maintenance'!$A:$A,OH_Maint[#Headers],'2.8 Maintenance'!$B:$B,"OH Maintenance"))*1000/VLOOKUP(OH_Maint[[#This Row],[OH Maintenance (Defects) Normalised by]],Network_Size_Comparison[#All],MATCH(OH_Maint[#Headers],Network_Size_Comparison[#Headers],0),FALSE)/5,"")</calculatedColumnFormula>
    </tableColumn>
    <tableColumn id="12" name="Essential -10%" dataDxfId="286" dataCellStyle="Comma">
      <calculatedColumnFormula>OH_Maint[[#This Row],[Essential]]</calculatedColumnFormula>
    </tableColumn>
    <tableColumn id="13" name="Essential +16%Dir" dataDxfId="285" dataCellStyle="Comma">
      <calculatedColumnFormula>OH_Maint[[#This Row],[Essential]]</calculatedColumnFormula>
    </tableColumn>
  </tableColumns>
  <tableStyleInfo name="TableStyleLight14" showFirstColumn="1" showLastColumn="0" showRowStripes="1" showColumnStripes="1"/>
</table>
</file>

<file path=xl/tables/table23.xml><?xml version="1.0" encoding="utf-8"?>
<table xmlns="http://schemas.openxmlformats.org/spreadsheetml/2006/main" id="33" name="AvgAnnualMaintRate" displayName="AvgAnnualMaintRate" ref="A119:O128" totalsRowShown="0" headerRowDxfId="284">
  <tableColumns count="15">
    <tableColumn id="10" name="Group" dataDxfId="283" dataCellStyle="Comma"/>
    <tableColumn id="1" name="Category" dataDxfId="282" dataCellStyle="Comma"/>
    <tableColumn id="11" name="Normalised by" dataDxfId="281" dataCellStyle="Currency"/>
    <tableColumn id="2" name="Ausgrid" dataDxfId="280" dataCellStyle="Currency">
      <calculatedColumnFormula>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calculatedColumnFormula>
    </tableColumn>
    <tableColumn id="3" name="Ergon" dataDxfId="279" dataCellStyle="Currency">
      <calculatedColumnFormula>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calculatedColumnFormula>
    </tableColumn>
    <tableColumn id="4" name="Endeavour" dataDxfId="278" dataCellStyle="Currency">
      <calculatedColumnFormula>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calculatedColumnFormula>
    </tableColumn>
    <tableColumn id="5" name="Powercor" dataDxfId="277" dataCellStyle="Currency">
      <calculatedColumnFormula>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calculatedColumnFormula>
    </tableColumn>
    <tableColumn id="6" name="AusNet" dataDxfId="276" dataCellStyle="Currency">
      <calculatedColumnFormula>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calculatedColumnFormula>
    </tableColumn>
    <tableColumn id="7" name="Essential (Original)" dataDxfId="275" dataCellStyle="Currency">
      <calculatedColumnFormula>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calculatedColumnFormula>
    </tableColumn>
    <tableColumn id="13" name="Essential" dataDxfId="274" dataCellStyle="Currency">
      <calculatedColumnFormula>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calculatedColumnFormula>
    </tableColumn>
    <tableColumn id="8" name="SA Power" dataDxfId="273" dataCellStyle="Currency">
      <calculatedColumnFormula>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calculatedColumnFormula>
    </tableColumn>
    <tableColumn id="12" name="AusNet + Powercor" dataDxfId="272" dataCellStyle="Currency">
      <calculatedColumnFormula>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Maintenance'!$A:$A,AvgAnnualMaintRate[[#Headers],[AusNet]],'2.8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calculatedColumnFormula>
    </tableColumn>
    <tableColumn id="9" name="SA Power + Powercor" dataDxfId="271" dataCellStyle="Currency">
      <calculatedColumnFormula>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Maintenance'!$A:$A,AvgAnnualMaintRate[[#Headers],[SA Power]],'2.8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calculatedColumnFormula>
    </tableColumn>
    <tableColumn id="14" name="Essential -10%" dataDxfId="270" dataCellStyle="Currency"/>
    <tableColumn id="15" name="Essential +16%Dir" dataDxfId="269" dataCellStyle="Currency"/>
  </tableColumns>
  <tableStyleInfo name="TableStyleLight14" showFirstColumn="1" showLastColumn="0" showRowStripes="1" showColumnStripes="1"/>
</table>
</file>

<file path=xl/tables/table24.xml><?xml version="1.0" encoding="utf-8"?>
<table xmlns="http://schemas.openxmlformats.org/spreadsheetml/2006/main" id="34" name="Table3335" displayName="Table3335" ref="A131:O157" totalsRowShown="0" headerRowDxfId="268">
  <tableColumns count="15">
    <tableColumn id="10" name="Group" dataDxfId="267" dataCellStyle="Comma"/>
    <tableColumn id="1" name="Category" dataDxfId="266" dataCellStyle="Comma"/>
    <tableColumn id="11" name="Normalised by" dataDxfId="265" dataCellStyle="Currency"/>
    <tableColumn id="2" name="Ausgrid" dataDxfId="264" dataCellStyle="Currency">
      <calculatedColumnFormula>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calculatedColumnFormula>
    </tableColumn>
    <tableColumn id="3" name="Ergon" dataDxfId="263" dataCellStyle="Currency">
      <calculatedColumnFormula>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calculatedColumnFormula>
    </tableColumn>
    <tableColumn id="4" name="Endeavour" dataDxfId="262" dataCellStyle="Currency">
      <calculatedColumnFormula>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calculatedColumnFormula>
    </tableColumn>
    <tableColumn id="5" name="Powercor" dataDxfId="261" dataCellStyle="Currency">
      <calculatedColumnFormula>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calculatedColumnFormula>
    </tableColumn>
    <tableColumn id="6" name="AusNet" dataDxfId="260" dataCellStyle="Currency">
      <calculatedColumnFormula>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calculatedColumnFormula>
    </tableColumn>
    <tableColumn id="7" name="Essential (Original)" dataDxfId="259" dataCellStyle="Currency">
      <calculatedColumnFormula>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calculatedColumnFormula>
    </tableColumn>
    <tableColumn id="13" name="Essential" dataDxfId="258" dataCellStyle="Currency">
      <calculatedColumnFormula>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calculatedColumnFormula>
    </tableColumn>
    <tableColumn id="8" name="SA Power" dataDxfId="257" dataCellStyle="Currency">
      <calculatedColumnFormula>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calculatedColumnFormula>
    </tableColumn>
    <tableColumn id="9" name="AusNet + Powercor" dataDxfId="256" dataCellStyle="Currency">
      <calculatedColumnFormula>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calculatedColumnFormula>
    </tableColumn>
    <tableColumn id="12" name="SA Power + Powercor" dataDxfId="255" dataCellStyle="Currency">
      <calculatedColumnFormula>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calculatedColumnFormula>
    </tableColumn>
    <tableColumn id="14" name="Essential -10%" dataDxfId="254" dataCellStyle="Currency"/>
    <tableColumn id="15" name="Essential +16%Dir" dataDxfId="253" dataCellStyle="Currency"/>
  </tableColumns>
  <tableStyleInfo name="TableStyleLight14" showFirstColumn="1" showLastColumn="0" showRowStripes="1" showColumnStripes="1"/>
</table>
</file>

<file path=xl/tables/table25.xml><?xml version="1.0" encoding="utf-8"?>
<table xmlns="http://schemas.openxmlformats.org/spreadsheetml/2006/main" id="5" name="OPEX_CategoryComparison" displayName="OPEX_CategoryComparison" ref="A2:N12" totalsRowCount="1" headerRowDxfId="252" dataDxfId="251" totalsRowDxfId="250">
  <tableColumns count="14">
    <tableColumn id="1" name="OPEX Category" totalsRowLabel="Total" dataDxfId="249"/>
    <tableColumn id="2" name="Ausgrid" totalsRowFunction="sum" dataDxfId="248" totalsRowDxfId="247" dataCellStyle="Currency">
      <calculatedColumnFormula>SUMIFS('2.1 Expenditure'!$N:$N,'2.1 Expenditure'!$AD:$AD,OPEX_CategoryComparison[#Headers],'2.1 Expenditure'!$B:$B,OPEX_CategoryComparison[[#This Row],[OPEX Category]])*1000</calculatedColumnFormula>
    </tableColumn>
    <tableColumn id="3" name="Ergon" totalsRowFunction="sum" dataDxfId="246" totalsRowDxfId="245" dataCellStyle="Currency">
      <calculatedColumnFormula>SUMIFS('2.1 Expenditure'!$N:$N,'2.1 Expenditure'!$AD:$AD,OPEX_CategoryComparison[#Headers],'2.1 Expenditure'!$B:$B,OPEX_CategoryComparison[[#This Row],[OPEX Category]])*1000</calculatedColumnFormula>
    </tableColumn>
    <tableColumn id="4" name="Endeavour" totalsRowFunction="sum" dataDxfId="244" totalsRowDxfId="243" dataCellStyle="Currency">
      <calculatedColumnFormula>SUMIFS('2.1 Expenditure'!$N:$N,'2.1 Expenditure'!$AD:$AD,OPEX_CategoryComparison[#Headers],'2.1 Expenditure'!$B:$B,OPEX_CategoryComparison[[#This Row],[OPEX Category]])*1000</calculatedColumnFormula>
    </tableColumn>
    <tableColumn id="5" name="Powercor" totalsRowFunction="sum" dataDxfId="242" totalsRowDxfId="241" dataCellStyle="Currency">
      <calculatedColumnFormula>SUMIFS('2.1 Expenditure'!$N:$N,'2.1 Expenditure'!$AD:$AD,OPEX_CategoryComparison[#Headers],'2.1 Expenditure'!$B:$B,OPEX_CategoryComparison[[#This Row],[OPEX Category]])*1000</calculatedColumnFormula>
    </tableColumn>
    <tableColumn id="6" name="AusNet" totalsRowFunction="sum" dataDxfId="240" totalsRowDxfId="239" dataCellStyle="Currency">
      <calculatedColumnFormula>SUMIFS('2.1 Expenditure'!$N:$N,'2.1 Expenditure'!$AD:$AD,OPEX_CategoryComparison[#Headers],'2.1 Expenditure'!$B:$B,OPEX_CategoryComparison[[#This Row],[OPEX Category]])*1000</calculatedColumnFormula>
    </tableColumn>
    <tableColumn id="7" name="Essential (Original)" totalsRowFunction="sum" dataDxfId="238" totalsRowDxfId="237" dataCellStyle="Currency">
      <calculatedColumnFormula>SUMIFS('2.1 Expenditure'!$N:$N,'2.1 Expenditure'!$AD:$AD,OPEX_CategoryComparison[#Headers],'2.1 Expenditure'!$B:$B,OPEX_CategoryComparison[[#This Row],[OPEX Category]])*1000</calculatedColumnFormula>
    </tableColumn>
    <tableColumn id="12" name="Essential" totalsRowFunction="sum" dataDxfId="236" totalsRowDxfId="235" dataCellStyle="Currency">
      <calculatedColumnFormula>SUMIFS('2.1 Expenditure'!$N:$N,'2.1 Expenditure'!$AD:$AD,OPEX_CategoryComparison[#Headers],'2.1 Expenditure'!$B:$B,OPEX_CategoryComparison[[#This Row],[OPEX Category]])*1000</calculatedColumnFormula>
    </tableColumn>
    <tableColumn id="8" name="SA Power" totalsRowFunction="sum" dataDxfId="234" totalsRowDxfId="233" dataCellStyle="Currency">
      <calculatedColumnFormula>SUMIFS('2.1 Expenditure'!$N:$N,'2.1 Expenditure'!$AD:$AD,OPEX_CategoryComparison[#Headers],'2.1 Expenditure'!$B:$B,OPEX_CategoryComparison[[#This Row],[OPEX Category]])*1000</calculatedColumnFormula>
    </tableColumn>
    <tableColumn id="11" name="AusNet + Powercor" totalsRowFunction="sum" dataDxfId="232" totalsRowDxfId="231" dataCellStyle="Currency">
      <calculatedColumnFormula>OPEX_CategoryComparison[[#This Row],[AusNet]]+OPEX_CategoryComparison[[#This Row],[Powercor]]</calculatedColumnFormula>
    </tableColumn>
    <tableColumn id="10" name="SA Power + Powercor" totalsRowFunction="sum" dataDxfId="230" totalsRowDxfId="229" dataCellStyle="Currency">
      <calculatedColumnFormula>OPEX_CategoryComparison[[#This Row],[Powercor]]+OPEX_CategoryComparison[[#This Row],[SA Power]]</calculatedColumnFormula>
    </tableColumn>
    <tableColumn id="13" name="Essential -10%" totalsRowFunction="sum" dataDxfId="228" totalsRowDxfId="227" dataCellStyle="Currency">
      <calculatedColumnFormula>OPEX_CategoryComparison[[#This Row],[Essential]]*0.9</calculatedColumnFormula>
    </tableColumn>
    <tableColumn id="14" name="Essential +16%Dir" dataDxfId="226" totalsRowDxfId="225" dataCellStyle="Currency"/>
    <tableColumn id="9" name="Comments" totalsRowLabel="Total OPEX is not comparable due to metering &amp; public lighting included for some DNSP's" dataDxfId="224"/>
  </tableColumns>
  <tableStyleInfo name="TableStyleLight14" showFirstColumn="1" showLastColumn="0" showRowStripes="1" showColumnStripes="1"/>
</table>
</file>

<file path=xl/tables/table26.xml><?xml version="1.0" encoding="utf-8"?>
<table xmlns="http://schemas.openxmlformats.org/spreadsheetml/2006/main" id="29" name="Table530" displayName="Table530" ref="A73:M82" headerRowDxfId="223" dataDxfId="222" totalsRowDxfId="221">
  <tableColumns count="13">
    <tableColumn id="1" name="CAPEX Category" totalsRowLabel="Total" dataDxfId="220"/>
    <tableColumn id="2" name="Ausgrid" dataDxfId="219" dataCellStyle="Currency">
      <calculatedColumnFormula>SUMIFS('2.1 Expenditure'!$AC:$AC,'2.1 Expenditure'!$AD:$AD,Table530[#Headers],'2.1 Expenditure'!$Q:$Q,Table530[[#This Row],[CAPEX Category]])*1000</calculatedColumnFormula>
    </tableColumn>
    <tableColumn id="3" name="Ergon" dataDxfId="218" dataCellStyle="Currency">
      <calculatedColumnFormula>SUMIFS('2.1 Expenditure'!$AC:$AC,'2.1 Expenditure'!$AD:$AD,Table530[#Headers],'2.1 Expenditure'!$Q:$Q,Table530[[#This Row],[CAPEX Category]])*1000</calculatedColumnFormula>
    </tableColumn>
    <tableColumn id="4" name="Endeavour" dataDxfId="217" dataCellStyle="Currency">
      <calculatedColumnFormula>SUMIFS('2.1 Expenditure'!$AC:$AC,'2.1 Expenditure'!$AD:$AD,Table530[#Headers],'2.1 Expenditure'!$Q:$Q,Table530[[#This Row],[CAPEX Category]])*1000</calculatedColumnFormula>
    </tableColumn>
    <tableColumn id="5" name="Powercor" dataDxfId="216" dataCellStyle="Currency">
      <calculatedColumnFormula>SUMIFS('2.1 Expenditure'!$AC:$AC,'2.1 Expenditure'!$AD:$AD,Table530[#Headers],'2.1 Expenditure'!$Q:$Q,Table530[[#This Row],[CAPEX Category]])*1000</calculatedColumnFormula>
    </tableColumn>
    <tableColumn id="6" name="AusNet" dataDxfId="215" dataCellStyle="Currency">
      <calculatedColumnFormula>SUMIFS('2.1 Expenditure'!$AC:$AC,'2.1 Expenditure'!$AD:$AD,Table530[#Headers],'2.1 Expenditure'!$Q:$Q,Table530[[#This Row],[CAPEX Category]])*1000</calculatedColumnFormula>
    </tableColumn>
    <tableColumn id="7" name="Essential (Original)" dataDxfId="214" dataCellStyle="Currency">
      <calculatedColumnFormula>SUMIFS('2.1 Expenditure'!$AC:$AC,'2.1 Expenditure'!$AD:$AD,Table530[#Headers],'2.1 Expenditure'!$Q:$Q,Table530[[#This Row],[CAPEX Category]])*1000*Table530[[#This Row],[EE Cost Multiplier]]</calculatedColumnFormula>
    </tableColumn>
    <tableColumn id="12" name="Essential" dataDxfId="213" dataCellStyle="Currency">
      <calculatedColumnFormula>SUMIFS('2.1 Expenditure'!$AC:$AC,'2.1 Expenditure'!$AD:$AD,Table530[#Headers],'2.1 Expenditure'!$Q:$Q,Table530[[#This Row],[CAPEX Category]])*1000*Table530[[#This Row],[EE Cost Multiplier]]</calculatedColumnFormula>
    </tableColumn>
    <tableColumn id="8" name="SA Power" dataDxfId="212" dataCellStyle="Currency">
      <calculatedColumnFormula>SUMIFS('2.1 Expenditure'!$AC:$AC,'2.1 Expenditure'!$AD:$AD,Table530[#Headers],'2.1 Expenditure'!$Q:$Q,Table530[[#This Row],[CAPEX Category]])*1000</calculatedColumnFormula>
    </tableColumn>
    <tableColumn id="11" name="AusNet + Powercor" dataDxfId="211" dataCellStyle="Currency">
      <calculatedColumnFormula>Table530[[#This Row],[Powercor]]+Table530[[#This Row],[AusNet]]</calculatedColumnFormula>
    </tableColumn>
    <tableColumn id="10" name="SA Power + Powercor" dataDxfId="210" dataCellStyle="Currency">
      <calculatedColumnFormula>Table530[[#This Row],[Powercor]]+Table530[[#This Row],[SA Power]]</calculatedColumnFormula>
    </tableColumn>
    <tableColumn id="13" name="EE Cost Multiplier" dataDxfId="209" dataCellStyle="Currency">
      <calculatedColumnFormula>1+DirectCostEsc</calculatedColumnFormula>
    </tableColumn>
    <tableColumn id="9" name="Comments" totalsRowFunction="count" dataDxfId="208"/>
  </tableColumns>
  <tableStyleInfo name="TableStyleLight14" showFirstColumn="1" showLastColumn="0" showRowStripes="1" showColumnStripes="1"/>
</table>
</file>

<file path=xl/tables/table27.xml><?xml version="1.0" encoding="utf-8"?>
<table xmlns="http://schemas.openxmlformats.org/spreadsheetml/2006/main" id="24" name="OPEX_TotalLineLength" displayName="OPEX_TotalLineLength" ref="A28:N34" headerRowDxfId="207" dataDxfId="206" totalsRowDxfId="205">
  <tableColumns count="14">
    <tableColumn id="1" name="OPEX Category" totalsRowLabel="Total" dataDxfId="204"/>
    <tableColumn id="2" name="Ausgrid" dataDxfId="203" dataCellStyle="Currency">
      <calculatedColumnFormula>VLOOKUP(OPEX_TotalLineLength[[#This Row],[OPEX Category]],OPEX_CategoryComparison[#All],MATCH(OPEX_TotalLineLength[#Headers],OPEX_CategoryComparison[#Headers],0),FALSE)/VLOOKUP("Total Line Length",Network_Size_Comparison[#All],MATCH(OPEX_TotalLineLength[#Headers],Network_Size_Comparison[#Headers],0),FALSE)</calculatedColumnFormula>
    </tableColumn>
    <tableColumn id="3" name="Ergon" dataDxfId="202" dataCellStyle="Currency">
      <calculatedColumnFormula>VLOOKUP(OPEX_TotalLineLength[[#This Row],[OPEX Category]],OPEX_CategoryComparison[#All],MATCH(OPEX_TotalLineLength[#Headers],OPEX_CategoryComparison[#Headers],0),FALSE)/VLOOKUP("Total Line Length",Network_Size_Comparison[#All],MATCH(OPEX_TotalLineLength[#Headers],Network_Size_Comparison[#Headers],0),FALSE)</calculatedColumnFormula>
    </tableColumn>
    <tableColumn id="4" name="Endeavour" dataDxfId="201" dataCellStyle="Currency">
      <calculatedColumnFormula>VLOOKUP(OPEX_TotalLineLength[[#This Row],[OPEX Category]],OPEX_CategoryComparison[#All],MATCH(OPEX_TotalLineLength[#Headers],OPEX_CategoryComparison[#Headers],0),FALSE)/VLOOKUP("Total Line Length",Network_Size_Comparison[#All],MATCH(OPEX_TotalLineLength[#Headers],Network_Size_Comparison[#Headers],0),FALSE)</calculatedColumnFormula>
    </tableColumn>
    <tableColumn id="5" name="Powercor" dataDxfId="200" dataCellStyle="Currency">
      <calculatedColumnFormula>VLOOKUP(OPEX_TotalLineLength[[#This Row],[OPEX Category]],OPEX_CategoryComparison[#All],MATCH(OPEX_TotalLineLength[#Headers],OPEX_CategoryComparison[#Headers],0),FALSE)/VLOOKUP("Total Line Length",Network_Size_Comparison[#All],MATCH(OPEX_TotalLineLength[#Headers],Network_Size_Comparison[#Headers],0),FALSE)</calculatedColumnFormula>
    </tableColumn>
    <tableColumn id="6" name="AusNet" dataDxfId="199" dataCellStyle="Currency">
      <calculatedColumnFormula>VLOOKUP(OPEX_TotalLineLength[[#This Row],[OPEX Category]],OPEX_CategoryComparison[#All],MATCH(OPEX_TotalLineLength[#Headers],OPEX_CategoryComparison[#Headers],0),FALSE)/VLOOKUP("Total Line Length",Network_Size_Comparison[#All],MATCH(OPEX_TotalLineLength[#Headers],Network_Size_Comparison[#Headers],0),FALSE)</calculatedColumnFormula>
    </tableColumn>
    <tableColumn id="7" name="Essential (Original)" dataDxfId="198" dataCellStyle="Currency">
      <calculatedColumnFormula>VLOOKUP(OPEX_TotalLineLength[[#This Row],[OPEX Category]],OPEX_CategoryComparison[#All],MATCH(OPEX_TotalLineLength[#Headers],OPEX_CategoryComparison[#Headers],0),FALSE)/VLOOKUP("Total Line Length",Network_Size_Comparison[#All],MATCH(OPEX_TotalLineLength[#Headers],Network_Size_Comparison[#Headers],0),FALSE)</calculatedColumnFormula>
    </tableColumn>
    <tableColumn id="12" name="Essential" dataDxfId="197" dataCellStyle="Currency">
      <calculatedColumnFormula>VLOOKUP(OPEX_TotalLineLength[[#This Row],[OPEX Category]],OPEX_CategoryComparison[#All],MATCH(OPEX_TotalLineLength[#Headers],OPEX_CategoryComparison[#Headers],0),FALSE)/VLOOKUP("Total Line Length",Network_Size_Comparison[#All],MATCH(OPEX_TotalLineLength[#Headers],Network_Size_Comparison[#Headers],0),FALSE)</calculatedColumnFormula>
    </tableColumn>
    <tableColumn id="8" name="SA Power" dataDxfId="196" dataCellStyle="Currency">
      <calculatedColumnFormula>VLOOKUP(OPEX_TotalLineLength[[#This Row],[OPEX Category]],OPEX_CategoryComparison[#All],MATCH(OPEX_TotalLineLength[#Headers],OPEX_CategoryComparison[#Headers],0),FALSE)/VLOOKUP("Total Line Length",Network_Size_Comparison[#All],MATCH(OPEX_TotalLineLength[#Headers],Network_Size_Comparison[#Headers],0),FALSE)</calculatedColumnFormula>
    </tableColumn>
    <tableColumn id="11" name="AusNet + Powercor" dataDxfId="195" dataCellStyle="Currency">
      <calculatedColumnFormula>VLOOKUP(OPEX_TotalLineLength[[#This Row],[OPEX Category]],OPEX_CategoryComparison[#All],MATCH(OPEX_TotalLineLength[#Headers],OPEX_CategoryComparison[#Headers],0),FALSE)/VLOOKUP("Total Line Length",Network_Size_Comparison[#All],MATCH(OPEX_TotalLineLength[#Headers],Network_Size_Comparison[#Headers],0),FALSE)</calculatedColumnFormula>
    </tableColumn>
    <tableColumn id="10" name="SA Power + Powercor" dataDxfId="194" dataCellStyle="Currency">
      <calculatedColumnFormula>VLOOKUP(OPEX_TotalLineLength[[#This Row],[OPEX Category]],OPEX_CategoryComparison[#All],MATCH(OPEX_TotalLineLength[#Headers],OPEX_CategoryComparison[#Headers],0),FALSE)/VLOOKUP("Total Line Length",Network_Size_Comparison[#All],MATCH(OPEX_TotalLineLength[#Headers],Network_Size_Comparison[#Headers],0),FALSE)</calculatedColumnFormula>
    </tableColumn>
    <tableColumn id="13" name="Essential -10%" dataDxfId="193" dataCellStyle="Currency">
      <calculatedColumnFormula>VLOOKUP(OPEX_TotalLineLength[[#This Row],[OPEX Category]],OPEX_CategoryComparisonBalanced[#All],MATCH(OPEX_TotalLineLength[#Headers],OPEX_CategoryComparisonBalanced[#Headers],0),FALSE)/VLOOKUP("Total Line Length",Network_Size_Comparison[#All],MATCH(OPEX_TotalLineLength[#Headers],Network_Size_Comparison[#Headers],0),FALSE)</calculatedColumnFormula>
    </tableColumn>
    <tableColumn id="14" name="Essential +16%Dir" dataDxfId="192" dataCellStyle="Currency">
      <calculatedColumnFormula>VLOOKUP(OPEX_TotalLineLength[[#This Row],[OPEX Category]],OPEX_CategoryComparisonBalanced[#All],MATCH(OPEX_TotalLineLength[#Headers],OPEX_CategoryComparisonBalanced[#Headers],0),FALSE)/VLOOKUP("Total Line Length",Network_Size_Comparison[#All],MATCH(OPEX_TotalLineLength[#Headers],Network_Size_Comparison[#Headers],0),FALSE)</calculatedColumnFormula>
    </tableColumn>
    <tableColumn id="9" name="Comments" totalsRowFunction="count" dataDxfId="191"/>
  </tableColumns>
  <tableStyleInfo name="TableStyleLight14" showFirstColumn="1" showLastColumn="0" showRowStripes="1" showColumnStripes="1"/>
</table>
</file>

<file path=xl/tables/table28.xml><?xml version="1.0" encoding="utf-8"?>
<table xmlns="http://schemas.openxmlformats.org/spreadsheetml/2006/main" id="31" name="OPEX_Poles" displayName="OPEX_Poles" ref="A46:N52" headerRowDxfId="190" dataDxfId="189" totalsRowDxfId="188">
  <tableColumns count="14">
    <tableColumn id="1" name="OPEX Category" totalsRowLabel="Total" dataDxfId="187"/>
    <tableColumn id="2" name="Ausgrid" dataDxfId="186" dataCellStyle="Currency">
      <calculatedColumnFormula>VLOOKUP(OPEX_Poles[[#This Row],[OPEX Category]],OPEX_CategoryComparison[#All],MATCH(OPEX_Poles[#Headers],OPEX_CategoryComparison[#Headers],0),FALSE)/VLOOKUP("Poles",Network_Size_Comparison[#All],MATCH(OPEX_Poles[#Headers],Network_Size_Comparison[#Headers],0),FALSE)</calculatedColumnFormula>
    </tableColumn>
    <tableColumn id="3" name="Ergon" dataDxfId="185" dataCellStyle="Currency">
      <calculatedColumnFormula>VLOOKUP(OPEX_Poles[[#This Row],[OPEX Category]],OPEX_CategoryComparison[#All],MATCH(OPEX_Poles[#Headers],OPEX_CategoryComparison[#Headers],0),FALSE)/VLOOKUP("Poles",Network_Size_Comparison[#All],MATCH(OPEX_Poles[#Headers],Network_Size_Comparison[#Headers],0),FALSE)</calculatedColumnFormula>
    </tableColumn>
    <tableColumn id="4" name="Endeavour" dataDxfId="184" dataCellStyle="Currency">
      <calculatedColumnFormula>VLOOKUP(OPEX_Poles[[#This Row],[OPEX Category]],OPEX_CategoryComparison[#All],MATCH(OPEX_Poles[#Headers],OPEX_CategoryComparison[#Headers],0),FALSE)/VLOOKUP("Poles",Network_Size_Comparison[#All],MATCH(OPEX_Poles[#Headers],Network_Size_Comparison[#Headers],0),FALSE)</calculatedColumnFormula>
    </tableColumn>
    <tableColumn id="5" name="Powercor" dataDxfId="183" dataCellStyle="Currency">
      <calculatedColumnFormula>VLOOKUP(OPEX_Poles[[#This Row],[OPEX Category]],OPEX_CategoryComparison[#All],MATCH(OPEX_Poles[#Headers],OPEX_CategoryComparison[#Headers],0),FALSE)/VLOOKUP("Poles",Network_Size_Comparison[#All],MATCH(OPEX_Poles[#Headers],Network_Size_Comparison[#Headers],0),FALSE)</calculatedColumnFormula>
    </tableColumn>
    <tableColumn id="6" name="AusNet" dataDxfId="182" dataCellStyle="Currency">
      <calculatedColumnFormula>VLOOKUP(OPEX_Poles[[#This Row],[OPEX Category]],OPEX_CategoryComparison[#All],MATCH(OPEX_Poles[#Headers],OPEX_CategoryComparison[#Headers],0),FALSE)/VLOOKUP("Poles",Network_Size_Comparison[#All],MATCH(OPEX_Poles[#Headers],Network_Size_Comparison[#Headers],0),FALSE)</calculatedColumnFormula>
    </tableColumn>
    <tableColumn id="7" name="Essential (Original)" dataDxfId="181" dataCellStyle="Currency">
      <calculatedColumnFormula>VLOOKUP(OPEX_Poles[[#This Row],[OPEX Category]],OPEX_CategoryComparison[#All],MATCH(OPEX_Poles[#Headers],OPEX_CategoryComparison[#Headers],0),FALSE)/VLOOKUP("Poles",Network_Size_Comparison[#All],MATCH(OPEX_Poles[#Headers],Network_Size_Comparison[#Headers],0),FALSE)</calculatedColumnFormula>
    </tableColumn>
    <tableColumn id="12" name="Essential" dataDxfId="180" dataCellStyle="Currency">
      <calculatedColumnFormula>VLOOKUP(OPEX_Poles[[#This Row],[OPEX Category]],OPEX_CategoryComparison[#All],MATCH(OPEX_Poles[#Headers],OPEX_CategoryComparison[#Headers],0),FALSE)/VLOOKUP("Poles",Network_Size_Comparison[#All],MATCH(OPEX_Poles[#Headers],Network_Size_Comparison[#Headers],0),FALSE)</calculatedColumnFormula>
    </tableColumn>
    <tableColumn id="8" name="SA Power" dataDxfId="179" dataCellStyle="Currency">
      <calculatedColumnFormula>VLOOKUP(OPEX_Poles[[#This Row],[OPEX Category]],OPEX_CategoryComparison[#All],MATCH(OPEX_Poles[#Headers],OPEX_CategoryComparison[#Headers],0),FALSE)/VLOOKUP("Poles",Network_Size_Comparison[#All],MATCH(OPEX_Poles[#Headers],Network_Size_Comparison[#Headers],0),FALSE)</calculatedColumnFormula>
    </tableColumn>
    <tableColumn id="11" name="AusNet + Powercor" dataDxfId="178" dataCellStyle="Currency">
      <calculatedColumnFormula>VLOOKUP(OPEX_Poles[[#This Row],[OPEX Category]],OPEX_CategoryComparison[#All],MATCH(OPEX_Poles[#Headers],OPEX_CategoryComparison[#Headers],0),FALSE)/VLOOKUP("Poles",Network_Size_Comparison[#All],MATCH(OPEX_Poles[#Headers],Network_Size_Comparison[#Headers],0),FALSE)</calculatedColumnFormula>
    </tableColumn>
    <tableColumn id="10" name="SA Power + Powercor" dataDxfId="177" dataCellStyle="Currency">
      <calculatedColumnFormula>VLOOKUP(OPEX_Poles[[#This Row],[OPEX Category]],OPEX_CategoryComparison[#All],MATCH(OPEX_Poles[#Headers],OPEX_CategoryComparison[#Headers],0),FALSE)/VLOOKUP("Poles",Network_Size_Comparison[#All],MATCH(OPEX_Poles[#Headers],Network_Size_Comparison[#Headers],0),FALSE)</calculatedColumnFormula>
    </tableColumn>
    <tableColumn id="13" name="Essential -10%" dataDxfId="176" dataCellStyle="Currency">
      <calculatedColumnFormula>VLOOKUP(OPEX_Poles[[#This Row],[OPEX Category]],OPEX_CategoryComparisonBalanced[#All],MATCH(OPEX_Poles[#Headers],OPEX_CategoryComparisonBalanced[#Headers],0),FALSE)/VLOOKUP("Poles",Network_Size_Comparison[#All],MATCH(OPEX_Poles[#Headers],Network_Size_Comparison[#Headers],0),FALSE)</calculatedColumnFormula>
    </tableColumn>
    <tableColumn id="14" name="Essential +16%Dir" dataDxfId="175" dataCellStyle="Currency">
      <calculatedColumnFormula>VLOOKUP(OPEX_Poles[[#This Row],[OPEX Category]],OPEX_CategoryComparisonBalanced[#All],MATCH(OPEX_Poles[#Headers],OPEX_CategoryComparisonBalanced[#Headers],0),FALSE)/VLOOKUP("Poles",Network_Size_Comparison[#All],MATCH(OPEX_Poles[#Headers],Network_Size_Comparison[#Headers],0),FALSE)</calculatedColumnFormula>
    </tableColumn>
    <tableColumn id="9" name="Comments" totalsRowFunction="count" dataDxfId="174"/>
  </tableColumns>
  <tableStyleInfo name="TableStyleLight14" showFirstColumn="1" showLastColumn="0" showRowStripes="1" showColumnStripes="1"/>
</table>
</file>

<file path=xl/tables/table29.xml><?xml version="1.0" encoding="utf-8"?>
<table xmlns="http://schemas.openxmlformats.org/spreadsheetml/2006/main" id="30" name="Table53031" displayName="Table53031" ref="A85:M94" headerRowDxfId="173" dataDxfId="172" totalsRowDxfId="171">
  <tableColumns count="13">
    <tableColumn id="1" name="CAPEX Category" totalsRowLabel="Total" dataDxfId="170"/>
    <tableColumn id="2" name="Ausgrid" dataDxfId="169" dataCellStyle="Currency">
      <calculatedColumnFormula>VLOOKUP(Table53031[[#This Row],[CAPEX Category]],Table530[#All],MATCH(Table53031[#Headers],Table530[#Headers],0),FALSE)/VLOOKUP("Total Line Length",Network_Size_Comparison[#All],MATCH(Table53031[#Headers],Network_Size_Comparison[#Headers],0),FALSE)</calculatedColumnFormula>
    </tableColumn>
    <tableColumn id="3" name="Ergon" dataDxfId="168" dataCellStyle="Currency">
      <calculatedColumnFormula>VLOOKUP(Table53031[[#This Row],[CAPEX Category]],Table530[#All],MATCH(Table53031[#Headers],Table530[#Headers],0),FALSE)/VLOOKUP("Total Line Length",Network_Size_Comparison[#All],MATCH(Table53031[#Headers],Network_Size_Comparison[#Headers],0),FALSE)</calculatedColumnFormula>
    </tableColumn>
    <tableColumn id="4" name="Endeavour" dataDxfId="167" dataCellStyle="Currency">
      <calculatedColumnFormula>VLOOKUP(Table53031[[#This Row],[CAPEX Category]],Table530[#All],MATCH(Table53031[#Headers],Table530[#Headers],0),FALSE)/VLOOKUP("Total Line Length",Network_Size_Comparison[#All],MATCH(Table53031[#Headers],Network_Size_Comparison[#Headers],0),FALSE)</calculatedColumnFormula>
    </tableColumn>
    <tableColumn id="5" name="Powercor" dataDxfId="166" dataCellStyle="Currency">
      <calculatedColumnFormula>VLOOKUP(Table53031[[#This Row],[CAPEX Category]],Table530[#All],MATCH(Table53031[#Headers],Table530[#Headers],0),FALSE)/VLOOKUP("Total Line Length",Network_Size_Comparison[#All],MATCH(Table53031[#Headers],Network_Size_Comparison[#Headers],0),FALSE)</calculatedColumnFormula>
    </tableColumn>
    <tableColumn id="6" name="AusNet" dataDxfId="165" dataCellStyle="Currency">
      <calculatedColumnFormula>VLOOKUP(Table53031[[#This Row],[CAPEX Category]],Table530[#All],MATCH(Table53031[#Headers],Table530[#Headers],0),FALSE)/VLOOKUP("Total Line Length",Network_Size_Comparison[#All],MATCH(Table53031[#Headers],Network_Size_Comparison[#Headers],0),FALSE)</calculatedColumnFormula>
    </tableColumn>
    <tableColumn id="7" name="Essential (Original)" dataDxfId="164" dataCellStyle="Currency">
      <calculatedColumnFormula>VLOOKUP(Table53031[[#This Row],[CAPEX Category]],Table530[#All],MATCH(Table53031[#Headers],Table530[#Headers],0),FALSE)/VLOOKUP("Total Line Length",Network_Size_Comparison[#All],MATCH(Table53031[#Headers],Network_Size_Comparison[#Headers],0),FALSE)</calculatedColumnFormula>
    </tableColumn>
    <tableColumn id="12" name="Essential" dataDxfId="163" dataCellStyle="Currency">
      <calculatedColumnFormula>VLOOKUP(Table53031[[#This Row],[CAPEX Category]],Table530[#All],MATCH(Table53031[#Headers],Table530[#Headers],0),FALSE)/VLOOKUP("Total Line Length",Network_Size_Comparison[#All],MATCH(Table53031[#Headers],Network_Size_Comparison[#Headers],0),FALSE)</calculatedColumnFormula>
    </tableColumn>
    <tableColumn id="8" name="SA Power" dataDxfId="162" dataCellStyle="Currency">
      <calculatedColumnFormula>VLOOKUP(Table53031[[#This Row],[CAPEX Category]],Table530[#All],MATCH(Table53031[#Headers],Table530[#Headers],0),FALSE)/VLOOKUP("Total Line Length",Network_Size_Comparison[#All],MATCH(Table53031[#Headers],Network_Size_Comparison[#Headers],0),FALSE)</calculatedColumnFormula>
    </tableColumn>
    <tableColumn id="11" name="AusNet + Powercor" dataDxfId="161" dataCellStyle="Currency">
      <calculatedColumnFormula>VLOOKUP(Table53031[[#This Row],[CAPEX Category]],Table530[#All],MATCH(Table53031[#Headers],Table530[#Headers],0),FALSE)/VLOOKUP("Total Line Length",Network_Size_Comparison[#All],MATCH(Table53031[#Headers],Network_Size_Comparison[#Headers],0),FALSE)</calculatedColumnFormula>
    </tableColumn>
    <tableColumn id="10" name="SA Power + Powercor" dataDxfId="160" dataCellStyle="Currency">
      <calculatedColumnFormula>VLOOKUP(Table53031[[#This Row],[CAPEX Category]],Table530[#All],MATCH(Table53031[#Headers],Table530[#Headers],0),FALSE)/VLOOKUP("Total Line Length",Network_Size_Comparison[#All],MATCH(Table53031[#Headers],Network_Size_Comparison[#Headers],0),FALSE)</calculatedColumnFormula>
    </tableColumn>
    <tableColumn id="13" name="EE Cost Multiplier" dataDxfId="159" dataCellStyle="Currency">
      <calculatedColumnFormula>VLOOKUP(Table53031[[#This Row],[CAPEX Category]],Table530[#All],MATCH(Table53031[#Headers],Table530[#Headers],0),FALSE)</calculatedColumnFormula>
    </tableColumn>
    <tableColumn id="9" name="Comments" totalsRowFunction="count" dataDxfId="158"/>
  </tableColumns>
  <tableStyleInfo name="TableStyleLight14" showFirstColumn="1" showLastColumn="0" showRowStripes="1" showColumnStripes="1"/>
</table>
</file>

<file path=xl/tables/table3.xml><?xml version="1.0" encoding="utf-8"?>
<table xmlns="http://schemas.openxmlformats.org/spreadsheetml/2006/main" id="4" name="AverageAge" displayName="AverageAge" ref="A23:M32" totalsRowShown="0" headerRowDxfId="752" dataDxfId="751">
  <tableColumns count="13">
    <tableColumn id="1" name="Average Age" dataDxfId="750"/>
    <tableColumn id="2" name="Ausgrid" dataDxfId="749" dataCellStyle="Comma">
      <calculatedColumnFormula>IFERROR(SUMIFS('5.2 Age Profiles'!$DH:$DH,'5.2 Age Profiles'!$B:$B,AverageAge[#Headers],'5.2 Age Profiles'!$DK:$DK,AverageAge[[#This Row],[Average Age]])/VLOOKUP(AverageAge[[#This Row],[Average Age]],Asset_Count_5.2_AgeProfile[#All],MATCH(AverageAge[#Headers],Asset_Count_5.2_AgeProfile[#Headers],0),FALSE),"")</calculatedColumnFormula>
    </tableColumn>
    <tableColumn id="3" name="Ergon" dataDxfId="748" dataCellStyle="Comma">
      <calculatedColumnFormula>IFERROR(SUMIFS('5.2 Age Profiles'!$DH:$DH,'5.2 Age Profiles'!$B:$B,AverageAge[#Headers],'5.2 Age Profiles'!$DK:$DK,AverageAge[[#This Row],[Average Age]])/VLOOKUP(AverageAge[[#This Row],[Average Age]],Asset_Count_5.2_AgeProfile[#All],MATCH(AverageAge[#Headers],Asset_Count_5.2_AgeProfile[#Headers],0),FALSE),"")</calculatedColumnFormula>
    </tableColumn>
    <tableColumn id="4" name="Endeavour" dataDxfId="747" dataCellStyle="Comma">
      <calculatedColumnFormula>IFERROR(SUMIFS('5.2 Age Profiles'!$DH:$DH,'5.2 Age Profiles'!$B:$B,AverageAge[#Headers],'5.2 Age Profiles'!$DK:$DK,AverageAge[[#This Row],[Average Age]])/VLOOKUP(AverageAge[[#This Row],[Average Age]],Asset_Count_5.2_AgeProfile[#All],MATCH(AverageAge[#Headers],Asset_Count_5.2_AgeProfile[#Headers],0),FALSE),"")</calculatedColumnFormula>
    </tableColumn>
    <tableColumn id="5" name="Powercor" dataDxfId="746" dataCellStyle="Comma">
      <calculatedColumnFormula>IFERROR(SUMIFS('5.2 Age Profiles'!$DH:$DH,'5.2 Age Profiles'!$B:$B,AverageAge[#Headers],'5.2 Age Profiles'!$DK:$DK,AverageAge[[#This Row],[Average Age]])/VLOOKUP(AverageAge[[#This Row],[Average Age]],Asset_Count_5.2_AgeProfile[#All],MATCH(AverageAge[#Headers],Asset_Count_5.2_AgeProfile[#Headers],0),FALSE),"")</calculatedColumnFormula>
    </tableColumn>
    <tableColumn id="6" name="AusNet" dataDxfId="745" dataCellStyle="Comma">
      <calculatedColumnFormula>IFERROR(SUMIFS('5.2 Age Profiles'!$DH:$DH,'5.2 Age Profiles'!$B:$B,AverageAge[#Headers],'5.2 Age Profiles'!$DK:$DK,AverageAge[[#This Row],[Average Age]])/VLOOKUP(AverageAge[[#This Row],[Average Age]],Asset_Count_5.2_AgeProfile[#All],MATCH(AverageAge[#Headers],Asset_Count_5.2_AgeProfile[#Headers],0),FALSE),"")</calculatedColumnFormula>
    </tableColumn>
    <tableColumn id="7" name="Essential (Original)" dataDxfId="744" dataCellStyle="Comma">
      <calculatedColumnFormula>IFERROR(SUMIFS('5.2 Age Profiles'!$DH:$DH,'5.2 Age Profiles'!$B:$B,AverageAge[#Headers],'5.2 Age Profiles'!$DK:$DK,AverageAge[[#This Row],[Average Age]])/VLOOKUP(AverageAge[[#This Row],[Average Age]],Asset_Count_5.2_AgeProfile[#All],MATCH(AverageAge[#Headers],Asset_Count_5.2_AgeProfile[#Headers],0),FALSE),"")</calculatedColumnFormula>
    </tableColumn>
    <tableColumn id="13" name="Essential" dataDxfId="743" dataCellStyle="Comma">
      <calculatedColumnFormula>IFERROR(SUMIFS('5.2 Age Profiles'!$DH:$DH,'5.2 Age Profiles'!$B:$B,AverageAge[#Headers],'5.2 Age Profiles'!$DK:$DK,AverageAge[[#This Row],[Average Age]])/VLOOKUP(AverageAge[[#This Row],[Average Age]],Asset_Count_5.2_AgeProfile[#All],MATCH(AverageAge[#Headers],Asset_Count_5.2_AgeProfile[#Headers],0),FALSE),"")</calculatedColumnFormula>
    </tableColumn>
    <tableColumn id="8" name="SA Power" dataDxfId="742" dataCellStyle="Comma">
      <calculatedColumnFormula>IFERROR(SUMIFS('5.2 Age Profiles'!$DH:$DH,'5.2 Age Profiles'!$B:$B,AverageAge[#Headers],'5.2 Age Profiles'!$DK:$DK,AverageAge[[#This Row],[Average Age]])/VLOOKUP(AverageAge[[#This Row],[Average Age]],Asset_Count_5.2_AgeProfile[#All],MATCH(AverageAge[#Headers],Asset_Count_5.2_AgeProfile[#Headers],0),FALSE),"")</calculatedColumnFormula>
    </tableColumn>
    <tableColumn id="11" name="AusNet + Powercor" dataDxfId="741" dataCellStyle="Comma">
      <calculatedColumnFormula>IFERROR((SUMIFS('5.2 Age Profiles'!$DH:$DH,'5.2 Age Profiles'!$B:$B,AverageAge[[#Headers],[Powercor]],'5.2 Age Profiles'!$DK:$DK,AverageAge[[#This Row],[Average Age]])+SUMIFS('5.2 Age Profiles'!$DH:$DH,'5.2 Age Profiles'!$B:$B,AverageAge[[#Headers],[AusNet]],'5.2 Age Profiles'!$DK:$DK,AverageAge[[#This Row],[Average Age]]))/VLOOKUP(AverageAge[[#This Row],[Average Age]],Asset_Count_5.2_AgeProfile[#All],MATCH(AverageAge[#Headers],Asset_Count_5.2_AgeProfile[#Headers],0),FALSE),"")</calculatedColumnFormula>
    </tableColumn>
    <tableColumn id="12" name="SA Power + Powercor" dataDxfId="740" dataCellStyle="Comma">
      <calculatedColumnFormula>IFERROR((SUMIFS('5.2 Age Profiles'!$DH:$DH,'5.2 Age Profiles'!$B:$B,AverageAge[[#Headers],[Powercor]],'5.2 Age Profiles'!$DK:$DK,AverageAge[[#This Row],[Average Age]])+SUMIFS('5.2 Age Profiles'!$DH:$DH,'5.2 Age Profiles'!$B:$B,AverageAge[[#Headers],[SA Power]],'5.2 Age Profiles'!$DK:$DK,AverageAge[[#This Row],[Average Age]]))/VLOOKUP(AverageAge[[#This Row],[Average Age]],Asset_Count_5.2_AgeProfile[#All],MATCH(AverageAge[#Headers],Asset_Count_5.2_AgeProfile[#Headers],0),FALSE),"")</calculatedColumnFormula>
    </tableColumn>
    <tableColumn id="9" name="Source" dataDxfId="739" dataCellStyle="Comma"/>
    <tableColumn id="10" name="Comments" dataDxfId="738" dataCellStyle="Comma"/>
  </tableColumns>
  <tableStyleInfo name="TableStyleLight14" showFirstColumn="1" showLastColumn="0" showRowStripes="1" showColumnStripes="1"/>
</table>
</file>

<file path=xl/tables/table30.xml><?xml version="1.0" encoding="utf-8"?>
<table xmlns="http://schemas.openxmlformats.org/spreadsheetml/2006/main" id="32" name="Table53033" displayName="Table53033" ref="A97:M106" headerRowDxfId="157" dataDxfId="156" totalsRowDxfId="155">
  <tableColumns count="13">
    <tableColumn id="1" name="CAPEX Category" totalsRowLabel="Total" dataDxfId="154"/>
    <tableColumn id="2" name="Ausgrid" dataDxfId="153" dataCellStyle="Currency">
      <calculatedColumnFormula>VLOOKUP(Table53033[[#This Row],[CAPEX Category]],Table530[#All],MATCH(Table53033[#Headers],Table530[#Headers],0),FALSE)/VLOOKUP("Poles",Network_Size_Comparison[#All],MATCH(Table53033[#Headers],Network_Size_Comparison[#Headers],0),FALSE)</calculatedColumnFormula>
    </tableColumn>
    <tableColumn id="3" name="Ergon" dataDxfId="152" dataCellStyle="Currency">
      <calculatedColumnFormula>VLOOKUP(Table53033[[#This Row],[CAPEX Category]],Table530[#All],MATCH(Table53033[#Headers],Table530[#Headers],0),FALSE)/VLOOKUP("Poles",Network_Size_Comparison[#All],MATCH(Table53033[#Headers],Network_Size_Comparison[#Headers],0),FALSE)</calculatedColumnFormula>
    </tableColumn>
    <tableColumn id="4" name="Endeavour" dataDxfId="151" dataCellStyle="Currency">
      <calculatedColumnFormula>VLOOKUP(Table53033[[#This Row],[CAPEX Category]],Table530[#All],MATCH(Table53033[#Headers],Table530[#Headers],0),FALSE)/VLOOKUP("Poles",Network_Size_Comparison[#All],MATCH(Table53033[#Headers],Network_Size_Comparison[#Headers],0),FALSE)</calculatedColumnFormula>
    </tableColumn>
    <tableColumn id="5" name="Powercor" dataDxfId="150" dataCellStyle="Currency">
      <calculatedColumnFormula>VLOOKUP(Table53033[[#This Row],[CAPEX Category]],Table530[#All],MATCH(Table53033[#Headers],Table530[#Headers],0),FALSE)/VLOOKUP("Poles",Network_Size_Comparison[#All],MATCH(Table53033[#Headers],Network_Size_Comparison[#Headers],0),FALSE)</calculatedColumnFormula>
    </tableColumn>
    <tableColumn id="6" name="AusNet" dataDxfId="149" dataCellStyle="Currency">
      <calculatedColumnFormula>VLOOKUP(Table53033[[#This Row],[CAPEX Category]],Table530[#All],MATCH(Table53033[#Headers],Table530[#Headers],0),FALSE)/VLOOKUP("Poles",Network_Size_Comparison[#All],MATCH(Table53033[#Headers],Network_Size_Comparison[#Headers],0),FALSE)</calculatedColumnFormula>
    </tableColumn>
    <tableColumn id="7" name="Essential (Original)" dataDxfId="148" dataCellStyle="Currency">
      <calculatedColumnFormula>VLOOKUP(Table53033[[#This Row],[CAPEX Category]],Table530[#All],MATCH(Table53033[#Headers],Table530[#Headers],0),FALSE)/VLOOKUP("Poles",Network_Size_Comparison[#All],MATCH(Table53033[#Headers],Network_Size_Comparison[#Headers],0),FALSE)</calculatedColumnFormula>
    </tableColumn>
    <tableColumn id="12" name="Essential" dataDxfId="147" dataCellStyle="Currency">
      <calculatedColumnFormula>VLOOKUP(Table53033[[#This Row],[CAPEX Category]],Table530[#All],MATCH(Table53033[#Headers],Table530[#Headers],0),FALSE)/VLOOKUP("Poles",Network_Size_Comparison[#All],MATCH(Table53033[#Headers],Network_Size_Comparison[#Headers],0),FALSE)</calculatedColumnFormula>
    </tableColumn>
    <tableColumn id="8" name="SA Power" dataDxfId="146" dataCellStyle="Currency">
      <calculatedColumnFormula>VLOOKUP(Table53033[[#This Row],[CAPEX Category]],Table530[#All],MATCH(Table53033[#Headers],Table530[#Headers],0),FALSE)/VLOOKUP("Poles",Network_Size_Comparison[#All],MATCH(Table53033[#Headers],Network_Size_Comparison[#Headers],0),FALSE)</calculatedColumnFormula>
    </tableColumn>
    <tableColumn id="11" name="AusNet + Powercor" dataDxfId="145" dataCellStyle="Currency">
      <calculatedColumnFormula>VLOOKUP(Table53033[[#This Row],[CAPEX Category]],Table530[#All],MATCH(Table53033[#Headers],Table530[#Headers],0),FALSE)/VLOOKUP("Poles",Network_Size_Comparison[#All],MATCH(Table53033[#Headers],Network_Size_Comparison[#Headers],0),FALSE)</calculatedColumnFormula>
    </tableColumn>
    <tableColumn id="10" name="SA Power + Powercor" dataDxfId="144" dataCellStyle="Currency">
      <calculatedColumnFormula>VLOOKUP(Table53033[[#This Row],[CAPEX Category]],Table530[#All],MATCH(Table53033[#Headers],Table530[#Headers],0),FALSE)/VLOOKUP("Poles",Network_Size_Comparison[#All],MATCH(Table53033[#Headers],Network_Size_Comparison[#Headers],0),FALSE)</calculatedColumnFormula>
    </tableColumn>
    <tableColumn id="13" name="EE Cost Multiplier" dataDxfId="143" dataCellStyle="Currency">
      <calculatedColumnFormula>VLOOKUP(Table53033[CAPEX Category],Table530[#All],MATCH(Table53033[#Headers],Table530[#Headers],0),FALSE)</calculatedColumnFormula>
    </tableColumn>
    <tableColumn id="9" name="Comments" totalsRowFunction="count" dataDxfId="142"/>
  </tableColumns>
  <tableStyleInfo name="TableStyleLight14" showFirstColumn="1" showLastColumn="0" showRowStripes="1" showColumnStripes="1"/>
</table>
</file>

<file path=xl/tables/table31.xml><?xml version="1.0" encoding="utf-8"?>
<table xmlns="http://schemas.openxmlformats.org/spreadsheetml/2006/main" id="1" name="OPEX_WeightedLineLength" displayName="OPEX_WeightedLineLength" ref="A37:N43" headerRowDxfId="141" dataDxfId="140" totalsRowDxfId="139">
  <tableColumns count="14">
    <tableColumn id="1" name="OPEX Category" totalsRowLabel="Total" dataDxfId="138"/>
    <tableColumn id="2" name="Ausgrid" dataDxfId="137" dataCellStyle="Currency">
      <calculatedColumnFormula>VLOOKUP(OPEX_WeightedLineLength[[#This Row],[OPEX Category]],OPEX_CategoryComparison[#All],MATCH(OPEX_WeightedLineLength[#Headers],OPEX_CategoryComparison[#Headers],0),FALSE)/VLOOKUP("Weighted Line Length",Network_Size_Comparison[#All],MATCH(OPEX_WeightedLineLength[#Headers],Network_Size_Comparison[#Headers],0),FALSE)</calculatedColumnFormula>
    </tableColumn>
    <tableColumn id="3" name="Ergon" dataDxfId="136" dataCellStyle="Currency">
      <calculatedColumnFormula>VLOOKUP(OPEX_WeightedLineLength[[#This Row],[OPEX Category]],OPEX_CategoryComparison[#All],MATCH(OPEX_WeightedLineLength[#Headers],OPEX_CategoryComparison[#Headers],0),FALSE)/VLOOKUP("Weighted Line Length",Network_Size_Comparison[#All],MATCH(OPEX_WeightedLineLength[#Headers],Network_Size_Comparison[#Headers],0),FALSE)</calculatedColumnFormula>
    </tableColumn>
    <tableColumn id="4" name="Endeavour" dataDxfId="135" dataCellStyle="Currency">
      <calculatedColumnFormula>VLOOKUP(OPEX_WeightedLineLength[[#This Row],[OPEX Category]],OPEX_CategoryComparison[#All],MATCH(OPEX_WeightedLineLength[#Headers],OPEX_CategoryComparison[#Headers],0),FALSE)/VLOOKUP("Weighted Line Length",Network_Size_Comparison[#All],MATCH(OPEX_WeightedLineLength[#Headers],Network_Size_Comparison[#Headers],0),FALSE)</calculatedColumnFormula>
    </tableColumn>
    <tableColumn id="5" name="Powercor" dataDxfId="134" dataCellStyle="Currency">
      <calculatedColumnFormula>VLOOKUP(OPEX_WeightedLineLength[[#This Row],[OPEX Category]],OPEX_CategoryComparison[#All],MATCH(OPEX_WeightedLineLength[#Headers],OPEX_CategoryComparison[#Headers],0),FALSE)/VLOOKUP("Weighted Line Length",Network_Size_Comparison[#All],MATCH(OPEX_WeightedLineLength[#Headers],Network_Size_Comparison[#Headers],0),FALSE)</calculatedColumnFormula>
    </tableColumn>
    <tableColumn id="6" name="AusNet" dataDxfId="133" dataCellStyle="Currency">
      <calculatedColumnFormula>VLOOKUP(OPEX_WeightedLineLength[[#This Row],[OPEX Category]],OPEX_CategoryComparison[#All],MATCH(OPEX_WeightedLineLength[#Headers],OPEX_CategoryComparison[#Headers],0),FALSE)/VLOOKUP("Weighted Line Length",Network_Size_Comparison[#All],MATCH(OPEX_WeightedLineLength[#Headers],Network_Size_Comparison[#Headers],0),FALSE)</calculatedColumnFormula>
    </tableColumn>
    <tableColumn id="7" name="Essential (Original)" dataDxfId="132" dataCellStyle="Currency">
      <calculatedColumnFormula>VLOOKUP(OPEX_WeightedLineLength[[#This Row],[OPEX Category]],OPEX_CategoryComparison[#All],MATCH(OPEX_WeightedLineLength[#Headers],OPEX_CategoryComparison[#Headers],0),FALSE)/VLOOKUP("Weighted Line Length",Network_Size_Comparison[#All],MATCH(OPEX_WeightedLineLength[#Headers],Network_Size_Comparison[#Headers],0),FALSE)</calculatedColumnFormula>
    </tableColumn>
    <tableColumn id="12" name="Essential" dataDxfId="131" dataCellStyle="Currency">
      <calculatedColumnFormula>VLOOKUP(OPEX_WeightedLineLength[[#This Row],[OPEX Category]],OPEX_CategoryComparison[#All],MATCH(OPEX_WeightedLineLength[#Headers],OPEX_CategoryComparison[#Headers],0),FALSE)/VLOOKUP("Weighted Line Length",Network_Size_Comparison[#All],MATCH(OPEX_WeightedLineLength[#Headers],Network_Size_Comparison[#Headers],0),FALSE)</calculatedColumnFormula>
    </tableColumn>
    <tableColumn id="8" name="SA Power" dataDxfId="130" dataCellStyle="Currency">
      <calculatedColumnFormula>VLOOKUP(OPEX_WeightedLineLength[[#This Row],[OPEX Category]],OPEX_CategoryComparison[#All],MATCH(OPEX_WeightedLineLength[#Headers],OPEX_CategoryComparison[#Headers],0),FALSE)/VLOOKUP("Weighted Line Length",Network_Size_Comparison[#All],MATCH(OPEX_WeightedLineLength[#Headers],Network_Size_Comparison[#Headers],0),FALSE)</calculatedColumnFormula>
    </tableColumn>
    <tableColumn id="11" name="AusNet + Powercor" dataDxfId="129" dataCellStyle="Currency">
      <calculatedColumnFormula>VLOOKUP(OPEX_WeightedLineLength[[#This Row],[OPEX Category]],OPEX_CategoryComparison[#All],MATCH(OPEX_WeightedLineLength[#Headers],OPEX_CategoryComparison[#Headers],0),FALSE)/VLOOKUP("Weighted Line Length",Network_Size_Comparison[#All],MATCH(OPEX_WeightedLineLength[#Headers],Network_Size_Comparison[#Headers],0),FALSE)</calculatedColumnFormula>
    </tableColumn>
    <tableColumn id="10" name="SA Power + Powercor" dataDxfId="128" dataCellStyle="Currency">
      <calculatedColumnFormula>VLOOKUP(OPEX_WeightedLineLength[[#This Row],[OPEX Category]],OPEX_CategoryComparison[#All],MATCH(OPEX_WeightedLineLength[#Headers],OPEX_CategoryComparison[#Headers],0),FALSE)/VLOOKUP("Weighted Line Length",Network_Size_Comparison[#All],MATCH(OPEX_WeightedLineLength[#Headers],Network_Size_Comparison[#Headers],0),FALSE)</calculatedColumnFormula>
    </tableColumn>
    <tableColumn id="13" name="Essential -10%" dataDxfId="127" dataCellStyle="Currency">
      <calculatedColumnFormula>VLOOKUP(OPEX_WeightedLineLength[[#This Row],[OPEX Category]],OPEX_CategoryComparisonBalanced[#All],MATCH(OPEX_WeightedLineLength[#Headers],OPEX_CategoryComparisonBalanced[#Headers],0),FALSE)/VLOOKUP("Weighted Line Length",Network_Size_Comparison[#All],MATCH(OPEX_WeightedLineLength[#Headers],Network_Size_Comparison[#Headers],0),FALSE)</calculatedColumnFormula>
    </tableColumn>
    <tableColumn id="14" name="Essential +16%Dir" dataDxfId="126" dataCellStyle="Currency">
      <calculatedColumnFormula>VLOOKUP(OPEX_WeightedLineLength[[#This Row],[OPEX Category]],OPEX_CategoryComparisonBalanced[#All],MATCH(OPEX_WeightedLineLength[#Headers],OPEX_CategoryComparisonBalanced[#Headers],0),FALSE)/VLOOKUP("Weighted Line Length",Network_Size_Comparison[#All],MATCH(OPEX_WeightedLineLength[#Headers],Network_Size_Comparison[#Headers],0),FALSE)</calculatedColumnFormula>
    </tableColumn>
    <tableColumn id="9" name="Comments" totalsRowFunction="count" dataDxfId="125"/>
  </tableColumns>
  <tableStyleInfo name="TableStyleLight14" showFirstColumn="1" showLastColumn="0" showRowStripes="1" showColumnStripes="1"/>
</table>
</file>

<file path=xl/tables/table32.xml><?xml version="1.0" encoding="utf-8"?>
<table xmlns="http://schemas.openxmlformats.org/spreadsheetml/2006/main" id="16" name="OPEX_Poles17" displayName="OPEX_Poles17" ref="A55:N61" headerRowDxfId="124" dataDxfId="123" totalsRowDxfId="122">
  <tableColumns count="14">
    <tableColumn id="1" name="OPEX Category" totalsRowLabel="Total" dataDxfId="121"/>
    <tableColumn id="2" name="Ausgrid" dataDxfId="120" dataCellStyle="Currency">
      <calculatedColumnFormula>VLOOKUP(OPEX_Poles17[[#This Row],[OPEX Category]],OPEX_CategoryComparison[#All],MATCH(OPEX_Poles17[#Headers],OPEX_CategoryComparison[#Headers],0),FALSE)/VLOOKUP("Total Assets",Network_Size_Comparison[#All],MATCH(OPEX_Poles17[#Headers],Network_Size_Comparison[#Headers],0),FALSE)</calculatedColumnFormula>
    </tableColumn>
    <tableColumn id="3" name="Ergon" dataDxfId="119" dataCellStyle="Currency">
      <calculatedColumnFormula>VLOOKUP(OPEX_Poles17[[#This Row],[OPEX Category]],OPEX_CategoryComparison[#All],MATCH(OPEX_Poles17[#Headers],OPEX_CategoryComparison[#Headers],0),FALSE)/VLOOKUP("Total Assets",Network_Size_Comparison[#All],MATCH(OPEX_Poles17[#Headers],Network_Size_Comparison[#Headers],0),FALSE)</calculatedColumnFormula>
    </tableColumn>
    <tableColumn id="4" name="Endeavour" dataDxfId="118" dataCellStyle="Currency">
      <calculatedColumnFormula>VLOOKUP(OPEX_Poles17[[#This Row],[OPEX Category]],OPEX_CategoryComparison[#All],MATCH(OPEX_Poles17[#Headers],OPEX_CategoryComparison[#Headers],0),FALSE)/VLOOKUP("Total Assets",Network_Size_Comparison[#All],MATCH(OPEX_Poles17[#Headers],Network_Size_Comparison[#Headers],0),FALSE)</calculatedColumnFormula>
    </tableColumn>
    <tableColumn id="5" name="Powercor" dataDxfId="117" dataCellStyle="Currency">
      <calculatedColumnFormula>VLOOKUP(OPEX_Poles17[[#This Row],[OPEX Category]],OPEX_CategoryComparison[#All],MATCH(OPEX_Poles17[#Headers],OPEX_CategoryComparison[#Headers],0),FALSE)/VLOOKUP("Total Assets",Network_Size_Comparison[#All],MATCH(OPEX_Poles17[#Headers],Network_Size_Comparison[#Headers],0),FALSE)</calculatedColumnFormula>
    </tableColumn>
    <tableColumn id="6" name="AusNet" dataDxfId="116" dataCellStyle="Currency">
      <calculatedColumnFormula>VLOOKUP(OPEX_Poles17[[#This Row],[OPEX Category]],OPEX_CategoryComparison[#All],MATCH(OPEX_Poles17[#Headers],OPEX_CategoryComparison[#Headers],0),FALSE)/VLOOKUP("Total Assets",Network_Size_Comparison[#All],MATCH(OPEX_Poles17[#Headers],Network_Size_Comparison[#Headers],0),FALSE)</calculatedColumnFormula>
    </tableColumn>
    <tableColumn id="7" name="Essential (Original)" dataDxfId="115" dataCellStyle="Currency">
      <calculatedColumnFormula>VLOOKUP(OPEX_Poles17[[#This Row],[OPEX Category]],OPEX_CategoryComparison[#All],MATCH(OPEX_Poles17[#Headers],OPEX_CategoryComparison[#Headers],0),FALSE)/VLOOKUP("Total Assets",Network_Size_Comparison[#All],MATCH(OPEX_Poles17[#Headers],Network_Size_Comparison[#Headers],0),FALSE)</calculatedColumnFormula>
    </tableColumn>
    <tableColumn id="12" name="Essential" dataDxfId="114" dataCellStyle="Currency">
      <calculatedColumnFormula>VLOOKUP(OPEX_Poles17[[#This Row],[OPEX Category]],OPEX_CategoryComparison[#All],MATCH(OPEX_Poles17[#Headers],OPEX_CategoryComparison[#Headers],0),FALSE)/VLOOKUP("Total Assets",Network_Size_Comparison[#All],MATCH(OPEX_Poles17[#Headers],Network_Size_Comparison[#Headers],0),FALSE)</calculatedColumnFormula>
    </tableColumn>
    <tableColumn id="8" name="SA Power" dataDxfId="113" dataCellStyle="Currency">
      <calculatedColumnFormula>VLOOKUP(OPEX_Poles17[[#This Row],[OPEX Category]],OPEX_CategoryComparison[#All],MATCH(OPEX_Poles17[#Headers],OPEX_CategoryComparison[#Headers],0),FALSE)/VLOOKUP("Total Assets",Network_Size_Comparison[#All],MATCH(OPEX_Poles17[#Headers],Network_Size_Comparison[#Headers],0),FALSE)</calculatedColumnFormula>
    </tableColumn>
    <tableColumn id="11" name="AusNet + Powercor" dataDxfId="112" dataCellStyle="Currency">
      <calculatedColumnFormula>VLOOKUP(OPEX_Poles17[[#This Row],[OPEX Category]],OPEX_CategoryComparison[#All],MATCH(OPEX_Poles17[#Headers],OPEX_CategoryComparison[#Headers],0),FALSE)/VLOOKUP("Total Assets",Network_Size_Comparison[#All],MATCH(OPEX_Poles17[#Headers],Network_Size_Comparison[#Headers],0),FALSE)</calculatedColumnFormula>
    </tableColumn>
    <tableColumn id="10" name="SA Power + Powercor" dataDxfId="111" dataCellStyle="Currency">
      <calculatedColumnFormula>VLOOKUP(OPEX_Poles17[[#This Row],[OPEX Category]],OPEX_CategoryComparison[#All],MATCH(OPEX_Poles17[#Headers],OPEX_CategoryComparison[#Headers],0),FALSE)/VLOOKUP("Total Assets",Network_Size_Comparison[#All],MATCH(OPEX_Poles17[#Headers],Network_Size_Comparison[#Headers],0),FALSE)</calculatedColumnFormula>
    </tableColumn>
    <tableColumn id="13" name="Essential -10%" dataDxfId="110" dataCellStyle="Currency">
      <calculatedColumnFormula>VLOOKUP(OPEX_Poles17[[#This Row],[OPEX Category]],OPEX_CategoryComparisonBalanced[#All],MATCH(OPEX_Poles17[#Headers],OPEX_CategoryComparisonBalanced[#Headers],0),FALSE)/VLOOKUP("Total Assets",Network_Size_Comparison[#All],MATCH(OPEX_Poles17[#Headers],Network_Size_Comparison[#Headers],0),FALSE)</calculatedColumnFormula>
    </tableColumn>
    <tableColumn id="14" name="Essential +16%Dir" dataDxfId="109" dataCellStyle="Currency">
      <calculatedColumnFormula>VLOOKUP(OPEX_Poles17[[#This Row],[OPEX Category]],OPEX_CategoryComparisonBalanced[#All],MATCH(OPEX_Poles17[#Headers],OPEX_CategoryComparisonBalanced[#Headers],0),FALSE)/VLOOKUP("Total Assets",Network_Size_Comparison[#All],MATCH(OPEX_Poles17[#Headers],Network_Size_Comparison[#Headers],0),FALSE)</calculatedColumnFormula>
    </tableColumn>
    <tableColumn id="9" name="Comments" totalsRowFunction="count" dataDxfId="108"/>
  </tableColumns>
  <tableStyleInfo name="TableStyleLight14" showFirstColumn="1" showLastColumn="0" showRowStripes="1" showColumnStripes="1"/>
</table>
</file>

<file path=xl/tables/table33.xml><?xml version="1.0" encoding="utf-8"?>
<table xmlns="http://schemas.openxmlformats.org/spreadsheetml/2006/main" id="14" name="OPEX_Poles1715" displayName="OPEX_Poles1715" ref="A64:N70" headerRowDxfId="107" dataDxfId="106" totalsRowDxfId="105">
  <tableColumns count="14">
    <tableColumn id="1" name="OPEX Category" totalsRowLabel="Total" dataDxfId="104"/>
    <tableColumn id="2" name="Ausgrid" dataDxfId="103"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3" name="Ergon" dataDxfId="102"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4" name="Endeavour" dataDxfId="101"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5" name="Powercor" dataDxfId="100"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6" name="AusNet" dataDxfId="99"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7" name="Essential (Original)" dataDxfId="98"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12" name="Essential" dataDxfId="97"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8" name="SA Power" dataDxfId="96"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11" name="AusNet + Powercor" dataDxfId="95"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10" name="SA Power + Powercor" dataDxfId="94"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13" name="Essential -10%" dataDxfId="93"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14" name="Essential +16%Dir" dataDxfId="92" dataCellStyle="Currency">
      <calculatedColumnFormula>VLOOKUP(OPEX_Poles1715[[#This Row],[OPEX Category]],OPEX_CategoryComparisonBalanced[#All],MATCH(OPEX_Poles1715[#Headers],OPEX_CategoryComparisonBalanced[#Headers],0),FALSE)/VLOOKUP("Customer Count",Network_Size_Comparison[#All],MATCH(OPEX_Poles1715[#Headers],Network_Size_Comparison[#Headers],0),FALSE)</calculatedColumnFormula>
    </tableColumn>
    <tableColumn id="9" name="Comments" totalsRowFunction="count" dataDxfId="91"/>
  </tableColumns>
  <tableStyleInfo name="TableStyleLight14" showFirstColumn="1" showLastColumn="0" showRowStripes="1" showColumnStripes="1"/>
</table>
</file>

<file path=xl/tables/table34.xml><?xml version="1.0" encoding="utf-8"?>
<table xmlns="http://schemas.openxmlformats.org/spreadsheetml/2006/main" id="42" name="OPEX_CategoryComparisonBalanced" displayName="OPEX_CategoryComparisonBalanced" ref="A15:N25" totalsRowCount="1" headerRowDxfId="90" dataDxfId="89" totalsRowDxfId="88">
  <tableColumns count="14">
    <tableColumn id="1" name="OPEX Category" totalsRowLabel="Total" dataDxfId="87"/>
    <tableColumn id="2" name="Ausgrid" totalsRowFunction="sum" dataDxfId="86" totalsRowDxfId="11" dataCellStyle="Currency">
      <calculatedColumnFormula>VLOOKUP(OPEX_CategoryComparisonBalanced[[#This Row],[OPEX Category]],OPEX_CategoryComparison[],MATCH(OPEX_CategoryComparisonBalanced[#Headers],OPEX_CategoryComparison[#Headers],0),FALSE)</calculatedColumnFormula>
    </tableColumn>
    <tableColumn id="3" name="Ergon" totalsRowFunction="sum" dataDxfId="85" totalsRowDxfId="10" dataCellStyle="Currency">
      <calculatedColumnFormula>VLOOKUP(OPEX_CategoryComparisonBalanced[[#This Row],[OPEX Category]],OPEX_CategoryComparison[],MATCH(OPEX_CategoryComparisonBalanced[#Headers],OPEX_CategoryComparison[#Headers],0),FALSE)</calculatedColumnFormula>
    </tableColumn>
    <tableColumn id="4" name="Endeavour" totalsRowFunction="sum" dataDxfId="84" totalsRowDxfId="9" dataCellStyle="Currency">
      <calculatedColumnFormula>VLOOKUP(OPEX_CategoryComparisonBalanced[[#This Row],[OPEX Category]],OPEX_CategoryComparison[],MATCH(OPEX_CategoryComparisonBalanced[#Headers],OPEX_CategoryComparison[#Headers],0),FALSE)</calculatedColumnFormula>
    </tableColumn>
    <tableColumn id="5" name="Powercor" totalsRowFunction="sum" dataDxfId="83" totalsRowDxfId="8" dataCellStyle="Currency">
      <calculatedColumnFormula>VLOOKUP(OPEX_CategoryComparisonBalanced[[#This Row],[OPEX Category]],OPEX_CategoryComparison[],MATCH(OPEX_CategoryComparisonBalanced[#Headers],OPEX_CategoryComparison[#Headers],0),FALSE)</calculatedColumnFormula>
    </tableColumn>
    <tableColumn id="6" name="AusNet" totalsRowFunction="sum" dataDxfId="82" totalsRowDxfId="7" dataCellStyle="Currency">
      <calculatedColumnFormula>VLOOKUP(OPEX_CategoryComparisonBalanced[[#This Row],[OPEX Category]],OPEX_CategoryComparison[],MATCH(OPEX_CategoryComparisonBalanced[#Headers],OPEX_CategoryComparison[#Headers],0),FALSE)</calculatedColumnFormula>
    </tableColumn>
    <tableColumn id="7" name="Essential (Original)" totalsRowFunction="sum" dataDxfId="81" totalsRowDxfId="6" dataCellStyle="Currency">
      <calculatedColumnFormula>VLOOKUP(OPEX_CategoryComparisonBalanced[[#This Row],[OPEX Category]],OPEX_CategoryComparison[],MATCH(OPEX_CategoryComparisonBalanced[#Headers],OPEX_CategoryComparison[#Headers],0),FALSE)</calculatedColumnFormula>
    </tableColumn>
    <tableColumn id="12" name="Essential" totalsRowFunction="sum" dataDxfId="80" totalsRowDxfId="5" dataCellStyle="Currency">
      <calculatedColumnFormula>VLOOKUP(OPEX_CategoryComparisonBalanced[[#This Row],[OPEX Category]],OPEX_CategoryComparison[],MATCH(OPEX_CategoryComparisonBalanced[#Headers],OPEX_CategoryComparison[#Headers],0),FALSE)</calculatedColumnFormula>
    </tableColumn>
    <tableColumn id="8" name="SA Power" totalsRowFunction="sum" dataDxfId="79" totalsRowDxfId="4" dataCellStyle="Currency">
      <calculatedColumnFormula>VLOOKUP(OPEX_CategoryComparisonBalanced[[#This Row],[OPEX Category]],OPEX_CategoryComparison[],MATCH(OPEX_CategoryComparisonBalanced[#Headers],OPEX_CategoryComparison[#Headers],0),FALSE)</calculatedColumnFormula>
    </tableColumn>
    <tableColumn id="11" name="AusNet + Powercor" totalsRowFunction="sum" dataDxfId="78" totalsRowDxfId="3" dataCellStyle="Currency">
      <calculatedColumnFormula>VLOOKUP(OPEX_CategoryComparisonBalanced[[#This Row],[OPEX Category]],OPEX_CategoryComparison[],MATCH(OPEX_CategoryComparisonBalanced[#Headers],OPEX_CategoryComparison[#Headers],0),FALSE)</calculatedColumnFormula>
    </tableColumn>
    <tableColumn id="10" name="SA Power + Powercor" totalsRowFunction="sum" dataDxfId="77" totalsRowDxfId="2" dataCellStyle="Currency">
      <calculatedColumnFormula>VLOOKUP(OPEX_CategoryComparisonBalanced[[#This Row],[OPEX Category]],OPEX_CategoryComparison[],MATCH(OPEX_CategoryComparisonBalanced[#Headers],OPEX_CategoryComparison[#Headers],0),FALSE)</calculatedColumnFormula>
    </tableColumn>
    <tableColumn id="13" name="Essential -10%" totalsRowFunction="sum" dataDxfId="76" totalsRowDxfId="1" dataCellStyle="Currency">
      <calculatedColumnFormula>OPEX_CategoryComparisonBalanced[[#This Row],[Essential]]*0.9</calculatedColumnFormula>
    </tableColumn>
    <tableColumn id="14" name="Essential +16%Dir" totalsRowFunction="sum" dataDxfId="75" totalsRowDxfId="0" dataCellStyle="Currency"/>
    <tableColumn id="9" name="Comments" totalsRowLabel="Total OPEX is not comparable due to metering &amp; public lighting included for some DNSP's" dataDxfId="74"/>
  </tableColumns>
  <tableStyleInfo name="TableStyleLight14" showFirstColumn="1" showLastColumn="0" showRowStripes="1" showColumnStripes="1"/>
</table>
</file>

<file path=xl/tables/table35.xml><?xml version="1.0" encoding="utf-8"?>
<table xmlns="http://schemas.openxmlformats.org/spreadsheetml/2006/main" id="20" name="Table20" displayName="Table20" ref="A1:I15" totalsRowShown="0">
  <autoFilter ref="A1:I15"/>
  <tableColumns count="9">
    <tableColumn id="1" name="OPEX $Million Real 2013-14" dataDxfId="73"/>
    <tableColumn id="8" name="$ base" dataDxfId="72"/>
    <tableColumn id="2" name="2015" dataDxfId="71" dataCellStyle="Comma"/>
    <tableColumn id="3" name="2016" dataDxfId="70" dataCellStyle="Comma"/>
    <tableColumn id="4" name="2017" dataDxfId="69" dataCellStyle="Comma"/>
    <tableColumn id="5" name="2018" dataDxfId="68" dataCellStyle="Comma"/>
    <tableColumn id="6" name="2019" dataDxfId="67" dataCellStyle="Comma"/>
    <tableColumn id="10" name="TOTAL" dataDxfId="66">
      <calculatedColumnFormula>SUM(Table20[[#This Row],[2015]:[2019]])</calculatedColumnFormula>
    </tableColumn>
    <tableColumn id="9" name="Source"/>
  </tableColumns>
  <tableStyleInfo name="TableStyleLight14" showFirstColumn="0" showLastColumn="0" showRowStripes="1" showColumnStripes="1"/>
</table>
</file>

<file path=xl/tables/table36.xml><?xml version="1.0" encoding="utf-8"?>
<table xmlns="http://schemas.openxmlformats.org/spreadsheetml/2006/main" id="36" name="Table2037" displayName="Table2037" ref="A35:J41" totalsRowShown="0" dataDxfId="65">
  <autoFilter ref="A35:J41"/>
  <tableColumns count="10">
    <tableColumn id="1" name="Total Opex" dataDxfId="64"/>
    <tableColumn id="8" name="$ base" dataDxfId="63"/>
    <tableColumn id="2" name="2015" dataDxfId="62" dataCellStyle="Currency">
      <calculatedColumnFormula>VLOOKUP(Table2037[[#This Row],[Total Opex]],Table20[#All],MATCH(Table2037[#Headers],Table20[#Headers],0),FALSE)*1000000/VLOOKUP($B$34,Network_Size_Comparison[#All],MATCH(Table2037[[#This Row],[Company]],Network_Size_Comparison[#Headers],0),FALSE)</calculatedColumnFormula>
    </tableColumn>
    <tableColumn id="3" name="2016" dataDxfId="61" dataCellStyle="Currency">
      <calculatedColumnFormula>VLOOKUP(Table2037[[#This Row],[Total Opex]],Table20[#All],MATCH(Table2037[#Headers],Table20[#Headers],0),FALSE)*1000000/VLOOKUP($B$34,Network_Size_Comparison[#All],MATCH(Table2037[[#This Row],[Company]],Network_Size_Comparison[#Headers],0),FALSE)</calculatedColumnFormula>
    </tableColumn>
    <tableColumn id="4" name="2017" dataDxfId="60" dataCellStyle="Currency">
      <calculatedColumnFormula>VLOOKUP(Table2037[[#This Row],[Total Opex]],Table20[#All],MATCH(Table2037[#Headers],Table20[#Headers],0),FALSE)*1000000/VLOOKUP($B$34,Network_Size_Comparison[#All],MATCH(Table2037[[#This Row],[Company]],Network_Size_Comparison[#Headers],0),FALSE)</calculatedColumnFormula>
    </tableColumn>
    <tableColumn id="5" name="2018" dataDxfId="59" dataCellStyle="Currency">
      <calculatedColumnFormula>VLOOKUP(Table2037[[#This Row],[Total Opex]],Table20[#All],MATCH(Table2037[#Headers],Table20[#Headers],0),FALSE)*1000000/VLOOKUP($B$34,Network_Size_Comparison[#All],MATCH(Table2037[[#This Row],[Company]],Network_Size_Comparison[#Headers],0),FALSE)</calculatedColumnFormula>
    </tableColumn>
    <tableColumn id="6" name="2019" dataDxfId="58" dataCellStyle="Currency">
      <calculatedColumnFormula>VLOOKUP(Table2037[[#This Row],[Total Opex]],Table20[#All],MATCH(Table2037[#Headers],Table20[#Headers],0),FALSE)*1000000/VLOOKUP($B$34,Network_Size_Comparison[#All],MATCH(Table2037[[#This Row],[Company]],Network_Size_Comparison[#Headers],0),FALSE)</calculatedColumnFormula>
    </tableColumn>
    <tableColumn id="7" name="Total" dataDxfId="57" dataCellStyle="Currency">
      <calculatedColumnFormula>VLOOKUP(Table2037[[#This Row],[Total Opex]],Table20[#All],MATCH(Table2037[#Headers],Table20[#Headers],0),FALSE)*1000000/5/VLOOKUP($B$34,Network_Size_Comparison[#All],MATCH(Table2037[[#This Row],[Company]],Network_Size_Comparison[#Headers],0),FALSE)</calculatedColumnFormula>
    </tableColumn>
    <tableColumn id="9" name="Source" dataDxfId="56"/>
    <tableColumn id="10" name="Company" dataDxfId="55" dataCellStyle="Comma"/>
  </tableColumns>
  <tableStyleInfo name="TableStyleLight14" showFirstColumn="1" showLastColumn="0" showRowStripes="1" showColumnStripes="1"/>
</table>
</file>

<file path=xl/tables/table37.xml><?xml version="1.0" encoding="utf-8"?>
<table xmlns="http://schemas.openxmlformats.org/spreadsheetml/2006/main" id="35" name="Table35" displayName="Table35" ref="A63:P69" headerRowDxfId="54" dataDxfId="53">
  <tableColumns count="16">
    <tableColumn id="1" name="Essential OPEX Categories ($M 2013/14)" totalsRowLabel="Total" dataDxfId="52" totalsRowDxfId="51"/>
    <tableColumn id="2" name="2004-05" totalsRowFunction="sum" dataDxfId="50" totalsRowDxfId="49" dataCellStyle="Comma"/>
    <tableColumn id="3" name="2005-06" dataDxfId="48" totalsRowDxfId="47" dataCellStyle="Comma"/>
    <tableColumn id="4" name="2006-07" dataDxfId="46" totalsRowDxfId="45" dataCellStyle="Comma"/>
    <tableColumn id="5" name="2007-08" dataDxfId="44" totalsRowDxfId="43" dataCellStyle="Comma"/>
    <tableColumn id="6" name="2008-09" dataDxfId="42" totalsRowDxfId="41" dataCellStyle="Comma"/>
    <tableColumn id="7" name="2009-10" dataDxfId="40" totalsRowDxfId="39" dataCellStyle="Comma"/>
    <tableColumn id="8" name="2010-11" dataDxfId="38" totalsRowDxfId="37" dataCellStyle="Comma"/>
    <tableColumn id="9" name="2011-12" dataDxfId="36" totalsRowDxfId="35" dataCellStyle="Comma"/>
    <tableColumn id="10" name="2012-13" dataDxfId="34" totalsRowDxfId="33" dataCellStyle="Comma"/>
    <tableColumn id="11" name="2013-14" dataDxfId="32" totalsRowDxfId="31" dataCellStyle="Comma"/>
    <tableColumn id="12" name="2014-15" dataDxfId="30" totalsRowDxfId="29" dataCellStyle="Comma"/>
    <tableColumn id="13" name="2015-16" dataDxfId="28" totalsRowDxfId="27" dataCellStyle="Comma"/>
    <tableColumn id="14" name="2016-17" dataDxfId="26" totalsRowDxfId="25" dataCellStyle="Comma"/>
    <tableColumn id="15" name="2017-18" dataDxfId="24" totalsRowDxfId="23" dataCellStyle="Comma"/>
    <tableColumn id="16" name="2018-19" totalsRowFunction="sum" dataDxfId="22" totalsRowDxfId="21" dataCellStyle="Comma"/>
  </tableColumns>
  <tableStyleInfo name="TableStyleLight14" showFirstColumn="0" showLastColumn="0" showRowStripes="1" showColumnStripes="1"/>
</table>
</file>

<file path=xl/tables/table38.xml><?xml version="1.0" encoding="utf-8"?>
<table xmlns="http://schemas.openxmlformats.org/spreadsheetml/2006/main" id="38" name="Table203739" displayName="Table203739" ref="A95:H105" totalsRowShown="0" dataDxfId="20">
  <autoFilter ref="A95:H105"/>
  <tableColumns count="8">
    <tableColumn id="1" name="DNSP OPEX Real $13-14" dataDxfId="19"/>
    <tableColumn id="8" name="$ base" dataDxfId="18"/>
    <tableColumn id="2" name="2015" dataDxfId="17" dataCellStyle="Currency">
      <calculatedColumnFormula>VLOOKUP(Table203739[[#This Row],[DNSP OPEX Real $13-14]],Table20[#All],MATCH(Table203739[#Headers],Table20[#Headers],0),FALSE)*1000000/VLOOKUP($B$34,Network_Size_Comparison[#All],MATCH(#REF!,Network_Size_Comparison[#Headers],0),FALSE)</calculatedColumnFormula>
    </tableColumn>
    <tableColumn id="3" name="2016" dataDxfId="16" dataCellStyle="Currency">
      <calculatedColumnFormula>VLOOKUP(Table203739[[#This Row],[DNSP OPEX Real $13-14]],Table20[#All],MATCH(Table203739[#Headers],Table20[#Headers],0),FALSE)*1000000/VLOOKUP($B$34,Network_Size_Comparison[#All],MATCH(#REF!,Network_Size_Comparison[#Headers],0),FALSE)</calculatedColumnFormula>
    </tableColumn>
    <tableColumn id="4" name="2017" dataDxfId="15" dataCellStyle="Currency">
      <calculatedColumnFormula>VLOOKUP(Table203739[[#This Row],[DNSP OPEX Real $13-14]],Table20[#All],MATCH(Table203739[#Headers],Table20[#Headers],0),FALSE)*1000000/VLOOKUP($B$34,Network_Size_Comparison[#All],MATCH(#REF!,Network_Size_Comparison[#Headers],0),FALSE)</calculatedColumnFormula>
    </tableColumn>
    <tableColumn id="5" name="2018" dataDxfId="14" dataCellStyle="Currency">
      <calculatedColumnFormula>VLOOKUP(Table203739[[#This Row],[DNSP OPEX Real $13-14]],Table20[#All],MATCH(Table203739[#Headers],Table20[#Headers],0),FALSE)*1000000/VLOOKUP($B$34,Network_Size_Comparison[#All],MATCH(#REF!,Network_Size_Comparison[#Headers],0),FALSE)</calculatedColumnFormula>
    </tableColumn>
    <tableColumn id="6" name="2019" dataDxfId="13" dataCellStyle="Currency">
      <calculatedColumnFormula>VLOOKUP(Table203739[[#This Row],[DNSP OPEX Real $13-14]],Table20[#All],MATCH(Table203739[#Headers],Table20[#Headers],0),FALSE)*1000000/VLOOKUP($B$34,Network_Size_Comparison[#All],MATCH(#REF!,Network_Size_Comparison[#Headers],0),FALSE)</calculatedColumnFormula>
    </tableColumn>
    <tableColumn id="7" name="Total 2015-19" dataDxfId="12" dataCellStyle="Currency">
      <calculatedColumnFormula>SUM(Table203739[[#This Row],[2015]:[2019]])</calculatedColumnFormula>
    </tableColumn>
  </tableColumns>
  <tableStyleInfo name="TableStyleLight14" showFirstColumn="1" showLastColumn="0" showRowStripes="1" showColumnStripes="1"/>
</table>
</file>

<file path=xl/tables/table4.xml><?xml version="1.0" encoding="utf-8"?>
<table xmlns="http://schemas.openxmlformats.org/spreadsheetml/2006/main" id="13" name="PoleMaterial" displayName="PoleMaterial" ref="A70:M77" totalsRowCount="1" headerRowDxfId="737" dataDxfId="736" dataCellStyle="Comma">
  <tableColumns count="13">
    <tableColumn id="1" name="Pole Material Comparison" totalsRowLabel="Total" dataDxfId="735" totalsRowDxfId="734"/>
    <tableColumn id="2" name="Ausgrid" totalsRowFunction="sum" dataDxfId="733" totalsRowDxfId="732" dataCellStyle="Comma">
      <calculatedColumnFormula>SUMIFS('5.2 Age Profiles'!$DG:$DG,'5.2 Age Profiles'!$B:$B,PoleMaterial[#Headers],'5.2 Age Profiles'!$DL:$DL,PoleMaterial[[#This Row],[Pole Material Comparison]])</calculatedColumnFormula>
    </tableColumn>
    <tableColumn id="3" name="Ergon" totalsRowFunction="sum" dataDxfId="731" totalsRowDxfId="730" dataCellStyle="Comma">
      <calculatedColumnFormula>SUMIFS('5.2 Age Profiles'!$DG:$DG,'5.2 Age Profiles'!$B:$B,PoleMaterial[#Headers],'5.2 Age Profiles'!$DL:$DL,PoleMaterial[[#This Row],[Pole Material Comparison]])</calculatedColumnFormula>
    </tableColumn>
    <tableColumn id="4" name="Endeavour" totalsRowFunction="sum" dataDxfId="729" totalsRowDxfId="728" dataCellStyle="Comma">
      <calculatedColumnFormula>SUMIFS('5.2 Age Profiles'!$DG:$DG,'5.2 Age Profiles'!$B:$B,PoleMaterial[#Headers],'5.2 Age Profiles'!$DL:$DL,PoleMaterial[[#This Row],[Pole Material Comparison]])</calculatedColumnFormula>
    </tableColumn>
    <tableColumn id="5" name="Powercor" totalsRowFunction="sum" dataDxfId="727" totalsRowDxfId="726" dataCellStyle="Comma">
      <calculatedColumnFormula>SUMIFS('5.2 Age Profiles'!$DG:$DG,'5.2 Age Profiles'!$B:$B,PoleMaterial[#Headers],'5.2 Age Profiles'!$DL:$DL,PoleMaterial[[#This Row],[Pole Material Comparison]])</calculatedColumnFormula>
    </tableColumn>
    <tableColumn id="6" name="AusNet" totalsRowFunction="sum" dataDxfId="725" totalsRowDxfId="724" dataCellStyle="Comma">
      <calculatedColumnFormula>SUMIFS('5.2 Age Profiles'!$DG:$DG,'5.2 Age Profiles'!$B:$B,PoleMaterial[#Headers],'5.2 Age Profiles'!$DL:$DL,PoleMaterial[[#This Row],[Pole Material Comparison]])</calculatedColumnFormula>
    </tableColumn>
    <tableColumn id="7" name="Essential (Original)" totalsRowFunction="sum" dataDxfId="723" totalsRowDxfId="722" dataCellStyle="Comma">
      <calculatedColumnFormula>SUMIFS('5.2 Age Profiles'!$DG:$DG,'5.2 Age Profiles'!$B:$B,PoleMaterial[#Headers],'5.2 Age Profiles'!$DL:$DL,PoleMaterial[[#This Row],[Pole Material Comparison]])</calculatedColumnFormula>
    </tableColumn>
    <tableColumn id="12" name="Essential" totalsRowFunction="sum" dataDxfId="721" totalsRowDxfId="720" dataCellStyle="Comma">
      <calculatedColumnFormula>SUMIFS('5.2 Age Profiles'!$DG:$DG,'5.2 Age Profiles'!$B:$B,PoleMaterial[#Headers],'5.2 Age Profiles'!$DL:$DL,PoleMaterial[[#This Row],[Pole Material Comparison]])</calculatedColumnFormula>
    </tableColumn>
    <tableColumn id="8" name="SA Power" totalsRowFunction="sum" dataDxfId="719" totalsRowDxfId="718" dataCellStyle="Comma">
      <calculatedColumnFormula>SUMIFS('5.2 Age Profiles'!$DG:$DG,'5.2 Age Profiles'!$B:$B,PoleMaterial[#Headers],'5.2 Age Profiles'!$DL:$DL,PoleMaterial[[#This Row],[Pole Material Comparison]])</calculatedColumnFormula>
    </tableColumn>
    <tableColumn id="11" name="AusNet + Powercor" totalsRowFunction="sum" dataDxfId="717" totalsRowDxfId="716" dataCellStyle="Comma">
      <calculatedColumnFormula>PoleMaterial[[#This Row],[Powercor]]+PoleMaterial[[#This Row],[AusNet]]</calculatedColumnFormula>
    </tableColumn>
    <tableColumn id="13" name="SA Power + Powercor" totalsRowFunction="sum" dataDxfId="715" totalsRowDxfId="714" dataCellStyle="Comma">
      <calculatedColumnFormula>PoleMaterial[[#This Row],[Powercor]]+PoleMaterial[[#This Row],[SA Power]]</calculatedColumnFormula>
    </tableColumn>
    <tableColumn id="9" name="Source" dataDxfId="713" totalsRowDxfId="712" dataCellStyle="Comma"/>
    <tableColumn id="10" name="Comments" dataDxfId="711" totalsRowDxfId="710" dataCellStyle="Comma"/>
  </tableColumns>
  <tableStyleInfo name="TableStyleLight14" showFirstColumn="0" showLastColumn="0" showRowStripes="1" showColumnStripes="1"/>
</table>
</file>

<file path=xl/tables/table5.xml><?xml version="1.0" encoding="utf-8"?>
<table xmlns="http://schemas.openxmlformats.org/spreadsheetml/2006/main" id="25" name="PoleMaterial26" displayName="PoleMaterial26" ref="A80:M87" totalsRowCount="1" headerRowDxfId="709" dataDxfId="708" dataCellStyle="Comma">
  <tableColumns count="13">
    <tableColumn id="1" name="Pole Material Comparison" totalsRowLabel="Total" dataDxfId="707" totalsRowDxfId="706">
      <calculatedColumnFormula>A71</calculatedColumnFormula>
    </tableColumn>
    <tableColumn id="2" name="Ausgrid" totalsRowFunction="sum" dataDxfId="705" totalsRowDxfId="704" dataCellStyle="Percent">
      <calculatedColumnFormula>VLOOKUP(PoleMaterial26[[#This Row],[Pole Material Comparison]],PoleMaterial[#All],MATCH(PoleMaterial26[#Headers],PoleMaterial[#Headers],0),FALSE)/VLOOKUP("Total",PoleMaterial[#All],MATCH(PoleMaterial26[#Headers],PoleMaterial[#Headers],0),FALSE)</calculatedColumnFormula>
    </tableColumn>
    <tableColumn id="3" name="Ergon" totalsRowFunction="sum" dataDxfId="703" totalsRowDxfId="702" dataCellStyle="Percent">
      <calculatedColumnFormula>VLOOKUP(PoleMaterial26[[#This Row],[Pole Material Comparison]],PoleMaterial[#All],MATCH(PoleMaterial26[#Headers],PoleMaterial[#Headers],0),FALSE)/VLOOKUP("Total",PoleMaterial[#All],MATCH(PoleMaterial26[#Headers],PoleMaterial[#Headers],0),FALSE)</calculatedColumnFormula>
    </tableColumn>
    <tableColumn id="4" name="Endeavour" totalsRowFunction="sum" dataDxfId="701" totalsRowDxfId="700" dataCellStyle="Percent">
      <calculatedColumnFormula>VLOOKUP(PoleMaterial26[[#This Row],[Pole Material Comparison]],PoleMaterial[#All],MATCH(PoleMaterial26[#Headers],PoleMaterial[#Headers],0),FALSE)/VLOOKUP("Total",PoleMaterial[#All],MATCH(PoleMaterial26[#Headers],PoleMaterial[#Headers],0),FALSE)</calculatedColumnFormula>
    </tableColumn>
    <tableColumn id="5" name="Powercor" totalsRowFunction="sum" dataDxfId="699" totalsRowDxfId="698" dataCellStyle="Percent">
      <calculatedColumnFormula>VLOOKUP(PoleMaterial26[[#This Row],[Pole Material Comparison]],PoleMaterial[#All],MATCH(PoleMaterial26[#Headers],PoleMaterial[#Headers],0),FALSE)/VLOOKUP("Total",PoleMaterial[#All],MATCH(PoleMaterial26[#Headers],PoleMaterial[#Headers],0),FALSE)</calculatedColumnFormula>
    </tableColumn>
    <tableColumn id="6" name="AusNet" totalsRowFunction="sum" dataDxfId="697" totalsRowDxfId="696" dataCellStyle="Percent">
      <calculatedColumnFormula>VLOOKUP(PoleMaterial26[[#This Row],[Pole Material Comparison]],PoleMaterial[#All],MATCH(PoleMaterial26[#Headers],PoleMaterial[#Headers],0),FALSE)/VLOOKUP("Total",PoleMaterial[#All],MATCH(PoleMaterial26[#Headers],PoleMaterial[#Headers],0),FALSE)</calculatedColumnFormula>
    </tableColumn>
    <tableColumn id="7" name="Essential (Original)" totalsRowFunction="sum" dataDxfId="695" totalsRowDxfId="694" dataCellStyle="Percent">
      <calculatedColumnFormula>VLOOKUP(PoleMaterial26[[#This Row],[Pole Material Comparison]],PoleMaterial[#All],MATCH(PoleMaterial26[#Headers],PoleMaterial[#Headers],0),FALSE)/VLOOKUP("Total",PoleMaterial[#All],MATCH(PoleMaterial26[#Headers],PoleMaterial[#Headers],0),FALSE)</calculatedColumnFormula>
    </tableColumn>
    <tableColumn id="12" name="Essential" totalsRowFunction="sum" dataDxfId="693" totalsRowDxfId="692" dataCellStyle="Percent">
      <calculatedColumnFormula>VLOOKUP(PoleMaterial26[[#This Row],[Pole Material Comparison]],PoleMaterial[#All],MATCH(PoleMaterial26[#Headers],PoleMaterial[#Headers],0),FALSE)/VLOOKUP("Total",PoleMaterial[#All],MATCH(PoleMaterial26[#Headers],PoleMaterial[#Headers],0),FALSE)</calculatedColumnFormula>
    </tableColumn>
    <tableColumn id="8" name="SA Power" totalsRowFunction="sum" dataDxfId="691" totalsRowDxfId="690" dataCellStyle="Percent">
      <calculatedColumnFormula>VLOOKUP(PoleMaterial26[[#This Row],[Pole Material Comparison]],PoleMaterial[#All],MATCH(PoleMaterial26[#Headers],PoleMaterial[#Headers],0),FALSE)/VLOOKUP("Total",PoleMaterial[#All],MATCH(PoleMaterial26[#Headers],PoleMaterial[#Headers],0),FALSE)</calculatedColumnFormula>
    </tableColumn>
    <tableColumn id="11" name="AusNet + Powercor" totalsRowFunction="sum" dataDxfId="689" totalsRowDxfId="688" dataCellStyle="Percent">
      <calculatedColumnFormula>VLOOKUP(PoleMaterial26[[#This Row],[Pole Material Comparison]],PoleMaterial[#All],MATCH(PoleMaterial26[#Headers],PoleMaterial[#Headers],0),FALSE)/VLOOKUP("Total",PoleMaterial[#All],MATCH(PoleMaterial26[#Headers],PoleMaterial[#Headers],0),FALSE)</calculatedColumnFormula>
    </tableColumn>
    <tableColumn id="13" name="SA Power + Powercor" dataDxfId="687" totalsRowDxfId="686" dataCellStyle="Percent">
      <calculatedColumnFormula>VLOOKUP(PoleMaterial26[[#This Row],[Pole Material Comparison]],PoleMaterial[#All],MATCH(PoleMaterial26[#Headers],PoleMaterial[#Headers],0),FALSE)/VLOOKUP("Total",PoleMaterial[#All],MATCH(PoleMaterial26[#Headers],PoleMaterial[#Headers],0),FALSE)</calculatedColumnFormula>
    </tableColumn>
    <tableColumn id="9" name="Source" dataDxfId="685" totalsRowDxfId="684" dataCellStyle="Comma"/>
    <tableColumn id="10" name="Comments" dataDxfId="683" totalsRowDxfId="682" dataCellStyle="Comma"/>
  </tableColumns>
  <tableStyleInfo name="TableStyleLight14" showFirstColumn="0" showLastColumn="0" showRowStripes="1" showColumnStripes="0"/>
</table>
</file>

<file path=xl/tables/table6.xml><?xml version="1.0" encoding="utf-8"?>
<table xmlns="http://schemas.openxmlformats.org/spreadsheetml/2006/main" id="27" name="Table27" displayName="Table27" ref="A16:M20" totalsRowShown="0">
  <tableColumns count="13">
    <tableColumn id="1" name="Asset Count (2.2.2 REPEX)"/>
    <tableColumn id="2" name="Ausgrid" dataDxfId="681" dataCellStyle="Comma">
      <calculatedColumnFormula>SUMIFS('2.2.2 REPEX'!$D:$D,'2.2.2 REPEX'!$J:$J,Table27[#Headers],'2.2.2 REPEX'!$K:$K,Table27[[#This Row],[Asset Count (2.2.2 REPEX)]],'2.2.2 REPEX'!$L:$L,Table27[[#This Row],[Metric]])</calculatedColumnFormula>
    </tableColumn>
    <tableColumn id="3" name="Ergon" dataDxfId="680" dataCellStyle="Comma">
      <calculatedColumnFormula>SUMIFS('2.2.2 REPEX'!$D:$D,'2.2.2 REPEX'!$J:$J,Table27[#Headers],'2.2.2 REPEX'!$K:$K,Table27[[#This Row],[Asset Count (2.2.2 REPEX)]],'2.2.2 REPEX'!$L:$L,Table27[[#This Row],[Metric]])</calculatedColumnFormula>
    </tableColumn>
    <tableColumn id="4" name="Endeavour" dataDxfId="679" dataCellStyle="Comma">
      <calculatedColumnFormula>SUMIFS('2.2.2 REPEX'!$D:$D,'2.2.2 REPEX'!$J:$J,Table27[#Headers],'2.2.2 REPEX'!$K:$K,Table27[[#This Row],[Asset Count (2.2.2 REPEX)]],'2.2.2 REPEX'!$L:$L,Table27[[#This Row],[Metric]])</calculatedColumnFormula>
    </tableColumn>
    <tableColumn id="5" name="Powercor" dataDxfId="678" dataCellStyle="Comma">
      <calculatedColumnFormula>SUMIFS('2.2.2 REPEX'!$D:$D,'2.2.2 REPEX'!$J:$J,Table27[#Headers],'2.2.2 REPEX'!$K:$K,Table27[[#This Row],[Asset Count (2.2.2 REPEX)]],'2.2.2 REPEX'!$L:$L,Table27[[#This Row],[Metric]])</calculatedColumnFormula>
    </tableColumn>
    <tableColumn id="6" name="AusNet" dataDxfId="677" dataCellStyle="Comma">
      <calculatedColumnFormula>SUMIFS('2.2.2 REPEX'!$D:$D,'2.2.2 REPEX'!$J:$J,Table27[#Headers],'2.2.2 REPEX'!$K:$K,Table27[[#This Row],[Asset Count (2.2.2 REPEX)]],'2.2.2 REPEX'!$L:$L,Table27[[#This Row],[Metric]])</calculatedColumnFormula>
    </tableColumn>
    <tableColumn id="7" name="Essential (Original)" dataDxfId="676" dataCellStyle="Comma">
      <calculatedColumnFormula>SUMIFS('2.2.2 REPEX'!$D:$D,'2.2.2 REPEX'!$J:$J,Table27[#Headers],'2.2.2 REPEX'!$K:$K,Table27[[#This Row],[Asset Count (2.2.2 REPEX)]],'2.2.2 REPEX'!$L:$L,Table27[[#This Row],[Metric]])</calculatedColumnFormula>
    </tableColumn>
    <tableColumn id="13" name="Essential" dataDxfId="675" dataCellStyle="Comma">
      <calculatedColumnFormula>SUMIFS('2.2.2 REPEX'!$D:$D,'2.2.2 REPEX'!$J:$J,Table27[#Headers],'2.2.2 REPEX'!$K:$K,Table27[[#This Row],[Asset Count (2.2.2 REPEX)]],'2.2.2 REPEX'!$L:$L,Table27[[#This Row],[Metric]])</calculatedColumnFormula>
    </tableColumn>
    <tableColumn id="8" name="SA Power" dataDxfId="674" dataCellStyle="Comma">
      <calculatedColumnFormula>SUMIFS('2.2.2 REPEX'!$D:$D,'2.2.2 REPEX'!$J:$J,Table27[#Headers],'2.2.2 REPEX'!$K:$K,Table27[[#This Row],[Asset Count (2.2.2 REPEX)]],'2.2.2 REPEX'!$L:$L,Table27[[#This Row],[Metric]])</calculatedColumnFormula>
    </tableColumn>
    <tableColumn id="11" name="AusNet + Powercor" dataDxfId="673" dataCellStyle="Comma">
      <calculatedColumnFormula>Table27[[#This Row],[Powercor]]+Table27[[#This Row],[AusNet]]</calculatedColumnFormula>
    </tableColumn>
    <tableColumn id="12" name="SA Power + Powercor" dataDxfId="672" dataCellStyle="Comma">
      <calculatedColumnFormula>Table27[[#This Row],[Powercor]]+Table27[[#This Row],[SA Power]]</calculatedColumnFormula>
    </tableColumn>
    <tableColumn id="9" name="Source"/>
    <tableColumn id="14" name="Metric" dataDxfId="671" dataCellStyle="Comma"/>
  </tableColumns>
  <tableStyleInfo name="TableStyleLight14" showFirstColumn="1" showLastColumn="0" showRowStripes="1" showColumnStripes="1"/>
</table>
</file>

<file path=xl/tables/table7.xml><?xml version="1.0" encoding="utf-8"?>
<table xmlns="http://schemas.openxmlformats.org/spreadsheetml/2006/main" id="7" name="Unit_Rates_2013FY" displayName="Unit_Rates_2013FY" ref="A86:K98" totalsRowShown="0" headerRowDxfId="670" dataDxfId="669">
  <tableColumns count="11">
    <tableColumn id="1" name="Category" dataDxfId="668"/>
    <tableColumn id="2" name="Ausgrid" dataDxfId="667" dataCellStyle="Currency">
      <calculatedColumnFormula>IFERROR(VLOOKUP(Unit_Rates_2013FY[[#This Row],[Category]],REPEX_Spend_5yrHistory[#All],MATCH(Unit_Rates_2013FY[#Headers],REPEX_Spend_5yrHistory[#Headers],0),FALSE)/VLOOKUP(Unit_Rates_2013FY[[#This Row],[Category]],REPEX_Spend_5yrHistory13[#All],MATCH(Unit_Rates_2013FY[#Headers],REPEX_Spend_5yrHistory13[#Headers],0),FALSE),"")</calculatedColumnFormula>
    </tableColumn>
    <tableColumn id="3" name="Ergon" dataDxfId="666" dataCellStyle="Currency">
      <calculatedColumnFormula>IFERROR(VLOOKUP(Unit_Rates_2013FY[[#This Row],[Category]],REPEX_Spend_5yrHistory[#All],MATCH(Unit_Rates_2013FY[#Headers],REPEX_Spend_5yrHistory[#Headers],0),FALSE)/VLOOKUP(Unit_Rates_2013FY[[#This Row],[Category]],REPEX_Spend_5yrHistory13[#All],MATCH(Unit_Rates_2013FY[#Headers],REPEX_Spend_5yrHistory13[#Headers],0),FALSE),"")</calculatedColumnFormula>
    </tableColumn>
    <tableColumn id="4" name="Endeavour" dataDxfId="665" dataCellStyle="Currency">
      <calculatedColumnFormula>IFERROR(VLOOKUP(Unit_Rates_2013FY[[#This Row],[Category]],REPEX_Spend_5yrHistory[#All],MATCH(Unit_Rates_2013FY[#Headers],REPEX_Spend_5yrHistory[#Headers],0),FALSE)/VLOOKUP(Unit_Rates_2013FY[[#This Row],[Category]],REPEX_Spend_5yrHistory13[#All],MATCH(Unit_Rates_2013FY[#Headers],REPEX_Spend_5yrHistory13[#Headers],0),FALSE),"")</calculatedColumnFormula>
    </tableColumn>
    <tableColumn id="5" name="Powercor" dataDxfId="664" dataCellStyle="Currency">
      <calculatedColumnFormula>IFERROR(VLOOKUP(Unit_Rates_2013FY[[#This Row],[Category]],REPEX_Spend_5yrHistory[#All],MATCH(Unit_Rates_2013FY[#Headers],REPEX_Spend_5yrHistory[#Headers],0),FALSE)/VLOOKUP(Unit_Rates_2013FY[[#This Row],[Category]],REPEX_Spend_5yrHistory13[#All],MATCH(Unit_Rates_2013FY[#Headers],REPEX_Spend_5yrHistory13[#Headers],0),FALSE),"")</calculatedColumnFormula>
    </tableColumn>
    <tableColumn id="6" name="AusNet" dataDxfId="663" dataCellStyle="Currency">
      <calculatedColumnFormula>IFERROR(VLOOKUP(Unit_Rates_2013FY[[#This Row],[Category]],REPEX_Spend_5yrHistory[#All],MATCH(Unit_Rates_2013FY[#Headers],REPEX_Spend_5yrHistory[#Headers],0),FALSE)/VLOOKUP(Unit_Rates_2013FY[[#This Row],[Category]],REPEX_Spend_5yrHistory13[#All],MATCH(Unit_Rates_2013FY[#Headers],REPEX_Spend_5yrHistory13[#Headers],0),FALSE),"")</calculatedColumnFormula>
    </tableColumn>
    <tableColumn id="7" name="Essential (Original)" dataDxfId="662" dataCellStyle="Currency">
      <calculatedColumnFormula>IFERROR(VLOOKUP(Unit_Rates_2013FY[[#This Row],[Category]],REPEX_Spend_5yrHistory[#All],MATCH(Unit_Rates_2013FY[#Headers],REPEX_Spend_5yrHistory[#Headers],0),FALSE)/VLOOKUP(Unit_Rates_2013FY[[#This Row],[Category]],REPEX_Spend_5yrHistory13[#All],MATCH(Unit_Rates_2013FY[#Headers],REPEX_Spend_5yrHistory13[#Headers],0),FALSE),"")</calculatedColumnFormula>
    </tableColumn>
    <tableColumn id="11" name="Essential" dataDxfId="661" dataCellStyle="Currency">
      <calculatedColumnFormula>IFERROR(VLOOKUP(Unit_Rates_2013FY[[#This Row],[Category]],REPEX_Spend_5yrHistory[#All],MATCH(Unit_Rates_2013FY[#Headers],REPEX_Spend_5yrHistory[#Headers],0),FALSE)/VLOOKUP(Unit_Rates_2013FY[[#This Row],[Category]],REPEX_Spend_5yrHistory13[#All],MATCH(Unit_Rates_2013FY[#Headers],REPEX_Spend_5yrHistory13[#Headers],0),FALSE),"")</calculatedColumnFormula>
    </tableColumn>
    <tableColumn id="8" name="SA Power" dataDxfId="660" dataCellStyle="Currency">
      <calculatedColumnFormula>IFERROR(VLOOKUP(Unit_Rates_2013FY[[#This Row],[Category]],REPEX_Spend_5yrHistory[#All],MATCH(Unit_Rates_2013FY[#Headers],REPEX_Spend_5yrHistory[#Headers],0),FALSE)/VLOOKUP(Unit_Rates_2013FY[[#This Row],[Category]],REPEX_Spend_5yrHistory13[#All],MATCH(Unit_Rates_2013FY[#Headers],REPEX_Spend_5yrHistory13[#Headers],0),FALSE),"")</calculatedColumnFormula>
    </tableColumn>
    <tableColumn id="9" name="Source" dataDxfId="659" dataCellStyle="Currency"/>
    <tableColumn id="10" name="Comments" dataDxfId="658" dataCellStyle="Currency"/>
  </tableColumns>
  <tableStyleInfo name="TableStyleLight14" showFirstColumn="1" showLastColumn="0" showRowStripes="1" showColumnStripes="1"/>
</table>
</file>

<file path=xl/tables/table8.xml><?xml version="1.0" encoding="utf-8"?>
<table xmlns="http://schemas.openxmlformats.org/spreadsheetml/2006/main" id="8" name="REPEX_Spend_5yrHistory" displayName="REPEX_Spend_5yrHistory" ref="A2:M15" totalsRowCount="1" headerRowDxfId="657" dataDxfId="656">
  <tableColumns count="13">
    <tableColumn id="1" name="REPEX Spend (2009-13)" totalsRowLabel="Total" dataDxfId="655" totalsRowDxfId="654"/>
    <tableColumn id="5" name="Ausgrid" totalsRowFunction="sum" dataDxfId="653" totalsRowDxfId="652" dataCellStyle="Currency">
      <calculatedColumnFormula>(SUMIFS('2.2.1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calculatedColumnFormula>
    </tableColumn>
    <tableColumn id="7" name="Ergon" totalsRowFunction="sum" dataDxfId="651" totalsRowDxfId="650" dataCellStyle="Currency">
      <calculatedColumnFormula>(SUMIFS('2.2.1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calculatedColumnFormula>
    </tableColumn>
    <tableColumn id="6" name="Endeavour" totalsRowFunction="sum" dataDxfId="649" totalsRowDxfId="648" dataCellStyle="Currency">
      <calculatedColumnFormula>(SUMIFS('2.2.1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calculatedColumnFormula>
    </tableColumn>
    <tableColumn id="3" name="Powercor" totalsRowFunction="sum" dataDxfId="647" totalsRowDxfId="646" dataCellStyle="Currency">
      <calculatedColumnFormula>(SUMIFS('2.2.1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calculatedColumnFormula>
    </tableColumn>
    <tableColumn id="2" name="AusNet" totalsRowFunction="sum" dataDxfId="645" totalsRowDxfId="644" dataCellStyle="Currency">
      <calculatedColumnFormula>(SUMIFS('2.2.1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calculatedColumnFormula>
    </tableColumn>
    <tableColumn id="4" name="Essential (Original)" totalsRowFunction="sum" dataDxfId="643" totalsRowDxfId="642" dataCellStyle="Currency">
      <calculatedColumnFormula>(SUMIFS('2.2.1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calculatedColumnFormula>
    </tableColumn>
    <tableColumn id="11" name="Essential" totalsRowFunction="sum" dataDxfId="641" totalsRowDxfId="640" dataCellStyle="Currency">
      <calculatedColumnFormula>(SUMIFS('2.2.1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calculatedColumnFormula>
    </tableColumn>
    <tableColumn id="8" name="SA Power" totalsRowFunction="sum" dataDxfId="639" totalsRowDxfId="638" dataCellStyle="Currency">
      <calculatedColumnFormula>(SUMIFS('2.2.1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calculatedColumnFormula>
    </tableColumn>
    <tableColumn id="12" name="AusNet + Powercor" totalsRowFunction="sum" dataDxfId="637" totalsRowDxfId="636" dataCellStyle="Currency">
      <calculatedColumnFormula>REPEX_Spend_5yrHistory[[#This Row],[AusNet]]+REPEX_Spend_5yrHistory[[#This Row],[Powercor]]</calculatedColumnFormula>
    </tableColumn>
    <tableColumn id="13" name="SA Power + Powercor" totalsRowFunction="sum" dataDxfId="635" totalsRowDxfId="634" dataCellStyle="Currency">
      <calculatedColumnFormula>REPEX_Spend_5yrHistory[[#This Row],[SA Power]]+REPEX_Spend_5yrHistory[[#This Row],[Powercor]]</calculatedColumnFormula>
    </tableColumn>
    <tableColumn id="9" name="Source" dataDxfId="633" totalsRowDxfId="632" dataCellStyle="Currency"/>
    <tableColumn id="10" name="Comments" dataDxfId="631" totalsRowDxfId="630" dataCellStyle="Currency"/>
  </tableColumns>
  <tableStyleInfo name="TableStyleLight14" showFirstColumn="1" showLastColumn="0" showRowStripes="1" showColumnStripes="1"/>
</table>
</file>

<file path=xl/tables/table9.xml><?xml version="1.0" encoding="utf-8"?>
<table xmlns="http://schemas.openxmlformats.org/spreadsheetml/2006/main" id="9" name="REPEX_Spend_5yrForecast" displayName="REPEX_Spend_5yrForecast" ref="A144:K157" totalsRowCount="1" headerRowDxfId="629" dataDxfId="628">
  <tableColumns count="11">
    <tableColumn id="1" name="5 yr REPEX Spend (2015-19)" totalsRowLabel="Total" dataDxfId="627" totalsRowDxfId="626"/>
    <tableColumn id="5" name="Ausgrid" totalsRowFunction="sum" dataDxfId="625" totalsRowDxfId="624" dataCellStyle="Currency">
      <calculatedColumnFormula>(SUMIFS('2.2.1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calculatedColumnFormula>
    </tableColumn>
    <tableColumn id="7" name="Ergon" totalsRowFunction="sum" dataDxfId="623" totalsRowDxfId="622" dataCellStyle="Currency">
      <calculatedColumnFormula>(SUMIFS('2.2.1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calculatedColumnFormula>
    </tableColumn>
    <tableColumn id="6" name="Endeavour" totalsRowFunction="sum" dataDxfId="621" totalsRowDxfId="620" dataCellStyle="Currency">
      <calculatedColumnFormula>(SUMIFS('2.2.1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calculatedColumnFormula>
    </tableColumn>
    <tableColumn id="3" name="Powercor" totalsRowFunction="sum" dataDxfId="619" totalsRowDxfId="618" dataCellStyle="Currency">
      <calculatedColumnFormula>(SUMIFS('2.2.1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calculatedColumnFormula>
    </tableColumn>
    <tableColumn id="2" name="AusNet" totalsRowFunction="sum" dataDxfId="617" totalsRowDxfId="616" dataCellStyle="Currency">
      <calculatedColumnFormula>(SUMIFS('2.2.1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calculatedColumnFormula>
    </tableColumn>
    <tableColumn id="4" name="Essential (Original)" totalsRowFunction="sum" dataDxfId="615" totalsRowDxfId="614" dataCellStyle="Currency">
      <calculatedColumnFormula>(SUMIFS('2.2.1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calculatedColumnFormula>
    </tableColumn>
    <tableColumn id="11" name="Essential" totalsRowFunction="sum" dataDxfId="613" totalsRowDxfId="612" dataCellStyle="Currency">
      <calculatedColumnFormula>(SUMIFS('2.2.1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calculatedColumnFormula>
    </tableColumn>
    <tableColumn id="8" name="SA Power" totalsRowFunction="sum" dataDxfId="611" totalsRowDxfId="610" dataCellStyle="Currency">
      <calculatedColumnFormula>(SUMIFS('2.2.1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calculatedColumnFormula>
    </tableColumn>
    <tableColumn id="9" name="Source" dataDxfId="609" totalsRowDxfId="608" dataCellStyle="Currency"/>
    <tableColumn id="10" name="Comments" dataDxfId="607" totalsRowDxfId="606" dataCellStyle="Currency"/>
  </tableColumns>
  <tableStyleInfo name="TableStyleLight14" showFirstColumn="1" showLastColumn="0" showRowStripes="1" showColumnStripes="1"/>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12.xml"/><Relationship Id="rId3" Type="http://schemas.openxmlformats.org/officeDocument/2006/relationships/table" Target="../tables/table7.xml"/><Relationship Id="rId7" Type="http://schemas.openxmlformats.org/officeDocument/2006/relationships/table" Target="../tables/table1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 Id="rId9" Type="http://schemas.openxmlformats.org/officeDocument/2006/relationships/table" Target="../tables/table1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20.xml"/><Relationship Id="rId3" Type="http://schemas.openxmlformats.org/officeDocument/2006/relationships/table" Target="../tables/table15.xml"/><Relationship Id="rId7" Type="http://schemas.openxmlformats.org/officeDocument/2006/relationships/table" Target="../tables/table19.xml"/><Relationship Id="rId12" Type="http://schemas.openxmlformats.org/officeDocument/2006/relationships/table" Target="../tables/table24.xml"/><Relationship Id="rId2" Type="http://schemas.openxmlformats.org/officeDocument/2006/relationships/table" Target="../tables/table14.xml"/><Relationship Id="rId1" Type="http://schemas.openxmlformats.org/officeDocument/2006/relationships/printerSettings" Target="../printerSettings/printerSettings4.bin"/><Relationship Id="rId6" Type="http://schemas.openxmlformats.org/officeDocument/2006/relationships/table" Target="../tables/table18.xml"/><Relationship Id="rId11" Type="http://schemas.openxmlformats.org/officeDocument/2006/relationships/table" Target="../tables/table23.xml"/><Relationship Id="rId5" Type="http://schemas.openxmlformats.org/officeDocument/2006/relationships/table" Target="../tables/table17.xml"/><Relationship Id="rId10" Type="http://schemas.openxmlformats.org/officeDocument/2006/relationships/table" Target="../tables/table22.xml"/><Relationship Id="rId4" Type="http://schemas.openxmlformats.org/officeDocument/2006/relationships/table" Target="../tables/table16.xml"/><Relationship Id="rId9"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table" Target="../tables/table31.xml"/><Relationship Id="rId3" Type="http://schemas.openxmlformats.org/officeDocument/2006/relationships/table" Target="../tables/table26.xml"/><Relationship Id="rId7" Type="http://schemas.openxmlformats.org/officeDocument/2006/relationships/table" Target="../tables/table30.xml"/><Relationship Id="rId2" Type="http://schemas.openxmlformats.org/officeDocument/2006/relationships/table" Target="../tables/table25.xml"/><Relationship Id="rId1" Type="http://schemas.openxmlformats.org/officeDocument/2006/relationships/printerSettings" Target="../printerSettings/printerSettings5.bin"/><Relationship Id="rId6" Type="http://schemas.openxmlformats.org/officeDocument/2006/relationships/table" Target="../tables/table29.xml"/><Relationship Id="rId11" Type="http://schemas.openxmlformats.org/officeDocument/2006/relationships/table" Target="../tables/table34.xml"/><Relationship Id="rId5" Type="http://schemas.openxmlformats.org/officeDocument/2006/relationships/table" Target="../tables/table28.xml"/><Relationship Id="rId10" Type="http://schemas.openxmlformats.org/officeDocument/2006/relationships/table" Target="../tables/table33.xml"/><Relationship Id="rId4" Type="http://schemas.openxmlformats.org/officeDocument/2006/relationships/table" Target="../tables/table27.xml"/><Relationship Id="rId9" Type="http://schemas.openxmlformats.org/officeDocument/2006/relationships/table" Target="../tables/table3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table" Target="../tables/table38.xml"/><Relationship Id="rId5" Type="http://schemas.openxmlformats.org/officeDocument/2006/relationships/table" Target="../tables/table37.xml"/><Relationship Id="rId4" Type="http://schemas.openxmlformats.org/officeDocument/2006/relationships/table" Target="../tables/table3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B4"/>
  <sheetViews>
    <sheetView workbookViewId="0">
      <pane ySplit="1" topLeftCell="A2" activePane="bottomLeft" state="frozen"/>
      <selection pane="bottomLeft" activeCell="B4" sqref="B4"/>
    </sheetView>
  </sheetViews>
  <sheetFormatPr defaultRowHeight="15"/>
  <cols>
    <col min="1" max="1" width="21.140625" style="38" bestFit="1" customWidth="1"/>
    <col min="2" max="2" width="89.5703125" style="43" customWidth="1"/>
    <col min="3" max="16384" width="9.140625" style="38"/>
  </cols>
  <sheetData>
    <row r="1" spans="1:2">
      <c r="A1" s="122" t="s">
        <v>1375</v>
      </c>
      <c r="B1" s="212" t="s">
        <v>1374</v>
      </c>
    </row>
    <row r="2" spans="1:2" ht="30">
      <c r="A2" s="38" t="s">
        <v>1441</v>
      </c>
      <c r="B2" s="43" t="s">
        <v>1529</v>
      </c>
    </row>
    <row r="3" spans="1:2">
      <c r="A3" s="38" t="s">
        <v>1528</v>
      </c>
      <c r="B3" s="43" t="s">
        <v>1442</v>
      </c>
    </row>
    <row r="4" spans="1:2" ht="45">
      <c r="A4" s="38" t="s">
        <v>1543</v>
      </c>
      <c r="B4" s="43" t="s">
        <v>1682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165"/>
  <sheetViews>
    <sheetView workbookViewId="0">
      <pane xSplit="3" ySplit="2" topLeftCell="D10" activePane="bottomRight" state="frozen"/>
      <selection pane="topRight" activeCell="D1" sqref="D1"/>
      <selection pane="bottomLeft" activeCell="A3" sqref="A3"/>
      <selection pane="bottomRight" sqref="A1:A1048576"/>
    </sheetView>
  </sheetViews>
  <sheetFormatPr defaultRowHeight="15"/>
  <cols>
    <col min="1" max="1" width="7.42578125" style="332" bestFit="1" customWidth="1"/>
    <col min="2" max="2" width="28.7109375" style="32" bestFit="1" customWidth="1"/>
    <col min="3" max="3" width="35" customWidth="1"/>
    <col min="4" max="4" width="22.5703125" bestFit="1" customWidth="1"/>
    <col min="5" max="9" width="8.5703125" bestFit="1" customWidth="1"/>
    <col min="10" max="10" width="16.42578125" bestFit="1" customWidth="1"/>
    <col min="11" max="11" width="19.140625" bestFit="1" customWidth="1"/>
    <col min="12" max="12" width="12" bestFit="1" customWidth="1"/>
  </cols>
  <sheetData>
    <row r="1" spans="1:12">
      <c r="A1" s="333"/>
      <c r="B1" s="91"/>
      <c r="C1" s="9"/>
      <c r="D1" s="9" t="s">
        <v>577</v>
      </c>
      <c r="E1" s="401" t="s">
        <v>111</v>
      </c>
      <c r="F1" s="401"/>
      <c r="G1" s="401"/>
      <c r="H1" s="401"/>
      <c r="I1" s="401"/>
    </row>
    <row r="2" spans="1:12" s="29" customFormat="1">
      <c r="A2" s="334"/>
      <c r="B2" s="33" t="s">
        <v>113</v>
      </c>
      <c r="C2" s="33" t="s">
        <v>115</v>
      </c>
      <c r="D2" s="33" t="s">
        <v>116</v>
      </c>
      <c r="E2" s="33">
        <v>2009</v>
      </c>
      <c r="F2" s="33">
        <v>2010</v>
      </c>
      <c r="G2" s="33">
        <v>2011</v>
      </c>
      <c r="H2" s="33">
        <v>2012</v>
      </c>
      <c r="I2" s="33">
        <v>2013</v>
      </c>
      <c r="J2" s="33" t="s">
        <v>1136</v>
      </c>
      <c r="K2" s="33" t="s">
        <v>1334</v>
      </c>
      <c r="L2" s="33" t="s">
        <v>1335</v>
      </c>
    </row>
    <row r="3" spans="1:12">
      <c r="A3" s="390" t="s">
        <v>310</v>
      </c>
      <c r="B3" s="32" t="s">
        <v>661</v>
      </c>
      <c r="C3" t="s">
        <v>118</v>
      </c>
      <c r="D3" s="11">
        <v>0</v>
      </c>
      <c r="E3" s="11">
        <v>0</v>
      </c>
      <c r="F3" s="11">
        <v>0</v>
      </c>
      <c r="G3" s="11">
        <v>0</v>
      </c>
      <c r="H3" s="11">
        <v>0</v>
      </c>
      <c r="I3" s="11">
        <v>0</v>
      </c>
      <c r="J3" t="str">
        <f>IF(A3&gt;0,A3,J2)</f>
        <v>Powercor</v>
      </c>
      <c r="K3" t="s">
        <v>1</v>
      </c>
      <c r="L3" t="s">
        <v>1336</v>
      </c>
    </row>
    <row r="4" spans="1:12">
      <c r="A4" s="391"/>
      <c r="C4" t="s">
        <v>120</v>
      </c>
      <c r="D4" s="11">
        <v>71992</v>
      </c>
      <c r="E4" s="11">
        <v>102.85084427767354</v>
      </c>
      <c r="F4" s="11">
        <v>96.236397748592879</v>
      </c>
      <c r="G4" s="11">
        <v>121.11632270168856</v>
      </c>
      <c r="H4" s="11">
        <v>96.674484052532833</v>
      </c>
      <c r="I4" s="11">
        <v>220.62851782363978</v>
      </c>
      <c r="J4" s="44" t="str">
        <f t="shared" ref="J4:J67" si="0">IF(A4&gt;0,A4,J3)</f>
        <v>Powercor</v>
      </c>
      <c r="K4" s="44" t="s">
        <v>1</v>
      </c>
      <c r="L4" s="44" t="s">
        <v>1336</v>
      </c>
    </row>
    <row r="5" spans="1:12">
      <c r="A5" s="391"/>
      <c r="C5" t="s">
        <v>122</v>
      </c>
      <c r="D5" s="11">
        <v>280057</v>
      </c>
      <c r="E5" s="11">
        <v>777.12007504690428</v>
      </c>
      <c r="F5" s="11">
        <v>579.02101313320827</v>
      </c>
      <c r="G5" s="11">
        <v>1010.0547842401501</v>
      </c>
      <c r="H5" s="11">
        <v>814.08217636022516</v>
      </c>
      <c r="I5" s="11">
        <v>1019.3669793621013</v>
      </c>
      <c r="J5" s="44" t="str">
        <f t="shared" si="0"/>
        <v>Powercor</v>
      </c>
      <c r="K5" s="44" t="s">
        <v>1</v>
      </c>
      <c r="L5" s="44" t="s">
        <v>1336</v>
      </c>
    </row>
    <row r="6" spans="1:12">
      <c r="A6" s="391"/>
      <c r="C6" t="s">
        <v>124</v>
      </c>
      <c r="D6" s="11">
        <v>103328</v>
      </c>
      <c r="E6" s="11">
        <v>158.02908067542214</v>
      </c>
      <c r="F6" s="11">
        <v>216.74258911819888</v>
      </c>
      <c r="G6" s="11">
        <v>166.82889305816136</v>
      </c>
      <c r="H6" s="11">
        <v>365.24333958724202</v>
      </c>
      <c r="I6" s="11">
        <v>270.0045028142589</v>
      </c>
      <c r="J6" s="44" t="str">
        <f t="shared" si="0"/>
        <v>Powercor</v>
      </c>
      <c r="K6" s="44" t="s">
        <v>1</v>
      </c>
      <c r="L6" s="44" t="s">
        <v>1336</v>
      </c>
    </row>
    <row r="7" spans="1:12" ht="45">
      <c r="A7" s="391"/>
      <c r="B7" s="3" t="s">
        <v>662</v>
      </c>
      <c r="C7" t="s">
        <v>126</v>
      </c>
      <c r="D7" s="11">
        <v>0</v>
      </c>
      <c r="E7" s="11">
        <v>0</v>
      </c>
      <c r="F7" s="11">
        <v>0</v>
      </c>
      <c r="G7" s="11">
        <v>0</v>
      </c>
      <c r="H7" s="11">
        <v>0</v>
      </c>
      <c r="I7" s="11">
        <v>0</v>
      </c>
      <c r="J7" s="44" t="str">
        <f t="shared" si="0"/>
        <v>Powercor</v>
      </c>
      <c r="K7" t="s">
        <v>718</v>
      </c>
      <c r="L7" s="44" t="s">
        <v>1336</v>
      </c>
    </row>
    <row r="8" spans="1:12">
      <c r="A8" s="391"/>
      <c r="B8" s="3"/>
      <c r="C8" t="s">
        <v>128</v>
      </c>
      <c r="D8" s="11">
        <v>4086.8934494000268</v>
      </c>
      <c r="E8" s="11">
        <v>0.14834722512214471</v>
      </c>
      <c r="F8" s="11">
        <v>0.1654460684010523</v>
      </c>
      <c r="G8" s="11">
        <v>1.0003724683676452</v>
      </c>
      <c r="H8" s="11">
        <v>0.55095039044556726</v>
      </c>
      <c r="I8" s="11">
        <v>0.93306171963085149</v>
      </c>
      <c r="J8" s="44" t="str">
        <f t="shared" si="0"/>
        <v>Powercor</v>
      </c>
      <c r="K8" t="s">
        <v>718</v>
      </c>
      <c r="L8" s="44" t="s">
        <v>1336</v>
      </c>
    </row>
    <row r="9" spans="1:12">
      <c r="A9" s="391"/>
      <c r="B9" s="3"/>
      <c r="C9" t="s">
        <v>130</v>
      </c>
      <c r="D9" s="11">
        <v>49797</v>
      </c>
      <c r="E9" s="11">
        <v>15.310670216171824</v>
      </c>
      <c r="F9" s="11">
        <v>10.847654389554711</v>
      </c>
      <c r="G9" s="11">
        <v>35.995734615331081</v>
      </c>
      <c r="H9" s="11">
        <v>18.189277905374368</v>
      </c>
      <c r="I9" s="11">
        <v>64.117211494828851</v>
      </c>
      <c r="J9" s="44" t="str">
        <f t="shared" si="0"/>
        <v>Powercor</v>
      </c>
      <c r="K9" t="s">
        <v>718</v>
      </c>
      <c r="L9" s="44" t="s">
        <v>1336</v>
      </c>
    </row>
    <row r="10" spans="1:12">
      <c r="A10" s="391"/>
      <c r="B10" s="3"/>
      <c r="C10" t="s">
        <v>132</v>
      </c>
      <c r="D10" s="11">
        <v>10762</v>
      </c>
      <c r="E10" s="11">
        <v>5.0969825587060313</v>
      </c>
      <c r="F10" s="11">
        <v>3.1248995420442363</v>
      </c>
      <c r="G10" s="11">
        <v>6.790892916301277</v>
      </c>
      <c r="H10" s="11">
        <v>1.1627717041800643</v>
      </c>
      <c r="I10" s="11">
        <v>7.7227267855402904</v>
      </c>
      <c r="J10" s="44" t="str">
        <f t="shared" si="0"/>
        <v>Powercor</v>
      </c>
      <c r="K10" t="s">
        <v>718</v>
      </c>
      <c r="L10" s="44" t="s">
        <v>1336</v>
      </c>
    </row>
    <row r="11" spans="1:12" ht="45">
      <c r="A11" s="391"/>
      <c r="B11" s="3" t="s">
        <v>663</v>
      </c>
      <c r="C11" t="s">
        <v>135</v>
      </c>
      <c r="D11" s="11">
        <v>4050.3423718000008</v>
      </c>
      <c r="E11" s="11">
        <v>0</v>
      </c>
      <c r="F11" s="11">
        <v>0</v>
      </c>
      <c r="G11" s="11">
        <v>0</v>
      </c>
      <c r="H11" s="11">
        <v>0</v>
      </c>
      <c r="I11" s="11">
        <v>0</v>
      </c>
      <c r="J11" s="44" t="str">
        <f t="shared" si="0"/>
        <v>Powercor</v>
      </c>
      <c r="K11" s="44" t="s">
        <v>718</v>
      </c>
      <c r="L11" t="s">
        <v>1337</v>
      </c>
    </row>
    <row r="12" spans="1:12">
      <c r="A12" s="391"/>
      <c r="B12" s="3"/>
      <c r="C12" t="s">
        <v>136</v>
      </c>
      <c r="D12" s="11">
        <v>2167.3623732999981</v>
      </c>
      <c r="E12" s="11">
        <v>0</v>
      </c>
      <c r="F12" s="11">
        <v>0</v>
      </c>
      <c r="G12" s="11">
        <v>0</v>
      </c>
      <c r="H12" s="11">
        <v>0</v>
      </c>
      <c r="I12" s="11">
        <v>0</v>
      </c>
      <c r="J12" s="44" t="str">
        <f t="shared" si="0"/>
        <v>Powercor</v>
      </c>
      <c r="K12" s="44" t="s">
        <v>718</v>
      </c>
      <c r="L12" s="44" t="s">
        <v>1337</v>
      </c>
    </row>
    <row r="13" spans="1:12">
      <c r="A13" s="391"/>
      <c r="B13" s="3"/>
      <c r="C13" t="s">
        <v>137</v>
      </c>
      <c r="D13" s="11">
        <v>1859.8964668000024</v>
      </c>
      <c r="E13" s="11">
        <v>0</v>
      </c>
      <c r="F13" s="11">
        <v>0</v>
      </c>
      <c r="G13" s="11">
        <v>0</v>
      </c>
      <c r="H13" s="11">
        <v>0</v>
      </c>
      <c r="I13" s="11">
        <v>0</v>
      </c>
      <c r="J13" s="44" t="str">
        <f t="shared" si="0"/>
        <v>Powercor</v>
      </c>
      <c r="K13" s="44" t="s">
        <v>718</v>
      </c>
      <c r="L13" s="44" t="s">
        <v>1337</v>
      </c>
    </row>
    <row r="14" spans="1:12">
      <c r="A14" s="391"/>
      <c r="B14" s="3"/>
      <c r="C14" t="s">
        <v>138</v>
      </c>
      <c r="D14" s="11">
        <v>3.7148705000000004</v>
      </c>
      <c r="E14" s="11">
        <v>0</v>
      </c>
      <c r="F14" s="11">
        <v>0</v>
      </c>
      <c r="G14" s="11">
        <v>0</v>
      </c>
      <c r="H14" s="11">
        <v>0</v>
      </c>
      <c r="I14" s="11">
        <v>0</v>
      </c>
      <c r="J14" s="44" t="str">
        <f t="shared" si="0"/>
        <v>Powercor</v>
      </c>
      <c r="K14" s="44" t="s">
        <v>718</v>
      </c>
      <c r="L14" s="44" t="s">
        <v>1337</v>
      </c>
    </row>
    <row r="15" spans="1:12">
      <c r="A15" s="391"/>
      <c r="B15" s="3"/>
      <c r="C15" t="s">
        <v>139</v>
      </c>
      <c r="D15" s="11">
        <v>1597.5641153000345</v>
      </c>
      <c r="E15" s="11">
        <v>0</v>
      </c>
      <c r="F15" s="11">
        <v>0</v>
      </c>
      <c r="G15" s="11">
        <v>0</v>
      </c>
      <c r="H15" s="11">
        <v>0</v>
      </c>
      <c r="I15" s="11">
        <v>0</v>
      </c>
      <c r="J15" s="44" t="str">
        <f t="shared" si="0"/>
        <v>Powercor</v>
      </c>
      <c r="K15" s="44" t="s">
        <v>718</v>
      </c>
      <c r="L15" s="44" t="s">
        <v>1337</v>
      </c>
    </row>
    <row r="16" spans="1:12">
      <c r="A16" s="391"/>
      <c r="B16" s="3"/>
      <c r="C16" t="s">
        <v>140</v>
      </c>
      <c r="D16" s="11">
        <v>6.6211751000000012</v>
      </c>
      <c r="E16" s="11">
        <v>0</v>
      </c>
      <c r="F16" s="11">
        <v>0</v>
      </c>
      <c r="G16" s="11">
        <v>0</v>
      </c>
      <c r="H16" s="11">
        <v>0</v>
      </c>
      <c r="I16" s="11">
        <v>0</v>
      </c>
      <c r="J16" s="44" t="str">
        <f t="shared" si="0"/>
        <v>Powercor</v>
      </c>
      <c r="K16" s="44" t="s">
        <v>718</v>
      </c>
      <c r="L16" s="44" t="s">
        <v>1337</v>
      </c>
    </row>
    <row r="17" spans="1:12">
      <c r="A17" s="391"/>
      <c r="B17" s="3"/>
      <c r="C17" t="s">
        <v>141</v>
      </c>
      <c r="D17" s="11">
        <v>0.70725499999999986</v>
      </c>
      <c r="E17" s="11">
        <v>0</v>
      </c>
      <c r="F17" s="11">
        <v>0</v>
      </c>
      <c r="G17" s="11">
        <v>0</v>
      </c>
      <c r="H17" s="11">
        <v>0</v>
      </c>
      <c r="I17" s="11">
        <v>0</v>
      </c>
      <c r="J17" s="44" t="str">
        <f t="shared" si="0"/>
        <v>Powercor</v>
      </c>
      <c r="K17" s="44" t="s">
        <v>718</v>
      </c>
      <c r="L17" s="44" t="s">
        <v>1337</v>
      </c>
    </row>
    <row r="18" spans="1:12">
      <c r="A18" s="391"/>
      <c r="B18" s="3"/>
      <c r="C18" t="s">
        <v>142</v>
      </c>
      <c r="D18" s="11">
        <v>11.2831036</v>
      </c>
      <c r="E18" s="11">
        <v>0</v>
      </c>
      <c r="F18" s="11">
        <v>0</v>
      </c>
      <c r="G18" s="11">
        <v>0</v>
      </c>
      <c r="H18" s="11">
        <v>0</v>
      </c>
      <c r="I18" s="11">
        <v>0</v>
      </c>
      <c r="J18" s="44" t="str">
        <f t="shared" si="0"/>
        <v>Powercor</v>
      </c>
      <c r="K18" s="44" t="s">
        <v>718</v>
      </c>
      <c r="L18" s="44" t="s">
        <v>1337</v>
      </c>
    </row>
    <row r="19" spans="1:12">
      <c r="A19" s="391"/>
      <c r="B19" s="3"/>
      <c r="C19" t="s">
        <v>143</v>
      </c>
      <c r="D19" s="11">
        <v>6889.578542500004</v>
      </c>
      <c r="E19" s="11">
        <v>0</v>
      </c>
      <c r="F19" s="11">
        <v>0</v>
      </c>
      <c r="G19" s="11">
        <v>0</v>
      </c>
      <c r="H19" s="11">
        <v>0</v>
      </c>
      <c r="I19" s="11">
        <v>0</v>
      </c>
      <c r="J19" s="44" t="str">
        <f t="shared" si="0"/>
        <v>Powercor</v>
      </c>
      <c r="K19" s="44" t="s">
        <v>718</v>
      </c>
      <c r="L19" s="44" t="s">
        <v>1337</v>
      </c>
    </row>
    <row r="20" spans="1:12">
      <c r="A20" s="391"/>
      <c r="B20" s="3"/>
      <c r="C20" t="s">
        <v>144</v>
      </c>
      <c r="D20" s="11">
        <v>10021.386849039996</v>
      </c>
      <c r="E20" s="11">
        <v>0</v>
      </c>
      <c r="F20" s="11">
        <v>0</v>
      </c>
      <c r="G20" s="11">
        <v>0</v>
      </c>
      <c r="H20" s="11">
        <v>0</v>
      </c>
      <c r="I20" s="11">
        <v>0</v>
      </c>
      <c r="J20" s="44" t="str">
        <f t="shared" si="0"/>
        <v>Powercor</v>
      </c>
      <c r="K20" s="44" t="s">
        <v>718</v>
      </c>
      <c r="L20" s="44" t="s">
        <v>1337</v>
      </c>
    </row>
    <row r="21" spans="1:12">
      <c r="A21" s="391"/>
      <c r="B21" s="3"/>
      <c r="C21" t="s">
        <v>145</v>
      </c>
      <c r="D21" s="11">
        <v>892.73513389999994</v>
      </c>
      <c r="E21" s="11">
        <v>0</v>
      </c>
      <c r="F21" s="11">
        <v>0</v>
      </c>
      <c r="G21" s="11">
        <v>0</v>
      </c>
      <c r="H21" s="11">
        <v>0</v>
      </c>
      <c r="I21" s="11">
        <v>0</v>
      </c>
      <c r="J21" s="44" t="str">
        <f t="shared" si="0"/>
        <v>Powercor</v>
      </c>
      <c r="K21" s="44" t="s">
        <v>718</v>
      </c>
      <c r="L21" s="44" t="s">
        <v>1337</v>
      </c>
    </row>
    <row r="22" spans="1:12">
      <c r="A22" s="391"/>
      <c r="B22" s="3"/>
      <c r="C22" t="s">
        <v>146</v>
      </c>
      <c r="D22" s="11">
        <v>37614.271793315929</v>
      </c>
      <c r="E22" s="11">
        <v>0</v>
      </c>
      <c r="F22" s="11">
        <v>0</v>
      </c>
      <c r="G22" s="11">
        <v>0</v>
      </c>
      <c r="H22" s="11">
        <v>0</v>
      </c>
      <c r="I22" s="11">
        <v>0</v>
      </c>
      <c r="J22" s="44" t="str">
        <f t="shared" si="0"/>
        <v>Powercor</v>
      </c>
      <c r="K22" s="44" t="s">
        <v>718</v>
      </c>
      <c r="L22" s="44" t="s">
        <v>1337</v>
      </c>
    </row>
    <row r="23" spans="1:12">
      <c r="A23" s="391"/>
      <c r="B23" s="3"/>
      <c r="C23" t="s">
        <v>147</v>
      </c>
      <c r="D23" s="11">
        <v>556.77179230000024</v>
      </c>
      <c r="E23" s="11">
        <v>0</v>
      </c>
      <c r="F23" s="11">
        <v>0</v>
      </c>
      <c r="G23" s="11">
        <v>0</v>
      </c>
      <c r="H23" s="11">
        <v>0</v>
      </c>
      <c r="I23" s="11">
        <v>0</v>
      </c>
      <c r="J23" s="44" t="str">
        <f t="shared" si="0"/>
        <v>Powercor</v>
      </c>
      <c r="K23" s="44" t="s">
        <v>718</v>
      </c>
      <c r="L23" s="44" t="s">
        <v>1337</v>
      </c>
    </row>
    <row r="24" spans="1:12">
      <c r="A24" s="391"/>
      <c r="B24" s="3"/>
      <c r="C24" t="s">
        <v>148</v>
      </c>
      <c r="D24" s="11">
        <v>1524.9703402000002</v>
      </c>
      <c r="E24" s="11">
        <v>0</v>
      </c>
      <c r="F24" s="11">
        <v>0</v>
      </c>
      <c r="G24" s="11">
        <v>0</v>
      </c>
      <c r="H24" s="11">
        <v>0</v>
      </c>
      <c r="I24" s="11">
        <v>0</v>
      </c>
      <c r="J24" s="44" t="str">
        <f t="shared" si="0"/>
        <v>Powercor</v>
      </c>
      <c r="K24" s="44" t="s">
        <v>718</v>
      </c>
      <c r="L24" s="44" t="s">
        <v>1337</v>
      </c>
    </row>
    <row r="25" spans="1:12">
      <c r="A25" s="391"/>
      <c r="B25" s="3"/>
      <c r="C25" t="s">
        <v>149</v>
      </c>
      <c r="D25" s="11">
        <v>1347.5359700000001</v>
      </c>
      <c r="E25" s="11">
        <v>0</v>
      </c>
      <c r="F25" s="11">
        <v>0</v>
      </c>
      <c r="G25" s="11">
        <v>0</v>
      </c>
      <c r="H25" s="11">
        <v>0</v>
      </c>
      <c r="I25" s="11">
        <v>0</v>
      </c>
      <c r="J25" s="44" t="str">
        <f t="shared" si="0"/>
        <v>Powercor</v>
      </c>
      <c r="K25" s="44" t="s">
        <v>718</v>
      </c>
      <c r="L25" s="44" t="s">
        <v>1337</v>
      </c>
    </row>
    <row r="26" spans="1:12">
      <c r="A26" s="391"/>
      <c r="B26" s="3"/>
      <c r="C26" t="s">
        <v>150</v>
      </c>
      <c r="D26" s="11">
        <v>234.13452500000002</v>
      </c>
      <c r="E26" s="11">
        <v>0</v>
      </c>
      <c r="F26" s="11">
        <v>0</v>
      </c>
      <c r="G26" s="11">
        <v>0</v>
      </c>
      <c r="H26" s="11">
        <v>0</v>
      </c>
      <c r="I26" s="11">
        <v>0</v>
      </c>
      <c r="J26" s="44" t="str">
        <f t="shared" si="0"/>
        <v>Powercor</v>
      </c>
      <c r="K26" s="44" t="s">
        <v>718</v>
      </c>
      <c r="L26" s="44" t="s">
        <v>1337</v>
      </c>
    </row>
    <row r="27" spans="1:12">
      <c r="A27" s="391"/>
      <c r="B27" s="3"/>
      <c r="C27" t="s">
        <v>151</v>
      </c>
      <c r="D27" s="11">
        <v>0</v>
      </c>
      <c r="E27" s="11">
        <v>0</v>
      </c>
      <c r="F27" s="11">
        <v>0</v>
      </c>
      <c r="G27" s="11">
        <v>0</v>
      </c>
      <c r="H27" s="11">
        <v>0</v>
      </c>
      <c r="I27" s="11">
        <v>0</v>
      </c>
      <c r="J27" s="44" t="str">
        <f t="shared" si="0"/>
        <v>Powercor</v>
      </c>
      <c r="K27" s="44" t="s">
        <v>718</v>
      </c>
      <c r="L27" s="44" t="s">
        <v>1337</v>
      </c>
    </row>
    <row r="28" spans="1:12">
      <c r="A28" s="391"/>
      <c r="B28" s="3"/>
      <c r="C28" t="s">
        <v>152</v>
      </c>
      <c r="D28" s="11">
        <v>64.2611627</v>
      </c>
      <c r="E28" s="11">
        <v>0</v>
      </c>
      <c r="F28" s="11">
        <v>0</v>
      </c>
      <c r="G28" s="11">
        <v>0</v>
      </c>
      <c r="H28" s="11">
        <v>0</v>
      </c>
      <c r="I28" s="11">
        <v>0</v>
      </c>
      <c r="J28" s="44" t="str">
        <f t="shared" si="0"/>
        <v>Powercor</v>
      </c>
      <c r="K28" s="44" t="s">
        <v>718</v>
      </c>
      <c r="L28" s="44" t="s">
        <v>1337</v>
      </c>
    </row>
    <row r="29" spans="1:12" ht="30">
      <c r="A29" s="391"/>
      <c r="B29" s="3" t="s">
        <v>664</v>
      </c>
      <c r="C29" t="s">
        <v>154</v>
      </c>
      <c r="D29" s="11">
        <v>0</v>
      </c>
      <c r="E29" s="11">
        <v>0</v>
      </c>
      <c r="F29" s="11">
        <v>0</v>
      </c>
      <c r="G29" s="11">
        <v>0</v>
      </c>
      <c r="H29" s="11">
        <v>0</v>
      </c>
      <c r="I29" s="11">
        <v>0</v>
      </c>
      <c r="J29" s="44" t="str">
        <f t="shared" si="0"/>
        <v>Powercor</v>
      </c>
      <c r="K29" t="s">
        <v>572</v>
      </c>
      <c r="L29" s="44" t="s">
        <v>1336</v>
      </c>
    </row>
    <row r="30" spans="1:12">
      <c r="A30" s="391"/>
      <c r="B30" s="3"/>
      <c r="C30" t="s">
        <v>156</v>
      </c>
      <c r="D30" s="11">
        <v>2254.5048529289952</v>
      </c>
      <c r="E30" s="11">
        <v>4.9851367456796218</v>
      </c>
      <c r="F30" s="11">
        <v>3.4294467963474977</v>
      </c>
      <c r="G30" s="11">
        <v>5.0540724378112181</v>
      </c>
      <c r="H30" s="11">
        <v>4.4897776107418057</v>
      </c>
      <c r="I30" s="11">
        <v>7.6647262091720574</v>
      </c>
      <c r="J30" s="44" t="str">
        <f t="shared" si="0"/>
        <v>Powercor</v>
      </c>
      <c r="K30" s="44" t="s">
        <v>572</v>
      </c>
      <c r="L30" s="44" t="s">
        <v>1336</v>
      </c>
    </row>
    <row r="31" spans="1:12">
      <c r="A31" s="391"/>
      <c r="B31" s="3"/>
      <c r="C31" t="s">
        <v>158</v>
      </c>
      <c r="D31" s="11">
        <v>762.28226351000058</v>
      </c>
      <c r="E31" s="11">
        <v>1.94206646824889</v>
      </c>
      <c r="F31" s="11">
        <v>1.3040988285329811</v>
      </c>
      <c r="G31" s="11">
        <v>1.9734023706181665</v>
      </c>
      <c r="H31" s="11">
        <v>1.8748819564841908</v>
      </c>
      <c r="I31" s="11">
        <v>2.6472386345800842</v>
      </c>
      <c r="J31" s="44" t="str">
        <f t="shared" si="0"/>
        <v>Powercor</v>
      </c>
      <c r="K31" s="44" t="s">
        <v>572</v>
      </c>
      <c r="L31" s="44" t="s">
        <v>1336</v>
      </c>
    </row>
    <row r="32" spans="1:12">
      <c r="A32" s="391"/>
      <c r="B32" s="3"/>
      <c r="C32" t="s">
        <v>160</v>
      </c>
      <c r="D32" s="11">
        <v>1928.6670459753379</v>
      </c>
      <c r="E32" s="11">
        <v>4.8876967860714826</v>
      </c>
      <c r="F32" s="11">
        <v>3.4725043751195157</v>
      </c>
      <c r="G32" s="11">
        <v>5.4265251915706054</v>
      </c>
      <c r="H32" s="11">
        <v>5.4793404327739932</v>
      </c>
      <c r="I32" s="11">
        <v>6.7695151562478362</v>
      </c>
      <c r="J32" s="44" t="str">
        <f t="shared" si="0"/>
        <v>Powercor</v>
      </c>
      <c r="K32" s="44" t="s">
        <v>572</v>
      </c>
      <c r="L32" s="44" t="s">
        <v>1336</v>
      </c>
    </row>
    <row r="33" spans="1:12" ht="30">
      <c r="A33" s="391"/>
      <c r="B33" s="3" t="s">
        <v>665</v>
      </c>
      <c r="C33" t="s">
        <v>162</v>
      </c>
      <c r="D33" s="11">
        <v>9717.9879999999994</v>
      </c>
      <c r="E33" s="11">
        <v>58.75</v>
      </c>
      <c r="F33" s="11">
        <v>117.8</v>
      </c>
      <c r="G33" s="11">
        <v>63.05</v>
      </c>
      <c r="H33" s="11">
        <v>104.05</v>
      </c>
      <c r="I33" s="11">
        <v>107.65</v>
      </c>
      <c r="J33" s="44" t="str">
        <f t="shared" si="0"/>
        <v>Powercor</v>
      </c>
      <c r="K33" t="s">
        <v>1340</v>
      </c>
      <c r="L33" t="s">
        <v>1338</v>
      </c>
    </row>
    <row r="34" spans="1:12">
      <c r="A34" s="391"/>
      <c r="B34" s="3"/>
      <c r="C34" t="s">
        <v>164</v>
      </c>
      <c r="D34" s="11">
        <v>0</v>
      </c>
      <c r="E34" s="11">
        <v>52.875</v>
      </c>
      <c r="F34" s="11">
        <v>106.02</v>
      </c>
      <c r="G34" s="11">
        <v>56.744999999999997</v>
      </c>
      <c r="H34" s="11">
        <v>93.644999999999996</v>
      </c>
      <c r="I34" s="11">
        <v>96.885000000000005</v>
      </c>
      <c r="J34" s="44" t="str">
        <f t="shared" si="0"/>
        <v>Powercor</v>
      </c>
      <c r="K34" s="44" t="s">
        <v>1340</v>
      </c>
      <c r="L34" t="s">
        <v>1338</v>
      </c>
    </row>
    <row r="35" spans="1:12">
      <c r="A35" s="392" t="s">
        <v>1674</v>
      </c>
      <c r="B35" s="32" t="s">
        <v>661</v>
      </c>
      <c r="C35" t="s">
        <v>118</v>
      </c>
      <c r="D35" s="11">
        <v>0</v>
      </c>
      <c r="E35" s="11">
        <v>0</v>
      </c>
      <c r="F35" s="11">
        <v>0</v>
      </c>
      <c r="G35" s="11">
        <v>0</v>
      </c>
      <c r="H35" s="11">
        <v>0</v>
      </c>
      <c r="I35" s="11">
        <v>0</v>
      </c>
      <c r="J35" s="44" t="str">
        <f t="shared" si="0"/>
        <v>AusNet</v>
      </c>
      <c r="K35" t="s">
        <v>1</v>
      </c>
      <c r="L35" s="44" t="s">
        <v>1336</v>
      </c>
    </row>
    <row r="36" spans="1:12">
      <c r="A36" s="393"/>
      <c r="C36" t="s">
        <v>120</v>
      </c>
      <c r="D36" s="11">
        <v>18095</v>
      </c>
      <c r="E36" s="11">
        <v>138.94782183772827</v>
      </c>
      <c r="F36" s="11">
        <v>74.512985720232393</v>
      </c>
      <c r="G36" s="11">
        <v>144.96671673936257</v>
      </c>
      <c r="H36" s="11">
        <v>154.81157584203575</v>
      </c>
      <c r="I36" s="11">
        <v>125.69692143413029</v>
      </c>
      <c r="J36" s="44" t="str">
        <f t="shared" si="0"/>
        <v>AusNet</v>
      </c>
      <c r="K36" t="s">
        <v>1</v>
      </c>
      <c r="L36" s="44" t="s">
        <v>1336</v>
      </c>
    </row>
    <row r="37" spans="1:12">
      <c r="A37" s="393"/>
      <c r="C37" t="s">
        <v>122</v>
      </c>
      <c r="D37" s="11">
        <v>235754</v>
      </c>
      <c r="E37" s="11">
        <v>1810.2696776645612</v>
      </c>
      <c r="F37" s="11">
        <v>970.78598899607266</v>
      </c>
      <c r="G37" s="11">
        <v>1888.6863292490907</v>
      </c>
      <c r="H37" s="11">
        <v>2016.949224476499</v>
      </c>
      <c r="I37" s="11">
        <v>1637.6314679745897</v>
      </c>
      <c r="J37" s="44" t="str">
        <f t="shared" si="0"/>
        <v>AusNet</v>
      </c>
      <c r="K37" t="s">
        <v>1</v>
      </c>
      <c r="L37" s="44" t="s">
        <v>1336</v>
      </c>
    </row>
    <row r="38" spans="1:12">
      <c r="A38" s="393"/>
      <c r="C38" t="s">
        <v>124</v>
      </c>
      <c r="D38" s="11">
        <v>133979</v>
      </c>
      <c r="E38" s="11">
        <v>1028.7825004977105</v>
      </c>
      <c r="F38" s="11">
        <v>551.701025283695</v>
      </c>
      <c r="G38" s="11">
        <v>1073.3469540115468</v>
      </c>
      <c r="H38" s="11">
        <v>1146.2391996814654</v>
      </c>
      <c r="I38" s="11">
        <v>930.67161059128011</v>
      </c>
      <c r="J38" s="44" t="str">
        <f t="shared" si="0"/>
        <v>AusNet</v>
      </c>
      <c r="K38" t="s">
        <v>1</v>
      </c>
      <c r="L38" s="44" t="s">
        <v>1336</v>
      </c>
    </row>
    <row r="39" spans="1:12" ht="45">
      <c r="A39" s="393"/>
      <c r="B39" s="3" t="s">
        <v>662</v>
      </c>
      <c r="C39" t="s">
        <v>126</v>
      </c>
      <c r="D39" s="11">
        <v>0</v>
      </c>
      <c r="E39" s="11">
        <v>0</v>
      </c>
      <c r="F39" s="11">
        <v>0</v>
      </c>
      <c r="G39" s="11">
        <v>0</v>
      </c>
      <c r="H39" s="11">
        <v>0</v>
      </c>
      <c r="I39" s="11">
        <v>0</v>
      </c>
      <c r="J39" s="44" t="str">
        <f t="shared" si="0"/>
        <v>AusNet</v>
      </c>
      <c r="K39" t="s">
        <v>718</v>
      </c>
      <c r="L39" s="44" t="s">
        <v>1336</v>
      </c>
    </row>
    <row r="40" spans="1:12">
      <c r="A40" s="393"/>
      <c r="B40" s="3"/>
      <c r="C40" t="s">
        <v>128</v>
      </c>
      <c r="D40" s="11">
        <v>1793.86</v>
      </c>
      <c r="E40" s="11">
        <v>7</v>
      </c>
      <c r="F40" s="11">
        <v>3</v>
      </c>
      <c r="G40" s="11">
        <v>4</v>
      </c>
      <c r="H40" s="11">
        <v>10</v>
      </c>
      <c r="I40" s="11">
        <v>2</v>
      </c>
      <c r="J40" s="44" t="str">
        <f t="shared" si="0"/>
        <v>AusNet</v>
      </c>
      <c r="K40" t="s">
        <v>718</v>
      </c>
      <c r="L40" s="44" t="s">
        <v>1336</v>
      </c>
    </row>
    <row r="41" spans="1:12">
      <c r="A41" s="393"/>
      <c r="B41" s="3"/>
      <c r="C41" t="s">
        <v>130</v>
      </c>
      <c r="D41" s="11">
        <v>23371.89</v>
      </c>
      <c r="E41" s="11">
        <v>90</v>
      </c>
      <c r="F41" s="11">
        <v>40</v>
      </c>
      <c r="G41" s="11">
        <v>52</v>
      </c>
      <c r="H41" s="11">
        <v>125</v>
      </c>
      <c r="I41" s="11">
        <v>27</v>
      </c>
      <c r="J41" s="44" t="str">
        <f t="shared" si="0"/>
        <v>AusNet</v>
      </c>
      <c r="K41" t="s">
        <v>718</v>
      </c>
      <c r="L41" s="44" t="s">
        <v>1336</v>
      </c>
    </row>
    <row r="42" spans="1:12">
      <c r="A42" s="393"/>
      <c r="B42" s="3"/>
      <c r="C42" t="s">
        <v>132</v>
      </c>
      <c r="D42" s="11">
        <v>13282.25</v>
      </c>
      <c r="E42" s="11">
        <v>51</v>
      </c>
      <c r="F42" s="11">
        <v>23</v>
      </c>
      <c r="G42" s="11">
        <v>30</v>
      </c>
      <c r="H42" s="11">
        <v>71</v>
      </c>
      <c r="I42" s="11">
        <v>15</v>
      </c>
      <c r="J42" s="44" t="str">
        <f t="shared" si="0"/>
        <v>AusNet</v>
      </c>
      <c r="K42" t="s">
        <v>718</v>
      </c>
      <c r="L42" s="44" t="s">
        <v>1336</v>
      </c>
    </row>
    <row r="43" spans="1:12" ht="45">
      <c r="A43" s="393"/>
      <c r="B43" s="3" t="s">
        <v>663</v>
      </c>
      <c r="C43" t="s">
        <v>287</v>
      </c>
      <c r="D43" s="11">
        <v>8280</v>
      </c>
      <c r="E43" s="11">
        <v>31.87</v>
      </c>
      <c r="F43" s="11">
        <v>14</v>
      </c>
      <c r="G43" s="11">
        <v>18.52</v>
      </c>
      <c r="H43" s="11">
        <v>44.37</v>
      </c>
      <c r="I43" s="11">
        <v>9.48</v>
      </c>
      <c r="J43" s="44" t="str">
        <f t="shared" si="0"/>
        <v>AusNet</v>
      </c>
      <c r="K43" t="s">
        <v>718</v>
      </c>
      <c r="L43" s="44" t="s">
        <v>1337</v>
      </c>
    </row>
    <row r="44" spans="1:12">
      <c r="A44" s="393"/>
      <c r="B44" s="3"/>
      <c r="C44" t="s">
        <v>288</v>
      </c>
      <c r="D44" s="11">
        <v>9319</v>
      </c>
      <c r="E44" s="11">
        <v>35.869999999999997</v>
      </c>
      <c r="F44" s="11">
        <v>15.75</v>
      </c>
      <c r="G44" s="11">
        <v>20.84</v>
      </c>
      <c r="H44" s="11">
        <v>49.93</v>
      </c>
      <c r="I44" s="11">
        <v>10.66</v>
      </c>
      <c r="J44" s="44" t="str">
        <f t="shared" si="0"/>
        <v>AusNet</v>
      </c>
      <c r="K44" t="s">
        <v>718</v>
      </c>
      <c r="L44" s="44" t="s">
        <v>1337</v>
      </c>
    </row>
    <row r="45" spans="1:12">
      <c r="A45" s="393"/>
      <c r="B45" s="3"/>
      <c r="C45" t="s">
        <v>289</v>
      </c>
      <c r="D45" s="11">
        <v>2294</v>
      </c>
      <c r="E45" s="11">
        <v>8.83</v>
      </c>
      <c r="F45" s="11">
        <v>3.88</v>
      </c>
      <c r="G45" s="11">
        <v>5.13</v>
      </c>
      <c r="H45" s="11">
        <v>12.29</v>
      </c>
      <c r="I45" s="11">
        <v>2.63</v>
      </c>
      <c r="J45" s="44" t="str">
        <f t="shared" si="0"/>
        <v>AusNet</v>
      </c>
      <c r="K45" t="s">
        <v>718</v>
      </c>
      <c r="L45" s="44" t="s">
        <v>1337</v>
      </c>
    </row>
    <row r="46" spans="1:12">
      <c r="A46" s="393"/>
      <c r="B46" s="3"/>
      <c r="C46" t="s">
        <v>290</v>
      </c>
      <c r="D46" s="11">
        <v>18555</v>
      </c>
      <c r="E46" s="11">
        <v>71.42</v>
      </c>
      <c r="F46" s="11">
        <v>31.37</v>
      </c>
      <c r="G46" s="11">
        <v>41.5</v>
      </c>
      <c r="H46" s="11">
        <v>99.41</v>
      </c>
      <c r="I46" s="11">
        <v>21.23</v>
      </c>
      <c r="J46" s="44" t="str">
        <f t="shared" si="0"/>
        <v>AusNet</v>
      </c>
      <c r="K46" t="s">
        <v>718</v>
      </c>
      <c r="L46" s="44" t="s">
        <v>1337</v>
      </c>
    </row>
    <row r="47" spans="1:12" ht="30">
      <c r="A47" s="393"/>
      <c r="B47" s="3" t="s">
        <v>664</v>
      </c>
      <c r="C47" t="s">
        <v>154</v>
      </c>
      <c r="D47" s="11">
        <v>0</v>
      </c>
      <c r="E47" s="11">
        <v>0</v>
      </c>
      <c r="F47" s="11">
        <v>0</v>
      </c>
      <c r="G47" s="11">
        <v>0</v>
      </c>
      <c r="H47" s="11">
        <v>0</v>
      </c>
      <c r="I47" s="11">
        <v>0</v>
      </c>
      <c r="J47" s="44" t="str">
        <f t="shared" si="0"/>
        <v>AusNet</v>
      </c>
      <c r="K47" t="s">
        <v>572</v>
      </c>
      <c r="L47" s="44" t="s">
        <v>1336</v>
      </c>
    </row>
    <row r="48" spans="1:12">
      <c r="A48" s="393"/>
      <c r="B48" s="3"/>
      <c r="C48" t="s">
        <v>156</v>
      </c>
      <c r="D48" s="11">
        <v>288</v>
      </c>
      <c r="E48" s="11">
        <v>3</v>
      </c>
      <c r="F48" s="11">
        <v>2</v>
      </c>
      <c r="G48" s="11">
        <v>6</v>
      </c>
      <c r="H48" s="11">
        <v>6</v>
      </c>
      <c r="I48" s="11">
        <v>3</v>
      </c>
      <c r="J48" s="44" t="str">
        <f t="shared" si="0"/>
        <v>AusNet</v>
      </c>
      <c r="K48" t="s">
        <v>572</v>
      </c>
      <c r="L48" s="44" t="s">
        <v>1336</v>
      </c>
    </row>
    <row r="49" spans="1:12">
      <c r="A49" s="393"/>
      <c r="B49" s="3"/>
      <c r="C49" t="s">
        <v>158</v>
      </c>
      <c r="D49" s="11">
        <v>3750</v>
      </c>
      <c r="E49" s="11">
        <v>41</v>
      </c>
      <c r="F49" s="11">
        <v>30</v>
      </c>
      <c r="G49" s="11">
        <v>83</v>
      </c>
      <c r="H49" s="11">
        <v>76</v>
      </c>
      <c r="I49" s="11">
        <v>40</v>
      </c>
      <c r="J49" s="44" t="str">
        <f t="shared" si="0"/>
        <v>AusNet</v>
      </c>
      <c r="K49" t="s">
        <v>572</v>
      </c>
      <c r="L49" s="44" t="s">
        <v>1336</v>
      </c>
    </row>
    <row r="50" spans="1:12">
      <c r="A50" s="393"/>
      <c r="B50" s="3"/>
      <c r="C50" t="s">
        <v>160</v>
      </c>
      <c r="D50" s="11">
        <v>2131</v>
      </c>
      <c r="E50" s="11">
        <v>23</v>
      </c>
      <c r="F50" s="11">
        <v>17</v>
      </c>
      <c r="G50" s="11">
        <v>47</v>
      </c>
      <c r="H50" s="11">
        <v>43</v>
      </c>
      <c r="I50" s="11">
        <v>23</v>
      </c>
      <c r="J50" s="44" t="str">
        <f t="shared" si="0"/>
        <v>AusNet</v>
      </c>
      <c r="K50" t="s">
        <v>572</v>
      </c>
      <c r="L50" s="44" t="s">
        <v>1336</v>
      </c>
    </row>
    <row r="51" spans="1:12" ht="30">
      <c r="A51" s="393"/>
      <c r="B51" s="3" t="s">
        <v>665</v>
      </c>
      <c r="C51" t="s">
        <v>162</v>
      </c>
      <c r="D51" s="11">
        <v>5881</v>
      </c>
      <c r="E51" s="11">
        <v>74</v>
      </c>
      <c r="F51" s="11">
        <v>48</v>
      </c>
      <c r="G51" s="11">
        <v>68</v>
      </c>
      <c r="H51" s="11">
        <v>37</v>
      </c>
      <c r="I51" s="11">
        <v>21</v>
      </c>
      <c r="J51" s="44" t="str">
        <f t="shared" si="0"/>
        <v>AusNet</v>
      </c>
      <c r="K51" s="44" t="s">
        <v>1340</v>
      </c>
      <c r="L51" t="s">
        <v>1338</v>
      </c>
    </row>
    <row r="52" spans="1:12">
      <c r="A52" s="393"/>
      <c r="B52" s="3"/>
      <c r="C52" t="s">
        <v>164</v>
      </c>
      <c r="D52" s="11">
        <v>0</v>
      </c>
      <c r="E52" s="11">
        <v>74</v>
      </c>
      <c r="F52" s="11">
        <v>48</v>
      </c>
      <c r="G52" s="11">
        <v>68</v>
      </c>
      <c r="H52" s="11">
        <v>37</v>
      </c>
      <c r="I52" s="11">
        <v>21</v>
      </c>
      <c r="J52" s="44" t="str">
        <f t="shared" si="0"/>
        <v>AusNet</v>
      </c>
      <c r="K52" s="44" t="s">
        <v>1340</v>
      </c>
      <c r="L52" t="s">
        <v>1338</v>
      </c>
    </row>
    <row r="53" spans="1:12">
      <c r="A53" s="383" t="s">
        <v>1560</v>
      </c>
      <c r="B53" s="32" t="s">
        <v>661</v>
      </c>
      <c r="C53" t="s">
        <v>118</v>
      </c>
      <c r="D53" s="11">
        <v>0</v>
      </c>
      <c r="E53" s="11">
        <v>0</v>
      </c>
      <c r="F53" s="11">
        <v>0</v>
      </c>
      <c r="G53" s="11">
        <v>0</v>
      </c>
      <c r="H53" s="11">
        <v>0</v>
      </c>
      <c r="I53" s="11">
        <v>0</v>
      </c>
      <c r="J53" s="44" t="str">
        <f t="shared" si="0"/>
        <v>Essential (Original)</v>
      </c>
      <c r="K53" t="s">
        <v>1</v>
      </c>
      <c r="L53" s="44" t="s">
        <v>1336</v>
      </c>
    </row>
    <row r="54" spans="1:12">
      <c r="A54" s="384"/>
      <c r="C54" t="s">
        <v>120</v>
      </c>
      <c r="D54" s="11">
        <v>82897</v>
      </c>
      <c r="E54" s="11">
        <v>226.01857783472133</v>
      </c>
      <c r="F54" s="11">
        <v>259.49584323040381</v>
      </c>
      <c r="G54" s="11">
        <v>172.46771273385636</v>
      </c>
      <c r="H54" s="11">
        <v>206.28889958293232</v>
      </c>
      <c r="I54" s="11">
        <v>303.65300014963339</v>
      </c>
      <c r="J54" s="44" t="str">
        <f t="shared" si="0"/>
        <v>Essential (Original)</v>
      </c>
      <c r="K54" t="s">
        <v>1</v>
      </c>
      <c r="L54" s="44" t="s">
        <v>1336</v>
      </c>
    </row>
    <row r="55" spans="1:12">
      <c r="A55" s="384"/>
      <c r="C55" t="s">
        <v>122</v>
      </c>
      <c r="D55" s="11">
        <v>633205</v>
      </c>
      <c r="E55" s="11">
        <v>2600.7905188981422</v>
      </c>
      <c r="F55" s="11">
        <v>2822.4049881235155</v>
      </c>
      <c r="G55" s="11">
        <v>2429.8557634278818</v>
      </c>
      <c r="H55" s="11">
        <v>3557.7213666987486</v>
      </c>
      <c r="I55" s="11">
        <v>3599.1512793655543</v>
      </c>
      <c r="J55" s="44" t="str">
        <f t="shared" si="0"/>
        <v>Essential (Original)</v>
      </c>
      <c r="K55" t="s">
        <v>1</v>
      </c>
      <c r="L55" s="44" t="s">
        <v>1336</v>
      </c>
    </row>
    <row r="56" spans="1:12">
      <c r="A56" s="384"/>
      <c r="C56" t="s">
        <v>124</v>
      </c>
      <c r="D56" s="11">
        <v>663797</v>
      </c>
      <c r="E56" s="11">
        <v>2096.1909032671365</v>
      </c>
      <c r="F56" s="11">
        <v>2141.0991686460807</v>
      </c>
      <c r="G56" s="11">
        <v>2470.6765238382618</v>
      </c>
      <c r="H56" s="11">
        <v>2570.9897337183188</v>
      </c>
      <c r="I56" s="11">
        <v>2884.1957204848122</v>
      </c>
      <c r="J56" s="44" t="str">
        <f t="shared" si="0"/>
        <v>Essential (Original)</v>
      </c>
      <c r="K56" t="s">
        <v>1</v>
      </c>
      <c r="L56" s="44" t="s">
        <v>1336</v>
      </c>
    </row>
    <row r="57" spans="1:12" ht="45">
      <c r="A57" s="384"/>
      <c r="B57" s="3" t="s">
        <v>662</v>
      </c>
      <c r="C57" t="s">
        <v>126</v>
      </c>
      <c r="D57" s="11">
        <v>0</v>
      </c>
      <c r="E57" s="11">
        <v>0</v>
      </c>
      <c r="F57" s="11">
        <v>0</v>
      </c>
      <c r="G57" s="11">
        <v>0</v>
      </c>
      <c r="H57" s="11">
        <v>0</v>
      </c>
      <c r="I57" s="11">
        <v>0</v>
      </c>
      <c r="J57" s="44" t="str">
        <f t="shared" si="0"/>
        <v>Essential (Original)</v>
      </c>
      <c r="K57" t="s">
        <v>718</v>
      </c>
      <c r="L57" s="44" t="s">
        <v>1336</v>
      </c>
    </row>
    <row r="58" spans="1:12">
      <c r="A58" s="384"/>
      <c r="B58" s="3"/>
      <c r="C58" t="s">
        <v>128</v>
      </c>
      <c r="D58" s="11">
        <v>6086.7760962984785</v>
      </c>
      <c r="E58" s="11">
        <v>0</v>
      </c>
      <c r="F58" s="11">
        <v>6.7031573986804904</v>
      </c>
      <c r="G58" s="11">
        <v>9.6</v>
      </c>
      <c r="H58" s="11">
        <v>6</v>
      </c>
      <c r="I58" s="11">
        <v>2.9073979591836734</v>
      </c>
      <c r="J58" s="44" t="str">
        <f t="shared" si="0"/>
        <v>Essential (Original)</v>
      </c>
      <c r="K58" t="s">
        <v>718</v>
      </c>
      <c r="L58" s="44" t="s">
        <v>1336</v>
      </c>
    </row>
    <row r="59" spans="1:12">
      <c r="A59" s="384"/>
      <c r="B59" s="3"/>
      <c r="C59" t="s">
        <v>130</v>
      </c>
      <c r="D59" s="11">
        <v>111200.91626653729</v>
      </c>
      <c r="E59" s="11">
        <v>7.5</v>
      </c>
      <c r="F59" s="11">
        <v>106.6502356267672</v>
      </c>
      <c r="G59" s="11">
        <v>121</v>
      </c>
      <c r="H59" s="11">
        <v>68</v>
      </c>
      <c r="I59" s="11">
        <v>147.97653061224489</v>
      </c>
      <c r="J59" s="44" t="str">
        <f t="shared" si="0"/>
        <v>Essential (Original)</v>
      </c>
      <c r="K59" t="s">
        <v>718</v>
      </c>
      <c r="L59" s="44" t="s">
        <v>1336</v>
      </c>
    </row>
    <row r="60" spans="1:12">
      <c r="A60" s="384"/>
      <c r="B60" s="3"/>
      <c r="C60" t="s">
        <v>132</v>
      </c>
      <c r="D60" s="11">
        <v>74313.830637164239</v>
      </c>
      <c r="E60" s="11">
        <v>20.100000000000001</v>
      </c>
      <c r="F60" s="11">
        <v>98.94660697455231</v>
      </c>
      <c r="G60" s="11">
        <v>123.4</v>
      </c>
      <c r="H60" s="11">
        <v>180</v>
      </c>
      <c r="I60" s="11">
        <v>163.51607142857142</v>
      </c>
      <c r="J60" s="44" t="str">
        <f t="shared" si="0"/>
        <v>Essential (Original)</v>
      </c>
      <c r="K60" t="s">
        <v>718</v>
      </c>
      <c r="L60" s="44" t="s">
        <v>1336</v>
      </c>
    </row>
    <row r="61" spans="1:12" ht="45">
      <c r="A61" s="384"/>
      <c r="B61" s="3" t="s">
        <v>663</v>
      </c>
      <c r="C61" t="s">
        <v>320</v>
      </c>
      <c r="D61" s="11">
        <v>50494.557000000001</v>
      </c>
      <c r="E61" s="11">
        <v>0</v>
      </c>
      <c r="F61" s="11">
        <v>3.1</v>
      </c>
      <c r="G61" s="11">
        <v>0.7</v>
      </c>
      <c r="H61" s="11">
        <v>0.1</v>
      </c>
      <c r="I61" s="11">
        <v>76.900000000000006</v>
      </c>
      <c r="J61" s="44" t="str">
        <f t="shared" si="0"/>
        <v>Essential (Original)</v>
      </c>
      <c r="K61" t="s">
        <v>718</v>
      </c>
      <c r="L61" s="44" t="s">
        <v>1337</v>
      </c>
    </row>
    <row r="62" spans="1:12">
      <c r="A62" s="384"/>
      <c r="B62" s="3"/>
      <c r="C62" t="s">
        <v>322</v>
      </c>
      <c r="D62" s="11">
        <v>23302.035</v>
      </c>
      <c r="E62" s="11">
        <v>1.9</v>
      </c>
      <c r="F62" s="11">
        <v>14.6</v>
      </c>
      <c r="G62" s="11">
        <v>7.4</v>
      </c>
      <c r="H62" s="11">
        <v>11.7</v>
      </c>
      <c r="I62" s="11">
        <v>141</v>
      </c>
      <c r="J62" s="44" t="str">
        <f t="shared" si="0"/>
        <v>Essential (Original)</v>
      </c>
      <c r="K62" t="s">
        <v>718</v>
      </c>
      <c r="L62" s="44" t="s">
        <v>1337</v>
      </c>
    </row>
    <row r="63" spans="1:12">
      <c r="A63" s="384"/>
      <c r="B63" s="3"/>
      <c r="C63" t="s">
        <v>324</v>
      </c>
      <c r="D63" s="11">
        <v>14101.522000000001</v>
      </c>
      <c r="E63" s="11">
        <v>0</v>
      </c>
      <c r="F63" s="11">
        <v>0</v>
      </c>
      <c r="G63" s="11">
        <v>0</v>
      </c>
      <c r="H63" s="11">
        <v>0.1</v>
      </c>
      <c r="I63" s="11">
        <v>1.5</v>
      </c>
      <c r="J63" s="44" t="str">
        <f t="shared" si="0"/>
        <v>Essential (Original)</v>
      </c>
      <c r="K63" t="s">
        <v>718</v>
      </c>
      <c r="L63" s="44" t="s">
        <v>1337</v>
      </c>
    </row>
    <row r="64" spans="1:12">
      <c r="A64" s="384"/>
      <c r="B64" s="3"/>
      <c r="C64" t="s">
        <v>326</v>
      </c>
      <c r="D64" s="11">
        <v>3151.3619999999996</v>
      </c>
      <c r="E64" s="11">
        <v>0.4</v>
      </c>
      <c r="F64" s="11">
        <v>0.7</v>
      </c>
      <c r="G64" s="11">
        <v>0.1</v>
      </c>
      <c r="H64" s="11">
        <v>0.9</v>
      </c>
      <c r="I64" s="11">
        <v>14</v>
      </c>
      <c r="J64" s="44" t="str">
        <f t="shared" si="0"/>
        <v>Essential (Original)</v>
      </c>
      <c r="K64" t="s">
        <v>718</v>
      </c>
      <c r="L64" s="44" t="s">
        <v>1337</v>
      </c>
    </row>
    <row r="65" spans="1:12">
      <c r="A65" s="384"/>
      <c r="B65" s="3"/>
      <c r="C65" t="s">
        <v>328</v>
      </c>
      <c r="D65" s="11">
        <v>78458.887000000002</v>
      </c>
      <c r="E65" s="11">
        <v>0</v>
      </c>
      <c r="F65" s="11">
        <v>0</v>
      </c>
      <c r="G65" s="11">
        <v>4.8</v>
      </c>
      <c r="H65" s="11">
        <v>0</v>
      </c>
      <c r="I65" s="11">
        <v>2</v>
      </c>
      <c r="J65" s="44" t="str">
        <f t="shared" si="0"/>
        <v>Essential (Original)</v>
      </c>
      <c r="K65" t="s">
        <v>718</v>
      </c>
      <c r="L65" s="44" t="s">
        <v>1337</v>
      </c>
    </row>
    <row r="66" spans="1:12">
      <c r="A66" s="384"/>
      <c r="B66" s="3"/>
      <c r="C66" t="s">
        <v>330</v>
      </c>
      <c r="D66" s="11">
        <v>22093.16</v>
      </c>
      <c r="E66" s="11">
        <v>25.3</v>
      </c>
      <c r="F66" s="11">
        <v>193.8</v>
      </c>
      <c r="G66" s="11">
        <v>240.8</v>
      </c>
      <c r="H66" s="11">
        <v>241.4</v>
      </c>
      <c r="I66" s="11">
        <v>78.900000000000006</v>
      </c>
      <c r="J66" s="44" t="str">
        <f t="shared" si="0"/>
        <v>Essential (Original)</v>
      </c>
      <c r="K66" t="s">
        <v>718</v>
      </c>
      <c r="L66" s="44" t="s">
        <v>1337</v>
      </c>
    </row>
    <row r="67" spans="1:12">
      <c r="A67" s="384"/>
      <c r="B67" s="3"/>
      <c r="C67" t="s">
        <v>332</v>
      </c>
      <c r="D67" s="11">
        <v>18077.79</v>
      </c>
      <c r="E67" s="11">
        <v>17.010000000000002</v>
      </c>
      <c r="F67" s="11">
        <v>95.43</v>
      </c>
      <c r="G67" s="11">
        <v>516.66000000000008</v>
      </c>
      <c r="H67" s="11">
        <v>751.26</v>
      </c>
      <c r="I67" s="11">
        <v>533.91</v>
      </c>
      <c r="J67" s="44" t="str">
        <f t="shared" si="0"/>
        <v>Essential (Original)</v>
      </c>
      <c r="K67" t="s">
        <v>718</v>
      </c>
      <c r="L67" s="44" t="s">
        <v>1337</v>
      </c>
    </row>
    <row r="68" spans="1:12" ht="30">
      <c r="A68" s="384"/>
      <c r="B68" s="3" t="s">
        <v>664</v>
      </c>
      <c r="C68" t="s">
        <v>154</v>
      </c>
      <c r="D68" s="11">
        <v>0</v>
      </c>
      <c r="E68" s="11">
        <v>0</v>
      </c>
      <c r="F68" s="11">
        <v>0</v>
      </c>
      <c r="G68" s="11">
        <v>0</v>
      </c>
      <c r="H68" s="11">
        <v>0</v>
      </c>
      <c r="I68" s="11">
        <v>0</v>
      </c>
      <c r="J68" s="44" t="str">
        <f t="shared" ref="J68:J127" si="1">IF(A68&gt;0,A68,J67)</f>
        <v>Essential (Original)</v>
      </c>
      <c r="K68" t="s">
        <v>572</v>
      </c>
      <c r="L68" s="44" t="s">
        <v>1336</v>
      </c>
    </row>
    <row r="69" spans="1:12">
      <c r="A69" s="384"/>
      <c r="B69" s="3"/>
      <c r="C69" t="s">
        <v>156</v>
      </c>
      <c r="D69" s="11">
        <v>2461.3084480270095</v>
      </c>
      <c r="E69" s="11">
        <v>1</v>
      </c>
      <c r="F69" s="11">
        <v>0.2</v>
      </c>
      <c r="G69" s="11">
        <v>0</v>
      </c>
      <c r="H69" s="11">
        <v>0.4</v>
      </c>
      <c r="I69" s="11">
        <v>1.4</v>
      </c>
      <c r="J69" s="44" t="str">
        <f t="shared" si="1"/>
        <v>Essential (Original)</v>
      </c>
      <c r="K69" t="s">
        <v>572</v>
      </c>
      <c r="L69" s="44" t="s">
        <v>1336</v>
      </c>
    </row>
    <row r="70" spans="1:12">
      <c r="A70" s="384"/>
      <c r="B70" s="3"/>
      <c r="C70" t="s">
        <v>158</v>
      </c>
      <c r="D70" s="11">
        <v>970.39151575751453</v>
      </c>
      <c r="E70" s="11">
        <v>0</v>
      </c>
      <c r="F70" s="11">
        <v>0</v>
      </c>
      <c r="G70" s="11">
        <v>0</v>
      </c>
      <c r="H70" s="11">
        <v>0</v>
      </c>
      <c r="I70" s="11">
        <v>0.2</v>
      </c>
      <c r="J70" s="44" t="str">
        <f t="shared" si="1"/>
        <v>Essential (Original)</v>
      </c>
      <c r="K70" t="s">
        <v>572</v>
      </c>
      <c r="L70" s="44" t="s">
        <v>1336</v>
      </c>
    </row>
    <row r="71" spans="1:12">
      <c r="A71" s="384"/>
      <c r="B71" s="3"/>
      <c r="C71" t="s">
        <v>160</v>
      </c>
      <c r="D71" s="11">
        <v>7379.2400362154758</v>
      </c>
      <c r="E71" s="11">
        <v>0</v>
      </c>
      <c r="F71" s="11">
        <v>0</v>
      </c>
      <c r="G71" s="11">
        <v>1.1000000000000001</v>
      </c>
      <c r="H71" s="11">
        <v>0.3</v>
      </c>
      <c r="I71" s="11">
        <v>2</v>
      </c>
      <c r="J71" s="44" t="str">
        <f t="shared" si="1"/>
        <v>Essential (Original)</v>
      </c>
      <c r="K71" t="s">
        <v>572</v>
      </c>
      <c r="L71" s="44" t="s">
        <v>1336</v>
      </c>
    </row>
    <row r="72" spans="1:12" ht="30">
      <c r="A72" s="384"/>
      <c r="B72" s="3" t="s">
        <v>665</v>
      </c>
      <c r="C72" t="s">
        <v>162</v>
      </c>
      <c r="D72" s="11">
        <v>10869.79</v>
      </c>
      <c r="E72" s="11">
        <v>305.29699999999997</v>
      </c>
      <c r="F72" s="11">
        <v>225.08199999999999</v>
      </c>
      <c r="G72" s="11">
        <v>327.76</v>
      </c>
      <c r="H72" s="11">
        <v>269.00799999999998</v>
      </c>
      <c r="I72" s="11">
        <v>371.12299999999993</v>
      </c>
      <c r="J72" s="44" t="str">
        <f t="shared" si="1"/>
        <v>Essential (Original)</v>
      </c>
      <c r="K72" s="44" t="s">
        <v>1340</v>
      </c>
      <c r="L72" s="44" t="s">
        <v>1338</v>
      </c>
    </row>
    <row r="73" spans="1:12">
      <c r="A73" s="384"/>
      <c r="B73" s="3"/>
      <c r="C73" t="s">
        <v>164</v>
      </c>
      <c r="D73" s="11" t="s">
        <v>338</v>
      </c>
      <c r="E73" s="11">
        <v>259.40800000000002</v>
      </c>
      <c r="F73" s="11">
        <v>194.55599999999998</v>
      </c>
      <c r="G73" s="11">
        <v>111.77799999999999</v>
      </c>
      <c r="H73" s="11">
        <v>161.167</v>
      </c>
      <c r="I73" s="11">
        <v>710.90899999999999</v>
      </c>
      <c r="J73" s="44" t="str">
        <f t="shared" si="1"/>
        <v>Essential (Original)</v>
      </c>
      <c r="K73" s="44" t="s">
        <v>1340</v>
      </c>
      <c r="L73" s="44" t="s">
        <v>1338</v>
      </c>
    </row>
    <row r="74" spans="1:12">
      <c r="A74" s="394" t="s">
        <v>575</v>
      </c>
      <c r="B74" s="32" t="s">
        <v>661</v>
      </c>
      <c r="C74" t="s">
        <v>118</v>
      </c>
      <c r="D74" s="11">
        <v>0</v>
      </c>
      <c r="E74" s="11">
        <v>0</v>
      </c>
      <c r="F74" s="11">
        <v>0</v>
      </c>
      <c r="G74" s="11">
        <v>0</v>
      </c>
      <c r="H74" s="11">
        <v>0</v>
      </c>
      <c r="I74" s="11">
        <v>0</v>
      </c>
      <c r="J74" s="44" t="str">
        <f t="shared" si="1"/>
        <v>Endeavour</v>
      </c>
      <c r="K74" t="s">
        <v>1</v>
      </c>
      <c r="L74" s="44" t="s">
        <v>1336</v>
      </c>
    </row>
    <row r="75" spans="1:12">
      <c r="A75" s="395"/>
      <c r="C75" t="s">
        <v>120</v>
      </c>
      <c r="D75" s="11">
        <v>152387</v>
      </c>
      <c r="E75" s="11">
        <v>570</v>
      </c>
      <c r="F75" s="11">
        <v>558</v>
      </c>
      <c r="G75" s="11">
        <v>724</v>
      </c>
      <c r="H75" s="11">
        <v>543</v>
      </c>
      <c r="I75" s="11">
        <v>655</v>
      </c>
      <c r="J75" s="44" t="str">
        <f t="shared" si="1"/>
        <v>Endeavour</v>
      </c>
      <c r="K75" t="s">
        <v>1</v>
      </c>
      <c r="L75" s="44" t="s">
        <v>1336</v>
      </c>
    </row>
    <row r="76" spans="1:12">
      <c r="A76" s="395"/>
      <c r="C76" t="s">
        <v>122</v>
      </c>
      <c r="D76" s="11">
        <v>1590</v>
      </c>
      <c r="E76" s="11">
        <v>6</v>
      </c>
      <c r="F76" s="11">
        <v>6</v>
      </c>
      <c r="G76" s="11">
        <v>6</v>
      </c>
      <c r="H76" s="11">
        <v>6</v>
      </c>
      <c r="I76" s="11">
        <v>7</v>
      </c>
      <c r="J76" s="44" t="str">
        <f t="shared" si="1"/>
        <v>Endeavour</v>
      </c>
      <c r="K76" t="s">
        <v>1</v>
      </c>
      <c r="L76" s="44" t="s">
        <v>1336</v>
      </c>
    </row>
    <row r="77" spans="1:12">
      <c r="A77" s="395"/>
      <c r="C77" t="s">
        <v>124</v>
      </c>
      <c r="D77" s="11">
        <v>151845</v>
      </c>
      <c r="E77" s="11">
        <v>577</v>
      </c>
      <c r="F77" s="11">
        <v>575</v>
      </c>
      <c r="G77" s="11">
        <v>553</v>
      </c>
      <c r="H77" s="11">
        <v>557</v>
      </c>
      <c r="I77" s="11">
        <v>703</v>
      </c>
      <c r="J77" s="44" t="str">
        <f t="shared" si="1"/>
        <v>Endeavour</v>
      </c>
      <c r="K77" t="s">
        <v>1</v>
      </c>
      <c r="L77" s="44" t="s">
        <v>1336</v>
      </c>
    </row>
    <row r="78" spans="1:12" ht="45">
      <c r="A78" s="395"/>
      <c r="B78" s="3" t="s">
        <v>662</v>
      </c>
      <c r="C78" t="s">
        <v>126</v>
      </c>
      <c r="D78" s="11">
        <v>0</v>
      </c>
      <c r="E78" s="11">
        <v>0</v>
      </c>
      <c r="F78" s="11">
        <v>0</v>
      </c>
      <c r="G78" s="11">
        <v>0</v>
      </c>
      <c r="H78" s="11">
        <v>0</v>
      </c>
      <c r="I78" s="11">
        <v>0</v>
      </c>
      <c r="J78" s="44" t="str">
        <f t="shared" si="1"/>
        <v>Endeavour</v>
      </c>
      <c r="K78" t="s">
        <v>718</v>
      </c>
      <c r="L78" s="44" t="s">
        <v>1336</v>
      </c>
    </row>
    <row r="79" spans="1:12">
      <c r="A79" s="395"/>
      <c r="B79" s="3"/>
      <c r="C79" t="s">
        <v>128</v>
      </c>
      <c r="D79" s="11">
        <v>14425.374</v>
      </c>
      <c r="E79" s="11">
        <v>102.483</v>
      </c>
      <c r="F79" s="11">
        <v>59.389000000000003</v>
      </c>
      <c r="G79" s="11">
        <v>75.045000000000002</v>
      </c>
      <c r="H79" s="11">
        <v>69.037999999999997</v>
      </c>
      <c r="I79" s="11">
        <v>64.290000000000006</v>
      </c>
      <c r="J79" s="44" t="str">
        <f t="shared" si="1"/>
        <v>Endeavour</v>
      </c>
      <c r="K79" t="s">
        <v>718</v>
      </c>
      <c r="L79" s="44" t="s">
        <v>1336</v>
      </c>
    </row>
    <row r="80" spans="1:12">
      <c r="A80" s="395"/>
      <c r="B80" s="3"/>
      <c r="C80" t="s">
        <v>130</v>
      </c>
      <c r="D80" s="11">
        <v>239</v>
      </c>
      <c r="E80" s="11">
        <v>1.8939999999999999</v>
      </c>
      <c r="F80" s="11">
        <v>1.085</v>
      </c>
      <c r="G80" s="11">
        <v>1.0309999999999999</v>
      </c>
      <c r="H80" s="11">
        <v>1.123</v>
      </c>
      <c r="I80" s="11">
        <v>1.194</v>
      </c>
      <c r="J80" s="44" t="str">
        <f t="shared" si="1"/>
        <v>Endeavour</v>
      </c>
      <c r="K80" t="s">
        <v>718</v>
      </c>
      <c r="L80" s="44" t="s">
        <v>1336</v>
      </c>
    </row>
    <row r="81" spans="1:12">
      <c r="A81" s="395"/>
      <c r="B81" s="3"/>
      <c r="C81" t="s">
        <v>132</v>
      </c>
      <c r="D81" s="11">
        <v>13828.626</v>
      </c>
      <c r="E81" s="11">
        <v>107.995</v>
      </c>
      <c r="F81" s="11">
        <v>61.957000000000001</v>
      </c>
      <c r="G81" s="11">
        <v>61.36</v>
      </c>
      <c r="H81" s="11">
        <v>65.123000000000005</v>
      </c>
      <c r="I81" s="11">
        <v>68.043000000000006</v>
      </c>
      <c r="J81" s="44" t="str">
        <f t="shared" si="1"/>
        <v>Endeavour</v>
      </c>
      <c r="K81" t="s">
        <v>718</v>
      </c>
      <c r="L81" s="44" t="s">
        <v>1336</v>
      </c>
    </row>
    <row r="82" spans="1:12" ht="45">
      <c r="A82" s="395"/>
      <c r="B82" s="3" t="s">
        <v>663</v>
      </c>
      <c r="C82" t="s">
        <v>134</v>
      </c>
      <c r="D82" s="11"/>
      <c r="E82" s="11"/>
      <c r="F82" s="11"/>
      <c r="G82" s="11"/>
      <c r="H82" s="11"/>
      <c r="I82" s="11"/>
      <c r="J82" s="44" t="str">
        <f t="shared" si="1"/>
        <v>Endeavour</v>
      </c>
      <c r="K82" t="s">
        <v>718</v>
      </c>
      <c r="L82" s="44" t="s">
        <v>1337</v>
      </c>
    </row>
    <row r="83" spans="1:12" ht="30">
      <c r="A83" s="395"/>
      <c r="B83" s="3" t="s">
        <v>664</v>
      </c>
      <c r="C83" t="s">
        <v>154</v>
      </c>
      <c r="D83" s="11">
        <v>0</v>
      </c>
      <c r="E83" s="11">
        <v>0</v>
      </c>
      <c r="F83" s="11">
        <v>0</v>
      </c>
      <c r="G83" s="11">
        <v>0</v>
      </c>
      <c r="H83" s="11">
        <v>0</v>
      </c>
      <c r="I83" s="11">
        <v>0</v>
      </c>
      <c r="J83" s="44" t="str">
        <f t="shared" si="1"/>
        <v>Endeavour</v>
      </c>
      <c r="K83" s="44" t="s">
        <v>572</v>
      </c>
      <c r="L83" s="44" t="s">
        <v>1336</v>
      </c>
    </row>
    <row r="84" spans="1:12">
      <c r="A84" s="395"/>
      <c r="B84" s="3"/>
      <c r="C84" t="s">
        <v>156</v>
      </c>
      <c r="D84" s="11">
        <v>7444.7070000000003</v>
      </c>
      <c r="E84" s="11">
        <v>40.506999999999998</v>
      </c>
      <c r="F84" s="11">
        <v>48.411000000000001</v>
      </c>
      <c r="G84" s="11">
        <v>65.692999999999998</v>
      </c>
      <c r="H84" s="11">
        <v>67.725999999999999</v>
      </c>
      <c r="I84" s="11">
        <v>92.381</v>
      </c>
      <c r="J84" s="44" t="str">
        <f t="shared" si="1"/>
        <v>Endeavour</v>
      </c>
      <c r="K84" s="44" t="s">
        <v>572</v>
      </c>
      <c r="L84" s="44" t="s">
        <v>1336</v>
      </c>
    </row>
    <row r="85" spans="1:12">
      <c r="A85" s="395"/>
      <c r="B85" s="3"/>
      <c r="C85" t="s">
        <v>158</v>
      </c>
      <c r="D85" s="11">
        <v>0</v>
      </c>
      <c r="E85" s="11">
        <v>0</v>
      </c>
      <c r="F85" s="11">
        <v>0</v>
      </c>
      <c r="G85" s="11">
        <v>0</v>
      </c>
      <c r="H85" s="11">
        <v>0</v>
      </c>
      <c r="I85" s="11">
        <v>0</v>
      </c>
      <c r="J85" s="44" t="str">
        <f t="shared" si="1"/>
        <v>Endeavour</v>
      </c>
      <c r="K85" s="44" t="s">
        <v>572</v>
      </c>
      <c r="L85" s="44" t="s">
        <v>1336</v>
      </c>
    </row>
    <row r="86" spans="1:12">
      <c r="A86" s="395"/>
      <c r="B86" s="3"/>
      <c r="C86" t="s">
        <v>160</v>
      </c>
      <c r="D86" s="11">
        <v>8367.2929999999997</v>
      </c>
      <c r="E86" s="11">
        <v>44.575000000000003</v>
      </c>
      <c r="F86" s="11">
        <v>54.075000000000003</v>
      </c>
      <c r="G86" s="11">
        <v>73.254000000000005</v>
      </c>
      <c r="H86" s="11">
        <v>73.412000000000006</v>
      </c>
      <c r="I86" s="11">
        <v>96.597999999999999</v>
      </c>
      <c r="J86" s="44" t="str">
        <f t="shared" si="1"/>
        <v>Endeavour</v>
      </c>
      <c r="K86" s="44" t="s">
        <v>572</v>
      </c>
      <c r="L86" s="44" t="s">
        <v>1336</v>
      </c>
    </row>
    <row r="87" spans="1:12" ht="30">
      <c r="A87" s="395"/>
      <c r="B87" s="3" t="s">
        <v>665</v>
      </c>
      <c r="C87" t="s">
        <v>162</v>
      </c>
      <c r="D87" s="11" t="s">
        <v>582</v>
      </c>
      <c r="E87" s="11">
        <v>374.03</v>
      </c>
      <c r="F87" s="11">
        <v>164.52500000000001</v>
      </c>
      <c r="G87" s="11">
        <v>188.33500000000001</v>
      </c>
      <c r="H87" s="11">
        <v>141.38</v>
      </c>
      <c r="I87" s="11">
        <v>111.19499999999999</v>
      </c>
      <c r="J87" s="44" t="str">
        <f t="shared" si="1"/>
        <v>Endeavour</v>
      </c>
      <c r="K87" s="44" t="s">
        <v>1340</v>
      </c>
      <c r="L87" s="44" t="s">
        <v>1338</v>
      </c>
    </row>
    <row r="88" spans="1:12">
      <c r="A88" s="395"/>
      <c r="B88" s="3"/>
      <c r="C88" t="s">
        <v>164</v>
      </c>
      <c r="D88" s="11" t="s">
        <v>582</v>
      </c>
      <c r="E88" s="11">
        <v>374.03</v>
      </c>
      <c r="F88" s="11">
        <v>164.52500000000001</v>
      </c>
      <c r="G88" s="11">
        <v>188.33500000000001</v>
      </c>
      <c r="H88" s="11">
        <v>141.38</v>
      </c>
      <c r="I88" s="11">
        <v>111.19499999999999</v>
      </c>
      <c r="J88" s="44" t="str">
        <f t="shared" si="1"/>
        <v>Endeavour</v>
      </c>
      <c r="K88" s="44" t="s">
        <v>1340</v>
      </c>
      <c r="L88" s="44" t="s">
        <v>1338</v>
      </c>
    </row>
    <row r="89" spans="1:12">
      <c r="A89" s="396" t="s">
        <v>574</v>
      </c>
      <c r="B89" s="32" t="s">
        <v>661</v>
      </c>
      <c r="C89" s="30" t="s">
        <v>118</v>
      </c>
      <c r="D89" s="11">
        <v>507</v>
      </c>
      <c r="E89" s="11">
        <v>1.93</v>
      </c>
      <c r="F89" s="11">
        <v>4.09</v>
      </c>
      <c r="G89" s="11">
        <v>4.1500000000000004</v>
      </c>
      <c r="H89" s="11">
        <v>4.1900000000000004</v>
      </c>
      <c r="I89" s="11">
        <v>3.49</v>
      </c>
      <c r="J89" s="44" t="str">
        <f t="shared" si="1"/>
        <v>Ausgrid</v>
      </c>
      <c r="K89" t="s">
        <v>1</v>
      </c>
      <c r="L89" s="44" t="s">
        <v>1336</v>
      </c>
    </row>
    <row r="90" spans="1:12">
      <c r="A90" s="397"/>
      <c r="C90" s="30" t="s">
        <v>120</v>
      </c>
      <c r="D90" s="11">
        <v>360055</v>
      </c>
      <c r="E90" s="11">
        <v>1287.57</v>
      </c>
      <c r="F90" s="11">
        <v>2727.61</v>
      </c>
      <c r="G90" s="11">
        <v>2769.96</v>
      </c>
      <c r="H90" s="11">
        <v>2793.54</v>
      </c>
      <c r="I90" s="11">
        <v>2331.6</v>
      </c>
      <c r="J90" s="44" t="str">
        <f t="shared" si="1"/>
        <v>Ausgrid</v>
      </c>
      <c r="K90" t="s">
        <v>1</v>
      </c>
      <c r="L90" s="44" t="s">
        <v>1336</v>
      </c>
    </row>
    <row r="91" spans="1:12">
      <c r="A91" s="397"/>
      <c r="C91" s="30" t="s">
        <v>122</v>
      </c>
      <c r="D91" s="11">
        <v>7904</v>
      </c>
      <c r="E91" s="11">
        <v>30.08</v>
      </c>
      <c r="F91" s="11">
        <v>63.73</v>
      </c>
      <c r="G91" s="11">
        <v>64.72</v>
      </c>
      <c r="H91" s="11">
        <v>65.27</v>
      </c>
      <c r="I91" s="11">
        <v>54.48</v>
      </c>
      <c r="J91" s="44" t="str">
        <f t="shared" si="1"/>
        <v>Ausgrid</v>
      </c>
      <c r="K91" t="s">
        <v>1</v>
      </c>
      <c r="L91" s="44" t="s">
        <v>1336</v>
      </c>
    </row>
    <row r="92" spans="1:12">
      <c r="A92" s="397"/>
      <c r="C92" s="30" t="s">
        <v>124</v>
      </c>
      <c r="D92" s="11">
        <v>111643</v>
      </c>
      <c r="E92" s="11">
        <v>428.13</v>
      </c>
      <c r="F92" s="11">
        <v>900.19</v>
      </c>
      <c r="G92" s="11">
        <v>926.21</v>
      </c>
      <c r="H92" s="11">
        <v>925.4</v>
      </c>
      <c r="I92" s="11">
        <v>769.98</v>
      </c>
      <c r="J92" s="44" t="str">
        <f t="shared" si="1"/>
        <v>Ausgrid</v>
      </c>
      <c r="K92" t="s">
        <v>1</v>
      </c>
      <c r="L92" s="44" t="s">
        <v>1336</v>
      </c>
    </row>
    <row r="93" spans="1:12" ht="45">
      <c r="A93" s="397"/>
      <c r="B93" s="31" t="s">
        <v>662</v>
      </c>
      <c r="C93" s="30" t="s">
        <v>126</v>
      </c>
      <c r="D93" s="11">
        <v>0</v>
      </c>
      <c r="E93" s="11">
        <v>0</v>
      </c>
      <c r="F93" s="11">
        <v>0</v>
      </c>
      <c r="G93" s="11">
        <v>0</v>
      </c>
      <c r="H93" s="11">
        <v>0</v>
      </c>
      <c r="I93" s="11">
        <v>0</v>
      </c>
      <c r="J93" s="44" t="str">
        <f t="shared" si="1"/>
        <v>Ausgrid</v>
      </c>
      <c r="K93" t="s">
        <v>718</v>
      </c>
      <c r="L93" s="44" t="s">
        <v>1336</v>
      </c>
    </row>
    <row r="94" spans="1:12">
      <c r="A94" s="397"/>
      <c r="B94" s="31"/>
      <c r="C94" s="30" t="s">
        <v>128</v>
      </c>
      <c r="D94" s="11">
        <v>2294</v>
      </c>
      <c r="E94" s="11">
        <v>8.42</v>
      </c>
      <c r="F94" s="11">
        <v>36.700000000000003</v>
      </c>
      <c r="G94" s="11">
        <v>51.76</v>
      </c>
      <c r="H94" s="11">
        <v>569.92999999999995</v>
      </c>
      <c r="I94" s="11">
        <v>747.78</v>
      </c>
      <c r="J94" s="44" t="str">
        <f t="shared" si="1"/>
        <v>Ausgrid</v>
      </c>
      <c r="K94" t="s">
        <v>718</v>
      </c>
      <c r="L94" s="44" t="s">
        <v>1336</v>
      </c>
    </row>
    <row r="95" spans="1:12">
      <c r="A95" s="397"/>
      <c r="B95" s="31"/>
      <c r="C95" s="30" t="s">
        <v>130</v>
      </c>
      <c r="D95" s="11">
        <v>1152</v>
      </c>
      <c r="E95" s="11">
        <v>4.2300000000000004</v>
      </c>
      <c r="F95" s="11">
        <v>18.43</v>
      </c>
      <c r="G95" s="11">
        <v>25.99</v>
      </c>
      <c r="H95" s="11">
        <v>286.20999999999998</v>
      </c>
      <c r="I95" s="11">
        <v>375.52</v>
      </c>
      <c r="J95" s="44" t="str">
        <f t="shared" si="1"/>
        <v>Ausgrid</v>
      </c>
      <c r="K95" t="s">
        <v>718</v>
      </c>
      <c r="L95" s="44" t="s">
        <v>1336</v>
      </c>
    </row>
    <row r="96" spans="1:12">
      <c r="A96" s="397"/>
      <c r="B96" s="31"/>
      <c r="C96" s="30" t="s">
        <v>132</v>
      </c>
      <c r="D96" s="11">
        <v>6672</v>
      </c>
      <c r="E96" s="11">
        <v>24.5</v>
      </c>
      <c r="F96" s="11">
        <v>106.74</v>
      </c>
      <c r="G96" s="11">
        <v>150.55000000000001</v>
      </c>
      <c r="H96" s="11">
        <v>1657.61</v>
      </c>
      <c r="I96" s="11">
        <v>2174.88</v>
      </c>
      <c r="J96" s="44" t="str">
        <f t="shared" si="1"/>
        <v>Ausgrid</v>
      </c>
      <c r="K96" t="s">
        <v>718</v>
      </c>
      <c r="L96" s="44" t="s">
        <v>1336</v>
      </c>
    </row>
    <row r="97" spans="1:12">
      <c r="A97" s="397"/>
      <c r="B97" s="31"/>
      <c r="C97" s="30" t="s">
        <v>132</v>
      </c>
      <c r="D97" s="11">
        <v>14246.88</v>
      </c>
      <c r="E97" s="11">
        <v>16.010000000000002</v>
      </c>
      <c r="F97" s="11">
        <v>69.78</v>
      </c>
      <c r="G97" s="11">
        <v>98.42</v>
      </c>
      <c r="H97" s="11">
        <v>1083.5999999999999</v>
      </c>
      <c r="I97" s="11">
        <v>1421.74</v>
      </c>
      <c r="J97" s="44" t="str">
        <f t="shared" si="1"/>
        <v>Ausgrid</v>
      </c>
      <c r="K97" t="s">
        <v>718</v>
      </c>
      <c r="L97" s="119" t="s">
        <v>1336</v>
      </c>
    </row>
    <row r="98" spans="1:12" ht="45">
      <c r="A98" s="397"/>
      <c r="B98" s="31" t="s">
        <v>663</v>
      </c>
      <c r="C98" s="30" t="s">
        <v>695</v>
      </c>
      <c r="D98" s="11">
        <v>8934.14</v>
      </c>
      <c r="E98" s="11">
        <v>10.039999999999999</v>
      </c>
      <c r="F98" s="11">
        <v>43.76</v>
      </c>
      <c r="G98" s="11">
        <v>61.72</v>
      </c>
      <c r="H98" s="11">
        <v>679.52</v>
      </c>
      <c r="I98" s="11">
        <v>891.57</v>
      </c>
      <c r="J98" s="44" t="str">
        <f t="shared" si="1"/>
        <v>Ausgrid</v>
      </c>
      <c r="K98" t="s">
        <v>718</v>
      </c>
      <c r="L98" s="44" t="s">
        <v>1337</v>
      </c>
    </row>
    <row r="99" spans="1:12">
      <c r="A99" s="397"/>
      <c r="B99" s="31"/>
      <c r="C99" s="30" t="s">
        <v>696</v>
      </c>
      <c r="D99" s="11">
        <v>4608.78</v>
      </c>
      <c r="E99" s="11">
        <v>5.18</v>
      </c>
      <c r="F99" s="11">
        <v>22.57</v>
      </c>
      <c r="G99" s="11">
        <v>31.84</v>
      </c>
      <c r="H99" s="11">
        <v>350.54</v>
      </c>
      <c r="I99" s="11">
        <v>459.93</v>
      </c>
      <c r="J99" s="44" t="str">
        <f t="shared" si="1"/>
        <v>Ausgrid</v>
      </c>
      <c r="K99" t="s">
        <v>718</v>
      </c>
      <c r="L99" s="44" t="s">
        <v>1337</v>
      </c>
    </row>
    <row r="100" spans="1:12">
      <c r="A100" s="397"/>
      <c r="B100" s="31"/>
      <c r="C100" s="30" t="s">
        <v>697</v>
      </c>
      <c r="D100" s="11">
        <v>969.67</v>
      </c>
      <c r="E100" s="11">
        <v>1.0900000000000001</v>
      </c>
      <c r="F100" s="11">
        <v>4.75</v>
      </c>
      <c r="G100" s="11">
        <v>6.7</v>
      </c>
      <c r="H100" s="11">
        <v>73.75</v>
      </c>
      <c r="I100" s="11">
        <v>96.77</v>
      </c>
      <c r="J100" s="44" t="str">
        <f t="shared" si="1"/>
        <v>Ausgrid</v>
      </c>
      <c r="K100" t="s">
        <v>718</v>
      </c>
      <c r="L100" s="44" t="s">
        <v>1337</v>
      </c>
    </row>
    <row r="101" spans="1:12">
      <c r="A101" s="397"/>
      <c r="B101" s="31"/>
      <c r="C101" s="30" t="s">
        <v>698</v>
      </c>
      <c r="D101" s="11">
        <v>4290.5600000000004</v>
      </c>
      <c r="E101" s="11">
        <v>4.82</v>
      </c>
      <c r="F101" s="11">
        <v>21.01</v>
      </c>
      <c r="G101" s="11">
        <v>29.64</v>
      </c>
      <c r="H101" s="11">
        <v>326.33</v>
      </c>
      <c r="I101" s="11">
        <v>428.17</v>
      </c>
      <c r="J101" s="44" t="str">
        <f t="shared" si="1"/>
        <v>Ausgrid</v>
      </c>
      <c r="K101" t="s">
        <v>718</v>
      </c>
      <c r="L101" s="44" t="s">
        <v>1337</v>
      </c>
    </row>
    <row r="102" spans="1:12" ht="30">
      <c r="A102" s="397"/>
      <c r="B102" s="31" t="s">
        <v>664</v>
      </c>
      <c r="C102" s="30" t="s">
        <v>154</v>
      </c>
      <c r="D102" s="11">
        <v>288</v>
      </c>
      <c r="E102" s="11">
        <v>0.03</v>
      </c>
      <c r="F102" s="11">
        <v>1.39</v>
      </c>
      <c r="G102" s="11">
        <v>0.6</v>
      </c>
      <c r="H102" s="11">
        <v>11.02</v>
      </c>
      <c r="I102" s="11">
        <v>2.13</v>
      </c>
      <c r="J102" s="44" t="str">
        <f t="shared" si="1"/>
        <v>Ausgrid</v>
      </c>
      <c r="K102" t="s">
        <v>572</v>
      </c>
      <c r="L102" s="44" t="s">
        <v>1336</v>
      </c>
    </row>
    <row r="103" spans="1:12">
      <c r="A103" s="397"/>
      <c r="B103" s="31"/>
      <c r="C103" s="30" t="s">
        <v>156</v>
      </c>
      <c r="D103" s="11">
        <v>6421</v>
      </c>
      <c r="E103" s="11">
        <v>24.48</v>
      </c>
      <c r="F103" s="11">
        <v>54.79</v>
      </c>
      <c r="G103" s="11">
        <v>37.200000000000003</v>
      </c>
      <c r="H103" s="11">
        <v>269.35000000000002</v>
      </c>
      <c r="I103" s="11">
        <v>71.22</v>
      </c>
      <c r="J103" s="44" t="str">
        <f t="shared" si="1"/>
        <v>Ausgrid</v>
      </c>
      <c r="K103" t="s">
        <v>572</v>
      </c>
      <c r="L103" s="44" t="s">
        <v>1336</v>
      </c>
    </row>
    <row r="104" spans="1:12">
      <c r="A104" s="397"/>
      <c r="B104" s="31"/>
      <c r="C104" s="30" t="s">
        <v>158</v>
      </c>
      <c r="D104" s="11">
        <v>5</v>
      </c>
      <c r="E104" s="11">
        <v>0</v>
      </c>
      <c r="F104" s="11">
        <v>0.02</v>
      </c>
      <c r="G104" s="11">
        <v>0.01</v>
      </c>
      <c r="H104" s="11">
        <v>0.19</v>
      </c>
      <c r="I104" s="11">
        <v>0.04</v>
      </c>
      <c r="J104" s="44" t="str">
        <f t="shared" si="1"/>
        <v>Ausgrid</v>
      </c>
      <c r="K104" t="s">
        <v>572</v>
      </c>
      <c r="L104" s="44" t="s">
        <v>1336</v>
      </c>
    </row>
    <row r="105" spans="1:12">
      <c r="A105" s="397"/>
      <c r="B105" s="31"/>
      <c r="C105" s="30" t="s">
        <v>160</v>
      </c>
      <c r="D105" s="11">
        <v>1109</v>
      </c>
      <c r="E105" s="11">
        <v>0.13</v>
      </c>
      <c r="F105" s="11">
        <v>5.36</v>
      </c>
      <c r="G105" s="11">
        <v>2.33</v>
      </c>
      <c r="H105" s="11">
        <v>42.42</v>
      </c>
      <c r="I105" s="11">
        <v>8.1999999999999993</v>
      </c>
      <c r="J105" s="44" t="str">
        <f t="shared" si="1"/>
        <v>Ausgrid</v>
      </c>
      <c r="K105" t="s">
        <v>572</v>
      </c>
      <c r="L105" s="44" t="s">
        <v>1336</v>
      </c>
    </row>
    <row r="106" spans="1:12" ht="30">
      <c r="A106" s="397"/>
      <c r="B106" s="31" t="s">
        <v>665</v>
      </c>
      <c r="C106" s="30" t="s">
        <v>162</v>
      </c>
      <c r="D106" s="11">
        <v>24736</v>
      </c>
      <c r="E106" s="11">
        <v>659.68</v>
      </c>
      <c r="F106" s="11">
        <v>540.59</v>
      </c>
      <c r="G106" s="11">
        <v>908.52</v>
      </c>
      <c r="H106" s="11">
        <v>565.29</v>
      </c>
      <c r="I106" s="11">
        <v>296.22000000000003</v>
      </c>
      <c r="J106" s="44" t="str">
        <f t="shared" si="1"/>
        <v>Ausgrid</v>
      </c>
      <c r="K106" s="44" t="s">
        <v>1340</v>
      </c>
      <c r="L106" s="44" t="s">
        <v>1338</v>
      </c>
    </row>
    <row r="107" spans="1:12">
      <c r="A107" s="397"/>
      <c r="B107" s="31"/>
      <c r="C107" s="30" t="s">
        <v>164</v>
      </c>
      <c r="D107" s="11">
        <v>0</v>
      </c>
      <c r="E107" s="11">
        <v>459.93</v>
      </c>
      <c r="F107" s="11">
        <v>1155.53</v>
      </c>
      <c r="G107" s="11">
        <v>968.68</v>
      </c>
      <c r="H107" s="11">
        <v>782.19</v>
      </c>
      <c r="I107" s="11">
        <v>328.19</v>
      </c>
      <c r="J107" s="44" t="str">
        <f t="shared" si="1"/>
        <v>Ausgrid</v>
      </c>
      <c r="K107" s="44" t="s">
        <v>1340</v>
      </c>
      <c r="L107" s="44" t="s">
        <v>1338</v>
      </c>
    </row>
    <row r="108" spans="1:12">
      <c r="A108" s="386" t="s">
        <v>1147</v>
      </c>
      <c r="B108" s="32" t="s">
        <v>661</v>
      </c>
      <c r="C108" s="30" t="s">
        <v>118</v>
      </c>
      <c r="D108" s="30">
        <v>0</v>
      </c>
      <c r="E108" s="30">
        <v>0</v>
      </c>
      <c r="F108" s="30">
        <v>0</v>
      </c>
      <c r="G108" s="30">
        <v>0</v>
      </c>
      <c r="H108" s="30">
        <v>0</v>
      </c>
      <c r="I108" s="30">
        <v>0</v>
      </c>
      <c r="J108" s="44" t="str">
        <f t="shared" si="1"/>
        <v>Ergon</v>
      </c>
      <c r="K108" t="s">
        <v>1</v>
      </c>
      <c r="L108" s="44" t="s">
        <v>1336</v>
      </c>
    </row>
    <row r="109" spans="1:12">
      <c r="A109" s="387"/>
      <c r="C109" s="30" t="s">
        <v>120</v>
      </c>
      <c r="D109" s="30">
        <v>100125</v>
      </c>
      <c r="E109" s="30">
        <v>191</v>
      </c>
      <c r="F109" s="30">
        <v>447</v>
      </c>
      <c r="G109" s="30">
        <v>451</v>
      </c>
      <c r="H109" s="30">
        <v>502</v>
      </c>
      <c r="I109" s="30">
        <v>617</v>
      </c>
      <c r="J109" s="44" t="str">
        <f t="shared" si="1"/>
        <v>Ergon</v>
      </c>
      <c r="K109" t="s">
        <v>1</v>
      </c>
      <c r="L109" s="44" t="s">
        <v>1336</v>
      </c>
    </row>
    <row r="110" spans="1:12">
      <c r="A110" s="387"/>
      <c r="C110" s="30" t="s">
        <v>122</v>
      </c>
      <c r="D110" s="30">
        <v>421689</v>
      </c>
      <c r="E110" s="30">
        <v>946</v>
      </c>
      <c r="F110" s="30">
        <v>1097</v>
      </c>
      <c r="G110" s="30">
        <v>1001</v>
      </c>
      <c r="H110" s="30">
        <v>1667</v>
      </c>
      <c r="I110" s="30">
        <v>1689</v>
      </c>
      <c r="J110" s="44" t="str">
        <f t="shared" si="1"/>
        <v>Ergon</v>
      </c>
      <c r="K110" t="s">
        <v>1</v>
      </c>
      <c r="L110" s="44" t="s">
        <v>1336</v>
      </c>
    </row>
    <row r="111" spans="1:12">
      <c r="A111" s="387"/>
      <c r="C111" s="30" t="s">
        <v>124</v>
      </c>
      <c r="D111" s="30">
        <v>439551</v>
      </c>
      <c r="E111" s="30">
        <v>1027</v>
      </c>
      <c r="F111" s="30">
        <v>1121</v>
      </c>
      <c r="G111" s="30">
        <v>1578</v>
      </c>
      <c r="H111" s="30">
        <v>2204</v>
      </c>
      <c r="I111" s="30">
        <v>1575</v>
      </c>
      <c r="J111" s="44" t="str">
        <f t="shared" si="1"/>
        <v>Ergon</v>
      </c>
      <c r="K111" t="s">
        <v>1</v>
      </c>
      <c r="L111" s="44" t="s">
        <v>1336</v>
      </c>
    </row>
    <row r="112" spans="1:12" ht="45">
      <c r="A112" s="387"/>
      <c r="B112" s="31" t="s">
        <v>662</v>
      </c>
      <c r="C112" s="30" t="s">
        <v>126</v>
      </c>
      <c r="D112" s="30">
        <v>0</v>
      </c>
      <c r="E112" s="30">
        <v>0</v>
      </c>
      <c r="F112" s="30">
        <v>0</v>
      </c>
      <c r="G112" s="30">
        <v>0</v>
      </c>
      <c r="H112" s="30">
        <v>0</v>
      </c>
      <c r="I112" s="30">
        <v>0</v>
      </c>
      <c r="J112" s="44" t="str">
        <f t="shared" si="1"/>
        <v>Ergon</v>
      </c>
      <c r="K112" t="s">
        <v>718</v>
      </c>
      <c r="L112" s="44" t="s">
        <v>1336</v>
      </c>
    </row>
    <row r="113" spans="1:12">
      <c r="A113" s="387"/>
      <c r="B113" s="31"/>
      <c r="C113" s="30" t="s">
        <v>128</v>
      </c>
      <c r="D113" s="30">
        <v>5651.46</v>
      </c>
      <c r="E113" s="30">
        <v>9.4550000000000001</v>
      </c>
      <c r="F113" s="30">
        <v>26.178999999999998</v>
      </c>
      <c r="G113" s="30">
        <v>35.895000000000003</v>
      </c>
      <c r="H113" s="30">
        <v>45.42</v>
      </c>
      <c r="I113" s="30">
        <v>23.864000000000001</v>
      </c>
      <c r="J113" s="44" t="str">
        <f t="shared" si="1"/>
        <v>Ergon</v>
      </c>
      <c r="K113" t="s">
        <v>718</v>
      </c>
      <c r="L113" s="44" t="s">
        <v>1336</v>
      </c>
    </row>
    <row r="114" spans="1:12">
      <c r="A114" s="387"/>
      <c r="B114" s="31"/>
      <c r="C114" s="30" t="s">
        <v>130</v>
      </c>
      <c r="D114" s="30">
        <v>97303.103000000003</v>
      </c>
      <c r="E114" s="30">
        <v>48.465000000000003</v>
      </c>
      <c r="F114" s="30">
        <v>95.671999999999997</v>
      </c>
      <c r="G114" s="30">
        <v>74.819999999999993</v>
      </c>
      <c r="H114" s="30">
        <v>78.403999999999996</v>
      </c>
      <c r="I114" s="30">
        <v>77.866</v>
      </c>
      <c r="J114" s="44" t="str">
        <f t="shared" si="1"/>
        <v>Ergon</v>
      </c>
      <c r="K114" t="s">
        <v>718</v>
      </c>
      <c r="L114" s="44" t="s">
        <v>1336</v>
      </c>
    </row>
    <row r="115" spans="1:12">
      <c r="A115" s="387"/>
      <c r="B115" s="31"/>
      <c r="C115" s="30" t="s">
        <v>132</v>
      </c>
      <c r="D115" s="30">
        <v>51608.94</v>
      </c>
      <c r="E115" s="30">
        <v>72.667000000000002</v>
      </c>
      <c r="F115" s="30">
        <v>166.441</v>
      </c>
      <c r="G115" s="30">
        <v>181.416</v>
      </c>
      <c r="H115" s="30">
        <v>388.791</v>
      </c>
      <c r="I115" s="30">
        <v>199.67099999999999</v>
      </c>
      <c r="J115" s="44" t="str">
        <f t="shared" si="1"/>
        <v>Ergon</v>
      </c>
      <c r="K115" t="s">
        <v>718</v>
      </c>
      <c r="L115" s="44" t="s">
        <v>1336</v>
      </c>
    </row>
    <row r="116" spans="1:12" ht="45">
      <c r="A116" s="387"/>
      <c r="B116" s="31" t="s">
        <v>663</v>
      </c>
      <c r="C116" s="30" t="s">
        <v>1148</v>
      </c>
      <c r="D116" s="30">
        <v>135.84899999999999</v>
      </c>
      <c r="E116" s="30">
        <v>15.179</v>
      </c>
      <c r="F116" s="30">
        <v>10.355</v>
      </c>
      <c r="G116" s="30">
        <v>20.181000000000001</v>
      </c>
      <c r="H116" s="30">
        <v>50.084000000000003</v>
      </c>
      <c r="I116" s="30">
        <v>19.88</v>
      </c>
      <c r="J116" s="44" t="str">
        <f t="shared" si="1"/>
        <v>Ergon</v>
      </c>
      <c r="K116" t="s">
        <v>718</v>
      </c>
      <c r="L116" t="s">
        <v>1337</v>
      </c>
    </row>
    <row r="117" spans="1:12">
      <c r="A117" s="387"/>
      <c r="B117" s="31"/>
      <c r="C117" s="30" t="s">
        <v>1149</v>
      </c>
      <c r="D117" s="30">
        <v>64240.033000000003</v>
      </c>
      <c r="E117" s="30">
        <v>9.4186666670000001</v>
      </c>
      <c r="F117" s="30">
        <v>80.951333329999997</v>
      </c>
      <c r="G117" s="30">
        <v>110.9213333</v>
      </c>
      <c r="H117" s="30">
        <v>159.33199999999999</v>
      </c>
      <c r="I117" s="30">
        <v>63.252666670000004</v>
      </c>
      <c r="J117" s="44" t="str">
        <f t="shared" si="1"/>
        <v>Ergon</v>
      </c>
      <c r="K117" t="s">
        <v>718</v>
      </c>
      <c r="L117" s="44" t="s">
        <v>1337</v>
      </c>
    </row>
    <row r="118" spans="1:12">
      <c r="A118" s="387"/>
      <c r="B118" s="31"/>
      <c r="C118" s="30" t="s">
        <v>1150</v>
      </c>
      <c r="D118" s="30">
        <v>53831.510999999999</v>
      </c>
      <c r="E118" s="30">
        <v>19.19166667</v>
      </c>
      <c r="F118" s="30">
        <v>72.197666670000004</v>
      </c>
      <c r="G118" s="30">
        <v>32.380000000000003</v>
      </c>
      <c r="H118" s="30">
        <v>95.350999999999999</v>
      </c>
      <c r="I118" s="30">
        <v>80.25</v>
      </c>
      <c r="J118" s="44" t="str">
        <f t="shared" si="1"/>
        <v>Ergon</v>
      </c>
      <c r="K118" t="s">
        <v>718</v>
      </c>
      <c r="L118" s="44" t="s">
        <v>1337</v>
      </c>
    </row>
    <row r="119" spans="1:12">
      <c r="A119" s="387"/>
      <c r="B119" s="31"/>
      <c r="C119" s="30" t="s">
        <v>1151</v>
      </c>
      <c r="D119" s="30">
        <v>7301.1949999999997</v>
      </c>
      <c r="E119" s="30">
        <v>39.187333330000001</v>
      </c>
      <c r="F119" s="30">
        <v>80.707666669999995</v>
      </c>
      <c r="G119" s="30">
        <v>65.474000000000004</v>
      </c>
      <c r="H119" s="30">
        <v>97.764666669999997</v>
      </c>
      <c r="I119" s="30">
        <v>87.45</v>
      </c>
      <c r="J119" s="44" t="str">
        <f t="shared" si="1"/>
        <v>Ergon</v>
      </c>
      <c r="K119" t="s">
        <v>718</v>
      </c>
      <c r="L119" s="44" t="s">
        <v>1337</v>
      </c>
    </row>
    <row r="120" spans="1:12">
      <c r="A120" s="387"/>
      <c r="B120" s="31"/>
      <c r="C120" s="30" t="s">
        <v>1152</v>
      </c>
      <c r="D120" s="30">
        <v>17633.809000000001</v>
      </c>
      <c r="E120" s="30">
        <v>44.998333330000001</v>
      </c>
      <c r="F120" s="30">
        <v>42.610333330000003</v>
      </c>
      <c r="G120" s="30">
        <v>61.365000000000002</v>
      </c>
      <c r="H120" s="30">
        <v>107.1856667</v>
      </c>
      <c r="I120" s="30">
        <v>44.433666670000001</v>
      </c>
      <c r="J120" s="44" t="str">
        <f t="shared" si="1"/>
        <v>Ergon</v>
      </c>
      <c r="K120" t="s">
        <v>718</v>
      </c>
      <c r="L120" s="44" t="s">
        <v>1337</v>
      </c>
    </row>
    <row r="121" spans="1:12">
      <c r="A121" s="387"/>
      <c r="B121" s="31"/>
      <c r="C121" s="30" t="s">
        <v>1153</v>
      </c>
      <c r="D121" s="30">
        <v>11421.106</v>
      </c>
      <c r="E121" s="30">
        <v>2.6126666670000001</v>
      </c>
      <c r="F121" s="30">
        <v>1.469333333</v>
      </c>
      <c r="G121" s="30">
        <v>1.81</v>
      </c>
      <c r="H121" s="30">
        <v>2.899</v>
      </c>
      <c r="I121" s="30">
        <v>6.1340000000000003</v>
      </c>
      <c r="J121" s="44" t="str">
        <f t="shared" si="1"/>
        <v>Ergon</v>
      </c>
      <c r="K121" t="s">
        <v>718</v>
      </c>
      <c r="L121" s="44" t="s">
        <v>1337</v>
      </c>
    </row>
    <row r="122" spans="1:12" ht="30">
      <c r="A122" s="387"/>
      <c r="B122" s="31" t="s">
        <v>664</v>
      </c>
      <c r="C122" s="30" t="s">
        <v>154</v>
      </c>
      <c r="D122" s="30">
        <v>0</v>
      </c>
      <c r="E122" s="30">
        <v>0</v>
      </c>
      <c r="F122" s="30">
        <v>0</v>
      </c>
      <c r="G122" s="30">
        <v>0</v>
      </c>
      <c r="H122" s="30">
        <v>0</v>
      </c>
      <c r="I122" s="30">
        <v>0</v>
      </c>
      <c r="J122" s="44" t="str">
        <f t="shared" si="1"/>
        <v>Ergon</v>
      </c>
      <c r="K122" t="s">
        <v>572</v>
      </c>
      <c r="L122" s="44" t="s">
        <v>1336</v>
      </c>
    </row>
    <row r="123" spans="1:12">
      <c r="A123" s="387"/>
      <c r="B123" s="31"/>
      <c r="C123" s="30" t="s">
        <v>156</v>
      </c>
      <c r="D123" s="30">
        <v>2781.9270000000001</v>
      </c>
      <c r="E123" s="30">
        <v>1.919</v>
      </c>
      <c r="F123" s="30">
        <v>2.6989999999999998</v>
      </c>
      <c r="G123" s="30">
        <v>4.0030000000000001</v>
      </c>
      <c r="H123" s="30">
        <v>2.2570000000000001</v>
      </c>
      <c r="I123" s="30">
        <v>4.7779999999999996</v>
      </c>
      <c r="J123" s="44" t="str">
        <f t="shared" si="1"/>
        <v>Ergon</v>
      </c>
      <c r="K123" t="s">
        <v>572</v>
      </c>
      <c r="L123" s="44" t="s">
        <v>1336</v>
      </c>
    </row>
    <row r="124" spans="1:12">
      <c r="A124" s="387"/>
      <c r="B124" s="31"/>
      <c r="C124" s="30" t="s">
        <v>158</v>
      </c>
      <c r="D124" s="30">
        <v>453.83600000000001</v>
      </c>
      <c r="E124" s="30">
        <v>1.415</v>
      </c>
      <c r="F124" s="30">
        <v>0</v>
      </c>
      <c r="G124" s="30">
        <v>0</v>
      </c>
      <c r="H124" s="30">
        <v>0.185</v>
      </c>
      <c r="I124" s="30">
        <v>0.16400000000000001</v>
      </c>
      <c r="J124" s="44" t="str">
        <f t="shared" si="1"/>
        <v>Ergon</v>
      </c>
      <c r="K124" t="s">
        <v>572</v>
      </c>
      <c r="L124" s="44" t="s">
        <v>1336</v>
      </c>
    </row>
    <row r="125" spans="1:12">
      <c r="A125" s="387"/>
      <c r="B125" s="31"/>
      <c r="C125" s="30" t="s">
        <v>160</v>
      </c>
      <c r="D125" s="30">
        <v>4942.0439999999999</v>
      </c>
      <c r="E125" s="30">
        <v>2.9129999999999998</v>
      </c>
      <c r="F125" s="30">
        <v>0.67</v>
      </c>
      <c r="G125" s="30">
        <v>2.165</v>
      </c>
      <c r="H125" s="30">
        <v>5.1829999999999998</v>
      </c>
      <c r="I125" s="30">
        <v>3.7890000000000001</v>
      </c>
      <c r="J125" s="44" t="str">
        <f t="shared" si="1"/>
        <v>Ergon</v>
      </c>
      <c r="K125" t="s">
        <v>572</v>
      </c>
      <c r="L125" s="44" t="s">
        <v>1336</v>
      </c>
    </row>
    <row r="126" spans="1:12" ht="30">
      <c r="A126" s="387"/>
      <c r="B126" s="31" t="s">
        <v>665</v>
      </c>
      <c r="C126" s="30" t="s">
        <v>162</v>
      </c>
      <c r="D126" s="30">
        <v>22459.49</v>
      </c>
      <c r="E126" s="30">
        <v>257.75599999999997</v>
      </c>
      <c r="F126" s="30">
        <v>175.44300000000001</v>
      </c>
      <c r="G126" s="30">
        <v>154.321</v>
      </c>
      <c r="H126" s="30">
        <v>118.72499999999999</v>
      </c>
      <c r="I126" s="30">
        <v>240.67099999999999</v>
      </c>
      <c r="J126" s="44" t="str">
        <f t="shared" si="1"/>
        <v>Ergon</v>
      </c>
      <c r="K126" s="44" t="s">
        <v>1340</v>
      </c>
      <c r="L126" s="44" t="s">
        <v>1338</v>
      </c>
    </row>
    <row r="127" spans="1:12">
      <c r="A127" s="387"/>
      <c r="B127" s="31"/>
      <c r="C127" s="30" t="s">
        <v>164</v>
      </c>
      <c r="D127" s="30">
        <v>126.401</v>
      </c>
      <c r="E127" s="30">
        <v>152.35599999999999</v>
      </c>
      <c r="F127" s="30">
        <v>122.443</v>
      </c>
      <c r="G127" s="30">
        <v>261.221</v>
      </c>
      <c r="H127" s="30">
        <v>138.72499999999999</v>
      </c>
      <c r="I127" s="30">
        <v>126.401</v>
      </c>
      <c r="J127" s="44" t="str">
        <f t="shared" si="1"/>
        <v>Ergon</v>
      </c>
      <c r="K127" s="44" t="s">
        <v>1340</v>
      </c>
      <c r="L127" s="44" t="s">
        <v>1338</v>
      </c>
    </row>
    <row r="128" spans="1:12">
      <c r="A128" s="402" t="s">
        <v>1218</v>
      </c>
      <c r="B128" s="32" t="s">
        <v>661</v>
      </c>
      <c r="C128" t="s">
        <v>118</v>
      </c>
      <c r="D128">
        <v>118</v>
      </c>
      <c r="E128">
        <v>0</v>
      </c>
      <c r="F128">
        <v>0</v>
      </c>
      <c r="G128">
        <v>1</v>
      </c>
      <c r="H128">
        <v>0</v>
      </c>
      <c r="I128">
        <v>1</v>
      </c>
      <c r="J128" s="44" t="str">
        <f>IF(A128&gt;0,A128,#REF!)</f>
        <v>SA Power</v>
      </c>
      <c r="K128" t="s">
        <v>1</v>
      </c>
      <c r="L128" s="44" t="s">
        <v>1336</v>
      </c>
    </row>
    <row r="129" spans="1:12">
      <c r="A129" s="403"/>
      <c r="C129" t="s">
        <v>120</v>
      </c>
      <c r="D129">
        <v>225574</v>
      </c>
      <c r="E129">
        <v>253</v>
      </c>
      <c r="F129">
        <v>208</v>
      </c>
      <c r="G129">
        <v>304</v>
      </c>
      <c r="H129">
        <v>447</v>
      </c>
      <c r="I129">
        <v>1561</v>
      </c>
      <c r="J129" s="44" t="str">
        <f t="shared" ref="J129:J145" si="2">IF(A129&gt;0,A129,J128)</f>
        <v>SA Power</v>
      </c>
      <c r="K129" t="s">
        <v>1</v>
      </c>
      <c r="L129" s="44" t="s">
        <v>1336</v>
      </c>
    </row>
    <row r="130" spans="1:12">
      <c r="A130" s="403"/>
      <c r="C130" t="s">
        <v>122</v>
      </c>
      <c r="D130">
        <v>375978</v>
      </c>
      <c r="E130">
        <v>214</v>
      </c>
      <c r="F130">
        <v>154</v>
      </c>
      <c r="G130">
        <v>203</v>
      </c>
      <c r="H130">
        <v>376</v>
      </c>
      <c r="I130">
        <v>424</v>
      </c>
      <c r="J130" s="44" t="str">
        <f t="shared" si="2"/>
        <v>SA Power</v>
      </c>
      <c r="K130" t="s">
        <v>1</v>
      </c>
      <c r="L130" s="44" t="s">
        <v>1336</v>
      </c>
    </row>
    <row r="131" spans="1:12">
      <c r="A131" s="403"/>
      <c r="C131" t="s">
        <v>124</v>
      </c>
      <c r="D131">
        <v>139188</v>
      </c>
      <c r="E131">
        <v>128</v>
      </c>
      <c r="F131">
        <v>131</v>
      </c>
      <c r="G131">
        <v>128</v>
      </c>
      <c r="H131">
        <v>310</v>
      </c>
      <c r="I131">
        <v>442</v>
      </c>
      <c r="J131" s="44" t="str">
        <f t="shared" si="2"/>
        <v>SA Power</v>
      </c>
      <c r="K131" t="s">
        <v>1</v>
      </c>
      <c r="L131" s="44" t="s">
        <v>1336</v>
      </c>
    </row>
    <row r="132" spans="1:12" ht="45">
      <c r="A132" s="403"/>
      <c r="B132" s="3" t="s">
        <v>662</v>
      </c>
      <c r="C132" t="s">
        <v>126</v>
      </c>
      <c r="D132">
        <v>16</v>
      </c>
      <c r="E132">
        <v>0.04</v>
      </c>
      <c r="F132">
        <v>0.08</v>
      </c>
      <c r="G132">
        <v>0.08</v>
      </c>
      <c r="H132">
        <v>0.31</v>
      </c>
      <c r="I132">
        <v>0.04</v>
      </c>
      <c r="J132" s="44" t="str">
        <f t="shared" si="2"/>
        <v>SA Power</v>
      </c>
      <c r="K132" t="s">
        <v>718</v>
      </c>
      <c r="L132" s="44" t="s">
        <v>1336</v>
      </c>
    </row>
    <row r="133" spans="1:12">
      <c r="A133" s="403"/>
      <c r="B133" s="3"/>
      <c r="C133" t="s">
        <v>128</v>
      </c>
      <c r="D133">
        <v>15102</v>
      </c>
      <c r="E133">
        <v>13.07999999999983</v>
      </c>
      <c r="F133">
        <v>31.249999999999751</v>
      </c>
      <c r="G133">
        <v>31.479999999999741</v>
      </c>
      <c r="H133">
        <v>23.639999999999787</v>
      </c>
      <c r="I133">
        <v>15.33999999999982</v>
      </c>
      <c r="J133" s="44" t="str">
        <f t="shared" si="2"/>
        <v>SA Power</v>
      </c>
      <c r="K133" t="s">
        <v>718</v>
      </c>
      <c r="L133" s="44" t="s">
        <v>1336</v>
      </c>
    </row>
    <row r="134" spans="1:12">
      <c r="A134" s="403"/>
      <c r="B134" s="3"/>
      <c r="C134" t="s">
        <v>130</v>
      </c>
      <c r="D134">
        <v>10106</v>
      </c>
      <c r="E134">
        <v>24.934999999999992</v>
      </c>
      <c r="F134">
        <v>112.23000000000005</v>
      </c>
      <c r="G134">
        <v>117.22</v>
      </c>
      <c r="H134">
        <v>78.397999999999996</v>
      </c>
      <c r="I134">
        <v>79.964999999999989</v>
      </c>
      <c r="J134" s="44" t="str">
        <f t="shared" si="2"/>
        <v>SA Power</v>
      </c>
      <c r="K134" t="s">
        <v>718</v>
      </c>
      <c r="L134" s="44" t="s">
        <v>1336</v>
      </c>
    </row>
    <row r="135" spans="1:12">
      <c r="A135" s="403"/>
      <c r="B135" s="3"/>
      <c r="C135" t="s">
        <v>132</v>
      </c>
      <c r="D135">
        <v>45940</v>
      </c>
      <c r="E135">
        <v>28.530000000000005</v>
      </c>
      <c r="F135">
        <v>14.100000000000001</v>
      </c>
      <c r="G135">
        <v>10.130000000000003</v>
      </c>
      <c r="H135">
        <v>25.425000000000004</v>
      </c>
      <c r="I135">
        <v>52.59</v>
      </c>
      <c r="J135" s="44" t="str">
        <f t="shared" si="2"/>
        <v>SA Power</v>
      </c>
      <c r="K135" t="s">
        <v>718</v>
      </c>
      <c r="L135" s="44" t="s">
        <v>1336</v>
      </c>
    </row>
    <row r="136" spans="1:12" ht="45">
      <c r="A136" s="403"/>
      <c r="B136" s="3" t="s">
        <v>663</v>
      </c>
      <c r="C136" t="s">
        <v>695</v>
      </c>
      <c r="D136">
        <v>9194</v>
      </c>
      <c r="E136">
        <v>7.8399999999999519</v>
      </c>
      <c r="F136">
        <v>31.229999999999905</v>
      </c>
      <c r="G136">
        <v>21.939999999999905</v>
      </c>
      <c r="H136">
        <v>13.919999999999924</v>
      </c>
      <c r="I136">
        <v>11.029999999999944</v>
      </c>
      <c r="J136" s="44" t="str">
        <f t="shared" si="2"/>
        <v>SA Power</v>
      </c>
      <c r="K136" t="s">
        <v>718</v>
      </c>
      <c r="L136" s="44" t="s">
        <v>1337</v>
      </c>
    </row>
    <row r="137" spans="1:12">
      <c r="A137" s="403"/>
      <c r="B137" s="3"/>
      <c r="C137" t="s">
        <v>696</v>
      </c>
      <c r="D137">
        <v>5879</v>
      </c>
      <c r="E137">
        <v>12.269999999999927</v>
      </c>
      <c r="F137">
        <v>16.189999999999877</v>
      </c>
      <c r="G137">
        <v>65.80999999999986</v>
      </c>
      <c r="H137">
        <v>13.0199999999999</v>
      </c>
      <c r="I137">
        <v>11.069999999999915</v>
      </c>
      <c r="J137" s="44" t="str">
        <f t="shared" si="2"/>
        <v>SA Power</v>
      </c>
      <c r="K137" t="s">
        <v>718</v>
      </c>
      <c r="L137" s="44" t="s">
        <v>1337</v>
      </c>
    </row>
    <row r="138" spans="1:12">
      <c r="A138" s="403"/>
      <c r="B138" s="3"/>
      <c r="C138" t="s">
        <v>697</v>
      </c>
      <c r="D138">
        <v>22355</v>
      </c>
      <c r="E138">
        <v>37.375</v>
      </c>
      <c r="F138">
        <v>105.78000000000006</v>
      </c>
      <c r="G138">
        <v>41.959999999999994</v>
      </c>
      <c r="H138">
        <v>89.472999999999999</v>
      </c>
      <c r="I138">
        <v>84.444999999999993</v>
      </c>
      <c r="J138" s="44" t="str">
        <f t="shared" si="2"/>
        <v>SA Power</v>
      </c>
      <c r="K138" t="s">
        <v>718</v>
      </c>
      <c r="L138" s="44" t="s">
        <v>1337</v>
      </c>
    </row>
    <row r="139" spans="1:12">
      <c r="A139" s="403"/>
      <c r="B139" s="3"/>
      <c r="C139" t="s">
        <v>698</v>
      </c>
      <c r="D139">
        <v>33736</v>
      </c>
      <c r="E139">
        <v>9.1000000000000014</v>
      </c>
      <c r="F139">
        <v>4.4600000000000009</v>
      </c>
      <c r="G139">
        <v>29.2</v>
      </c>
      <c r="H139">
        <v>11.360000000000001</v>
      </c>
      <c r="I139">
        <v>41.39</v>
      </c>
      <c r="J139" s="44" t="str">
        <f t="shared" si="2"/>
        <v>SA Power</v>
      </c>
      <c r="K139" t="s">
        <v>718</v>
      </c>
      <c r="L139" s="44" t="s">
        <v>1337</v>
      </c>
    </row>
    <row r="140" spans="1:12" ht="30">
      <c r="A140" s="403"/>
      <c r="B140" s="3" t="s">
        <v>664</v>
      </c>
      <c r="C140" t="s">
        <v>154</v>
      </c>
      <c r="D140">
        <v>258</v>
      </c>
      <c r="E140">
        <v>4.2961754340164533E-2</v>
      </c>
      <c r="F140">
        <v>2.8641169560109689E-2</v>
      </c>
      <c r="G140">
        <v>7.1602923900274229E-2</v>
      </c>
      <c r="H140">
        <v>7.1602923900274229E-2</v>
      </c>
      <c r="I140">
        <v>0.11456467824043876</v>
      </c>
      <c r="J140" s="44" t="str">
        <f t="shared" si="2"/>
        <v>SA Power</v>
      </c>
      <c r="K140" t="s">
        <v>572</v>
      </c>
      <c r="L140" s="44" t="s">
        <v>1336</v>
      </c>
    </row>
    <row r="141" spans="1:12">
      <c r="A141" s="403"/>
      <c r="B141" s="3"/>
      <c r="C141" t="s">
        <v>156</v>
      </c>
      <c r="D141">
        <v>10382</v>
      </c>
      <c r="E141">
        <v>6.4442631510246571</v>
      </c>
      <c r="F141">
        <v>7.6042305182090688</v>
      </c>
      <c r="G141">
        <v>10.081691685158528</v>
      </c>
      <c r="H141">
        <v>9.6377535569768558</v>
      </c>
      <c r="I141">
        <v>7.6901540268894077</v>
      </c>
      <c r="J141" s="44" t="str">
        <f t="shared" si="2"/>
        <v>SA Power</v>
      </c>
      <c r="K141" t="s">
        <v>572</v>
      </c>
      <c r="L141" s="44" t="s">
        <v>1336</v>
      </c>
    </row>
    <row r="142" spans="1:12">
      <c r="A142" s="403"/>
      <c r="B142" s="3"/>
      <c r="C142" t="s">
        <v>158</v>
      </c>
      <c r="D142">
        <v>3123</v>
      </c>
      <c r="E142">
        <v>0.77331157812296181</v>
      </c>
      <c r="F142">
        <v>1.4177378932254299</v>
      </c>
      <c r="G142">
        <v>1.9834009920375966</v>
      </c>
      <c r="H142">
        <v>2.1910494713483919</v>
      </c>
      <c r="I142">
        <v>1.045402688944004</v>
      </c>
      <c r="J142" s="44" t="str">
        <f t="shared" si="2"/>
        <v>SA Power</v>
      </c>
      <c r="K142" t="s">
        <v>572</v>
      </c>
      <c r="L142" s="44" t="s">
        <v>1336</v>
      </c>
    </row>
    <row r="143" spans="1:12">
      <c r="A143" s="403"/>
      <c r="B143" s="3"/>
      <c r="C143" t="s">
        <v>160</v>
      </c>
      <c r="D143">
        <v>2967</v>
      </c>
      <c r="E143">
        <v>0.8305939172431811</v>
      </c>
      <c r="F143">
        <v>0.81627333246312661</v>
      </c>
      <c r="G143">
        <v>1.4750202323456494</v>
      </c>
      <c r="H143">
        <v>1.6039054953661431</v>
      </c>
      <c r="I143">
        <v>0.9308380107035652</v>
      </c>
      <c r="J143" s="44" t="str">
        <f t="shared" si="2"/>
        <v>SA Power</v>
      </c>
      <c r="K143" t="s">
        <v>572</v>
      </c>
      <c r="L143" s="44" t="s">
        <v>1336</v>
      </c>
    </row>
    <row r="144" spans="1:12" ht="30">
      <c r="A144" s="403"/>
      <c r="B144" s="3" t="s">
        <v>665</v>
      </c>
      <c r="C144" t="s">
        <v>162</v>
      </c>
      <c r="D144">
        <v>0</v>
      </c>
      <c r="E144">
        <v>78.164999999999992</v>
      </c>
      <c r="F144">
        <v>62.984999999999999</v>
      </c>
      <c r="G144">
        <v>82.763000000000005</v>
      </c>
      <c r="H144">
        <v>47.737000000000002</v>
      </c>
      <c r="I144">
        <v>113.762</v>
      </c>
      <c r="J144" s="44" t="str">
        <f t="shared" si="2"/>
        <v>SA Power</v>
      </c>
      <c r="K144" s="44" t="s">
        <v>1340</v>
      </c>
      <c r="L144" s="44" t="s">
        <v>1338</v>
      </c>
    </row>
    <row r="145" spans="1:12">
      <c r="A145" s="403"/>
      <c r="B145" s="3"/>
      <c r="C145" t="s">
        <v>164</v>
      </c>
      <c r="D145">
        <v>0</v>
      </c>
      <c r="E145">
        <v>72.034999999999997</v>
      </c>
      <c r="F145">
        <v>60.805</v>
      </c>
      <c r="G145">
        <v>60.113</v>
      </c>
      <c r="H145">
        <v>68.736999999999995</v>
      </c>
      <c r="I145">
        <v>114.38200000000001</v>
      </c>
      <c r="J145" s="44" t="str">
        <f t="shared" si="2"/>
        <v>SA Power</v>
      </c>
      <c r="K145" s="44" t="s">
        <v>1340</v>
      </c>
      <c r="L145" s="44" t="s">
        <v>1338</v>
      </c>
    </row>
    <row r="146" spans="1:12" ht="15" customHeight="1">
      <c r="A146" s="383" t="s">
        <v>0</v>
      </c>
      <c r="B146" s="32" t="s">
        <v>661</v>
      </c>
      <c r="C146" t="s">
        <v>118</v>
      </c>
      <c r="D146">
        <v>0</v>
      </c>
      <c r="E146">
        <v>0</v>
      </c>
      <c r="F146">
        <v>0</v>
      </c>
      <c r="G146">
        <v>0</v>
      </c>
      <c r="H146">
        <v>0</v>
      </c>
      <c r="I146">
        <v>0</v>
      </c>
      <c r="J146" s="119" t="str">
        <f t="shared" ref="J146:J165" si="3">IF(A146&gt;0,A146,J145)</f>
        <v>Essential</v>
      </c>
      <c r="K146" s="119" t="s">
        <v>1</v>
      </c>
      <c r="L146" s="119" t="s">
        <v>1336</v>
      </c>
    </row>
    <row r="147" spans="1:12">
      <c r="A147" s="384"/>
      <c r="C147" t="s">
        <v>120</v>
      </c>
      <c r="D147">
        <v>82751.879706941196</v>
      </c>
      <c r="E147">
        <v>226.01857783472133</v>
      </c>
      <c r="F147">
        <v>259.49584323040381</v>
      </c>
      <c r="G147">
        <v>172.46771273385636</v>
      </c>
      <c r="H147">
        <v>206.28889958293232</v>
      </c>
      <c r="I147">
        <v>303.65300014963339</v>
      </c>
      <c r="J147" s="119" t="str">
        <f t="shared" si="3"/>
        <v>Essential</v>
      </c>
      <c r="K147" s="119" t="s">
        <v>1</v>
      </c>
      <c r="L147" s="119" t="s">
        <v>1336</v>
      </c>
    </row>
    <row r="148" spans="1:12">
      <c r="A148" s="384"/>
      <c r="C148" t="s">
        <v>122</v>
      </c>
      <c r="D148">
        <v>632096.18055685807</v>
      </c>
      <c r="E148">
        <v>2600.7905188981422</v>
      </c>
      <c r="F148">
        <v>2822.4049881235155</v>
      </c>
      <c r="G148">
        <v>2429.8557634278818</v>
      </c>
      <c r="H148">
        <v>3557.7213666987486</v>
      </c>
      <c r="I148">
        <v>3599.1512793655543</v>
      </c>
      <c r="J148" s="119" t="str">
        <f t="shared" si="3"/>
        <v>Essential</v>
      </c>
      <c r="K148" s="119" t="s">
        <v>1</v>
      </c>
      <c r="L148" s="119" t="s">
        <v>1336</v>
      </c>
    </row>
    <row r="149" spans="1:12">
      <c r="A149" s="384"/>
      <c r="C149" t="s">
        <v>124</v>
      </c>
      <c r="D149">
        <v>662634.93973619991</v>
      </c>
      <c r="E149">
        <v>2096.1909032671365</v>
      </c>
      <c r="F149">
        <v>2141.0991686460807</v>
      </c>
      <c r="G149">
        <v>2470.6765238382618</v>
      </c>
      <c r="H149">
        <v>2570.9897337183188</v>
      </c>
      <c r="I149">
        <v>2884.1957204848122</v>
      </c>
      <c r="J149" s="119" t="str">
        <f t="shared" si="3"/>
        <v>Essential</v>
      </c>
      <c r="K149" s="119" t="s">
        <v>1</v>
      </c>
      <c r="L149" s="119" t="s">
        <v>1336</v>
      </c>
    </row>
    <row r="150" spans="1:12">
      <c r="A150" s="384"/>
      <c r="B150" s="32" t="s">
        <v>662</v>
      </c>
      <c r="C150" t="s">
        <v>126</v>
      </c>
      <c r="D150">
        <v>0</v>
      </c>
      <c r="E150">
        <v>0</v>
      </c>
      <c r="F150">
        <v>0</v>
      </c>
      <c r="G150">
        <v>0</v>
      </c>
      <c r="H150">
        <v>0</v>
      </c>
      <c r="I150">
        <v>0</v>
      </c>
      <c r="J150" s="119" t="str">
        <f t="shared" si="3"/>
        <v>Essential</v>
      </c>
      <c r="K150" s="119" t="s">
        <v>718</v>
      </c>
      <c r="L150" s="119" t="s">
        <v>1336</v>
      </c>
    </row>
    <row r="151" spans="1:12">
      <c r="A151" s="384"/>
      <c r="C151" t="s">
        <v>128</v>
      </c>
      <c r="D151">
        <v>4575.0601036319804</v>
      </c>
      <c r="E151">
        <v>0</v>
      </c>
      <c r="F151">
        <v>6.7031573986804904</v>
      </c>
      <c r="G151">
        <v>9.6</v>
      </c>
      <c r="H151">
        <v>6</v>
      </c>
      <c r="I151">
        <v>2.9073979591836734</v>
      </c>
      <c r="J151" s="119" t="str">
        <f t="shared" si="3"/>
        <v>Essential</v>
      </c>
      <c r="K151" s="119" t="s">
        <v>718</v>
      </c>
      <c r="L151" s="119" t="s">
        <v>1336</v>
      </c>
    </row>
    <row r="152" spans="1:12">
      <c r="A152" s="384"/>
      <c r="C152" t="s">
        <v>130</v>
      </c>
      <c r="D152">
        <v>110629.48554500101</v>
      </c>
      <c r="E152">
        <v>7.5</v>
      </c>
      <c r="F152">
        <v>106.6502356267672</v>
      </c>
      <c r="G152">
        <v>121</v>
      </c>
      <c r="H152">
        <v>68</v>
      </c>
      <c r="I152">
        <v>147.97653061224489</v>
      </c>
      <c r="J152" s="119" t="str">
        <f t="shared" si="3"/>
        <v>Essential</v>
      </c>
      <c r="K152" s="119" t="s">
        <v>718</v>
      </c>
      <c r="L152" s="119" t="s">
        <v>1336</v>
      </c>
    </row>
    <row r="153" spans="1:12">
      <c r="A153" s="384"/>
      <c r="C153" t="s">
        <v>132</v>
      </c>
      <c r="D153">
        <v>70080.773351367301</v>
      </c>
      <c r="E153">
        <v>20.100000000000001</v>
      </c>
      <c r="F153">
        <v>98.94660697455231</v>
      </c>
      <c r="G153">
        <v>123.4</v>
      </c>
      <c r="H153">
        <v>180</v>
      </c>
      <c r="I153">
        <v>163.51607142857142</v>
      </c>
      <c r="J153" s="119" t="str">
        <f t="shared" si="3"/>
        <v>Essential</v>
      </c>
      <c r="K153" s="119" t="s">
        <v>718</v>
      </c>
      <c r="L153" s="119" t="s">
        <v>1336</v>
      </c>
    </row>
    <row r="154" spans="1:12">
      <c r="A154" s="384"/>
      <c r="B154" s="32" t="s">
        <v>663</v>
      </c>
      <c r="C154" t="s">
        <v>320</v>
      </c>
      <c r="D154">
        <v>50379.151999999995</v>
      </c>
      <c r="E154">
        <v>0</v>
      </c>
      <c r="F154">
        <v>3.1</v>
      </c>
      <c r="G154">
        <v>0.7</v>
      </c>
      <c r="H154">
        <v>0.1</v>
      </c>
      <c r="I154">
        <v>76.900000000000006</v>
      </c>
      <c r="J154" s="119" t="str">
        <f t="shared" si="3"/>
        <v>Essential</v>
      </c>
      <c r="K154" s="119" t="s">
        <v>718</v>
      </c>
      <c r="L154" s="119" t="s">
        <v>1337</v>
      </c>
    </row>
    <row r="155" spans="1:12">
      <c r="A155" s="384"/>
      <c r="C155" t="s">
        <v>322</v>
      </c>
      <c r="D155">
        <v>23056.421000000002</v>
      </c>
      <c r="E155">
        <v>1.9</v>
      </c>
      <c r="F155">
        <v>14.6</v>
      </c>
      <c r="G155">
        <v>7.4</v>
      </c>
      <c r="H155">
        <v>11.7</v>
      </c>
      <c r="I155">
        <v>141</v>
      </c>
      <c r="J155" s="119" t="str">
        <f t="shared" si="3"/>
        <v>Essential</v>
      </c>
      <c r="K155" s="119" t="s">
        <v>718</v>
      </c>
      <c r="L155" s="119" t="s">
        <v>1337</v>
      </c>
    </row>
    <row r="156" spans="1:12">
      <c r="A156" s="384"/>
      <c r="C156" t="s">
        <v>324</v>
      </c>
      <c r="D156">
        <v>14128.213</v>
      </c>
      <c r="E156">
        <v>0</v>
      </c>
      <c r="F156">
        <v>0</v>
      </c>
      <c r="G156">
        <v>0</v>
      </c>
      <c r="H156">
        <v>0.1</v>
      </c>
      <c r="I156">
        <v>1.5</v>
      </c>
      <c r="J156" s="119" t="str">
        <f t="shared" si="3"/>
        <v>Essential</v>
      </c>
      <c r="K156" s="119" t="s">
        <v>718</v>
      </c>
      <c r="L156" s="119" t="s">
        <v>1337</v>
      </c>
    </row>
    <row r="157" spans="1:12">
      <c r="A157" s="384"/>
      <c r="C157" t="s">
        <v>326</v>
      </c>
      <c r="D157">
        <v>2786.4960000000001</v>
      </c>
      <c r="E157">
        <v>0.4</v>
      </c>
      <c r="F157">
        <v>0.7</v>
      </c>
      <c r="G157">
        <v>0.1</v>
      </c>
      <c r="H157">
        <v>0.9</v>
      </c>
      <c r="I157">
        <v>14</v>
      </c>
      <c r="J157" s="119" t="str">
        <f t="shared" si="3"/>
        <v>Essential</v>
      </c>
      <c r="K157" s="119" t="s">
        <v>718</v>
      </c>
      <c r="L157" s="119" t="s">
        <v>1337</v>
      </c>
    </row>
    <row r="158" spans="1:12">
      <c r="A158" s="384"/>
      <c r="C158" t="s">
        <v>328</v>
      </c>
      <c r="D158">
        <v>78508.900999999998</v>
      </c>
      <c r="E158">
        <v>0</v>
      </c>
      <c r="F158">
        <v>0</v>
      </c>
      <c r="G158">
        <v>4.8</v>
      </c>
      <c r="H158">
        <v>0</v>
      </c>
      <c r="I158">
        <v>2</v>
      </c>
      <c r="J158" s="119" t="str">
        <f t="shared" si="3"/>
        <v>Essential</v>
      </c>
      <c r="K158" s="119" t="s">
        <v>718</v>
      </c>
      <c r="L158" s="119" t="s">
        <v>1337</v>
      </c>
    </row>
    <row r="159" spans="1:12">
      <c r="A159" s="384"/>
      <c r="C159" t="s">
        <v>330</v>
      </c>
      <c r="D159">
        <v>16426.135999999999</v>
      </c>
      <c r="E159">
        <v>25.3</v>
      </c>
      <c r="F159">
        <v>193.8</v>
      </c>
      <c r="G159">
        <v>240.8</v>
      </c>
      <c r="H159">
        <v>241.4</v>
      </c>
      <c r="I159">
        <v>78.900000000000006</v>
      </c>
      <c r="J159" s="119" t="str">
        <f t="shared" si="3"/>
        <v>Essential</v>
      </c>
      <c r="K159" s="119" t="s">
        <v>718</v>
      </c>
      <c r="L159" s="119" t="s">
        <v>1337</v>
      </c>
    </row>
    <row r="160" spans="1:12">
      <c r="A160" s="384"/>
      <c r="B160" s="32" t="s">
        <v>664</v>
      </c>
      <c r="C160" t="s">
        <v>154</v>
      </c>
      <c r="D160">
        <v>0</v>
      </c>
      <c r="E160">
        <v>0</v>
      </c>
      <c r="F160">
        <v>0</v>
      </c>
      <c r="G160">
        <v>0</v>
      </c>
      <c r="H160">
        <v>0</v>
      </c>
      <c r="I160">
        <v>0</v>
      </c>
      <c r="J160" s="119" t="str">
        <f t="shared" si="3"/>
        <v>Essential</v>
      </c>
      <c r="K160" s="119" t="s">
        <v>572</v>
      </c>
      <c r="L160" s="119" t="s">
        <v>1336</v>
      </c>
    </row>
    <row r="161" spans="1:12">
      <c r="A161" s="384"/>
      <c r="C161" t="s">
        <v>156</v>
      </c>
      <c r="D161">
        <v>1816.7669119846701</v>
      </c>
      <c r="E161">
        <v>1</v>
      </c>
      <c r="F161">
        <v>0.2</v>
      </c>
      <c r="G161">
        <v>0</v>
      </c>
      <c r="H161">
        <v>0.4</v>
      </c>
      <c r="I161">
        <v>1.4</v>
      </c>
      <c r="J161" s="119" t="str">
        <f t="shared" si="3"/>
        <v>Essential</v>
      </c>
      <c r="K161" s="119" t="s">
        <v>572</v>
      </c>
      <c r="L161" s="119" t="s">
        <v>1336</v>
      </c>
    </row>
    <row r="162" spans="1:12">
      <c r="A162" s="384"/>
      <c r="C162" t="s">
        <v>158</v>
      </c>
      <c r="D162">
        <v>770.46699824629309</v>
      </c>
      <c r="E162">
        <v>0</v>
      </c>
      <c r="F162">
        <v>0</v>
      </c>
      <c r="G162">
        <v>0</v>
      </c>
      <c r="H162">
        <v>0</v>
      </c>
      <c r="I162">
        <v>0.2</v>
      </c>
      <c r="J162" s="119" t="str">
        <f t="shared" si="3"/>
        <v>Essential</v>
      </c>
      <c r="K162" s="119" t="s">
        <v>572</v>
      </c>
      <c r="L162" s="119" t="s">
        <v>1336</v>
      </c>
    </row>
    <row r="163" spans="1:12">
      <c r="A163" s="384"/>
      <c r="C163" t="s">
        <v>160</v>
      </c>
      <c r="D163">
        <v>5550.2760897690405</v>
      </c>
      <c r="E163">
        <v>0</v>
      </c>
      <c r="F163">
        <v>0</v>
      </c>
      <c r="G163">
        <v>1.1000000000000001</v>
      </c>
      <c r="H163">
        <v>0.3</v>
      </c>
      <c r="I163">
        <v>2</v>
      </c>
      <c r="J163" s="119" t="str">
        <f t="shared" si="3"/>
        <v>Essential</v>
      </c>
      <c r="K163" s="119" t="s">
        <v>572</v>
      </c>
      <c r="L163" s="119" t="s">
        <v>1336</v>
      </c>
    </row>
    <row r="164" spans="1:12">
      <c r="A164" s="384"/>
      <c r="B164" s="32" t="s">
        <v>665</v>
      </c>
      <c r="C164" t="s">
        <v>162</v>
      </c>
      <c r="D164">
        <v>21817790</v>
      </c>
      <c r="E164">
        <v>305296.99999999994</v>
      </c>
      <c r="F164">
        <v>225082</v>
      </c>
      <c r="G164">
        <v>327760</v>
      </c>
      <c r="H164">
        <v>269008</v>
      </c>
      <c r="I164">
        <v>371122.99999999994</v>
      </c>
      <c r="J164" s="119" t="str">
        <f t="shared" si="3"/>
        <v>Essential</v>
      </c>
      <c r="K164" s="119" t="s">
        <v>1340</v>
      </c>
      <c r="L164" s="119" t="s">
        <v>1338</v>
      </c>
    </row>
    <row r="165" spans="1:12">
      <c r="A165" s="384"/>
      <c r="C165" t="s">
        <v>164</v>
      </c>
      <c r="D165">
        <v>0</v>
      </c>
      <c r="E165">
        <v>259408.00000000003</v>
      </c>
      <c r="F165">
        <v>194555.99999999997</v>
      </c>
      <c r="G165">
        <v>111777.99999999999</v>
      </c>
      <c r="H165">
        <v>161167</v>
      </c>
      <c r="I165">
        <v>710909</v>
      </c>
      <c r="J165" s="119" t="str">
        <f t="shared" si="3"/>
        <v>Essential</v>
      </c>
      <c r="K165" s="119" t="s">
        <v>1340</v>
      </c>
      <c r="L165" s="119" t="s">
        <v>1338</v>
      </c>
    </row>
  </sheetData>
  <autoFilter ref="A2:L165"/>
  <mergeCells count="9">
    <mergeCell ref="E1:I1"/>
    <mergeCell ref="A35:A52"/>
    <mergeCell ref="A53:A73"/>
    <mergeCell ref="A74:A88"/>
    <mergeCell ref="A146:A165"/>
    <mergeCell ref="A128:A145"/>
    <mergeCell ref="A108:A127"/>
    <mergeCell ref="A89:A107"/>
    <mergeCell ref="A3:A3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filterMode="1">
    <pageSetUpPr fitToPage="1"/>
  </sheetPr>
  <dimension ref="A1:AV1279"/>
  <sheetViews>
    <sheetView zoomScale="80" zoomScaleNormal="80" workbookViewId="0">
      <pane xSplit="8" ySplit="2" topLeftCell="V3" activePane="bottomRight" state="frozen"/>
      <selection activeCell="B1" sqref="B1"/>
      <selection pane="topRight" activeCell="H1" sqref="H1"/>
      <selection pane="bottomLeft" activeCell="B9" sqref="B9"/>
      <selection pane="bottomRight" activeCell="F5" sqref="F5"/>
    </sheetView>
  </sheetViews>
  <sheetFormatPr defaultRowHeight="15"/>
  <cols>
    <col min="1" max="1" width="10" style="38" customWidth="1"/>
    <col min="2" max="2" width="18.28515625" style="38" customWidth="1"/>
    <col min="3" max="3" width="18.5703125" style="38" customWidth="1"/>
    <col min="4" max="4" width="15.42578125" style="38" customWidth="1"/>
    <col min="5" max="5" width="20.5703125" style="336" bestFit="1" customWidth="1"/>
    <col min="6" max="6" width="43.5703125" style="43" customWidth="1"/>
    <col min="7" max="7" width="26.7109375" style="43" customWidth="1"/>
    <col min="8" max="8" width="29.140625" style="43" customWidth="1"/>
    <col min="9" max="23" width="12.42578125" style="41" customWidth="1"/>
    <col min="24" max="24" width="11.140625" style="38" customWidth="1"/>
    <col min="25" max="25" width="13.140625" style="38" customWidth="1"/>
    <col min="26" max="30" width="13.28515625" style="40" customWidth="1"/>
    <col min="31" max="35" width="15" style="40" customWidth="1"/>
    <col min="36" max="36" width="9.140625" style="38" customWidth="1"/>
    <col min="37" max="37" width="12.140625" style="38" customWidth="1"/>
    <col min="38" max="38" width="18.42578125" style="38" bestFit="1" customWidth="1"/>
    <col min="39" max="39" width="15.140625" style="38" customWidth="1"/>
    <col min="40" max="40" width="15.140625" style="122" customWidth="1"/>
    <col min="41" max="41" width="31.42578125" bestFit="1" customWidth="1"/>
    <col min="42" max="42" width="24.28515625" style="38" bestFit="1" customWidth="1"/>
    <col min="43" max="43" width="9.140625" style="38"/>
    <col min="44" max="44" width="67.85546875" style="43" customWidth="1"/>
    <col min="45" max="45" width="19" style="38" bestFit="1" customWidth="1"/>
    <col min="46" max="16384" width="9.140625" style="38"/>
  </cols>
  <sheetData>
    <row r="1" spans="1:48">
      <c r="E1" s="335"/>
      <c r="F1" s="39"/>
      <c r="G1" s="39"/>
      <c r="H1" s="39"/>
      <c r="I1" s="419" t="s">
        <v>378</v>
      </c>
      <c r="J1" s="419"/>
      <c r="K1" s="419"/>
      <c r="L1" s="419"/>
      <c r="M1" s="419"/>
      <c r="N1" s="420" t="s">
        <v>379</v>
      </c>
      <c r="O1" s="420"/>
      <c r="P1" s="420"/>
      <c r="Q1" s="420"/>
      <c r="R1" s="420"/>
      <c r="S1" s="421" t="s">
        <v>380</v>
      </c>
      <c r="T1" s="421"/>
      <c r="U1" s="421"/>
      <c r="V1" s="421"/>
      <c r="W1" s="421"/>
      <c r="X1" s="42" t="s">
        <v>381</v>
      </c>
      <c r="Y1" s="42" t="s">
        <v>382</v>
      </c>
      <c r="Z1" s="412" t="s">
        <v>383</v>
      </c>
      <c r="AA1" s="412"/>
      <c r="AB1" s="412"/>
      <c r="AC1" s="412"/>
      <c r="AD1" s="412"/>
      <c r="AE1" s="412" t="s">
        <v>384</v>
      </c>
      <c r="AF1" s="412"/>
      <c r="AG1" s="412"/>
      <c r="AH1" s="412"/>
      <c r="AI1" s="412"/>
    </row>
    <row r="2" spans="1:48" s="47" customFormat="1" ht="45">
      <c r="A2" s="49" t="s">
        <v>1204</v>
      </c>
      <c r="B2" s="49" t="s">
        <v>1394</v>
      </c>
      <c r="C2" s="49" t="s">
        <v>1395</v>
      </c>
      <c r="D2" s="49" t="s">
        <v>1206</v>
      </c>
      <c r="E2" s="48"/>
      <c r="F2" s="49" t="s">
        <v>385</v>
      </c>
      <c r="G2" s="49" t="s">
        <v>386</v>
      </c>
      <c r="H2" s="49" t="s">
        <v>387</v>
      </c>
      <c r="I2" s="50">
        <v>2009</v>
      </c>
      <c r="J2" s="50">
        <v>2010</v>
      </c>
      <c r="K2" s="50">
        <v>2011</v>
      </c>
      <c r="L2" s="50">
        <v>2012</v>
      </c>
      <c r="M2" s="50">
        <v>2013</v>
      </c>
      <c r="N2" s="51">
        <v>2009</v>
      </c>
      <c r="O2" s="51">
        <v>2010</v>
      </c>
      <c r="P2" s="51">
        <v>2011</v>
      </c>
      <c r="Q2" s="51">
        <v>2012</v>
      </c>
      <c r="R2" s="51">
        <v>2013</v>
      </c>
      <c r="S2" s="52">
        <v>2009</v>
      </c>
      <c r="T2" s="52">
        <v>2010</v>
      </c>
      <c r="U2" s="52">
        <v>2011</v>
      </c>
      <c r="V2" s="52">
        <v>2012</v>
      </c>
      <c r="W2" s="52">
        <v>2013</v>
      </c>
      <c r="X2" s="48"/>
      <c r="Y2" s="48"/>
      <c r="Z2" s="52">
        <v>2009</v>
      </c>
      <c r="AA2" s="52">
        <v>2010</v>
      </c>
      <c r="AB2" s="52">
        <v>2011</v>
      </c>
      <c r="AC2" s="52">
        <v>2012</v>
      </c>
      <c r="AD2" s="52">
        <v>2013</v>
      </c>
      <c r="AE2" s="52">
        <v>2009</v>
      </c>
      <c r="AF2" s="52">
        <v>2010</v>
      </c>
      <c r="AG2" s="52">
        <v>2011</v>
      </c>
      <c r="AH2" s="52">
        <v>2012</v>
      </c>
      <c r="AI2" s="52">
        <v>2013</v>
      </c>
      <c r="AK2" s="49" t="s">
        <v>1209</v>
      </c>
      <c r="AL2" s="49" t="s">
        <v>1208</v>
      </c>
      <c r="AM2" s="49" t="s">
        <v>1207</v>
      </c>
      <c r="AN2" s="120" t="s">
        <v>1385</v>
      </c>
      <c r="AO2" s="120" t="s">
        <v>1217</v>
      </c>
      <c r="AP2" s="120" t="s">
        <v>1205</v>
      </c>
      <c r="AR2" s="78" t="s">
        <v>1395</v>
      </c>
      <c r="AS2" s="47" t="s">
        <v>1205</v>
      </c>
      <c r="AV2" s="47" t="s">
        <v>1205</v>
      </c>
    </row>
    <row r="3" spans="1:48" ht="30">
      <c r="A3" s="38" t="str">
        <f t="shared" ref="A3:A62" si="0">IF(E3&gt;0,E3,A2)</f>
        <v>AusNet</v>
      </c>
      <c r="B3" s="38" t="s">
        <v>1189</v>
      </c>
      <c r="C3" s="38" t="str">
        <f>B3&amp;"-"&amp;G3</f>
        <v>OH Maintenance-POLE TOPS AND OVERHEAD LINES</v>
      </c>
      <c r="D3" s="38" t="str">
        <f>B3&amp;"-"&amp;H3</f>
        <v>OH Maintenance-NUMBER OF POLES (000'S)</v>
      </c>
      <c r="E3" s="422" t="s">
        <v>1674</v>
      </c>
      <c r="F3" s="43" t="s">
        <v>388</v>
      </c>
      <c r="G3" s="43" t="s">
        <v>389</v>
      </c>
      <c r="H3" s="43" t="s">
        <v>390</v>
      </c>
      <c r="I3" s="41">
        <v>395.29200000000003</v>
      </c>
      <c r="J3" s="41">
        <v>404.65900000000005</v>
      </c>
      <c r="K3" s="41">
        <v>415.59399999999999</v>
      </c>
      <c r="L3" s="41">
        <v>428.91399999999999</v>
      </c>
      <c r="M3" s="41">
        <v>442.399</v>
      </c>
      <c r="N3" s="41">
        <v>17.34375</v>
      </c>
      <c r="O3" s="41">
        <v>19.975249999999999</v>
      </c>
      <c r="P3" s="41">
        <v>92.816999999999993</v>
      </c>
      <c r="Q3" s="41">
        <v>78.250249999999994</v>
      </c>
      <c r="R3" s="41">
        <v>76.969499999999996</v>
      </c>
      <c r="S3" s="41">
        <v>28.070223819071536</v>
      </c>
      <c r="T3" s="41">
        <v>28.070223819071536</v>
      </c>
      <c r="U3" s="41">
        <v>28.070223819071536</v>
      </c>
      <c r="V3" s="41">
        <v>28.070223819071536</v>
      </c>
      <c r="W3" s="41">
        <v>28.070223819071536</v>
      </c>
      <c r="X3" s="38">
        <v>3.5</v>
      </c>
      <c r="Y3" s="38">
        <v>0</v>
      </c>
      <c r="Z3" s="40">
        <v>259.08620939999997</v>
      </c>
      <c r="AA3" s="40">
        <v>246.87677490000004</v>
      </c>
      <c r="AB3" s="40">
        <v>266.89081440000001</v>
      </c>
      <c r="AC3" s="40">
        <v>286.68217889999988</v>
      </c>
      <c r="AD3" s="40">
        <v>376.49183189999985</v>
      </c>
      <c r="AE3" s="40">
        <v>9447.7304206000008</v>
      </c>
      <c r="AF3" s="40">
        <v>9407.6548251000004</v>
      </c>
      <c r="AG3" s="40">
        <v>9716.2983356000004</v>
      </c>
      <c r="AH3" s="40">
        <v>10556.506991099997</v>
      </c>
      <c r="AI3" s="40">
        <v>13194.541018099995</v>
      </c>
      <c r="AK3" s="53">
        <f>IF($B3="Duplicate","",SUM(N3:R3))</f>
        <v>285.35575</v>
      </c>
      <c r="AL3" s="54">
        <f>IF($B3="Duplicate","",SUM(Z3:AD3))</f>
        <v>1436.0278094999996</v>
      </c>
      <c r="AM3" s="54">
        <f>IF($B3="Duplicate","",SUM(AE3:AI3))</f>
        <v>52322.7315905</v>
      </c>
      <c r="AN3" s="123">
        <f t="shared" ref="AN3:AN6" si="1">AL3+AM3</f>
        <v>53758.759400000003</v>
      </c>
      <c r="AO3" t="s">
        <v>1389</v>
      </c>
      <c r="AP3" s="38" t="str">
        <f t="shared" ref="AP3:AP66" si="2">IFERROR(VLOOKUP(C3,$AR:$AS,2,FALSE),"Exclude")</f>
        <v>OH</v>
      </c>
      <c r="AR3" s="43" t="s">
        <v>1396</v>
      </c>
      <c r="AS3" s="38" t="s">
        <v>1392</v>
      </c>
      <c r="AV3" s="38" t="s">
        <v>1392</v>
      </c>
    </row>
    <row r="4" spans="1:48" ht="30">
      <c r="A4" s="38" t="str">
        <f t="shared" si="0"/>
        <v>AusNet</v>
      </c>
      <c r="B4" s="38" t="s">
        <v>1189</v>
      </c>
      <c r="C4" s="38" t="str">
        <f t="shared" ref="C4:C67" si="3">B4&amp;"-"&amp;G4</f>
        <v>OH Maintenance-SERVICE LINES</v>
      </c>
      <c r="D4" s="38" t="str">
        <f t="shared" ref="D4:D67" si="4">B4&amp;"-"&amp;H4</f>
        <v>OH Maintenance-NUMBER OF CUSTOMERS (000'S)</v>
      </c>
      <c r="E4" s="393"/>
      <c r="F4" s="43" t="s">
        <v>388</v>
      </c>
      <c r="G4" s="43" t="s">
        <v>391</v>
      </c>
      <c r="H4" s="43" t="s">
        <v>392</v>
      </c>
      <c r="I4" s="41">
        <v>253.66299999999995</v>
      </c>
      <c r="J4" s="41">
        <v>254.69399999999996</v>
      </c>
      <c r="K4" s="41">
        <v>255.79199999999997</v>
      </c>
      <c r="L4" s="41">
        <v>256.70299999999997</v>
      </c>
      <c r="M4" s="41">
        <v>257.5</v>
      </c>
      <c r="N4" s="41">
        <v>2.9420000000000002</v>
      </c>
      <c r="O4" s="41">
        <v>4.149</v>
      </c>
      <c r="P4" s="41">
        <v>2.4950000000000001</v>
      </c>
      <c r="Q4" s="41">
        <v>6.3630000000000004</v>
      </c>
      <c r="R4" s="41">
        <v>6.0810000000000004</v>
      </c>
      <c r="S4" s="41">
        <v>24.831632653042227</v>
      </c>
      <c r="T4" s="41">
        <v>24.831632653042227</v>
      </c>
      <c r="U4" s="41">
        <v>24.831632653042227</v>
      </c>
      <c r="V4" s="41">
        <v>24.831632653042227</v>
      </c>
      <c r="W4" s="41">
        <v>24.831632653042227</v>
      </c>
      <c r="X4" s="38">
        <v>3.5</v>
      </c>
      <c r="Y4" s="38">
        <v>0</v>
      </c>
      <c r="Z4" s="40">
        <v>586.43877999999995</v>
      </c>
      <c r="AA4" s="40">
        <v>853.20188999999993</v>
      </c>
      <c r="AB4" s="40">
        <v>834.06783000000019</v>
      </c>
      <c r="AC4" s="40">
        <v>604.49767999999995</v>
      </c>
      <c r="AD4" s="40">
        <v>1004.0060099999999</v>
      </c>
      <c r="AE4" s="40">
        <v>0</v>
      </c>
      <c r="AF4" s="40">
        <v>0</v>
      </c>
      <c r="AG4" s="40">
        <v>0</v>
      </c>
      <c r="AH4" s="40">
        <v>0</v>
      </c>
      <c r="AI4" s="40">
        <v>0</v>
      </c>
      <c r="AK4" s="53">
        <f t="shared" ref="AK4:AK67" si="5">IF($B4="Duplicate","",SUM(N4:R4))</f>
        <v>22.03</v>
      </c>
      <c r="AL4" s="54">
        <f t="shared" ref="AL4:AL67" si="6">IF($B4="Duplicate","",SUM(Z4:AD4))</f>
        <v>3882.2121899999997</v>
      </c>
      <c r="AM4" s="54">
        <f t="shared" ref="AM4:AM67" si="7">IF($B4="Duplicate","",SUM(AE4:AI4))</f>
        <v>0</v>
      </c>
      <c r="AN4" s="123">
        <f t="shared" si="1"/>
        <v>3882.2121899999997</v>
      </c>
      <c r="AO4" s="44" t="s">
        <v>1389</v>
      </c>
      <c r="AP4" s="38" t="str">
        <f t="shared" si="2"/>
        <v>Service Lines</v>
      </c>
      <c r="AR4" s="43" t="s">
        <v>1397</v>
      </c>
      <c r="AS4" s="38" t="s">
        <v>719</v>
      </c>
      <c r="AV4" s="38" t="s">
        <v>719</v>
      </c>
    </row>
    <row r="5" spans="1:48">
      <c r="A5" s="38" t="str">
        <f t="shared" si="0"/>
        <v>AusNet</v>
      </c>
      <c r="B5" s="38" t="s">
        <v>1190</v>
      </c>
      <c r="C5" s="38" t="str">
        <f t="shared" si="3"/>
        <v>Pole Inspection-ALL POLES</v>
      </c>
      <c r="D5" s="38" t="str">
        <f t="shared" si="4"/>
        <v>Pole Inspection-NUMBER OF POLES (000'S)</v>
      </c>
      <c r="E5" s="393"/>
      <c r="F5" s="43" t="s">
        <v>393</v>
      </c>
      <c r="G5" s="43" t="s">
        <v>394</v>
      </c>
      <c r="H5" s="43" t="s">
        <v>390</v>
      </c>
      <c r="I5" s="41">
        <v>357.41500000000002</v>
      </c>
      <c r="J5" s="41">
        <v>360.85600000000005</v>
      </c>
      <c r="K5" s="41">
        <v>363.86900000000003</v>
      </c>
      <c r="L5" s="41">
        <v>367.50900000000001</v>
      </c>
      <c r="M5" s="41">
        <v>372.14699999999999</v>
      </c>
      <c r="N5" s="41">
        <v>75.210250000000002</v>
      </c>
      <c r="O5" s="41">
        <v>62.814749999999997</v>
      </c>
      <c r="P5" s="41">
        <v>61.774999999999999</v>
      </c>
      <c r="Q5" s="41">
        <v>81.22775</v>
      </c>
      <c r="R5" s="41">
        <v>81.469499999999996</v>
      </c>
      <c r="S5" s="41">
        <v>28.890005418751468</v>
      </c>
      <c r="T5" s="41">
        <v>28.890005418751468</v>
      </c>
      <c r="U5" s="41">
        <v>28.890005418751468</v>
      </c>
      <c r="V5" s="41">
        <v>28.890005418751468</v>
      </c>
      <c r="W5" s="41">
        <v>28.890005418751468</v>
      </c>
      <c r="X5" s="38">
        <v>5</v>
      </c>
      <c r="Y5" s="38">
        <v>0</v>
      </c>
      <c r="Z5" s="40">
        <v>2075.1998355952292</v>
      </c>
      <c r="AA5" s="40">
        <v>3596.2399510228061</v>
      </c>
      <c r="AB5" s="40">
        <v>4656.4092338693254</v>
      </c>
      <c r="AC5" s="40">
        <v>3421.9986687338637</v>
      </c>
      <c r="AD5" s="40">
        <v>3814.8112274791156</v>
      </c>
      <c r="AE5" s="40">
        <v>0</v>
      </c>
      <c r="AF5" s="40">
        <v>0</v>
      </c>
      <c r="AG5" s="40">
        <v>0</v>
      </c>
      <c r="AH5" s="40">
        <v>0</v>
      </c>
      <c r="AI5" s="40">
        <v>0</v>
      </c>
      <c r="AK5" s="53">
        <f t="shared" si="5"/>
        <v>362.49725000000001</v>
      </c>
      <c r="AL5" s="54">
        <f t="shared" si="6"/>
        <v>17564.65891670034</v>
      </c>
      <c r="AM5" s="54">
        <f t="shared" si="7"/>
        <v>0</v>
      </c>
      <c r="AN5" s="123">
        <f t="shared" si="1"/>
        <v>17564.65891670034</v>
      </c>
      <c r="AO5" s="44" t="s">
        <v>1389</v>
      </c>
      <c r="AP5" s="38" t="str">
        <f t="shared" si="2"/>
        <v>OH</v>
      </c>
      <c r="AR5" s="43" t="s">
        <v>1398</v>
      </c>
      <c r="AS5" s="38" t="s">
        <v>1392</v>
      </c>
      <c r="AV5" s="38" t="s">
        <v>1393</v>
      </c>
    </row>
    <row r="6" spans="1:48" ht="30">
      <c r="A6" s="38" t="str">
        <f t="shared" si="0"/>
        <v>AusNet</v>
      </c>
      <c r="B6" s="38" t="s">
        <v>1191</v>
      </c>
      <c r="C6" s="38" t="str">
        <f t="shared" si="3"/>
        <v>OH Asset Inspection-ALL OVERHEAD ASSETS</v>
      </c>
      <c r="D6" s="38" t="str">
        <f t="shared" si="4"/>
        <v>OH Asset Inspection-LINE PATROLLED (ROUTE KM) (000'S)</v>
      </c>
      <c r="E6" s="393"/>
      <c r="F6" s="43" t="s">
        <v>395</v>
      </c>
      <c r="G6" s="43" t="s">
        <v>396</v>
      </c>
      <c r="H6" s="43" t="s">
        <v>397</v>
      </c>
      <c r="I6" s="41">
        <v>33.42595</v>
      </c>
      <c r="J6" s="41">
        <v>33.627220000000001</v>
      </c>
      <c r="K6" s="41">
        <v>33.819120000000005</v>
      </c>
      <c r="L6" s="41">
        <v>34.201190000000004</v>
      </c>
      <c r="M6" s="41">
        <v>34.294936999999997</v>
      </c>
      <c r="N6" s="41">
        <v>8.3000000000000004E-2</v>
      </c>
      <c r="O6" s="41">
        <v>0.34799999999999998</v>
      </c>
      <c r="P6" s="41">
        <v>0.63700000000000001</v>
      </c>
      <c r="Q6" s="41">
        <v>4.6879999999999997</v>
      </c>
      <c r="R6" s="41">
        <v>6.2549999999999999</v>
      </c>
      <c r="S6" s="41">
        <v>36.385538138235873</v>
      </c>
      <c r="T6" s="41">
        <v>36.385538138235873</v>
      </c>
      <c r="U6" s="41">
        <v>36.385538138235873</v>
      </c>
      <c r="V6" s="41">
        <v>36.385538138235873</v>
      </c>
      <c r="W6" s="41">
        <v>36.385538138235873</v>
      </c>
      <c r="X6" s="38">
        <v>3.5</v>
      </c>
      <c r="Y6" s="38">
        <v>0</v>
      </c>
      <c r="Z6" s="40">
        <v>2422.6312144047706</v>
      </c>
      <c r="AA6" s="40">
        <v>4280.8352689771937</v>
      </c>
      <c r="AB6" s="40">
        <v>5739.4143761306786</v>
      </c>
      <c r="AC6" s="40">
        <v>4380.5736312661375</v>
      </c>
      <c r="AD6" s="40">
        <v>5007.2054325208837</v>
      </c>
      <c r="AE6" s="40">
        <v>0</v>
      </c>
      <c r="AF6" s="40">
        <v>0</v>
      </c>
      <c r="AG6" s="40">
        <v>0</v>
      </c>
      <c r="AH6" s="40">
        <v>0</v>
      </c>
      <c r="AI6" s="40">
        <v>0</v>
      </c>
      <c r="AK6" s="53">
        <f t="shared" si="5"/>
        <v>12.010999999999999</v>
      </c>
      <c r="AL6" s="54">
        <f t="shared" si="6"/>
        <v>21830.659923299663</v>
      </c>
      <c r="AM6" s="54">
        <f t="shared" si="7"/>
        <v>0</v>
      </c>
      <c r="AN6" s="123">
        <f t="shared" si="1"/>
        <v>21830.659923299663</v>
      </c>
      <c r="AO6" s="44" t="s">
        <v>1389</v>
      </c>
      <c r="AP6" s="38" t="str">
        <f t="shared" si="2"/>
        <v>OH</v>
      </c>
      <c r="AR6" s="43" t="s">
        <v>1399</v>
      </c>
      <c r="AS6" s="38" t="s">
        <v>1392</v>
      </c>
      <c r="AV6" s="38" t="s">
        <v>1391</v>
      </c>
    </row>
    <row r="7" spans="1:48" ht="30" hidden="1">
      <c r="A7" s="38" t="str">
        <f t="shared" si="0"/>
        <v>AusNet</v>
      </c>
      <c r="B7" s="38" t="s">
        <v>1192</v>
      </c>
      <c r="C7" s="38" t="str">
        <f t="shared" si="3"/>
        <v>UG Cable Maintenance-LV - 11 TO 22 KV</v>
      </c>
      <c r="D7" s="38" t="str">
        <f t="shared" si="4"/>
        <v>UG Cable Maintenance-LENGTH (KM) (000'S)</v>
      </c>
      <c r="E7" s="423"/>
      <c r="F7" s="43" t="s">
        <v>398</v>
      </c>
      <c r="G7" s="43" t="s">
        <v>399</v>
      </c>
      <c r="H7" s="43" t="s">
        <v>400</v>
      </c>
      <c r="I7" s="41">
        <v>5.6628915052549997</v>
      </c>
      <c r="J7" s="41">
        <v>5.7697624829149987</v>
      </c>
      <c r="K7" s="41">
        <v>5.9021015452249994</v>
      </c>
      <c r="L7" s="41">
        <v>6.0409237548650001</v>
      </c>
      <c r="M7" s="41">
        <v>6.1527181834349998</v>
      </c>
      <c r="N7" s="41">
        <v>0</v>
      </c>
      <c r="O7" s="41">
        <v>0</v>
      </c>
      <c r="P7" s="41">
        <v>0</v>
      </c>
      <c r="Q7" s="41">
        <v>0</v>
      </c>
      <c r="R7" s="41">
        <v>0</v>
      </c>
      <c r="S7" s="41">
        <v>18.573727633694947</v>
      </c>
      <c r="T7" s="41">
        <v>18.573727633694947</v>
      </c>
      <c r="U7" s="41">
        <v>18.573727633694947</v>
      </c>
      <c r="V7" s="41">
        <v>18.573727633694947</v>
      </c>
      <c r="W7" s="41">
        <v>18.573727633694947</v>
      </c>
      <c r="X7" s="38">
        <v>0</v>
      </c>
      <c r="Y7" s="38">
        <v>0</v>
      </c>
      <c r="Z7" s="40">
        <v>505.20217999999988</v>
      </c>
      <c r="AA7" s="40">
        <v>598.34275999999988</v>
      </c>
      <c r="AB7" s="40">
        <v>529.06673499999999</v>
      </c>
      <c r="AC7" s="40">
        <v>85.306312999999989</v>
      </c>
      <c r="AD7" s="40">
        <v>82.439373000000018</v>
      </c>
      <c r="AE7" s="40">
        <v>505.20217999999988</v>
      </c>
      <c r="AF7" s="40">
        <v>598.34275999999988</v>
      </c>
      <c r="AG7" s="40">
        <v>529.06673499999999</v>
      </c>
      <c r="AH7" s="40">
        <v>767.75681699999996</v>
      </c>
      <c r="AI7" s="40">
        <v>741.95435700000007</v>
      </c>
      <c r="AK7" s="53">
        <f t="shared" si="5"/>
        <v>0</v>
      </c>
      <c r="AL7" s="54">
        <f t="shared" si="6"/>
        <v>1800.3573609999996</v>
      </c>
      <c r="AM7" s="54">
        <f t="shared" si="7"/>
        <v>3142.3228489999997</v>
      </c>
      <c r="AN7" s="123">
        <f>AL7+AM7</f>
        <v>4942.6802099999995</v>
      </c>
      <c r="AO7" s="44" t="s">
        <v>1389</v>
      </c>
      <c r="AP7" s="38" t="str">
        <f t="shared" si="2"/>
        <v>UG</v>
      </c>
      <c r="AR7" s="43" t="s">
        <v>1400</v>
      </c>
      <c r="AS7" s="38" t="s">
        <v>1393</v>
      </c>
      <c r="AV7" s="38" t="s">
        <v>1387</v>
      </c>
    </row>
    <row r="8" spans="1:48" ht="30" hidden="1">
      <c r="A8" s="38" t="str">
        <f t="shared" si="0"/>
        <v>AusNet</v>
      </c>
      <c r="B8" s="38" t="s">
        <v>1192</v>
      </c>
      <c r="C8" s="38" t="str">
        <f t="shared" si="3"/>
        <v>UG Cable Maintenance-33 KV AND ABOVE</v>
      </c>
      <c r="D8" s="38" t="str">
        <f t="shared" si="4"/>
        <v>UG Cable Maintenance-LENGTH (KM) (000'S)</v>
      </c>
      <c r="E8" s="423"/>
      <c r="F8" s="43" t="s">
        <v>398</v>
      </c>
      <c r="G8" s="43" t="s">
        <v>401</v>
      </c>
      <c r="H8" s="43" t="s">
        <v>400</v>
      </c>
      <c r="I8" s="41">
        <v>1.5781987604999999E-2</v>
      </c>
      <c r="J8" s="41">
        <v>1.5781987604999999E-2</v>
      </c>
      <c r="K8" s="41">
        <v>1.5781987604999999E-2</v>
      </c>
      <c r="L8" s="41">
        <v>1.5781987604999999E-2</v>
      </c>
      <c r="M8" s="41">
        <v>1.5781987604999999E-2</v>
      </c>
      <c r="N8" s="41">
        <v>0</v>
      </c>
      <c r="O8" s="41">
        <v>0</v>
      </c>
      <c r="P8" s="41">
        <v>0</v>
      </c>
      <c r="Q8" s="41">
        <v>0</v>
      </c>
      <c r="R8" s="41">
        <v>0</v>
      </c>
      <c r="S8" s="41">
        <v>18.573727633694947</v>
      </c>
      <c r="T8" s="41">
        <v>18.573727633694947</v>
      </c>
      <c r="U8" s="41">
        <v>18.573727633694947</v>
      </c>
      <c r="V8" s="41">
        <v>18.573727633694947</v>
      </c>
      <c r="W8" s="41">
        <v>18.573727633694947</v>
      </c>
      <c r="X8" s="38">
        <v>0</v>
      </c>
      <c r="Y8" s="38">
        <v>0</v>
      </c>
      <c r="Z8" s="40">
        <v>0</v>
      </c>
      <c r="AA8" s="40">
        <v>0</v>
      </c>
      <c r="AB8" s="40">
        <v>0</v>
      </c>
      <c r="AC8" s="40">
        <v>0</v>
      </c>
      <c r="AD8" s="40">
        <v>0</v>
      </c>
      <c r="AE8" s="40">
        <v>0</v>
      </c>
      <c r="AF8" s="40">
        <v>0</v>
      </c>
      <c r="AG8" s="40">
        <v>0</v>
      </c>
      <c r="AH8" s="40">
        <v>0</v>
      </c>
      <c r="AI8" s="40">
        <v>0</v>
      </c>
      <c r="AK8" s="53">
        <f t="shared" si="5"/>
        <v>0</v>
      </c>
      <c r="AL8" s="54">
        <f t="shared" si="6"/>
        <v>0</v>
      </c>
      <c r="AM8" s="54">
        <f t="shared" si="7"/>
        <v>0</v>
      </c>
      <c r="AN8" s="123">
        <f t="shared" ref="AN8" si="8">AL8+AM8</f>
        <v>0</v>
      </c>
      <c r="AO8" s="44" t="s">
        <v>1389</v>
      </c>
      <c r="AP8" s="38" t="str">
        <f t="shared" si="2"/>
        <v>UG</v>
      </c>
      <c r="AR8" s="43" t="s">
        <v>1401</v>
      </c>
      <c r="AS8" s="38" t="s">
        <v>1393</v>
      </c>
      <c r="AV8" s="38" t="s">
        <v>1323</v>
      </c>
    </row>
    <row r="9" spans="1:48" ht="30" hidden="1">
      <c r="A9" s="38" t="str">
        <f t="shared" si="0"/>
        <v>AusNet</v>
      </c>
      <c r="B9" s="38" t="s">
        <v>1197</v>
      </c>
      <c r="C9" s="38" t="str">
        <f t="shared" si="3"/>
        <v>Duplicate-CBD</v>
      </c>
      <c r="D9" s="38" t="str">
        <f t="shared" si="4"/>
        <v>Duplicate-LENGTH (KM) (000'S)</v>
      </c>
      <c r="E9" s="423"/>
      <c r="F9" s="43" t="s">
        <v>402</v>
      </c>
      <c r="G9" s="43" t="s">
        <v>403</v>
      </c>
      <c r="H9" s="43" t="s">
        <v>400</v>
      </c>
      <c r="I9" s="41">
        <v>0</v>
      </c>
      <c r="J9" s="41">
        <v>0</v>
      </c>
      <c r="K9" s="41">
        <v>0</v>
      </c>
      <c r="L9" s="41">
        <v>0</v>
      </c>
      <c r="M9" s="41">
        <v>0</v>
      </c>
      <c r="N9" s="41">
        <v>0</v>
      </c>
      <c r="O9" s="41">
        <v>0</v>
      </c>
      <c r="P9" s="41">
        <v>0</v>
      </c>
      <c r="Q9" s="41">
        <v>0</v>
      </c>
      <c r="R9" s="41">
        <v>0</v>
      </c>
      <c r="S9" s="41">
        <v>0</v>
      </c>
      <c r="T9" s="41">
        <v>0</v>
      </c>
      <c r="U9" s="41">
        <v>0</v>
      </c>
      <c r="V9" s="41">
        <v>0</v>
      </c>
      <c r="W9" s="41">
        <v>0</v>
      </c>
      <c r="X9" s="38">
        <v>0</v>
      </c>
      <c r="Y9" s="38">
        <v>0</v>
      </c>
      <c r="Z9" s="40">
        <v>0</v>
      </c>
      <c r="AA9" s="40">
        <v>0</v>
      </c>
      <c r="AB9" s="40">
        <v>0</v>
      </c>
      <c r="AC9" s="40">
        <v>0</v>
      </c>
      <c r="AD9" s="40">
        <v>0</v>
      </c>
      <c r="AE9" s="40">
        <v>0</v>
      </c>
      <c r="AF9" s="40">
        <v>0</v>
      </c>
      <c r="AG9" s="40">
        <v>0</v>
      </c>
      <c r="AH9" s="40">
        <v>0</v>
      </c>
      <c r="AI9" s="40">
        <v>0</v>
      </c>
      <c r="AK9" s="53" t="str">
        <f t="shared" si="5"/>
        <v/>
      </c>
      <c r="AL9" s="54" t="str">
        <f t="shared" si="6"/>
        <v/>
      </c>
      <c r="AM9" s="54" t="str">
        <f t="shared" si="7"/>
        <v/>
      </c>
      <c r="AN9" s="121"/>
      <c r="AO9" s="44" t="s">
        <v>1197</v>
      </c>
      <c r="AP9" s="38" t="str">
        <f t="shared" si="2"/>
        <v>Exclude</v>
      </c>
      <c r="AR9" s="43" t="s">
        <v>1402</v>
      </c>
      <c r="AS9" s="38" t="s">
        <v>1391</v>
      </c>
      <c r="AV9" s="38" t="s">
        <v>1439</v>
      </c>
    </row>
    <row r="10" spans="1:48" ht="30" hidden="1">
      <c r="A10" s="38" t="str">
        <f t="shared" si="0"/>
        <v>AusNet</v>
      </c>
      <c r="B10" s="38" t="s">
        <v>1197</v>
      </c>
      <c r="C10" s="38" t="str">
        <f t="shared" si="3"/>
        <v>Duplicate-NON-CBD</v>
      </c>
      <c r="D10" s="38" t="str">
        <f t="shared" si="4"/>
        <v>Duplicate-LENGTH (KM) (000'S)</v>
      </c>
      <c r="E10" s="423"/>
      <c r="F10" s="43" t="s">
        <v>402</v>
      </c>
      <c r="G10" s="43" t="s">
        <v>404</v>
      </c>
      <c r="H10" s="43" t="s">
        <v>400</v>
      </c>
      <c r="I10" s="41">
        <v>5.6786734928599998</v>
      </c>
      <c r="J10" s="41">
        <v>5.7855444705199988</v>
      </c>
      <c r="K10" s="41">
        <v>5.9178835328299995</v>
      </c>
      <c r="L10" s="41">
        <v>6.0567057424700002</v>
      </c>
      <c r="M10" s="41">
        <v>6.1685001710399998</v>
      </c>
      <c r="N10" s="41">
        <v>0</v>
      </c>
      <c r="O10" s="41">
        <v>0</v>
      </c>
      <c r="P10" s="41">
        <v>0</v>
      </c>
      <c r="Q10" s="41">
        <v>0</v>
      </c>
      <c r="R10" s="41">
        <v>0</v>
      </c>
      <c r="S10" s="41">
        <v>18.573727633694947</v>
      </c>
      <c r="T10" s="41">
        <v>18.573727633694947</v>
      </c>
      <c r="U10" s="41">
        <v>18.573727633694947</v>
      </c>
      <c r="V10" s="41">
        <v>18.573727633694947</v>
      </c>
      <c r="W10" s="41">
        <v>18.573727633694947</v>
      </c>
      <c r="X10" s="38">
        <v>0</v>
      </c>
      <c r="Y10" s="38">
        <v>0</v>
      </c>
      <c r="Z10" s="40">
        <v>505.20217999999988</v>
      </c>
      <c r="AA10" s="40">
        <v>598.34275999999988</v>
      </c>
      <c r="AB10" s="40">
        <v>529.06673499999999</v>
      </c>
      <c r="AC10" s="40">
        <v>85.306312999999989</v>
      </c>
      <c r="AD10" s="40">
        <v>82.439373000000018</v>
      </c>
      <c r="AE10" s="40">
        <v>505.20217999999988</v>
      </c>
      <c r="AF10" s="40">
        <v>598.34275999999988</v>
      </c>
      <c r="AG10" s="40">
        <v>529.06673499999999</v>
      </c>
      <c r="AH10" s="40">
        <v>767.75681699999996</v>
      </c>
      <c r="AI10" s="40">
        <v>741.95435700000007</v>
      </c>
      <c r="AK10" s="53" t="str">
        <f t="shared" si="5"/>
        <v/>
      </c>
      <c r="AL10" s="54" t="str">
        <f t="shared" si="6"/>
        <v/>
      </c>
      <c r="AM10" s="54" t="str">
        <f t="shared" si="7"/>
        <v/>
      </c>
      <c r="AN10" s="121"/>
      <c r="AO10" s="44" t="s">
        <v>1197</v>
      </c>
      <c r="AP10" s="38" t="str">
        <f t="shared" si="2"/>
        <v>Exclude</v>
      </c>
      <c r="AR10" s="43" t="s">
        <v>1403</v>
      </c>
      <c r="AS10" s="38" t="s">
        <v>1391</v>
      </c>
    </row>
    <row r="11" spans="1:48" ht="30" hidden="1">
      <c r="A11" s="38" t="str">
        <f t="shared" si="0"/>
        <v>AusNet</v>
      </c>
      <c r="B11" s="38" t="s">
        <v>1381</v>
      </c>
      <c r="C11" s="38" t="str">
        <f t="shared" si="3"/>
        <v>Dist Sub Maintenance-DISTRIBUTION SUBSTATION TRANSFORMERS</v>
      </c>
      <c r="D11" s="38" t="str">
        <f t="shared" si="4"/>
        <v>Dist Sub Maintenance-NUMBER OF INSTALLED TRANSFORMERS (000'S)</v>
      </c>
      <c r="E11" s="423"/>
      <c r="F11" s="43" t="s">
        <v>405</v>
      </c>
      <c r="G11" s="43" t="s">
        <v>406</v>
      </c>
      <c r="H11" s="43" t="s">
        <v>407</v>
      </c>
      <c r="I11" s="41">
        <v>55.969000000000001</v>
      </c>
      <c r="J11" s="41">
        <v>56.983000000000004</v>
      </c>
      <c r="K11" s="41">
        <v>57.638000000000005</v>
      </c>
      <c r="L11" s="41">
        <v>58.041000000000004</v>
      </c>
      <c r="M11" s="41">
        <v>58.398000000000003</v>
      </c>
      <c r="N11" s="41">
        <v>0.67900000000000005</v>
      </c>
      <c r="O11" s="41">
        <v>0.78900000000000003</v>
      </c>
      <c r="P11" s="41">
        <v>0.56599999999999995</v>
      </c>
      <c r="Q11" s="41">
        <v>0.72799999999999998</v>
      </c>
      <c r="R11" s="41">
        <v>0.78600000000000003</v>
      </c>
      <c r="S11" s="41">
        <v>23.202996161137818</v>
      </c>
      <c r="T11" s="41">
        <v>23.202996161137818</v>
      </c>
      <c r="U11" s="41">
        <v>23.202996161137818</v>
      </c>
      <c r="V11" s="41">
        <v>23.202996161137818</v>
      </c>
      <c r="W11" s="41">
        <v>23.202996161137818</v>
      </c>
      <c r="X11" s="38">
        <v>3.5</v>
      </c>
      <c r="Y11" s="38">
        <v>0</v>
      </c>
      <c r="Z11" s="40">
        <v>0.21437768949152541</v>
      </c>
      <c r="AA11" s="40">
        <v>5.7019398767123288</v>
      </c>
      <c r="AB11" s="40">
        <v>2.67955502962963</v>
      </c>
      <c r="AC11" s="40">
        <v>3.4963130910326083</v>
      </c>
      <c r="AD11" s="40">
        <v>3.4430256281879195</v>
      </c>
      <c r="AE11" s="40">
        <v>6.9315452935593225</v>
      </c>
      <c r="AF11" s="40">
        <v>184.36272268036532</v>
      </c>
      <c r="AG11" s="40">
        <v>86.638945958024706</v>
      </c>
      <c r="AH11" s="40">
        <v>113.04745661005434</v>
      </c>
      <c r="AI11" s="40">
        <v>111.32449531140941</v>
      </c>
      <c r="AK11" s="53">
        <f t="shared" si="5"/>
        <v>3.5479999999999996</v>
      </c>
      <c r="AL11" s="54">
        <f t="shared" si="6"/>
        <v>15.535211315054012</v>
      </c>
      <c r="AM11" s="54">
        <f t="shared" si="7"/>
        <v>502.30516585341309</v>
      </c>
      <c r="AN11" s="123">
        <f t="shared" ref="AN11:AN31" si="9">AL11+AM11</f>
        <v>517.84037716846706</v>
      </c>
      <c r="AO11" s="44" t="s">
        <v>1389</v>
      </c>
      <c r="AP11" s="38" t="str">
        <f t="shared" si="2"/>
        <v>OH/UG</v>
      </c>
      <c r="AR11" s="43" t="s">
        <v>1404</v>
      </c>
      <c r="AS11" s="38" t="s">
        <v>1391</v>
      </c>
    </row>
    <row r="12" spans="1:48" ht="60" hidden="1">
      <c r="A12" s="38" t="str">
        <f t="shared" si="0"/>
        <v>AusNet</v>
      </c>
      <c r="B12" s="38" t="s">
        <v>1381</v>
      </c>
      <c r="C12" s="38" t="str">
        <f t="shared" si="3"/>
        <v>Dist Sub Maintenance-DISTRIBUTION SUBSTATION SWITCHGEAR (WITHIN-SUBSTATIONS AND STAND-ALONE SWITCHGEAR)</v>
      </c>
      <c r="D12" s="38" t="str">
        <f t="shared" si="4"/>
        <v>Dist Sub Maintenance-NUMBER OF SWITCHES (000'S)</v>
      </c>
      <c r="E12" s="423"/>
      <c r="F12" s="43" t="s">
        <v>405</v>
      </c>
      <c r="G12" s="43" t="s">
        <v>408</v>
      </c>
      <c r="H12" s="43" t="s">
        <v>409</v>
      </c>
      <c r="I12" s="41">
        <v>107.765</v>
      </c>
      <c r="J12" s="41">
        <v>108.78200000000001</v>
      </c>
      <c r="K12" s="41">
        <v>109.61799999999999</v>
      </c>
      <c r="L12" s="41">
        <v>110.437</v>
      </c>
      <c r="M12" s="41">
        <v>112.46899999999999</v>
      </c>
      <c r="N12" s="41">
        <v>0.19400000000000001</v>
      </c>
      <c r="O12" s="41">
        <v>8.4000000000000005E-2</v>
      </c>
      <c r="P12" s="41">
        <v>7.2999999999999995E-2</v>
      </c>
      <c r="Q12" s="41">
        <v>0.104</v>
      </c>
      <c r="R12" s="41">
        <v>0.21199999999999999</v>
      </c>
      <c r="S12" s="41">
        <v>24.079977517384197</v>
      </c>
      <c r="T12" s="41">
        <v>24.079977517384197</v>
      </c>
      <c r="U12" s="41">
        <v>24.079977517384197</v>
      </c>
      <c r="V12" s="41">
        <v>24.079977517384197</v>
      </c>
      <c r="W12" s="41">
        <v>24.079977517384197</v>
      </c>
      <c r="X12" s="38">
        <v>0</v>
      </c>
      <c r="Y12" s="38">
        <v>10</v>
      </c>
      <c r="Z12" s="40">
        <v>0.21878271050847453</v>
      </c>
      <c r="AA12" s="40">
        <v>2.909955523287671</v>
      </c>
      <c r="AB12" s="40">
        <v>2.0387918703703707</v>
      </c>
      <c r="AC12" s="40">
        <v>1.4333544089673913</v>
      </c>
      <c r="AD12" s="40">
        <v>2.3428106718120807</v>
      </c>
      <c r="AE12" s="40">
        <v>7.0739743064406779</v>
      </c>
      <c r="AF12" s="40">
        <v>94.088561919634714</v>
      </c>
      <c r="AG12" s="40">
        <v>65.920937141975315</v>
      </c>
      <c r="AH12" s="40">
        <v>46.345125889945649</v>
      </c>
      <c r="AI12" s="40">
        <v>75.750878388590621</v>
      </c>
      <c r="AK12" s="53">
        <f t="shared" si="5"/>
        <v>0.66700000000000004</v>
      </c>
      <c r="AL12" s="54">
        <f t="shared" si="6"/>
        <v>8.9436951849459874</v>
      </c>
      <c r="AM12" s="54">
        <f t="shared" si="7"/>
        <v>289.17947764658697</v>
      </c>
      <c r="AN12" s="123">
        <f t="shared" si="9"/>
        <v>298.12317283153294</v>
      </c>
      <c r="AO12" s="44" t="s">
        <v>1389</v>
      </c>
      <c r="AP12" s="38" t="str">
        <f t="shared" si="2"/>
        <v>OH/UG</v>
      </c>
      <c r="AR12" s="43" t="s">
        <v>1405</v>
      </c>
      <c r="AS12" s="38" t="s">
        <v>1391</v>
      </c>
    </row>
    <row r="13" spans="1:48" ht="30" hidden="1">
      <c r="A13" s="38" t="str">
        <f t="shared" si="0"/>
        <v>AusNet</v>
      </c>
      <c r="B13" s="38" t="s">
        <v>1381</v>
      </c>
      <c r="C13" s="38" t="str">
        <f t="shared" si="3"/>
        <v>Dist Sub Maintenance-DISTRIBUTION SUBSTATION - OTHER EQUIPMENT</v>
      </c>
      <c r="D13" s="38" t="str">
        <f t="shared" si="4"/>
        <v>Dist Sub Maintenance-DNSP TO NOMINATE</v>
      </c>
      <c r="E13" s="423"/>
      <c r="F13" s="43" t="s">
        <v>405</v>
      </c>
      <c r="G13" s="43" t="s">
        <v>410</v>
      </c>
      <c r="H13" s="43" t="s">
        <v>411</v>
      </c>
      <c r="I13" s="41">
        <v>0</v>
      </c>
      <c r="J13" s="41">
        <v>0</v>
      </c>
      <c r="K13" s="41">
        <v>0</v>
      </c>
      <c r="L13" s="41">
        <v>0</v>
      </c>
      <c r="M13" s="41">
        <v>0</v>
      </c>
      <c r="N13" s="41">
        <v>0</v>
      </c>
      <c r="O13" s="41">
        <v>0</v>
      </c>
      <c r="P13" s="41">
        <v>0</v>
      </c>
      <c r="Q13" s="41">
        <v>0</v>
      </c>
      <c r="R13" s="41">
        <v>0</v>
      </c>
      <c r="S13" s="41">
        <v>0</v>
      </c>
      <c r="T13" s="41">
        <v>0</v>
      </c>
      <c r="U13" s="41">
        <v>0</v>
      </c>
      <c r="V13" s="41">
        <v>0</v>
      </c>
      <c r="W13" s="41">
        <v>0</v>
      </c>
      <c r="X13" s="38">
        <v>0</v>
      </c>
      <c r="Y13" s="38">
        <v>0</v>
      </c>
      <c r="Z13" s="40">
        <v>0</v>
      </c>
      <c r="AA13" s="40">
        <v>0</v>
      </c>
      <c r="AB13" s="40">
        <v>0</v>
      </c>
      <c r="AD13" s="40">
        <v>0</v>
      </c>
      <c r="AE13" s="40">
        <v>0</v>
      </c>
      <c r="AF13" s="40">
        <v>0</v>
      </c>
      <c r="AG13" s="40">
        <v>0</v>
      </c>
      <c r="AH13" s="40">
        <v>0</v>
      </c>
      <c r="AI13" s="40">
        <v>0</v>
      </c>
      <c r="AK13" s="53">
        <f t="shared" si="5"/>
        <v>0</v>
      </c>
      <c r="AL13" s="54">
        <f t="shared" si="6"/>
        <v>0</v>
      </c>
      <c r="AM13" s="54">
        <f t="shared" si="7"/>
        <v>0</v>
      </c>
      <c r="AN13" s="123">
        <f t="shared" si="9"/>
        <v>0</v>
      </c>
      <c r="AO13" s="44" t="s">
        <v>1389</v>
      </c>
      <c r="AP13" s="38" t="str">
        <f t="shared" si="2"/>
        <v>OH/UG</v>
      </c>
      <c r="AR13" s="43" t="s">
        <v>1406</v>
      </c>
      <c r="AS13" s="38" t="s">
        <v>1387</v>
      </c>
    </row>
    <row r="14" spans="1:48" ht="45" hidden="1">
      <c r="A14" s="38" t="str">
        <f t="shared" si="0"/>
        <v>AusNet</v>
      </c>
      <c r="B14" s="38" t="s">
        <v>1381</v>
      </c>
      <c r="C14" s="38" t="str">
        <f t="shared" si="3"/>
        <v>Dist Sub Maintenance-DISTRIBUTION SUBSTATION - PROPERTY</v>
      </c>
      <c r="D14" s="38" t="str">
        <f t="shared" si="4"/>
        <v>Dist Sub Maintenance-NUMBER OF DISTRIBUTION SUBSTATION PROPERTIES MAINTAINED (000'S)</v>
      </c>
      <c r="E14" s="423"/>
      <c r="F14" s="43" t="s">
        <v>405</v>
      </c>
      <c r="G14" s="43" t="s">
        <v>412</v>
      </c>
      <c r="H14" s="43" t="s">
        <v>413</v>
      </c>
      <c r="I14" s="41">
        <v>3.391</v>
      </c>
      <c r="J14" s="41">
        <v>3.5449999999999999</v>
      </c>
      <c r="K14" s="41">
        <v>3.72</v>
      </c>
      <c r="L14" s="41">
        <v>3.871</v>
      </c>
      <c r="M14" s="41">
        <v>3.972</v>
      </c>
      <c r="N14" s="41">
        <v>2.069</v>
      </c>
      <c r="O14" s="41">
        <v>3.2759999999999998</v>
      </c>
      <c r="P14" s="41">
        <v>1.8560000000000001</v>
      </c>
      <c r="Q14" s="41">
        <v>5.53</v>
      </c>
      <c r="R14" s="41">
        <v>5.0819999999999999</v>
      </c>
      <c r="S14" s="41">
        <v>40</v>
      </c>
      <c r="T14" s="41">
        <v>40</v>
      </c>
      <c r="U14" s="41">
        <v>40</v>
      </c>
      <c r="V14" s="41">
        <v>40</v>
      </c>
      <c r="W14" s="41">
        <v>40</v>
      </c>
      <c r="X14" s="38">
        <v>3.5</v>
      </c>
      <c r="Y14" s="38">
        <v>0</v>
      </c>
      <c r="Z14" s="40">
        <v>2.8697010000000005</v>
      </c>
      <c r="AA14" s="40">
        <v>7.963668300000001</v>
      </c>
      <c r="AB14" s="40">
        <v>14.9924331</v>
      </c>
      <c r="AC14" s="40">
        <v>14.409500399999997</v>
      </c>
      <c r="AD14" s="40">
        <v>13.474388700000004</v>
      </c>
      <c r="AE14" s="40">
        <v>92.786999000000023</v>
      </c>
      <c r="AF14" s="40">
        <v>257.49194170000004</v>
      </c>
      <c r="AG14" s="40">
        <v>484.75533689999997</v>
      </c>
      <c r="AH14" s="40">
        <v>465.90717959999989</v>
      </c>
      <c r="AI14" s="40">
        <v>435.67190130000006</v>
      </c>
      <c r="AK14" s="53">
        <f t="shared" si="5"/>
        <v>17.812999999999999</v>
      </c>
      <c r="AL14" s="54">
        <f t="shared" si="6"/>
        <v>53.709691500000005</v>
      </c>
      <c r="AM14" s="54">
        <f t="shared" si="7"/>
        <v>1736.6133584999998</v>
      </c>
      <c r="AN14" s="123">
        <f t="shared" si="9"/>
        <v>1790.3230499999997</v>
      </c>
      <c r="AO14" s="44" t="s">
        <v>1389</v>
      </c>
      <c r="AP14" s="38" t="str">
        <f t="shared" si="2"/>
        <v>OH/UG</v>
      </c>
      <c r="AR14" s="43" t="s">
        <v>1407</v>
      </c>
      <c r="AS14" s="38" t="s">
        <v>1387</v>
      </c>
    </row>
    <row r="15" spans="1:48" ht="30" hidden="1">
      <c r="A15" s="38" t="str">
        <f t="shared" si="0"/>
        <v>AusNet</v>
      </c>
      <c r="B15" s="38" t="s">
        <v>1380</v>
      </c>
      <c r="C15" s="38" t="str">
        <f t="shared" si="3"/>
        <v>Zone Sub Maintenance-TRANSFORMERS - ZONE SUBSTATION</v>
      </c>
      <c r="D15" s="38" t="str">
        <f t="shared" si="4"/>
        <v>Zone Sub Maintenance-NUMBER OF ZONE SUBSTATION TRANSFORMERS (000'S)</v>
      </c>
      <c r="E15" s="423"/>
      <c r="F15" s="43" t="s">
        <v>414</v>
      </c>
      <c r="G15" s="43" t="s">
        <v>415</v>
      </c>
      <c r="H15" s="43" t="s">
        <v>416</v>
      </c>
      <c r="I15" s="41">
        <v>0.14699999999999999</v>
      </c>
      <c r="J15" s="41">
        <v>0.151</v>
      </c>
      <c r="K15" s="41">
        <v>0.154</v>
      </c>
      <c r="L15" s="41">
        <v>0.157</v>
      </c>
      <c r="M15" s="41">
        <v>0.159</v>
      </c>
      <c r="N15" s="41">
        <v>0.19600000000000001</v>
      </c>
      <c r="O15" s="41">
        <v>0.20100000000000001</v>
      </c>
      <c r="P15" s="41">
        <v>0.20599999999999999</v>
      </c>
      <c r="Q15" s="41">
        <v>0.21099999999999999</v>
      </c>
      <c r="R15" s="41">
        <v>0.214</v>
      </c>
      <c r="S15" s="41">
        <v>17.770049178261466</v>
      </c>
      <c r="T15" s="41">
        <v>17.770049178261466</v>
      </c>
      <c r="U15" s="41">
        <v>17.770049178261466</v>
      </c>
      <c r="V15" s="41">
        <v>17.770049178261466</v>
      </c>
      <c r="W15" s="41">
        <v>17.770049178261466</v>
      </c>
      <c r="X15" s="38">
        <v>1</v>
      </c>
      <c r="Y15" s="38">
        <v>3</v>
      </c>
      <c r="Z15" s="40">
        <v>118.13485600000001</v>
      </c>
      <c r="AA15" s="40">
        <v>63.171896000000011</v>
      </c>
      <c r="AB15" s="40">
        <v>48.227208000000005</v>
      </c>
      <c r="AC15" s="40">
        <v>54.948495999999999</v>
      </c>
      <c r="AD15" s="40">
        <v>43.362624000000004</v>
      </c>
      <c r="AE15" s="40">
        <v>29.533713999999996</v>
      </c>
      <c r="AF15" s="40">
        <v>15.792973999999999</v>
      </c>
      <c r="AG15" s="40">
        <v>12.056801999999998</v>
      </c>
      <c r="AH15" s="40">
        <v>13.737123999999996</v>
      </c>
      <c r="AI15" s="40">
        <v>10.840655999999997</v>
      </c>
      <c r="AK15" s="53">
        <f t="shared" si="5"/>
        <v>1.028</v>
      </c>
      <c r="AL15" s="54">
        <f t="shared" si="6"/>
        <v>327.84508</v>
      </c>
      <c r="AM15" s="54">
        <f t="shared" si="7"/>
        <v>81.961269999999985</v>
      </c>
      <c r="AN15" s="123">
        <f t="shared" si="9"/>
        <v>409.80634999999995</v>
      </c>
      <c r="AO15" s="44" t="s">
        <v>1390</v>
      </c>
      <c r="AP15" s="38" t="str">
        <f t="shared" si="2"/>
        <v>Zone Sub</v>
      </c>
      <c r="AR15" s="43" t="s">
        <v>1408</v>
      </c>
      <c r="AS15" s="38" t="s">
        <v>1387</v>
      </c>
    </row>
    <row r="16" spans="1:48" ht="45" hidden="1">
      <c r="A16" s="38" t="str">
        <f t="shared" si="0"/>
        <v>AusNet</v>
      </c>
      <c r="B16" s="38" t="s">
        <v>1380</v>
      </c>
      <c r="C16" s="38" t="str">
        <f t="shared" si="3"/>
        <v xml:space="preserve">Zone Sub Maintenance-TRANSFORMERS - DISTRIBUTION </v>
      </c>
      <c r="D16" s="38" t="str">
        <f t="shared" si="4"/>
        <v>Zone Sub Maintenance-NUMBER OF DISTRIBUTION TRANSFORMERS WITHIN ZONE SUBSTATIONS (000'S)</v>
      </c>
      <c r="E16" s="423"/>
      <c r="F16" s="43" t="s">
        <v>414</v>
      </c>
      <c r="G16" s="43" t="s">
        <v>417</v>
      </c>
      <c r="H16" s="43" t="s">
        <v>418</v>
      </c>
      <c r="I16" s="41">
        <v>0</v>
      </c>
      <c r="J16" s="41">
        <v>0</v>
      </c>
      <c r="K16" s="41">
        <v>0</v>
      </c>
      <c r="L16" s="41">
        <v>0</v>
      </c>
      <c r="M16" s="41">
        <v>0</v>
      </c>
      <c r="N16" s="41">
        <v>0</v>
      </c>
      <c r="O16" s="41">
        <v>0</v>
      </c>
      <c r="P16" s="41">
        <v>0</v>
      </c>
      <c r="Q16" s="41">
        <v>0</v>
      </c>
      <c r="R16" s="41">
        <v>0</v>
      </c>
      <c r="S16" s="41">
        <v>0</v>
      </c>
      <c r="T16" s="41">
        <v>0</v>
      </c>
      <c r="U16" s="41">
        <v>0</v>
      </c>
      <c r="V16" s="41">
        <v>0</v>
      </c>
      <c r="W16" s="41">
        <v>0</v>
      </c>
      <c r="X16" s="38">
        <v>0</v>
      </c>
      <c r="Y16" s="38">
        <v>0</v>
      </c>
      <c r="Z16" s="40">
        <v>0</v>
      </c>
      <c r="AA16" s="40">
        <v>0</v>
      </c>
      <c r="AB16" s="40">
        <v>0</v>
      </c>
      <c r="AC16" s="40">
        <v>0</v>
      </c>
      <c r="AD16" s="40">
        <v>0</v>
      </c>
      <c r="AE16" s="40">
        <v>0</v>
      </c>
      <c r="AF16" s="40">
        <v>0</v>
      </c>
      <c r="AG16" s="40">
        <v>0</v>
      </c>
      <c r="AH16" s="40">
        <v>0</v>
      </c>
      <c r="AI16" s="40">
        <v>0</v>
      </c>
      <c r="AK16" s="53">
        <f t="shared" si="5"/>
        <v>0</v>
      </c>
      <c r="AL16" s="54">
        <f t="shared" si="6"/>
        <v>0</v>
      </c>
      <c r="AM16" s="54">
        <f t="shared" si="7"/>
        <v>0</v>
      </c>
      <c r="AN16" s="123">
        <f t="shared" si="9"/>
        <v>0</v>
      </c>
      <c r="AO16" s="44" t="s">
        <v>1390</v>
      </c>
      <c r="AP16" s="38" t="str">
        <f t="shared" si="2"/>
        <v>Zone Sub</v>
      </c>
      <c r="AR16" s="43" t="s">
        <v>1409</v>
      </c>
      <c r="AS16" s="38" t="s">
        <v>1387</v>
      </c>
    </row>
    <row r="17" spans="1:45" ht="30" hidden="1">
      <c r="A17" s="38" t="str">
        <f t="shared" si="0"/>
        <v>AusNet</v>
      </c>
      <c r="B17" s="38" t="s">
        <v>1380</v>
      </c>
      <c r="C17" s="38" t="str">
        <f t="shared" si="3"/>
        <v>Zone Sub Maintenance-TRANSFORMERS - HV</v>
      </c>
      <c r="D17" s="38" t="str">
        <f t="shared" si="4"/>
        <v>Zone Sub Maintenance-NUMBER OF HV TRANSFORMERS (000'S)</v>
      </c>
      <c r="E17" s="423"/>
      <c r="F17" s="43" t="s">
        <v>414</v>
      </c>
      <c r="G17" s="43" t="s">
        <v>419</v>
      </c>
      <c r="H17" s="43" t="s">
        <v>420</v>
      </c>
      <c r="I17" s="41">
        <v>0</v>
      </c>
      <c r="J17" s="41">
        <v>0</v>
      </c>
      <c r="K17" s="41">
        <v>0</v>
      </c>
      <c r="L17" s="41">
        <v>0</v>
      </c>
      <c r="M17" s="41">
        <v>0</v>
      </c>
      <c r="N17" s="41">
        <v>0</v>
      </c>
      <c r="O17" s="41">
        <v>0</v>
      </c>
      <c r="P17" s="41">
        <v>0</v>
      </c>
      <c r="Q17" s="41">
        <v>0</v>
      </c>
      <c r="R17" s="41">
        <v>0</v>
      </c>
      <c r="S17" s="41">
        <v>0</v>
      </c>
      <c r="T17" s="41">
        <v>0</v>
      </c>
      <c r="U17" s="41">
        <v>0</v>
      </c>
      <c r="V17" s="41">
        <v>0</v>
      </c>
      <c r="W17" s="41">
        <v>0</v>
      </c>
      <c r="X17" s="38">
        <v>0</v>
      </c>
      <c r="Y17" s="38">
        <v>0</v>
      </c>
      <c r="Z17" s="40">
        <v>0</v>
      </c>
      <c r="AA17" s="40">
        <v>0</v>
      </c>
      <c r="AB17" s="40">
        <v>0</v>
      </c>
      <c r="AC17" s="40">
        <v>0</v>
      </c>
      <c r="AD17" s="40">
        <v>0</v>
      </c>
      <c r="AE17" s="40">
        <v>0</v>
      </c>
      <c r="AF17" s="40">
        <v>0</v>
      </c>
      <c r="AG17" s="40">
        <v>0</v>
      </c>
      <c r="AH17" s="40">
        <v>0</v>
      </c>
      <c r="AI17" s="40">
        <v>0</v>
      </c>
      <c r="AK17" s="53">
        <f t="shared" si="5"/>
        <v>0</v>
      </c>
      <c r="AL17" s="54">
        <f t="shared" si="6"/>
        <v>0</v>
      </c>
      <c r="AM17" s="54">
        <f t="shared" si="7"/>
        <v>0</v>
      </c>
      <c r="AN17" s="123">
        <f t="shared" si="9"/>
        <v>0</v>
      </c>
      <c r="AO17" s="44" t="s">
        <v>1390</v>
      </c>
      <c r="AP17" s="38" t="str">
        <f t="shared" si="2"/>
        <v>Zone Sub</v>
      </c>
      <c r="AR17" s="43" t="s">
        <v>1410</v>
      </c>
      <c r="AS17" s="38" t="s">
        <v>1387</v>
      </c>
    </row>
    <row r="18" spans="1:45" ht="30" hidden="1">
      <c r="A18" s="38" t="str">
        <f t="shared" si="0"/>
        <v>AusNet</v>
      </c>
      <c r="B18" s="38" t="s">
        <v>1380</v>
      </c>
      <c r="C18" s="38" t="str">
        <f t="shared" si="3"/>
        <v>Zone Sub Maintenance-ZONE SUBSTATION - OTHER EQUIPMENT</v>
      </c>
      <c r="D18" s="38" t="str">
        <f t="shared" si="4"/>
        <v>Zone Sub Maintenance-OTHER</v>
      </c>
      <c r="E18" s="423"/>
      <c r="F18" s="43" t="s">
        <v>414</v>
      </c>
      <c r="G18" s="43" t="s">
        <v>421</v>
      </c>
      <c r="H18" s="43" t="s">
        <v>434</v>
      </c>
      <c r="I18" s="41">
        <v>2.3249200000000001</v>
      </c>
      <c r="J18" s="41">
        <v>2.4906099999999998</v>
      </c>
      <c r="K18" s="41">
        <v>2.5195400000000001</v>
      </c>
      <c r="L18" s="41">
        <v>2.6431499999999994</v>
      </c>
      <c r="M18" s="41">
        <v>2.6562999999999999</v>
      </c>
      <c r="N18" s="41">
        <v>1.915</v>
      </c>
      <c r="O18" s="41">
        <v>2.052</v>
      </c>
      <c r="P18" s="41">
        <v>2.0760000000000001</v>
      </c>
      <c r="Q18" s="41">
        <v>2.1769999999999996</v>
      </c>
      <c r="R18" s="41">
        <v>2.1880000000000002</v>
      </c>
      <c r="S18" s="41">
        <v>15.934291730863578</v>
      </c>
      <c r="T18" s="41">
        <v>15.934291730863578</v>
      </c>
      <c r="U18" s="41">
        <v>15.934291730863578</v>
      </c>
      <c r="V18" s="41">
        <v>15.934291730863578</v>
      </c>
      <c r="W18" s="41">
        <v>15.934291730863578</v>
      </c>
      <c r="X18" s="38">
        <v>1</v>
      </c>
      <c r="Y18" s="38">
        <v>6</v>
      </c>
      <c r="Z18" s="40">
        <v>0</v>
      </c>
      <c r="AA18" s="40">
        <v>0</v>
      </c>
      <c r="AB18" s="40">
        <v>0</v>
      </c>
      <c r="AC18" s="40">
        <v>0</v>
      </c>
      <c r="AD18" s="40">
        <v>0</v>
      </c>
      <c r="AE18" s="40">
        <v>60.025439999999996</v>
      </c>
      <c r="AF18" s="40">
        <v>94.488569999999982</v>
      </c>
      <c r="AG18" s="40">
        <v>107.57204999999998</v>
      </c>
      <c r="AH18" s="40">
        <v>101.82074999999999</v>
      </c>
      <c r="AI18" s="40">
        <v>126.91067</v>
      </c>
      <c r="AK18" s="53">
        <f t="shared" si="5"/>
        <v>10.407999999999999</v>
      </c>
      <c r="AL18" s="54">
        <f t="shared" si="6"/>
        <v>0</v>
      </c>
      <c r="AM18" s="54">
        <f t="shared" si="7"/>
        <v>490.81747999999993</v>
      </c>
      <c r="AN18" s="123">
        <f t="shared" si="9"/>
        <v>490.81747999999993</v>
      </c>
      <c r="AO18" s="44" t="s">
        <v>1390</v>
      </c>
      <c r="AP18" s="38" t="str">
        <f t="shared" si="2"/>
        <v>Zone Sub</v>
      </c>
      <c r="AR18" s="43" t="s">
        <v>1411</v>
      </c>
      <c r="AS18" s="38" t="s">
        <v>1323</v>
      </c>
    </row>
    <row r="19" spans="1:45" ht="45" hidden="1">
      <c r="A19" s="38" t="str">
        <f t="shared" si="0"/>
        <v>AusNet</v>
      </c>
      <c r="B19" s="38" t="s">
        <v>1380</v>
      </c>
      <c r="C19" s="38" t="str">
        <f t="shared" si="3"/>
        <v>Zone Sub Maintenance-ALL ZONE SUBSTATION PROPERTIES</v>
      </c>
      <c r="D19" s="38" t="str">
        <f t="shared" si="4"/>
        <v>Zone Sub Maintenance-NUMBER OF ZONE SUBSTATION PROPERTIES MAINTAINED (000'S)</v>
      </c>
      <c r="E19" s="423"/>
      <c r="F19" s="43" t="s">
        <v>422</v>
      </c>
      <c r="G19" s="43" t="s">
        <v>423</v>
      </c>
      <c r="H19" s="43" t="s">
        <v>424</v>
      </c>
      <c r="I19" s="41">
        <v>6.6000000000000003E-2</v>
      </c>
      <c r="J19" s="41">
        <v>6.7000000000000004E-2</v>
      </c>
      <c r="K19" s="41">
        <v>6.8000000000000005E-2</v>
      </c>
      <c r="L19" s="41">
        <v>6.9000000000000006E-2</v>
      </c>
      <c r="M19" s="41">
        <v>7.0000000000000007E-2</v>
      </c>
      <c r="N19" s="41">
        <v>0.39600000000000002</v>
      </c>
      <c r="O19" s="41">
        <v>0.40200000000000002</v>
      </c>
      <c r="P19" s="41">
        <v>0.40800000000000003</v>
      </c>
      <c r="Q19" s="41">
        <v>0.41400000000000003</v>
      </c>
      <c r="R19" s="41">
        <v>0.42000000000000004</v>
      </c>
      <c r="S19" s="41">
        <v>40</v>
      </c>
      <c r="T19" s="41">
        <v>40</v>
      </c>
      <c r="U19" s="41">
        <v>40</v>
      </c>
      <c r="V19" s="41">
        <v>40</v>
      </c>
      <c r="W19" s="41">
        <v>40</v>
      </c>
      <c r="X19" s="38">
        <v>0.25</v>
      </c>
      <c r="Y19" s="38">
        <v>0.5</v>
      </c>
      <c r="Z19" s="40">
        <v>1490.1401759999999</v>
      </c>
      <c r="AA19" s="40">
        <v>1773.7439280000003</v>
      </c>
      <c r="AB19" s="40">
        <v>1688.7342080000003</v>
      </c>
      <c r="AC19" s="40">
        <v>1360.0270959999998</v>
      </c>
      <c r="AD19" s="40">
        <v>2008.6004480000001</v>
      </c>
      <c r="AE19" s="40">
        <v>372.53504399999986</v>
      </c>
      <c r="AF19" s="40">
        <v>443.43598199999997</v>
      </c>
      <c r="AG19" s="40">
        <v>422.18355199999996</v>
      </c>
      <c r="AH19" s="40">
        <v>340.00677399999989</v>
      </c>
      <c r="AI19" s="40">
        <v>502.15011199999992</v>
      </c>
      <c r="AK19" s="53">
        <f t="shared" si="5"/>
        <v>2.04</v>
      </c>
      <c r="AL19" s="54">
        <f t="shared" si="6"/>
        <v>8321.2458560000014</v>
      </c>
      <c r="AM19" s="54">
        <f t="shared" si="7"/>
        <v>2080.3114639999994</v>
      </c>
      <c r="AN19" s="123">
        <f t="shared" si="9"/>
        <v>10401.55732</v>
      </c>
      <c r="AO19" s="44" t="s">
        <v>1390</v>
      </c>
      <c r="AP19" s="38" t="str">
        <f t="shared" si="2"/>
        <v>Zone Sub</v>
      </c>
      <c r="AR19" s="43" t="s">
        <v>1412</v>
      </c>
      <c r="AS19" s="38" t="s">
        <v>1323</v>
      </c>
    </row>
    <row r="20" spans="1:45" ht="30" hidden="1">
      <c r="A20" s="38" t="str">
        <f t="shared" si="0"/>
        <v>AusNet</v>
      </c>
      <c r="B20" s="38" t="s">
        <v>1193</v>
      </c>
      <c r="C20" s="38" t="str">
        <f t="shared" si="3"/>
        <v>Public Lighting Maintenance-MINOR ROADS</v>
      </c>
      <c r="D20" s="38" t="str">
        <f t="shared" si="4"/>
        <v>Public Lighting Maintenance-NUMBER OF PUBLIC LIGHTS MAINTAINED (000'S)</v>
      </c>
      <c r="E20" s="423"/>
      <c r="F20" s="43" t="s">
        <v>425</v>
      </c>
      <c r="G20" s="43" t="s">
        <v>426</v>
      </c>
      <c r="H20" s="43" t="s">
        <v>427</v>
      </c>
      <c r="I20" s="41">
        <v>0</v>
      </c>
      <c r="J20" s="41">
        <v>0</v>
      </c>
      <c r="K20" s="41">
        <v>0</v>
      </c>
      <c r="L20" s="41">
        <v>0</v>
      </c>
      <c r="M20" s="41">
        <v>0</v>
      </c>
      <c r="N20" s="41">
        <v>0</v>
      </c>
      <c r="O20" s="41">
        <v>0</v>
      </c>
      <c r="P20" s="41">
        <v>0</v>
      </c>
      <c r="Q20" s="41">
        <v>0</v>
      </c>
      <c r="S20" s="41">
        <v>0</v>
      </c>
      <c r="T20" s="41">
        <v>0</v>
      </c>
      <c r="U20" s="41">
        <v>0</v>
      </c>
      <c r="V20" s="41">
        <v>0</v>
      </c>
      <c r="W20" s="41">
        <v>0</v>
      </c>
      <c r="X20" s="38">
        <v>0</v>
      </c>
      <c r="Y20" s="38">
        <v>0</v>
      </c>
      <c r="Z20" s="40">
        <v>0</v>
      </c>
      <c r="AA20" s="40">
        <v>0</v>
      </c>
      <c r="AB20" s="40">
        <v>0</v>
      </c>
      <c r="AC20" s="40">
        <v>0</v>
      </c>
      <c r="AD20" s="40">
        <v>0</v>
      </c>
      <c r="AE20" s="40">
        <v>0</v>
      </c>
      <c r="AF20" s="40">
        <v>0</v>
      </c>
      <c r="AG20" s="40">
        <v>0</v>
      </c>
      <c r="AH20" s="40">
        <v>0</v>
      </c>
      <c r="AI20" s="40">
        <v>0</v>
      </c>
      <c r="AK20" s="53">
        <f t="shared" si="5"/>
        <v>0</v>
      </c>
      <c r="AL20" s="54">
        <f t="shared" si="6"/>
        <v>0</v>
      </c>
      <c r="AM20" s="54">
        <f t="shared" si="7"/>
        <v>0</v>
      </c>
      <c r="AN20" s="123">
        <f t="shared" si="9"/>
        <v>0</v>
      </c>
      <c r="AO20" s="44" t="s">
        <v>1389</v>
      </c>
      <c r="AP20" s="38" t="str">
        <f t="shared" si="2"/>
        <v>Public Lighting</v>
      </c>
      <c r="AR20" s="43" t="s">
        <v>1413</v>
      </c>
      <c r="AS20" s="38" t="s">
        <v>1387</v>
      </c>
    </row>
    <row r="21" spans="1:45" ht="30" hidden="1">
      <c r="A21" s="38" t="str">
        <f t="shared" si="0"/>
        <v>AusNet</v>
      </c>
      <c r="B21" s="38" t="s">
        <v>1193</v>
      </c>
      <c r="C21" s="38" t="str">
        <f t="shared" si="3"/>
        <v>Public Lighting Maintenance-MAJOR ROADS</v>
      </c>
      <c r="D21" s="38" t="str">
        <f t="shared" si="4"/>
        <v>Public Lighting Maintenance-NUMBER OF PUBLIC LIGHTS MAINTAINED (000'S)</v>
      </c>
      <c r="E21" s="423"/>
      <c r="F21" s="43" t="s">
        <v>425</v>
      </c>
      <c r="G21" s="43" t="s">
        <v>428</v>
      </c>
      <c r="H21" s="43" t="s">
        <v>427</v>
      </c>
      <c r="I21" s="41">
        <v>0</v>
      </c>
      <c r="J21" s="41">
        <v>0</v>
      </c>
      <c r="K21" s="41">
        <v>0</v>
      </c>
      <c r="L21" s="41">
        <v>0</v>
      </c>
      <c r="M21" s="41">
        <v>0</v>
      </c>
      <c r="N21" s="41">
        <v>0</v>
      </c>
      <c r="O21" s="41">
        <v>0</v>
      </c>
      <c r="P21" s="41">
        <v>0</v>
      </c>
      <c r="R21" s="41">
        <v>0</v>
      </c>
      <c r="S21" s="41">
        <v>0</v>
      </c>
      <c r="U21" s="41">
        <v>0</v>
      </c>
      <c r="V21" s="41">
        <v>0</v>
      </c>
      <c r="W21" s="41">
        <v>0</v>
      </c>
      <c r="X21" s="38">
        <v>0</v>
      </c>
      <c r="Y21" s="38">
        <v>0</v>
      </c>
      <c r="Z21" s="40">
        <v>0</v>
      </c>
      <c r="AA21" s="40">
        <v>0</v>
      </c>
      <c r="AB21" s="40">
        <v>0</v>
      </c>
      <c r="AC21" s="40">
        <v>0</v>
      </c>
      <c r="AD21" s="40">
        <v>0</v>
      </c>
      <c r="AE21" s="40">
        <v>0</v>
      </c>
      <c r="AF21" s="40">
        <v>0</v>
      </c>
      <c r="AG21" s="40">
        <v>0</v>
      </c>
      <c r="AH21" s="40">
        <v>0</v>
      </c>
      <c r="AI21" s="40">
        <v>0</v>
      </c>
      <c r="AK21" s="53">
        <f t="shared" si="5"/>
        <v>0</v>
      </c>
      <c r="AL21" s="54">
        <f t="shared" si="6"/>
        <v>0</v>
      </c>
      <c r="AM21" s="54">
        <f t="shared" si="7"/>
        <v>0</v>
      </c>
      <c r="AN21" s="123">
        <f t="shared" si="9"/>
        <v>0</v>
      </c>
      <c r="AO21" s="44" t="s">
        <v>1389</v>
      </c>
      <c r="AP21" s="38" t="str">
        <f t="shared" si="2"/>
        <v>Public Lighting</v>
      </c>
      <c r="AR21" s="43" t="s">
        <v>1414</v>
      </c>
      <c r="AS21" s="38" t="s">
        <v>1387</v>
      </c>
    </row>
    <row r="22" spans="1:45" ht="60" hidden="1">
      <c r="A22" s="38" t="str">
        <f t="shared" si="0"/>
        <v>AusNet</v>
      </c>
      <c r="B22" s="38" t="s">
        <v>1194</v>
      </c>
      <c r="C22" s="38" t="str">
        <f t="shared" si="3"/>
        <v>SCADA Maintenance-SCADA &amp; NETWORK CONTROL MAINTENANCE</v>
      </c>
      <c r="D22" s="38" t="str">
        <f t="shared" si="4"/>
        <v>SCADA Maintenance-FIELD DEVICES, LOCAL NETWORK WIRING ASSETS and COMMUNICATIONS NETWORK ASSETS</v>
      </c>
      <c r="E22" s="423"/>
      <c r="F22" s="43" t="s">
        <v>429</v>
      </c>
      <c r="G22" s="43" t="s">
        <v>429</v>
      </c>
      <c r="H22" s="43" t="s">
        <v>435</v>
      </c>
      <c r="I22" s="41">
        <v>3.2489999999999992</v>
      </c>
      <c r="J22" s="41">
        <v>4.988999999999999</v>
      </c>
      <c r="K22" s="41">
        <v>5.2349999999999994</v>
      </c>
      <c r="L22" s="41">
        <v>5.5759999999999996</v>
      </c>
      <c r="M22" s="41">
        <v>6.6120000000000001</v>
      </c>
      <c r="N22" s="41">
        <v>0.42533333333333334</v>
      </c>
      <c r="O22" s="41">
        <v>1.2743333333333333</v>
      </c>
      <c r="P22" s="41">
        <v>1.4406666666666668</v>
      </c>
      <c r="Q22" s="41">
        <v>1.6576666666666666</v>
      </c>
      <c r="R22" s="41">
        <v>2.2040000000000002</v>
      </c>
      <c r="S22" s="41">
        <v>3.4518015117603973</v>
      </c>
      <c r="T22" s="41">
        <v>3.4518015117603973</v>
      </c>
      <c r="U22" s="41">
        <v>3.4518015117603973</v>
      </c>
      <c r="V22" s="41">
        <v>3.4518015117603973</v>
      </c>
      <c r="W22" s="41">
        <v>3.4518015117603973</v>
      </c>
      <c r="X22" s="38">
        <v>6</v>
      </c>
      <c r="Y22" s="38">
        <v>6</v>
      </c>
      <c r="Z22" s="40">
        <v>85.530736000000005</v>
      </c>
      <c r="AA22" s="40">
        <v>123.65625600000003</v>
      </c>
      <c r="AB22" s="40">
        <v>29.776602000000004</v>
      </c>
      <c r="AC22" s="40">
        <v>56.904528000000006</v>
      </c>
      <c r="AD22" s="40">
        <v>61.136535999999985</v>
      </c>
      <c r="AE22" s="40">
        <v>18.307201999999993</v>
      </c>
      <c r="AF22" s="40">
        <v>20.113937999999997</v>
      </c>
      <c r="AG22" s="40">
        <v>5.0446619999999998</v>
      </c>
      <c r="AH22" s="40">
        <v>10.965685999999996</v>
      </c>
      <c r="AI22" s="40">
        <v>9.6251499999999943</v>
      </c>
      <c r="AK22" s="53">
        <f t="shared" si="5"/>
        <v>7.0020000000000007</v>
      </c>
      <c r="AL22" s="54">
        <f t="shared" si="6"/>
        <v>357.00465800000001</v>
      </c>
      <c r="AM22" s="54">
        <f t="shared" si="7"/>
        <v>64.056637999999992</v>
      </c>
      <c r="AN22" s="123">
        <f t="shared" si="9"/>
        <v>421.06129599999997</v>
      </c>
      <c r="AO22" s="44" t="s">
        <v>1390</v>
      </c>
      <c r="AP22" s="38" t="str">
        <f t="shared" si="2"/>
        <v>Zone Sub</v>
      </c>
      <c r="AR22" s="43" t="s">
        <v>1415</v>
      </c>
      <c r="AS22" s="38" t="s">
        <v>1391</v>
      </c>
    </row>
    <row r="23" spans="1:45" ht="30" hidden="1">
      <c r="A23" s="38" t="str">
        <f t="shared" si="0"/>
        <v>AusNet</v>
      </c>
      <c r="B23" s="38" t="s">
        <v>1195</v>
      </c>
      <c r="C23" s="38" t="str">
        <f t="shared" si="3"/>
        <v>Protection Maintenance-PROTECTION SYSTEMS MAINTENANCE</v>
      </c>
      <c r="D23" s="38" t="str">
        <f t="shared" si="4"/>
        <v>Protection Maintenance-RELAYS AND BATTERIES</v>
      </c>
      <c r="E23" s="423"/>
      <c r="F23" s="43" t="s">
        <v>430</v>
      </c>
      <c r="G23" s="43" t="s">
        <v>430</v>
      </c>
      <c r="H23" s="43" t="s">
        <v>436</v>
      </c>
      <c r="I23" s="41">
        <v>3.11</v>
      </c>
      <c r="J23" s="41">
        <v>3.3140000000000001</v>
      </c>
      <c r="K23" s="41">
        <v>3.407</v>
      </c>
      <c r="L23" s="41">
        <v>3.4949999999999997</v>
      </c>
      <c r="M23" s="41">
        <v>3.843</v>
      </c>
      <c r="N23" s="41">
        <v>0.8783333333333333</v>
      </c>
      <c r="O23" s="41">
        <v>0.97800000000000009</v>
      </c>
      <c r="P23" s="41">
        <v>1.0410000000000001</v>
      </c>
      <c r="Q23" s="41">
        <v>1.0973333333333333</v>
      </c>
      <c r="R23" s="41">
        <v>1.2809999999999999</v>
      </c>
      <c r="S23" s="41">
        <v>13.662730754000144</v>
      </c>
      <c r="T23" s="41">
        <v>13.662730754000144</v>
      </c>
      <c r="U23" s="41">
        <v>13.662730754000144</v>
      </c>
      <c r="V23" s="41">
        <v>13.662730754000144</v>
      </c>
      <c r="W23" s="41">
        <v>13.662730754000144</v>
      </c>
      <c r="X23" s="38">
        <v>6</v>
      </c>
      <c r="Y23" s="38">
        <v>6</v>
      </c>
      <c r="Z23" s="40">
        <v>0</v>
      </c>
      <c r="AA23" s="40">
        <v>0</v>
      </c>
      <c r="AB23" s="40">
        <v>0</v>
      </c>
      <c r="AC23" s="40">
        <v>0</v>
      </c>
      <c r="AD23" s="40">
        <v>0</v>
      </c>
      <c r="AE23" s="40">
        <v>49.207712000000008</v>
      </c>
      <c r="AF23" s="40">
        <v>172.80201600000004</v>
      </c>
      <c r="AG23" s="40">
        <v>38.391816000000006</v>
      </c>
      <c r="AH23" s="40">
        <v>52.167136000000013</v>
      </c>
      <c r="AI23" s="40">
        <v>90.543743999999975</v>
      </c>
      <c r="AK23" s="53">
        <f t="shared" si="5"/>
        <v>5.2756666666666669</v>
      </c>
      <c r="AL23" s="54">
        <f t="shared" si="6"/>
        <v>0</v>
      </c>
      <c r="AM23" s="54">
        <f t="shared" si="7"/>
        <v>403.11242400000003</v>
      </c>
      <c r="AN23" s="123">
        <f t="shared" si="9"/>
        <v>403.11242400000003</v>
      </c>
      <c r="AO23" s="44" t="s">
        <v>1390</v>
      </c>
      <c r="AP23" s="38" t="str">
        <f t="shared" si="2"/>
        <v>Zone Sub</v>
      </c>
      <c r="AR23" s="43" t="s">
        <v>1416</v>
      </c>
      <c r="AS23" s="38" t="s">
        <v>1439</v>
      </c>
    </row>
    <row r="24" spans="1:45" ht="60" hidden="1">
      <c r="A24" s="38" t="str">
        <f t="shared" si="0"/>
        <v>AusNet</v>
      </c>
      <c r="B24" s="38" t="s">
        <v>1196</v>
      </c>
      <c r="C24" s="38" t="str">
        <f t="shared" si="3"/>
        <v>Subtrans Maintenance-SUBTRANSMISSION ASSET MAINTENANCE - FOR DNSPS WITH DUAL FUNCTION ASSETS</v>
      </c>
      <c r="D24" s="38" t="str">
        <f t="shared" si="4"/>
        <v>Subtrans Maintenance-DNSP TO NOMINATE</v>
      </c>
      <c r="E24" s="423"/>
      <c r="F24" s="43" t="s">
        <v>431</v>
      </c>
      <c r="G24" s="43" t="s">
        <v>431</v>
      </c>
      <c r="H24" s="43" t="s">
        <v>411</v>
      </c>
      <c r="I24" s="41">
        <v>0</v>
      </c>
      <c r="J24" s="41">
        <v>0</v>
      </c>
      <c r="K24" s="41">
        <v>0</v>
      </c>
      <c r="L24" s="41">
        <v>0</v>
      </c>
      <c r="M24" s="41">
        <v>0</v>
      </c>
      <c r="N24" s="41">
        <v>0</v>
      </c>
      <c r="O24" s="41">
        <v>0</v>
      </c>
      <c r="P24" s="41">
        <v>0</v>
      </c>
      <c r="Q24" s="41">
        <v>0</v>
      </c>
      <c r="R24" s="41">
        <v>0</v>
      </c>
      <c r="S24" s="41">
        <v>0</v>
      </c>
      <c r="T24" s="41">
        <v>0</v>
      </c>
      <c r="U24" s="41">
        <v>0</v>
      </c>
      <c r="V24" s="41">
        <v>0</v>
      </c>
      <c r="W24" s="41">
        <v>0</v>
      </c>
      <c r="X24" s="38">
        <v>0</v>
      </c>
      <c r="Y24" s="38">
        <v>0</v>
      </c>
      <c r="Z24" s="40">
        <v>0</v>
      </c>
      <c r="AA24" s="40">
        <v>0</v>
      </c>
      <c r="AB24" s="40">
        <v>0</v>
      </c>
      <c r="AC24" s="40">
        <v>0</v>
      </c>
      <c r="AD24" s="40">
        <v>0</v>
      </c>
      <c r="AE24" s="40">
        <v>0</v>
      </c>
      <c r="AF24" s="40">
        <v>0</v>
      </c>
      <c r="AG24" s="40">
        <v>0</v>
      </c>
      <c r="AH24" s="40">
        <v>0</v>
      </c>
      <c r="AI24" s="40">
        <v>0</v>
      </c>
      <c r="AK24" s="53">
        <f t="shared" si="5"/>
        <v>0</v>
      </c>
      <c r="AL24" s="54">
        <f t="shared" si="6"/>
        <v>0</v>
      </c>
      <c r="AM24" s="54">
        <f t="shared" si="7"/>
        <v>0</v>
      </c>
      <c r="AN24" s="123">
        <f t="shared" si="9"/>
        <v>0</v>
      </c>
      <c r="AO24" s="44" t="s">
        <v>1389</v>
      </c>
      <c r="AP24" s="38" t="str">
        <f t="shared" si="2"/>
        <v>OH/UG</v>
      </c>
      <c r="AR24" s="43" t="s">
        <v>1418</v>
      </c>
      <c r="AS24" s="38" t="s">
        <v>1439</v>
      </c>
    </row>
    <row r="25" spans="1:45" hidden="1">
      <c r="A25" s="38" t="str">
        <f t="shared" si="0"/>
        <v>AusNet</v>
      </c>
      <c r="C25" s="38" t="str">
        <f t="shared" si="3"/>
        <v>-Duplicates</v>
      </c>
      <c r="D25" s="38" t="str">
        <f t="shared" si="4"/>
        <v>-</v>
      </c>
      <c r="E25" s="424"/>
      <c r="G25" s="43" t="s">
        <v>1184</v>
      </c>
      <c r="Z25" s="40">
        <v>-505.20217999999988</v>
      </c>
      <c r="AA25" s="40">
        <v>-598.34275999999988</v>
      </c>
      <c r="AB25" s="40">
        <v>-529.06673499999999</v>
      </c>
      <c r="AC25" s="40">
        <v>-85.306312999999989</v>
      </c>
      <c r="AD25" s="40">
        <v>-82.439373000000018</v>
      </c>
      <c r="AE25" s="40">
        <v>-505.20217999999988</v>
      </c>
      <c r="AF25" s="40">
        <v>-598.34275999999988</v>
      </c>
      <c r="AG25" s="40">
        <v>-529.06673499999999</v>
      </c>
      <c r="AH25" s="40">
        <v>-767.75681699999996</v>
      </c>
      <c r="AI25" s="40">
        <v>-741.95435700000007</v>
      </c>
      <c r="AK25" s="53">
        <f t="shared" si="5"/>
        <v>0</v>
      </c>
      <c r="AL25" s="54">
        <f t="shared" si="6"/>
        <v>-1800.3573609999996</v>
      </c>
      <c r="AM25" s="54">
        <f t="shared" si="7"/>
        <v>-3142.3228489999997</v>
      </c>
      <c r="AN25" s="123">
        <f t="shared" si="9"/>
        <v>-4942.6802099999995</v>
      </c>
      <c r="AO25" s="44" t="s">
        <v>1389</v>
      </c>
      <c r="AP25" s="38" t="str">
        <f t="shared" si="2"/>
        <v>Exclude</v>
      </c>
      <c r="AR25" s="43" t="s">
        <v>1419</v>
      </c>
      <c r="AS25" s="38" t="s">
        <v>1387</v>
      </c>
    </row>
    <row r="26" spans="1:45" ht="30">
      <c r="A26" s="38" t="str">
        <f>IF(E26&gt;0,E26,#REF!)</f>
        <v>Powercor</v>
      </c>
      <c r="B26" s="38" t="s">
        <v>1189</v>
      </c>
      <c r="C26" s="38" t="str">
        <f t="shared" si="3"/>
        <v>OH Maintenance-POLE TOPS AND OVERHEAD LINES</v>
      </c>
      <c r="D26" s="38" t="str">
        <f t="shared" si="4"/>
        <v>OH Maintenance-NUMBER OF POLES (000'S)</v>
      </c>
      <c r="E26" s="415" t="s">
        <v>310</v>
      </c>
      <c r="F26" s="43" t="s">
        <v>388</v>
      </c>
      <c r="G26" s="43" t="s">
        <v>389</v>
      </c>
      <c r="H26" s="43" t="s">
        <v>390</v>
      </c>
      <c r="I26" s="41">
        <v>484.68099999999998</v>
      </c>
      <c r="J26" s="41">
        <v>485.72899999999998</v>
      </c>
      <c r="K26" s="41">
        <v>486.84</v>
      </c>
      <c r="L26" s="41">
        <v>487.50799999999998</v>
      </c>
      <c r="M26" s="41">
        <v>487.68599999999998</v>
      </c>
      <c r="N26" s="41">
        <v>13.647</v>
      </c>
      <c r="O26" s="41">
        <v>19.027999999999999</v>
      </c>
      <c r="P26" s="41">
        <v>22.515000000000001</v>
      </c>
      <c r="Q26" s="41">
        <v>17.053999999999998</v>
      </c>
      <c r="R26" s="41">
        <v>23.25</v>
      </c>
      <c r="S26" s="41">
        <v>32.21</v>
      </c>
      <c r="T26" s="41">
        <v>33.21</v>
      </c>
      <c r="U26" s="41">
        <v>34.21</v>
      </c>
      <c r="V26" s="41">
        <v>34.53</v>
      </c>
      <c r="W26" s="41">
        <v>34.15</v>
      </c>
      <c r="X26" s="38">
        <v>5</v>
      </c>
      <c r="Y26" s="38">
        <v>5</v>
      </c>
      <c r="Z26" s="40">
        <v>0</v>
      </c>
      <c r="AA26" s="40">
        <v>0</v>
      </c>
      <c r="AB26" s="40">
        <v>0</v>
      </c>
      <c r="AC26" s="40">
        <v>0</v>
      </c>
      <c r="AD26" s="40">
        <v>0</v>
      </c>
      <c r="AE26" s="40">
        <v>9309.764610952665</v>
      </c>
      <c r="AF26" s="40">
        <v>11674.236341338825</v>
      </c>
      <c r="AG26" s="40">
        <v>11079.333786933894</v>
      </c>
      <c r="AH26" s="40">
        <v>8834.0738253162235</v>
      </c>
      <c r="AI26" s="40">
        <v>12528.260814980702</v>
      </c>
      <c r="AK26" s="53">
        <f t="shared" si="5"/>
        <v>95.494</v>
      </c>
      <c r="AL26" s="54">
        <f t="shared" si="6"/>
        <v>0</v>
      </c>
      <c r="AM26" s="54">
        <f t="shared" si="7"/>
        <v>53425.669379522311</v>
      </c>
      <c r="AN26" s="123">
        <f t="shared" si="9"/>
        <v>53425.669379522311</v>
      </c>
      <c r="AO26" s="44" t="s">
        <v>1389</v>
      </c>
      <c r="AP26" s="38" t="str">
        <f t="shared" si="2"/>
        <v>OH</v>
      </c>
      <c r="AR26" s="43" t="s">
        <v>1420</v>
      </c>
      <c r="AS26" s="38" t="s">
        <v>1387</v>
      </c>
    </row>
    <row r="27" spans="1:45" ht="30">
      <c r="A27" s="38" t="str">
        <f t="shared" si="0"/>
        <v>Powercor</v>
      </c>
      <c r="B27" s="38" t="s">
        <v>1189</v>
      </c>
      <c r="C27" s="38" t="str">
        <f t="shared" si="3"/>
        <v>OH Maintenance-SERVICE LINES</v>
      </c>
      <c r="D27" s="38" t="str">
        <f t="shared" si="4"/>
        <v>OH Maintenance-NUMBER OF CUSTOMERS (000'S)</v>
      </c>
      <c r="E27" s="416"/>
      <c r="F27" s="43" t="s">
        <v>388</v>
      </c>
      <c r="G27" s="43" t="s">
        <v>391</v>
      </c>
      <c r="H27" s="43" t="s">
        <v>392</v>
      </c>
      <c r="I27" s="41">
        <v>701.00454183504803</v>
      </c>
      <c r="J27" s="41">
        <v>715.21969663430502</v>
      </c>
      <c r="K27" s="41">
        <v>731.28152706414198</v>
      </c>
      <c r="L27" s="41">
        <v>743.56151547834099</v>
      </c>
      <c r="M27" s="41">
        <v>753.91341676783895</v>
      </c>
      <c r="N27" s="41">
        <v>1.3740000000000001</v>
      </c>
      <c r="O27" s="41">
        <v>1.8560000000000001</v>
      </c>
      <c r="P27" s="41">
        <v>1.597</v>
      </c>
      <c r="Q27" s="41">
        <v>2.0099999999999998</v>
      </c>
      <c r="R27" s="41">
        <v>2.2440000000000002</v>
      </c>
      <c r="S27" s="41">
        <v>40.380000000000003</v>
      </c>
      <c r="T27" s="41">
        <v>41.38</v>
      </c>
      <c r="U27" s="41">
        <v>42.38</v>
      </c>
      <c r="V27" s="41">
        <v>36.36</v>
      </c>
      <c r="W27" s="41">
        <v>36.270000000000003</v>
      </c>
      <c r="X27" s="38">
        <v>5</v>
      </c>
      <c r="Y27" s="38">
        <v>5</v>
      </c>
      <c r="Z27" s="40">
        <v>0</v>
      </c>
      <c r="AA27" s="40">
        <v>0</v>
      </c>
      <c r="AB27" s="40">
        <v>0</v>
      </c>
      <c r="AC27" s="40">
        <v>0</v>
      </c>
      <c r="AD27" s="40">
        <v>0</v>
      </c>
      <c r="AE27" s="40">
        <v>937.3221090473337</v>
      </c>
      <c r="AF27" s="40">
        <v>1138.7151886611759</v>
      </c>
      <c r="AG27" s="40">
        <v>785.8625830661083</v>
      </c>
      <c r="AH27" s="40">
        <v>1041.1920012246751</v>
      </c>
      <c r="AI27" s="40">
        <v>1209.17923736846</v>
      </c>
      <c r="AK27" s="53">
        <f t="shared" si="5"/>
        <v>9.0809999999999995</v>
      </c>
      <c r="AL27" s="54">
        <f t="shared" si="6"/>
        <v>0</v>
      </c>
      <c r="AM27" s="54">
        <f t="shared" si="7"/>
        <v>5112.2711193677533</v>
      </c>
      <c r="AN27" s="123">
        <f t="shared" si="9"/>
        <v>5112.2711193677533</v>
      </c>
      <c r="AO27" s="44" t="s">
        <v>1389</v>
      </c>
      <c r="AP27" s="38" t="str">
        <f t="shared" si="2"/>
        <v>Service Lines</v>
      </c>
      <c r="AR27" s="43" t="s">
        <v>1421</v>
      </c>
      <c r="AS27" s="38" t="s">
        <v>1387</v>
      </c>
    </row>
    <row r="28" spans="1:45">
      <c r="A28" s="38" t="str">
        <f t="shared" si="0"/>
        <v>Powercor</v>
      </c>
      <c r="B28" s="38" t="s">
        <v>1190</v>
      </c>
      <c r="C28" s="38" t="str">
        <f t="shared" si="3"/>
        <v>Pole Inspection-ALL POLES</v>
      </c>
      <c r="D28" s="38" t="str">
        <f t="shared" si="4"/>
        <v>Pole Inspection-NUMBER OF POLES (000'S)</v>
      </c>
      <c r="E28" s="416"/>
      <c r="F28" s="43" t="s">
        <v>393</v>
      </c>
      <c r="G28" s="43" t="s">
        <v>394</v>
      </c>
      <c r="H28" s="43" t="s">
        <v>390</v>
      </c>
      <c r="I28" s="41">
        <v>484.68099999999998</v>
      </c>
      <c r="J28" s="41">
        <v>485.72899999999998</v>
      </c>
      <c r="K28" s="41">
        <v>486.84</v>
      </c>
      <c r="L28" s="41">
        <v>487.50799999999998</v>
      </c>
      <c r="M28" s="41">
        <v>487.68599999999998</v>
      </c>
      <c r="N28" s="41">
        <v>116.76300000000001</v>
      </c>
      <c r="O28" s="41">
        <v>134.309</v>
      </c>
      <c r="P28" s="41">
        <v>132.40799999999999</v>
      </c>
      <c r="Q28" s="41">
        <v>174.12100000000001</v>
      </c>
      <c r="R28" s="41">
        <v>196.94300000000001</v>
      </c>
      <c r="S28" s="41">
        <v>32.21</v>
      </c>
      <c r="T28" s="41">
        <v>33.21</v>
      </c>
      <c r="U28" s="41">
        <v>34.21</v>
      </c>
      <c r="V28" s="41">
        <v>34.53</v>
      </c>
      <c r="W28" s="41">
        <v>34.15</v>
      </c>
      <c r="X28" s="38">
        <v>5</v>
      </c>
      <c r="Y28" s="38">
        <v>5</v>
      </c>
      <c r="Z28" s="40">
        <v>6803.949418576768</v>
      </c>
      <c r="AA28" s="40">
        <v>6534.7230072407046</v>
      </c>
      <c r="AB28" s="40">
        <v>7088.4397293717848</v>
      </c>
      <c r="AC28" s="40">
        <v>9310.1630797437865</v>
      </c>
      <c r="AD28" s="40">
        <v>10636.892284615296</v>
      </c>
      <c r="AE28" s="40">
        <v>0</v>
      </c>
      <c r="AF28" s="40">
        <v>0</v>
      </c>
      <c r="AG28" s="40">
        <v>0</v>
      </c>
      <c r="AH28" s="40">
        <v>0</v>
      </c>
      <c r="AI28" s="40">
        <v>0</v>
      </c>
      <c r="AK28" s="53">
        <f t="shared" si="5"/>
        <v>754.54399999999998</v>
      </c>
      <c r="AL28" s="54">
        <f t="shared" si="6"/>
        <v>40374.16751954834</v>
      </c>
      <c r="AM28" s="54">
        <f t="shared" si="7"/>
        <v>0</v>
      </c>
      <c r="AN28" s="123">
        <f t="shared" si="9"/>
        <v>40374.16751954834</v>
      </c>
      <c r="AO28" s="44" t="s">
        <v>1389</v>
      </c>
      <c r="AP28" s="38" t="str">
        <f t="shared" si="2"/>
        <v>OH</v>
      </c>
      <c r="AR28" s="43" t="s">
        <v>1422</v>
      </c>
      <c r="AS28" s="38" t="s">
        <v>1393</v>
      </c>
    </row>
    <row r="29" spans="1:45" ht="30">
      <c r="A29" s="38" t="str">
        <f t="shared" si="0"/>
        <v>Powercor</v>
      </c>
      <c r="B29" s="38" t="s">
        <v>1191</v>
      </c>
      <c r="C29" s="38" t="str">
        <f t="shared" si="3"/>
        <v>OH Asset Inspection-ALL OVERHEAD ASSETS</v>
      </c>
      <c r="D29" s="38" t="str">
        <f t="shared" si="4"/>
        <v>OH Asset Inspection-LINE PATROLLED (ROUTE KM) (000'S)</v>
      </c>
      <c r="E29" s="416"/>
      <c r="F29" s="43" t="s">
        <v>395</v>
      </c>
      <c r="G29" s="43" t="s">
        <v>396</v>
      </c>
      <c r="H29" s="43" t="s">
        <v>397</v>
      </c>
      <c r="I29" s="41">
        <v>9.59122318361913</v>
      </c>
      <c r="J29" s="41">
        <v>9.59122318361913</v>
      </c>
      <c r="K29" s="41">
        <v>9.59122318361913</v>
      </c>
      <c r="L29" s="41">
        <v>9.59122318361913</v>
      </c>
      <c r="M29" s="41">
        <v>9.59122318361913</v>
      </c>
      <c r="N29" s="41">
        <v>9.59122318361913</v>
      </c>
      <c r="O29" s="41">
        <v>9.59122318361913</v>
      </c>
      <c r="P29" s="41">
        <v>9.59122318361913</v>
      </c>
      <c r="Q29" s="41">
        <v>9.59122318361913</v>
      </c>
      <c r="R29" s="41">
        <v>9.59122318361913</v>
      </c>
      <c r="S29" s="41">
        <v>37.950000000000003</v>
      </c>
      <c r="T29" s="41">
        <v>38.950000000000003</v>
      </c>
      <c r="U29" s="41">
        <v>39.950000000000003</v>
      </c>
      <c r="V29" s="41">
        <v>35.020000000000003</v>
      </c>
      <c r="W29" s="41">
        <v>35.39</v>
      </c>
      <c r="X29" s="38">
        <v>1</v>
      </c>
      <c r="Y29" s="38">
        <v>1</v>
      </c>
      <c r="Z29" s="40">
        <v>319.95068000000003</v>
      </c>
      <c r="AA29" s="40">
        <v>674.71550999999999</v>
      </c>
      <c r="AB29" s="40">
        <v>347.30169000000001</v>
      </c>
      <c r="AC29" s="40">
        <v>426.94445000000002</v>
      </c>
      <c r="AD29" s="40">
        <v>373.43971999999997</v>
      </c>
      <c r="AE29" s="40">
        <v>0</v>
      </c>
      <c r="AF29" s="40">
        <v>0</v>
      </c>
      <c r="AG29" s="40">
        <v>0</v>
      </c>
      <c r="AH29" s="40">
        <v>0</v>
      </c>
      <c r="AI29" s="40">
        <v>0</v>
      </c>
      <c r="AK29" s="53">
        <f t="shared" si="5"/>
        <v>47.956115918095648</v>
      </c>
      <c r="AL29" s="54">
        <f t="shared" si="6"/>
        <v>2142.35205</v>
      </c>
      <c r="AM29" s="54">
        <f t="shared" si="7"/>
        <v>0</v>
      </c>
      <c r="AN29" s="123">
        <f t="shared" si="9"/>
        <v>2142.35205</v>
      </c>
      <c r="AO29" s="44" t="s">
        <v>1389</v>
      </c>
      <c r="AP29" s="38" t="str">
        <f t="shared" si="2"/>
        <v>OH</v>
      </c>
      <c r="AR29" s="43" t="s">
        <v>1423</v>
      </c>
      <c r="AS29" s="38" t="s">
        <v>1391</v>
      </c>
    </row>
    <row r="30" spans="1:45" ht="30" hidden="1">
      <c r="A30" s="38" t="str">
        <f t="shared" si="0"/>
        <v>Powercor</v>
      </c>
      <c r="B30" s="38" t="s">
        <v>1192</v>
      </c>
      <c r="C30" s="38" t="str">
        <f t="shared" si="3"/>
        <v>UG Cable Maintenance-LV - 11 TO 22 KV</v>
      </c>
      <c r="D30" s="38" t="str">
        <f t="shared" si="4"/>
        <v>UG Cable Maintenance-LENGTH (KM) (000'S)</v>
      </c>
      <c r="E30" s="417"/>
      <c r="F30" s="43" t="s">
        <v>398</v>
      </c>
      <c r="G30" s="43" t="s">
        <v>399</v>
      </c>
      <c r="H30" s="43" t="s">
        <v>400</v>
      </c>
      <c r="I30" s="41">
        <v>15.97006</v>
      </c>
      <c r="J30" s="41">
        <v>15.97006</v>
      </c>
      <c r="K30" s="41">
        <v>15.97006</v>
      </c>
      <c r="L30" s="41">
        <v>15.97006</v>
      </c>
      <c r="M30" s="41">
        <v>15.97006</v>
      </c>
      <c r="N30" s="41">
        <v>5.0000000000000001E-3</v>
      </c>
      <c r="O30" s="41">
        <v>7.0000000000000001E-3</v>
      </c>
      <c r="P30" s="41">
        <v>5.0000000000000001E-3</v>
      </c>
      <c r="Q30" s="41">
        <v>8.0000000000000002E-3</v>
      </c>
      <c r="R30" s="41">
        <v>8.0000000000000002E-3</v>
      </c>
      <c r="S30" s="41">
        <v>19.666666666666668</v>
      </c>
      <c r="T30" s="41">
        <v>19.666666666666668</v>
      </c>
      <c r="U30" s="41">
        <v>19.666666666666668</v>
      </c>
      <c r="V30" s="41">
        <v>19.666666666666668</v>
      </c>
      <c r="W30" s="41">
        <v>19.666666666666668</v>
      </c>
      <c r="X30" s="38">
        <v>5</v>
      </c>
      <c r="Y30" s="38">
        <v>5</v>
      </c>
      <c r="Z30" s="40">
        <v>0</v>
      </c>
      <c r="AA30" s="40">
        <v>12.44</v>
      </c>
      <c r="AB30" s="40">
        <v>0</v>
      </c>
      <c r="AC30" s="40">
        <v>66.150000000000006</v>
      </c>
      <c r="AD30" s="40">
        <v>0</v>
      </c>
      <c r="AE30" s="40">
        <v>40.630000000000003</v>
      </c>
      <c r="AF30" s="40">
        <v>22.09</v>
      </c>
      <c r="AG30" s="40">
        <v>20.07</v>
      </c>
      <c r="AH30" s="40">
        <v>28.36</v>
      </c>
      <c r="AI30" s="40">
        <v>40.700000000000003</v>
      </c>
      <c r="AK30" s="53">
        <f t="shared" si="5"/>
        <v>3.3000000000000002E-2</v>
      </c>
      <c r="AL30" s="54">
        <f t="shared" si="6"/>
        <v>78.59</v>
      </c>
      <c r="AM30" s="54">
        <f t="shared" si="7"/>
        <v>151.85</v>
      </c>
      <c r="AN30" s="123">
        <f t="shared" si="9"/>
        <v>230.44</v>
      </c>
      <c r="AO30" s="44" t="s">
        <v>1389</v>
      </c>
      <c r="AP30" s="38" t="str">
        <f t="shared" si="2"/>
        <v>UG</v>
      </c>
      <c r="AR30" s="43" t="s">
        <v>1424</v>
      </c>
      <c r="AS30" s="38" t="s">
        <v>1393</v>
      </c>
    </row>
    <row r="31" spans="1:45" ht="30" hidden="1">
      <c r="A31" s="38" t="str">
        <f t="shared" si="0"/>
        <v>Powercor</v>
      </c>
      <c r="B31" s="38" t="s">
        <v>1192</v>
      </c>
      <c r="C31" s="38" t="str">
        <f t="shared" si="3"/>
        <v>UG Cable Maintenance-33 KV AND ABOVE</v>
      </c>
      <c r="D31" s="38" t="str">
        <f t="shared" si="4"/>
        <v>UG Cable Maintenance-LENGTH (KM) (000'S)</v>
      </c>
      <c r="E31" s="417"/>
      <c r="F31" s="43" t="s">
        <v>398</v>
      </c>
      <c r="G31" s="43" t="s">
        <v>401</v>
      </c>
      <c r="H31" s="43" t="s">
        <v>400</v>
      </c>
      <c r="I31" s="41">
        <v>2.7850000000000001E-3</v>
      </c>
      <c r="J31" s="41">
        <v>2.7850000000000001E-3</v>
      </c>
      <c r="K31" s="41">
        <v>2.7850000000000001E-3</v>
      </c>
      <c r="L31" s="41">
        <v>3.0000000000000001E-3</v>
      </c>
      <c r="M31" s="41">
        <v>2.5699999999999998E-3</v>
      </c>
      <c r="N31" s="41">
        <v>0</v>
      </c>
      <c r="O31" s="41">
        <v>1E-3</v>
      </c>
      <c r="P31" s="41">
        <v>0</v>
      </c>
      <c r="Q31" s="41">
        <v>0</v>
      </c>
      <c r="R31" s="41">
        <v>0</v>
      </c>
      <c r="S31" s="41">
        <v>10</v>
      </c>
      <c r="T31" s="41">
        <v>10</v>
      </c>
      <c r="U31" s="41">
        <v>10</v>
      </c>
      <c r="V31" s="41">
        <v>10</v>
      </c>
      <c r="W31" s="41">
        <v>10</v>
      </c>
      <c r="X31" s="38">
        <v>2</v>
      </c>
      <c r="Y31" s="38">
        <v>2</v>
      </c>
      <c r="Z31" s="40">
        <v>0</v>
      </c>
      <c r="AA31" s="40">
        <v>25.63</v>
      </c>
      <c r="AB31" s="40">
        <v>0</v>
      </c>
      <c r="AC31" s="40">
        <v>0</v>
      </c>
      <c r="AD31" s="40">
        <v>0</v>
      </c>
      <c r="AE31" s="40">
        <v>0</v>
      </c>
      <c r="AF31" s="40">
        <v>0</v>
      </c>
      <c r="AG31" s="40">
        <v>0</v>
      </c>
      <c r="AH31" s="40">
        <v>0</v>
      </c>
      <c r="AI31" s="40">
        <v>0</v>
      </c>
      <c r="AK31" s="53">
        <f t="shared" si="5"/>
        <v>1E-3</v>
      </c>
      <c r="AL31" s="54">
        <f t="shared" si="6"/>
        <v>25.63</v>
      </c>
      <c r="AM31" s="54">
        <f t="shared" si="7"/>
        <v>0</v>
      </c>
      <c r="AN31" s="123">
        <f t="shared" si="9"/>
        <v>25.63</v>
      </c>
      <c r="AO31" s="44" t="s">
        <v>1389</v>
      </c>
      <c r="AP31" s="38" t="str">
        <f t="shared" si="2"/>
        <v>UG</v>
      </c>
      <c r="AR31" s="43" t="s">
        <v>1425</v>
      </c>
      <c r="AS31" s="38" t="s">
        <v>1391</v>
      </c>
    </row>
    <row r="32" spans="1:45" ht="30" hidden="1">
      <c r="A32" s="38" t="str">
        <f t="shared" si="0"/>
        <v>Powercor</v>
      </c>
      <c r="B32" s="38" t="s">
        <v>1197</v>
      </c>
      <c r="C32" s="38" t="str">
        <f t="shared" si="3"/>
        <v>Duplicate-CBD</v>
      </c>
      <c r="D32" s="38" t="str">
        <f t="shared" si="4"/>
        <v>Duplicate-LENGTH (KM) (000'S)</v>
      </c>
      <c r="E32" s="417"/>
      <c r="F32" s="43" t="s">
        <v>402</v>
      </c>
      <c r="G32" s="43" t="s">
        <v>403</v>
      </c>
      <c r="H32" s="43" t="s">
        <v>400</v>
      </c>
      <c r="I32" s="41">
        <v>0</v>
      </c>
      <c r="J32" s="41">
        <v>0</v>
      </c>
      <c r="K32" s="41">
        <v>0</v>
      </c>
      <c r="L32" s="41">
        <v>0</v>
      </c>
      <c r="M32" s="41">
        <v>0</v>
      </c>
      <c r="N32" s="41">
        <v>0</v>
      </c>
      <c r="O32" s="41">
        <v>0</v>
      </c>
      <c r="P32" s="41">
        <v>0</v>
      </c>
      <c r="Q32" s="41">
        <v>0</v>
      </c>
      <c r="R32" s="41">
        <v>0</v>
      </c>
      <c r="S32" s="41">
        <v>0</v>
      </c>
      <c r="T32" s="41">
        <v>0</v>
      </c>
      <c r="U32" s="41">
        <v>0</v>
      </c>
      <c r="V32" s="41">
        <v>0</v>
      </c>
      <c r="W32" s="41">
        <v>0</v>
      </c>
      <c r="X32" s="38">
        <v>0</v>
      </c>
      <c r="Y32" s="38">
        <v>0</v>
      </c>
      <c r="Z32" s="40">
        <v>0</v>
      </c>
      <c r="AA32" s="40">
        <v>0</v>
      </c>
      <c r="AB32" s="40">
        <v>0</v>
      </c>
      <c r="AC32" s="40">
        <v>0</v>
      </c>
      <c r="AD32" s="40">
        <v>0</v>
      </c>
      <c r="AE32" s="40">
        <v>0</v>
      </c>
      <c r="AF32" s="40">
        <v>0</v>
      </c>
      <c r="AG32" s="40">
        <v>0</v>
      </c>
      <c r="AH32" s="40">
        <v>0</v>
      </c>
      <c r="AI32" s="40">
        <v>0</v>
      </c>
      <c r="AK32" s="53" t="str">
        <f t="shared" si="5"/>
        <v/>
      </c>
      <c r="AL32" s="54" t="str">
        <f t="shared" si="6"/>
        <v/>
      </c>
      <c r="AM32" s="54" t="str">
        <f t="shared" si="7"/>
        <v/>
      </c>
      <c r="AN32" s="121"/>
      <c r="AO32" s="44" t="s">
        <v>1197</v>
      </c>
      <c r="AP32" s="38" t="str">
        <f t="shared" si="2"/>
        <v>Exclude</v>
      </c>
      <c r="AR32" s="43" t="s">
        <v>1426</v>
      </c>
      <c r="AS32" s="38" t="s">
        <v>1392</v>
      </c>
    </row>
    <row r="33" spans="1:45" ht="30" hidden="1">
      <c r="A33" s="38" t="str">
        <f t="shared" si="0"/>
        <v>Powercor</v>
      </c>
      <c r="B33" s="38" t="s">
        <v>1197</v>
      </c>
      <c r="C33" s="38" t="str">
        <f t="shared" si="3"/>
        <v>Duplicate-NON-CBD</v>
      </c>
      <c r="D33" s="38" t="str">
        <f t="shared" si="4"/>
        <v>Duplicate-LENGTH (KM) (000'S)</v>
      </c>
      <c r="E33" s="417"/>
      <c r="F33" s="43" t="s">
        <v>402</v>
      </c>
      <c r="G33" s="43" t="s">
        <v>404</v>
      </c>
      <c r="H33" s="43" t="s">
        <v>400</v>
      </c>
      <c r="I33" s="41">
        <v>15.972845</v>
      </c>
      <c r="J33" s="41">
        <v>15.972845</v>
      </c>
      <c r="K33" s="41">
        <v>15.972845</v>
      </c>
      <c r="L33" s="41">
        <v>15.972845</v>
      </c>
      <c r="M33" s="41">
        <v>15.972845</v>
      </c>
      <c r="N33" s="41">
        <v>5.0000000000000001E-3</v>
      </c>
      <c r="O33" s="41">
        <v>8.0000000000000002E-3</v>
      </c>
      <c r="P33" s="41">
        <v>5.0000000000000001E-3</v>
      </c>
      <c r="Q33" s="41">
        <v>8.0000000000000002E-3</v>
      </c>
      <c r="R33" s="41">
        <v>8.0000000000000002E-3</v>
      </c>
      <c r="S33" s="41">
        <v>19.665111297680262</v>
      </c>
      <c r="T33" s="41">
        <v>19.665111297680262</v>
      </c>
      <c r="U33" s="41">
        <v>19.665111297680262</v>
      </c>
      <c r="V33" s="41">
        <v>19.665111297680262</v>
      </c>
      <c r="W33" s="41">
        <v>19.665111297680262</v>
      </c>
      <c r="X33" s="38">
        <v>5</v>
      </c>
      <c r="Y33" s="38">
        <v>5</v>
      </c>
      <c r="Z33" s="40">
        <v>0</v>
      </c>
      <c r="AA33" s="40">
        <v>38.052543959978159</v>
      </c>
      <c r="AB33" s="40">
        <v>0</v>
      </c>
      <c r="AC33" s="40">
        <v>66.166091112835275</v>
      </c>
      <c r="AD33" s="40">
        <v>0</v>
      </c>
      <c r="AE33" s="40">
        <v>41.206233151680692</v>
      </c>
      <c r="AF33" s="40">
        <v>22.111289909233484</v>
      </c>
      <c r="AG33" s="40">
        <v>20.162716794561899</v>
      </c>
      <c r="AH33" s="40">
        <v>28.345130010992975</v>
      </c>
      <c r="AI33" s="40">
        <v>41.110143162331518</v>
      </c>
      <c r="AK33" s="53" t="str">
        <f t="shared" si="5"/>
        <v/>
      </c>
      <c r="AL33" s="54" t="str">
        <f t="shared" si="6"/>
        <v/>
      </c>
      <c r="AM33" s="54" t="str">
        <f t="shared" si="7"/>
        <v/>
      </c>
      <c r="AN33" s="121"/>
      <c r="AO33" s="44" t="s">
        <v>1197</v>
      </c>
      <c r="AP33" s="38" t="str">
        <f t="shared" si="2"/>
        <v>Exclude</v>
      </c>
      <c r="AR33" s="43" t="s">
        <v>1427</v>
      </c>
      <c r="AS33" s="38" t="s">
        <v>1393</v>
      </c>
    </row>
    <row r="34" spans="1:45" ht="30" hidden="1">
      <c r="A34" s="38" t="str">
        <f t="shared" si="0"/>
        <v>Powercor</v>
      </c>
      <c r="B34" s="38" t="s">
        <v>1381</v>
      </c>
      <c r="C34" s="38" t="str">
        <f t="shared" si="3"/>
        <v>Dist Sub Maintenance-DISTRIBUTION SUBSTATION TRANSFORMERS</v>
      </c>
      <c r="D34" s="38" t="str">
        <f t="shared" si="4"/>
        <v>Dist Sub Maintenance-NUMBER OF INSTALLED TRANSFORMERS (000'S)</v>
      </c>
      <c r="E34" s="417"/>
      <c r="F34" s="43" t="s">
        <v>405</v>
      </c>
      <c r="G34" s="43" t="s">
        <v>406</v>
      </c>
      <c r="H34" s="43" t="s">
        <v>407</v>
      </c>
      <c r="I34" s="41">
        <v>82.817666666666668</v>
      </c>
      <c r="J34" s="41">
        <v>82.817666666666668</v>
      </c>
      <c r="K34" s="41">
        <v>81.552999999999997</v>
      </c>
      <c r="L34" s="41">
        <v>82.447999999999993</v>
      </c>
      <c r="M34" s="41">
        <v>84.451999999999998</v>
      </c>
      <c r="N34" s="41">
        <v>0.105</v>
      </c>
      <c r="O34" s="41">
        <v>9.4E-2</v>
      </c>
      <c r="P34" s="41">
        <v>8.6999999999999994E-2</v>
      </c>
      <c r="Q34" s="41">
        <v>9.7000000000000003E-2</v>
      </c>
      <c r="R34" s="41">
        <v>9.8000000000000004E-2</v>
      </c>
      <c r="S34" s="41">
        <v>21.047619047619047</v>
      </c>
      <c r="T34" s="41">
        <v>21.047619047619047</v>
      </c>
      <c r="U34" s="41">
        <v>20.571428571428573</v>
      </c>
      <c r="V34" s="41">
        <v>20.666666666666668</v>
      </c>
      <c r="W34" s="41">
        <v>21.904761904761905</v>
      </c>
      <c r="X34" s="38">
        <v>0</v>
      </c>
      <c r="Y34" s="38">
        <v>0</v>
      </c>
      <c r="Z34" s="40">
        <v>464.22</v>
      </c>
      <c r="AA34" s="40">
        <v>444.9</v>
      </c>
      <c r="AB34" s="40">
        <v>363.12</v>
      </c>
      <c r="AC34" s="40">
        <v>527.12</v>
      </c>
      <c r="AD34" s="40">
        <v>504.92</v>
      </c>
      <c r="AE34" s="40">
        <v>138.44999999999999</v>
      </c>
      <c r="AF34" s="40">
        <v>109.16</v>
      </c>
      <c r="AG34" s="40">
        <v>127.47</v>
      </c>
      <c r="AH34" s="40">
        <v>233.11</v>
      </c>
      <c r="AI34" s="40">
        <v>339.29</v>
      </c>
      <c r="AK34" s="53">
        <f t="shared" si="5"/>
        <v>0.48099999999999998</v>
      </c>
      <c r="AL34" s="54">
        <f t="shared" si="6"/>
        <v>2304.2800000000002</v>
      </c>
      <c r="AM34" s="54">
        <f t="shared" si="7"/>
        <v>947.48</v>
      </c>
      <c r="AN34" s="123">
        <f t="shared" ref="AN34:AN73" si="10">AL34+AM34</f>
        <v>3251.76</v>
      </c>
      <c r="AO34" s="44" t="s">
        <v>1389</v>
      </c>
      <c r="AP34" s="38" t="str">
        <f t="shared" si="2"/>
        <v>OH/UG</v>
      </c>
      <c r="AR34" s="43" t="s">
        <v>1428</v>
      </c>
      <c r="AS34" s="38" t="s">
        <v>1392</v>
      </c>
    </row>
    <row r="35" spans="1:45" ht="60" hidden="1">
      <c r="A35" s="38" t="str">
        <f t="shared" si="0"/>
        <v>Powercor</v>
      </c>
      <c r="B35" s="38" t="s">
        <v>1381</v>
      </c>
      <c r="C35" s="38" t="str">
        <f t="shared" si="3"/>
        <v>Dist Sub Maintenance-DISTRIBUTION SUBSTATION SWITCHGEAR (WITHIN-SUBSTATIONS AND STAND-ALONE SWITCHGEAR)</v>
      </c>
      <c r="D35" s="38" t="str">
        <f t="shared" si="4"/>
        <v>Dist Sub Maintenance-NUMBER OF SWITCHES (000'S)</v>
      </c>
      <c r="E35" s="417"/>
      <c r="F35" s="43" t="s">
        <v>405</v>
      </c>
      <c r="G35" s="43" t="s">
        <v>408</v>
      </c>
      <c r="H35" s="43" t="s">
        <v>409</v>
      </c>
      <c r="I35" s="41">
        <v>174.06214800000012</v>
      </c>
      <c r="J35" s="41">
        <v>174.06214800000012</v>
      </c>
      <c r="K35" s="41">
        <v>174.06214800000012</v>
      </c>
      <c r="L35" s="41">
        <v>174.06214800000012</v>
      </c>
      <c r="M35" s="41">
        <v>174.06214800000012</v>
      </c>
      <c r="N35" s="41">
        <v>0.17499999999999999</v>
      </c>
      <c r="O35" s="41">
        <v>0.18099999999999999</v>
      </c>
      <c r="P35" s="41">
        <v>0.20300000000000001</v>
      </c>
      <c r="Q35" s="41">
        <v>0.153</v>
      </c>
      <c r="R35" s="41">
        <v>0.17100000000000001</v>
      </c>
      <c r="S35" s="41">
        <v>27</v>
      </c>
      <c r="T35" s="41">
        <v>27</v>
      </c>
      <c r="U35" s="41">
        <v>27</v>
      </c>
      <c r="V35" s="41">
        <v>27</v>
      </c>
      <c r="W35" s="41">
        <v>27</v>
      </c>
      <c r="X35" s="38">
        <v>10</v>
      </c>
      <c r="Y35" s="38">
        <v>10</v>
      </c>
      <c r="Z35" s="40">
        <v>1647.8916461647366</v>
      </c>
      <c r="AA35" s="40">
        <v>2788.7166263442427</v>
      </c>
      <c r="AB35" s="40">
        <v>2100.5470877582957</v>
      </c>
      <c r="AC35" s="40">
        <v>813.40550376796386</v>
      </c>
      <c r="AD35" s="40">
        <v>1243.1051866734263</v>
      </c>
      <c r="AE35" s="40">
        <v>233.82318685441271</v>
      </c>
      <c r="AF35" s="40">
        <v>396.21718135891513</v>
      </c>
      <c r="AG35" s="40">
        <v>297.9741701538656</v>
      </c>
      <c r="AH35" s="40">
        <v>236.87339203350939</v>
      </c>
      <c r="AI35" s="40">
        <v>348.65390201864528</v>
      </c>
      <c r="AK35" s="53">
        <f t="shared" si="5"/>
        <v>0.88300000000000001</v>
      </c>
      <c r="AL35" s="54">
        <f t="shared" si="6"/>
        <v>8593.6660507086654</v>
      </c>
      <c r="AM35" s="54">
        <f t="shared" si="7"/>
        <v>1513.5418324193481</v>
      </c>
      <c r="AN35" s="123">
        <f t="shared" si="10"/>
        <v>10107.207883128014</v>
      </c>
      <c r="AO35" s="44" t="s">
        <v>1389</v>
      </c>
      <c r="AP35" s="38" t="str">
        <f t="shared" si="2"/>
        <v>OH/UG</v>
      </c>
      <c r="AR35" s="43" t="s">
        <v>1429</v>
      </c>
      <c r="AS35" s="38" t="s">
        <v>1392</v>
      </c>
    </row>
    <row r="36" spans="1:45" ht="30" hidden="1">
      <c r="A36" s="38" t="str">
        <f t="shared" si="0"/>
        <v>Powercor</v>
      </c>
      <c r="B36" s="38" t="s">
        <v>1381</v>
      </c>
      <c r="C36" s="38" t="str">
        <f t="shared" si="3"/>
        <v>Dist Sub Maintenance-DISTRIBUTION SUBSTATION - OTHER EQUIPMENT</v>
      </c>
      <c r="D36" s="38" t="str">
        <f t="shared" si="4"/>
        <v>Dist Sub Maintenance-DNSP TO NOMINATE</v>
      </c>
      <c r="E36" s="417"/>
      <c r="F36" s="43" t="s">
        <v>405</v>
      </c>
      <c r="G36" s="43" t="s">
        <v>410</v>
      </c>
      <c r="H36" s="43" t="s">
        <v>411</v>
      </c>
      <c r="I36" s="41">
        <v>0</v>
      </c>
      <c r="J36" s="41">
        <v>0</v>
      </c>
      <c r="K36" s="41">
        <v>0</v>
      </c>
      <c r="L36" s="41">
        <v>0</v>
      </c>
      <c r="M36" s="41">
        <v>0</v>
      </c>
      <c r="N36" s="41">
        <v>0</v>
      </c>
      <c r="O36" s="41">
        <v>0</v>
      </c>
      <c r="P36" s="41">
        <v>0</v>
      </c>
      <c r="Q36" s="41">
        <v>0</v>
      </c>
      <c r="R36" s="41">
        <v>0</v>
      </c>
      <c r="S36" s="41">
        <v>0</v>
      </c>
      <c r="T36" s="41">
        <v>0</v>
      </c>
      <c r="U36" s="41">
        <v>0</v>
      </c>
      <c r="V36" s="41">
        <v>0</v>
      </c>
      <c r="W36" s="41">
        <v>0</v>
      </c>
      <c r="X36" s="38">
        <v>0</v>
      </c>
      <c r="Y36" s="38">
        <v>0</v>
      </c>
      <c r="Z36" s="40">
        <v>0</v>
      </c>
      <c r="AA36" s="40">
        <v>0</v>
      </c>
      <c r="AB36" s="40">
        <v>0</v>
      </c>
      <c r="AC36" s="40">
        <v>0</v>
      </c>
      <c r="AD36" s="40">
        <v>0</v>
      </c>
      <c r="AE36" s="40">
        <v>0</v>
      </c>
      <c r="AF36" s="40">
        <v>0</v>
      </c>
      <c r="AG36" s="40">
        <v>0</v>
      </c>
      <c r="AH36" s="40">
        <v>0</v>
      </c>
      <c r="AI36" s="40">
        <v>0</v>
      </c>
      <c r="AK36" s="53">
        <f t="shared" si="5"/>
        <v>0</v>
      </c>
      <c r="AL36" s="54">
        <f t="shared" si="6"/>
        <v>0</v>
      </c>
      <c r="AM36" s="54">
        <f t="shared" si="7"/>
        <v>0</v>
      </c>
      <c r="AN36" s="123">
        <f t="shared" si="10"/>
        <v>0</v>
      </c>
      <c r="AO36" s="44" t="s">
        <v>1389</v>
      </c>
      <c r="AP36" s="38" t="str">
        <f t="shared" si="2"/>
        <v>OH/UG</v>
      </c>
      <c r="AR36" s="43" t="s">
        <v>1430</v>
      </c>
      <c r="AS36" s="38" t="s">
        <v>1439</v>
      </c>
    </row>
    <row r="37" spans="1:45" ht="45" hidden="1">
      <c r="A37" s="38" t="str">
        <f t="shared" si="0"/>
        <v>Powercor</v>
      </c>
      <c r="B37" s="38" t="s">
        <v>1381</v>
      </c>
      <c r="C37" s="38" t="str">
        <f t="shared" si="3"/>
        <v>Dist Sub Maintenance-DISTRIBUTION SUBSTATION - PROPERTY</v>
      </c>
      <c r="D37" s="38" t="str">
        <f t="shared" si="4"/>
        <v>Dist Sub Maintenance-NUMBER OF DISTRIBUTION SUBSTATION PROPERTIES MAINTAINED (000'S)</v>
      </c>
      <c r="E37" s="417"/>
      <c r="F37" s="43" t="s">
        <v>405</v>
      </c>
      <c r="G37" s="43" t="s">
        <v>412</v>
      </c>
      <c r="H37" s="43" t="s">
        <v>413</v>
      </c>
      <c r="I37" s="41">
        <v>4.1870000000000003</v>
      </c>
      <c r="J37" s="41">
        <v>4.4359999999999999</v>
      </c>
      <c r="K37" s="41">
        <v>4.6639999999999997</v>
      </c>
      <c r="L37" s="41">
        <v>4.8920000000000003</v>
      </c>
      <c r="M37" s="41">
        <v>5.09</v>
      </c>
      <c r="N37" s="41">
        <v>1E-3</v>
      </c>
      <c r="O37" s="41">
        <v>1E-3</v>
      </c>
      <c r="P37" s="41">
        <v>6.0000000000000001E-3</v>
      </c>
      <c r="Q37" s="41">
        <v>4.0000000000000001E-3</v>
      </c>
      <c r="R37" s="41">
        <v>4.0000000000000001E-3</v>
      </c>
      <c r="S37" s="41">
        <v>21.047619047619047</v>
      </c>
      <c r="T37" s="41">
        <v>21.047619047619047</v>
      </c>
      <c r="U37" s="41">
        <v>20.571428571428573</v>
      </c>
      <c r="V37" s="41">
        <v>20.666666666666668</v>
      </c>
      <c r="W37" s="41">
        <v>21.904761904761905</v>
      </c>
      <c r="X37" s="38">
        <v>0.5</v>
      </c>
      <c r="Y37" s="38">
        <v>0.5</v>
      </c>
      <c r="Z37" s="40">
        <v>0</v>
      </c>
      <c r="AA37" s="40">
        <v>0</v>
      </c>
      <c r="AB37" s="40">
        <v>151.06</v>
      </c>
      <c r="AC37" s="40">
        <v>532.49</v>
      </c>
      <c r="AD37" s="40">
        <v>493.87</v>
      </c>
      <c r="AE37" s="40">
        <v>0.52</v>
      </c>
      <c r="AF37" s="40">
        <v>0.6</v>
      </c>
      <c r="AG37" s="40">
        <v>3.87</v>
      </c>
      <c r="AH37" s="40">
        <v>0.1</v>
      </c>
      <c r="AI37" s="40">
        <v>0.05</v>
      </c>
      <c r="AK37" s="53">
        <f t="shared" si="5"/>
        <v>1.6E-2</v>
      </c>
      <c r="AL37" s="54">
        <f t="shared" si="6"/>
        <v>1177.42</v>
      </c>
      <c r="AM37" s="54">
        <f t="shared" si="7"/>
        <v>5.14</v>
      </c>
      <c r="AN37" s="123">
        <f t="shared" si="10"/>
        <v>1182.5600000000002</v>
      </c>
      <c r="AO37" s="44" t="s">
        <v>1389</v>
      </c>
      <c r="AP37" s="38" t="str">
        <f t="shared" si="2"/>
        <v>OH/UG</v>
      </c>
      <c r="AR37" s="43" t="s">
        <v>1431</v>
      </c>
      <c r="AS37" s="38" t="s">
        <v>1392</v>
      </c>
    </row>
    <row r="38" spans="1:45" ht="30" hidden="1">
      <c r="A38" s="38" t="str">
        <f t="shared" si="0"/>
        <v>Powercor</v>
      </c>
      <c r="B38" s="38" t="s">
        <v>1380</v>
      </c>
      <c r="C38" s="38" t="str">
        <f t="shared" si="3"/>
        <v>Zone Sub Maintenance-TRANSFORMERS - ZONE SUBSTATION</v>
      </c>
      <c r="D38" s="38" t="str">
        <f t="shared" si="4"/>
        <v>Zone Sub Maintenance-NUMBER OF ZONE SUBSTATION TRANSFORMERS (000'S)</v>
      </c>
      <c r="E38" s="417"/>
      <c r="F38" s="43" t="s">
        <v>414</v>
      </c>
      <c r="G38" s="43" t="s">
        <v>415</v>
      </c>
      <c r="H38" s="43" t="s">
        <v>416</v>
      </c>
      <c r="I38" s="41">
        <v>0.13866666666666666</v>
      </c>
      <c r="J38" s="41">
        <v>0.13866666666666666</v>
      </c>
      <c r="K38" s="41">
        <v>0.13700000000000001</v>
      </c>
      <c r="L38" s="41">
        <v>0.13800000000000001</v>
      </c>
      <c r="M38" s="41">
        <v>0.14099999999999999</v>
      </c>
      <c r="N38" s="41">
        <v>0.191</v>
      </c>
      <c r="O38" s="41">
        <v>0.20699999999999999</v>
      </c>
      <c r="P38" s="41">
        <v>0.18</v>
      </c>
      <c r="Q38" s="41">
        <v>0.14199999999999999</v>
      </c>
      <c r="R38" s="41">
        <v>0.115</v>
      </c>
      <c r="S38" s="41">
        <v>41.333333333333336</v>
      </c>
      <c r="T38" s="41">
        <v>41.333333333333336</v>
      </c>
      <c r="U38" s="41">
        <v>43.666666666666664</v>
      </c>
      <c r="V38" s="41">
        <v>40.333333333333336</v>
      </c>
      <c r="W38" s="41">
        <v>40</v>
      </c>
      <c r="X38" s="38">
        <v>0</v>
      </c>
      <c r="Y38" s="38">
        <v>0</v>
      </c>
      <c r="Z38" s="40">
        <v>515.39</v>
      </c>
      <c r="AA38" s="40">
        <v>627.16</v>
      </c>
      <c r="AB38" s="40">
        <v>556.29</v>
      </c>
      <c r="AC38" s="40">
        <v>388.87</v>
      </c>
      <c r="AD38" s="40">
        <v>544.20000000000005</v>
      </c>
      <c r="AE38" s="40">
        <v>401.23</v>
      </c>
      <c r="AF38" s="40">
        <v>1010.05</v>
      </c>
      <c r="AG38" s="40">
        <v>491.2</v>
      </c>
      <c r="AH38" s="40">
        <v>745.94</v>
      </c>
      <c r="AI38" s="40">
        <v>483.23</v>
      </c>
      <c r="AK38" s="53">
        <f t="shared" si="5"/>
        <v>0.83500000000000008</v>
      </c>
      <c r="AL38" s="54">
        <f t="shared" si="6"/>
        <v>2631.91</v>
      </c>
      <c r="AM38" s="54">
        <f t="shared" si="7"/>
        <v>3131.65</v>
      </c>
      <c r="AN38" s="123">
        <f t="shared" si="10"/>
        <v>5763.5599999999995</v>
      </c>
      <c r="AO38" s="44" t="s">
        <v>1390</v>
      </c>
      <c r="AP38" s="38" t="str">
        <f t="shared" si="2"/>
        <v>Zone Sub</v>
      </c>
      <c r="AR38" s="43" t="s">
        <v>1432</v>
      </c>
      <c r="AS38" s="38" t="s">
        <v>1387</v>
      </c>
    </row>
    <row r="39" spans="1:45" ht="45" hidden="1">
      <c r="A39" s="38" t="str">
        <f t="shared" si="0"/>
        <v>Powercor</v>
      </c>
      <c r="B39" s="38" t="s">
        <v>1380</v>
      </c>
      <c r="C39" s="38" t="str">
        <f t="shared" si="3"/>
        <v xml:space="preserve">Zone Sub Maintenance-TRANSFORMERS - DISTRIBUTION </v>
      </c>
      <c r="D39" s="38" t="str">
        <f t="shared" si="4"/>
        <v>Zone Sub Maintenance-NUMBER OF DISTRIBUTION TRANSFORMERS WITHIN ZONE SUBSTATIONS (000'S)</v>
      </c>
      <c r="E39" s="417"/>
      <c r="F39" s="43" t="s">
        <v>414</v>
      </c>
      <c r="G39" s="43" t="s">
        <v>417</v>
      </c>
      <c r="H39" s="43" t="s">
        <v>418</v>
      </c>
      <c r="I39" s="41">
        <v>0</v>
      </c>
      <c r="J39" s="41">
        <v>0</v>
      </c>
      <c r="K39" s="41">
        <v>0</v>
      </c>
      <c r="L39" s="41">
        <v>0</v>
      </c>
      <c r="M39" s="41">
        <v>0</v>
      </c>
      <c r="N39" s="41">
        <v>0</v>
      </c>
      <c r="O39" s="41">
        <v>0</v>
      </c>
      <c r="P39" s="41">
        <v>0</v>
      </c>
      <c r="Q39" s="41">
        <v>0</v>
      </c>
      <c r="R39" s="41">
        <v>0</v>
      </c>
      <c r="S39" s="41">
        <v>0</v>
      </c>
      <c r="T39" s="41">
        <v>0</v>
      </c>
      <c r="U39" s="41">
        <v>0</v>
      </c>
      <c r="V39" s="41">
        <v>0</v>
      </c>
      <c r="W39" s="41">
        <v>0</v>
      </c>
      <c r="X39" s="38">
        <v>0</v>
      </c>
      <c r="Y39" s="38">
        <v>0</v>
      </c>
      <c r="Z39" s="40">
        <v>0</v>
      </c>
      <c r="AA39" s="40">
        <v>0</v>
      </c>
      <c r="AB39" s="40">
        <v>0</v>
      </c>
      <c r="AC39" s="40">
        <v>0</v>
      </c>
      <c r="AD39" s="40">
        <v>0</v>
      </c>
      <c r="AE39" s="40">
        <v>0</v>
      </c>
      <c r="AF39" s="40">
        <v>0</v>
      </c>
      <c r="AG39" s="40">
        <v>0</v>
      </c>
      <c r="AH39" s="40">
        <v>0</v>
      </c>
      <c r="AI39" s="40">
        <v>0</v>
      </c>
      <c r="AK39" s="53">
        <f t="shared" si="5"/>
        <v>0</v>
      </c>
      <c r="AL39" s="54">
        <f t="shared" si="6"/>
        <v>0</v>
      </c>
      <c r="AM39" s="54">
        <f t="shared" si="7"/>
        <v>0</v>
      </c>
      <c r="AN39" s="123">
        <f t="shared" si="10"/>
        <v>0</v>
      </c>
      <c r="AO39" s="44" t="s">
        <v>1390</v>
      </c>
      <c r="AP39" s="38" t="str">
        <f t="shared" si="2"/>
        <v>Zone Sub</v>
      </c>
      <c r="AR39" s="43" t="s">
        <v>1433</v>
      </c>
      <c r="AS39" s="38" t="s">
        <v>1387</v>
      </c>
    </row>
    <row r="40" spans="1:45" ht="30" hidden="1">
      <c r="A40" s="38" t="str">
        <f t="shared" si="0"/>
        <v>Powercor</v>
      </c>
      <c r="B40" s="38" t="s">
        <v>1380</v>
      </c>
      <c r="C40" s="38" t="str">
        <f t="shared" si="3"/>
        <v>Zone Sub Maintenance-TRANSFORMERS - HV</v>
      </c>
      <c r="D40" s="38" t="str">
        <f t="shared" si="4"/>
        <v>Zone Sub Maintenance-NUMBER OF HV TRANSFORMERS (000'S)</v>
      </c>
      <c r="E40" s="417"/>
      <c r="F40" s="43" t="s">
        <v>414</v>
      </c>
      <c r="G40" s="43" t="s">
        <v>419</v>
      </c>
      <c r="H40" s="43" t="s">
        <v>420</v>
      </c>
      <c r="I40" s="41">
        <v>0</v>
      </c>
      <c r="J40" s="41">
        <v>0</v>
      </c>
      <c r="K40" s="41">
        <v>0</v>
      </c>
      <c r="L40" s="41">
        <v>0</v>
      </c>
      <c r="M40" s="41">
        <v>0</v>
      </c>
      <c r="N40" s="41">
        <v>0</v>
      </c>
      <c r="O40" s="41">
        <v>0</v>
      </c>
      <c r="P40" s="41">
        <v>0</v>
      </c>
      <c r="Q40" s="41">
        <v>0</v>
      </c>
      <c r="R40" s="41">
        <v>0</v>
      </c>
      <c r="S40" s="41">
        <v>0</v>
      </c>
      <c r="T40" s="41">
        <v>0</v>
      </c>
      <c r="U40" s="41">
        <v>0</v>
      </c>
      <c r="V40" s="41">
        <v>0</v>
      </c>
      <c r="W40" s="41">
        <v>0</v>
      </c>
      <c r="X40" s="38">
        <v>0</v>
      </c>
      <c r="Y40" s="38">
        <v>0</v>
      </c>
      <c r="Z40" s="40">
        <v>0</v>
      </c>
      <c r="AA40" s="40">
        <v>0</v>
      </c>
      <c r="AB40" s="40">
        <v>0</v>
      </c>
      <c r="AC40" s="40">
        <v>0</v>
      </c>
      <c r="AD40" s="40">
        <v>0</v>
      </c>
      <c r="AE40" s="40">
        <v>0</v>
      </c>
      <c r="AF40" s="40">
        <v>0</v>
      </c>
      <c r="AG40" s="40">
        <v>0</v>
      </c>
      <c r="AH40" s="40">
        <v>0</v>
      </c>
      <c r="AI40" s="40">
        <v>0</v>
      </c>
      <c r="AK40" s="53">
        <f t="shared" si="5"/>
        <v>0</v>
      </c>
      <c r="AL40" s="54">
        <f t="shared" si="6"/>
        <v>0</v>
      </c>
      <c r="AM40" s="54">
        <f t="shared" si="7"/>
        <v>0</v>
      </c>
      <c r="AN40" s="123">
        <f t="shared" si="10"/>
        <v>0</v>
      </c>
      <c r="AO40" s="44" t="s">
        <v>1390</v>
      </c>
      <c r="AP40" s="38" t="str">
        <f t="shared" si="2"/>
        <v>Zone Sub</v>
      </c>
      <c r="AR40" s="43" t="s">
        <v>1434</v>
      </c>
      <c r="AS40" s="38" t="s">
        <v>1387</v>
      </c>
    </row>
    <row r="41" spans="1:45" ht="30" hidden="1">
      <c r="A41" s="38" t="str">
        <f t="shared" si="0"/>
        <v>Powercor</v>
      </c>
      <c r="B41" s="38" t="s">
        <v>1380</v>
      </c>
      <c r="C41" s="38" t="str">
        <f t="shared" si="3"/>
        <v>Zone Sub Maintenance-ZONE SUBSTATION - OTHER EQUIPMENT</v>
      </c>
      <c r="D41" s="38" t="str">
        <f t="shared" si="4"/>
        <v xml:space="preserve">Zone Sub Maintenance- NUMBER OF SWITCHGEAR (000's) </v>
      </c>
      <c r="E41" s="417"/>
      <c r="F41" s="43" t="s">
        <v>414</v>
      </c>
      <c r="G41" s="43" t="s">
        <v>421</v>
      </c>
      <c r="H41" s="43" t="s">
        <v>1185</v>
      </c>
      <c r="I41" s="41">
        <v>1.0426666666666669</v>
      </c>
      <c r="J41" s="41">
        <v>1.0426666666666669</v>
      </c>
      <c r="K41" s="41">
        <v>0.97599999999999998</v>
      </c>
      <c r="L41" s="41">
        <v>0.82799999999999996</v>
      </c>
      <c r="M41" s="41">
        <v>1.3240000000000001</v>
      </c>
      <c r="N41" s="41">
        <v>0.38100000000000001</v>
      </c>
      <c r="O41" s="41">
        <v>0.48</v>
      </c>
      <c r="P41" s="41">
        <v>0.36299999999999999</v>
      </c>
      <c r="Q41" s="41">
        <v>0.314</v>
      </c>
      <c r="R41" s="41">
        <v>0.375</v>
      </c>
      <c r="S41" s="41">
        <v>31.5</v>
      </c>
      <c r="T41" s="41">
        <v>31.5</v>
      </c>
      <c r="U41" s="41">
        <v>30</v>
      </c>
      <c r="V41" s="41">
        <v>34</v>
      </c>
      <c r="W41" s="41">
        <v>30.5</v>
      </c>
      <c r="X41" s="38">
        <v>8</v>
      </c>
      <c r="Y41" s="38">
        <v>8</v>
      </c>
      <c r="Z41" s="40">
        <v>1103.33155435599</v>
      </c>
      <c r="AA41" s="40">
        <v>1066.2731626591699</v>
      </c>
      <c r="AB41" s="40">
        <v>875.01515986073036</v>
      </c>
      <c r="AC41" s="40">
        <v>848.78098773192323</v>
      </c>
      <c r="AD41" s="40">
        <v>906.2639892660045</v>
      </c>
      <c r="AE41" s="40">
        <v>668.37752629633371</v>
      </c>
      <c r="AF41" s="40">
        <v>842.73395753694808</v>
      </c>
      <c r="AG41" s="40">
        <v>1026.7300917161585</v>
      </c>
      <c r="AH41" s="40">
        <v>989.779433391775</v>
      </c>
      <c r="AI41" s="40">
        <v>898.3536318780599</v>
      </c>
      <c r="AK41" s="53">
        <f t="shared" si="5"/>
        <v>1.913</v>
      </c>
      <c r="AL41" s="54">
        <f t="shared" si="6"/>
        <v>4799.6648538738173</v>
      </c>
      <c r="AM41" s="54">
        <f t="shared" si="7"/>
        <v>4425.9746408192759</v>
      </c>
      <c r="AN41" s="123">
        <f t="shared" si="10"/>
        <v>9225.6394946930923</v>
      </c>
      <c r="AO41" s="44" t="s">
        <v>1390</v>
      </c>
      <c r="AP41" s="38" t="str">
        <f t="shared" si="2"/>
        <v>Zone Sub</v>
      </c>
      <c r="AR41" s="43" t="s">
        <v>1435</v>
      </c>
      <c r="AS41" s="38" t="s">
        <v>1387</v>
      </c>
    </row>
    <row r="42" spans="1:45" ht="45" hidden="1">
      <c r="A42" s="38" t="str">
        <f t="shared" si="0"/>
        <v>Powercor</v>
      </c>
      <c r="B42" s="38" t="s">
        <v>1380</v>
      </c>
      <c r="C42" s="38" t="str">
        <f t="shared" si="3"/>
        <v>Zone Sub Maintenance-ALL ZONE SUBSTATION PROPERTIES</v>
      </c>
      <c r="D42" s="38" t="str">
        <f t="shared" si="4"/>
        <v>Zone Sub Maintenance-NUMBER OF ZONE SUBSTATION PROPERTIES MAINTAINED (000'S)</v>
      </c>
      <c r="E42" s="417"/>
      <c r="F42" s="43" t="s">
        <v>422</v>
      </c>
      <c r="G42" s="43" t="s">
        <v>423</v>
      </c>
      <c r="H42" s="43" t="s">
        <v>424</v>
      </c>
      <c r="I42" s="41">
        <v>8.2000000000000003E-2</v>
      </c>
      <c r="J42" s="41">
        <v>8.3000000000000004E-2</v>
      </c>
      <c r="K42" s="41">
        <v>8.4000000000000005E-2</v>
      </c>
      <c r="L42" s="41">
        <v>8.5000000000000006E-2</v>
      </c>
      <c r="M42" s="41">
        <v>8.5999999999999993E-2</v>
      </c>
      <c r="N42" s="41">
        <v>2.5999999999999999E-2</v>
      </c>
      <c r="O42" s="41">
        <v>1.7999999999999999E-2</v>
      </c>
      <c r="P42" s="41">
        <v>1.4999999999999999E-2</v>
      </c>
      <c r="Q42" s="41">
        <v>7.5999999999999998E-2</v>
      </c>
      <c r="R42" s="41">
        <v>5.0999999999999997E-2</v>
      </c>
      <c r="S42" s="41">
        <v>41.333333333333336</v>
      </c>
      <c r="T42" s="41">
        <v>41.333333333333336</v>
      </c>
      <c r="U42" s="41">
        <v>43.666666666666664</v>
      </c>
      <c r="V42" s="41">
        <v>40.333333333333336</v>
      </c>
      <c r="W42" s="41">
        <v>40</v>
      </c>
      <c r="X42" s="38">
        <v>8.3333333333333329E-2</v>
      </c>
      <c r="Y42" s="38">
        <v>8.3333333333333329E-2</v>
      </c>
      <c r="Z42" s="40">
        <v>789.57128803407511</v>
      </c>
      <c r="AA42" s="40">
        <v>1163.5762266679847</v>
      </c>
      <c r="AB42" s="40">
        <v>1414.4031233551111</v>
      </c>
      <c r="AC42" s="40">
        <v>2707.7184974741017</v>
      </c>
      <c r="AD42" s="40">
        <v>3685.2350895481441</v>
      </c>
      <c r="AE42" s="40">
        <v>41.165665853475744</v>
      </c>
      <c r="AF42" s="40">
        <v>56.754646349186892</v>
      </c>
      <c r="AG42" s="40">
        <v>3.4659378645360523</v>
      </c>
      <c r="AH42" s="40">
        <v>26.186262563047105</v>
      </c>
      <c r="AI42" s="40">
        <v>148.63286403776615</v>
      </c>
      <c r="AK42" s="53">
        <f t="shared" si="5"/>
        <v>0.186</v>
      </c>
      <c r="AL42" s="54">
        <f t="shared" si="6"/>
        <v>9760.5042250794177</v>
      </c>
      <c r="AM42" s="54">
        <f t="shared" si="7"/>
        <v>276.20537666801198</v>
      </c>
      <c r="AN42" s="123">
        <f t="shared" si="10"/>
        <v>10036.70960174743</v>
      </c>
      <c r="AO42" s="44" t="s">
        <v>1390</v>
      </c>
      <c r="AP42" s="38" t="str">
        <f t="shared" si="2"/>
        <v>Zone Sub</v>
      </c>
      <c r="AR42" s="43" t="s">
        <v>1436</v>
      </c>
      <c r="AS42" s="38" t="s">
        <v>1392</v>
      </c>
    </row>
    <row r="43" spans="1:45" ht="30" hidden="1">
      <c r="A43" s="38" t="str">
        <f t="shared" si="0"/>
        <v>Powercor</v>
      </c>
      <c r="B43" s="38" t="s">
        <v>1193</v>
      </c>
      <c r="C43" s="38" t="str">
        <f t="shared" si="3"/>
        <v>Public Lighting Maintenance-MINOR ROADS</v>
      </c>
      <c r="D43" s="38" t="str">
        <f t="shared" si="4"/>
        <v>Public Lighting Maintenance-NUMBER OF PUBLIC LIGHTS MAINTAINED (000'S)</v>
      </c>
      <c r="E43" s="417"/>
      <c r="F43" s="43" t="s">
        <v>425</v>
      </c>
      <c r="G43" s="43" t="s">
        <v>426</v>
      </c>
      <c r="H43" s="43" t="s">
        <v>427</v>
      </c>
      <c r="I43" s="41">
        <v>122.474</v>
      </c>
      <c r="J43" s="41">
        <v>125.616</v>
      </c>
      <c r="K43" s="41">
        <v>130.19999999999999</v>
      </c>
      <c r="L43" s="41">
        <v>133.32400000000001</v>
      </c>
      <c r="M43" s="41">
        <v>135.755</v>
      </c>
      <c r="N43" s="41">
        <v>37.210999999999999</v>
      </c>
      <c r="O43" s="41">
        <v>37.737000000000002</v>
      </c>
      <c r="P43" s="41">
        <v>38.014000000000003</v>
      </c>
      <c r="Q43" s="41">
        <v>38.951000000000001</v>
      </c>
      <c r="R43" s="41">
        <v>39.636000000000003</v>
      </c>
      <c r="S43" s="41">
        <v>15.263722983279662</v>
      </c>
      <c r="T43" s="41">
        <v>15.263722983279662</v>
      </c>
      <c r="U43" s="41">
        <v>15.263722983279662</v>
      </c>
      <c r="V43" s="41">
        <v>15.263722983279662</v>
      </c>
      <c r="W43" s="41">
        <v>15.263722983279662</v>
      </c>
      <c r="X43" s="38">
        <v>0</v>
      </c>
      <c r="Y43" s="38">
        <v>4</v>
      </c>
      <c r="Z43" s="40">
        <v>1985.487540665667</v>
      </c>
      <c r="AA43" s="40">
        <v>1968.4937841164274</v>
      </c>
      <c r="AB43" s="40">
        <v>2779.8724187766752</v>
      </c>
      <c r="AC43" s="40">
        <v>2400.4825749634465</v>
      </c>
      <c r="AD43" s="40">
        <v>1258.3848218879402</v>
      </c>
      <c r="AE43" s="40">
        <v>1800.889060757564</v>
      </c>
      <c r="AF43" s="40">
        <v>1553.112018642868</v>
      </c>
      <c r="AG43" s="40">
        <v>2493.4717618515406</v>
      </c>
      <c r="AH43" s="40">
        <v>2810.1756497446981</v>
      </c>
      <c r="AI43" s="40">
        <v>2975.7589426688837</v>
      </c>
      <c r="AK43" s="53">
        <f t="shared" si="5"/>
        <v>191.54900000000001</v>
      </c>
      <c r="AL43" s="54">
        <f t="shared" si="6"/>
        <v>10392.721140410154</v>
      </c>
      <c r="AM43" s="54">
        <f t="shared" si="7"/>
        <v>11633.407433665554</v>
      </c>
      <c r="AN43" s="123">
        <f t="shared" si="10"/>
        <v>22026.128574075708</v>
      </c>
      <c r="AO43" s="44" t="s">
        <v>1389</v>
      </c>
      <c r="AP43" s="38" t="str">
        <f t="shared" si="2"/>
        <v>Public Lighting</v>
      </c>
      <c r="AR43" s="43" t="s">
        <v>1437</v>
      </c>
      <c r="AS43" s="38" t="s">
        <v>1392</v>
      </c>
    </row>
    <row r="44" spans="1:45" ht="30" hidden="1">
      <c r="A44" s="38" t="str">
        <f t="shared" si="0"/>
        <v>Powercor</v>
      </c>
      <c r="B44" s="38" t="s">
        <v>1193</v>
      </c>
      <c r="C44" s="38" t="str">
        <f t="shared" si="3"/>
        <v>Public Lighting Maintenance-MAJOR ROADS</v>
      </c>
      <c r="D44" s="38" t="str">
        <f t="shared" si="4"/>
        <v>Public Lighting Maintenance-NUMBER OF PUBLIC LIGHTS MAINTAINED (000'S)</v>
      </c>
      <c r="E44" s="417"/>
      <c r="F44" s="43" t="s">
        <v>425</v>
      </c>
      <c r="G44" s="43" t="s">
        <v>428</v>
      </c>
      <c r="H44" s="43" t="s">
        <v>427</v>
      </c>
      <c r="I44" s="41">
        <v>19.344999999999999</v>
      </c>
      <c r="J44" s="41">
        <v>19.861999999999998</v>
      </c>
      <c r="K44" s="41">
        <v>20.158999999999999</v>
      </c>
      <c r="L44" s="41">
        <v>20.302</v>
      </c>
      <c r="M44" s="41">
        <v>21.013000000000002</v>
      </c>
      <c r="N44" s="41">
        <v>5.633</v>
      </c>
      <c r="O44" s="41">
        <v>6.3330000000000002</v>
      </c>
      <c r="P44" s="41">
        <v>0.96</v>
      </c>
      <c r="Q44" s="41">
        <v>1.359</v>
      </c>
      <c r="R44" s="41">
        <v>1.389</v>
      </c>
      <c r="S44" s="41">
        <v>18.216890412263162</v>
      </c>
      <c r="T44" s="41">
        <v>18.216890412263162</v>
      </c>
      <c r="U44" s="41">
        <v>18.216890412263162</v>
      </c>
      <c r="V44" s="41">
        <v>18.216890412263162</v>
      </c>
      <c r="W44" s="41">
        <v>18.216890412263162</v>
      </c>
      <c r="X44" s="38">
        <v>0.33</v>
      </c>
      <c r="Y44" s="38">
        <v>0</v>
      </c>
      <c r="Z44" s="40">
        <v>313.60000000000002</v>
      </c>
      <c r="AA44" s="40">
        <v>311.3</v>
      </c>
      <c r="AB44" s="40">
        <v>83.5</v>
      </c>
      <c r="AC44" s="40">
        <v>96.8</v>
      </c>
      <c r="AD44" s="40">
        <v>109.9</v>
      </c>
      <c r="AE44" s="40">
        <v>217.7</v>
      </c>
      <c r="AF44" s="40">
        <v>335.3</v>
      </c>
      <c r="AG44" s="40">
        <v>438.1</v>
      </c>
      <c r="AH44" s="40">
        <v>679.6</v>
      </c>
      <c r="AI44" s="40">
        <v>725.5</v>
      </c>
      <c r="AK44" s="53">
        <f t="shared" si="5"/>
        <v>15.674000000000001</v>
      </c>
      <c r="AL44" s="54">
        <f t="shared" si="6"/>
        <v>915.1</v>
      </c>
      <c r="AM44" s="54">
        <f t="shared" si="7"/>
        <v>2396.1999999999998</v>
      </c>
      <c r="AN44" s="123">
        <f t="shared" si="10"/>
        <v>3311.2999999999997</v>
      </c>
      <c r="AO44" s="44" t="s">
        <v>1389</v>
      </c>
      <c r="AP44" s="38" t="str">
        <f t="shared" si="2"/>
        <v>Public Lighting</v>
      </c>
      <c r="AR44" s="43" t="s">
        <v>1438</v>
      </c>
      <c r="AS44" s="38" t="s">
        <v>1439</v>
      </c>
    </row>
    <row r="45" spans="1:45" ht="30" hidden="1">
      <c r="A45" s="38" t="str">
        <f t="shared" si="0"/>
        <v>Powercor</v>
      </c>
      <c r="B45" s="38" t="s">
        <v>1194</v>
      </c>
      <c r="C45" s="38" t="str">
        <f t="shared" si="3"/>
        <v>SCADA Maintenance-SCADA &amp; NETWORK CONTROL MAINTENANCE</v>
      </c>
      <c r="D45" s="38" t="str">
        <f t="shared" si="4"/>
        <v xml:space="preserve">SCADA Maintenance- NUMBER OF DEVICES (000's) </v>
      </c>
      <c r="E45" s="417"/>
      <c r="F45" s="43" t="s">
        <v>429</v>
      </c>
      <c r="G45" s="43" t="s">
        <v>429</v>
      </c>
      <c r="H45" s="43" t="s">
        <v>1186</v>
      </c>
      <c r="I45" s="41">
        <v>3.3237333333333337</v>
      </c>
      <c r="J45" s="41">
        <v>3.3237333333333337</v>
      </c>
      <c r="K45" s="41">
        <v>3.069</v>
      </c>
      <c r="L45" s="41">
        <v>3.524</v>
      </c>
      <c r="M45" s="41">
        <v>3.3781999999999996</v>
      </c>
      <c r="N45" s="41">
        <v>0</v>
      </c>
      <c r="O45" s="41">
        <v>2E-3</v>
      </c>
      <c r="P45" s="41">
        <v>1E-3</v>
      </c>
      <c r="Q45" s="41">
        <v>3.0000000000000001E-3</v>
      </c>
      <c r="R45" s="41">
        <v>3.0000000000000001E-3</v>
      </c>
      <c r="S45" s="41">
        <v>3.6428571428571428</v>
      </c>
      <c r="T45" s="41">
        <v>3.6428571428571428</v>
      </c>
      <c r="U45" s="41">
        <v>3.6428571428571428</v>
      </c>
      <c r="V45" s="41">
        <v>3.6428571428571428</v>
      </c>
      <c r="W45" s="41">
        <v>3.6428571428571428</v>
      </c>
      <c r="X45" s="38">
        <v>0</v>
      </c>
      <c r="Y45" s="38">
        <v>0</v>
      </c>
      <c r="Z45" s="40">
        <v>0</v>
      </c>
      <c r="AA45" s="40">
        <v>0</v>
      </c>
      <c r="AB45" s="40">
        <v>0</v>
      </c>
      <c r="AC45" s="40">
        <v>0</v>
      </c>
      <c r="AD45" s="40">
        <v>0</v>
      </c>
      <c r="AE45" s="40">
        <v>0</v>
      </c>
      <c r="AF45" s="40">
        <v>1.1511083474702808</v>
      </c>
      <c r="AG45" s="40">
        <v>13.391580212830602</v>
      </c>
      <c r="AH45" s="40">
        <v>6.9763401790102613</v>
      </c>
      <c r="AI45" s="40">
        <v>23.191373145138371</v>
      </c>
      <c r="AK45" s="53">
        <f t="shared" si="5"/>
        <v>9.0000000000000011E-3</v>
      </c>
      <c r="AL45" s="54">
        <f t="shared" si="6"/>
        <v>0</v>
      </c>
      <c r="AM45" s="54">
        <f t="shared" si="7"/>
        <v>44.710401884449517</v>
      </c>
      <c r="AN45" s="123">
        <f t="shared" si="10"/>
        <v>44.710401884449517</v>
      </c>
      <c r="AO45" s="44" t="s">
        <v>1390</v>
      </c>
      <c r="AP45" s="38" t="str">
        <f t="shared" si="2"/>
        <v>Zone Sub</v>
      </c>
      <c r="AR45" s="43" t="s">
        <v>1417</v>
      </c>
      <c r="AS45" s="38" t="s">
        <v>1439</v>
      </c>
    </row>
    <row r="46" spans="1:45" ht="30" hidden="1">
      <c r="A46" s="38" t="str">
        <f t="shared" si="0"/>
        <v>Powercor</v>
      </c>
      <c r="B46" s="38" t="s">
        <v>1195</v>
      </c>
      <c r="C46" s="38" t="str">
        <f t="shared" si="3"/>
        <v>Protection Maintenance-PROTECTION SYSTEMS MAINTENANCE</v>
      </c>
      <c r="D46" s="38" t="str">
        <f t="shared" si="4"/>
        <v xml:space="preserve">Protection Maintenance- NUMBER OF DEVICES (000's) </v>
      </c>
      <c r="E46" s="417"/>
      <c r="F46" s="43" t="s">
        <v>430</v>
      </c>
      <c r="G46" s="43" t="s">
        <v>430</v>
      </c>
      <c r="H46" s="43" t="s">
        <v>1186</v>
      </c>
      <c r="I46" s="41">
        <v>3.4033333333333333</v>
      </c>
      <c r="J46" s="41">
        <v>3.4033333333333333</v>
      </c>
      <c r="K46" s="41">
        <v>3.3</v>
      </c>
      <c r="L46" s="41">
        <v>3.39</v>
      </c>
      <c r="M46" s="41">
        <v>3.52</v>
      </c>
      <c r="N46" s="41">
        <v>0.50600000000000001</v>
      </c>
      <c r="O46" s="41">
        <v>0.621</v>
      </c>
      <c r="P46" s="41">
        <v>0.57099999999999995</v>
      </c>
      <c r="Q46" s="41">
        <v>0.56200000000000006</v>
      </c>
      <c r="R46" s="41">
        <v>0.55600000000000005</v>
      </c>
      <c r="S46" s="41">
        <v>22.722222222222218</v>
      </c>
      <c r="T46" s="41">
        <v>22.722222222222218</v>
      </c>
      <c r="U46" s="41">
        <v>24.333333333333332</v>
      </c>
      <c r="V46" s="41">
        <v>23.333333333333332</v>
      </c>
      <c r="W46" s="41">
        <v>20.5</v>
      </c>
      <c r="X46" s="38">
        <v>6</v>
      </c>
      <c r="Y46" s="38">
        <v>6</v>
      </c>
      <c r="Z46" s="40">
        <v>390.11291862259276</v>
      </c>
      <c r="AA46" s="40">
        <v>438.88866633535099</v>
      </c>
      <c r="AB46" s="40">
        <v>539.65787985798261</v>
      </c>
      <c r="AC46" s="40">
        <v>884.72515873339262</v>
      </c>
      <c r="AD46" s="40">
        <v>821.98007695383512</v>
      </c>
      <c r="AE46" s="40">
        <v>525.06254066670272</v>
      </c>
      <c r="AF46" s="40">
        <v>621.51843053151902</v>
      </c>
      <c r="AG46" s="40">
        <v>948.00935242592607</v>
      </c>
      <c r="AH46" s="40">
        <v>882.29714275402534</v>
      </c>
      <c r="AI46" s="40">
        <v>707.02375698617175</v>
      </c>
      <c r="AK46" s="53">
        <f t="shared" si="5"/>
        <v>2.8159999999999998</v>
      </c>
      <c r="AL46" s="54">
        <f t="shared" si="6"/>
        <v>3075.3647005031544</v>
      </c>
      <c r="AM46" s="54">
        <f t="shared" si="7"/>
        <v>3683.9112233643455</v>
      </c>
      <c r="AN46" s="123">
        <f t="shared" si="10"/>
        <v>6759.2759238674998</v>
      </c>
      <c r="AO46" s="44" t="s">
        <v>1390</v>
      </c>
      <c r="AP46" s="38" t="str">
        <f t="shared" si="2"/>
        <v>Zone Sub</v>
      </c>
    </row>
    <row r="47" spans="1:45" ht="60" hidden="1">
      <c r="A47" s="38" t="str">
        <f t="shared" si="0"/>
        <v>Powercor</v>
      </c>
      <c r="B47" s="38" t="s">
        <v>1196</v>
      </c>
      <c r="C47" s="38" t="str">
        <f t="shared" si="3"/>
        <v>Subtrans Maintenance-SUBTRANSMISSION ASSET MAINTENANCE - FOR DNSPS WITH DUAL FUNCTION ASSETS</v>
      </c>
      <c r="D47" s="38" t="str">
        <f t="shared" si="4"/>
        <v>Subtrans Maintenance-DNSP TO NOMINATE</v>
      </c>
      <c r="E47" s="417"/>
      <c r="F47" s="43" t="s">
        <v>431</v>
      </c>
      <c r="G47" s="43" t="s">
        <v>431</v>
      </c>
      <c r="H47" s="43" t="s">
        <v>411</v>
      </c>
      <c r="I47" s="41">
        <v>0</v>
      </c>
      <c r="J47" s="41">
        <v>0</v>
      </c>
      <c r="K47" s="41">
        <v>0</v>
      </c>
      <c r="L47" s="41">
        <v>0</v>
      </c>
      <c r="M47" s="41">
        <v>0</v>
      </c>
      <c r="N47" s="41">
        <v>0</v>
      </c>
      <c r="O47" s="41">
        <v>0</v>
      </c>
      <c r="P47" s="41">
        <v>0</v>
      </c>
      <c r="Q47" s="41">
        <v>0</v>
      </c>
      <c r="R47" s="41">
        <v>0</v>
      </c>
      <c r="Z47" s="40">
        <v>0</v>
      </c>
      <c r="AA47" s="40">
        <v>0</v>
      </c>
      <c r="AB47" s="40">
        <v>0</v>
      </c>
      <c r="AC47" s="40">
        <v>0</v>
      </c>
      <c r="AD47" s="40">
        <v>0</v>
      </c>
      <c r="AE47" s="40">
        <v>0</v>
      </c>
      <c r="AF47" s="40">
        <v>0</v>
      </c>
      <c r="AG47" s="40">
        <v>0</v>
      </c>
      <c r="AH47" s="40">
        <v>0</v>
      </c>
      <c r="AI47" s="40">
        <v>0</v>
      </c>
      <c r="AK47" s="53">
        <f t="shared" si="5"/>
        <v>0</v>
      </c>
      <c r="AL47" s="54">
        <f t="shared" si="6"/>
        <v>0</v>
      </c>
      <c r="AM47" s="54">
        <f t="shared" si="7"/>
        <v>0</v>
      </c>
      <c r="AN47" s="123">
        <f t="shared" si="10"/>
        <v>0</v>
      </c>
      <c r="AO47" s="44" t="s">
        <v>1389</v>
      </c>
      <c r="AP47" s="38" t="str">
        <f t="shared" si="2"/>
        <v>OH/UG</v>
      </c>
    </row>
    <row r="48" spans="1:45" ht="30" hidden="1">
      <c r="A48" s="38" t="str">
        <f t="shared" si="0"/>
        <v>Powercor</v>
      </c>
      <c r="B48" s="38" t="s">
        <v>720</v>
      </c>
      <c r="C48" s="38" t="str">
        <f t="shared" si="3"/>
        <v>Other-ASSET CATEGORY (DNSP TO NOMINATE)</v>
      </c>
      <c r="D48" s="38" t="str">
        <f t="shared" si="4"/>
        <v>Other-DNSP TO NOMINATE</v>
      </c>
      <c r="E48" s="417"/>
      <c r="F48" s="43" t="s">
        <v>1187</v>
      </c>
      <c r="G48" s="43" t="s">
        <v>432</v>
      </c>
      <c r="H48" s="43" t="s">
        <v>411</v>
      </c>
      <c r="I48" s="41">
        <v>0</v>
      </c>
      <c r="J48" s="41">
        <v>0</v>
      </c>
      <c r="K48" s="41">
        <v>0</v>
      </c>
      <c r="L48" s="41">
        <v>0</v>
      </c>
      <c r="M48" s="41">
        <v>0</v>
      </c>
      <c r="N48" s="41">
        <v>0</v>
      </c>
      <c r="O48" s="41">
        <v>0</v>
      </c>
      <c r="P48" s="41">
        <v>0</v>
      </c>
      <c r="Q48" s="41">
        <v>0</v>
      </c>
      <c r="R48" s="41">
        <v>0</v>
      </c>
      <c r="AK48" s="53">
        <f t="shared" si="5"/>
        <v>0</v>
      </c>
      <c r="AL48" s="54">
        <f t="shared" si="6"/>
        <v>0</v>
      </c>
      <c r="AM48" s="54">
        <f t="shared" si="7"/>
        <v>0</v>
      </c>
      <c r="AN48" s="123">
        <f t="shared" si="10"/>
        <v>0</v>
      </c>
      <c r="AO48" s="44" t="s">
        <v>1389</v>
      </c>
      <c r="AP48" s="38" t="str">
        <f t="shared" si="2"/>
        <v>Exclude</v>
      </c>
    </row>
    <row r="49" spans="1:42" ht="30" hidden="1">
      <c r="A49" s="38" t="str">
        <f t="shared" si="0"/>
        <v>Powercor</v>
      </c>
      <c r="B49" s="38" t="s">
        <v>720</v>
      </c>
      <c r="C49" s="38" t="str">
        <f t="shared" si="3"/>
        <v>Other-</v>
      </c>
      <c r="D49" s="38" t="str">
        <f t="shared" si="4"/>
        <v>Other- EMERGENCY FAULTS - OVERHEAD</v>
      </c>
      <c r="E49" s="417"/>
      <c r="H49" s="43" t="s">
        <v>1188</v>
      </c>
      <c r="Z49" s="40">
        <v>0</v>
      </c>
      <c r="AA49" s="40">
        <v>0</v>
      </c>
      <c r="AB49" s="40">
        <v>0</v>
      </c>
      <c r="AC49" s="40">
        <v>0</v>
      </c>
      <c r="AD49" s="40">
        <v>0</v>
      </c>
      <c r="AE49" s="40">
        <v>0</v>
      </c>
      <c r="AF49" s="40">
        <v>0</v>
      </c>
      <c r="AG49" s="40">
        <v>0</v>
      </c>
      <c r="AH49" s="40">
        <v>0</v>
      </c>
      <c r="AI49" s="40">
        <v>0</v>
      </c>
      <c r="AK49" s="53">
        <f t="shared" si="5"/>
        <v>0</v>
      </c>
      <c r="AL49" s="54">
        <f t="shared" si="6"/>
        <v>0</v>
      </c>
      <c r="AM49" s="54">
        <f t="shared" si="7"/>
        <v>0</v>
      </c>
      <c r="AN49" s="123">
        <f t="shared" si="10"/>
        <v>0</v>
      </c>
      <c r="AO49" s="44" t="s">
        <v>1389</v>
      </c>
      <c r="AP49" s="38" t="str">
        <f t="shared" si="2"/>
        <v>Exclude</v>
      </c>
    </row>
    <row r="50" spans="1:42" ht="30" hidden="1">
      <c r="A50" s="38" t="str">
        <f t="shared" si="0"/>
        <v>Powercor</v>
      </c>
      <c r="B50" s="38" t="s">
        <v>720</v>
      </c>
      <c r="C50" s="38" t="str">
        <f t="shared" si="3"/>
        <v>Other-</v>
      </c>
      <c r="D50" s="38" t="str">
        <f t="shared" si="4"/>
        <v xml:space="preserve">Other- EMERGENCY FAULTS - UNDERGROUND </v>
      </c>
      <c r="E50" s="417"/>
      <c r="H50" s="43" t="s">
        <v>1165</v>
      </c>
      <c r="Z50" s="40">
        <v>0</v>
      </c>
      <c r="AA50" s="40">
        <v>0</v>
      </c>
      <c r="AB50" s="40">
        <v>0</v>
      </c>
      <c r="AC50" s="40">
        <v>0</v>
      </c>
      <c r="AD50" s="40">
        <v>0</v>
      </c>
      <c r="AE50" s="40">
        <v>0</v>
      </c>
      <c r="AF50" s="40">
        <v>0</v>
      </c>
      <c r="AG50" s="40">
        <v>0</v>
      </c>
      <c r="AH50" s="40">
        <v>0</v>
      </c>
      <c r="AI50" s="40">
        <v>0</v>
      </c>
      <c r="AK50" s="53">
        <f t="shared" si="5"/>
        <v>0</v>
      </c>
      <c r="AL50" s="54">
        <f t="shared" si="6"/>
        <v>0</v>
      </c>
      <c r="AM50" s="54">
        <f t="shared" si="7"/>
        <v>0</v>
      </c>
      <c r="AN50" s="123">
        <f t="shared" si="10"/>
        <v>0</v>
      </c>
      <c r="AO50" s="44" t="s">
        <v>1389</v>
      </c>
      <c r="AP50" s="38" t="str">
        <f t="shared" si="2"/>
        <v>Exclude</v>
      </c>
    </row>
    <row r="51" spans="1:42" hidden="1">
      <c r="A51" s="38" t="str">
        <f t="shared" si="0"/>
        <v>Powercor</v>
      </c>
      <c r="B51" s="38" t="s">
        <v>720</v>
      </c>
      <c r="C51" s="38" t="str">
        <f t="shared" si="3"/>
        <v>Other-</v>
      </c>
      <c r="D51" s="38" t="str">
        <f t="shared" si="4"/>
        <v xml:space="preserve">Other- EMERGENCY FAULTS - METERS </v>
      </c>
      <c r="E51" s="417"/>
      <c r="H51" s="43" t="s">
        <v>1166</v>
      </c>
      <c r="Z51" s="40">
        <v>0</v>
      </c>
      <c r="AA51" s="40">
        <v>0</v>
      </c>
      <c r="AB51" s="40">
        <v>0</v>
      </c>
      <c r="AC51" s="40">
        <v>0</v>
      </c>
      <c r="AD51" s="40">
        <v>0</v>
      </c>
      <c r="AE51" s="40">
        <v>0</v>
      </c>
      <c r="AF51" s="40">
        <v>0</v>
      </c>
      <c r="AG51" s="40">
        <v>0</v>
      </c>
      <c r="AH51" s="40">
        <v>0</v>
      </c>
      <c r="AI51" s="40">
        <v>0</v>
      </c>
      <c r="AK51" s="53">
        <f t="shared" si="5"/>
        <v>0</v>
      </c>
      <c r="AL51" s="54">
        <f t="shared" si="6"/>
        <v>0</v>
      </c>
      <c r="AM51" s="54">
        <f t="shared" si="7"/>
        <v>0</v>
      </c>
      <c r="AN51" s="123">
        <f t="shared" si="10"/>
        <v>0</v>
      </c>
      <c r="AO51" s="44" t="s">
        <v>1389</v>
      </c>
      <c r="AP51" s="38" t="str">
        <f t="shared" si="2"/>
        <v>Exclude</v>
      </c>
    </row>
    <row r="52" spans="1:42" ht="30" hidden="1">
      <c r="A52" s="38" t="str">
        <f t="shared" si="0"/>
        <v>Powercor</v>
      </c>
      <c r="B52" s="38" t="s">
        <v>720</v>
      </c>
      <c r="C52" s="38" t="str">
        <f t="shared" si="3"/>
        <v>Other-</v>
      </c>
      <c r="D52" s="38" t="str">
        <f t="shared" si="4"/>
        <v xml:space="preserve">Other- EMERGENCY FAULTS - PROTECTION AND CONTROL </v>
      </c>
      <c r="E52" s="417"/>
      <c r="H52" s="43" t="s">
        <v>1167</v>
      </c>
      <c r="Z52" s="40">
        <v>0</v>
      </c>
      <c r="AA52" s="40">
        <v>0</v>
      </c>
      <c r="AB52" s="40">
        <v>0</v>
      </c>
      <c r="AC52" s="40">
        <v>0</v>
      </c>
      <c r="AD52" s="40">
        <v>0</v>
      </c>
      <c r="AE52" s="40">
        <v>0</v>
      </c>
      <c r="AF52" s="40">
        <v>0</v>
      </c>
      <c r="AG52" s="40">
        <v>0</v>
      </c>
      <c r="AH52" s="40">
        <v>0</v>
      </c>
      <c r="AI52" s="40">
        <v>0</v>
      </c>
      <c r="AK52" s="53">
        <f t="shared" si="5"/>
        <v>0</v>
      </c>
      <c r="AL52" s="54">
        <f t="shared" si="6"/>
        <v>0</v>
      </c>
      <c r="AM52" s="54">
        <f t="shared" si="7"/>
        <v>0</v>
      </c>
      <c r="AN52" s="123">
        <f t="shared" si="10"/>
        <v>0</v>
      </c>
      <c r="AO52" s="44" t="s">
        <v>1389</v>
      </c>
      <c r="AP52" s="38" t="str">
        <f t="shared" si="2"/>
        <v>Exclude</v>
      </c>
    </row>
    <row r="53" spans="1:42" hidden="1">
      <c r="A53" s="38" t="str">
        <f t="shared" si="0"/>
        <v>Powercor</v>
      </c>
      <c r="B53" s="38" t="s">
        <v>720</v>
      </c>
      <c r="C53" s="38" t="str">
        <f t="shared" si="3"/>
        <v>Other-</v>
      </c>
      <c r="D53" s="38" t="str">
        <f t="shared" si="4"/>
        <v xml:space="preserve">Other- ROADS MGT BILL </v>
      </c>
      <c r="E53" s="417"/>
      <c r="H53" s="43" t="s">
        <v>1168</v>
      </c>
      <c r="Z53" s="40">
        <v>0</v>
      </c>
      <c r="AA53" s="40">
        <v>0</v>
      </c>
      <c r="AB53" s="40">
        <v>0</v>
      </c>
      <c r="AC53" s="40">
        <v>0</v>
      </c>
      <c r="AD53" s="40">
        <v>0</v>
      </c>
      <c r="AE53" s="40">
        <v>319.40278000000001</v>
      </c>
      <c r="AF53" s="40">
        <v>444.48131000000001</v>
      </c>
      <c r="AG53" s="40">
        <v>327.09566000000001</v>
      </c>
      <c r="AH53" s="40">
        <v>499.73426000000006</v>
      </c>
      <c r="AI53" s="40">
        <v>451.12700000000001</v>
      </c>
      <c r="AK53" s="53">
        <f t="shared" si="5"/>
        <v>0</v>
      </c>
      <c r="AL53" s="54">
        <f t="shared" si="6"/>
        <v>0</v>
      </c>
      <c r="AM53" s="54">
        <f t="shared" si="7"/>
        <v>2041.8410100000001</v>
      </c>
      <c r="AN53" s="123">
        <f t="shared" si="10"/>
        <v>2041.8410100000001</v>
      </c>
      <c r="AO53" s="44" t="s">
        <v>1389</v>
      </c>
      <c r="AP53" s="38" t="str">
        <f t="shared" si="2"/>
        <v>Exclude</v>
      </c>
    </row>
    <row r="54" spans="1:42" hidden="1">
      <c r="A54" s="38" t="str">
        <f t="shared" si="0"/>
        <v>Powercor</v>
      </c>
      <c r="B54" s="38" t="s">
        <v>720</v>
      </c>
      <c r="C54" s="38" t="str">
        <f t="shared" si="3"/>
        <v>Other-</v>
      </c>
      <c r="D54" s="38" t="str">
        <f t="shared" si="4"/>
        <v xml:space="preserve">Other- VOLTAGE COMPLAINTS </v>
      </c>
      <c r="E54" s="417"/>
      <c r="H54" s="43" t="s">
        <v>1169</v>
      </c>
      <c r="Z54" s="40">
        <v>0</v>
      </c>
      <c r="AA54" s="40">
        <v>0</v>
      </c>
      <c r="AB54" s="40">
        <v>0</v>
      </c>
      <c r="AC54" s="40">
        <v>0</v>
      </c>
      <c r="AD54" s="40">
        <v>0</v>
      </c>
      <c r="AE54" s="40">
        <v>2011.8413800000003</v>
      </c>
      <c r="AF54" s="40">
        <v>1931.3686700000001</v>
      </c>
      <c r="AG54" s="40">
        <v>2093.6334799999995</v>
      </c>
      <c r="AH54" s="40">
        <v>2332.1749699999991</v>
      </c>
      <c r="AI54" s="40">
        <v>2703.3359399999995</v>
      </c>
      <c r="AK54" s="53">
        <f t="shared" si="5"/>
        <v>0</v>
      </c>
      <c r="AL54" s="54">
        <f t="shared" si="6"/>
        <v>0</v>
      </c>
      <c r="AM54" s="54">
        <f t="shared" si="7"/>
        <v>11072.354439999997</v>
      </c>
      <c r="AN54" s="123">
        <f t="shared" si="10"/>
        <v>11072.354439999997</v>
      </c>
      <c r="AO54" s="44" t="s">
        <v>1389</v>
      </c>
      <c r="AP54" s="38" t="str">
        <f t="shared" si="2"/>
        <v>Exclude</v>
      </c>
    </row>
    <row r="55" spans="1:42" hidden="1">
      <c r="A55" s="38" t="str">
        <f t="shared" si="0"/>
        <v>Powercor</v>
      </c>
      <c r="B55" s="38" t="s">
        <v>720</v>
      </c>
      <c r="C55" s="38" t="str">
        <f t="shared" si="3"/>
        <v>Other-</v>
      </c>
      <c r="D55" s="38" t="str">
        <f t="shared" si="4"/>
        <v xml:space="preserve">Other- TVI INVESTIGATIONS </v>
      </c>
      <c r="E55" s="417"/>
      <c r="H55" s="43" t="s">
        <v>1170</v>
      </c>
      <c r="Z55" s="40">
        <v>0</v>
      </c>
      <c r="AA55" s="40">
        <v>0</v>
      </c>
      <c r="AB55" s="40">
        <v>0</v>
      </c>
      <c r="AC55" s="40">
        <v>0</v>
      </c>
      <c r="AD55" s="40">
        <v>0</v>
      </c>
      <c r="AE55" s="40">
        <v>206.81196999999997</v>
      </c>
      <c r="AF55" s="40">
        <v>213.70024999999998</v>
      </c>
      <c r="AG55" s="40">
        <v>178.53855000000001</v>
      </c>
      <c r="AH55" s="40">
        <v>182.60141999999999</v>
      </c>
      <c r="AI55" s="40">
        <v>166.80399999999997</v>
      </c>
      <c r="AK55" s="53">
        <f t="shared" si="5"/>
        <v>0</v>
      </c>
      <c r="AL55" s="54">
        <f t="shared" si="6"/>
        <v>0</v>
      </c>
      <c r="AM55" s="54">
        <f t="shared" si="7"/>
        <v>948.45618999999988</v>
      </c>
      <c r="AN55" s="123">
        <f t="shared" si="10"/>
        <v>948.45618999999988</v>
      </c>
      <c r="AO55" s="44" t="s">
        <v>1389</v>
      </c>
      <c r="AP55" s="38" t="str">
        <f t="shared" si="2"/>
        <v>Exclude</v>
      </c>
    </row>
    <row r="56" spans="1:42" hidden="1">
      <c r="A56" s="38" t="str">
        <f t="shared" si="0"/>
        <v>Powercor</v>
      </c>
      <c r="B56" s="38" t="s">
        <v>720</v>
      </c>
      <c r="C56" s="38" t="str">
        <f t="shared" si="3"/>
        <v>Other-</v>
      </c>
      <c r="D56" s="38" t="str">
        <f t="shared" si="4"/>
        <v xml:space="preserve">Other- POLE DEFECT MANAGEMENT </v>
      </c>
      <c r="E56" s="417"/>
      <c r="H56" s="43" t="s">
        <v>1171</v>
      </c>
      <c r="Z56" s="40">
        <v>0</v>
      </c>
      <c r="AA56" s="40">
        <v>0</v>
      </c>
      <c r="AB56" s="40">
        <v>0</v>
      </c>
      <c r="AC56" s="40">
        <v>0</v>
      </c>
      <c r="AD56" s="40">
        <v>0</v>
      </c>
      <c r="AE56" s="40">
        <v>751.13751000000002</v>
      </c>
      <c r="AF56" s="40">
        <v>925.83345999999995</v>
      </c>
      <c r="AG56" s="40">
        <v>958.51879999999994</v>
      </c>
      <c r="AH56" s="40">
        <v>824.93421000000001</v>
      </c>
      <c r="AI56" s="40">
        <v>929.44133000000011</v>
      </c>
      <c r="AK56" s="53">
        <f t="shared" si="5"/>
        <v>0</v>
      </c>
      <c r="AL56" s="54">
        <f t="shared" si="6"/>
        <v>0</v>
      </c>
      <c r="AM56" s="54">
        <f t="shared" si="7"/>
        <v>4389.8653099999992</v>
      </c>
      <c r="AN56" s="123">
        <f t="shared" si="10"/>
        <v>4389.8653099999992</v>
      </c>
      <c r="AO56" s="44" t="s">
        <v>1389</v>
      </c>
      <c r="AP56" s="38" t="str">
        <f t="shared" si="2"/>
        <v>Exclude</v>
      </c>
    </row>
    <row r="57" spans="1:42" hidden="1">
      <c r="A57" s="38" t="str">
        <f t="shared" si="0"/>
        <v>Powercor</v>
      </c>
      <c r="B57" s="38" t="s">
        <v>720</v>
      </c>
      <c r="C57" s="38" t="str">
        <f t="shared" si="3"/>
        <v>Other-</v>
      </c>
      <c r="D57" s="38" t="str">
        <f t="shared" si="4"/>
        <v xml:space="preserve">Other- INSULATOR WASHING </v>
      </c>
      <c r="E57" s="417"/>
      <c r="H57" s="43" t="s">
        <v>1172</v>
      </c>
      <c r="Z57" s="40">
        <v>90.771680000000003</v>
      </c>
      <c r="AA57" s="40">
        <v>66.721249999999998</v>
      </c>
      <c r="AB57" s="40">
        <v>28.419930000000001</v>
      </c>
      <c r="AC57" s="40">
        <v>107.76</v>
      </c>
      <c r="AD57" s="40">
        <v>429.26947999999999</v>
      </c>
      <c r="AE57" s="40">
        <v>0</v>
      </c>
      <c r="AF57" s="40">
        <v>0</v>
      </c>
      <c r="AG57" s="40">
        <v>0</v>
      </c>
      <c r="AH57" s="40">
        <v>0</v>
      </c>
      <c r="AI57" s="40">
        <v>0</v>
      </c>
      <c r="AK57" s="53">
        <f t="shared" si="5"/>
        <v>0</v>
      </c>
      <c r="AL57" s="54">
        <f t="shared" si="6"/>
        <v>722.94234000000006</v>
      </c>
      <c r="AM57" s="54">
        <f t="shared" si="7"/>
        <v>0</v>
      </c>
      <c r="AN57" s="123">
        <f t="shared" si="10"/>
        <v>722.94234000000006</v>
      </c>
      <c r="AO57" s="44" t="s">
        <v>1389</v>
      </c>
      <c r="AP57" s="38" t="str">
        <f t="shared" si="2"/>
        <v>Exclude</v>
      </c>
    </row>
    <row r="58" spans="1:42" hidden="1">
      <c r="A58" s="38" t="str">
        <f t="shared" si="0"/>
        <v>Powercor</v>
      </c>
      <c r="B58" s="38" t="s">
        <v>720</v>
      </c>
      <c r="C58" s="38" t="str">
        <f t="shared" si="3"/>
        <v>Other-</v>
      </c>
      <c r="D58" s="38" t="str">
        <f t="shared" si="4"/>
        <v xml:space="preserve">Other- ENVIRONMENT MANAGEMENT </v>
      </c>
      <c r="E58" s="417"/>
      <c r="H58" s="43" t="s">
        <v>1173</v>
      </c>
      <c r="Z58" s="40">
        <v>359.80813000000012</v>
      </c>
      <c r="AA58" s="40">
        <v>292.65378999999996</v>
      </c>
      <c r="AB58" s="40">
        <v>420.61519999999996</v>
      </c>
      <c r="AC58" s="40">
        <v>1145.3785299999997</v>
      </c>
      <c r="AD58" s="40">
        <v>840.76878000000011</v>
      </c>
      <c r="AE58" s="40">
        <v>0</v>
      </c>
      <c r="AF58" s="40">
        <v>0</v>
      </c>
      <c r="AG58" s="40">
        <v>0</v>
      </c>
      <c r="AH58" s="40">
        <v>0</v>
      </c>
      <c r="AI58" s="40">
        <v>0</v>
      </c>
      <c r="AK58" s="53">
        <f t="shared" si="5"/>
        <v>0</v>
      </c>
      <c r="AL58" s="54">
        <f t="shared" si="6"/>
        <v>3059.2244300000002</v>
      </c>
      <c r="AM58" s="54">
        <f t="shared" si="7"/>
        <v>0</v>
      </c>
      <c r="AN58" s="123">
        <f t="shared" si="10"/>
        <v>3059.2244300000002</v>
      </c>
      <c r="AO58" s="44" t="s">
        <v>1389</v>
      </c>
      <c r="AP58" s="38" t="str">
        <f t="shared" si="2"/>
        <v>Exclude</v>
      </c>
    </row>
    <row r="59" spans="1:42" hidden="1">
      <c r="A59" s="38" t="str">
        <f t="shared" si="0"/>
        <v>Powercor</v>
      </c>
      <c r="B59" s="38" t="s">
        <v>720</v>
      </c>
      <c r="C59" s="38" t="str">
        <f t="shared" si="3"/>
        <v>Other-</v>
      </c>
      <c r="D59" s="38" t="str">
        <f t="shared" si="4"/>
        <v xml:space="preserve">Other- BUSHFIRE MITIGATION </v>
      </c>
      <c r="E59" s="417"/>
      <c r="H59" s="43" t="s">
        <v>1174</v>
      </c>
      <c r="Z59" s="40">
        <v>610.93943000000013</v>
      </c>
      <c r="AA59" s="40">
        <v>676.4945899999999</v>
      </c>
      <c r="AB59" s="40">
        <v>1287.2515099999998</v>
      </c>
      <c r="AC59" s="40">
        <v>905.65969999999982</v>
      </c>
      <c r="AD59" s="40">
        <v>1283.5146300000001</v>
      </c>
      <c r="AE59" s="40">
        <v>0</v>
      </c>
      <c r="AF59" s="40">
        <v>0</v>
      </c>
      <c r="AG59" s="40">
        <v>0</v>
      </c>
      <c r="AH59" s="40">
        <v>0</v>
      </c>
      <c r="AI59" s="40">
        <v>0</v>
      </c>
      <c r="AK59" s="53">
        <f t="shared" si="5"/>
        <v>0</v>
      </c>
      <c r="AL59" s="54">
        <f t="shared" si="6"/>
        <v>4763.8598599999996</v>
      </c>
      <c r="AM59" s="54">
        <f t="shared" si="7"/>
        <v>0</v>
      </c>
      <c r="AN59" s="123">
        <f t="shared" si="10"/>
        <v>4763.8598599999996</v>
      </c>
      <c r="AO59" s="44" t="s">
        <v>1389</v>
      </c>
      <c r="AP59" s="38" t="str">
        <f t="shared" si="2"/>
        <v>Exclude</v>
      </c>
    </row>
    <row r="60" spans="1:42" hidden="1">
      <c r="A60" s="38" t="str">
        <f t="shared" si="0"/>
        <v>Powercor</v>
      </c>
      <c r="B60" s="38" t="s">
        <v>720</v>
      </c>
      <c r="C60" s="38" t="str">
        <f t="shared" si="3"/>
        <v>Other-</v>
      </c>
      <c r="D60" s="38" t="str">
        <f t="shared" si="4"/>
        <v xml:space="preserve">Other- UG CABLE LOCATIONS </v>
      </c>
      <c r="E60" s="417"/>
      <c r="H60" s="43" t="s">
        <v>1175</v>
      </c>
      <c r="Z60" s="40">
        <v>0</v>
      </c>
      <c r="AA60" s="40">
        <v>0</v>
      </c>
      <c r="AB60" s="40">
        <v>0</v>
      </c>
      <c r="AC60" s="40">
        <v>0</v>
      </c>
      <c r="AD60" s="40">
        <v>0</v>
      </c>
      <c r="AE60" s="40">
        <v>2514.9768299999996</v>
      </c>
      <c r="AF60" s="40">
        <v>2707.9426799999997</v>
      </c>
      <c r="AG60" s="40">
        <v>2464.7901499999998</v>
      </c>
      <c r="AH60" s="40">
        <v>2477.0105838380746</v>
      </c>
      <c r="AI60" s="40">
        <v>2313.2699025212928</v>
      </c>
      <c r="AK60" s="53">
        <f t="shared" si="5"/>
        <v>0</v>
      </c>
      <c r="AL60" s="54">
        <f t="shared" si="6"/>
        <v>0</v>
      </c>
      <c r="AM60" s="54">
        <f t="shared" si="7"/>
        <v>12477.990146359367</v>
      </c>
      <c r="AN60" s="123">
        <f t="shared" si="10"/>
        <v>12477.990146359367</v>
      </c>
      <c r="AO60" s="44" t="s">
        <v>1389</v>
      </c>
      <c r="AP60" s="38" t="str">
        <f t="shared" si="2"/>
        <v>Exclude</v>
      </c>
    </row>
    <row r="61" spans="1:42" hidden="1">
      <c r="A61" s="38" t="str">
        <f t="shared" si="0"/>
        <v>Powercor</v>
      </c>
      <c r="B61" s="38" t="s">
        <v>720</v>
      </c>
      <c r="C61" s="38" t="str">
        <f t="shared" si="3"/>
        <v>Other-</v>
      </c>
      <c r="D61" s="38" t="str">
        <f t="shared" si="4"/>
        <v xml:space="preserve">Other- QUALITY AUDITS  </v>
      </c>
      <c r="E61" s="417"/>
      <c r="H61" s="43" t="s">
        <v>1176</v>
      </c>
      <c r="Z61" s="40">
        <v>265.57255000000004</v>
      </c>
      <c r="AA61" s="40">
        <v>313.58656999999999</v>
      </c>
      <c r="AB61" s="40">
        <v>636.476</v>
      </c>
      <c r="AC61" s="40">
        <v>563.54950999999983</v>
      </c>
      <c r="AD61" s="40">
        <v>533.91840999999999</v>
      </c>
      <c r="AE61" s="40">
        <v>0</v>
      </c>
      <c r="AF61" s="40">
        <v>0</v>
      </c>
      <c r="AG61" s="40">
        <v>0</v>
      </c>
      <c r="AH61" s="40">
        <v>0</v>
      </c>
      <c r="AI61" s="40">
        <v>0</v>
      </c>
      <c r="AK61" s="53">
        <f t="shared" si="5"/>
        <v>0</v>
      </c>
      <c r="AL61" s="54">
        <f t="shared" si="6"/>
        <v>2313.10304</v>
      </c>
      <c r="AM61" s="54">
        <f t="shared" si="7"/>
        <v>0</v>
      </c>
      <c r="AN61" s="123">
        <f t="shared" si="10"/>
        <v>2313.10304</v>
      </c>
      <c r="AO61" s="44" t="s">
        <v>1389</v>
      </c>
      <c r="AP61" s="38" t="str">
        <f t="shared" si="2"/>
        <v>Exclude</v>
      </c>
    </row>
    <row r="62" spans="1:42" hidden="1">
      <c r="A62" s="38" t="str">
        <f t="shared" si="0"/>
        <v>Powercor</v>
      </c>
      <c r="B62" s="38" t="s">
        <v>720</v>
      </c>
      <c r="C62" s="38" t="str">
        <f t="shared" si="3"/>
        <v>Other-</v>
      </c>
      <c r="D62" s="38" t="str">
        <f t="shared" si="4"/>
        <v xml:space="preserve">Other- QUALITY INVESTIGATIONS </v>
      </c>
      <c r="E62" s="417"/>
      <c r="H62" s="43" t="s">
        <v>1177</v>
      </c>
      <c r="Z62" s="40">
        <v>197.26309999999998</v>
      </c>
      <c r="AA62" s="40">
        <v>50.746949999999991</v>
      </c>
      <c r="AB62" s="40">
        <v>43.149030000000003</v>
      </c>
      <c r="AC62" s="40">
        <v>34.457870000000007</v>
      </c>
      <c r="AD62" s="40">
        <v>47.283620000000006</v>
      </c>
      <c r="AE62" s="40">
        <v>0</v>
      </c>
      <c r="AF62" s="40">
        <v>0</v>
      </c>
      <c r="AG62" s="40">
        <v>0</v>
      </c>
      <c r="AH62" s="40">
        <v>0</v>
      </c>
      <c r="AI62" s="40">
        <v>0</v>
      </c>
      <c r="AK62" s="53">
        <f t="shared" si="5"/>
        <v>0</v>
      </c>
      <c r="AL62" s="54">
        <f t="shared" si="6"/>
        <v>372.90056999999996</v>
      </c>
      <c r="AM62" s="54">
        <f t="shared" si="7"/>
        <v>0</v>
      </c>
      <c r="AN62" s="123">
        <f t="shared" si="10"/>
        <v>372.90056999999996</v>
      </c>
      <c r="AO62" s="44" t="s">
        <v>1389</v>
      </c>
      <c r="AP62" s="38" t="str">
        <f t="shared" si="2"/>
        <v>Exclude</v>
      </c>
    </row>
    <row r="63" spans="1:42" ht="30" hidden="1">
      <c r="A63" s="38" t="str">
        <f t="shared" ref="A63:A68" si="11">IF(E63&gt;0,E63,A62)</f>
        <v>Powercor</v>
      </c>
      <c r="B63" s="38" t="s">
        <v>720</v>
      </c>
      <c r="C63" s="38" t="str">
        <f t="shared" si="3"/>
        <v>Other-</v>
      </c>
      <c r="D63" s="38" t="str">
        <f t="shared" si="4"/>
        <v xml:space="preserve">Other- NETWORK LOGGING MONITORING </v>
      </c>
      <c r="E63" s="417"/>
      <c r="H63" s="43" t="s">
        <v>1178</v>
      </c>
      <c r="Z63" s="40">
        <v>0</v>
      </c>
      <c r="AA63" s="40">
        <v>0</v>
      </c>
      <c r="AB63" s="40">
        <v>0</v>
      </c>
      <c r="AC63" s="40">
        <v>0</v>
      </c>
      <c r="AD63" s="40">
        <v>0</v>
      </c>
      <c r="AE63" s="40">
        <v>675.15770000000009</v>
      </c>
      <c r="AF63" s="40">
        <v>837.76151000000016</v>
      </c>
      <c r="AG63" s="40">
        <v>775.23281999999983</v>
      </c>
      <c r="AH63" s="40">
        <v>556.6948799999999</v>
      </c>
      <c r="AI63" s="40">
        <v>544.60722999999996</v>
      </c>
      <c r="AK63" s="53">
        <f t="shared" si="5"/>
        <v>0</v>
      </c>
      <c r="AL63" s="54">
        <f t="shared" si="6"/>
        <v>0</v>
      </c>
      <c r="AM63" s="54">
        <f t="shared" si="7"/>
        <v>3389.4541400000003</v>
      </c>
      <c r="AN63" s="123">
        <f t="shared" si="10"/>
        <v>3389.4541400000003</v>
      </c>
      <c r="AO63" s="44" t="s">
        <v>1389</v>
      </c>
      <c r="AP63" s="38" t="str">
        <f t="shared" si="2"/>
        <v>Exclude</v>
      </c>
    </row>
    <row r="64" spans="1:42" hidden="1">
      <c r="A64" s="38" t="str">
        <f t="shared" si="11"/>
        <v>Powercor</v>
      </c>
      <c r="B64" s="38" t="s">
        <v>720</v>
      </c>
      <c r="C64" s="38" t="str">
        <f t="shared" si="3"/>
        <v>Other-</v>
      </c>
      <c r="D64" s="38" t="str">
        <f t="shared" si="4"/>
        <v xml:space="preserve">Other- RESEARCH AND DEVELOPMENT </v>
      </c>
      <c r="E64" s="417"/>
      <c r="H64" s="43" t="s">
        <v>1179</v>
      </c>
      <c r="Z64" s="40">
        <v>0</v>
      </c>
      <c r="AA64" s="40">
        <v>0</v>
      </c>
      <c r="AB64" s="40">
        <v>0</v>
      </c>
      <c r="AC64" s="40">
        <v>0</v>
      </c>
      <c r="AD64" s="40">
        <v>0</v>
      </c>
      <c r="AE64" s="40">
        <v>98.013009999999994</v>
      </c>
      <c r="AF64" s="40">
        <v>110.52725000000001</v>
      </c>
      <c r="AG64" s="40">
        <v>140.23850000000002</v>
      </c>
      <c r="AH64" s="40">
        <v>181.93120999999999</v>
      </c>
      <c r="AI64" s="40">
        <v>231.52856000000003</v>
      </c>
      <c r="AK64" s="53">
        <f t="shared" si="5"/>
        <v>0</v>
      </c>
      <c r="AL64" s="54">
        <f t="shared" si="6"/>
        <v>0</v>
      </c>
      <c r="AM64" s="54">
        <f t="shared" si="7"/>
        <v>762.23853000000008</v>
      </c>
      <c r="AN64" s="123">
        <f t="shared" si="10"/>
        <v>762.23853000000008</v>
      </c>
      <c r="AO64" s="44" t="s">
        <v>1389</v>
      </c>
      <c r="AP64" s="38" t="str">
        <f t="shared" si="2"/>
        <v>Exclude</v>
      </c>
    </row>
    <row r="65" spans="1:42" hidden="1">
      <c r="A65" s="38" t="str">
        <f t="shared" si="11"/>
        <v>Powercor</v>
      </c>
      <c r="B65" s="38" t="s">
        <v>720</v>
      </c>
      <c r="C65" s="38" t="str">
        <f t="shared" si="3"/>
        <v>Other-</v>
      </c>
      <c r="D65" s="38" t="str">
        <f t="shared" si="4"/>
        <v xml:space="preserve">Other- ESV REPORTING </v>
      </c>
      <c r="E65" s="417"/>
      <c r="H65" s="43" t="s">
        <v>1180</v>
      </c>
      <c r="Z65" s="40">
        <v>19.26163</v>
      </c>
      <c r="AA65" s="40">
        <v>1.27495</v>
      </c>
      <c r="AB65" s="40">
        <v>1.54986</v>
      </c>
      <c r="AC65" s="40">
        <v>0.35611999999999999</v>
      </c>
      <c r="AD65" s="40">
        <v>0.61763000000000001</v>
      </c>
      <c r="AE65" s="40">
        <v>0</v>
      </c>
      <c r="AF65" s="40">
        <v>0</v>
      </c>
      <c r="AG65" s="40">
        <v>0</v>
      </c>
      <c r="AH65" s="40">
        <v>0</v>
      </c>
      <c r="AI65" s="40">
        <v>0</v>
      </c>
      <c r="AK65" s="53">
        <f t="shared" si="5"/>
        <v>0</v>
      </c>
      <c r="AL65" s="54">
        <f t="shared" si="6"/>
        <v>23.060189999999999</v>
      </c>
      <c r="AM65" s="54">
        <f t="shared" si="7"/>
        <v>0</v>
      </c>
      <c r="AN65" s="123">
        <f t="shared" si="10"/>
        <v>23.060189999999999</v>
      </c>
      <c r="AO65" s="44" t="s">
        <v>1389</v>
      </c>
      <c r="AP65" s="38" t="str">
        <f t="shared" si="2"/>
        <v>Exclude</v>
      </c>
    </row>
    <row r="66" spans="1:42" ht="30" hidden="1">
      <c r="A66" s="38" t="str">
        <f t="shared" si="11"/>
        <v>Powercor</v>
      </c>
      <c r="B66" s="38" t="s">
        <v>720</v>
      </c>
      <c r="C66" s="38" t="str">
        <f t="shared" si="3"/>
        <v>Other-</v>
      </c>
      <c r="D66" s="38" t="str">
        <f t="shared" si="4"/>
        <v xml:space="preserve">Other- MISCELLANEOUS MAINTENANCE </v>
      </c>
      <c r="E66" s="417"/>
      <c r="H66" s="43" t="s">
        <v>1181</v>
      </c>
      <c r="Z66" s="40">
        <v>0</v>
      </c>
      <c r="AA66" s="40">
        <v>0</v>
      </c>
      <c r="AB66" s="40">
        <v>0</v>
      </c>
      <c r="AC66" s="40">
        <v>0</v>
      </c>
      <c r="AD66" s="40">
        <v>0</v>
      </c>
      <c r="AE66" s="40">
        <v>0</v>
      </c>
      <c r="AF66" s="40">
        <v>0</v>
      </c>
      <c r="AG66" s="40">
        <v>0</v>
      </c>
      <c r="AH66" s="40">
        <v>63.3</v>
      </c>
      <c r="AI66" s="40">
        <v>84.256599999999992</v>
      </c>
      <c r="AK66" s="53">
        <f t="shared" si="5"/>
        <v>0</v>
      </c>
      <c r="AL66" s="54">
        <f t="shared" si="6"/>
        <v>0</v>
      </c>
      <c r="AM66" s="54">
        <f t="shared" si="7"/>
        <v>147.5566</v>
      </c>
      <c r="AN66" s="123">
        <f t="shared" si="10"/>
        <v>147.5566</v>
      </c>
      <c r="AO66" s="44" t="s">
        <v>1389</v>
      </c>
      <c r="AP66" s="38" t="str">
        <f t="shared" si="2"/>
        <v>Exclude</v>
      </c>
    </row>
    <row r="67" spans="1:42" hidden="1">
      <c r="A67" s="38" t="str">
        <f t="shared" si="11"/>
        <v>Powercor</v>
      </c>
      <c r="B67" s="38" t="s">
        <v>720</v>
      </c>
      <c r="C67" s="38" t="str">
        <f t="shared" si="3"/>
        <v>Other-</v>
      </c>
      <c r="D67" s="38" t="str">
        <f t="shared" si="4"/>
        <v xml:space="preserve">Other- NETWORK ASSET RETIREMENT </v>
      </c>
      <c r="E67" s="417"/>
      <c r="H67" s="43" t="s">
        <v>1182</v>
      </c>
      <c r="Z67" s="40">
        <v>0</v>
      </c>
      <c r="AA67" s="40">
        <v>0</v>
      </c>
      <c r="AB67" s="40">
        <v>0</v>
      </c>
      <c r="AC67" s="40">
        <v>0</v>
      </c>
      <c r="AD67" s="40">
        <v>0</v>
      </c>
      <c r="AE67" s="40">
        <v>23.510090000000005</v>
      </c>
      <c r="AF67" s="40">
        <v>824.68583928228691</v>
      </c>
      <c r="AG67" s="40">
        <v>649.29138539512337</v>
      </c>
      <c r="AH67" s="40">
        <v>513.03228932482557</v>
      </c>
      <c r="AI67" s="40">
        <v>800.01894142189883</v>
      </c>
      <c r="AK67" s="53">
        <f t="shared" si="5"/>
        <v>0</v>
      </c>
      <c r="AL67" s="54">
        <f t="shared" si="6"/>
        <v>0</v>
      </c>
      <c r="AM67" s="54">
        <f t="shared" si="7"/>
        <v>2810.5385454241346</v>
      </c>
      <c r="AN67" s="123">
        <f t="shared" si="10"/>
        <v>2810.5385454241346</v>
      </c>
      <c r="AO67" s="44" t="s">
        <v>1389</v>
      </c>
      <c r="AP67" s="38" t="str">
        <f t="shared" ref="AP67:AP130" si="12">IFERROR(VLOOKUP(C67,$AR:$AS,2,FALSE),"Exclude")</f>
        <v>Exclude</v>
      </c>
    </row>
    <row r="68" spans="1:42" hidden="1">
      <c r="A68" s="38" t="str">
        <f t="shared" si="11"/>
        <v>Powercor</v>
      </c>
      <c r="B68" s="38" t="s">
        <v>720</v>
      </c>
      <c r="C68" s="38" t="str">
        <f t="shared" ref="C68:C131" si="13">B68&amp;"-"&amp;G68</f>
        <v>Other-</v>
      </c>
      <c r="D68" s="38" t="str">
        <f t="shared" ref="D68:D131" si="14">B68&amp;"-"&amp;H68</f>
        <v xml:space="preserve">Other- ASSET RETIREMENT </v>
      </c>
      <c r="E68" s="418"/>
      <c r="H68" s="43" t="s">
        <v>1183</v>
      </c>
      <c r="Z68" s="40">
        <v>0</v>
      </c>
      <c r="AA68" s="40">
        <v>0</v>
      </c>
      <c r="AB68" s="40">
        <v>0</v>
      </c>
      <c r="AC68" s="40">
        <v>0</v>
      </c>
      <c r="AD68" s="40">
        <v>0</v>
      </c>
      <c r="AE68" s="40">
        <v>854.05385999999999</v>
      </c>
      <c r="AF68" s="40">
        <v>791.47409000000005</v>
      </c>
      <c r="AG68" s="40">
        <v>2.0794291399894859E-13</v>
      </c>
      <c r="AH68" s="40">
        <v>2.5759065380714929E-13</v>
      </c>
      <c r="AI68" s="40">
        <v>0</v>
      </c>
      <c r="AK68" s="53">
        <f t="shared" ref="AK68:AK131" si="15">IF($B68="Duplicate","",SUM(N68:R68))</f>
        <v>0</v>
      </c>
      <c r="AL68" s="54">
        <f t="shared" ref="AL68:AL131" si="16">IF($B68="Duplicate","",SUM(Z68:AD68))</f>
        <v>0</v>
      </c>
      <c r="AM68" s="54">
        <f t="shared" ref="AM68:AM131" si="17">IF($B68="Duplicate","",SUM(AE68:AI68))</f>
        <v>1645.5279500000006</v>
      </c>
      <c r="AN68" s="123">
        <f t="shared" si="10"/>
        <v>1645.5279500000006</v>
      </c>
      <c r="AO68" s="44" t="s">
        <v>1389</v>
      </c>
      <c r="AP68" s="38" t="str">
        <f t="shared" si="12"/>
        <v>Exclude</v>
      </c>
    </row>
    <row r="69" spans="1:42" ht="30">
      <c r="A69" s="38" t="str">
        <f>IF(E69&gt;0,E69,#REF!)</f>
        <v>Essential (Original)</v>
      </c>
      <c r="B69" s="38" t="s">
        <v>1189</v>
      </c>
      <c r="C69" s="38" t="str">
        <f t="shared" si="13"/>
        <v>OH Maintenance-POLE TOPS AND OVERHEAD LINES</v>
      </c>
      <c r="D69" s="38" t="str">
        <f t="shared" si="14"/>
        <v>OH Maintenance-NUMBER OF POLES (000'S)</v>
      </c>
      <c r="E69" s="404" t="s">
        <v>1560</v>
      </c>
      <c r="F69" s="43" t="s">
        <v>388</v>
      </c>
      <c r="G69" s="43" t="s">
        <v>389</v>
      </c>
      <c r="H69" s="43" t="s">
        <v>390</v>
      </c>
      <c r="I69" s="41">
        <v>1311.88</v>
      </c>
      <c r="J69" s="41">
        <v>1326.33</v>
      </c>
      <c r="K69" s="41">
        <v>1345.97</v>
      </c>
      <c r="L69" s="41">
        <v>1366.13</v>
      </c>
      <c r="M69" s="41">
        <v>1379.8989999999999</v>
      </c>
      <c r="N69" s="41">
        <v>101.66200000000001</v>
      </c>
      <c r="O69" s="41">
        <v>108.813</v>
      </c>
      <c r="P69" s="41">
        <v>97.242000000000004</v>
      </c>
      <c r="Q69" s="41">
        <v>106.94199999999999</v>
      </c>
      <c r="R69" s="41">
        <v>125.224</v>
      </c>
      <c r="S69" s="41">
        <v>29.6</v>
      </c>
      <c r="T69" s="41">
        <v>30.46</v>
      </c>
      <c r="U69" s="41">
        <v>31.31</v>
      </c>
      <c r="V69" s="41">
        <v>32.17</v>
      </c>
      <c r="W69" s="41">
        <v>33</v>
      </c>
      <c r="X69" s="38">
        <v>0</v>
      </c>
      <c r="Y69" s="38">
        <v>4</v>
      </c>
      <c r="Z69" s="40">
        <v>0</v>
      </c>
      <c r="AA69" s="40">
        <v>0</v>
      </c>
      <c r="AB69" s="40">
        <v>0</v>
      </c>
      <c r="AC69" s="40">
        <v>0</v>
      </c>
      <c r="AD69" s="40">
        <v>0</v>
      </c>
      <c r="AE69" s="40">
        <v>30508.655999999999</v>
      </c>
      <c r="AF69" s="40">
        <v>46839.481</v>
      </c>
      <c r="AG69" s="40">
        <v>42363.790999999997</v>
      </c>
      <c r="AH69" s="40">
        <v>47605.936000000002</v>
      </c>
      <c r="AI69" s="40">
        <v>48424.845999999998</v>
      </c>
      <c r="AK69" s="53">
        <f t="shared" si="15"/>
        <v>539.88300000000004</v>
      </c>
      <c r="AL69" s="54">
        <f t="shared" si="16"/>
        <v>0</v>
      </c>
      <c r="AM69" s="54">
        <f t="shared" si="17"/>
        <v>215742.71</v>
      </c>
      <c r="AN69" s="123">
        <f t="shared" si="10"/>
        <v>215742.71</v>
      </c>
      <c r="AO69" s="44" t="s">
        <v>1389</v>
      </c>
      <c r="AP69" s="38" t="str">
        <f t="shared" si="12"/>
        <v>OH</v>
      </c>
    </row>
    <row r="70" spans="1:42" ht="30">
      <c r="A70" s="38" t="str">
        <f t="shared" ref="A70:A120" si="18">IF(E70&gt;0,E70,A69)</f>
        <v>Essential (Original)</v>
      </c>
      <c r="B70" s="38" t="s">
        <v>1189</v>
      </c>
      <c r="C70" s="38" t="str">
        <f t="shared" si="13"/>
        <v>OH Maintenance-SERVICE LINES</v>
      </c>
      <c r="D70" s="38" t="str">
        <f t="shared" si="14"/>
        <v>OH Maintenance-NUMBER OF CUSTOMERS (000'S)</v>
      </c>
      <c r="E70" s="405"/>
      <c r="F70" s="43" t="s">
        <v>388</v>
      </c>
      <c r="G70" s="43" t="s">
        <v>391</v>
      </c>
      <c r="H70" s="43" t="s">
        <v>392</v>
      </c>
      <c r="I70" s="41">
        <v>787.30399999999997</v>
      </c>
      <c r="J70" s="41">
        <v>792.66300000000001</v>
      </c>
      <c r="K70" s="41">
        <v>798.36199999999997</v>
      </c>
      <c r="L70" s="41">
        <v>804.41099999999994</v>
      </c>
      <c r="M70" s="41">
        <v>803.471</v>
      </c>
      <c r="N70" s="41">
        <v>6.4320000000000004</v>
      </c>
      <c r="O70" s="41">
        <v>5.3239999999999998</v>
      </c>
      <c r="P70" s="41">
        <v>4.492</v>
      </c>
      <c r="Q70" s="41">
        <v>4.3650000000000002</v>
      </c>
      <c r="R70" s="41">
        <v>4.6980000000000004</v>
      </c>
      <c r="S70" s="41">
        <v>27.88</v>
      </c>
      <c r="T70" s="41">
        <v>28.85</v>
      </c>
      <c r="U70" s="41">
        <v>29.7</v>
      </c>
      <c r="V70" s="41">
        <v>29.9</v>
      </c>
      <c r="W70" s="41">
        <v>30</v>
      </c>
      <c r="X70" s="38">
        <v>0</v>
      </c>
      <c r="Y70" s="38">
        <v>4</v>
      </c>
      <c r="Z70" s="40">
        <v>0</v>
      </c>
      <c r="AA70" s="40">
        <v>0</v>
      </c>
      <c r="AB70" s="40">
        <v>0</v>
      </c>
      <c r="AC70" s="40">
        <v>0</v>
      </c>
      <c r="AD70" s="40">
        <v>0</v>
      </c>
      <c r="AE70" s="40" t="s">
        <v>445</v>
      </c>
      <c r="AF70" s="40" t="s">
        <v>445</v>
      </c>
      <c r="AG70" s="40" t="s">
        <v>445</v>
      </c>
      <c r="AH70" s="40" t="s">
        <v>445</v>
      </c>
      <c r="AI70" s="40" t="s">
        <v>445</v>
      </c>
      <c r="AK70" s="53">
        <f t="shared" si="15"/>
        <v>25.311</v>
      </c>
      <c r="AL70" s="54">
        <f t="shared" si="16"/>
        <v>0</v>
      </c>
      <c r="AM70" s="54">
        <f t="shared" si="17"/>
        <v>0</v>
      </c>
      <c r="AN70" s="123">
        <f t="shared" si="10"/>
        <v>0</v>
      </c>
      <c r="AO70" s="44" t="s">
        <v>1389</v>
      </c>
      <c r="AP70" s="38" t="str">
        <f t="shared" si="12"/>
        <v>Service Lines</v>
      </c>
    </row>
    <row r="71" spans="1:42">
      <c r="A71" s="38" t="str">
        <f t="shared" si="18"/>
        <v>Essential (Original)</v>
      </c>
      <c r="B71" s="38" t="s">
        <v>1190</v>
      </c>
      <c r="C71" s="38" t="str">
        <f t="shared" si="13"/>
        <v>Pole Inspection-ALL POLES</v>
      </c>
      <c r="D71" s="38" t="str">
        <f t="shared" si="14"/>
        <v>Pole Inspection-NUMBER OF POLES (000'S)</v>
      </c>
      <c r="E71" s="405"/>
      <c r="F71" s="43" t="s">
        <v>393</v>
      </c>
      <c r="G71" s="43" t="s">
        <v>394</v>
      </c>
      <c r="H71" s="43" t="s">
        <v>390</v>
      </c>
      <c r="I71" s="41">
        <v>1311.88</v>
      </c>
      <c r="J71" s="41">
        <v>1326.33</v>
      </c>
      <c r="K71" s="41">
        <v>1345.97</v>
      </c>
      <c r="L71" s="41">
        <v>1366.13</v>
      </c>
      <c r="M71" s="41">
        <v>1379.8989999999999</v>
      </c>
      <c r="N71" s="41">
        <v>358.4</v>
      </c>
      <c r="O71" s="41">
        <v>289.54399999999998</v>
      </c>
      <c r="P71" s="41">
        <v>285.07100000000003</v>
      </c>
      <c r="Q71" s="41">
        <v>340.435</v>
      </c>
      <c r="R71" s="41">
        <v>346.50400000000002</v>
      </c>
      <c r="S71" s="41">
        <v>29.6</v>
      </c>
      <c r="T71" s="41">
        <v>30.46</v>
      </c>
      <c r="U71" s="41">
        <v>31.31</v>
      </c>
      <c r="V71" s="41">
        <v>32.17</v>
      </c>
      <c r="W71" s="41">
        <v>33</v>
      </c>
      <c r="X71" s="38">
        <v>4</v>
      </c>
      <c r="Y71" s="38">
        <v>0</v>
      </c>
      <c r="Z71" s="40">
        <v>9126.6766918644989</v>
      </c>
      <c r="AA71" s="40">
        <v>8738.6032538545151</v>
      </c>
      <c r="AB71" s="40">
        <v>9773.6844698415425</v>
      </c>
      <c r="AC71" s="40">
        <v>11334.197197291081</v>
      </c>
      <c r="AD71" s="40">
        <v>9832.0543947720289</v>
      </c>
      <c r="AE71" s="40">
        <v>0</v>
      </c>
      <c r="AF71" s="40">
        <v>0</v>
      </c>
      <c r="AG71" s="40">
        <v>0</v>
      </c>
      <c r="AH71" s="40">
        <v>0</v>
      </c>
      <c r="AI71" s="40">
        <v>0</v>
      </c>
      <c r="AK71" s="53">
        <f t="shared" si="15"/>
        <v>1619.9540000000002</v>
      </c>
      <c r="AL71" s="54">
        <f t="shared" si="16"/>
        <v>48805.216007623669</v>
      </c>
      <c r="AM71" s="54">
        <f t="shared" si="17"/>
        <v>0</v>
      </c>
      <c r="AN71" s="123">
        <f t="shared" si="10"/>
        <v>48805.216007623669</v>
      </c>
      <c r="AO71" s="44" t="s">
        <v>1389</v>
      </c>
      <c r="AP71" s="38" t="str">
        <f t="shared" si="12"/>
        <v>OH</v>
      </c>
    </row>
    <row r="72" spans="1:42" ht="30">
      <c r="A72" s="38" t="str">
        <f t="shared" si="18"/>
        <v>Essential (Original)</v>
      </c>
      <c r="B72" s="38" t="s">
        <v>1191</v>
      </c>
      <c r="C72" s="38" t="str">
        <f t="shared" si="13"/>
        <v>OH Asset Inspection-ALL OVERHEAD ASSETS</v>
      </c>
      <c r="D72" s="38" t="str">
        <f t="shared" si="14"/>
        <v>OH Asset Inspection-LINE PATROLLED (ROUTE KM) (000'S)</v>
      </c>
      <c r="E72" s="405"/>
      <c r="F72" s="43" t="s">
        <v>395</v>
      </c>
      <c r="G72" s="43" t="s">
        <v>396</v>
      </c>
      <c r="H72" s="43" t="s">
        <v>397</v>
      </c>
      <c r="I72" s="41">
        <v>192.14500000000001</v>
      </c>
      <c r="J72" s="41">
        <v>192.14500000000001</v>
      </c>
      <c r="K72" s="41">
        <v>192.14500000000001</v>
      </c>
      <c r="L72" s="41">
        <v>192.14500000000001</v>
      </c>
      <c r="M72" s="41">
        <v>192.14500000000001</v>
      </c>
      <c r="N72" s="41">
        <v>48.036000000000001</v>
      </c>
      <c r="O72" s="41">
        <v>48.036000000000001</v>
      </c>
      <c r="P72" s="41">
        <v>48.036000000000001</v>
      </c>
      <c r="Q72" s="41">
        <v>48.036000000000001</v>
      </c>
      <c r="R72" s="41">
        <v>48.036000000000001</v>
      </c>
      <c r="S72" s="41">
        <v>29.6</v>
      </c>
      <c r="T72" s="41">
        <v>30.46</v>
      </c>
      <c r="U72" s="41">
        <v>31.31</v>
      </c>
      <c r="V72" s="41">
        <v>32.17</v>
      </c>
      <c r="W72" s="41">
        <v>33</v>
      </c>
      <c r="X72" s="38">
        <v>4</v>
      </c>
      <c r="Y72" s="38">
        <v>0</v>
      </c>
      <c r="Z72" s="40">
        <v>3911.4328679419286</v>
      </c>
      <c r="AA72" s="40">
        <v>3745.1156802233641</v>
      </c>
      <c r="AB72" s="40">
        <v>4188.7219156463752</v>
      </c>
      <c r="AC72" s="40">
        <v>4857.5130845533213</v>
      </c>
      <c r="AD72" s="40">
        <v>4213.7375977594402</v>
      </c>
      <c r="AE72" s="40">
        <v>0</v>
      </c>
      <c r="AF72" s="40">
        <v>0</v>
      </c>
      <c r="AG72" s="40">
        <v>0</v>
      </c>
      <c r="AH72" s="40">
        <v>0</v>
      </c>
      <c r="AI72" s="40">
        <v>0</v>
      </c>
      <c r="AK72" s="53">
        <f t="shared" si="15"/>
        <v>240.18</v>
      </c>
      <c r="AL72" s="54">
        <f t="shared" si="16"/>
        <v>20916.521146124425</v>
      </c>
      <c r="AM72" s="54">
        <f t="shared" si="17"/>
        <v>0</v>
      </c>
      <c r="AN72" s="123">
        <f t="shared" si="10"/>
        <v>20916.521146124425</v>
      </c>
      <c r="AO72" s="44" t="s">
        <v>1389</v>
      </c>
      <c r="AP72" s="38" t="str">
        <f t="shared" si="12"/>
        <v>OH</v>
      </c>
    </row>
    <row r="73" spans="1:42" ht="30" hidden="1">
      <c r="A73" s="38" t="str">
        <f t="shared" si="18"/>
        <v>Essential (Original)</v>
      </c>
      <c r="B73" s="38" t="s">
        <v>1192</v>
      </c>
      <c r="C73" s="38" t="str">
        <f t="shared" si="13"/>
        <v>UG Cable Maintenance-LV - 11 TO 22 KV</v>
      </c>
      <c r="D73" s="38" t="str">
        <f t="shared" si="14"/>
        <v>UG Cable Maintenance-LENGTH (KM) (000'S)</v>
      </c>
      <c r="E73" s="406"/>
      <c r="F73" s="43" t="s">
        <v>398</v>
      </c>
      <c r="G73" s="43" t="s">
        <v>399</v>
      </c>
      <c r="H73" s="43" t="s">
        <v>400</v>
      </c>
      <c r="I73" s="41">
        <v>10.728999999999999</v>
      </c>
      <c r="J73" s="41">
        <v>10.728999999999999</v>
      </c>
      <c r="K73" s="41">
        <v>10.728999999999999</v>
      </c>
      <c r="L73" s="41">
        <v>10.728999999999999</v>
      </c>
      <c r="M73" s="41">
        <v>10.728999999999999</v>
      </c>
      <c r="N73" s="41">
        <v>0.99399999999999999</v>
      </c>
      <c r="O73" s="41">
        <v>1.25</v>
      </c>
      <c r="P73" s="41">
        <v>2.4670000000000001</v>
      </c>
      <c r="Q73" s="41">
        <v>4.577</v>
      </c>
      <c r="R73" s="41">
        <v>7.4980000000000002</v>
      </c>
      <c r="S73" s="41">
        <v>13.01</v>
      </c>
      <c r="T73" s="41">
        <v>14.01</v>
      </c>
      <c r="U73" s="41">
        <v>15.01</v>
      </c>
      <c r="V73" s="41">
        <v>16.010000000000002</v>
      </c>
      <c r="W73" s="41">
        <v>17</v>
      </c>
      <c r="X73" s="38">
        <v>0</v>
      </c>
      <c r="Y73" s="38">
        <v>4</v>
      </c>
      <c r="Z73" s="40">
        <v>0</v>
      </c>
      <c r="AA73" s="40">
        <v>0</v>
      </c>
      <c r="AB73" s="40">
        <v>0</v>
      </c>
      <c r="AC73" s="40">
        <v>0</v>
      </c>
      <c r="AD73" s="40">
        <v>0</v>
      </c>
      <c r="AE73" s="40">
        <v>695.26700000000005</v>
      </c>
      <c r="AF73" s="40">
        <v>739.01800000000003</v>
      </c>
      <c r="AG73" s="40">
        <v>1107.883</v>
      </c>
      <c r="AH73" s="40">
        <v>1524.867</v>
      </c>
      <c r="AI73" s="40">
        <v>1533.6949999999999</v>
      </c>
      <c r="AK73" s="53">
        <f t="shared" si="15"/>
        <v>16.786000000000001</v>
      </c>
      <c r="AL73" s="54">
        <f t="shared" si="16"/>
        <v>0</v>
      </c>
      <c r="AM73" s="54">
        <f t="shared" si="17"/>
        <v>5600.73</v>
      </c>
      <c r="AN73" s="123">
        <f t="shared" si="10"/>
        <v>5600.73</v>
      </c>
      <c r="AO73" s="44" t="s">
        <v>1389</v>
      </c>
      <c r="AP73" s="38" t="str">
        <f t="shared" si="12"/>
        <v>UG</v>
      </c>
    </row>
    <row r="74" spans="1:42" ht="30" hidden="1">
      <c r="A74" s="38" t="str">
        <f t="shared" si="18"/>
        <v>Essential (Original)</v>
      </c>
      <c r="B74" s="38" t="s">
        <v>1192</v>
      </c>
      <c r="C74" s="38" t="str">
        <f t="shared" si="13"/>
        <v>UG Cable Maintenance-33 KV AND ABOVE</v>
      </c>
      <c r="D74" s="38" t="str">
        <f t="shared" si="14"/>
        <v>UG Cable Maintenance-LENGTH (KM) (000'S)</v>
      </c>
      <c r="E74" s="406"/>
      <c r="F74" s="43" t="s">
        <v>398</v>
      </c>
      <c r="G74" s="43" t="s">
        <v>401</v>
      </c>
      <c r="H74" s="43" t="s">
        <v>400</v>
      </c>
      <c r="I74" s="41">
        <v>8.2000000000000003E-2</v>
      </c>
      <c r="J74" s="41">
        <v>8.2000000000000003E-2</v>
      </c>
      <c r="K74" s="41">
        <v>8.2000000000000003E-2</v>
      </c>
      <c r="L74" s="41">
        <v>8.2000000000000003E-2</v>
      </c>
      <c r="M74" s="41">
        <v>8.2000000000000003E-2</v>
      </c>
      <c r="N74" s="41">
        <v>2E-3</v>
      </c>
      <c r="O74" s="41">
        <v>1.0999999999999999E-2</v>
      </c>
      <c r="P74" s="41">
        <v>1.0999999999999999E-2</v>
      </c>
      <c r="Q74" s="41">
        <v>0.01</v>
      </c>
      <c r="R74" s="41">
        <v>7.0000000000000001E-3</v>
      </c>
      <c r="S74" s="41">
        <v>13.01</v>
      </c>
      <c r="T74" s="41">
        <v>14.01</v>
      </c>
      <c r="U74" s="41">
        <v>15.01</v>
      </c>
      <c r="V74" s="41">
        <v>16.010000000000002</v>
      </c>
      <c r="W74" s="41">
        <v>17</v>
      </c>
      <c r="X74" s="38">
        <v>0</v>
      </c>
      <c r="Y74" s="38">
        <v>4</v>
      </c>
      <c r="Z74" s="40">
        <v>0</v>
      </c>
      <c r="AA74" s="40">
        <v>0</v>
      </c>
      <c r="AB74" s="40">
        <v>0</v>
      </c>
      <c r="AC74" s="40">
        <v>0</v>
      </c>
      <c r="AD74" s="40">
        <v>0</v>
      </c>
      <c r="AE74" s="40">
        <v>0</v>
      </c>
      <c r="AF74" s="40">
        <v>0</v>
      </c>
      <c r="AG74" s="40">
        <v>0</v>
      </c>
      <c r="AH74" s="40">
        <v>0</v>
      </c>
      <c r="AI74" s="40">
        <v>0</v>
      </c>
      <c r="AK74" s="53">
        <f t="shared" si="15"/>
        <v>4.1000000000000002E-2</v>
      </c>
      <c r="AL74" s="54">
        <f t="shared" si="16"/>
        <v>0</v>
      </c>
      <c r="AM74" s="54">
        <f t="shared" si="17"/>
        <v>0</v>
      </c>
      <c r="AN74" s="123">
        <f t="shared" ref="AN74:AN117" si="19">IFERROR(AL74+AM74,)</f>
        <v>0</v>
      </c>
      <c r="AO74" s="44" t="s">
        <v>1389</v>
      </c>
      <c r="AP74" s="38" t="str">
        <f t="shared" si="12"/>
        <v>UG</v>
      </c>
    </row>
    <row r="75" spans="1:42" ht="30" hidden="1">
      <c r="A75" s="38" t="str">
        <f t="shared" si="18"/>
        <v>Essential (Original)</v>
      </c>
      <c r="B75" s="38" t="s">
        <v>1197</v>
      </c>
      <c r="C75" s="38" t="str">
        <f t="shared" si="13"/>
        <v>Duplicate-CBD</v>
      </c>
      <c r="D75" s="38" t="str">
        <f t="shared" si="14"/>
        <v>Duplicate-LENGTH (KM) (000'S)</v>
      </c>
      <c r="E75" s="406"/>
      <c r="F75" s="43" t="s">
        <v>402</v>
      </c>
      <c r="G75" s="43" t="s">
        <v>403</v>
      </c>
      <c r="H75" s="43" t="s">
        <v>400</v>
      </c>
      <c r="I75" s="41">
        <v>0</v>
      </c>
      <c r="J75" s="41">
        <v>0</v>
      </c>
      <c r="K75" s="41">
        <v>0</v>
      </c>
      <c r="L75" s="41">
        <v>0</v>
      </c>
      <c r="M75" s="41">
        <v>0</v>
      </c>
      <c r="N75" s="41">
        <v>0</v>
      </c>
      <c r="O75" s="41">
        <v>0</v>
      </c>
      <c r="P75" s="41">
        <v>0</v>
      </c>
      <c r="Q75" s="41">
        <v>0</v>
      </c>
      <c r="R75" s="41">
        <v>0</v>
      </c>
      <c r="S75" s="41">
        <v>13.01</v>
      </c>
      <c r="T75" s="41">
        <v>14.01</v>
      </c>
      <c r="U75" s="41">
        <v>15.01</v>
      </c>
      <c r="V75" s="41">
        <v>16.010000000000002</v>
      </c>
      <c r="W75" s="41">
        <v>17</v>
      </c>
      <c r="X75" s="38">
        <v>0</v>
      </c>
      <c r="Y75" s="38">
        <v>4</v>
      </c>
      <c r="Z75" s="40">
        <v>0</v>
      </c>
      <c r="AA75" s="40">
        <v>0</v>
      </c>
      <c r="AB75" s="40">
        <v>0</v>
      </c>
      <c r="AC75" s="40">
        <v>0</v>
      </c>
      <c r="AD75" s="40">
        <v>0</v>
      </c>
      <c r="AE75" s="40">
        <v>0</v>
      </c>
      <c r="AF75" s="40">
        <v>0</v>
      </c>
      <c r="AG75" s="40">
        <v>0</v>
      </c>
      <c r="AH75" s="40">
        <v>0</v>
      </c>
      <c r="AI75" s="40">
        <v>0</v>
      </c>
      <c r="AK75" s="53" t="str">
        <f t="shared" si="15"/>
        <v/>
      </c>
      <c r="AL75" s="54" t="str">
        <f t="shared" si="16"/>
        <v/>
      </c>
      <c r="AM75" s="54" t="str">
        <f t="shared" si="17"/>
        <v/>
      </c>
      <c r="AN75" s="123">
        <f t="shared" si="19"/>
        <v>0</v>
      </c>
      <c r="AO75" s="44" t="s">
        <v>1197</v>
      </c>
      <c r="AP75" s="38" t="str">
        <f t="shared" si="12"/>
        <v>Exclude</v>
      </c>
    </row>
    <row r="76" spans="1:42" ht="30" hidden="1">
      <c r="A76" s="38" t="str">
        <f t="shared" si="18"/>
        <v>Essential (Original)</v>
      </c>
      <c r="B76" s="38" t="s">
        <v>1197</v>
      </c>
      <c r="C76" s="38" t="str">
        <f t="shared" si="13"/>
        <v>Duplicate-NON-CBD</v>
      </c>
      <c r="D76" s="38" t="str">
        <f t="shared" si="14"/>
        <v>Duplicate-LENGTH (KM) (000'S)</v>
      </c>
      <c r="E76" s="406"/>
      <c r="F76" s="43" t="s">
        <v>402</v>
      </c>
      <c r="G76" s="43" t="s">
        <v>404</v>
      </c>
      <c r="H76" s="43" t="s">
        <v>400</v>
      </c>
      <c r="I76" s="41">
        <v>10.811</v>
      </c>
      <c r="J76" s="41">
        <v>10.811</v>
      </c>
      <c r="K76" s="41">
        <v>10.811</v>
      </c>
      <c r="L76" s="41">
        <v>10.811</v>
      </c>
      <c r="M76" s="41">
        <v>10.811</v>
      </c>
      <c r="N76" s="41">
        <v>0.996</v>
      </c>
      <c r="O76" s="41">
        <v>1.2609999999999999</v>
      </c>
      <c r="P76" s="41">
        <v>2.4780000000000002</v>
      </c>
      <c r="Q76" s="41">
        <v>4.5869999999999997</v>
      </c>
      <c r="R76" s="41">
        <v>7.5049999999999999</v>
      </c>
      <c r="S76" s="41">
        <v>13.01</v>
      </c>
      <c r="T76" s="41">
        <v>14.01</v>
      </c>
      <c r="U76" s="41">
        <v>15.01</v>
      </c>
      <c r="V76" s="41">
        <v>16.010000000000002</v>
      </c>
      <c r="W76" s="41">
        <v>17</v>
      </c>
      <c r="X76" s="38">
        <v>0</v>
      </c>
      <c r="Y76" s="38">
        <v>4</v>
      </c>
      <c r="Z76" s="40">
        <v>0</v>
      </c>
      <c r="AA76" s="40">
        <v>0</v>
      </c>
      <c r="AB76" s="40">
        <v>0</v>
      </c>
      <c r="AC76" s="40">
        <v>0</v>
      </c>
      <c r="AD76" s="40">
        <v>0</v>
      </c>
      <c r="AE76" s="40">
        <v>695.26700000000005</v>
      </c>
      <c r="AF76" s="40">
        <v>739.01800000000003</v>
      </c>
      <c r="AG76" s="40">
        <v>1107.883</v>
      </c>
      <c r="AH76" s="40">
        <v>1524.867</v>
      </c>
      <c r="AI76" s="40">
        <v>1533.6949999999999</v>
      </c>
      <c r="AK76" s="53" t="str">
        <f t="shared" si="15"/>
        <v/>
      </c>
      <c r="AL76" s="54" t="str">
        <f t="shared" si="16"/>
        <v/>
      </c>
      <c r="AM76" s="54" t="str">
        <f t="shared" si="17"/>
        <v/>
      </c>
      <c r="AN76" s="123">
        <f t="shared" si="19"/>
        <v>0</v>
      </c>
      <c r="AO76" s="44" t="s">
        <v>1197</v>
      </c>
      <c r="AP76" s="38" t="str">
        <f t="shared" si="12"/>
        <v>Exclude</v>
      </c>
    </row>
    <row r="77" spans="1:42" ht="30" hidden="1">
      <c r="A77" s="38" t="str">
        <f t="shared" si="18"/>
        <v>Essential (Original)</v>
      </c>
      <c r="B77" s="38" t="s">
        <v>1381</v>
      </c>
      <c r="C77" s="38" t="str">
        <f t="shared" si="13"/>
        <v>Dist Sub Maintenance-DISTRIBUTION SUBSTATION TRANSFORMERS</v>
      </c>
      <c r="D77" s="38" t="str">
        <f t="shared" si="14"/>
        <v>Dist Sub Maintenance-NUMBER OF INSTALLED TRANSFORMERS (000'S)</v>
      </c>
      <c r="E77" s="406"/>
      <c r="F77" s="43" t="s">
        <v>405</v>
      </c>
      <c r="G77" s="43" t="s">
        <v>406</v>
      </c>
      <c r="H77" s="43" t="s">
        <v>407</v>
      </c>
      <c r="I77" s="41">
        <v>127.756</v>
      </c>
      <c r="J77" s="41">
        <v>129.83099999999999</v>
      </c>
      <c r="K77" s="41">
        <v>132.02000000000001</v>
      </c>
      <c r="L77" s="41">
        <v>134.36600000000001</v>
      </c>
      <c r="M77" s="41">
        <v>135.21299999999999</v>
      </c>
      <c r="N77" s="41">
        <v>11.693</v>
      </c>
      <c r="O77" s="41">
        <v>15.654999999999999</v>
      </c>
      <c r="P77" s="41">
        <v>8.4209999999999994</v>
      </c>
      <c r="Q77" s="41">
        <v>7.3360000000000003</v>
      </c>
      <c r="R77" s="41">
        <v>8.1359999999999992</v>
      </c>
      <c r="S77" s="41">
        <v>22.32</v>
      </c>
      <c r="T77" s="41">
        <v>23.27</v>
      </c>
      <c r="U77" s="41">
        <v>24.21</v>
      </c>
      <c r="V77" s="41">
        <v>25.11</v>
      </c>
      <c r="W77" s="41">
        <v>26</v>
      </c>
      <c r="X77" s="38">
        <v>0</v>
      </c>
      <c r="Y77" s="38">
        <v>4</v>
      </c>
      <c r="Z77" s="40">
        <v>0</v>
      </c>
      <c r="AA77" s="40">
        <v>0</v>
      </c>
      <c r="AB77" s="40">
        <v>0</v>
      </c>
      <c r="AC77" s="40">
        <v>0</v>
      </c>
      <c r="AD77" s="40">
        <v>0</v>
      </c>
      <c r="AE77" s="40">
        <v>20.798999999999999</v>
      </c>
      <c r="AF77" s="40">
        <v>578.69200000000001</v>
      </c>
      <c r="AG77" s="40">
        <v>102.85</v>
      </c>
      <c r="AH77" s="40">
        <v>38.018999999999998</v>
      </c>
      <c r="AI77" s="40">
        <v>325.154</v>
      </c>
      <c r="AK77" s="53">
        <f t="shared" si="15"/>
        <v>51.241</v>
      </c>
      <c r="AL77" s="54">
        <f t="shared" si="16"/>
        <v>0</v>
      </c>
      <c r="AM77" s="54">
        <f t="shared" si="17"/>
        <v>1065.5140000000001</v>
      </c>
      <c r="AN77" s="123">
        <f t="shared" si="19"/>
        <v>1065.5140000000001</v>
      </c>
      <c r="AO77" s="44" t="s">
        <v>1389</v>
      </c>
      <c r="AP77" s="38" t="str">
        <f t="shared" si="12"/>
        <v>OH/UG</v>
      </c>
    </row>
    <row r="78" spans="1:42" ht="60" hidden="1">
      <c r="A78" s="38" t="str">
        <f t="shared" si="18"/>
        <v>Essential (Original)</v>
      </c>
      <c r="B78" s="38" t="s">
        <v>1381</v>
      </c>
      <c r="C78" s="38" t="str">
        <f t="shared" si="13"/>
        <v>Dist Sub Maintenance-DISTRIBUTION SUBSTATION SWITCHGEAR (WITHIN-SUBSTATIONS AND STAND-ALONE SWITCHGEAR)</v>
      </c>
      <c r="D78" s="38" t="str">
        <f t="shared" si="14"/>
        <v>Dist Sub Maintenance-NUMBER OF SWITCHES (000'S)</v>
      </c>
      <c r="E78" s="406"/>
      <c r="F78" s="43" t="s">
        <v>405</v>
      </c>
      <c r="G78" s="43" t="s">
        <v>408</v>
      </c>
      <c r="H78" s="43" t="s">
        <v>409</v>
      </c>
      <c r="I78" s="41">
        <v>358.20499999999998</v>
      </c>
      <c r="J78" s="41">
        <v>358.20499999999998</v>
      </c>
      <c r="K78" s="41">
        <v>358.20499999999998</v>
      </c>
      <c r="L78" s="41">
        <v>358.20499999999998</v>
      </c>
      <c r="M78" s="41">
        <v>358.20499999999998</v>
      </c>
      <c r="N78" s="41">
        <v>1.218</v>
      </c>
      <c r="O78" s="41">
        <v>1.3180000000000001</v>
      </c>
      <c r="P78" s="41">
        <v>1.0960000000000001</v>
      </c>
      <c r="Q78" s="41">
        <v>0.84199999999999997</v>
      </c>
      <c r="R78" s="41">
        <v>0.91</v>
      </c>
      <c r="S78" s="41">
        <v>22.32</v>
      </c>
      <c r="T78" s="41">
        <v>23.27</v>
      </c>
      <c r="U78" s="41">
        <v>24.21</v>
      </c>
      <c r="V78" s="41">
        <v>25.11</v>
      </c>
      <c r="W78" s="41">
        <v>27</v>
      </c>
      <c r="X78" s="38">
        <v>0</v>
      </c>
      <c r="Y78" s="38">
        <v>4</v>
      </c>
      <c r="Z78" s="40">
        <v>0</v>
      </c>
      <c r="AA78" s="40">
        <v>0</v>
      </c>
      <c r="AB78" s="40">
        <v>0</v>
      </c>
      <c r="AC78" s="40">
        <v>0</v>
      </c>
      <c r="AD78" s="40">
        <v>0</v>
      </c>
      <c r="AE78" s="40">
        <v>0</v>
      </c>
      <c r="AF78" s="40">
        <v>0</v>
      </c>
      <c r="AG78" s="40">
        <v>0</v>
      </c>
      <c r="AH78" s="40">
        <v>0</v>
      </c>
      <c r="AI78" s="40">
        <v>0</v>
      </c>
      <c r="AK78" s="53">
        <f t="shared" si="15"/>
        <v>5.3840000000000003</v>
      </c>
      <c r="AL78" s="54">
        <f t="shared" si="16"/>
        <v>0</v>
      </c>
      <c r="AM78" s="54">
        <f t="shared" si="17"/>
        <v>0</v>
      </c>
      <c r="AN78" s="123">
        <f t="shared" si="19"/>
        <v>0</v>
      </c>
      <c r="AO78" s="44" t="s">
        <v>1389</v>
      </c>
      <c r="AP78" s="38" t="str">
        <f t="shared" si="12"/>
        <v>OH/UG</v>
      </c>
    </row>
    <row r="79" spans="1:42" ht="30" hidden="1">
      <c r="A79" s="38" t="str">
        <f t="shared" si="18"/>
        <v>Essential (Original)</v>
      </c>
      <c r="B79" s="38" t="s">
        <v>1381</v>
      </c>
      <c r="C79" s="38" t="str">
        <f t="shared" si="13"/>
        <v>Dist Sub Maintenance-DISTRIBUTION SUBSTATION - OTHER EQUIPMENT</v>
      </c>
      <c r="D79" s="38" t="str">
        <f t="shared" si="14"/>
        <v>Dist Sub Maintenance-REGULATOR UNITS (000's)</v>
      </c>
      <c r="E79" s="406"/>
      <c r="F79" s="43" t="s">
        <v>405</v>
      </c>
      <c r="G79" s="43" t="s">
        <v>410</v>
      </c>
      <c r="H79" s="43" t="s">
        <v>446</v>
      </c>
      <c r="I79" s="41">
        <v>1.26</v>
      </c>
      <c r="J79" s="41">
        <v>1.26</v>
      </c>
      <c r="K79" s="41">
        <v>1.26</v>
      </c>
      <c r="L79" s="41">
        <v>1.26</v>
      </c>
      <c r="M79" s="41">
        <v>1.26</v>
      </c>
      <c r="N79" s="41">
        <v>3.4000000000000002E-2</v>
      </c>
      <c r="O79" s="41">
        <v>9.5000000000000001E-2</v>
      </c>
      <c r="P79" s="41">
        <v>4.4999999999999998E-2</v>
      </c>
      <c r="Q79" s="41">
        <v>3.3000000000000002E-2</v>
      </c>
      <c r="R79" s="41">
        <v>7.9000000000000001E-2</v>
      </c>
      <c r="S79" s="41">
        <v>16.41</v>
      </c>
      <c r="T79" s="41">
        <v>16.07</v>
      </c>
      <c r="U79" s="41">
        <v>15.89</v>
      </c>
      <c r="V79" s="41">
        <v>15.79</v>
      </c>
      <c r="W79" s="41">
        <v>16</v>
      </c>
      <c r="X79" s="38">
        <v>0</v>
      </c>
      <c r="Y79" s="38">
        <v>4</v>
      </c>
      <c r="Z79" s="40">
        <v>0</v>
      </c>
      <c r="AA79" s="40">
        <v>0</v>
      </c>
      <c r="AB79" s="40">
        <v>0</v>
      </c>
      <c r="AC79" s="40">
        <v>0</v>
      </c>
      <c r="AD79" s="40">
        <v>0</v>
      </c>
      <c r="AE79" s="40">
        <v>0</v>
      </c>
      <c r="AF79" s="40">
        <v>0</v>
      </c>
      <c r="AG79" s="40">
        <v>0</v>
      </c>
      <c r="AH79" s="40">
        <v>0</v>
      </c>
      <c r="AI79" s="40">
        <v>0</v>
      </c>
      <c r="AK79" s="53">
        <f t="shared" si="15"/>
        <v>0.28599999999999998</v>
      </c>
      <c r="AL79" s="54">
        <f t="shared" si="16"/>
        <v>0</v>
      </c>
      <c r="AM79" s="54">
        <f t="shared" si="17"/>
        <v>0</v>
      </c>
      <c r="AN79" s="123">
        <f t="shared" si="19"/>
        <v>0</v>
      </c>
      <c r="AO79" s="44" t="s">
        <v>1389</v>
      </c>
      <c r="AP79" s="38" t="str">
        <f t="shared" si="12"/>
        <v>OH/UG</v>
      </c>
    </row>
    <row r="80" spans="1:42" ht="45" hidden="1">
      <c r="A80" s="38" t="str">
        <f t="shared" si="18"/>
        <v>Essential (Original)</v>
      </c>
      <c r="B80" s="38" t="s">
        <v>1381</v>
      </c>
      <c r="C80" s="38" t="str">
        <f t="shared" si="13"/>
        <v>Dist Sub Maintenance-DISTRIBUTION SUBSTATION - PROPERTY</v>
      </c>
      <c r="D80" s="38" t="str">
        <f t="shared" si="14"/>
        <v>Dist Sub Maintenance-NUMBER OF DISTRIBUTION SUBSTATION PROPERTIES MAINTAINED (000'S)</v>
      </c>
      <c r="E80" s="406"/>
      <c r="F80" s="43" t="s">
        <v>405</v>
      </c>
      <c r="G80" s="43" t="s">
        <v>412</v>
      </c>
      <c r="H80" s="43" t="s">
        <v>413</v>
      </c>
      <c r="I80" s="41">
        <v>127.756</v>
      </c>
      <c r="J80" s="41">
        <v>129.83099999999999</v>
      </c>
      <c r="K80" s="41">
        <v>132.02000000000001</v>
      </c>
      <c r="L80" s="41">
        <v>134.36600000000001</v>
      </c>
      <c r="M80" s="41">
        <v>135.21299999999999</v>
      </c>
      <c r="N80" s="41">
        <v>0</v>
      </c>
      <c r="O80" s="41">
        <v>0</v>
      </c>
      <c r="P80" s="41">
        <v>0</v>
      </c>
      <c r="Q80" s="41">
        <v>0</v>
      </c>
      <c r="R80" s="41">
        <v>0</v>
      </c>
      <c r="S80" s="41">
        <v>22.32</v>
      </c>
      <c r="T80" s="41">
        <v>23.27</v>
      </c>
      <c r="U80" s="41">
        <v>24.21</v>
      </c>
      <c r="V80" s="41">
        <v>25.11</v>
      </c>
      <c r="W80" s="41">
        <v>27</v>
      </c>
      <c r="X80" s="38">
        <v>0</v>
      </c>
      <c r="Y80" s="38">
        <v>4</v>
      </c>
      <c r="Z80" s="40">
        <v>0</v>
      </c>
      <c r="AA80" s="40">
        <v>0</v>
      </c>
      <c r="AB80" s="40">
        <v>0</v>
      </c>
      <c r="AC80" s="40">
        <v>0</v>
      </c>
      <c r="AD80" s="40">
        <v>0</v>
      </c>
      <c r="AE80" s="40">
        <v>0</v>
      </c>
      <c r="AF80" s="40">
        <v>0</v>
      </c>
      <c r="AG80" s="40">
        <v>0</v>
      </c>
      <c r="AH80" s="40">
        <v>0</v>
      </c>
      <c r="AI80" s="40">
        <v>0</v>
      </c>
      <c r="AK80" s="53">
        <f t="shared" si="15"/>
        <v>0</v>
      </c>
      <c r="AL80" s="54">
        <f t="shared" si="16"/>
        <v>0</v>
      </c>
      <c r="AM80" s="54">
        <f t="shared" si="17"/>
        <v>0</v>
      </c>
      <c r="AN80" s="123">
        <f t="shared" si="19"/>
        <v>0</v>
      </c>
      <c r="AO80" s="44" t="s">
        <v>1389</v>
      </c>
      <c r="AP80" s="38" t="str">
        <f t="shared" si="12"/>
        <v>OH/UG</v>
      </c>
    </row>
    <row r="81" spans="1:42" ht="30" hidden="1">
      <c r="A81" s="38" t="str">
        <f t="shared" si="18"/>
        <v>Essential (Original)</v>
      </c>
      <c r="B81" s="38" t="s">
        <v>1380</v>
      </c>
      <c r="C81" s="38" t="str">
        <f t="shared" si="13"/>
        <v>Zone Sub Maintenance-TRANSFORMERS - ZONE SUBSTATION</v>
      </c>
      <c r="D81" s="38" t="str">
        <f t="shared" si="14"/>
        <v>Zone Sub Maintenance-NUMBER OF ZONE SUBSTATION TRANSFORMERS (000'S)</v>
      </c>
      <c r="E81" s="406"/>
      <c r="F81" s="43" t="s">
        <v>414</v>
      </c>
      <c r="G81" s="43" t="s">
        <v>415</v>
      </c>
      <c r="H81" s="43" t="s">
        <v>416</v>
      </c>
      <c r="I81" s="41">
        <v>0.8</v>
      </c>
      <c r="J81" s="41">
        <v>0.81100000000000005</v>
      </c>
      <c r="K81" s="41">
        <v>0.81200000000000006</v>
      </c>
      <c r="L81" s="41">
        <v>0.79600000000000004</v>
      </c>
      <c r="M81" s="41">
        <v>0.79300000000000004</v>
      </c>
      <c r="N81" s="41">
        <v>0.14399999999999999</v>
      </c>
      <c r="O81" s="41">
        <v>0.16300000000000001</v>
      </c>
      <c r="P81" s="41">
        <v>0.223</v>
      </c>
      <c r="Q81" s="41">
        <v>0.2</v>
      </c>
      <c r="R81" s="41">
        <v>0.17100000000000001</v>
      </c>
      <c r="S81" s="41">
        <v>31.69</v>
      </c>
      <c r="T81" s="41">
        <v>31.26</v>
      </c>
      <c r="U81" s="41">
        <v>30.83</v>
      </c>
      <c r="V81" s="41">
        <v>30.41</v>
      </c>
      <c r="W81" s="41">
        <v>29.98</v>
      </c>
      <c r="X81" s="38">
        <v>0.19666666666666666</v>
      </c>
      <c r="Y81" s="38">
        <v>4</v>
      </c>
      <c r="Z81" s="40">
        <v>1036.9678717954168</v>
      </c>
      <c r="AA81" s="40">
        <v>1345.0697801774561</v>
      </c>
      <c r="AB81" s="40">
        <v>1808.2591703927628</v>
      </c>
      <c r="AC81" s="40">
        <v>1229.3264863116913</v>
      </c>
      <c r="AD81" s="40">
        <v>1235.7445590216098</v>
      </c>
      <c r="AE81" s="40">
        <v>257.11354456667971</v>
      </c>
      <c r="AF81" s="40">
        <v>388.11065792956305</v>
      </c>
      <c r="AG81" s="40">
        <v>398.94446924732421</v>
      </c>
      <c r="AH81" s="40">
        <v>474.41083392120402</v>
      </c>
      <c r="AI81" s="40">
        <v>593.15738833037278</v>
      </c>
      <c r="AK81" s="53">
        <f t="shared" si="15"/>
        <v>0.90100000000000002</v>
      </c>
      <c r="AL81" s="54">
        <f t="shared" si="16"/>
        <v>6655.3678676989366</v>
      </c>
      <c r="AM81" s="54">
        <f t="shared" si="17"/>
        <v>2111.7368939951434</v>
      </c>
      <c r="AN81" s="123">
        <f t="shared" si="19"/>
        <v>8767.1047616940796</v>
      </c>
      <c r="AO81" s="44" t="s">
        <v>1390</v>
      </c>
      <c r="AP81" s="38" t="str">
        <f t="shared" si="12"/>
        <v>Zone Sub</v>
      </c>
    </row>
    <row r="82" spans="1:42" ht="45" hidden="1">
      <c r="A82" s="38" t="str">
        <f t="shared" si="18"/>
        <v>Essential (Original)</v>
      </c>
      <c r="B82" s="38" t="s">
        <v>1380</v>
      </c>
      <c r="C82" s="38" t="str">
        <f t="shared" si="13"/>
        <v xml:space="preserve">Zone Sub Maintenance-TRANSFORMERS - DISTRIBUTION </v>
      </c>
      <c r="D82" s="38" t="str">
        <f t="shared" si="14"/>
        <v>Zone Sub Maintenance-NUMBER OF DISTRIBUTION TRANSFORMERS WITHIN ZONE SUBSTATIONS (000'S)</v>
      </c>
      <c r="E82" s="406"/>
      <c r="F82" s="43" t="s">
        <v>414</v>
      </c>
      <c r="G82" s="43" t="s">
        <v>417</v>
      </c>
      <c r="H82" s="43" t="s">
        <v>418</v>
      </c>
      <c r="I82" s="41">
        <v>0</v>
      </c>
      <c r="J82" s="41">
        <v>0</v>
      </c>
      <c r="K82" s="41">
        <v>0</v>
      </c>
      <c r="L82" s="41">
        <v>0</v>
      </c>
      <c r="M82" s="41">
        <v>0</v>
      </c>
      <c r="N82" s="41">
        <v>0</v>
      </c>
      <c r="O82" s="41">
        <v>0</v>
      </c>
      <c r="P82" s="41">
        <v>0</v>
      </c>
      <c r="Q82" s="41">
        <v>0</v>
      </c>
      <c r="R82" s="41">
        <v>0</v>
      </c>
      <c r="S82" s="41">
        <v>0</v>
      </c>
      <c r="T82" s="41">
        <v>0</v>
      </c>
      <c r="U82" s="41">
        <v>0</v>
      </c>
      <c r="V82" s="41">
        <v>0</v>
      </c>
      <c r="W82" s="41">
        <v>0</v>
      </c>
      <c r="X82" s="38">
        <v>0</v>
      </c>
      <c r="Y82" s="38">
        <v>0</v>
      </c>
      <c r="Z82" s="40">
        <v>0</v>
      </c>
      <c r="AA82" s="40">
        <v>0</v>
      </c>
      <c r="AB82" s="40">
        <v>0</v>
      </c>
      <c r="AC82" s="40">
        <v>0</v>
      </c>
      <c r="AD82" s="40">
        <v>0</v>
      </c>
      <c r="AE82" s="40">
        <v>0</v>
      </c>
      <c r="AF82" s="40">
        <v>0</v>
      </c>
      <c r="AG82" s="40">
        <v>0</v>
      </c>
      <c r="AH82" s="40">
        <v>0</v>
      </c>
      <c r="AI82" s="40">
        <v>0</v>
      </c>
      <c r="AK82" s="53">
        <f t="shared" si="15"/>
        <v>0</v>
      </c>
      <c r="AL82" s="54">
        <f t="shared" si="16"/>
        <v>0</v>
      </c>
      <c r="AM82" s="54">
        <f t="shared" si="17"/>
        <v>0</v>
      </c>
      <c r="AN82" s="123">
        <f t="shared" si="19"/>
        <v>0</v>
      </c>
      <c r="AO82" s="44" t="s">
        <v>1390</v>
      </c>
      <c r="AP82" s="38" t="str">
        <f t="shared" si="12"/>
        <v>Zone Sub</v>
      </c>
    </row>
    <row r="83" spans="1:42" ht="30" hidden="1">
      <c r="A83" s="38" t="str">
        <f t="shared" si="18"/>
        <v>Essential (Original)</v>
      </c>
      <c r="B83" s="38" t="s">
        <v>1380</v>
      </c>
      <c r="C83" s="38" t="str">
        <f t="shared" si="13"/>
        <v>Zone Sub Maintenance-TRANSFORMERS - HV</v>
      </c>
      <c r="D83" s="38" t="str">
        <f t="shared" si="14"/>
        <v>Zone Sub Maintenance-NUMBER OF HV TRANSFORMERS (000'S)</v>
      </c>
      <c r="E83" s="406"/>
      <c r="F83" s="43" t="s">
        <v>414</v>
      </c>
      <c r="G83" s="43" t="s">
        <v>419</v>
      </c>
      <c r="H83" s="43" t="s">
        <v>420</v>
      </c>
      <c r="I83" s="41">
        <v>0</v>
      </c>
      <c r="J83" s="41">
        <v>0</v>
      </c>
      <c r="K83" s="41">
        <v>0</v>
      </c>
      <c r="L83" s="41">
        <v>0</v>
      </c>
      <c r="M83" s="41">
        <v>0</v>
      </c>
      <c r="N83" s="41">
        <v>0</v>
      </c>
      <c r="O83" s="41">
        <v>0</v>
      </c>
      <c r="P83" s="41">
        <v>0</v>
      </c>
      <c r="Q83" s="41">
        <v>0</v>
      </c>
      <c r="R83" s="41">
        <v>0</v>
      </c>
      <c r="S83" s="41">
        <v>0</v>
      </c>
      <c r="T83" s="41">
        <v>0</v>
      </c>
      <c r="U83" s="41">
        <v>0</v>
      </c>
      <c r="V83" s="41">
        <v>0</v>
      </c>
      <c r="W83" s="41">
        <v>0</v>
      </c>
      <c r="X83" s="38">
        <v>0</v>
      </c>
      <c r="Y83" s="38">
        <v>0</v>
      </c>
      <c r="Z83" s="40">
        <v>0</v>
      </c>
      <c r="AA83" s="40">
        <v>0</v>
      </c>
      <c r="AB83" s="40">
        <v>0</v>
      </c>
      <c r="AC83" s="40">
        <v>0</v>
      </c>
      <c r="AD83" s="40">
        <v>0</v>
      </c>
      <c r="AE83" s="40">
        <v>0</v>
      </c>
      <c r="AF83" s="40">
        <v>0</v>
      </c>
      <c r="AG83" s="40">
        <v>0</v>
      </c>
      <c r="AH83" s="40">
        <v>0</v>
      </c>
      <c r="AI83" s="40">
        <v>0</v>
      </c>
      <c r="AK83" s="53">
        <f t="shared" si="15"/>
        <v>0</v>
      </c>
      <c r="AL83" s="54">
        <f t="shared" si="16"/>
        <v>0</v>
      </c>
      <c r="AM83" s="54">
        <f t="shared" si="17"/>
        <v>0</v>
      </c>
      <c r="AN83" s="123">
        <f t="shared" si="19"/>
        <v>0</v>
      </c>
      <c r="AO83" s="44" t="s">
        <v>1390</v>
      </c>
      <c r="AP83" s="38" t="str">
        <f t="shared" si="12"/>
        <v>Zone Sub</v>
      </c>
    </row>
    <row r="84" spans="1:42" ht="30" hidden="1">
      <c r="A84" s="38" t="str">
        <f t="shared" si="18"/>
        <v>Essential (Original)</v>
      </c>
      <c r="B84" s="38" t="s">
        <v>1380</v>
      </c>
      <c r="C84" s="38" t="str">
        <f t="shared" si="13"/>
        <v>Zone Sub Maintenance-ZONE SUBSTATION - OTHER EQUIPMENT</v>
      </c>
      <c r="D84" s="38" t="str">
        <f t="shared" si="14"/>
        <v>Zone Sub Maintenance-     Aux Transformers - (000's)</v>
      </c>
      <c r="E84" s="406"/>
      <c r="F84" s="43" t="s">
        <v>414</v>
      </c>
      <c r="G84" s="43" t="s">
        <v>421</v>
      </c>
      <c r="H84" s="43" t="s">
        <v>447</v>
      </c>
      <c r="I84" s="41">
        <v>0.52700000000000002</v>
      </c>
      <c r="J84" s="41">
        <v>0.55100000000000005</v>
      </c>
      <c r="K84" s="41">
        <v>0.57399999999999995</v>
      </c>
      <c r="L84" s="41">
        <v>0.59799999999999998</v>
      </c>
      <c r="M84" s="41">
        <v>0.621</v>
      </c>
      <c r="N84" s="41">
        <v>7.9000000000000001E-2</v>
      </c>
      <c r="O84" s="41">
        <v>0.104</v>
      </c>
      <c r="P84" s="41">
        <v>0.13500000000000001</v>
      </c>
      <c r="Q84" s="41">
        <v>9.8000000000000004E-2</v>
      </c>
      <c r="R84" s="41">
        <v>0.108</v>
      </c>
      <c r="S84" s="41">
        <v>31</v>
      </c>
      <c r="T84" s="41">
        <v>30</v>
      </c>
      <c r="U84" s="41">
        <v>30</v>
      </c>
      <c r="V84" s="41">
        <v>29</v>
      </c>
      <c r="W84" s="41">
        <v>28</v>
      </c>
      <c r="X84" s="38">
        <v>0.19666666666666666</v>
      </c>
      <c r="Y84" s="38">
        <v>4</v>
      </c>
      <c r="Z84" s="40">
        <v>7745.7583724094429</v>
      </c>
      <c r="AA84" s="40">
        <v>10052.82704166574</v>
      </c>
      <c r="AB84" s="40">
        <v>13512.075719289807</v>
      </c>
      <c r="AC84" s="40">
        <v>9179.4731198404388</v>
      </c>
      <c r="AD84" s="40">
        <v>9235.6458979877571</v>
      </c>
      <c r="AE84" s="40">
        <v>909.26246886494675</v>
      </c>
      <c r="AF84" s="40">
        <v>1375.5098317797747</v>
      </c>
      <c r="AG84" s="40">
        <v>1415.8192305353409</v>
      </c>
      <c r="AH84" s="40">
        <v>1683.0289108156999</v>
      </c>
      <c r="AI84" s="40">
        <v>2099.2210696379598</v>
      </c>
      <c r="AK84" s="53">
        <f t="shared" si="15"/>
        <v>0.52400000000000002</v>
      </c>
      <c r="AL84" s="54">
        <f t="shared" si="16"/>
        <v>49725.78015119319</v>
      </c>
      <c r="AM84" s="54">
        <f t="shared" si="17"/>
        <v>7482.8415116337219</v>
      </c>
      <c r="AN84" s="123">
        <f t="shared" si="19"/>
        <v>57208.62166282691</v>
      </c>
      <c r="AO84" s="44" t="s">
        <v>1390</v>
      </c>
      <c r="AP84" s="38" t="str">
        <f t="shared" si="12"/>
        <v>Zone Sub</v>
      </c>
    </row>
    <row r="85" spans="1:42" hidden="1">
      <c r="A85" s="38" t="str">
        <f t="shared" si="18"/>
        <v>Essential (Original)</v>
      </c>
      <c r="B85" s="38" t="s">
        <v>1380</v>
      </c>
      <c r="C85" s="38" t="str">
        <f t="shared" si="13"/>
        <v>Zone Sub Maintenance-</v>
      </c>
      <c r="D85" s="38" t="str">
        <f t="shared" si="14"/>
        <v>Zone Sub Maintenance-     Batteries - (000's)</v>
      </c>
      <c r="E85" s="406"/>
      <c r="H85" s="43" t="s">
        <v>448</v>
      </c>
      <c r="I85" s="41">
        <v>0.53700000000000003</v>
      </c>
      <c r="J85" s="41">
        <v>0.56100000000000005</v>
      </c>
      <c r="K85" s="41">
        <v>0.58399999999999996</v>
      </c>
      <c r="L85" s="41">
        <v>0.60799999999999998</v>
      </c>
      <c r="M85" s="41">
        <v>0.63200000000000001</v>
      </c>
      <c r="N85" s="41">
        <v>0.155</v>
      </c>
      <c r="O85" s="41">
        <v>0.16700000000000001</v>
      </c>
      <c r="P85" s="41">
        <v>0.23899999999999999</v>
      </c>
      <c r="Q85" s="41">
        <v>0.23200000000000001</v>
      </c>
      <c r="R85" s="41">
        <v>0.30299999999999999</v>
      </c>
      <c r="S85" s="41">
        <v>8</v>
      </c>
      <c r="T85" s="41">
        <v>8</v>
      </c>
      <c r="U85" s="41">
        <v>7</v>
      </c>
      <c r="V85" s="41">
        <v>7</v>
      </c>
      <c r="W85" s="41">
        <v>6.34</v>
      </c>
      <c r="X85" s="38">
        <v>0.19666666666666666</v>
      </c>
      <c r="Y85" s="38">
        <v>2.98</v>
      </c>
      <c r="Z85" s="40">
        <v>0</v>
      </c>
      <c r="AA85" s="40">
        <v>0</v>
      </c>
      <c r="AB85" s="40">
        <v>0</v>
      </c>
      <c r="AC85" s="40">
        <v>0</v>
      </c>
      <c r="AD85" s="40">
        <v>0</v>
      </c>
      <c r="AE85" s="40">
        <v>0</v>
      </c>
      <c r="AF85" s="40">
        <v>0</v>
      </c>
      <c r="AG85" s="40">
        <v>0</v>
      </c>
      <c r="AH85" s="40">
        <v>0</v>
      </c>
      <c r="AI85" s="40">
        <v>0</v>
      </c>
      <c r="AK85" s="53">
        <f t="shared" si="15"/>
        <v>1.0959999999999999</v>
      </c>
      <c r="AL85" s="54">
        <f t="shared" si="16"/>
        <v>0</v>
      </c>
      <c r="AM85" s="54">
        <f t="shared" si="17"/>
        <v>0</v>
      </c>
      <c r="AN85" s="123">
        <f t="shared" si="19"/>
        <v>0</v>
      </c>
      <c r="AO85" s="44" t="s">
        <v>1390</v>
      </c>
      <c r="AP85" s="38" t="str">
        <f t="shared" si="12"/>
        <v>Zone Sub</v>
      </c>
    </row>
    <row r="86" spans="1:42" hidden="1">
      <c r="A86" s="38" t="str">
        <f t="shared" si="18"/>
        <v>Essential (Original)</v>
      </c>
      <c r="B86" s="38" t="s">
        <v>1380</v>
      </c>
      <c r="C86" s="38" t="str">
        <f t="shared" si="13"/>
        <v>Zone Sub Maintenance-</v>
      </c>
      <c r="D86" s="38" t="str">
        <f t="shared" si="14"/>
        <v>Zone Sub Maintenance-     Capacitor Banks - (000's)</v>
      </c>
      <c r="E86" s="406"/>
      <c r="H86" s="43" t="s">
        <v>449</v>
      </c>
      <c r="I86" s="41">
        <v>0.112</v>
      </c>
      <c r="J86" s="41">
        <v>0.112</v>
      </c>
      <c r="K86" s="41">
        <v>0.114</v>
      </c>
      <c r="L86" s="41">
        <v>0.124</v>
      </c>
      <c r="M86" s="41">
        <v>0.13600000000000001</v>
      </c>
      <c r="N86" s="41">
        <v>1.9E-2</v>
      </c>
      <c r="O86" s="41">
        <v>2.5000000000000001E-2</v>
      </c>
      <c r="P86" s="41">
        <v>0.03</v>
      </c>
      <c r="Q86" s="41">
        <v>3.7999999999999999E-2</v>
      </c>
      <c r="R86" s="41">
        <v>2.5999999999999999E-2</v>
      </c>
      <c r="S86" s="41">
        <v>21</v>
      </c>
      <c r="T86" s="41">
        <v>16</v>
      </c>
      <c r="U86" s="41">
        <v>10</v>
      </c>
      <c r="V86" s="41">
        <v>8</v>
      </c>
      <c r="W86" s="41">
        <v>4</v>
      </c>
      <c r="X86" s="38">
        <v>0.19666666666666666</v>
      </c>
      <c r="Y86" s="38">
        <v>4</v>
      </c>
      <c r="Z86" s="40">
        <v>0</v>
      </c>
      <c r="AA86" s="40">
        <v>0</v>
      </c>
      <c r="AB86" s="40">
        <v>0</v>
      </c>
      <c r="AC86" s="40">
        <v>0</v>
      </c>
      <c r="AD86" s="40">
        <v>0</v>
      </c>
      <c r="AE86" s="40">
        <v>0</v>
      </c>
      <c r="AF86" s="40">
        <v>0</v>
      </c>
      <c r="AG86" s="40">
        <v>0</v>
      </c>
      <c r="AH86" s="40">
        <v>0</v>
      </c>
      <c r="AI86" s="40">
        <v>0</v>
      </c>
      <c r="AK86" s="53">
        <f t="shared" si="15"/>
        <v>0.13799999999999998</v>
      </c>
      <c r="AL86" s="54">
        <f t="shared" si="16"/>
        <v>0</v>
      </c>
      <c r="AM86" s="54">
        <f t="shared" si="17"/>
        <v>0</v>
      </c>
      <c r="AN86" s="123">
        <f t="shared" si="19"/>
        <v>0</v>
      </c>
      <c r="AO86" s="44" t="s">
        <v>1390</v>
      </c>
      <c r="AP86" s="38" t="str">
        <f t="shared" si="12"/>
        <v>Zone Sub</v>
      </c>
    </row>
    <row r="87" spans="1:42" hidden="1">
      <c r="A87" s="38" t="str">
        <f t="shared" si="18"/>
        <v>Essential (Original)</v>
      </c>
      <c r="B87" s="38" t="s">
        <v>1380</v>
      </c>
      <c r="C87" s="38" t="str">
        <f t="shared" si="13"/>
        <v>Zone Sub Maintenance-</v>
      </c>
      <c r="D87" s="38" t="str">
        <f t="shared" si="14"/>
        <v>Zone Sub Maintenance-     Chargers - (000's)</v>
      </c>
      <c r="E87" s="406"/>
      <c r="H87" s="43" t="s">
        <v>450</v>
      </c>
      <c r="I87" s="41">
        <v>0.52600000000000002</v>
      </c>
      <c r="J87" s="41">
        <v>0.55000000000000004</v>
      </c>
      <c r="K87" s="41">
        <v>0.57299999999999995</v>
      </c>
      <c r="L87" s="41">
        <v>0.59699999999999998</v>
      </c>
      <c r="M87" s="41">
        <v>0.623</v>
      </c>
      <c r="N87" s="41">
        <v>0.155</v>
      </c>
      <c r="O87" s="41">
        <v>0.16700000000000001</v>
      </c>
      <c r="P87" s="41">
        <v>0.23899999999999999</v>
      </c>
      <c r="Q87" s="41">
        <v>0.23200000000000001</v>
      </c>
      <c r="R87" s="41">
        <v>0.30299999999999999</v>
      </c>
      <c r="S87" s="41">
        <v>10</v>
      </c>
      <c r="T87" s="41">
        <v>10</v>
      </c>
      <c r="U87" s="41">
        <v>9</v>
      </c>
      <c r="V87" s="41">
        <v>9</v>
      </c>
      <c r="W87" s="41">
        <v>8.84</v>
      </c>
      <c r="X87" s="38">
        <v>0.19666666666666666</v>
      </c>
      <c r="Y87" s="38">
        <v>2.98</v>
      </c>
      <c r="Z87" s="40">
        <v>0</v>
      </c>
      <c r="AA87" s="40">
        <v>0</v>
      </c>
      <c r="AB87" s="40">
        <v>0</v>
      </c>
      <c r="AC87" s="40">
        <v>0</v>
      </c>
      <c r="AD87" s="40">
        <v>0</v>
      </c>
      <c r="AE87" s="40">
        <v>0</v>
      </c>
      <c r="AF87" s="40">
        <v>0</v>
      </c>
      <c r="AG87" s="40">
        <v>0</v>
      </c>
      <c r="AH87" s="40">
        <v>0</v>
      </c>
      <c r="AI87" s="40">
        <v>0</v>
      </c>
      <c r="AK87" s="53">
        <f t="shared" si="15"/>
        <v>1.0959999999999999</v>
      </c>
      <c r="AL87" s="54">
        <f t="shared" si="16"/>
        <v>0</v>
      </c>
      <c r="AM87" s="54">
        <f t="shared" si="17"/>
        <v>0</v>
      </c>
      <c r="AN87" s="123">
        <f t="shared" si="19"/>
        <v>0</v>
      </c>
      <c r="AO87" s="44" t="s">
        <v>1390</v>
      </c>
      <c r="AP87" s="38" t="str">
        <f t="shared" si="12"/>
        <v>Zone Sub</v>
      </c>
    </row>
    <row r="88" spans="1:42" hidden="1">
      <c r="A88" s="38" t="str">
        <f t="shared" si="18"/>
        <v>Essential (Original)</v>
      </c>
      <c r="B88" s="38" t="s">
        <v>1380</v>
      </c>
      <c r="C88" s="38" t="str">
        <f t="shared" si="13"/>
        <v>Zone Sub Maintenance-</v>
      </c>
      <c r="D88" s="38" t="str">
        <f t="shared" si="14"/>
        <v>Zone Sub Maintenance-     Circuit Breakers - (000's)</v>
      </c>
      <c r="E88" s="406"/>
      <c r="H88" s="43" t="s">
        <v>451</v>
      </c>
      <c r="I88" s="41">
        <v>2.875</v>
      </c>
      <c r="J88" s="41">
        <v>3.0030000000000001</v>
      </c>
      <c r="K88" s="41">
        <v>3.13</v>
      </c>
      <c r="L88" s="41">
        <v>3.258</v>
      </c>
      <c r="M88" s="41">
        <v>3.3860000000000001</v>
      </c>
      <c r="N88" s="41">
        <v>0.58199999999999996</v>
      </c>
      <c r="O88" s="41">
        <v>0.71699999999999997</v>
      </c>
      <c r="P88" s="41">
        <v>0.871</v>
      </c>
      <c r="Q88" s="41">
        <v>0.79100000000000004</v>
      </c>
      <c r="R88" s="41">
        <v>0.70499999999999996</v>
      </c>
      <c r="S88" s="41">
        <v>15.59</v>
      </c>
      <c r="T88" s="41">
        <v>14.51</v>
      </c>
      <c r="U88" s="41">
        <v>15.11</v>
      </c>
      <c r="V88" s="41">
        <v>15.07</v>
      </c>
      <c r="W88" s="41">
        <v>15.86</v>
      </c>
      <c r="X88" s="38">
        <v>0.19666666666666666</v>
      </c>
      <c r="Y88" s="38">
        <v>9.16</v>
      </c>
      <c r="Z88" s="40">
        <v>0</v>
      </c>
      <c r="AA88" s="40">
        <v>0</v>
      </c>
      <c r="AB88" s="40">
        <v>0</v>
      </c>
      <c r="AC88" s="40">
        <v>0</v>
      </c>
      <c r="AD88" s="40">
        <v>0</v>
      </c>
      <c r="AE88" s="40">
        <v>0</v>
      </c>
      <c r="AF88" s="40">
        <v>0</v>
      </c>
      <c r="AG88" s="40">
        <v>0</v>
      </c>
      <c r="AH88" s="40">
        <v>0</v>
      </c>
      <c r="AI88" s="40">
        <v>0</v>
      </c>
      <c r="AK88" s="53">
        <f t="shared" si="15"/>
        <v>3.6659999999999999</v>
      </c>
      <c r="AL88" s="54">
        <f t="shared" si="16"/>
        <v>0</v>
      </c>
      <c r="AM88" s="54">
        <f t="shared" si="17"/>
        <v>0</v>
      </c>
      <c r="AN88" s="123">
        <f t="shared" si="19"/>
        <v>0</v>
      </c>
      <c r="AO88" s="44" t="s">
        <v>1390</v>
      </c>
      <c r="AP88" s="38" t="str">
        <f t="shared" si="12"/>
        <v>Zone Sub</v>
      </c>
    </row>
    <row r="89" spans="1:42" ht="30" hidden="1">
      <c r="A89" s="38" t="str">
        <f t="shared" si="18"/>
        <v>Essential (Original)</v>
      </c>
      <c r="B89" s="38" t="s">
        <v>1380</v>
      </c>
      <c r="C89" s="38" t="str">
        <f t="shared" si="13"/>
        <v>Zone Sub Maintenance-</v>
      </c>
      <c r="D89" s="38" t="str">
        <f t="shared" si="14"/>
        <v>Zone Sub Maintenance-     Current Transformers -(000's)</v>
      </c>
      <c r="E89" s="406"/>
      <c r="H89" s="43" t="s">
        <v>452</v>
      </c>
      <c r="I89" s="41">
        <v>1.8360000000000001</v>
      </c>
      <c r="J89" s="41">
        <v>1.917</v>
      </c>
      <c r="K89" s="41">
        <v>1.9990000000000001</v>
      </c>
      <c r="L89" s="41">
        <v>2.08</v>
      </c>
      <c r="M89" s="41">
        <v>2.1619999999999999</v>
      </c>
      <c r="N89" s="41">
        <v>0.34300000000000003</v>
      </c>
      <c r="O89" s="41">
        <v>0.23899999999999999</v>
      </c>
      <c r="P89" s="41">
        <v>0.56100000000000005</v>
      </c>
      <c r="Q89" s="41">
        <v>0.46800000000000003</v>
      </c>
      <c r="R89" s="41">
        <v>0.29499999999999998</v>
      </c>
      <c r="S89" s="41">
        <v>35</v>
      </c>
      <c r="T89" s="41">
        <v>34</v>
      </c>
      <c r="U89" s="41">
        <v>32</v>
      </c>
      <c r="V89" s="41">
        <v>30</v>
      </c>
      <c r="W89" s="41">
        <v>28.42</v>
      </c>
      <c r="X89" s="38">
        <v>0.19666666666666666</v>
      </c>
      <c r="Y89" s="38">
        <v>4</v>
      </c>
      <c r="Z89" s="40">
        <v>0</v>
      </c>
      <c r="AA89" s="40">
        <v>0</v>
      </c>
      <c r="AB89" s="40">
        <v>0</v>
      </c>
      <c r="AC89" s="40">
        <v>0</v>
      </c>
      <c r="AD89" s="40">
        <v>0</v>
      </c>
      <c r="AE89" s="40">
        <v>0</v>
      </c>
      <c r="AF89" s="40">
        <v>0</v>
      </c>
      <c r="AG89" s="40">
        <v>0</v>
      </c>
      <c r="AH89" s="40">
        <v>0</v>
      </c>
      <c r="AI89" s="40">
        <v>0</v>
      </c>
      <c r="AK89" s="53">
        <f t="shared" si="15"/>
        <v>1.9060000000000001</v>
      </c>
      <c r="AL89" s="54">
        <f t="shared" si="16"/>
        <v>0</v>
      </c>
      <c r="AM89" s="54">
        <f t="shared" si="17"/>
        <v>0</v>
      </c>
      <c r="AN89" s="123">
        <f t="shared" si="19"/>
        <v>0</v>
      </c>
      <c r="AO89" s="44" t="s">
        <v>1390</v>
      </c>
      <c r="AP89" s="38" t="str">
        <f t="shared" si="12"/>
        <v>Zone Sub</v>
      </c>
    </row>
    <row r="90" spans="1:42" ht="30" hidden="1">
      <c r="A90" s="38" t="str">
        <f t="shared" si="18"/>
        <v>Essential (Original)</v>
      </c>
      <c r="B90" s="38" t="s">
        <v>1380</v>
      </c>
      <c r="C90" s="38" t="str">
        <f t="shared" si="13"/>
        <v>Zone Sub Maintenance-</v>
      </c>
      <c r="D90" s="38" t="str">
        <f t="shared" si="14"/>
        <v>Zone Sub Maintenance-     Regulators (Single Phase) - (000's)</v>
      </c>
      <c r="E90" s="406"/>
      <c r="H90" s="43" t="s">
        <v>453</v>
      </c>
      <c r="I90" s="41">
        <v>6.9000000000000006E-2</v>
      </c>
      <c r="J90" s="41">
        <v>6.9000000000000006E-2</v>
      </c>
      <c r="K90" s="41">
        <v>6.9000000000000006E-2</v>
      </c>
      <c r="L90" s="41">
        <v>6.9000000000000006E-2</v>
      </c>
      <c r="M90" s="41">
        <v>6.9000000000000006E-2</v>
      </c>
      <c r="N90" s="41">
        <v>3.5000000000000003E-2</v>
      </c>
      <c r="O90" s="41">
        <v>6.3E-2</v>
      </c>
      <c r="P90" s="41">
        <v>0.10199999999999999</v>
      </c>
      <c r="Q90" s="41">
        <v>0.02</v>
      </c>
      <c r="R90" s="41">
        <v>3.5000000000000003E-2</v>
      </c>
      <c r="S90" s="41">
        <v>6</v>
      </c>
      <c r="T90" s="41">
        <v>7</v>
      </c>
      <c r="U90" s="41">
        <v>8</v>
      </c>
      <c r="V90" s="41">
        <v>9</v>
      </c>
      <c r="W90" s="41">
        <v>10.45</v>
      </c>
      <c r="X90" s="38">
        <v>0.19666666666666666</v>
      </c>
      <c r="Y90" s="38">
        <v>8</v>
      </c>
      <c r="Z90" s="40">
        <v>0</v>
      </c>
      <c r="AA90" s="40">
        <v>0</v>
      </c>
      <c r="AB90" s="40">
        <v>0</v>
      </c>
      <c r="AC90" s="40">
        <v>0</v>
      </c>
      <c r="AD90" s="40">
        <v>0</v>
      </c>
      <c r="AE90" s="40">
        <v>0</v>
      </c>
      <c r="AF90" s="40">
        <v>0</v>
      </c>
      <c r="AG90" s="40">
        <v>0</v>
      </c>
      <c r="AH90" s="40">
        <v>0</v>
      </c>
      <c r="AI90" s="40">
        <v>0</v>
      </c>
      <c r="AK90" s="53">
        <f t="shared" si="15"/>
        <v>0.255</v>
      </c>
      <c r="AL90" s="54">
        <f t="shared" si="16"/>
        <v>0</v>
      </c>
      <c r="AM90" s="54">
        <f t="shared" si="17"/>
        <v>0</v>
      </c>
      <c r="AN90" s="123">
        <f t="shared" si="19"/>
        <v>0</v>
      </c>
      <c r="AO90" s="44" t="s">
        <v>1390</v>
      </c>
      <c r="AP90" s="38" t="str">
        <f t="shared" si="12"/>
        <v>Zone Sub</v>
      </c>
    </row>
    <row r="91" spans="1:42" hidden="1">
      <c r="A91" s="38" t="str">
        <f t="shared" si="18"/>
        <v>Essential (Original)</v>
      </c>
      <c r="B91" s="38" t="s">
        <v>1380</v>
      </c>
      <c r="C91" s="38" t="str">
        <f t="shared" si="13"/>
        <v>Zone Sub Maintenance-</v>
      </c>
      <c r="D91" s="38" t="str">
        <f t="shared" si="14"/>
        <v>Zone Sub Maintenance-     Relays - (000's)</v>
      </c>
      <c r="E91" s="406"/>
      <c r="H91" s="43" t="s">
        <v>454</v>
      </c>
      <c r="I91" s="41">
        <v>5.5110000000000001</v>
      </c>
      <c r="J91" s="41">
        <v>5.7569999999999997</v>
      </c>
      <c r="K91" s="41">
        <v>6</v>
      </c>
      <c r="L91" s="41">
        <v>6.2460000000000004</v>
      </c>
      <c r="M91" s="41">
        <v>6.4909999999999997</v>
      </c>
      <c r="N91" s="41">
        <v>2.3090000000000002</v>
      </c>
      <c r="O91" s="41">
        <v>1.867</v>
      </c>
      <c r="P91" s="41">
        <v>2.4060000000000001</v>
      </c>
      <c r="Q91" s="41">
        <v>2.351</v>
      </c>
      <c r="R91" s="41">
        <v>2.6640000000000001</v>
      </c>
      <c r="S91" s="41">
        <v>22</v>
      </c>
      <c r="T91" s="41">
        <v>21</v>
      </c>
      <c r="U91" s="41">
        <v>20</v>
      </c>
      <c r="V91" s="41">
        <v>20</v>
      </c>
      <c r="W91" s="41">
        <v>19.7</v>
      </c>
      <c r="X91" s="38">
        <v>0.19666666666666666</v>
      </c>
      <c r="Y91" s="38">
        <v>4</v>
      </c>
      <c r="Z91" s="40">
        <v>0</v>
      </c>
      <c r="AA91" s="40">
        <v>0</v>
      </c>
      <c r="AB91" s="40">
        <v>0</v>
      </c>
      <c r="AC91" s="40">
        <v>0</v>
      </c>
      <c r="AD91" s="40">
        <v>0</v>
      </c>
      <c r="AE91" s="40">
        <v>0</v>
      </c>
      <c r="AF91" s="40">
        <v>0</v>
      </c>
      <c r="AG91" s="40">
        <v>0</v>
      </c>
      <c r="AH91" s="40">
        <v>0</v>
      </c>
      <c r="AI91" s="40">
        <v>0</v>
      </c>
      <c r="AK91" s="53">
        <f t="shared" si="15"/>
        <v>11.597</v>
      </c>
      <c r="AL91" s="54">
        <f t="shared" si="16"/>
        <v>0</v>
      </c>
      <c r="AM91" s="54">
        <f t="shared" si="17"/>
        <v>0</v>
      </c>
      <c r="AN91" s="123">
        <f t="shared" si="19"/>
        <v>0</v>
      </c>
      <c r="AO91" s="44" t="s">
        <v>1390</v>
      </c>
      <c r="AP91" s="38" t="str">
        <f t="shared" si="12"/>
        <v>Zone Sub</v>
      </c>
    </row>
    <row r="92" spans="1:42" ht="60" hidden="1">
      <c r="A92" s="38" t="str">
        <f t="shared" si="18"/>
        <v>Essential (Original)</v>
      </c>
      <c r="B92" s="38" t="s">
        <v>1380</v>
      </c>
      <c r="C92" s="38" t="str">
        <f t="shared" si="13"/>
        <v>Zone Sub Maintenance-</v>
      </c>
      <c r="D92" s="38" t="str">
        <f t="shared" si="14"/>
        <v>Zone Sub Maintenance-     Surge Diverters &lt;33kV - All units at a ZS site replaced - IF the site has 11/22kV present - 11/22kV sub sites</v>
      </c>
      <c r="E92" s="406"/>
      <c r="H92" s="43" t="s">
        <v>455</v>
      </c>
      <c r="I92" s="41">
        <v>0.34799999999999998</v>
      </c>
      <c r="J92" s="41">
        <v>0.34799999999999998</v>
      </c>
      <c r="K92" s="41">
        <v>0.34799999999999998</v>
      </c>
      <c r="L92" s="41">
        <v>0.34799999999999998</v>
      </c>
      <c r="M92" s="41">
        <v>0.34799999999999998</v>
      </c>
      <c r="N92" s="41">
        <v>4.1000000000000002E-2</v>
      </c>
      <c r="O92" s="41">
        <v>4.7E-2</v>
      </c>
      <c r="P92" s="41">
        <v>4.2000000000000003E-2</v>
      </c>
      <c r="Q92" s="41">
        <v>2.9000000000000001E-2</v>
      </c>
      <c r="R92" s="41">
        <v>2.1999999999999999E-2</v>
      </c>
      <c r="S92" s="41">
        <v>15.59</v>
      </c>
      <c r="T92" s="41">
        <v>14.51</v>
      </c>
      <c r="U92" s="41">
        <v>15.11</v>
      </c>
      <c r="V92" s="41">
        <v>15.07</v>
      </c>
      <c r="W92" s="41">
        <v>15.86</v>
      </c>
      <c r="X92" s="38">
        <v>0.19666666666666666</v>
      </c>
      <c r="Y92" s="38">
        <v>12</v>
      </c>
      <c r="Z92" s="40">
        <v>0</v>
      </c>
      <c r="AA92" s="40">
        <v>0</v>
      </c>
      <c r="AB92" s="40">
        <v>0</v>
      </c>
      <c r="AC92" s="40">
        <v>0</v>
      </c>
      <c r="AD92" s="40">
        <v>0</v>
      </c>
      <c r="AE92" s="40">
        <v>0</v>
      </c>
      <c r="AF92" s="40">
        <v>0</v>
      </c>
      <c r="AG92" s="40">
        <v>0</v>
      </c>
      <c r="AH92" s="40">
        <v>0</v>
      </c>
      <c r="AI92" s="40">
        <v>0</v>
      </c>
      <c r="AK92" s="53">
        <f t="shared" si="15"/>
        <v>0.18099999999999999</v>
      </c>
      <c r="AL92" s="54">
        <f t="shared" si="16"/>
        <v>0</v>
      </c>
      <c r="AM92" s="54">
        <f t="shared" si="17"/>
        <v>0</v>
      </c>
      <c r="AN92" s="123">
        <f t="shared" si="19"/>
        <v>0</v>
      </c>
      <c r="AO92" s="44" t="s">
        <v>1390</v>
      </c>
      <c r="AP92" s="38" t="str">
        <f t="shared" si="12"/>
        <v>Zone Sub</v>
      </c>
    </row>
    <row r="93" spans="1:42" ht="30" hidden="1">
      <c r="A93" s="38" t="str">
        <f t="shared" si="18"/>
        <v>Essential (Original)</v>
      </c>
      <c r="B93" s="38" t="s">
        <v>1380</v>
      </c>
      <c r="C93" s="38" t="str">
        <f t="shared" si="13"/>
        <v>Zone Sub Maintenance-</v>
      </c>
      <c r="D93" s="38" t="str">
        <f t="shared" si="14"/>
        <v>Zone Sub Maintenance-     Surge Diverters (&gt;= 33kV) - (000's)</v>
      </c>
      <c r="E93" s="406"/>
      <c r="H93" s="43" t="s">
        <v>456</v>
      </c>
      <c r="I93" s="41">
        <v>2.6920000000000002</v>
      </c>
      <c r="J93" s="41">
        <v>2.8119999999999998</v>
      </c>
      <c r="K93" s="41">
        <v>2.931</v>
      </c>
      <c r="L93" s="41">
        <v>3.0510000000000002</v>
      </c>
      <c r="M93" s="41">
        <v>3.1709999999999998</v>
      </c>
      <c r="N93" s="41">
        <v>0.40500000000000003</v>
      </c>
      <c r="O93" s="41">
        <v>0.498</v>
      </c>
      <c r="P93" s="41">
        <v>0.70799999999999996</v>
      </c>
      <c r="Q93" s="41">
        <v>0.64200000000000002</v>
      </c>
      <c r="R93" s="41">
        <v>0.56099999999999994</v>
      </c>
      <c r="S93" s="41">
        <v>31.69</v>
      </c>
      <c r="T93" s="41">
        <v>31.26</v>
      </c>
      <c r="U93" s="41">
        <v>30.83</v>
      </c>
      <c r="V93" s="41">
        <v>30.41</v>
      </c>
      <c r="W93" s="41">
        <v>29.98</v>
      </c>
      <c r="X93" s="38">
        <v>0.19666666666666666</v>
      </c>
      <c r="Y93" s="38">
        <v>4</v>
      </c>
      <c r="Z93" s="40">
        <v>0</v>
      </c>
      <c r="AA93" s="40">
        <v>0</v>
      </c>
      <c r="AB93" s="40">
        <v>0</v>
      </c>
      <c r="AC93" s="40">
        <v>0</v>
      </c>
      <c r="AD93" s="40">
        <v>0</v>
      </c>
      <c r="AE93" s="40">
        <v>0</v>
      </c>
      <c r="AF93" s="40">
        <v>0</v>
      </c>
      <c r="AG93" s="40">
        <v>0</v>
      </c>
      <c r="AH93" s="40">
        <v>0</v>
      </c>
      <c r="AI93" s="40">
        <v>0</v>
      </c>
      <c r="AK93" s="53">
        <f t="shared" si="15"/>
        <v>2.8140000000000001</v>
      </c>
      <c r="AL93" s="54">
        <f t="shared" si="16"/>
        <v>0</v>
      </c>
      <c r="AM93" s="54">
        <f t="shared" si="17"/>
        <v>0</v>
      </c>
      <c r="AN93" s="123">
        <f t="shared" si="19"/>
        <v>0</v>
      </c>
      <c r="AO93" s="44" t="s">
        <v>1390</v>
      </c>
      <c r="AP93" s="38" t="str">
        <f t="shared" si="12"/>
        <v>Zone Sub</v>
      </c>
    </row>
    <row r="94" spans="1:42" ht="45" hidden="1">
      <c r="A94" s="38" t="str">
        <f t="shared" si="18"/>
        <v>Essential (Original)</v>
      </c>
      <c r="B94" s="38" t="s">
        <v>1380</v>
      </c>
      <c r="C94" s="38" t="str">
        <f t="shared" si="13"/>
        <v>Zone Sub Maintenance-</v>
      </c>
      <c r="D94" s="38" t="str">
        <f t="shared" si="14"/>
        <v>Zone Sub Maintenance-     HV Switches/Earth Switches/Disconnectors/Fault Throwers - (000's)</v>
      </c>
      <c r="E94" s="406"/>
      <c r="H94" s="43" t="s">
        <v>457</v>
      </c>
      <c r="I94" s="41">
        <v>6.7320000000000002</v>
      </c>
      <c r="J94" s="41">
        <v>7.032</v>
      </c>
      <c r="K94" s="41">
        <v>7.33</v>
      </c>
      <c r="L94" s="41">
        <v>7.6289999999999996</v>
      </c>
      <c r="M94" s="41">
        <v>7.9290000000000003</v>
      </c>
      <c r="N94" s="41">
        <v>0.14000000000000001</v>
      </c>
      <c r="O94" s="41">
        <v>0.109</v>
      </c>
      <c r="P94" s="41">
        <v>0.122</v>
      </c>
      <c r="Q94" s="41">
        <v>0.10299999999999999</v>
      </c>
      <c r="R94" s="41">
        <v>0.14199999999999999</v>
      </c>
      <c r="S94" s="41">
        <v>24</v>
      </c>
      <c r="T94" s="41">
        <v>22</v>
      </c>
      <c r="U94" s="41">
        <v>22</v>
      </c>
      <c r="V94" s="41">
        <v>22</v>
      </c>
      <c r="W94" s="41">
        <v>23</v>
      </c>
      <c r="X94" s="38">
        <v>0.19666666666666666</v>
      </c>
      <c r="Y94" s="38" t="s">
        <v>458</v>
      </c>
      <c r="Z94" s="40">
        <v>0</v>
      </c>
      <c r="AA94" s="40">
        <v>0</v>
      </c>
      <c r="AB94" s="40">
        <v>0</v>
      </c>
      <c r="AC94" s="40">
        <v>0</v>
      </c>
      <c r="AD94" s="40">
        <v>0</v>
      </c>
      <c r="AE94" s="40">
        <v>0</v>
      </c>
      <c r="AF94" s="40">
        <v>0</v>
      </c>
      <c r="AG94" s="40">
        <v>0</v>
      </c>
      <c r="AH94" s="40">
        <v>0</v>
      </c>
      <c r="AI94" s="40">
        <v>0</v>
      </c>
      <c r="AK94" s="53">
        <f t="shared" si="15"/>
        <v>0.61599999999999999</v>
      </c>
      <c r="AL94" s="54">
        <f t="shared" si="16"/>
        <v>0</v>
      </c>
      <c r="AM94" s="54">
        <f t="shared" si="17"/>
        <v>0</v>
      </c>
      <c r="AN94" s="123">
        <f t="shared" si="19"/>
        <v>0</v>
      </c>
      <c r="AO94" s="44" t="s">
        <v>1390</v>
      </c>
      <c r="AP94" s="38" t="str">
        <f t="shared" si="12"/>
        <v>Zone Sub</v>
      </c>
    </row>
    <row r="95" spans="1:42" ht="30" hidden="1">
      <c r="A95" s="38" t="str">
        <f t="shared" si="18"/>
        <v>Essential (Original)</v>
      </c>
      <c r="B95" s="38" t="s">
        <v>1380</v>
      </c>
      <c r="C95" s="38" t="str">
        <f t="shared" si="13"/>
        <v>Zone Sub Maintenance-</v>
      </c>
      <c r="D95" s="38" t="str">
        <f t="shared" si="14"/>
        <v>Zone Sub Maintenance-     HV Indoor Switchboards - (000's)</v>
      </c>
      <c r="E95" s="406"/>
      <c r="H95" s="43" t="s">
        <v>459</v>
      </c>
      <c r="I95" s="41">
        <v>0.13</v>
      </c>
      <c r="J95" s="41">
        <v>0.13600000000000001</v>
      </c>
      <c r="K95" s="41">
        <v>0.14299999999999999</v>
      </c>
      <c r="L95" s="41">
        <v>0.14499999999999999</v>
      </c>
      <c r="M95" s="41">
        <v>0.15</v>
      </c>
      <c r="N95" s="41">
        <v>3.3000000000000002E-2</v>
      </c>
      <c r="O95" s="41">
        <v>3.4000000000000002E-2</v>
      </c>
      <c r="P95" s="41">
        <v>3.5999999999999997E-2</v>
      </c>
      <c r="Q95" s="41">
        <v>3.5999999999999997E-2</v>
      </c>
      <c r="R95" s="41">
        <v>3.7999999999999999E-2</v>
      </c>
      <c r="S95" s="41">
        <v>20</v>
      </c>
      <c r="T95" s="41">
        <v>19</v>
      </c>
      <c r="U95" s="41">
        <v>18</v>
      </c>
      <c r="V95" s="41">
        <v>17</v>
      </c>
      <c r="W95" s="41">
        <v>17</v>
      </c>
      <c r="X95" s="38">
        <v>0.19666666666666666</v>
      </c>
      <c r="Y95" s="38">
        <v>9.16</v>
      </c>
      <c r="Z95" s="40">
        <v>0</v>
      </c>
      <c r="AA95" s="40">
        <v>0</v>
      </c>
      <c r="AB95" s="40">
        <v>0</v>
      </c>
      <c r="AC95" s="40">
        <v>0</v>
      </c>
      <c r="AD95" s="40">
        <v>0</v>
      </c>
      <c r="AE95" s="40">
        <v>0</v>
      </c>
      <c r="AF95" s="40">
        <v>0</v>
      </c>
      <c r="AG95" s="40">
        <v>0</v>
      </c>
      <c r="AH95" s="40">
        <v>0</v>
      </c>
      <c r="AI95" s="40">
        <v>0</v>
      </c>
      <c r="AK95" s="53">
        <f t="shared" si="15"/>
        <v>0.17700000000000002</v>
      </c>
      <c r="AL95" s="54">
        <f t="shared" si="16"/>
        <v>0</v>
      </c>
      <c r="AM95" s="54">
        <f t="shared" si="17"/>
        <v>0</v>
      </c>
      <c r="AN95" s="123">
        <f t="shared" si="19"/>
        <v>0</v>
      </c>
      <c r="AO95" s="44" t="s">
        <v>1390</v>
      </c>
      <c r="AP95" s="38" t="str">
        <f t="shared" si="12"/>
        <v>Zone Sub</v>
      </c>
    </row>
    <row r="96" spans="1:42" hidden="1">
      <c r="A96" s="38" t="str">
        <f t="shared" si="18"/>
        <v>Essential (Original)</v>
      </c>
      <c r="B96" s="38" t="s">
        <v>1380</v>
      </c>
      <c r="C96" s="38" t="str">
        <f t="shared" si="13"/>
        <v>Zone Sub Maintenance-</v>
      </c>
      <c r="D96" s="38" t="str">
        <f t="shared" si="14"/>
        <v>Zone Sub Maintenance-     Tapchangers - (000's)</v>
      </c>
      <c r="E96" s="406"/>
      <c r="H96" s="43" t="s">
        <v>460</v>
      </c>
      <c r="I96" s="41">
        <v>0.65500000000000003</v>
      </c>
      <c r="J96" s="41">
        <v>0.66600000000000004</v>
      </c>
      <c r="K96" s="41">
        <v>0.66700000000000004</v>
      </c>
      <c r="L96" s="41">
        <v>0.65100000000000002</v>
      </c>
      <c r="M96" s="41">
        <v>0.64800000000000002</v>
      </c>
      <c r="N96" s="41">
        <v>0.316</v>
      </c>
      <c r="O96" s="41">
        <v>0.28499999999999998</v>
      </c>
      <c r="P96" s="41">
        <v>0.35</v>
      </c>
      <c r="Q96" s="41">
        <v>0.33600000000000002</v>
      </c>
      <c r="R96" s="41">
        <v>0.33500000000000002</v>
      </c>
      <c r="S96" s="41">
        <v>31.69</v>
      </c>
      <c r="T96" s="41">
        <v>31.26</v>
      </c>
      <c r="U96" s="41">
        <v>30.83</v>
      </c>
      <c r="V96" s="41">
        <v>30.41</v>
      </c>
      <c r="W96" s="41">
        <v>29.98</v>
      </c>
      <c r="X96" s="38">
        <v>0.19666666666666666</v>
      </c>
      <c r="Y96" s="38">
        <v>5.01</v>
      </c>
      <c r="Z96" s="40">
        <v>0</v>
      </c>
      <c r="AA96" s="40">
        <v>0</v>
      </c>
      <c r="AB96" s="40">
        <v>0</v>
      </c>
      <c r="AC96" s="40">
        <v>0</v>
      </c>
      <c r="AD96" s="40">
        <v>0</v>
      </c>
      <c r="AE96" s="40">
        <v>0</v>
      </c>
      <c r="AF96" s="40">
        <v>0</v>
      </c>
      <c r="AG96" s="40">
        <v>0</v>
      </c>
      <c r="AH96" s="40">
        <v>0</v>
      </c>
      <c r="AI96" s="40">
        <v>0</v>
      </c>
      <c r="AK96" s="53">
        <f t="shared" si="15"/>
        <v>1.6219999999999999</v>
      </c>
      <c r="AL96" s="54">
        <f t="shared" si="16"/>
        <v>0</v>
      </c>
      <c r="AM96" s="54">
        <f t="shared" si="17"/>
        <v>0</v>
      </c>
      <c r="AN96" s="123">
        <f t="shared" si="19"/>
        <v>0</v>
      </c>
      <c r="AO96" s="44" t="s">
        <v>1390</v>
      </c>
      <c r="AP96" s="38" t="str">
        <f t="shared" si="12"/>
        <v>Zone Sub</v>
      </c>
    </row>
    <row r="97" spans="1:42" ht="30" hidden="1">
      <c r="A97" s="38" t="str">
        <f t="shared" si="18"/>
        <v>Essential (Original)</v>
      </c>
      <c r="B97" s="38" t="s">
        <v>1380</v>
      </c>
      <c r="C97" s="38" t="str">
        <f t="shared" si="13"/>
        <v>Zone Sub Maintenance-</v>
      </c>
      <c r="D97" s="38" t="str">
        <f t="shared" si="14"/>
        <v>Zone Sub Maintenance-     Voltage Regulation Relays - (000's)</v>
      </c>
      <c r="E97" s="406"/>
      <c r="H97" s="43" t="s">
        <v>461</v>
      </c>
      <c r="I97" s="41">
        <v>0.41699999999999998</v>
      </c>
      <c r="J97" s="41">
        <v>0.41699999999999998</v>
      </c>
      <c r="K97" s="41">
        <v>0.41699999999999998</v>
      </c>
      <c r="L97" s="41">
        <v>0.41699999999999998</v>
      </c>
      <c r="M97" s="41">
        <v>0.41699999999999998</v>
      </c>
      <c r="N97" s="41">
        <v>0.186</v>
      </c>
      <c r="O97" s="41">
        <v>0.21299999999999999</v>
      </c>
      <c r="P97" s="41">
        <v>0.20399999999999999</v>
      </c>
      <c r="Q97" s="41">
        <v>0.19</v>
      </c>
      <c r="R97" s="41">
        <v>0.221</v>
      </c>
      <c r="S97" s="41">
        <v>31.69</v>
      </c>
      <c r="T97" s="41">
        <v>31.26</v>
      </c>
      <c r="U97" s="41">
        <v>30.83</v>
      </c>
      <c r="V97" s="41">
        <v>30.41</v>
      </c>
      <c r="W97" s="41">
        <v>29.98</v>
      </c>
      <c r="X97" s="38">
        <v>0.19666666666666666</v>
      </c>
      <c r="Y97" s="38">
        <v>2</v>
      </c>
      <c r="Z97" s="40">
        <v>0</v>
      </c>
      <c r="AA97" s="40">
        <v>0</v>
      </c>
      <c r="AB97" s="40">
        <v>0</v>
      </c>
      <c r="AC97" s="40">
        <v>0</v>
      </c>
      <c r="AD97" s="40">
        <v>0</v>
      </c>
      <c r="AE97" s="40">
        <v>0</v>
      </c>
      <c r="AF97" s="40">
        <v>0</v>
      </c>
      <c r="AG97" s="40">
        <v>0</v>
      </c>
      <c r="AH97" s="40">
        <v>0</v>
      </c>
      <c r="AI97" s="40">
        <v>0</v>
      </c>
      <c r="AK97" s="53">
        <f t="shared" si="15"/>
        <v>1.014</v>
      </c>
      <c r="AL97" s="54">
        <f t="shared" si="16"/>
        <v>0</v>
      </c>
      <c r="AM97" s="54">
        <f t="shared" si="17"/>
        <v>0</v>
      </c>
      <c r="AN97" s="123">
        <f t="shared" si="19"/>
        <v>0</v>
      </c>
      <c r="AO97" s="44" t="s">
        <v>1390</v>
      </c>
      <c r="AP97" s="38" t="str">
        <f t="shared" si="12"/>
        <v>Zone Sub</v>
      </c>
    </row>
    <row r="98" spans="1:42" ht="30" hidden="1">
      <c r="A98" s="38" t="str">
        <f t="shared" si="18"/>
        <v>Essential (Original)</v>
      </c>
      <c r="B98" s="38" t="s">
        <v>1380</v>
      </c>
      <c r="C98" s="38" t="str">
        <f t="shared" si="13"/>
        <v>Zone Sub Maintenance-</v>
      </c>
      <c r="D98" s="38" t="str">
        <f t="shared" si="14"/>
        <v>Zone Sub Maintenance-     Voltage Transformers - (000's)</v>
      </c>
      <c r="E98" s="406"/>
      <c r="H98" s="43" t="s">
        <v>462</v>
      </c>
      <c r="I98" s="41">
        <v>1.361</v>
      </c>
      <c r="J98" s="41">
        <v>1.4219999999999999</v>
      </c>
      <c r="K98" s="41">
        <v>1.482</v>
      </c>
      <c r="L98" s="41">
        <v>1.542</v>
      </c>
      <c r="M98" s="41">
        <v>1.603</v>
      </c>
      <c r="N98" s="41">
        <v>0.184</v>
      </c>
      <c r="O98" s="41">
        <v>0.219</v>
      </c>
      <c r="P98" s="41">
        <v>0.375</v>
      </c>
      <c r="Q98" s="41">
        <v>0.40200000000000002</v>
      </c>
      <c r="R98" s="41">
        <v>0.32200000000000001</v>
      </c>
      <c r="S98" s="41">
        <v>29</v>
      </c>
      <c r="T98" s="41">
        <v>27</v>
      </c>
      <c r="U98" s="41">
        <v>25</v>
      </c>
      <c r="V98" s="41">
        <v>23</v>
      </c>
      <c r="W98" s="41">
        <v>19.28</v>
      </c>
      <c r="X98" s="38">
        <v>0.19666666666666666</v>
      </c>
      <c r="Y98" s="38">
        <v>4</v>
      </c>
      <c r="Z98" s="40">
        <v>0</v>
      </c>
      <c r="AA98" s="40">
        <v>0</v>
      </c>
      <c r="AB98" s="40">
        <v>0</v>
      </c>
      <c r="AC98" s="40">
        <v>0</v>
      </c>
      <c r="AD98" s="40">
        <v>0</v>
      </c>
      <c r="AE98" s="40">
        <v>0</v>
      </c>
      <c r="AF98" s="40">
        <v>0</v>
      </c>
      <c r="AG98" s="40">
        <v>0</v>
      </c>
      <c r="AH98" s="40">
        <v>0</v>
      </c>
      <c r="AI98" s="40">
        <v>0</v>
      </c>
      <c r="AK98" s="53">
        <f t="shared" si="15"/>
        <v>1.5020000000000002</v>
      </c>
      <c r="AL98" s="54">
        <f t="shared" si="16"/>
        <v>0</v>
      </c>
      <c r="AM98" s="54">
        <f t="shared" si="17"/>
        <v>0</v>
      </c>
      <c r="AN98" s="123">
        <f t="shared" si="19"/>
        <v>0</v>
      </c>
      <c r="AO98" s="44" t="s">
        <v>1390</v>
      </c>
      <c r="AP98" s="38" t="str">
        <f t="shared" si="12"/>
        <v>Zone Sub</v>
      </c>
    </row>
    <row r="99" spans="1:42" ht="30" hidden="1">
      <c r="A99" s="38" t="str">
        <f t="shared" si="18"/>
        <v>Essential (Original)</v>
      </c>
      <c r="B99" s="38" t="s">
        <v>1380</v>
      </c>
      <c r="C99" s="38" t="str">
        <f t="shared" si="13"/>
        <v>Zone Sub Maintenance-</v>
      </c>
      <c r="D99" s="38" t="str">
        <f t="shared" si="14"/>
        <v>Zone Sub Maintenance-     ZS Site Inspections - No of inspections - (000's)</v>
      </c>
      <c r="E99" s="406"/>
      <c r="H99" s="43" t="s">
        <v>463</v>
      </c>
      <c r="I99" s="41">
        <v>0</v>
      </c>
      <c r="J99" s="41">
        <v>0</v>
      </c>
      <c r="K99" s="41">
        <v>0</v>
      </c>
      <c r="L99" s="41">
        <v>0</v>
      </c>
      <c r="M99" s="41">
        <v>0</v>
      </c>
      <c r="N99" s="41">
        <v>3.3450000000000002</v>
      </c>
      <c r="O99" s="41">
        <v>2.8159999999999998</v>
      </c>
      <c r="P99" s="41">
        <v>2.8740000000000001</v>
      </c>
      <c r="Q99" s="41">
        <v>2.7970000000000002</v>
      </c>
      <c r="R99" s="41">
        <v>2.7040000000000002</v>
      </c>
      <c r="S99" s="41">
        <v>0</v>
      </c>
      <c r="T99" s="41">
        <v>0</v>
      </c>
      <c r="U99" s="41">
        <v>0</v>
      </c>
      <c r="V99" s="41">
        <v>0</v>
      </c>
      <c r="W99" s="41">
        <v>0</v>
      </c>
      <c r="X99" s="38">
        <v>0.19666666666666666</v>
      </c>
      <c r="Y99" s="38">
        <v>0</v>
      </c>
      <c r="Z99" s="40">
        <v>0</v>
      </c>
      <c r="AA99" s="40">
        <v>0</v>
      </c>
      <c r="AB99" s="40">
        <v>0</v>
      </c>
      <c r="AC99" s="40">
        <v>0</v>
      </c>
      <c r="AD99" s="40">
        <v>0</v>
      </c>
      <c r="AE99" s="40">
        <v>0</v>
      </c>
      <c r="AF99" s="40">
        <v>0</v>
      </c>
      <c r="AG99" s="40">
        <v>0</v>
      </c>
      <c r="AH99" s="40">
        <v>0</v>
      </c>
      <c r="AI99" s="40">
        <v>0</v>
      </c>
      <c r="AK99" s="53">
        <f t="shared" si="15"/>
        <v>14.536000000000001</v>
      </c>
      <c r="AL99" s="54">
        <f t="shared" si="16"/>
        <v>0</v>
      </c>
      <c r="AM99" s="54">
        <f t="shared" si="17"/>
        <v>0</v>
      </c>
      <c r="AN99" s="123">
        <f t="shared" si="19"/>
        <v>0</v>
      </c>
      <c r="AO99" s="44" t="s">
        <v>1390</v>
      </c>
      <c r="AP99" s="38" t="str">
        <f t="shared" si="12"/>
        <v>Zone Sub</v>
      </c>
    </row>
    <row r="100" spans="1:42" hidden="1">
      <c r="A100" s="38" t="str">
        <f t="shared" si="18"/>
        <v>Essential (Original)</v>
      </c>
      <c r="B100" s="38" t="s">
        <v>1380</v>
      </c>
      <c r="C100" s="38" t="str">
        <f t="shared" si="13"/>
        <v>Zone Sub Maintenance-</v>
      </c>
      <c r="D100" s="38" t="str">
        <f t="shared" si="14"/>
        <v>Zone Sub Maintenance-     ZS Buildings - (000's)</v>
      </c>
      <c r="E100" s="406"/>
      <c r="H100" s="43" t="s">
        <v>464</v>
      </c>
      <c r="I100" s="41">
        <v>0.32900000000000001</v>
      </c>
      <c r="J100" s="41">
        <v>0.33</v>
      </c>
      <c r="K100" s="41">
        <v>0.33400000000000002</v>
      </c>
      <c r="L100" s="41">
        <v>0.33600000000000002</v>
      </c>
      <c r="M100" s="41">
        <v>0.33700000000000002</v>
      </c>
      <c r="N100" s="41">
        <v>5.0000000000000001E-3</v>
      </c>
      <c r="O100" s="41">
        <v>4.0000000000000001E-3</v>
      </c>
      <c r="P100" s="41">
        <v>2.8000000000000001E-2</v>
      </c>
      <c r="Q100" s="41">
        <v>1.2999999999999999E-2</v>
      </c>
      <c r="R100" s="41">
        <v>4.7E-2</v>
      </c>
      <c r="S100" s="41">
        <v>31</v>
      </c>
      <c r="T100" s="41">
        <v>30</v>
      </c>
      <c r="U100" s="41">
        <v>30</v>
      </c>
      <c r="V100" s="41">
        <v>29</v>
      </c>
      <c r="W100" s="41">
        <v>28</v>
      </c>
      <c r="X100" s="38">
        <v>0.19666666666666666</v>
      </c>
      <c r="Y100" s="38">
        <v>0</v>
      </c>
      <c r="Z100" s="40">
        <v>0</v>
      </c>
      <c r="AA100" s="40">
        <v>0</v>
      </c>
      <c r="AB100" s="40">
        <v>0</v>
      </c>
      <c r="AC100" s="40">
        <v>0</v>
      </c>
      <c r="AD100" s="40">
        <v>0</v>
      </c>
      <c r="AE100" s="40">
        <v>0</v>
      </c>
      <c r="AF100" s="40">
        <v>0</v>
      </c>
      <c r="AG100" s="40">
        <v>0</v>
      </c>
      <c r="AH100" s="40">
        <v>0</v>
      </c>
      <c r="AI100" s="40">
        <v>0</v>
      </c>
      <c r="AK100" s="53">
        <f t="shared" si="15"/>
        <v>9.7000000000000003E-2</v>
      </c>
      <c r="AL100" s="54">
        <f t="shared" si="16"/>
        <v>0</v>
      </c>
      <c r="AM100" s="54">
        <f t="shared" si="17"/>
        <v>0</v>
      </c>
      <c r="AN100" s="123">
        <f t="shared" si="19"/>
        <v>0</v>
      </c>
      <c r="AO100" s="44" t="s">
        <v>1390</v>
      </c>
      <c r="AP100" s="38" t="str">
        <f t="shared" si="12"/>
        <v>Zone Sub</v>
      </c>
    </row>
    <row r="101" spans="1:42" ht="45" hidden="1">
      <c r="A101" s="38" t="str">
        <f t="shared" si="18"/>
        <v>Essential (Original)</v>
      </c>
      <c r="B101" s="38" t="s">
        <v>1380</v>
      </c>
      <c r="C101" s="38" t="str">
        <f t="shared" si="13"/>
        <v>Zone Sub Maintenance-ALL ZONE SUBSTATION PROPERTIES</v>
      </c>
      <c r="D101" s="38" t="str">
        <f t="shared" si="14"/>
        <v>Zone Sub Maintenance-NUMBER OF ZONE SUBSTATION PROPERTIES MAINTAINED (000'S)</v>
      </c>
      <c r="E101" s="406"/>
      <c r="F101" s="43" t="s">
        <v>422</v>
      </c>
      <c r="G101" s="43" t="s">
        <v>423</v>
      </c>
      <c r="H101" s="43" t="s">
        <v>424</v>
      </c>
      <c r="I101" s="41">
        <v>0.35799999999999998</v>
      </c>
      <c r="J101" s="41">
        <v>0.35899999999999999</v>
      </c>
      <c r="K101" s="41">
        <v>0.36299999999999999</v>
      </c>
      <c r="L101" s="41">
        <v>0.36499999999999999</v>
      </c>
      <c r="M101" s="41">
        <v>0.36599999999999999</v>
      </c>
      <c r="N101" s="41">
        <v>0.09</v>
      </c>
      <c r="O101" s="41">
        <v>0.09</v>
      </c>
      <c r="P101" s="41">
        <v>9.0999999999999998E-2</v>
      </c>
      <c r="Q101" s="41">
        <v>9.0999999999999998E-2</v>
      </c>
      <c r="R101" s="41">
        <v>9.1999999999999998E-2</v>
      </c>
      <c r="S101" s="41">
        <v>31</v>
      </c>
      <c r="T101" s="41">
        <v>30</v>
      </c>
      <c r="U101" s="41">
        <v>30</v>
      </c>
      <c r="V101" s="41">
        <v>29</v>
      </c>
      <c r="W101" s="41">
        <v>28</v>
      </c>
      <c r="X101" s="38">
        <v>0.19666666666666666</v>
      </c>
      <c r="Y101" s="38">
        <v>4</v>
      </c>
      <c r="Z101" s="40">
        <v>2135.6259668997791</v>
      </c>
      <c r="AA101" s="40">
        <v>2459.8986200478744</v>
      </c>
      <c r="AB101" s="40">
        <v>2602.5272541936988</v>
      </c>
      <c r="AC101" s="40">
        <v>2230.8209347980728</v>
      </c>
      <c r="AD101" s="40">
        <v>2067.7713706108598</v>
      </c>
      <c r="AE101" s="40">
        <v>10.216432234437605</v>
      </c>
      <c r="AF101" s="40">
        <v>15.220025801159334</v>
      </c>
      <c r="AG101" s="40">
        <v>15.177235243104725</v>
      </c>
      <c r="AH101" s="40">
        <v>18.825826742904923</v>
      </c>
      <c r="AI101" s="40">
        <v>23.170210481655186</v>
      </c>
      <c r="AK101" s="53">
        <f t="shared" si="15"/>
        <v>0.45399999999999996</v>
      </c>
      <c r="AL101" s="54">
        <f t="shared" si="16"/>
        <v>11496.644146550283</v>
      </c>
      <c r="AM101" s="54">
        <f t="shared" si="17"/>
        <v>82.609730503261773</v>
      </c>
      <c r="AN101" s="123">
        <f t="shared" si="19"/>
        <v>11579.253877053545</v>
      </c>
      <c r="AO101" s="44" t="s">
        <v>1390</v>
      </c>
      <c r="AP101" s="38" t="str">
        <f t="shared" si="12"/>
        <v>Zone Sub</v>
      </c>
    </row>
    <row r="102" spans="1:42" ht="30" hidden="1">
      <c r="A102" s="38" t="str">
        <f t="shared" si="18"/>
        <v>Essential (Original)</v>
      </c>
      <c r="B102" s="38" t="s">
        <v>1193</v>
      </c>
      <c r="C102" s="38" t="str">
        <f t="shared" si="13"/>
        <v>Public Lighting Maintenance-MINOR ROADS</v>
      </c>
      <c r="D102" s="38" t="str">
        <f t="shared" si="14"/>
        <v>Public Lighting Maintenance-NUMBER OF PUBLIC LIGHTS MAINTAINED (000'S)</v>
      </c>
      <c r="E102" s="406"/>
      <c r="F102" s="43" t="s">
        <v>425</v>
      </c>
      <c r="G102" s="43" t="s">
        <v>426</v>
      </c>
      <c r="H102" s="43" t="s">
        <v>427</v>
      </c>
      <c r="I102" s="41">
        <v>108.58199999999999</v>
      </c>
      <c r="J102" s="41">
        <v>110.56399999999999</v>
      </c>
      <c r="K102" s="41">
        <v>110.98699999999999</v>
      </c>
      <c r="L102" s="41">
        <v>111.964</v>
      </c>
      <c r="M102" s="41">
        <v>113.306</v>
      </c>
      <c r="N102" s="41">
        <v>25.11</v>
      </c>
      <c r="O102" s="41">
        <v>30.654</v>
      </c>
      <c r="P102" s="41">
        <v>47.613999999999997</v>
      </c>
      <c r="Q102" s="41">
        <v>27.884</v>
      </c>
      <c r="R102" s="41">
        <v>29.8</v>
      </c>
      <c r="S102" s="41">
        <v>16.497089204472196</v>
      </c>
      <c r="T102" s="41">
        <v>15.610207119858181</v>
      </c>
      <c r="U102" s="41">
        <v>14.68790885419013</v>
      </c>
      <c r="V102" s="41">
        <v>9.8794875138437348</v>
      </c>
      <c r="W102" s="41">
        <v>5.87</v>
      </c>
      <c r="X102" s="38">
        <v>4</v>
      </c>
      <c r="Y102" s="38">
        <v>3</v>
      </c>
      <c r="Z102" s="40">
        <v>0</v>
      </c>
      <c r="AA102" s="40">
        <v>62.587275304019364</v>
      </c>
      <c r="AB102" s="40">
        <v>339.82660079687719</v>
      </c>
      <c r="AC102" s="40">
        <v>506.4629222173491</v>
      </c>
      <c r="AD102" s="40">
        <v>537.00622667777122</v>
      </c>
      <c r="AE102" s="40">
        <v>1304.6414073424723</v>
      </c>
      <c r="AF102" s="40">
        <v>1738.9310078146334</v>
      </c>
      <c r="AG102" s="40">
        <v>2036.9427596682833</v>
      </c>
      <c r="AH102" s="40">
        <v>1547.8237522897493</v>
      </c>
      <c r="AI102" s="40">
        <v>1182.7595562496924</v>
      </c>
      <c r="AK102" s="53">
        <f t="shared" si="15"/>
        <v>161.06200000000001</v>
      </c>
      <c r="AL102" s="54">
        <f t="shared" si="16"/>
        <v>1445.883024996017</v>
      </c>
      <c r="AM102" s="54">
        <f t="shared" si="17"/>
        <v>7811.0984833648317</v>
      </c>
      <c r="AN102" s="123">
        <f t="shared" si="19"/>
        <v>9256.9815083608482</v>
      </c>
      <c r="AO102" s="44" t="s">
        <v>1389</v>
      </c>
      <c r="AP102" s="38" t="str">
        <f t="shared" si="12"/>
        <v>Public Lighting</v>
      </c>
    </row>
    <row r="103" spans="1:42" ht="30" hidden="1">
      <c r="A103" s="38" t="str">
        <f t="shared" si="18"/>
        <v>Essential (Original)</v>
      </c>
      <c r="B103" s="38" t="s">
        <v>1193</v>
      </c>
      <c r="C103" s="38" t="str">
        <f t="shared" si="13"/>
        <v>Public Lighting Maintenance-MAJOR ROADS</v>
      </c>
      <c r="D103" s="38" t="str">
        <f t="shared" si="14"/>
        <v>Public Lighting Maintenance-NUMBER OF PUBLIC LIGHTS MAINTAINED (000'S)</v>
      </c>
      <c r="E103" s="406"/>
      <c r="F103" s="43" t="s">
        <v>425</v>
      </c>
      <c r="G103" s="43" t="s">
        <v>428</v>
      </c>
      <c r="H103" s="43" t="s">
        <v>427</v>
      </c>
      <c r="I103" s="41">
        <v>32.947000000000003</v>
      </c>
      <c r="J103" s="41">
        <v>33.441000000000003</v>
      </c>
      <c r="K103" s="41">
        <v>34.311999999999998</v>
      </c>
      <c r="L103" s="41">
        <v>34.731999999999999</v>
      </c>
      <c r="M103" s="41">
        <v>35.987000000000002</v>
      </c>
      <c r="N103" s="41">
        <v>7.5170000000000003</v>
      </c>
      <c r="O103" s="41">
        <v>9.1219999999999999</v>
      </c>
      <c r="P103" s="41">
        <v>13.032999999999999</v>
      </c>
      <c r="Q103" s="41">
        <v>13.606</v>
      </c>
      <c r="R103" s="41">
        <v>10.971</v>
      </c>
      <c r="S103" s="41">
        <v>13.632569581448994</v>
      </c>
      <c r="T103" s="41">
        <v>12.96529021261326</v>
      </c>
      <c r="U103" s="41">
        <v>12.104577698764281</v>
      </c>
      <c r="V103" s="41">
        <v>9.7262544627432916</v>
      </c>
      <c r="W103" s="41">
        <v>7.63</v>
      </c>
      <c r="X103" s="38">
        <v>4</v>
      </c>
      <c r="Y103" s="38">
        <v>3</v>
      </c>
      <c r="Z103" s="40">
        <v>0</v>
      </c>
      <c r="AA103" s="40">
        <v>195.02077758409652</v>
      </c>
      <c r="AB103" s="40">
        <v>1080.5020006679536</v>
      </c>
      <c r="AC103" s="40">
        <v>682.80367129462275</v>
      </c>
      <c r="AD103" s="40">
        <v>1044.5182016449808</v>
      </c>
      <c r="AE103" s="40">
        <v>4333.1689334906268</v>
      </c>
      <c r="AF103" s="40">
        <v>5774.2136027494898</v>
      </c>
      <c r="AG103" s="40">
        <v>7137.2468014508404</v>
      </c>
      <c r="AH103" s="40">
        <v>5449.0371364638404</v>
      </c>
      <c r="AI103" s="40">
        <v>5426.0336170684859</v>
      </c>
      <c r="AK103" s="53">
        <f t="shared" si="15"/>
        <v>54.248999999999995</v>
      </c>
      <c r="AL103" s="54">
        <f t="shared" si="16"/>
        <v>3002.8446511916536</v>
      </c>
      <c r="AM103" s="54">
        <f t="shared" si="17"/>
        <v>28119.700091223283</v>
      </c>
      <c r="AN103" s="123">
        <f t="shared" si="19"/>
        <v>31122.544742414939</v>
      </c>
      <c r="AO103" s="44" t="s">
        <v>1389</v>
      </c>
      <c r="AP103" s="38" t="str">
        <f t="shared" si="12"/>
        <v>Public Lighting</v>
      </c>
    </row>
    <row r="104" spans="1:42" ht="30" hidden="1">
      <c r="A104" s="38" t="str">
        <f t="shared" si="18"/>
        <v>Essential (Original)</v>
      </c>
      <c r="B104" s="38" t="s">
        <v>1194</v>
      </c>
      <c r="C104" s="38" t="str">
        <f t="shared" si="13"/>
        <v>SCADA Maintenance-SCADA &amp; NETWORK CONTROL MAINTENANCE</v>
      </c>
      <c r="D104" s="38" t="str">
        <f t="shared" si="14"/>
        <v>SCADA Maintenance-ZSS RTU's  and  No. of last mile assets</v>
      </c>
      <c r="E104" s="406"/>
      <c r="F104" s="43" t="s">
        <v>429</v>
      </c>
      <c r="G104" s="43" t="s">
        <v>429</v>
      </c>
      <c r="H104" s="43" t="s">
        <v>465</v>
      </c>
      <c r="I104" s="41">
        <v>606</v>
      </c>
      <c r="J104" s="41">
        <v>678</v>
      </c>
      <c r="K104" s="41">
        <v>761</v>
      </c>
      <c r="L104" s="41">
        <v>772</v>
      </c>
      <c r="M104" s="41">
        <v>843</v>
      </c>
      <c r="N104" s="37">
        <v>0.50600000000000001</v>
      </c>
      <c r="O104" s="37">
        <v>0.55900000000000005</v>
      </c>
      <c r="P104" s="37">
        <v>0.625</v>
      </c>
      <c r="Q104" s="37">
        <v>0.70199999999999996</v>
      </c>
      <c r="R104" s="37">
        <v>0.755</v>
      </c>
      <c r="S104" s="41">
        <v>6.2</v>
      </c>
      <c r="T104" s="41">
        <v>5.8</v>
      </c>
      <c r="U104" s="41">
        <v>5.9</v>
      </c>
      <c r="V104" s="41">
        <v>6.2</v>
      </c>
      <c r="W104" s="41">
        <v>6.8</v>
      </c>
      <c r="X104" s="38">
        <v>1</v>
      </c>
      <c r="Y104" s="38">
        <v>2</v>
      </c>
      <c r="Z104" s="40">
        <v>89.054045721722019</v>
      </c>
      <c r="AA104" s="40">
        <v>165.68268695881119</v>
      </c>
      <c r="AB104" s="40">
        <v>182.70216131169715</v>
      </c>
      <c r="AC104" s="40">
        <v>319.75416966207666</v>
      </c>
      <c r="AD104" s="40">
        <v>390.47412400609056</v>
      </c>
      <c r="AE104" s="40">
        <v>87.575414278277961</v>
      </c>
      <c r="AF104" s="40">
        <v>150.41671304118887</v>
      </c>
      <c r="AG104" s="40">
        <v>186.14359868830286</v>
      </c>
      <c r="AH104" s="40">
        <v>393.85640033792333</v>
      </c>
      <c r="AI104" s="40">
        <v>526.21665599390906</v>
      </c>
      <c r="AK104" s="53">
        <f t="shared" si="15"/>
        <v>3.1469999999999998</v>
      </c>
      <c r="AL104" s="54">
        <f t="shared" si="16"/>
        <v>1147.6671876603975</v>
      </c>
      <c r="AM104" s="54">
        <f t="shared" si="17"/>
        <v>1344.2087823396021</v>
      </c>
      <c r="AN104" s="123">
        <f t="shared" si="19"/>
        <v>2491.8759699999996</v>
      </c>
      <c r="AO104" s="44" t="s">
        <v>1390</v>
      </c>
      <c r="AP104" s="38" t="str">
        <f t="shared" si="12"/>
        <v>Zone Sub</v>
      </c>
    </row>
    <row r="105" spans="1:42" hidden="1">
      <c r="A105" s="38" t="str">
        <f t="shared" si="18"/>
        <v>Essential (Original)</v>
      </c>
      <c r="B105" s="38" t="s">
        <v>1194</v>
      </c>
      <c r="C105" s="38" t="str">
        <f t="shared" si="13"/>
        <v>SCADA Maintenance-</v>
      </c>
      <c r="D105" s="38" t="str">
        <f t="shared" si="14"/>
        <v>SCADA Maintenance-Distribution Assets - (000's)</v>
      </c>
      <c r="E105" s="406"/>
      <c r="H105" s="43" t="s">
        <v>466</v>
      </c>
      <c r="I105" s="41">
        <v>2.0379999999999998</v>
      </c>
      <c r="J105" s="41">
        <v>2.1579999999999999</v>
      </c>
      <c r="K105" s="41">
        <v>2.6240000000000001</v>
      </c>
      <c r="L105" s="41">
        <v>3.0990000000000002</v>
      </c>
      <c r="M105" s="41">
        <v>3.5590000000000002</v>
      </c>
      <c r="N105" s="41">
        <v>0</v>
      </c>
      <c r="O105" s="41">
        <v>0</v>
      </c>
      <c r="P105" s="41">
        <v>0</v>
      </c>
      <c r="Q105" s="41">
        <v>0</v>
      </c>
      <c r="R105" s="41">
        <v>0</v>
      </c>
      <c r="S105" s="41">
        <v>1</v>
      </c>
      <c r="T105" s="41">
        <v>1.94</v>
      </c>
      <c r="U105" s="41">
        <v>2.64</v>
      </c>
      <c r="V105" s="41">
        <v>3.54</v>
      </c>
      <c r="W105" s="41">
        <v>4.4800000000000004</v>
      </c>
      <c r="X105" s="38">
        <v>0</v>
      </c>
      <c r="Y105" s="38">
        <v>0</v>
      </c>
      <c r="Z105" s="40">
        <v>0</v>
      </c>
      <c r="AA105" s="40">
        <v>0</v>
      </c>
      <c r="AB105" s="40">
        <v>0</v>
      </c>
      <c r="AC105" s="40">
        <v>0</v>
      </c>
      <c r="AD105" s="40">
        <v>0</v>
      </c>
      <c r="AE105" s="40">
        <v>0</v>
      </c>
      <c r="AF105" s="40">
        <v>0</v>
      </c>
      <c r="AG105" s="40">
        <v>0</v>
      </c>
      <c r="AH105" s="40">
        <v>0</v>
      </c>
      <c r="AI105" s="40">
        <v>0</v>
      </c>
      <c r="AK105" s="53">
        <f t="shared" si="15"/>
        <v>0</v>
      </c>
      <c r="AL105" s="54">
        <f t="shared" si="16"/>
        <v>0</v>
      </c>
      <c r="AM105" s="54">
        <f t="shared" si="17"/>
        <v>0</v>
      </c>
      <c r="AN105" s="123">
        <f t="shared" si="19"/>
        <v>0</v>
      </c>
      <c r="AO105" s="44" t="s">
        <v>1390</v>
      </c>
      <c r="AP105" s="38" t="str">
        <f t="shared" si="12"/>
        <v>Zone Sub</v>
      </c>
    </row>
    <row r="106" spans="1:42" ht="30" hidden="1">
      <c r="A106" s="38" t="str">
        <f t="shared" si="18"/>
        <v>Essential (Original)</v>
      </c>
      <c r="B106" s="38" t="s">
        <v>1194</v>
      </c>
      <c r="C106" s="38" t="str">
        <f t="shared" si="13"/>
        <v>SCADA Maintenance-</v>
      </c>
      <c r="D106" s="38" t="str">
        <f t="shared" si="14"/>
        <v>SCADA Maintenance-Zone Substation Assets - (000's)</v>
      </c>
      <c r="E106" s="406"/>
      <c r="H106" s="43" t="s">
        <v>467</v>
      </c>
      <c r="I106" s="41">
        <v>0.22900000000000001</v>
      </c>
      <c r="J106" s="41">
        <v>0.251</v>
      </c>
      <c r="K106" s="41">
        <v>0.26900000000000002</v>
      </c>
      <c r="L106" s="41">
        <v>0.28000000000000003</v>
      </c>
      <c r="M106" s="41">
        <v>0.30499999999999999</v>
      </c>
      <c r="N106" s="41">
        <v>0</v>
      </c>
      <c r="O106" s="41">
        <v>0</v>
      </c>
      <c r="P106" s="41">
        <v>0</v>
      </c>
      <c r="Q106" s="41">
        <v>0</v>
      </c>
      <c r="R106" s="41">
        <v>0</v>
      </c>
      <c r="S106" s="41">
        <v>5.2</v>
      </c>
      <c r="T106" s="41">
        <v>5.8</v>
      </c>
      <c r="U106" s="41">
        <v>6.6</v>
      </c>
      <c r="V106" s="41">
        <v>7.3</v>
      </c>
      <c r="W106" s="41">
        <v>8.3000000000000007</v>
      </c>
      <c r="X106" s="38">
        <v>0</v>
      </c>
      <c r="Y106" s="38">
        <v>0</v>
      </c>
      <c r="Z106" s="40">
        <v>0</v>
      </c>
      <c r="AA106" s="40">
        <v>0</v>
      </c>
      <c r="AB106" s="40">
        <v>0</v>
      </c>
      <c r="AC106" s="40">
        <v>0</v>
      </c>
      <c r="AD106" s="40">
        <v>0</v>
      </c>
      <c r="AE106" s="40">
        <v>0</v>
      </c>
      <c r="AF106" s="40">
        <v>0</v>
      </c>
      <c r="AG106" s="40">
        <v>0</v>
      </c>
      <c r="AH106" s="40">
        <v>0</v>
      </c>
      <c r="AI106" s="40">
        <v>0</v>
      </c>
      <c r="AK106" s="53">
        <f t="shared" si="15"/>
        <v>0</v>
      </c>
      <c r="AL106" s="54">
        <f t="shared" si="16"/>
        <v>0</v>
      </c>
      <c r="AM106" s="54">
        <f t="shared" si="17"/>
        <v>0</v>
      </c>
      <c r="AN106" s="123">
        <f t="shared" si="19"/>
        <v>0</v>
      </c>
      <c r="AO106" s="44" t="s">
        <v>1390</v>
      </c>
      <c r="AP106" s="38" t="str">
        <f t="shared" si="12"/>
        <v>Zone Sub</v>
      </c>
    </row>
    <row r="107" spans="1:42" ht="30" hidden="1">
      <c r="A107" s="38" t="str">
        <f t="shared" si="18"/>
        <v>Essential (Original)</v>
      </c>
      <c r="B107" s="38" t="s">
        <v>1195</v>
      </c>
      <c r="C107" s="38" t="str">
        <f t="shared" si="13"/>
        <v>Protection Maintenance-PROTECTION SYSTEMS MAINTENANCE</v>
      </c>
      <c r="D107" s="38" t="str">
        <f t="shared" si="14"/>
        <v>Protection Maintenance-DISTRIBUTION RECLOSERS</v>
      </c>
      <c r="E107" s="406"/>
      <c r="F107" s="43" t="s">
        <v>430</v>
      </c>
      <c r="G107" s="43" t="s">
        <v>430</v>
      </c>
      <c r="H107" s="43" t="s">
        <v>468</v>
      </c>
      <c r="I107" s="41">
        <v>3.76</v>
      </c>
      <c r="J107" s="41">
        <v>4.0999999999999996</v>
      </c>
      <c r="K107" s="41">
        <v>4.21</v>
      </c>
      <c r="L107" s="41">
        <v>4.28</v>
      </c>
      <c r="M107" s="41">
        <v>4.3470000000000004</v>
      </c>
      <c r="N107" s="41">
        <v>0.34899999999999998</v>
      </c>
      <c r="O107" s="41">
        <v>0.443</v>
      </c>
      <c r="P107" s="41">
        <v>0.40699999999999997</v>
      </c>
      <c r="Q107" s="41">
        <v>1.5409999999999999</v>
      </c>
      <c r="R107" s="41">
        <v>0.54700000000000004</v>
      </c>
      <c r="S107" s="41">
        <v>12.4</v>
      </c>
      <c r="T107" s="41">
        <v>13.21</v>
      </c>
      <c r="U107" s="41">
        <v>14.08</v>
      </c>
      <c r="V107" s="41">
        <v>14.68</v>
      </c>
      <c r="W107" s="41">
        <v>15</v>
      </c>
      <c r="X107" s="38">
        <v>0</v>
      </c>
      <c r="Y107" s="38">
        <v>1</v>
      </c>
      <c r="Z107" s="40">
        <v>0</v>
      </c>
      <c r="AA107" s="40">
        <v>0</v>
      </c>
      <c r="AB107" s="40">
        <v>0</v>
      </c>
      <c r="AC107" s="40">
        <v>0</v>
      </c>
      <c r="AD107" s="40">
        <v>0</v>
      </c>
      <c r="AE107" s="40">
        <v>81.034999999999997</v>
      </c>
      <c r="AF107" s="40">
        <v>279.065</v>
      </c>
      <c r="AG107" s="40">
        <v>32.798999999999999</v>
      </c>
      <c r="AH107" s="40">
        <v>1171.3489999999999</v>
      </c>
      <c r="AI107" s="40">
        <v>310.5</v>
      </c>
      <c r="AK107" s="53">
        <f t="shared" si="15"/>
        <v>3.2870000000000004</v>
      </c>
      <c r="AL107" s="54">
        <f t="shared" si="16"/>
        <v>0</v>
      </c>
      <c r="AM107" s="54">
        <f t="shared" si="17"/>
        <v>1874.748</v>
      </c>
      <c r="AN107" s="123">
        <f t="shared" si="19"/>
        <v>1874.748</v>
      </c>
      <c r="AO107" s="44" t="s">
        <v>1390</v>
      </c>
      <c r="AP107" s="38" t="str">
        <f t="shared" si="12"/>
        <v>Zone Sub</v>
      </c>
    </row>
    <row r="108" spans="1:42" hidden="1">
      <c r="A108" s="38" t="str">
        <f t="shared" si="18"/>
        <v>Essential (Original)</v>
      </c>
      <c r="B108" s="38" t="s">
        <v>1195</v>
      </c>
      <c r="C108" s="38" t="str">
        <f t="shared" si="13"/>
        <v>Protection Maintenance-</v>
      </c>
      <c r="D108" s="38" t="str">
        <f t="shared" si="14"/>
        <v>Protection Maintenance-Protection Circuits - (000's)</v>
      </c>
      <c r="E108" s="406"/>
      <c r="H108" s="43" t="s">
        <v>469</v>
      </c>
      <c r="I108" s="41">
        <v>4.109</v>
      </c>
      <c r="J108" s="41">
        <v>4.4109999999999996</v>
      </c>
      <c r="K108" s="41">
        <v>4.6120000000000001</v>
      </c>
      <c r="L108" s="41">
        <v>4.726</v>
      </c>
      <c r="M108" s="41">
        <v>4.7690000000000001</v>
      </c>
      <c r="N108" s="41">
        <v>1.696</v>
      </c>
      <c r="O108" s="41">
        <v>1.3720000000000001</v>
      </c>
      <c r="P108" s="41">
        <v>1.768</v>
      </c>
      <c r="Q108" s="41">
        <v>1.7270000000000001</v>
      </c>
      <c r="R108" s="41">
        <v>1.9570000000000001</v>
      </c>
      <c r="S108" s="41">
        <v>22</v>
      </c>
      <c r="T108" s="41">
        <v>21</v>
      </c>
      <c r="U108" s="41">
        <v>20</v>
      </c>
      <c r="V108" s="41">
        <v>20</v>
      </c>
      <c r="W108" s="41">
        <v>19.7</v>
      </c>
      <c r="X108" s="38">
        <v>0.19666666666666666</v>
      </c>
      <c r="Y108" s="38">
        <v>4</v>
      </c>
      <c r="Z108" s="40">
        <v>0</v>
      </c>
      <c r="AA108" s="40">
        <v>0</v>
      </c>
      <c r="AB108" s="40">
        <v>0</v>
      </c>
      <c r="AC108" s="40">
        <v>0</v>
      </c>
      <c r="AD108" s="40">
        <v>0</v>
      </c>
      <c r="AE108" s="40">
        <v>0</v>
      </c>
      <c r="AF108" s="40">
        <v>0</v>
      </c>
      <c r="AG108" s="40">
        <v>0</v>
      </c>
      <c r="AH108" s="40">
        <v>0</v>
      </c>
      <c r="AI108" s="40">
        <v>0</v>
      </c>
      <c r="AK108" s="53">
        <f t="shared" si="15"/>
        <v>8.5200000000000014</v>
      </c>
      <c r="AL108" s="54">
        <f t="shared" si="16"/>
        <v>0</v>
      </c>
      <c r="AM108" s="54">
        <f t="shared" si="17"/>
        <v>0</v>
      </c>
      <c r="AN108" s="123">
        <f t="shared" si="19"/>
        <v>0</v>
      </c>
      <c r="AO108" s="44" t="s">
        <v>1390</v>
      </c>
      <c r="AP108" s="38" t="str">
        <f t="shared" si="12"/>
        <v>Zone Sub</v>
      </c>
    </row>
    <row r="109" spans="1:42" ht="60" hidden="1">
      <c r="A109" s="38" t="str">
        <f t="shared" si="18"/>
        <v>Essential (Original)</v>
      </c>
      <c r="B109" s="38" t="s">
        <v>1196</v>
      </c>
      <c r="C109" s="38" t="str">
        <f t="shared" si="13"/>
        <v>Subtrans Maintenance-SUBTRANSMISSION ASSET MAINTENANCE - FOR DNSPS WITH DUAL FUNCTION ASSETS</v>
      </c>
      <c r="D109" s="38" t="str">
        <f t="shared" si="14"/>
        <v>Subtrans Maintenance-DNSP TO NOMINATE</v>
      </c>
      <c r="E109" s="406"/>
      <c r="F109" s="43" t="s">
        <v>431</v>
      </c>
      <c r="G109" s="43" t="s">
        <v>431</v>
      </c>
      <c r="H109" s="43" t="s">
        <v>411</v>
      </c>
      <c r="I109" s="41">
        <v>0</v>
      </c>
      <c r="J109" s="41">
        <v>0</v>
      </c>
      <c r="K109" s="41">
        <v>0</v>
      </c>
      <c r="L109" s="41">
        <v>0</v>
      </c>
      <c r="M109" s="41">
        <v>0</v>
      </c>
      <c r="N109" s="41">
        <v>0</v>
      </c>
      <c r="O109" s="41">
        <v>0</v>
      </c>
      <c r="P109" s="41">
        <v>0</v>
      </c>
      <c r="Q109" s="41">
        <v>0</v>
      </c>
      <c r="R109" s="41">
        <v>0</v>
      </c>
      <c r="S109" s="41">
        <v>0</v>
      </c>
      <c r="T109" s="41">
        <v>0</v>
      </c>
      <c r="U109" s="41">
        <v>0</v>
      </c>
      <c r="V109" s="41">
        <v>0</v>
      </c>
      <c r="W109" s="41">
        <v>0</v>
      </c>
      <c r="X109" s="38">
        <v>0</v>
      </c>
      <c r="Y109" s="38">
        <v>0</v>
      </c>
      <c r="Z109" s="40">
        <v>0</v>
      </c>
      <c r="AA109" s="40">
        <v>0</v>
      </c>
      <c r="AB109" s="40">
        <v>0</v>
      </c>
      <c r="AC109" s="40">
        <v>0</v>
      </c>
      <c r="AD109" s="40">
        <v>0</v>
      </c>
      <c r="AE109" s="40">
        <v>0</v>
      </c>
      <c r="AF109" s="40">
        <v>0</v>
      </c>
      <c r="AG109" s="40">
        <v>0</v>
      </c>
      <c r="AH109" s="40">
        <v>0</v>
      </c>
      <c r="AI109" s="40">
        <v>0</v>
      </c>
      <c r="AK109" s="53">
        <f t="shared" si="15"/>
        <v>0</v>
      </c>
      <c r="AL109" s="54">
        <f t="shared" si="16"/>
        <v>0</v>
      </c>
      <c r="AM109" s="54">
        <f t="shared" si="17"/>
        <v>0</v>
      </c>
      <c r="AN109" s="123">
        <f t="shared" si="19"/>
        <v>0</v>
      </c>
      <c r="AO109" s="44" t="s">
        <v>1389</v>
      </c>
      <c r="AP109" s="38" t="str">
        <f t="shared" si="12"/>
        <v>OH/UG</v>
      </c>
    </row>
    <row r="110" spans="1:42" hidden="1">
      <c r="A110" s="38" t="str">
        <f t="shared" si="18"/>
        <v>Essential (Original)</v>
      </c>
      <c r="B110" s="38" t="s">
        <v>720</v>
      </c>
      <c r="C110" s="38" t="str">
        <f t="shared" si="13"/>
        <v>Other-PIT AND PILLAR INSPECTION</v>
      </c>
      <c r="D110" s="38" t="str">
        <f t="shared" si="14"/>
        <v>Other-CUBICLES (000'S)</v>
      </c>
      <c r="E110" s="406"/>
      <c r="F110" s="43" t="s">
        <v>470</v>
      </c>
      <c r="G110" s="43" t="s">
        <v>471</v>
      </c>
      <c r="H110" s="43" t="s">
        <v>472</v>
      </c>
      <c r="I110" s="41">
        <v>100.443</v>
      </c>
      <c r="J110" s="41">
        <v>100.443</v>
      </c>
      <c r="K110" s="41">
        <v>100.443</v>
      </c>
      <c r="L110" s="41">
        <v>100.443</v>
      </c>
      <c r="M110" s="41">
        <v>100.443</v>
      </c>
      <c r="N110" s="41">
        <v>2.9129999999999998</v>
      </c>
      <c r="O110" s="41">
        <v>12.94</v>
      </c>
      <c r="P110" s="41">
        <v>14.567</v>
      </c>
      <c r="Q110" s="41">
        <v>25.706</v>
      </c>
      <c r="R110" s="41">
        <v>18.722999999999999</v>
      </c>
      <c r="S110" s="41">
        <v>8</v>
      </c>
      <c r="T110" s="41">
        <v>9</v>
      </c>
      <c r="U110" s="41">
        <v>10</v>
      </c>
      <c r="V110" s="41">
        <v>11</v>
      </c>
      <c r="W110" s="41">
        <v>12</v>
      </c>
      <c r="X110" s="38">
        <v>4</v>
      </c>
      <c r="Y110" s="38">
        <v>0</v>
      </c>
      <c r="Z110" s="40">
        <v>0</v>
      </c>
      <c r="AA110" s="40">
        <v>608.96617469115711</v>
      </c>
      <c r="AB110" s="40">
        <v>633.25914789523256</v>
      </c>
      <c r="AC110" s="40">
        <v>1421.6095851772532</v>
      </c>
      <c r="AD110" s="40">
        <v>1018.3974812892163</v>
      </c>
      <c r="AE110" s="40">
        <v>0</v>
      </c>
      <c r="AF110" s="40">
        <v>0</v>
      </c>
      <c r="AG110" s="40">
        <v>0</v>
      </c>
      <c r="AH110" s="40">
        <v>0</v>
      </c>
      <c r="AI110" s="40">
        <v>0</v>
      </c>
      <c r="AK110" s="53">
        <f t="shared" si="15"/>
        <v>74.849000000000004</v>
      </c>
      <c r="AL110" s="54">
        <f t="shared" si="16"/>
        <v>3682.2323890528596</v>
      </c>
      <c r="AM110" s="54">
        <f t="shared" si="17"/>
        <v>0</v>
      </c>
      <c r="AN110" s="123">
        <f t="shared" si="19"/>
        <v>3682.2323890528596</v>
      </c>
      <c r="AO110" s="44" t="s">
        <v>1389</v>
      </c>
      <c r="AP110" s="38" t="str">
        <f t="shared" si="12"/>
        <v>UG</v>
      </c>
    </row>
    <row r="111" spans="1:42" ht="30" hidden="1">
      <c r="A111" s="38" t="str">
        <f t="shared" si="18"/>
        <v>Essential (Original)</v>
      </c>
      <c r="B111" s="38" t="s">
        <v>720</v>
      </c>
      <c r="C111" s="38" t="str">
        <f t="shared" si="13"/>
        <v>Other-CRITICAL EQIPMENT INSPECTION</v>
      </c>
      <c r="D111" s="38" t="str">
        <f t="shared" si="14"/>
        <v>Other-EQUIPMENT UNITS (000'S)</v>
      </c>
      <c r="E111" s="406"/>
      <c r="F111" s="43" t="s">
        <v>470</v>
      </c>
      <c r="G111" s="43" t="s">
        <v>473</v>
      </c>
      <c r="H111" s="43" t="s">
        <v>474</v>
      </c>
      <c r="I111" s="41">
        <v>1.2090000000000001</v>
      </c>
      <c r="J111" s="41">
        <v>1.2090000000000001</v>
      </c>
      <c r="K111" s="41">
        <v>1.2090000000000001</v>
      </c>
      <c r="L111" s="41">
        <v>1.2090000000000001</v>
      </c>
      <c r="M111" s="41">
        <v>1.2090000000000001</v>
      </c>
      <c r="N111" s="41">
        <v>0</v>
      </c>
      <c r="O111" s="41">
        <v>0</v>
      </c>
      <c r="P111" s="41">
        <v>0</v>
      </c>
      <c r="Q111" s="41">
        <v>2.1000000000000001E-2</v>
      </c>
      <c r="R111" s="41">
        <v>0.22600000000000001</v>
      </c>
      <c r="S111" s="41">
        <v>23.32</v>
      </c>
      <c r="T111" s="41">
        <v>24.27</v>
      </c>
      <c r="U111" s="41">
        <v>25.21</v>
      </c>
      <c r="V111" s="41">
        <v>26.11</v>
      </c>
      <c r="W111" s="41">
        <v>27</v>
      </c>
      <c r="X111" s="38">
        <v>1</v>
      </c>
      <c r="Y111" s="38">
        <v>0</v>
      </c>
      <c r="Z111" s="40">
        <v>1935.4103004981237</v>
      </c>
      <c r="AA111" s="40">
        <v>3192.1270969201096</v>
      </c>
      <c r="AB111" s="40">
        <v>1713.8411444136011</v>
      </c>
      <c r="AC111" s="40">
        <v>1700.2626307735588</v>
      </c>
      <c r="AD111" s="40">
        <v>1142.3476948164318</v>
      </c>
      <c r="AE111" s="40">
        <v>0</v>
      </c>
      <c r="AF111" s="40">
        <v>0</v>
      </c>
      <c r="AG111" s="40">
        <v>0</v>
      </c>
      <c r="AH111" s="40">
        <v>0</v>
      </c>
      <c r="AI111" s="40">
        <v>0</v>
      </c>
      <c r="AK111" s="53">
        <f t="shared" si="15"/>
        <v>0.247</v>
      </c>
      <c r="AL111" s="54">
        <f t="shared" si="16"/>
        <v>9683.9888674218237</v>
      </c>
      <c r="AM111" s="54">
        <f t="shared" si="17"/>
        <v>0</v>
      </c>
      <c r="AN111" s="123">
        <f t="shared" si="19"/>
        <v>9683.9888674218237</v>
      </c>
      <c r="AO111" s="44" t="s">
        <v>1389</v>
      </c>
      <c r="AP111" s="38" t="str">
        <f t="shared" si="12"/>
        <v>OH/UG</v>
      </c>
    </row>
    <row r="112" spans="1:42" ht="30" hidden="1">
      <c r="A112" s="38" t="str">
        <f t="shared" si="18"/>
        <v>Essential (Original)</v>
      </c>
      <c r="B112" s="38" t="s">
        <v>720</v>
      </c>
      <c r="C112" s="38" t="str">
        <f t="shared" si="13"/>
        <v>Other-ENCLOSED SUBSTATION INSPECTION</v>
      </c>
      <c r="D112" s="38" t="str">
        <f t="shared" si="14"/>
        <v>Other-SUBSTATIONS (000'S)</v>
      </c>
      <c r="E112" s="406"/>
      <c r="F112" s="43" t="s">
        <v>470</v>
      </c>
      <c r="G112" s="43" t="s">
        <v>475</v>
      </c>
      <c r="H112" s="43" t="s">
        <v>476</v>
      </c>
      <c r="I112" s="41">
        <v>6.0910000000000002</v>
      </c>
      <c r="J112" s="41">
        <v>6.0910000000000002</v>
      </c>
      <c r="K112" s="41">
        <v>6.0910000000000002</v>
      </c>
      <c r="L112" s="41">
        <v>6.0910000000000002</v>
      </c>
      <c r="M112" s="41">
        <v>6.0910000000000002</v>
      </c>
      <c r="N112" s="41">
        <v>0.65900000000000003</v>
      </c>
      <c r="O112" s="41">
        <v>1.2250000000000001</v>
      </c>
      <c r="P112" s="41">
        <v>2.5209999999999999</v>
      </c>
      <c r="Q112" s="41">
        <v>2.3460000000000001</v>
      </c>
      <c r="R112" s="41">
        <v>1.502</v>
      </c>
      <c r="S112" s="41">
        <v>13.01</v>
      </c>
      <c r="T112" s="41">
        <v>14.01</v>
      </c>
      <c r="U112" s="41">
        <v>15.01</v>
      </c>
      <c r="V112" s="41">
        <v>16.009999999999998</v>
      </c>
      <c r="W112" s="41">
        <v>17.009999999999998</v>
      </c>
      <c r="X112" s="38">
        <v>4</v>
      </c>
      <c r="Y112" s="38">
        <v>0</v>
      </c>
      <c r="Z112" s="40">
        <v>1695.6498355462841</v>
      </c>
      <c r="AA112" s="40">
        <v>1276.6627341842545</v>
      </c>
      <c r="AB112" s="40">
        <v>602.19402529581214</v>
      </c>
      <c r="AC112" s="40">
        <v>692.87989567056536</v>
      </c>
      <c r="AD112" s="40">
        <v>1204.2393863983127</v>
      </c>
      <c r="AE112" s="40">
        <v>0</v>
      </c>
      <c r="AF112" s="40">
        <v>0</v>
      </c>
      <c r="AG112" s="40">
        <v>0</v>
      </c>
      <c r="AH112" s="40">
        <v>0</v>
      </c>
      <c r="AI112" s="40">
        <v>0</v>
      </c>
      <c r="AK112" s="53">
        <f t="shared" si="15"/>
        <v>8.2530000000000001</v>
      </c>
      <c r="AL112" s="54">
        <f t="shared" si="16"/>
        <v>5471.6258770952281</v>
      </c>
      <c r="AM112" s="54">
        <f t="shared" si="17"/>
        <v>0</v>
      </c>
      <c r="AN112" s="123">
        <f t="shared" si="19"/>
        <v>5471.6258770952281</v>
      </c>
      <c r="AO112" s="44" t="s">
        <v>1389</v>
      </c>
      <c r="AP112" s="38" t="str">
        <f t="shared" si="12"/>
        <v>UG</v>
      </c>
    </row>
    <row r="113" spans="1:42" ht="30" hidden="1">
      <c r="A113" s="38" t="str">
        <f t="shared" si="18"/>
        <v>Essential (Original)</v>
      </c>
      <c r="B113" s="38" t="s">
        <v>720</v>
      </c>
      <c r="C113" s="38" t="str">
        <f t="shared" si="13"/>
        <v>Other-ANNUAL THERMOVISION INSPECTION URBAN</v>
      </c>
      <c r="D113" s="38" t="str">
        <f t="shared" si="14"/>
        <v>Other-URBAN HV POLES (000'S)</v>
      </c>
      <c r="E113" s="406"/>
      <c r="F113" s="43" t="s">
        <v>470</v>
      </c>
      <c r="G113" s="43" t="s">
        <v>477</v>
      </c>
      <c r="H113" s="43" t="s">
        <v>478</v>
      </c>
      <c r="I113" s="41">
        <v>104.913</v>
      </c>
      <c r="J113" s="41">
        <v>104.913</v>
      </c>
      <c r="K113" s="41">
        <v>104.913</v>
      </c>
      <c r="L113" s="41">
        <v>104.913</v>
      </c>
      <c r="M113" s="41">
        <v>104.913</v>
      </c>
      <c r="N113" s="41">
        <v>0</v>
      </c>
      <c r="O113" s="41">
        <v>27</v>
      </c>
      <c r="P113" s="41">
        <v>1</v>
      </c>
      <c r="Q113" s="41">
        <v>958</v>
      </c>
      <c r="R113" s="41">
        <v>379</v>
      </c>
      <c r="S113" s="41">
        <v>28</v>
      </c>
      <c r="T113" s="41">
        <v>29</v>
      </c>
      <c r="U113" s="41">
        <v>30</v>
      </c>
      <c r="V113" s="41">
        <v>31</v>
      </c>
      <c r="W113" s="41">
        <v>32</v>
      </c>
      <c r="X113" s="38">
        <v>1</v>
      </c>
      <c r="Y113" s="38">
        <v>0</v>
      </c>
      <c r="Z113" s="40">
        <v>4.9457139725879511</v>
      </c>
      <c r="AA113" s="40">
        <v>0.754661306506207</v>
      </c>
      <c r="AB113" s="40">
        <v>2.5227272940046586</v>
      </c>
      <c r="AC113" s="40">
        <v>26.977281431931932</v>
      </c>
      <c r="AD113" s="40">
        <v>10.213115834130102</v>
      </c>
      <c r="AE113" s="40">
        <v>0</v>
      </c>
      <c r="AF113" s="40">
        <v>0</v>
      </c>
      <c r="AG113" s="40">
        <v>0</v>
      </c>
      <c r="AH113" s="40">
        <v>0</v>
      </c>
      <c r="AI113" s="40">
        <v>0</v>
      </c>
      <c r="AK113" s="53">
        <f t="shared" si="15"/>
        <v>1365</v>
      </c>
      <c r="AL113" s="54">
        <f t="shared" si="16"/>
        <v>45.413499839160849</v>
      </c>
      <c r="AM113" s="54">
        <f t="shared" si="17"/>
        <v>0</v>
      </c>
      <c r="AN113" s="123">
        <f t="shared" si="19"/>
        <v>45.413499839160849</v>
      </c>
      <c r="AO113" s="44" t="s">
        <v>1389</v>
      </c>
      <c r="AP113" s="38" t="str">
        <f t="shared" si="12"/>
        <v>OH/UG</v>
      </c>
    </row>
    <row r="114" spans="1:42" ht="30" hidden="1">
      <c r="A114" s="38" t="str">
        <f t="shared" si="18"/>
        <v>Essential (Original)</v>
      </c>
      <c r="B114" s="38" t="s">
        <v>720</v>
      </c>
      <c r="C114" s="38" t="str">
        <f t="shared" si="13"/>
        <v>Other-ANNUAL REGULATOR AND RECLOSER INSPECTION</v>
      </c>
      <c r="D114" s="38" t="str">
        <f t="shared" si="14"/>
        <v>Other-UNITS (000'S)</v>
      </c>
      <c r="E114" s="406"/>
      <c r="F114" s="43" t="s">
        <v>470</v>
      </c>
      <c r="G114" s="43" t="s">
        <v>479</v>
      </c>
      <c r="H114" s="43" t="s">
        <v>480</v>
      </c>
      <c r="I114" s="41">
        <v>3.4279999999999999</v>
      </c>
      <c r="J114" s="41">
        <v>3.4279999999999999</v>
      </c>
      <c r="K114" s="41">
        <v>3.4279999999999999</v>
      </c>
      <c r="L114" s="41">
        <v>3.4279999999999999</v>
      </c>
      <c r="M114" s="41">
        <v>3.4279999999999999</v>
      </c>
      <c r="N114" s="41">
        <v>2.282</v>
      </c>
      <c r="O114" s="41">
        <v>8.7710000000000008</v>
      </c>
      <c r="P114" s="41">
        <v>10.289</v>
      </c>
      <c r="Q114" s="41">
        <v>10.444000000000001</v>
      </c>
      <c r="R114" s="41">
        <v>7.1219999999999999</v>
      </c>
      <c r="S114" s="41">
        <v>12.4</v>
      </c>
      <c r="T114" s="41">
        <v>13.21</v>
      </c>
      <c r="U114" s="41">
        <v>14.08</v>
      </c>
      <c r="V114" s="41">
        <v>14.68</v>
      </c>
      <c r="W114" s="41">
        <v>15</v>
      </c>
      <c r="X114" s="38">
        <v>0.5</v>
      </c>
      <c r="Y114" s="38">
        <v>0</v>
      </c>
      <c r="Z114" s="40">
        <v>216.84607707020291</v>
      </c>
      <c r="AA114" s="40">
        <v>588.12482013380156</v>
      </c>
      <c r="AB114" s="40">
        <v>551.49557096455771</v>
      </c>
      <c r="AC114" s="40">
        <v>626.35105037168557</v>
      </c>
      <c r="AD114" s="40">
        <v>453.4342839602171</v>
      </c>
      <c r="AE114" s="40">
        <v>0</v>
      </c>
      <c r="AF114" s="40">
        <v>0</v>
      </c>
      <c r="AG114" s="40">
        <v>0</v>
      </c>
      <c r="AH114" s="40">
        <v>0</v>
      </c>
      <c r="AI114" s="40">
        <v>0</v>
      </c>
      <c r="AK114" s="53">
        <f t="shared" si="15"/>
        <v>38.908000000000001</v>
      </c>
      <c r="AL114" s="54">
        <f t="shared" si="16"/>
        <v>2436.2518025004651</v>
      </c>
      <c r="AM114" s="54">
        <f t="shared" si="17"/>
        <v>0</v>
      </c>
      <c r="AN114" s="123">
        <f t="shared" si="19"/>
        <v>2436.2518025004651</v>
      </c>
      <c r="AO114" s="44" t="s">
        <v>1389</v>
      </c>
      <c r="AP114" s="38" t="str">
        <f t="shared" si="12"/>
        <v>OH</v>
      </c>
    </row>
    <row r="115" spans="1:42" hidden="1">
      <c r="A115" s="38" t="str">
        <f t="shared" si="18"/>
        <v>Essential (Original)</v>
      </c>
      <c r="B115" s="38" t="s">
        <v>720</v>
      </c>
      <c r="C115" s="38" t="str">
        <f t="shared" si="13"/>
        <v xml:space="preserve">Other-EARTH INTEGRITY TESTING </v>
      </c>
      <c r="D115" s="38" t="str">
        <f t="shared" si="14"/>
        <v>Other-EARTH SITES (000'S)</v>
      </c>
      <c r="E115" s="406"/>
      <c r="F115" s="43" t="s">
        <v>470</v>
      </c>
      <c r="G115" s="43" t="s">
        <v>481</v>
      </c>
      <c r="H115" s="43" t="s">
        <v>482</v>
      </c>
      <c r="I115" s="41">
        <v>20.474</v>
      </c>
      <c r="J115" s="41">
        <v>20.474</v>
      </c>
      <c r="K115" s="41">
        <v>20.474</v>
      </c>
      <c r="L115" s="41">
        <v>20.474</v>
      </c>
      <c r="M115" s="41">
        <v>20.474</v>
      </c>
      <c r="N115" s="41">
        <v>0</v>
      </c>
      <c r="O115" s="41">
        <v>4.4039999999999999</v>
      </c>
      <c r="P115" s="41">
        <v>5.1100000000000003</v>
      </c>
      <c r="Q115" s="41">
        <v>5.8049999999999997</v>
      </c>
      <c r="R115" s="41">
        <v>4.9850000000000003</v>
      </c>
      <c r="S115" s="41">
        <v>23</v>
      </c>
      <c r="T115" s="41">
        <v>24</v>
      </c>
      <c r="U115" s="41">
        <v>25</v>
      </c>
      <c r="V115" s="41">
        <v>26</v>
      </c>
      <c r="W115" s="41">
        <v>27</v>
      </c>
      <c r="X115" s="38">
        <v>4</v>
      </c>
      <c r="Y115" s="38">
        <v>0</v>
      </c>
      <c r="Z115" s="40">
        <v>0</v>
      </c>
      <c r="AA115" s="40">
        <v>324.95679999999999</v>
      </c>
      <c r="AB115" s="40">
        <v>1003.7016</v>
      </c>
      <c r="AC115" s="40">
        <v>1456.607</v>
      </c>
      <c r="AD115" s="40">
        <v>1051.0658999999998</v>
      </c>
      <c r="AE115" s="40">
        <v>0</v>
      </c>
      <c r="AF115" s="40">
        <v>0</v>
      </c>
      <c r="AG115" s="40">
        <v>0</v>
      </c>
      <c r="AH115" s="40">
        <v>0</v>
      </c>
      <c r="AI115" s="40">
        <v>0</v>
      </c>
      <c r="AK115" s="53">
        <f t="shared" si="15"/>
        <v>20.303999999999998</v>
      </c>
      <c r="AL115" s="54">
        <f t="shared" si="16"/>
        <v>3836.3312999999998</v>
      </c>
      <c r="AM115" s="54">
        <f t="shared" si="17"/>
        <v>0</v>
      </c>
      <c r="AN115" s="123">
        <f t="shared" si="19"/>
        <v>3836.3312999999998</v>
      </c>
      <c r="AO115" s="44" t="s">
        <v>1389</v>
      </c>
      <c r="AP115" s="38" t="str">
        <f t="shared" si="12"/>
        <v>UG</v>
      </c>
    </row>
    <row r="116" spans="1:42" ht="30" hidden="1">
      <c r="A116" s="38" t="str">
        <f t="shared" si="18"/>
        <v>Essential (Original)</v>
      </c>
      <c r="B116" s="38" t="s">
        <v>720</v>
      </c>
      <c r="C116" s="38" t="str">
        <f t="shared" si="13"/>
        <v>Other-SUBTRANSMISSION LIVE LINE INSPECTION</v>
      </c>
      <c r="D116" s="38" t="str">
        <f t="shared" si="14"/>
        <v>Other-POLES (000'S)</v>
      </c>
      <c r="E116" s="406"/>
      <c r="F116" s="43" t="s">
        <v>470</v>
      </c>
      <c r="G116" s="43" t="s">
        <v>483</v>
      </c>
      <c r="H116" s="43" t="s">
        <v>484</v>
      </c>
      <c r="I116" s="41">
        <v>35.662999999999997</v>
      </c>
      <c r="J116" s="41">
        <v>35.662999999999997</v>
      </c>
      <c r="K116" s="41">
        <v>35.662999999999997</v>
      </c>
      <c r="L116" s="41">
        <v>35.662999999999997</v>
      </c>
      <c r="M116" s="41">
        <v>35.662999999999997</v>
      </c>
      <c r="N116" s="41">
        <v>4.1959999999999997</v>
      </c>
      <c r="O116" s="41">
        <v>4.609</v>
      </c>
      <c r="P116" s="41">
        <v>5.3179999999999996</v>
      </c>
      <c r="Q116" s="41">
        <v>3.6589999999999998</v>
      </c>
      <c r="R116" s="41">
        <v>3.1070000000000002</v>
      </c>
      <c r="S116" s="41">
        <v>33</v>
      </c>
      <c r="T116" s="41">
        <v>34</v>
      </c>
      <c r="U116" s="41">
        <v>35</v>
      </c>
      <c r="V116" s="41">
        <v>36</v>
      </c>
      <c r="W116" s="41">
        <v>37</v>
      </c>
      <c r="X116" s="38">
        <v>8</v>
      </c>
      <c r="Y116" s="38">
        <v>0</v>
      </c>
      <c r="Z116" s="40">
        <v>0</v>
      </c>
      <c r="AA116" s="40">
        <v>667.13446425476457</v>
      </c>
      <c r="AB116" s="40">
        <v>427.68925968331581</v>
      </c>
      <c r="AC116" s="40">
        <v>557.87377513301817</v>
      </c>
      <c r="AD116" s="40">
        <v>365.98731209898989</v>
      </c>
      <c r="AE116" s="40">
        <v>0</v>
      </c>
      <c r="AF116" s="40">
        <v>0</v>
      </c>
      <c r="AG116" s="40">
        <v>0</v>
      </c>
      <c r="AH116" s="40">
        <v>0</v>
      </c>
      <c r="AI116" s="40">
        <v>0</v>
      </c>
      <c r="AK116" s="53">
        <f t="shared" si="15"/>
        <v>20.888999999999999</v>
      </c>
      <c r="AL116" s="54">
        <f t="shared" si="16"/>
        <v>2018.6848111700883</v>
      </c>
      <c r="AM116" s="54">
        <f t="shared" si="17"/>
        <v>0</v>
      </c>
      <c r="AN116" s="123">
        <f t="shared" si="19"/>
        <v>2018.6848111700883</v>
      </c>
      <c r="AO116" s="44" t="s">
        <v>1390</v>
      </c>
      <c r="AP116" s="38" t="str">
        <f t="shared" si="12"/>
        <v>OH</v>
      </c>
    </row>
    <row r="117" spans="1:42" ht="30" hidden="1">
      <c r="A117" s="38" t="str">
        <f t="shared" si="18"/>
        <v>Essential (Original)</v>
      </c>
      <c r="B117" s="38" t="s">
        <v>720</v>
      </c>
      <c r="C117" s="38" t="str">
        <f t="shared" si="13"/>
        <v>Other-ANNUAL FIRE MITIGATION INSPECTION</v>
      </c>
      <c r="D117" s="38" t="str">
        <f t="shared" si="14"/>
        <v>Other-0</v>
      </c>
      <c r="E117" s="406"/>
      <c r="G117" s="43" t="s">
        <v>485</v>
      </c>
      <c r="H117" s="43">
        <v>0</v>
      </c>
      <c r="I117" s="41">
        <v>151.49100000000001</v>
      </c>
      <c r="J117" s="41">
        <v>151.49100000000001</v>
      </c>
      <c r="K117" s="41">
        <v>151.49100000000001</v>
      </c>
      <c r="L117" s="41">
        <v>151.49100000000001</v>
      </c>
      <c r="M117" s="41">
        <v>151.49100000000001</v>
      </c>
      <c r="N117" s="41">
        <v>0</v>
      </c>
      <c r="O117" s="41">
        <v>151.49100000000001</v>
      </c>
      <c r="P117" s="41">
        <v>151.49100000000001</v>
      </c>
      <c r="Q117" s="41">
        <v>151.49100000000001</v>
      </c>
      <c r="R117" s="41">
        <v>151.49100000000001</v>
      </c>
      <c r="S117" s="41">
        <v>29.6</v>
      </c>
      <c r="T117" s="41">
        <v>30.46</v>
      </c>
      <c r="U117" s="41">
        <v>31.31</v>
      </c>
      <c r="V117" s="41">
        <v>32.17</v>
      </c>
      <c r="W117" s="41">
        <v>33</v>
      </c>
      <c r="X117" s="38">
        <v>1</v>
      </c>
      <c r="Y117" s="38">
        <v>0</v>
      </c>
      <c r="Z117" s="40">
        <v>0</v>
      </c>
      <c r="AA117" s="40">
        <v>2235.9560000000001</v>
      </c>
      <c r="AB117" s="40">
        <v>5531.3040000000001</v>
      </c>
      <c r="AC117" s="40">
        <v>6849.9390000000003</v>
      </c>
      <c r="AD117" s="40">
        <v>5968.9870000000001</v>
      </c>
      <c r="AE117" s="40">
        <v>0</v>
      </c>
      <c r="AF117" s="40">
        <v>0</v>
      </c>
      <c r="AG117" s="40">
        <v>0</v>
      </c>
      <c r="AH117" s="40">
        <v>0</v>
      </c>
      <c r="AI117" s="40">
        <v>0</v>
      </c>
      <c r="AK117" s="53">
        <f t="shared" si="15"/>
        <v>605.96400000000006</v>
      </c>
      <c r="AL117" s="54">
        <f t="shared" si="16"/>
        <v>20586.186000000002</v>
      </c>
      <c r="AM117" s="54">
        <f t="shared" si="17"/>
        <v>0</v>
      </c>
      <c r="AN117" s="123">
        <f t="shared" si="19"/>
        <v>20586.186000000002</v>
      </c>
      <c r="AO117" s="44" t="s">
        <v>1389</v>
      </c>
      <c r="AP117" s="38" t="str">
        <f t="shared" si="12"/>
        <v>OH</v>
      </c>
    </row>
    <row r="118" spans="1:42" ht="30" hidden="1">
      <c r="A118" s="38" t="str">
        <f t="shared" si="18"/>
        <v>Essential (Original)</v>
      </c>
      <c r="B118" s="38" t="s">
        <v>720</v>
      </c>
      <c r="C118" s="38" t="str">
        <f t="shared" si="13"/>
        <v>Other-ASSET CATEGORY (DNSP TO NOMINATE)</v>
      </c>
      <c r="D118" s="38" t="str">
        <f t="shared" si="14"/>
        <v>Other-DNSP TO NOMINATE</v>
      </c>
      <c r="E118" s="407"/>
      <c r="F118" s="43" t="s">
        <v>433</v>
      </c>
      <c r="G118" s="43" t="s">
        <v>432</v>
      </c>
      <c r="H118" s="43" t="s">
        <v>411</v>
      </c>
      <c r="I118" s="41">
        <v>0</v>
      </c>
      <c r="J118" s="41">
        <v>0</v>
      </c>
      <c r="K118" s="41">
        <v>0</v>
      </c>
      <c r="L118" s="41">
        <v>0</v>
      </c>
      <c r="M118" s="41">
        <v>0</v>
      </c>
      <c r="N118" s="41">
        <v>0</v>
      </c>
      <c r="O118" s="41">
        <v>0</v>
      </c>
      <c r="P118" s="41">
        <v>0</v>
      </c>
      <c r="Q118" s="41">
        <v>0</v>
      </c>
      <c r="R118" s="41">
        <v>0</v>
      </c>
      <c r="S118" s="41">
        <v>0</v>
      </c>
      <c r="T118" s="41">
        <v>0</v>
      </c>
      <c r="U118" s="41">
        <v>0</v>
      </c>
      <c r="V118" s="41">
        <v>0</v>
      </c>
      <c r="W118" s="41">
        <v>0</v>
      </c>
      <c r="X118" s="38">
        <v>0</v>
      </c>
      <c r="Y118" s="38">
        <v>0</v>
      </c>
      <c r="Z118" s="40">
        <v>0</v>
      </c>
      <c r="AA118" s="40">
        <v>0</v>
      </c>
      <c r="AB118" s="40">
        <v>0</v>
      </c>
      <c r="AC118" s="40">
        <v>0</v>
      </c>
      <c r="AD118" s="40">
        <v>0</v>
      </c>
      <c r="AE118" s="40">
        <v>0</v>
      </c>
      <c r="AF118" s="40">
        <v>0</v>
      </c>
      <c r="AG118" s="40">
        <v>0</v>
      </c>
      <c r="AH118" s="40">
        <v>0</v>
      </c>
      <c r="AI118" s="40">
        <v>0</v>
      </c>
      <c r="AK118" s="53">
        <f t="shared" si="15"/>
        <v>0</v>
      </c>
      <c r="AL118" s="54">
        <f t="shared" si="16"/>
        <v>0</v>
      </c>
      <c r="AM118" s="54">
        <f t="shared" si="17"/>
        <v>0</v>
      </c>
      <c r="AN118" s="123">
        <f>IFERROR(AL118+AM118,)</f>
        <v>0</v>
      </c>
      <c r="AO118" s="44" t="s">
        <v>1389</v>
      </c>
      <c r="AP118" s="38" t="str">
        <f t="shared" si="12"/>
        <v>Exclude</v>
      </c>
    </row>
    <row r="119" spans="1:42" ht="30">
      <c r="A119" s="38" t="str">
        <f>IF(E119&gt;0,E119,#REF!)</f>
        <v>Endeavour</v>
      </c>
      <c r="B119" s="38" t="s">
        <v>1189</v>
      </c>
      <c r="C119" s="38" t="str">
        <f t="shared" si="13"/>
        <v>OH Maintenance-POLE TOPS AND OVERHEAD LINES</v>
      </c>
      <c r="D119" s="38" t="str">
        <f t="shared" si="14"/>
        <v>OH Maintenance-NUMBER OF POLES (000'S)</v>
      </c>
      <c r="E119" s="394" t="s">
        <v>575</v>
      </c>
      <c r="F119" s="43" t="s">
        <v>388</v>
      </c>
      <c r="G119" s="43" t="s">
        <v>389</v>
      </c>
      <c r="H119" s="43" t="s">
        <v>390</v>
      </c>
      <c r="I119" s="41">
        <v>306.17899999999997</v>
      </c>
      <c r="J119" s="41">
        <v>306.47300000000001</v>
      </c>
      <c r="K119" s="41">
        <v>307.52300000000002</v>
      </c>
      <c r="L119" s="41">
        <v>326.029</v>
      </c>
      <c r="M119" s="41">
        <v>378.21</v>
      </c>
      <c r="N119" s="41">
        <v>83.808999999999997</v>
      </c>
      <c r="O119" s="41">
        <v>83.888999999999996</v>
      </c>
      <c r="P119" s="41">
        <v>84.739000000000004</v>
      </c>
      <c r="Q119" s="41">
        <v>92.495999999999995</v>
      </c>
      <c r="R119" s="41">
        <v>99.058999999999997</v>
      </c>
      <c r="S119" s="41">
        <v>24.1</v>
      </c>
      <c r="T119" s="41">
        <v>24.1</v>
      </c>
      <c r="U119" s="41">
        <v>24.3</v>
      </c>
      <c r="V119" s="41">
        <v>24.6</v>
      </c>
      <c r="W119" s="41">
        <v>24.5</v>
      </c>
      <c r="X119" s="38">
        <v>4.5</v>
      </c>
      <c r="Y119" s="38" t="s">
        <v>642</v>
      </c>
      <c r="Z119" s="40">
        <v>0</v>
      </c>
      <c r="AA119" s="40">
        <v>0</v>
      </c>
      <c r="AB119" s="40">
        <v>0</v>
      </c>
      <c r="AC119" s="40">
        <v>0</v>
      </c>
      <c r="AD119" s="40">
        <v>0</v>
      </c>
      <c r="AE119" s="40">
        <v>0</v>
      </c>
      <c r="AF119" s="40">
        <v>0</v>
      </c>
      <c r="AG119" s="40">
        <v>0</v>
      </c>
      <c r="AH119" s="40">
        <v>0</v>
      </c>
      <c r="AI119" s="40">
        <v>0</v>
      </c>
      <c r="AK119" s="53">
        <f t="shared" si="15"/>
        <v>443.99199999999996</v>
      </c>
      <c r="AL119" s="54">
        <f t="shared" si="16"/>
        <v>0</v>
      </c>
      <c r="AM119" s="54">
        <f t="shared" si="17"/>
        <v>0</v>
      </c>
      <c r="AN119" s="123">
        <f t="shared" ref="AN119:AN124" si="20">AL119+AM119</f>
        <v>0</v>
      </c>
      <c r="AO119" s="44" t="s">
        <v>1389</v>
      </c>
      <c r="AP119" s="38" t="str">
        <f t="shared" si="12"/>
        <v>OH</v>
      </c>
    </row>
    <row r="120" spans="1:42" ht="30">
      <c r="A120" s="38" t="str">
        <f t="shared" si="18"/>
        <v>Endeavour</v>
      </c>
      <c r="B120" s="38" t="s">
        <v>1189</v>
      </c>
      <c r="C120" s="38" t="str">
        <f t="shared" si="13"/>
        <v>OH Maintenance-SERVICE LINES</v>
      </c>
      <c r="D120" s="38" t="str">
        <f t="shared" si="14"/>
        <v>OH Maintenance-NUMBER OF CUSTOMERS (000'S)</v>
      </c>
      <c r="E120" s="395"/>
      <c r="F120" s="43" t="s">
        <v>388</v>
      </c>
      <c r="G120" s="43" t="s">
        <v>391</v>
      </c>
      <c r="H120" s="43" t="s">
        <v>392</v>
      </c>
      <c r="I120" s="41">
        <v>668.18100000000004</v>
      </c>
      <c r="J120" s="41">
        <v>681.37699999999995</v>
      </c>
      <c r="K120" s="41">
        <v>693.08399999999995</v>
      </c>
      <c r="L120" s="41">
        <v>697.71299999999997</v>
      </c>
      <c r="M120" s="41">
        <v>706.91200000000003</v>
      </c>
      <c r="N120" s="41">
        <v>0</v>
      </c>
      <c r="O120" s="41">
        <v>0</v>
      </c>
      <c r="P120" s="41">
        <v>0</v>
      </c>
      <c r="Q120" s="41">
        <v>0</v>
      </c>
      <c r="R120" s="41">
        <v>0</v>
      </c>
      <c r="S120" s="41">
        <v>20.7</v>
      </c>
      <c r="T120" s="41">
        <v>20.8</v>
      </c>
      <c r="U120" s="41">
        <v>20.9</v>
      </c>
      <c r="V120" s="41">
        <v>21.1</v>
      </c>
      <c r="W120" s="41">
        <v>21</v>
      </c>
      <c r="X120" s="38" t="s">
        <v>642</v>
      </c>
      <c r="Y120" s="38" t="s">
        <v>642</v>
      </c>
      <c r="Z120" s="40">
        <v>0</v>
      </c>
      <c r="AA120" s="40">
        <v>0</v>
      </c>
      <c r="AB120" s="40">
        <v>0</v>
      </c>
      <c r="AC120" s="40">
        <v>0</v>
      </c>
      <c r="AD120" s="40">
        <v>0</v>
      </c>
      <c r="AE120" s="40">
        <v>0</v>
      </c>
      <c r="AF120" s="40">
        <v>0</v>
      </c>
      <c r="AG120" s="40">
        <v>0</v>
      </c>
      <c r="AH120" s="40">
        <v>0</v>
      </c>
      <c r="AI120" s="40">
        <v>0</v>
      </c>
      <c r="AK120" s="53">
        <f t="shared" si="15"/>
        <v>0</v>
      </c>
      <c r="AL120" s="54">
        <f t="shared" si="16"/>
        <v>0</v>
      </c>
      <c r="AM120" s="54">
        <f t="shared" si="17"/>
        <v>0</v>
      </c>
      <c r="AN120" s="123">
        <f t="shared" si="20"/>
        <v>0</v>
      </c>
      <c r="AO120" s="44" t="s">
        <v>1389</v>
      </c>
      <c r="AP120" s="38" t="str">
        <f t="shared" si="12"/>
        <v>Service Lines</v>
      </c>
    </row>
    <row r="121" spans="1:42">
      <c r="A121" s="38" t="str">
        <f t="shared" ref="A121:A140" si="21">IF(E121&gt;0,E121,A120)</f>
        <v>Endeavour</v>
      </c>
      <c r="B121" s="38" t="s">
        <v>1190</v>
      </c>
      <c r="C121" s="38" t="str">
        <f t="shared" si="13"/>
        <v>Pole Inspection-ALL POLES</v>
      </c>
      <c r="D121" s="38" t="str">
        <f t="shared" si="14"/>
        <v>Pole Inspection-NUMBER OF POLES (000'S)</v>
      </c>
      <c r="E121" s="395"/>
      <c r="F121" s="43" t="s">
        <v>393</v>
      </c>
      <c r="G121" s="43" t="s">
        <v>394</v>
      </c>
      <c r="H121" s="43" t="s">
        <v>390</v>
      </c>
      <c r="I121" s="41">
        <v>306.17899999999997</v>
      </c>
      <c r="J121" s="41">
        <v>306.47300000000001</v>
      </c>
      <c r="K121" s="41">
        <v>307.52300000000002</v>
      </c>
      <c r="L121" s="41">
        <v>326.029</v>
      </c>
      <c r="M121" s="41">
        <v>378.21</v>
      </c>
      <c r="N121" s="41">
        <v>83.808999999999997</v>
      </c>
      <c r="O121" s="41">
        <v>83.888999999999996</v>
      </c>
      <c r="P121" s="41">
        <v>84.739000000000004</v>
      </c>
      <c r="Q121" s="41">
        <v>92.495999999999995</v>
      </c>
      <c r="R121" s="41">
        <v>99.058999999999997</v>
      </c>
      <c r="S121" s="41">
        <v>24.1</v>
      </c>
      <c r="T121" s="41">
        <v>24.1</v>
      </c>
      <c r="U121" s="41">
        <v>24.3</v>
      </c>
      <c r="V121" s="41">
        <v>24.6</v>
      </c>
      <c r="W121" s="41">
        <v>24.5</v>
      </c>
      <c r="X121" s="38">
        <v>4.5</v>
      </c>
      <c r="Y121" s="38" t="s">
        <v>642</v>
      </c>
      <c r="Z121" s="40">
        <v>4546.4170000000004</v>
      </c>
      <c r="AA121" s="40">
        <v>5403.027</v>
      </c>
      <c r="AB121" s="40">
        <v>5824.5929999999998</v>
      </c>
      <c r="AC121" s="40">
        <v>7887.3339999999998</v>
      </c>
      <c r="AD121" s="40">
        <v>10841.861999999999</v>
      </c>
      <c r="AE121" s="40">
        <v>1244.386</v>
      </c>
      <c r="AF121" s="40">
        <v>1111.412</v>
      </c>
      <c r="AG121" s="40">
        <v>1006.3869999999999</v>
      </c>
      <c r="AH121" s="40">
        <v>702.70699999999999</v>
      </c>
      <c r="AI121" s="40">
        <v>669.98900000000003</v>
      </c>
      <c r="AK121" s="53">
        <f t="shared" si="15"/>
        <v>443.99199999999996</v>
      </c>
      <c r="AL121" s="54">
        <f t="shared" si="16"/>
        <v>34503.233</v>
      </c>
      <c r="AM121" s="54">
        <f t="shared" si="17"/>
        <v>4734.8809999999994</v>
      </c>
      <c r="AN121" s="123">
        <f t="shared" si="20"/>
        <v>39238.114000000001</v>
      </c>
      <c r="AO121" s="44" t="s">
        <v>1389</v>
      </c>
      <c r="AP121" s="38" t="str">
        <f t="shared" si="12"/>
        <v>OH</v>
      </c>
    </row>
    <row r="122" spans="1:42" ht="30">
      <c r="A122" s="38" t="str">
        <f t="shared" si="21"/>
        <v>Endeavour</v>
      </c>
      <c r="B122" s="38" t="s">
        <v>1191</v>
      </c>
      <c r="C122" s="38" t="str">
        <f t="shared" si="13"/>
        <v>OH Asset Inspection-ALL OVERHEAD ASSETS</v>
      </c>
      <c r="D122" s="38" t="str">
        <f t="shared" si="14"/>
        <v>OH Asset Inspection-LINE PATROLLED (ROUTE KM) (000'S)</v>
      </c>
      <c r="E122" s="395"/>
      <c r="F122" s="43" t="s">
        <v>395</v>
      </c>
      <c r="G122" s="43" t="s">
        <v>396</v>
      </c>
      <c r="H122" s="43" t="s">
        <v>397</v>
      </c>
      <c r="I122" s="41">
        <v>37.098917</v>
      </c>
      <c r="J122" s="41">
        <v>37.891995999999999</v>
      </c>
      <c r="K122" s="41">
        <v>37.968069999999997</v>
      </c>
      <c r="L122" s="41">
        <v>38.587035999999998</v>
      </c>
      <c r="M122" s="41">
        <v>37.176651</v>
      </c>
      <c r="N122" s="41">
        <v>8.2442039999999999</v>
      </c>
      <c r="O122" s="41">
        <v>8.4204439999999998</v>
      </c>
      <c r="P122" s="41">
        <v>8.4373489999999993</v>
      </c>
      <c r="Q122" s="41">
        <v>8.574897</v>
      </c>
      <c r="R122" s="41">
        <v>8.2614780000000003</v>
      </c>
      <c r="S122" s="41" t="s">
        <v>642</v>
      </c>
      <c r="T122" s="41" t="s">
        <v>642</v>
      </c>
      <c r="U122" s="41" t="s">
        <v>642</v>
      </c>
      <c r="V122" s="41" t="s">
        <v>642</v>
      </c>
      <c r="W122" s="41" t="s">
        <v>642</v>
      </c>
      <c r="X122" s="38" t="s">
        <v>643</v>
      </c>
      <c r="Y122" s="38" t="s">
        <v>642</v>
      </c>
      <c r="Z122" s="40">
        <v>2131.4435625245187</v>
      </c>
      <c r="AA122" s="40">
        <v>2458.3905699237794</v>
      </c>
      <c r="AB122" s="40">
        <v>3160.8168077571413</v>
      </c>
      <c r="AC122" s="40">
        <v>2873.5161977953712</v>
      </c>
      <c r="AD122" s="40">
        <v>2507.137854895941</v>
      </c>
      <c r="AE122" s="40">
        <v>6524.7932337103484</v>
      </c>
      <c r="AF122" s="40">
        <v>6730.4869032643383</v>
      </c>
      <c r="AG122" s="40">
        <v>8346.0786084229239</v>
      </c>
      <c r="AH122" s="40">
        <v>8825.6310072910019</v>
      </c>
      <c r="AI122" s="40">
        <v>10415.185253348242</v>
      </c>
      <c r="AK122" s="53">
        <f t="shared" si="15"/>
        <v>41.938372000000001</v>
      </c>
      <c r="AL122" s="54">
        <f t="shared" si="16"/>
        <v>13131.304992896752</v>
      </c>
      <c r="AM122" s="54">
        <f t="shared" si="17"/>
        <v>40842.17500603685</v>
      </c>
      <c r="AN122" s="123">
        <f t="shared" si="20"/>
        <v>53973.479998933602</v>
      </c>
      <c r="AO122" s="44" t="s">
        <v>1389</v>
      </c>
      <c r="AP122" s="38" t="str">
        <f t="shared" si="12"/>
        <v>OH</v>
      </c>
    </row>
    <row r="123" spans="1:42" ht="30" hidden="1">
      <c r="A123" s="38" t="str">
        <f t="shared" si="21"/>
        <v>Endeavour</v>
      </c>
      <c r="B123" s="38" t="s">
        <v>1192</v>
      </c>
      <c r="C123" s="38" t="str">
        <f t="shared" si="13"/>
        <v>UG Cable Maintenance-LV - 11 TO 22 KV</v>
      </c>
      <c r="D123" s="38" t="str">
        <f t="shared" si="14"/>
        <v>UG Cable Maintenance-LENGTH (KM) (000'S)</v>
      </c>
      <c r="E123" s="410"/>
      <c r="F123" s="43" t="s">
        <v>398</v>
      </c>
      <c r="G123" s="43" t="s">
        <v>399</v>
      </c>
      <c r="H123" s="43" t="s">
        <v>400</v>
      </c>
      <c r="I123" s="41">
        <v>16.988148000000002</v>
      </c>
      <c r="J123" s="41">
        <v>17.345286999999999</v>
      </c>
      <c r="K123" s="41">
        <v>17.812488000000002</v>
      </c>
      <c r="L123" s="41">
        <v>18.291169999999997</v>
      </c>
      <c r="M123" s="41">
        <v>18.787665000000001</v>
      </c>
      <c r="N123" s="41">
        <v>0</v>
      </c>
      <c r="O123" s="41">
        <v>0</v>
      </c>
      <c r="P123" s="41">
        <v>0</v>
      </c>
      <c r="Q123" s="41">
        <v>0</v>
      </c>
      <c r="R123" s="41">
        <v>0</v>
      </c>
      <c r="S123" s="41">
        <v>21</v>
      </c>
      <c r="T123" s="41">
        <v>21</v>
      </c>
      <c r="U123" s="41">
        <v>21.2</v>
      </c>
      <c r="V123" s="41">
        <v>21.6</v>
      </c>
      <c r="W123" s="41">
        <v>21.4</v>
      </c>
      <c r="X123" s="38" t="s">
        <v>642</v>
      </c>
      <c r="Y123" s="38" t="s">
        <v>642</v>
      </c>
      <c r="Z123" s="40">
        <v>0</v>
      </c>
      <c r="AA123" s="40">
        <v>2.7250000000000001</v>
      </c>
      <c r="AB123" s="40">
        <v>0</v>
      </c>
      <c r="AC123" s="40">
        <v>0</v>
      </c>
      <c r="AD123" s="40">
        <v>5.9009999999999998</v>
      </c>
      <c r="AE123" s="40">
        <v>97.365960000000001</v>
      </c>
      <c r="AF123" s="40">
        <v>180.78075999999999</v>
      </c>
      <c r="AG123" s="40">
        <v>231.93519000000001</v>
      </c>
      <c r="AH123" s="40">
        <v>303.92277999999999</v>
      </c>
      <c r="AI123" s="40">
        <v>639.77134999999998</v>
      </c>
      <c r="AK123" s="53">
        <f t="shared" si="15"/>
        <v>0</v>
      </c>
      <c r="AL123" s="54">
        <f t="shared" si="16"/>
        <v>8.6259999999999994</v>
      </c>
      <c r="AM123" s="54">
        <f t="shared" si="17"/>
        <v>1453.77604</v>
      </c>
      <c r="AN123" s="123">
        <f t="shared" si="20"/>
        <v>1462.4020399999999</v>
      </c>
      <c r="AO123" s="44" t="s">
        <v>1389</v>
      </c>
      <c r="AP123" s="38" t="str">
        <f t="shared" si="12"/>
        <v>UG</v>
      </c>
    </row>
    <row r="124" spans="1:42" ht="30" hidden="1">
      <c r="A124" s="38" t="str">
        <f t="shared" si="21"/>
        <v>Endeavour</v>
      </c>
      <c r="B124" s="38" t="s">
        <v>1192</v>
      </c>
      <c r="C124" s="38" t="str">
        <f t="shared" si="13"/>
        <v>UG Cable Maintenance-33 KV AND ABOVE</v>
      </c>
      <c r="D124" s="38" t="str">
        <f t="shared" si="14"/>
        <v>UG Cable Maintenance-LENGTH (KM) (000'S)</v>
      </c>
      <c r="E124" s="410"/>
      <c r="F124" s="43" t="s">
        <v>398</v>
      </c>
      <c r="G124" s="43" t="s">
        <v>401</v>
      </c>
      <c r="H124" s="43" t="s">
        <v>400</v>
      </c>
      <c r="I124" s="41">
        <v>0.22704099999999999</v>
      </c>
      <c r="J124" s="41">
        <v>0.23323099999999999</v>
      </c>
      <c r="K124" s="41">
        <v>0.24327000000000001</v>
      </c>
      <c r="L124" s="41">
        <v>0.26045000000000001</v>
      </c>
      <c r="M124" s="41">
        <v>0.29425599999999996</v>
      </c>
      <c r="N124" s="41">
        <v>3.7999999999999999E-2</v>
      </c>
      <c r="O124" s="41">
        <v>3.9E-2</v>
      </c>
      <c r="P124" s="41">
        <v>4.1000000000000002E-2</v>
      </c>
      <c r="Q124" s="41">
        <v>4.2999999999999997E-2</v>
      </c>
      <c r="R124" s="41">
        <v>4.9000000000000002E-2</v>
      </c>
      <c r="S124" s="41">
        <v>18.399999999999999</v>
      </c>
      <c r="T124" s="41">
        <v>18.5</v>
      </c>
      <c r="U124" s="41">
        <v>18.600000000000001</v>
      </c>
      <c r="V124" s="41">
        <v>18.899999999999999</v>
      </c>
      <c r="W124" s="41">
        <v>18.8</v>
      </c>
      <c r="X124" s="38" t="s">
        <v>644</v>
      </c>
      <c r="Y124" s="38" t="s">
        <v>642</v>
      </c>
      <c r="Z124" s="40">
        <v>543.62214747548126</v>
      </c>
      <c r="AA124" s="40">
        <v>604.52840007622081</v>
      </c>
      <c r="AB124" s="40">
        <v>591.33195224285862</v>
      </c>
      <c r="AC124" s="40">
        <v>520.20669220462923</v>
      </c>
      <c r="AD124" s="40">
        <v>425.69142510405931</v>
      </c>
      <c r="AE124" s="40">
        <v>773.12442628965118</v>
      </c>
      <c r="AF124" s="40">
        <v>725.26884673566235</v>
      </c>
      <c r="AG124" s="40">
        <v>1036.5313843383967</v>
      </c>
      <c r="AH124" s="40">
        <v>1064.899352708997</v>
      </c>
      <c r="AI124" s="40">
        <v>1442.3001766517596</v>
      </c>
      <c r="AK124" s="53">
        <f t="shared" si="15"/>
        <v>0.20999999999999996</v>
      </c>
      <c r="AL124" s="54">
        <f t="shared" si="16"/>
        <v>2685.3806171032493</v>
      </c>
      <c r="AM124" s="54">
        <f t="shared" si="17"/>
        <v>5042.1241867244662</v>
      </c>
      <c r="AN124" s="123">
        <f t="shared" si="20"/>
        <v>7727.5048038277155</v>
      </c>
      <c r="AO124" s="44" t="s">
        <v>1389</v>
      </c>
      <c r="AP124" s="38" t="str">
        <f t="shared" si="12"/>
        <v>UG</v>
      </c>
    </row>
    <row r="125" spans="1:42" ht="30" hidden="1">
      <c r="A125" s="38" t="str">
        <f t="shared" si="21"/>
        <v>Endeavour</v>
      </c>
      <c r="B125" s="38" t="s">
        <v>1197</v>
      </c>
      <c r="C125" s="38" t="str">
        <f t="shared" si="13"/>
        <v>Duplicate-CBD</v>
      </c>
      <c r="D125" s="38" t="str">
        <f t="shared" si="14"/>
        <v>Duplicate-LENGTH (KM) (000'S)</v>
      </c>
      <c r="E125" s="410"/>
      <c r="F125" s="43" t="s">
        <v>402</v>
      </c>
      <c r="G125" s="43" t="s">
        <v>403</v>
      </c>
      <c r="H125" s="43" t="s">
        <v>400</v>
      </c>
      <c r="I125" s="41">
        <v>0</v>
      </c>
      <c r="J125" s="41">
        <v>0</v>
      </c>
      <c r="K125" s="41">
        <v>0</v>
      </c>
      <c r="L125" s="41">
        <v>0</v>
      </c>
      <c r="M125" s="41">
        <v>0</v>
      </c>
      <c r="N125" s="41">
        <v>0</v>
      </c>
      <c r="O125" s="41">
        <v>0</v>
      </c>
      <c r="P125" s="41">
        <v>0</v>
      </c>
      <c r="Q125" s="41">
        <v>0</v>
      </c>
      <c r="R125" s="41">
        <v>0</v>
      </c>
      <c r="S125" s="41" t="s">
        <v>642</v>
      </c>
      <c r="T125" s="41" t="s">
        <v>642</v>
      </c>
      <c r="U125" s="41" t="s">
        <v>642</v>
      </c>
      <c r="V125" s="41" t="s">
        <v>642</v>
      </c>
      <c r="W125" s="41" t="s">
        <v>642</v>
      </c>
      <c r="X125" s="38" t="s">
        <v>642</v>
      </c>
      <c r="Y125" s="38" t="s">
        <v>642</v>
      </c>
      <c r="Z125" s="40">
        <v>0</v>
      </c>
      <c r="AA125" s="40">
        <v>0</v>
      </c>
      <c r="AB125" s="40">
        <v>0</v>
      </c>
      <c r="AC125" s="40">
        <v>0</v>
      </c>
      <c r="AD125" s="40">
        <v>0</v>
      </c>
      <c r="AE125" s="40">
        <v>0</v>
      </c>
      <c r="AF125" s="40">
        <v>0</v>
      </c>
      <c r="AG125" s="40">
        <v>0</v>
      </c>
      <c r="AH125" s="40">
        <v>0</v>
      </c>
      <c r="AI125" s="40">
        <v>0</v>
      </c>
      <c r="AK125" s="53" t="str">
        <f t="shared" si="15"/>
        <v/>
      </c>
      <c r="AL125" s="54" t="str">
        <f t="shared" si="16"/>
        <v/>
      </c>
      <c r="AM125" s="54" t="str">
        <f t="shared" si="17"/>
        <v/>
      </c>
      <c r="AN125" s="121"/>
      <c r="AO125" s="44" t="s">
        <v>1197</v>
      </c>
      <c r="AP125" s="38" t="str">
        <f t="shared" si="12"/>
        <v>Exclude</v>
      </c>
    </row>
    <row r="126" spans="1:42" ht="30" hidden="1">
      <c r="A126" s="38" t="str">
        <f t="shared" si="21"/>
        <v>Endeavour</v>
      </c>
      <c r="B126" s="38" t="s">
        <v>1197</v>
      </c>
      <c r="C126" s="38" t="str">
        <f t="shared" si="13"/>
        <v>Duplicate-NON-CBD</v>
      </c>
      <c r="D126" s="38" t="str">
        <f t="shared" si="14"/>
        <v>Duplicate-LENGTH (KM) (000'S)</v>
      </c>
      <c r="E126" s="410"/>
      <c r="F126" s="43" t="s">
        <v>402</v>
      </c>
      <c r="G126" s="43" t="s">
        <v>404</v>
      </c>
      <c r="H126" s="43" t="s">
        <v>400</v>
      </c>
      <c r="I126" s="41">
        <v>17.215189000000002</v>
      </c>
      <c r="J126" s="41">
        <v>17.578517999999999</v>
      </c>
      <c r="K126" s="41">
        <v>18.055758000000001</v>
      </c>
      <c r="L126" s="41">
        <v>18.551619999999996</v>
      </c>
      <c r="M126" s="41">
        <v>19.081921000000001</v>
      </c>
      <c r="N126" s="41">
        <v>3.7999999999999999E-2</v>
      </c>
      <c r="O126" s="41">
        <v>3.9E-2</v>
      </c>
      <c r="P126" s="41">
        <v>4.1000000000000002E-2</v>
      </c>
      <c r="Q126" s="41">
        <v>4.2999999999999997E-2</v>
      </c>
      <c r="R126" s="41">
        <v>4.9000000000000002E-2</v>
      </c>
      <c r="S126" s="41">
        <v>20.965710129583822</v>
      </c>
      <c r="T126" s="41">
        <v>20.966830110479165</v>
      </c>
      <c r="U126" s="41">
        <v>21.164969512772604</v>
      </c>
      <c r="V126" s="41">
        <v>21.562094145955992</v>
      </c>
      <c r="W126" s="41">
        <v>21.359906258913867</v>
      </c>
      <c r="X126" s="38" t="s">
        <v>644</v>
      </c>
      <c r="Y126" s="38" t="s">
        <v>642</v>
      </c>
      <c r="Z126" s="40">
        <v>543.62214747548126</v>
      </c>
      <c r="AA126" s="40">
        <v>607.25340007622083</v>
      </c>
      <c r="AB126" s="40">
        <v>591.33195224285862</v>
      </c>
      <c r="AC126" s="40">
        <v>520.20669220462923</v>
      </c>
      <c r="AD126" s="40">
        <v>431.59242510405932</v>
      </c>
      <c r="AE126" s="40">
        <v>870.49038628965116</v>
      </c>
      <c r="AF126" s="40">
        <v>906.04960673566234</v>
      </c>
      <c r="AG126" s="40">
        <v>1268.4665743383966</v>
      </c>
      <c r="AH126" s="40">
        <v>1368.8221327089968</v>
      </c>
      <c r="AI126" s="40">
        <v>2082.0715266517595</v>
      </c>
      <c r="AK126" s="53" t="str">
        <f t="shared" si="15"/>
        <v/>
      </c>
      <c r="AL126" s="54" t="str">
        <f t="shared" si="16"/>
        <v/>
      </c>
      <c r="AM126" s="54" t="str">
        <f t="shared" si="17"/>
        <v/>
      </c>
      <c r="AN126" s="121"/>
      <c r="AO126" s="44" t="s">
        <v>1197</v>
      </c>
      <c r="AP126" s="38" t="str">
        <f t="shared" si="12"/>
        <v>Exclude</v>
      </c>
    </row>
    <row r="127" spans="1:42" ht="30" hidden="1">
      <c r="A127" s="38" t="str">
        <f t="shared" si="21"/>
        <v>Endeavour</v>
      </c>
      <c r="B127" s="38" t="s">
        <v>1381</v>
      </c>
      <c r="C127" s="38" t="str">
        <f t="shared" si="13"/>
        <v>Dist Sub Maintenance-DISTRIBUTION SUBSTATION TRANSFORMERS</v>
      </c>
      <c r="D127" s="38" t="str">
        <f t="shared" si="14"/>
        <v>Dist Sub Maintenance-NUMBER OF INSTALLED TRANSFORMERS (000'S)</v>
      </c>
      <c r="E127" s="410"/>
      <c r="F127" s="43" t="s">
        <v>405</v>
      </c>
      <c r="G127" s="43" t="s">
        <v>406</v>
      </c>
      <c r="H127" s="43" t="s">
        <v>407</v>
      </c>
      <c r="I127" s="41">
        <v>29.544</v>
      </c>
      <c r="J127" s="41">
        <v>29.405000000000001</v>
      </c>
      <c r="K127" s="41">
        <v>29.265999999999998</v>
      </c>
      <c r="L127" s="41">
        <v>29.126999999999999</v>
      </c>
      <c r="M127" s="41">
        <v>30.016999999999999</v>
      </c>
      <c r="N127" s="41">
        <v>32</v>
      </c>
      <c r="O127" s="41">
        <v>34</v>
      </c>
      <c r="P127" s="41">
        <v>34</v>
      </c>
      <c r="Q127" s="41">
        <v>36</v>
      </c>
      <c r="R127" s="41">
        <v>35</v>
      </c>
      <c r="S127" s="41">
        <v>17.5</v>
      </c>
      <c r="T127" s="41">
        <v>17.5</v>
      </c>
      <c r="U127" s="41">
        <v>17.7</v>
      </c>
      <c r="V127" s="41">
        <v>17.899999999999999</v>
      </c>
      <c r="W127" s="41">
        <v>17.8</v>
      </c>
      <c r="X127" s="38" t="s">
        <v>645</v>
      </c>
      <c r="Y127" s="38" t="s">
        <v>642</v>
      </c>
      <c r="Z127" s="40">
        <v>1302.7033106332983</v>
      </c>
      <c r="AA127" s="40">
        <v>871.66686891491213</v>
      </c>
      <c r="AB127" s="40">
        <v>826.09695365703271</v>
      </c>
      <c r="AC127" s="40">
        <v>894.90101948099732</v>
      </c>
      <c r="AD127" s="40">
        <v>841.51214102433482</v>
      </c>
      <c r="AE127" s="40">
        <v>963.69743087497716</v>
      </c>
      <c r="AF127" s="40">
        <v>967.63985126788975</v>
      </c>
      <c r="AG127" s="40">
        <v>1417.7454819189511</v>
      </c>
      <c r="AH127" s="40">
        <v>986.03166352060452</v>
      </c>
      <c r="AI127" s="40">
        <v>1451.7697751836329</v>
      </c>
      <c r="AK127" s="53">
        <f t="shared" si="15"/>
        <v>171</v>
      </c>
      <c r="AL127" s="54">
        <f t="shared" si="16"/>
        <v>4736.8802937105747</v>
      </c>
      <c r="AM127" s="54">
        <f t="shared" si="17"/>
        <v>5786.8842027660558</v>
      </c>
      <c r="AN127" s="123">
        <f t="shared" ref="AN127:AN146" si="22">AL127+AM127</f>
        <v>10523.76449647663</v>
      </c>
      <c r="AO127" s="44" t="s">
        <v>1389</v>
      </c>
      <c r="AP127" s="38" t="str">
        <f t="shared" si="12"/>
        <v>OH/UG</v>
      </c>
    </row>
    <row r="128" spans="1:42" ht="60" hidden="1">
      <c r="A128" s="38" t="str">
        <f t="shared" si="21"/>
        <v>Endeavour</v>
      </c>
      <c r="B128" s="38" t="s">
        <v>1381</v>
      </c>
      <c r="C128" s="38" t="str">
        <f t="shared" si="13"/>
        <v>Dist Sub Maintenance-DISTRIBUTION SUBSTATION SWITCHGEAR (WITHIN-SUBSTATIONS AND STAND-ALONE SWITCHGEAR)</v>
      </c>
      <c r="D128" s="38" t="str">
        <f t="shared" si="14"/>
        <v>Dist Sub Maintenance-NUMBER OF SWITCHES (000'S)</v>
      </c>
      <c r="E128" s="410"/>
      <c r="F128" s="43" t="s">
        <v>405</v>
      </c>
      <c r="G128" s="43" t="s">
        <v>408</v>
      </c>
      <c r="H128" s="43" t="s">
        <v>409</v>
      </c>
      <c r="I128" s="41">
        <v>61.057000000000002</v>
      </c>
      <c r="J128" s="41">
        <v>62.392000000000003</v>
      </c>
      <c r="K128" s="41">
        <v>63.725999999999999</v>
      </c>
      <c r="L128" s="41">
        <v>65.061000000000007</v>
      </c>
      <c r="M128" s="41">
        <v>64.012</v>
      </c>
      <c r="N128" s="41">
        <v>2.0409999999999999</v>
      </c>
      <c r="O128" s="41">
        <v>2.048</v>
      </c>
      <c r="P128" s="41">
        <v>2.0539999999999998</v>
      </c>
      <c r="Q128" s="41">
        <v>2.1320000000000001</v>
      </c>
      <c r="R128" s="41">
        <v>2.2240000000000002</v>
      </c>
      <c r="S128" s="41" t="s">
        <v>642</v>
      </c>
      <c r="T128" s="41" t="s">
        <v>642</v>
      </c>
      <c r="U128" s="41" t="s">
        <v>642</v>
      </c>
      <c r="V128" s="41" t="s">
        <v>642</v>
      </c>
      <c r="W128" s="41" t="s">
        <v>642</v>
      </c>
      <c r="X128" s="38" t="s">
        <v>642</v>
      </c>
      <c r="Y128" s="38" t="s">
        <v>646</v>
      </c>
      <c r="Z128" s="40">
        <v>926.0355498705004</v>
      </c>
      <c r="AA128" s="40">
        <v>1333.8102554037087</v>
      </c>
      <c r="AB128" s="40">
        <v>1264.0799232362133</v>
      </c>
      <c r="AC128" s="40">
        <v>1300.7037377200484</v>
      </c>
      <c r="AD128" s="40">
        <v>1225.589792926025</v>
      </c>
      <c r="AE128" s="40">
        <v>496.31226912502325</v>
      </c>
      <c r="AF128" s="40">
        <v>498.34264873211077</v>
      </c>
      <c r="AG128" s="40">
        <v>730.1508280810491</v>
      </c>
      <c r="AH128" s="40">
        <v>507.81458647939581</v>
      </c>
      <c r="AI128" s="40">
        <v>747.67362481636633</v>
      </c>
      <c r="AK128" s="53">
        <f t="shared" si="15"/>
        <v>10.499000000000001</v>
      </c>
      <c r="AL128" s="54">
        <f t="shared" si="16"/>
        <v>6050.2192591564963</v>
      </c>
      <c r="AM128" s="54">
        <f t="shared" si="17"/>
        <v>2980.2939572339455</v>
      </c>
      <c r="AN128" s="123">
        <f t="shared" si="22"/>
        <v>9030.5132163904418</v>
      </c>
      <c r="AO128" s="44" t="s">
        <v>1389</v>
      </c>
      <c r="AP128" s="38" t="str">
        <f t="shared" si="12"/>
        <v>OH/UG</v>
      </c>
    </row>
    <row r="129" spans="1:42" ht="30" hidden="1">
      <c r="A129" s="38" t="str">
        <f t="shared" si="21"/>
        <v>Endeavour</v>
      </c>
      <c r="B129" s="38" t="s">
        <v>1381</v>
      </c>
      <c r="C129" s="38" t="str">
        <f t="shared" si="13"/>
        <v>Dist Sub Maintenance-DISTRIBUTION SUBSTATION - OTHER EQUIPMENT</v>
      </c>
      <c r="D129" s="38" t="str">
        <f t="shared" si="14"/>
        <v>Dist Sub Maintenance-</v>
      </c>
      <c r="E129" s="410"/>
      <c r="F129" s="43" t="s">
        <v>405</v>
      </c>
      <c r="G129" s="43" t="s">
        <v>410</v>
      </c>
      <c r="I129" s="41">
        <v>0</v>
      </c>
      <c r="J129" s="41">
        <v>0</v>
      </c>
      <c r="K129" s="41">
        <v>0</v>
      </c>
      <c r="L129" s="41">
        <v>0</v>
      </c>
      <c r="M129" s="41">
        <v>0</v>
      </c>
      <c r="N129" s="41">
        <v>0</v>
      </c>
      <c r="O129" s="41">
        <v>0</v>
      </c>
      <c r="P129" s="41">
        <v>0</v>
      </c>
      <c r="Q129" s="41">
        <v>0</v>
      </c>
      <c r="R129" s="41">
        <v>0</v>
      </c>
      <c r="S129" s="41" t="s">
        <v>642</v>
      </c>
      <c r="T129" s="41" t="s">
        <v>642</v>
      </c>
      <c r="U129" s="41" t="s">
        <v>642</v>
      </c>
      <c r="V129" s="41" t="s">
        <v>642</v>
      </c>
      <c r="W129" s="41" t="s">
        <v>642</v>
      </c>
      <c r="X129" s="38" t="s">
        <v>642</v>
      </c>
      <c r="Y129" s="38" t="s">
        <v>642</v>
      </c>
      <c r="Z129" s="40">
        <v>281.89594949620175</v>
      </c>
      <c r="AA129" s="40">
        <v>390.82448568137943</v>
      </c>
      <c r="AB129" s="40">
        <v>370.39255310675355</v>
      </c>
      <c r="AC129" s="40">
        <v>385.97735279895471</v>
      </c>
      <c r="AD129" s="40">
        <v>377.15162604963689</v>
      </c>
      <c r="AE129" s="40">
        <v>0</v>
      </c>
      <c r="AF129" s="40">
        <v>0</v>
      </c>
      <c r="AG129" s="40">
        <v>0</v>
      </c>
      <c r="AH129" s="40">
        <v>0</v>
      </c>
      <c r="AI129" s="40">
        <v>0</v>
      </c>
      <c r="AK129" s="53">
        <f t="shared" si="15"/>
        <v>0</v>
      </c>
      <c r="AL129" s="54">
        <f t="shared" si="16"/>
        <v>1806.2419671329262</v>
      </c>
      <c r="AM129" s="54">
        <f t="shared" si="17"/>
        <v>0</v>
      </c>
      <c r="AN129" s="123">
        <f t="shared" si="22"/>
        <v>1806.2419671329262</v>
      </c>
      <c r="AO129" s="44" t="s">
        <v>1389</v>
      </c>
      <c r="AP129" s="38" t="str">
        <f t="shared" si="12"/>
        <v>OH/UG</v>
      </c>
    </row>
    <row r="130" spans="1:42" ht="45" hidden="1">
      <c r="A130" s="38" t="str">
        <f t="shared" si="21"/>
        <v>Endeavour</v>
      </c>
      <c r="B130" s="38" t="s">
        <v>1381</v>
      </c>
      <c r="C130" s="38" t="str">
        <f t="shared" si="13"/>
        <v>Dist Sub Maintenance-DISTRIBUTION SUBSTATION - PROPERTY</v>
      </c>
      <c r="D130" s="38" t="str">
        <f t="shared" si="14"/>
        <v>Dist Sub Maintenance-NUMBER OF DISTRIBUTION SUBSTATION PROPERTIES MAINTAINED (000'S)</v>
      </c>
      <c r="E130" s="410"/>
      <c r="F130" s="43" t="s">
        <v>405</v>
      </c>
      <c r="G130" s="43" t="s">
        <v>412</v>
      </c>
      <c r="H130" s="43" t="s">
        <v>413</v>
      </c>
      <c r="I130" s="41">
        <v>28.940999999999999</v>
      </c>
      <c r="J130" s="41">
        <v>29.292000000000002</v>
      </c>
      <c r="K130" s="41">
        <v>29.716000000000001</v>
      </c>
      <c r="L130" s="41">
        <v>30.076000000000001</v>
      </c>
      <c r="M130" s="41">
        <v>30.401</v>
      </c>
      <c r="N130" s="41">
        <v>32</v>
      </c>
      <c r="O130" s="41">
        <v>34</v>
      </c>
      <c r="P130" s="41">
        <v>34</v>
      </c>
      <c r="Q130" s="41">
        <v>36</v>
      </c>
      <c r="R130" s="41">
        <v>35</v>
      </c>
      <c r="S130" s="41">
        <v>22.6</v>
      </c>
      <c r="T130" s="41">
        <v>22.6</v>
      </c>
      <c r="U130" s="41">
        <v>22.7</v>
      </c>
      <c r="V130" s="41">
        <v>23</v>
      </c>
      <c r="W130" s="41">
        <v>22.9</v>
      </c>
      <c r="X130" s="38" t="s">
        <v>647</v>
      </c>
      <c r="Y130" s="38" t="s">
        <v>642</v>
      </c>
      <c r="Z130" s="40">
        <v>0</v>
      </c>
      <c r="AA130" s="40">
        <v>0</v>
      </c>
      <c r="AB130" s="40">
        <v>0</v>
      </c>
      <c r="AC130" s="40">
        <v>0</v>
      </c>
      <c r="AD130" s="40">
        <v>0</v>
      </c>
      <c r="AE130" s="40">
        <v>0</v>
      </c>
      <c r="AF130" s="40">
        <v>0</v>
      </c>
      <c r="AG130" s="40">
        <v>0</v>
      </c>
      <c r="AH130" s="40">
        <v>0</v>
      </c>
      <c r="AI130" s="40">
        <v>0</v>
      </c>
      <c r="AK130" s="53">
        <f t="shared" si="15"/>
        <v>171</v>
      </c>
      <c r="AL130" s="54">
        <f t="shared" si="16"/>
        <v>0</v>
      </c>
      <c r="AM130" s="54">
        <f t="shared" si="17"/>
        <v>0</v>
      </c>
      <c r="AN130" s="123">
        <f t="shared" si="22"/>
        <v>0</v>
      </c>
      <c r="AO130" s="44" t="s">
        <v>1389</v>
      </c>
      <c r="AP130" s="38" t="str">
        <f t="shared" si="12"/>
        <v>OH/UG</v>
      </c>
    </row>
    <row r="131" spans="1:42" ht="30" hidden="1">
      <c r="A131" s="38" t="str">
        <f t="shared" si="21"/>
        <v>Endeavour</v>
      </c>
      <c r="B131" s="38" t="s">
        <v>1380</v>
      </c>
      <c r="C131" s="38" t="str">
        <f t="shared" si="13"/>
        <v>Zone Sub Maintenance-TRANSFORMERS - ZONE SUBSTATION</v>
      </c>
      <c r="D131" s="38" t="str">
        <f t="shared" si="14"/>
        <v>Zone Sub Maintenance-NUMBER OF ZONE SUBSTATION TRANSFORMERS (000'S)</v>
      </c>
      <c r="E131" s="410"/>
      <c r="F131" s="43" t="s">
        <v>414</v>
      </c>
      <c r="G131" s="43" t="s">
        <v>415</v>
      </c>
      <c r="H131" s="43" t="s">
        <v>416</v>
      </c>
      <c r="I131" s="41">
        <v>0.34300000000000003</v>
      </c>
      <c r="J131" s="41">
        <v>0.34499999999999997</v>
      </c>
      <c r="K131" s="41">
        <v>0.34599999999999997</v>
      </c>
      <c r="L131" s="41">
        <v>0.34799999999999998</v>
      </c>
      <c r="M131" s="41">
        <v>0.39500000000000002</v>
      </c>
      <c r="N131" s="41">
        <v>0.58699999999999997</v>
      </c>
      <c r="O131" s="41">
        <v>0.63400000000000001</v>
      </c>
      <c r="P131" s="41">
        <v>0.61699999999999999</v>
      </c>
      <c r="Q131" s="41">
        <v>0.72899999999999998</v>
      </c>
      <c r="R131" s="41">
        <v>0.69399999999999995</v>
      </c>
      <c r="S131" s="41">
        <v>24.1</v>
      </c>
      <c r="T131" s="41">
        <v>24.1</v>
      </c>
      <c r="U131" s="41">
        <v>24.3</v>
      </c>
      <c r="V131" s="41">
        <v>24.5</v>
      </c>
      <c r="W131" s="41">
        <v>24.4</v>
      </c>
      <c r="X131" s="38">
        <v>0.5</v>
      </c>
      <c r="Y131" s="38">
        <v>7</v>
      </c>
      <c r="Z131" s="40">
        <v>446.00347669844848</v>
      </c>
      <c r="AA131" s="40">
        <v>280.65588171123176</v>
      </c>
      <c r="AB131" s="40">
        <v>307.68687252211487</v>
      </c>
      <c r="AC131" s="40">
        <v>361.35736004623988</v>
      </c>
      <c r="AD131" s="40">
        <v>2287.4614158341665</v>
      </c>
      <c r="AE131" s="40">
        <v>433.38342791709272</v>
      </c>
      <c r="AF131" s="40">
        <v>504.10230720267037</v>
      </c>
      <c r="AG131" s="40">
        <v>472.81519735846581</v>
      </c>
      <c r="AH131" s="40">
        <v>434.44666324604475</v>
      </c>
      <c r="AI131" s="40">
        <v>518.28696002619881</v>
      </c>
      <c r="AK131" s="53">
        <f t="shared" si="15"/>
        <v>3.2610000000000001</v>
      </c>
      <c r="AL131" s="54">
        <f t="shared" si="16"/>
        <v>3683.1650068122017</v>
      </c>
      <c r="AM131" s="54">
        <f t="shared" si="17"/>
        <v>2363.0345557504725</v>
      </c>
      <c r="AN131" s="123">
        <f t="shared" si="22"/>
        <v>6046.1995625626741</v>
      </c>
      <c r="AO131" s="44" t="s">
        <v>1390</v>
      </c>
      <c r="AP131" s="38" t="str">
        <f t="shared" ref="AP131:AP194" si="23">IFERROR(VLOOKUP(C131,$AR:$AS,2,FALSE),"Exclude")</f>
        <v>Zone Sub</v>
      </c>
    </row>
    <row r="132" spans="1:42" ht="45" hidden="1">
      <c r="A132" s="38" t="str">
        <f t="shared" si="21"/>
        <v>Endeavour</v>
      </c>
      <c r="B132" s="38" t="s">
        <v>1380</v>
      </c>
      <c r="C132" s="38" t="str">
        <f t="shared" ref="C132:C195" si="24">B132&amp;"-"&amp;G132</f>
        <v xml:space="preserve">Zone Sub Maintenance-TRANSFORMERS - DISTRIBUTION </v>
      </c>
      <c r="D132" s="38" t="str">
        <f t="shared" ref="D132:D195" si="25">B132&amp;"-"&amp;H132</f>
        <v>Zone Sub Maintenance-NUMBER OF DISTRIBUTION TRANSFORMERS WITHIN ZONE SUBSTATIONS (000'S)</v>
      </c>
      <c r="E132" s="410"/>
      <c r="F132" s="43" t="s">
        <v>414</v>
      </c>
      <c r="G132" s="43" t="s">
        <v>417</v>
      </c>
      <c r="H132" s="43" t="s">
        <v>418</v>
      </c>
      <c r="I132" s="41">
        <v>0.15</v>
      </c>
      <c r="J132" s="41">
        <v>0.15</v>
      </c>
      <c r="K132" s="41">
        <v>0.151</v>
      </c>
      <c r="L132" s="41">
        <v>0.155</v>
      </c>
      <c r="M132" s="41">
        <v>0.16200000000000001</v>
      </c>
      <c r="N132" s="41">
        <v>3.9E-2</v>
      </c>
      <c r="O132" s="41">
        <v>0.04</v>
      </c>
      <c r="P132" s="41">
        <v>0.04</v>
      </c>
      <c r="Q132" s="41">
        <v>5.8000000000000003E-2</v>
      </c>
      <c r="R132" s="41">
        <v>4.7E-2</v>
      </c>
      <c r="S132" s="41" t="s">
        <v>642</v>
      </c>
      <c r="T132" s="41" t="s">
        <v>642</v>
      </c>
      <c r="U132" s="41" t="s">
        <v>642</v>
      </c>
      <c r="V132" s="41" t="s">
        <v>642</v>
      </c>
      <c r="W132" s="41" t="s">
        <v>642</v>
      </c>
      <c r="X132" s="38">
        <v>0.5</v>
      </c>
      <c r="Y132" s="38">
        <v>6</v>
      </c>
      <c r="Z132" s="40">
        <v>0</v>
      </c>
      <c r="AA132" s="40">
        <v>23.080253430199971</v>
      </c>
      <c r="AB132" s="40">
        <v>20.772109537357981</v>
      </c>
      <c r="AC132" s="40">
        <v>29.716888161697341</v>
      </c>
      <c r="AD132" s="40">
        <v>23.953318179141373</v>
      </c>
      <c r="AE132" s="40">
        <v>15.164411118684272</v>
      </c>
      <c r="AF132" s="40">
        <v>17.638917733977046</v>
      </c>
      <c r="AG132" s="40">
        <v>16.544158299650647</v>
      </c>
      <c r="AH132" s="40">
        <v>15.201614520119415</v>
      </c>
      <c r="AI132" s="40">
        <v>18.13524937274229</v>
      </c>
      <c r="AK132" s="53">
        <f t="shared" ref="AK132:AK163" si="26">IF($B132="Duplicate","",SUM(N132:R132))</f>
        <v>0.22399999999999998</v>
      </c>
      <c r="AL132" s="54">
        <f t="shared" ref="AL132:AL163" si="27">IF($B132="Duplicate","",SUM(Z132:AD132))</f>
        <v>97.522569308396669</v>
      </c>
      <c r="AM132" s="54">
        <f t="shared" ref="AM132:AM163" si="28">IF($B132="Duplicate","",SUM(AE132:AI132))</f>
        <v>82.684351045173671</v>
      </c>
      <c r="AN132" s="123">
        <f t="shared" si="22"/>
        <v>180.20692035357035</v>
      </c>
      <c r="AO132" s="44" t="s">
        <v>1390</v>
      </c>
      <c r="AP132" s="38" t="str">
        <f t="shared" si="23"/>
        <v>Zone Sub</v>
      </c>
    </row>
    <row r="133" spans="1:42" ht="30" hidden="1">
      <c r="A133" s="38" t="str">
        <f t="shared" si="21"/>
        <v>Endeavour</v>
      </c>
      <c r="B133" s="38" t="s">
        <v>1380</v>
      </c>
      <c r="C133" s="38" t="str">
        <f t="shared" si="24"/>
        <v>Zone Sub Maintenance-TRANSFORMERS - HV</v>
      </c>
      <c r="D133" s="38" t="str">
        <f t="shared" si="25"/>
        <v>Zone Sub Maintenance-NUMBER OF HV TRANSFORMERS (000'S)</v>
      </c>
      <c r="E133" s="410"/>
      <c r="F133" s="43" t="s">
        <v>414</v>
      </c>
      <c r="G133" s="43" t="s">
        <v>419</v>
      </c>
      <c r="H133" s="43" t="s">
        <v>420</v>
      </c>
      <c r="I133" s="41">
        <v>0</v>
      </c>
      <c r="J133" s="41">
        <v>0</v>
      </c>
      <c r="K133" s="41">
        <v>0</v>
      </c>
      <c r="L133" s="41">
        <v>0</v>
      </c>
      <c r="M133" s="41">
        <v>0</v>
      </c>
      <c r="N133" s="41">
        <v>0</v>
      </c>
      <c r="O133" s="41">
        <v>0</v>
      </c>
      <c r="P133" s="41">
        <v>0</v>
      </c>
      <c r="Q133" s="41">
        <v>0</v>
      </c>
      <c r="R133" s="41">
        <v>0</v>
      </c>
      <c r="S133" s="41" t="s">
        <v>642</v>
      </c>
      <c r="T133" s="41" t="s">
        <v>642</v>
      </c>
      <c r="U133" s="41" t="s">
        <v>642</v>
      </c>
      <c r="V133" s="41" t="s">
        <v>642</v>
      </c>
      <c r="W133" s="41" t="s">
        <v>642</v>
      </c>
      <c r="X133" s="38" t="s">
        <v>642</v>
      </c>
      <c r="Y133" s="38" t="s">
        <v>642</v>
      </c>
      <c r="Z133" s="40">
        <v>0</v>
      </c>
      <c r="AA133" s="40">
        <v>0</v>
      </c>
      <c r="AB133" s="40">
        <v>0</v>
      </c>
      <c r="AC133" s="40">
        <v>0</v>
      </c>
      <c r="AD133" s="40">
        <v>0</v>
      </c>
      <c r="AE133" s="40">
        <v>0</v>
      </c>
      <c r="AF133" s="40">
        <v>0</v>
      </c>
      <c r="AG133" s="40">
        <v>0</v>
      </c>
      <c r="AH133" s="40">
        <v>0</v>
      </c>
      <c r="AI133" s="40">
        <v>0</v>
      </c>
      <c r="AK133" s="53">
        <f t="shared" si="26"/>
        <v>0</v>
      </c>
      <c r="AL133" s="54">
        <f t="shared" si="27"/>
        <v>0</v>
      </c>
      <c r="AM133" s="54">
        <f t="shared" si="28"/>
        <v>0</v>
      </c>
      <c r="AN133" s="123">
        <f t="shared" si="22"/>
        <v>0</v>
      </c>
      <c r="AO133" s="44" t="s">
        <v>1390</v>
      </c>
      <c r="AP133" s="38" t="str">
        <f t="shared" si="23"/>
        <v>Zone Sub</v>
      </c>
    </row>
    <row r="134" spans="1:42" ht="30" hidden="1">
      <c r="A134" s="38" t="str">
        <f t="shared" si="21"/>
        <v>Endeavour</v>
      </c>
      <c r="B134" s="38" t="s">
        <v>1380</v>
      </c>
      <c r="C134" s="38" t="str">
        <f t="shared" si="24"/>
        <v>Zone Sub Maintenance-ZONE SUBSTATION - OTHER EQUIPMENT</v>
      </c>
      <c r="D134" s="38" t="str">
        <f t="shared" si="25"/>
        <v>Zone Sub Maintenance-</v>
      </c>
      <c r="E134" s="410"/>
      <c r="F134" s="43" t="s">
        <v>414</v>
      </c>
      <c r="G134" s="43" t="s">
        <v>421</v>
      </c>
      <c r="I134" s="41">
        <v>0</v>
      </c>
      <c r="J134" s="41">
        <v>0</v>
      </c>
      <c r="K134" s="41">
        <v>0</v>
      </c>
      <c r="L134" s="41">
        <v>0</v>
      </c>
      <c r="M134" s="41">
        <v>0</v>
      </c>
      <c r="N134" s="41">
        <v>0</v>
      </c>
      <c r="O134" s="41">
        <v>0</v>
      </c>
      <c r="P134" s="41">
        <v>0</v>
      </c>
      <c r="Q134" s="41">
        <v>0</v>
      </c>
      <c r="R134" s="41">
        <v>0</v>
      </c>
      <c r="S134" s="41" t="s">
        <v>642</v>
      </c>
      <c r="T134" s="41" t="s">
        <v>642</v>
      </c>
      <c r="U134" s="41" t="s">
        <v>642</v>
      </c>
      <c r="V134" s="41" t="s">
        <v>642</v>
      </c>
      <c r="W134" s="41" t="s">
        <v>642</v>
      </c>
      <c r="X134" s="38" t="s">
        <v>642</v>
      </c>
      <c r="Y134" s="38" t="s">
        <v>642</v>
      </c>
      <c r="Z134" s="40">
        <v>5466.2443133015522</v>
      </c>
      <c r="AA134" s="40">
        <v>6185.1040148585653</v>
      </c>
      <c r="AB134" s="40">
        <v>7701.5374379405293</v>
      </c>
      <c r="AC134" s="40">
        <v>7963.6059817920595</v>
      </c>
      <c r="AD134" s="40">
        <v>6877.9787159866974</v>
      </c>
      <c r="AE134" s="40">
        <v>1300.1483609642223</v>
      </c>
      <c r="AF134" s="40">
        <v>1512.3046850633521</v>
      </c>
      <c r="AG134" s="40">
        <v>1418.4434943418833</v>
      </c>
      <c r="AH134" s="40">
        <v>1303.3380622338352</v>
      </c>
      <c r="AI134" s="40">
        <v>1554.8585806010583</v>
      </c>
      <c r="AK134" s="53">
        <f t="shared" si="26"/>
        <v>0</v>
      </c>
      <c r="AL134" s="54">
        <f t="shared" si="27"/>
        <v>34194.470463879406</v>
      </c>
      <c r="AM134" s="54">
        <f t="shared" si="28"/>
        <v>7089.0931832043516</v>
      </c>
      <c r="AN134" s="123">
        <f t="shared" si="22"/>
        <v>41283.563647083756</v>
      </c>
      <c r="AO134" s="44" t="s">
        <v>1390</v>
      </c>
      <c r="AP134" s="38" t="str">
        <f t="shared" si="23"/>
        <v>Zone Sub</v>
      </c>
    </row>
    <row r="135" spans="1:42" ht="45" hidden="1">
      <c r="A135" s="38" t="str">
        <f t="shared" si="21"/>
        <v>Endeavour</v>
      </c>
      <c r="B135" s="38" t="s">
        <v>1380</v>
      </c>
      <c r="C135" s="38" t="str">
        <f t="shared" si="24"/>
        <v>Zone Sub Maintenance-ALL ZONE SUBSTATION PROPERTIES</v>
      </c>
      <c r="D135" s="38" t="str">
        <f t="shared" si="25"/>
        <v>Zone Sub Maintenance-NUMBER OF ZONE SUBSTATION PROPERTIES MAINTAINED (000'S)</v>
      </c>
      <c r="E135" s="410"/>
      <c r="F135" s="43" t="s">
        <v>422</v>
      </c>
      <c r="G135" s="43" t="s">
        <v>423</v>
      </c>
      <c r="H135" s="43" t="s">
        <v>424</v>
      </c>
      <c r="I135" s="41">
        <v>0.15</v>
      </c>
      <c r="J135" s="41">
        <v>0.15</v>
      </c>
      <c r="K135" s="41">
        <v>0.151</v>
      </c>
      <c r="L135" s="41">
        <v>0.155</v>
      </c>
      <c r="M135" s="41">
        <v>0.16200000000000001</v>
      </c>
      <c r="N135" s="41">
        <v>1.052</v>
      </c>
      <c r="O135" s="41">
        <v>0.86199999999999999</v>
      </c>
      <c r="P135" s="41">
        <v>0.28299999999999997</v>
      </c>
      <c r="Q135" s="41">
        <v>1.073</v>
      </c>
      <c r="R135" s="41">
        <v>1.161</v>
      </c>
      <c r="S135" s="41">
        <v>26.5</v>
      </c>
      <c r="T135" s="41">
        <v>26.6</v>
      </c>
      <c r="U135" s="41">
        <v>26.8</v>
      </c>
      <c r="V135" s="41">
        <v>27</v>
      </c>
      <c r="W135" s="41">
        <v>26.9</v>
      </c>
      <c r="X135" s="38">
        <v>0.5</v>
      </c>
      <c r="Y135" s="38" t="s">
        <v>642</v>
      </c>
      <c r="Z135" s="40">
        <v>0</v>
      </c>
      <c r="AA135" s="40">
        <v>0</v>
      </c>
      <c r="AB135" s="40">
        <v>0</v>
      </c>
      <c r="AC135" s="40">
        <v>0</v>
      </c>
      <c r="AD135" s="40">
        <v>0</v>
      </c>
      <c r="AE135" s="40">
        <v>892.14598999999998</v>
      </c>
      <c r="AF135" s="40">
        <v>379.68707999999998</v>
      </c>
      <c r="AG135" s="40">
        <v>461.17268000000001</v>
      </c>
      <c r="AH135" s="40">
        <v>477.87799000000001</v>
      </c>
      <c r="AI135" s="40">
        <v>426.33595000000003</v>
      </c>
      <c r="AK135" s="53">
        <f t="shared" si="26"/>
        <v>4.431</v>
      </c>
      <c r="AL135" s="54">
        <f t="shared" si="27"/>
        <v>0</v>
      </c>
      <c r="AM135" s="54">
        <f t="shared" si="28"/>
        <v>2637.2196899999999</v>
      </c>
      <c r="AN135" s="123">
        <f t="shared" si="22"/>
        <v>2637.2196899999999</v>
      </c>
      <c r="AO135" s="44" t="s">
        <v>1390</v>
      </c>
      <c r="AP135" s="38" t="str">
        <f t="shared" si="23"/>
        <v>Zone Sub</v>
      </c>
    </row>
    <row r="136" spans="1:42" ht="30" hidden="1">
      <c r="A136" s="38" t="str">
        <f t="shared" si="21"/>
        <v>Endeavour</v>
      </c>
      <c r="B136" s="38" t="s">
        <v>1193</v>
      </c>
      <c r="C136" s="38" t="str">
        <f t="shared" si="24"/>
        <v>Public Lighting Maintenance-MINOR ROADS</v>
      </c>
      <c r="D136" s="38" t="str">
        <f t="shared" si="25"/>
        <v>Public Lighting Maintenance-NUMBER OF PUBLIC LIGHTS MAINTAINED (000'S)</v>
      </c>
      <c r="E136" s="410"/>
      <c r="F136" s="43" t="s">
        <v>425</v>
      </c>
      <c r="G136" s="43" t="s">
        <v>426</v>
      </c>
      <c r="H136" s="43" t="s">
        <v>427</v>
      </c>
      <c r="I136" s="41">
        <v>183.917</v>
      </c>
      <c r="J136" s="41">
        <v>186.346</v>
      </c>
      <c r="K136" s="41">
        <v>189.07</v>
      </c>
      <c r="L136" s="41">
        <v>191.74199999999999</v>
      </c>
      <c r="M136" s="41">
        <v>195.352</v>
      </c>
      <c r="N136" s="41">
        <v>0</v>
      </c>
      <c r="O136" s="41">
        <v>0</v>
      </c>
      <c r="P136" s="41">
        <v>0</v>
      </c>
      <c r="Q136" s="41">
        <v>0</v>
      </c>
      <c r="R136" s="41">
        <v>0</v>
      </c>
      <c r="S136" s="41">
        <v>13.6</v>
      </c>
      <c r="T136" s="41">
        <v>13.6</v>
      </c>
      <c r="U136" s="41">
        <v>13.7</v>
      </c>
      <c r="V136" s="41">
        <v>13.8</v>
      </c>
      <c r="W136" s="41">
        <v>13.7</v>
      </c>
      <c r="X136" s="38">
        <v>8</v>
      </c>
      <c r="Y136" s="38" t="s">
        <v>642</v>
      </c>
      <c r="Z136" s="40">
        <v>0</v>
      </c>
      <c r="AA136" s="40">
        <v>0</v>
      </c>
      <c r="AB136" s="40">
        <v>0</v>
      </c>
      <c r="AC136" s="40">
        <v>0</v>
      </c>
      <c r="AD136" s="40">
        <v>0</v>
      </c>
      <c r="AE136" s="40">
        <v>0</v>
      </c>
      <c r="AF136" s="40">
        <v>4.5999999999999999E-2</v>
      </c>
      <c r="AG136" s="40">
        <v>0</v>
      </c>
      <c r="AH136" s="40">
        <v>0</v>
      </c>
      <c r="AI136" s="40">
        <v>1.2500000000000001E-2</v>
      </c>
      <c r="AK136" s="53">
        <f t="shared" si="26"/>
        <v>0</v>
      </c>
      <c r="AL136" s="54">
        <f t="shared" si="27"/>
        <v>0</v>
      </c>
      <c r="AM136" s="54">
        <f t="shared" si="28"/>
        <v>5.8499999999999996E-2</v>
      </c>
      <c r="AN136" s="123">
        <f t="shared" si="22"/>
        <v>5.8499999999999996E-2</v>
      </c>
      <c r="AO136" s="44" t="s">
        <v>1389</v>
      </c>
      <c r="AP136" s="38" t="str">
        <f t="shared" si="23"/>
        <v>Public Lighting</v>
      </c>
    </row>
    <row r="137" spans="1:42" ht="30" hidden="1">
      <c r="A137" s="38" t="str">
        <f t="shared" si="21"/>
        <v>Endeavour</v>
      </c>
      <c r="B137" s="38" t="s">
        <v>1193</v>
      </c>
      <c r="C137" s="38" t="str">
        <f t="shared" si="24"/>
        <v>Public Lighting Maintenance-MAJOR ROADS</v>
      </c>
      <c r="D137" s="38" t="str">
        <f t="shared" si="25"/>
        <v>Public Lighting Maintenance-NUMBER OF PUBLIC LIGHTS MAINTAINED (000'S)</v>
      </c>
      <c r="E137" s="410"/>
      <c r="F137" s="43" t="s">
        <v>425</v>
      </c>
      <c r="G137" s="43" t="s">
        <v>428</v>
      </c>
      <c r="H137" s="43" t="s">
        <v>427</v>
      </c>
      <c r="I137" s="41" t="s">
        <v>642</v>
      </c>
      <c r="J137" s="41" t="s">
        <v>642</v>
      </c>
      <c r="K137" s="41" t="s">
        <v>642</v>
      </c>
      <c r="L137" s="41" t="s">
        <v>642</v>
      </c>
      <c r="M137" s="41" t="s">
        <v>642</v>
      </c>
      <c r="N137" s="41" t="s">
        <v>642</v>
      </c>
      <c r="O137" s="41" t="s">
        <v>642</v>
      </c>
      <c r="P137" s="41" t="s">
        <v>642</v>
      </c>
      <c r="Q137" s="41" t="s">
        <v>642</v>
      </c>
      <c r="R137" s="41" t="s">
        <v>642</v>
      </c>
      <c r="S137" s="41" t="s">
        <v>642</v>
      </c>
      <c r="T137" s="41" t="s">
        <v>642</v>
      </c>
      <c r="U137" s="41" t="s">
        <v>642</v>
      </c>
      <c r="V137" s="41" t="s">
        <v>642</v>
      </c>
      <c r="W137" s="41" t="s">
        <v>642</v>
      </c>
      <c r="X137" s="38" t="s">
        <v>642</v>
      </c>
      <c r="Y137" s="38" t="s">
        <v>642</v>
      </c>
      <c r="Z137" s="40" t="s">
        <v>642</v>
      </c>
      <c r="AA137" s="40" t="s">
        <v>642</v>
      </c>
      <c r="AB137" s="40" t="s">
        <v>642</v>
      </c>
      <c r="AC137" s="40" t="s">
        <v>642</v>
      </c>
      <c r="AD137" s="40" t="s">
        <v>642</v>
      </c>
      <c r="AE137" s="40" t="s">
        <v>642</v>
      </c>
      <c r="AF137" s="40" t="s">
        <v>642</v>
      </c>
      <c r="AG137" s="40" t="s">
        <v>642</v>
      </c>
      <c r="AH137" s="40" t="s">
        <v>642</v>
      </c>
      <c r="AI137" s="40" t="s">
        <v>642</v>
      </c>
      <c r="AK137" s="53">
        <f t="shared" si="26"/>
        <v>0</v>
      </c>
      <c r="AL137" s="54">
        <f t="shared" si="27"/>
        <v>0</v>
      </c>
      <c r="AM137" s="54">
        <f t="shared" si="28"/>
        <v>0</v>
      </c>
      <c r="AN137" s="123">
        <f t="shared" si="22"/>
        <v>0</v>
      </c>
      <c r="AO137" s="44" t="s">
        <v>1389</v>
      </c>
      <c r="AP137" s="38" t="str">
        <f t="shared" si="23"/>
        <v>Public Lighting</v>
      </c>
    </row>
    <row r="138" spans="1:42" ht="30" hidden="1">
      <c r="A138" s="38" t="str">
        <f t="shared" si="21"/>
        <v>Endeavour</v>
      </c>
      <c r="B138" s="38" t="s">
        <v>1194</v>
      </c>
      <c r="C138" s="38" t="str">
        <f t="shared" si="24"/>
        <v>SCADA Maintenance-SCADA &amp; NETWORK CONTROL MAINTENANCE</v>
      </c>
      <c r="D138" s="38" t="str">
        <f t="shared" si="25"/>
        <v>SCADA Maintenance-NUMBER OF SCADA &amp; CONTROL EQUIPMENT</v>
      </c>
      <c r="E138" s="410"/>
      <c r="F138" s="43" t="s">
        <v>429</v>
      </c>
      <c r="G138" s="43" t="s">
        <v>429</v>
      </c>
      <c r="H138" s="43" t="s">
        <v>649</v>
      </c>
      <c r="I138" s="41">
        <v>192</v>
      </c>
      <c r="J138" s="41">
        <v>195</v>
      </c>
      <c r="K138" s="41">
        <v>197</v>
      </c>
      <c r="L138" s="41">
        <v>200</v>
      </c>
      <c r="M138" s="41">
        <v>205</v>
      </c>
      <c r="N138" s="41">
        <v>87</v>
      </c>
      <c r="O138" s="41">
        <v>88</v>
      </c>
      <c r="P138" s="41">
        <v>90</v>
      </c>
      <c r="Q138" s="41">
        <v>91</v>
      </c>
      <c r="R138" s="41">
        <v>92</v>
      </c>
      <c r="S138" s="41">
        <v>17.600000000000001</v>
      </c>
      <c r="T138" s="41">
        <v>17.600000000000001</v>
      </c>
      <c r="U138" s="41">
        <v>17.7</v>
      </c>
      <c r="V138" s="41">
        <v>17.899999999999999</v>
      </c>
      <c r="W138" s="41">
        <v>17.8</v>
      </c>
      <c r="X138" s="38">
        <v>0.5</v>
      </c>
      <c r="Y138" s="38">
        <v>4</v>
      </c>
      <c r="Z138" s="40">
        <v>0</v>
      </c>
      <c r="AA138" s="40">
        <v>0</v>
      </c>
      <c r="AB138" s="40">
        <v>0</v>
      </c>
      <c r="AC138" s="40">
        <v>0</v>
      </c>
      <c r="AD138" s="40">
        <v>0</v>
      </c>
      <c r="AE138" s="40">
        <v>0</v>
      </c>
      <c r="AF138" s="40">
        <v>0</v>
      </c>
      <c r="AG138" s="40">
        <v>0</v>
      </c>
      <c r="AH138" s="40">
        <v>0</v>
      </c>
      <c r="AI138" s="40">
        <v>0</v>
      </c>
      <c r="AK138" s="53">
        <f t="shared" si="26"/>
        <v>448</v>
      </c>
      <c r="AL138" s="54">
        <f t="shared" si="27"/>
        <v>0</v>
      </c>
      <c r="AM138" s="54">
        <f t="shared" si="28"/>
        <v>0</v>
      </c>
      <c r="AN138" s="123">
        <f t="shared" si="22"/>
        <v>0</v>
      </c>
      <c r="AO138" s="44" t="s">
        <v>1390</v>
      </c>
      <c r="AP138" s="38" t="str">
        <f t="shared" si="23"/>
        <v>Zone Sub</v>
      </c>
    </row>
    <row r="139" spans="1:42" ht="30" hidden="1">
      <c r="A139" s="38" t="str">
        <f t="shared" si="21"/>
        <v>Endeavour</v>
      </c>
      <c r="B139" s="38" t="s">
        <v>1195</v>
      </c>
      <c r="C139" s="38" t="str">
        <f t="shared" si="24"/>
        <v>Protection Maintenance-PROTECTION SYSTEMS MAINTENANCE</v>
      </c>
      <c r="D139" s="38" t="str">
        <f t="shared" si="25"/>
        <v>Protection Maintenance-NUMBER OF PROTECTION EQUIPMENT</v>
      </c>
      <c r="E139" s="410"/>
      <c r="F139" s="43" t="s">
        <v>430</v>
      </c>
      <c r="G139" s="43" t="s">
        <v>430</v>
      </c>
      <c r="H139" s="43" t="s">
        <v>650</v>
      </c>
      <c r="I139" s="37">
        <v>5.7190000000000003</v>
      </c>
      <c r="J139" s="37">
        <v>6.1210000000000004</v>
      </c>
      <c r="K139" s="37">
        <v>6.5179999999999998</v>
      </c>
      <c r="L139" s="37">
        <v>7.4029999999999996</v>
      </c>
      <c r="M139" s="37">
        <v>7.62</v>
      </c>
      <c r="N139" s="37">
        <v>1.3240000000000001</v>
      </c>
      <c r="O139" s="37">
        <v>1.417</v>
      </c>
      <c r="P139" s="37">
        <v>1.5089999999999999</v>
      </c>
      <c r="Q139" s="37">
        <v>1.724</v>
      </c>
      <c r="R139" s="37">
        <v>1.754</v>
      </c>
      <c r="S139" s="41" t="s">
        <v>642</v>
      </c>
      <c r="T139" s="41" t="s">
        <v>642</v>
      </c>
      <c r="U139" s="41" t="s">
        <v>642</v>
      </c>
      <c r="V139" s="41" t="s">
        <v>642</v>
      </c>
      <c r="W139" s="41" t="s">
        <v>642</v>
      </c>
      <c r="X139" s="38" t="s">
        <v>651</v>
      </c>
      <c r="Y139" s="38" t="s">
        <v>642</v>
      </c>
      <c r="Z139" s="40">
        <v>51.351999999999997</v>
      </c>
      <c r="AA139" s="40">
        <v>62.368000000000002</v>
      </c>
      <c r="AB139" s="40">
        <v>38.701000000000001</v>
      </c>
      <c r="AC139" s="40">
        <v>21.472000000000001</v>
      </c>
      <c r="AD139" s="40">
        <v>43.021000000000001</v>
      </c>
      <c r="AE139" s="40">
        <v>48.965110000000003</v>
      </c>
      <c r="AF139" s="40">
        <v>51.876870000000004</v>
      </c>
      <c r="AG139" s="40">
        <v>162.51642999999999</v>
      </c>
      <c r="AH139" s="40">
        <v>43.409109999999998</v>
      </c>
      <c r="AI139" s="40">
        <v>63.863819999999997</v>
      </c>
      <c r="AK139" s="53">
        <f t="shared" si="26"/>
        <v>7.7279999999999998</v>
      </c>
      <c r="AL139" s="54">
        <f t="shared" si="27"/>
        <v>216.91399999999999</v>
      </c>
      <c r="AM139" s="54">
        <f t="shared" si="28"/>
        <v>370.63133999999997</v>
      </c>
      <c r="AN139" s="123">
        <f t="shared" si="22"/>
        <v>587.5453399999999</v>
      </c>
      <c r="AO139" s="44" t="s">
        <v>1390</v>
      </c>
      <c r="AP139" s="38" t="str">
        <f t="shared" si="23"/>
        <v>Zone Sub</v>
      </c>
    </row>
    <row r="140" spans="1:42" ht="60" hidden="1">
      <c r="A140" s="38" t="str">
        <f t="shared" si="21"/>
        <v>Endeavour</v>
      </c>
      <c r="B140" s="38" t="s">
        <v>1196</v>
      </c>
      <c r="C140" s="38" t="str">
        <f t="shared" si="24"/>
        <v>Subtrans Maintenance-SUBTRANSMISSION ASSET MAINTENANCE - FOR DNSPS WITH DUAL FUNCTION ASSETS</v>
      </c>
      <c r="D140" s="38" t="str">
        <f t="shared" si="25"/>
        <v>Subtrans Maintenance-</v>
      </c>
      <c r="E140" s="411"/>
      <c r="F140" s="43" t="s">
        <v>431</v>
      </c>
      <c r="G140" s="43" t="s">
        <v>431</v>
      </c>
      <c r="I140" s="41">
        <v>0</v>
      </c>
      <c r="J140" s="41">
        <v>0</v>
      </c>
      <c r="K140" s="41">
        <v>0</v>
      </c>
      <c r="L140" s="41">
        <v>0</v>
      </c>
      <c r="M140" s="41">
        <v>0</v>
      </c>
      <c r="N140" s="41">
        <v>0</v>
      </c>
      <c r="O140" s="41">
        <v>0</v>
      </c>
      <c r="P140" s="41">
        <v>0</v>
      </c>
      <c r="Q140" s="41">
        <v>0</v>
      </c>
      <c r="R140" s="41">
        <v>0</v>
      </c>
      <c r="S140" s="41" t="s">
        <v>642</v>
      </c>
      <c r="T140" s="41" t="s">
        <v>642</v>
      </c>
      <c r="U140" s="41" t="s">
        <v>642</v>
      </c>
      <c r="V140" s="41" t="s">
        <v>642</v>
      </c>
      <c r="W140" s="41" t="s">
        <v>642</v>
      </c>
      <c r="X140" s="38" t="s">
        <v>642</v>
      </c>
      <c r="Y140" s="38" t="s">
        <v>642</v>
      </c>
      <c r="Z140" s="40">
        <v>0</v>
      </c>
      <c r="AA140" s="40">
        <v>0</v>
      </c>
      <c r="AB140" s="40">
        <v>0</v>
      </c>
      <c r="AC140" s="40">
        <v>0</v>
      </c>
      <c r="AD140" s="40">
        <v>0</v>
      </c>
      <c r="AE140" s="40">
        <v>0</v>
      </c>
      <c r="AF140" s="40">
        <v>0</v>
      </c>
      <c r="AG140" s="40">
        <v>0</v>
      </c>
      <c r="AH140" s="40">
        <v>0</v>
      </c>
      <c r="AI140" s="40">
        <v>0</v>
      </c>
      <c r="AK140" s="53">
        <f t="shared" si="26"/>
        <v>0</v>
      </c>
      <c r="AL140" s="54">
        <f t="shared" si="27"/>
        <v>0</v>
      </c>
      <c r="AM140" s="54">
        <f t="shared" si="28"/>
        <v>0</v>
      </c>
      <c r="AN140" s="123">
        <f t="shared" si="22"/>
        <v>0</v>
      </c>
      <c r="AO140" s="44" t="s">
        <v>1389</v>
      </c>
      <c r="AP140" s="38" t="str">
        <f t="shared" si="23"/>
        <v>OH/UG</v>
      </c>
    </row>
    <row r="141" spans="1:42" ht="30">
      <c r="A141" s="38" t="str">
        <f>IF(E141&gt;0,E141,#REF!)</f>
        <v>Ausgrid</v>
      </c>
      <c r="B141" s="38" t="s">
        <v>1189</v>
      </c>
      <c r="C141" s="38" t="str">
        <f t="shared" si="24"/>
        <v>OH Maintenance-POLE TOPS AND OVERHEAD LINES</v>
      </c>
      <c r="D141" s="38" t="str">
        <f t="shared" si="25"/>
        <v>OH Maintenance-NUMBER OF POLES (000'S)</v>
      </c>
      <c r="E141" s="396" t="s">
        <v>574</v>
      </c>
      <c r="F141" s="43" t="s">
        <v>388</v>
      </c>
      <c r="G141" s="43" t="s">
        <v>389</v>
      </c>
      <c r="H141" s="43" t="s">
        <v>390</v>
      </c>
      <c r="I141" s="41">
        <v>500.38</v>
      </c>
      <c r="J141" s="41">
        <v>502.22</v>
      </c>
      <c r="K141" s="41">
        <v>503.75</v>
      </c>
      <c r="L141" s="41">
        <v>505.4</v>
      </c>
      <c r="M141" s="41">
        <v>506.06</v>
      </c>
      <c r="N141" s="41">
        <v>105.76</v>
      </c>
      <c r="O141" s="41">
        <v>127.56</v>
      </c>
      <c r="P141" s="41">
        <v>121.45</v>
      </c>
      <c r="Q141" s="41">
        <v>123.03</v>
      </c>
      <c r="R141" s="41">
        <v>102.75</v>
      </c>
      <c r="S141" s="41">
        <v>102.68</v>
      </c>
      <c r="T141" s="41">
        <v>103.85</v>
      </c>
      <c r="U141" s="41">
        <v>105.09</v>
      </c>
      <c r="V141" s="41">
        <v>106.63</v>
      </c>
      <c r="W141" s="41">
        <v>108.54</v>
      </c>
      <c r="X141" s="38">
        <v>5</v>
      </c>
      <c r="Y141" s="38">
        <v>0</v>
      </c>
      <c r="Z141" s="40">
        <v>8536.35</v>
      </c>
      <c r="AA141" s="40">
        <v>2665.78</v>
      </c>
      <c r="AB141" s="40">
        <v>2967.79</v>
      </c>
      <c r="AC141" s="40">
        <v>3554.21</v>
      </c>
      <c r="AD141" s="40">
        <v>3702.25</v>
      </c>
      <c r="AE141" s="40">
        <v>10524.42</v>
      </c>
      <c r="AF141" s="40">
        <v>10249.32</v>
      </c>
      <c r="AG141" s="40">
        <v>8085.24</v>
      </c>
      <c r="AH141" s="40">
        <v>8824.39</v>
      </c>
      <c r="AI141" s="40">
        <v>9834.5400000000009</v>
      </c>
      <c r="AK141" s="53">
        <f t="shared" si="26"/>
        <v>580.54999999999995</v>
      </c>
      <c r="AL141" s="54">
        <f t="shared" si="27"/>
        <v>21426.38</v>
      </c>
      <c r="AM141" s="54">
        <f t="shared" si="28"/>
        <v>47517.909999999996</v>
      </c>
      <c r="AN141" s="123">
        <f t="shared" si="22"/>
        <v>68944.289999999994</v>
      </c>
      <c r="AO141" s="44" t="s">
        <v>1389</v>
      </c>
      <c r="AP141" s="38" t="str">
        <f t="shared" si="23"/>
        <v>OH</v>
      </c>
    </row>
    <row r="142" spans="1:42" ht="30">
      <c r="A142" s="38" t="str">
        <f t="shared" ref="A142:A178" si="29">IF(E142&gt;0,E142,A141)</f>
        <v>Ausgrid</v>
      </c>
      <c r="B142" s="38" t="s">
        <v>1189</v>
      </c>
      <c r="C142" s="38" t="str">
        <f t="shared" si="24"/>
        <v>OH Maintenance-SERVICE LINES</v>
      </c>
      <c r="D142" s="38" t="str">
        <f t="shared" si="25"/>
        <v>OH Maintenance-NUMBER OF CUSTOMERS (000'S)</v>
      </c>
      <c r="E142" s="397"/>
      <c r="F142" s="43" t="s">
        <v>388</v>
      </c>
      <c r="G142" s="43" t="s">
        <v>391</v>
      </c>
      <c r="H142" s="43" t="s">
        <v>392</v>
      </c>
      <c r="I142" s="41">
        <v>716.11</v>
      </c>
      <c r="J142" s="41">
        <v>717.45</v>
      </c>
      <c r="K142" s="41">
        <v>718.51</v>
      </c>
      <c r="L142" s="41">
        <v>720.6</v>
      </c>
      <c r="M142" s="41">
        <v>721.78</v>
      </c>
      <c r="N142" s="41">
        <v>0</v>
      </c>
      <c r="O142" s="41">
        <v>0</v>
      </c>
      <c r="P142" s="41">
        <v>0</v>
      </c>
      <c r="Q142" s="41">
        <v>0</v>
      </c>
      <c r="R142" s="41">
        <v>0</v>
      </c>
      <c r="S142" s="41">
        <v>30.21</v>
      </c>
      <c r="T142" s="41">
        <v>30.21</v>
      </c>
      <c r="U142" s="41">
        <v>30.21</v>
      </c>
      <c r="V142" s="41">
        <v>30.21</v>
      </c>
      <c r="W142" s="41">
        <v>30.21</v>
      </c>
      <c r="X142" s="38">
        <v>0</v>
      </c>
      <c r="Y142" s="38">
        <v>0</v>
      </c>
      <c r="Z142" s="40">
        <v>0</v>
      </c>
      <c r="AA142" s="40">
        <v>0</v>
      </c>
      <c r="AB142" s="40">
        <v>0</v>
      </c>
      <c r="AC142" s="40">
        <v>0</v>
      </c>
      <c r="AD142" s="40">
        <v>0</v>
      </c>
      <c r="AE142" s="40">
        <v>43.17</v>
      </c>
      <c r="AF142" s="40">
        <v>172.85</v>
      </c>
      <c r="AG142" s="40">
        <v>195.93</v>
      </c>
      <c r="AH142" s="40">
        <v>302.83</v>
      </c>
      <c r="AI142" s="40">
        <v>210.43</v>
      </c>
      <c r="AK142" s="53">
        <f t="shared" si="26"/>
        <v>0</v>
      </c>
      <c r="AL142" s="54">
        <f t="shared" si="27"/>
        <v>0</v>
      </c>
      <c r="AM142" s="54">
        <f t="shared" si="28"/>
        <v>925.21</v>
      </c>
      <c r="AN142" s="123">
        <f t="shared" si="22"/>
        <v>925.21</v>
      </c>
      <c r="AO142" s="44" t="s">
        <v>1389</v>
      </c>
      <c r="AP142" s="38" t="str">
        <f t="shared" si="23"/>
        <v>Service Lines</v>
      </c>
    </row>
    <row r="143" spans="1:42">
      <c r="A143" s="38" t="str">
        <f t="shared" si="29"/>
        <v>Ausgrid</v>
      </c>
      <c r="B143" s="38" t="s">
        <v>1190</v>
      </c>
      <c r="C143" s="38" t="str">
        <f t="shared" si="24"/>
        <v>Pole Inspection-ALL POLES</v>
      </c>
      <c r="D143" s="38" t="str">
        <f t="shared" si="25"/>
        <v>Pole Inspection-NUMBER OF POLES (000'S)</v>
      </c>
      <c r="E143" s="397"/>
      <c r="F143" s="43" t="s">
        <v>393</v>
      </c>
      <c r="G143" s="43" t="s">
        <v>394</v>
      </c>
      <c r="H143" s="43" t="s">
        <v>390</v>
      </c>
      <c r="I143" s="41">
        <v>505.12</v>
      </c>
      <c r="J143" s="41">
        <v>506.45</v>
      </c>
      <c r="K143" s="41">
        <v>507.43</v>
      </c>
      <c r="L143" s="41">
        <v>508.92</v>
      </c>
      <c r="M143" s="41">
        <v>509.5</v>
      </c>
      <c r="N143" s="41">
        <v>132.03</v>
      </c>
      <c r="O143" s="41">
        <v>133.34</v>
      </c>
      <c r="P143" s="41">
        <v>132.29</v>
      </c>
      <c r="Q143" s="41">
        <v>118.69</v>
      </c>
      <c r="R143" s="41">
        <v>101.83</v>
      </c>
      <c r="S143" s="41">
        <v>32.090000000000003</v>
      </c>
      <c r="T143" s="41">
        <v>32.369999999999997</v>
      </c>
      <c r="U143" s="41">
        <v>32.61</v>
      </c>
      <c r="V143" s="41">
        <v>32.85</v>
      </c>
      <c r="W143" s="41">
        <v>33.21</v>
      </c>
      <c r="X143" s="38">
        <v>5</v>
      </c>
      <c r="Y143" s="38">
        <v>0</v>
      </c>
      <c r="Z143" s="40">
        <v>7610.73</v>
      </c>
      <c r="AA143" s="40">
        <v>10719.98</v>
      </c>
      <c r="AB143" s="40">
        <v>10956.22</v>
      </c>
      <c r="AC143" s="40">
        <v>8823.98</v>
      </c>
      <c r="AD143" s="40">
        <v>6009.44</v>
      </c>
      <c r="AE143" s="40">
        <v>713.07</v>
      </c>
      <c r="AF143" s="40">
        <v>634.47</v>
      </c>
      <c r="AG143" s="40">
        <v>641.4</v>
      </c>
      <c r="AH143" s="40">
        <v>644.79</v>
      </c>
      <c r="AI143" s="40">
        <v>524.89</v>
      </c>
      <c r="AK143" s="53">
        <f t="shared" si="26"/>
        <v>618.17999999999995</v>
      </c>
      <c r="AL143" s="54">
        <f t="shared" si="27"/>
        <v>44120.350000000006</v>
      </c>
      <c r="AM143" s="54">
        <f t="shared" si="28"/>
        <v>3158.62</v>
      </c>
      <c r="AN143" s="123">
        <f t="shared" si="22"/>
        <v>47278.970000000008</v>
      </c>
      <c r="AO143" s="44" t="s">
        <v>1389</v>
      </c>
      <c r="AP143" s="38" t="str">
        <f t="shared" si="23"/>
        <v>OH</v>
      </c>
    </row>
    <row r="144" spans="1:42" ht="30">
      <c r="A144" s="38" t="str">
        <f t="shared" si="29"/>
        <v>Ausgrid</v>
      </c>
      <c r="B144" s="38" t="s">
        <v>1191</v>
      </c>
      <c r="C144" s="38" t="str">
        <f t="shared" si="24"/>
        <v>OH Asset Inspection-ALL OVERHEAD ASSETS</v>
      </c>
      <c r="D144" s="38" t="str">
        <f t="shared" si="25"/>
        <v>OH Asset Inspection-LINE PATROLLED (ROUTE KM) (000'S)</v>
      </c>
      <c r="E144" s="397"/>
      <c r="F144" s="43" t="s">
        <v>395</v>
      </c>
      <c r="G144" s="43" t="s">
        <v>396</v>
      </c>
      <c r="H144" s="43" t="s">
        <v>397</v>
      </c>
      <c r="I144" s="37">
        <v>25.934000000000001</v>
      </c>
      <c r="J144" s="37">
        <v>25.966699999999999</v>
      </c>
      <c r="K144" s="37">
        <v>26.1387</v>
      </c>
      <c r="L144" s="37">
        <v>26.084700000000002</v>
      </c>
      <c r="M144" s="37">
        <v>26.071900000000003</v>
      </c>
      <c r="N144" s="37">
        <v>5.4702000000000002</v>
      </c>
      <c r="O144" s="37">
        <v>6.5901300000000003</v>
      </c>
      <c r="P144" s="37">
        <v>6.3059200000000004</v>
      </c>
      <c r="Q144" s="37">
        <v>6.3772500000000001</v>
      </c>
      <c r="R144" s="37">
        <v>5.2908299999999997</v>
      </c>
      <c r="S144" s="41">
        <v>37.450000000000003</v>
      </c>
      <c r="T144" s="41">
        <v>37.9</v>
      </c>
      <c r="U144" s="41">
        <v>36.659999999999997</v>
      </c>
      <c r="V144" s="41">
        <v>36.97</v>
      </c>
      <c r="W144" s="41">
        <v>37.159999999999997</v>
      </c>
      <c r="X144" s="38">
        <v>5</v>
      </c>
      <c r="Y144" s="38">
        <v>0</v>
      </c>
      <c r="Z144" s="40">
        <v>2629.82</v>
      </c>
      <c r="AA144" s="40">
        <v>3836.64</v>
      </c>
      <c r="AB144" s="40">
        <v>4302.7</v>
      </c>
      <c r="AC144" s="40">
        <v>4069.48</v>
      </c>
      <c r="AD144" s="40">
        <v>3282.58</v>
      </c>
      <c r="AE144" s="40">
        <v>0</v>
      </c>
      <c r="AF144" s="40">
        <v>0</v>
      </c>
      <c r="AG144" s="40">
        <v>0</v>
      </c>
      <c r="AH144" s="40">
        <v>0</v>
      </c>
      <c r="AI144" s="40">
        <v>0</v>
      </c>
      <c r="AK144" s="53">
        <f t="shared" si="26"/>
        <v>30.034330000000001</v>
      </c>
      <c r="AL144" s="54">
        <f t="shared" si="27"/>
        <v>18121.22</v>
      </c>
      <c r="AM144" s="54">
        <f t="shared" si="28"/>
        <v>0</v>
      </c>
      <c r="AN144" s="123">
        <f t="shared" si="22"/>
        <v>18121.22</v>
      </c>
      <c r="AO144" s="44" t="s">
        <v>1389</v>
      </c>
      <c r="AP144" s="38" t="str">
        <f t="shared" si="23"/>
        <v>OH</v>
      </c>
    </row>
    <row r="145" spans="1:42" ht="30" hidden="1">
      <c r="A145" s="38" t="str">
        <f t="shared" si="29"/>
        <v>Ausgrid</v>
      </c>
      <c r="B145" s="38" t="s">
        <v>1192</v>
      </c>
      <c r="C145" s="38" t="str">
        <f t="shared" si="24"/>
        <v>UG Cable Maintenance-LV - 11 TO 22 KV</v>
      </c>
      <c r="D145" s="38" t="str">
        <f t="shared" si="25"/>
        <v>UG Cable Maintenance-LENGTH (KM) (000'S)</v>
      </c>
      <c r="E145" s="413"/>
      <c r="F145" s="43" t="s">
        <v>398</v>
      </c>
      <c r="G145" s="43" t="s">
        <v>399</v>
      </c>
      <c r="H145" s="43" t="s">
        <v>400</v>
      </c>
      <c r="I145" s="41">
        <v>12.131</v>
      </c>
      <c r="J145" s="41">
        <v>12.362</v>
      </c>
      <c r="K145" s="41">
        <v>12.721</v>
      </c>
      <c r="L145" s="41">
        <v>13.125999999999999</v>
      </c>
      <c r="M145" s="41">
        <v>13.462</v>
      </c>
      <c r="N145" s="41">
        <v>18.95</v>
      </c>
      <c r="O145" s="41">
        <v>17.66</v>
      </c>
      <c r="P145" s="41">
        <v>16.02</v>
      </c>
      <c r="Q145" s="41">
        <v>18.66</v>
      </c>
      <c r="R145" s="41">
        <v>19.760000000000002</v>
      </c>
      <c r="S145" s="41">
        <v>31.36</v>
      </c>
      <c r="T145" s="41">
        <v>31.44</v>
      </c>
      <c r="U145" s="41">
        <v>30.33</v>
      </c>
      <c r="V145" s="41">
        <v>29.51</v>
      </c>
      <c r="W145" s="41">
        <v>29.19</v>
      </c>
      <c r="X145" s="38">
        <v>0</v>
      </c>
      <c r="Y145" s="38">
        <v>0</v>
      </c>
      <c r="Z145" s="40">
        <v>626.49</v>
      </c>
      <c r="AA145" s="40">
        <v>2125.2600000000002</v>
      </c>
      <c r="AB145" s="40">
        <v>1222.75</v>
      </c>
      <c r="AC145" s="40">
        <v>1127.03</v>
      </c>
      <c r="AD145" s="40">
        <v>1441.4</v>
      </c>
      <c r="AE145" s="40">
        <v>2616</v>
      </c>
      <c r="AF145" s="40">
        <v>2762.97</v>
      </c>
      <c r="AG145" s="40">
        <v>3000.59</v>
      </c>
      <c r="AH145" s="40">
        <v>3090.93</v>
      </c>
      <c r="AI145" s="40">
        <v>2699.53</v>
      </c>
      <c r="AK145" s="53">
        <f t="shared" si="26"/>
        <v>91.05</v>
      </c>
      <c r="AL145" s="54">
        <f t="shared" si="27"/>
        <v>6542.93</v>
      </c>
      <c r="AM145" s="54">
        <f t="shared" si="28"/>
        <v>14170.02</v>
      </c>
      <c r="AN145" s="123">
        <f t="shared" si="22"/>
        <v>20712.95</v>
      </c>
      <c r="AO145" s="44" t="s">
        <v>1389</v>
      </c>
      <c r="AP145" s="38" t="str">
        <f t="shared" si="23"/>
        <v>UG</v>
      </c>
    </row>
    <row r="146" spans="1:42" ht="30" hidden="1">
      <c r="A146" s="38" t="str">
        <f t="shared" si="29"/>
        <v>Ausgrid</v>
      </c>
      <c r="B146" s="38" t="s">
        <v>1192</v>
      </c>
      <c r="C146" s="38" t="str">
        <f t="shared" si="24"/>
        <v>UG Cable Maintenance-33 KV AND ABOVE</v>
      </c>
      <c r="D146" s="38" t="str">
        <f t="shared" si="25"/>
        <v>UG Cable Maintenance-LENGTH (KM) (000'S)</v>
      </c>
      <c r="E146" s="413"/>
      <c r="F146" s="43" t="s">
        <v>398</v>
      </c>
      <c r="G146" s="43" t="s">
        <v>401</v>
      </c>
      <c r="H146" s="43" t="s">
        <v>400</v>
      </c>
      <c r="I146" s="41">
        <v>0.46229999999999999</v>
      </c>
      <c r="J146" s="41">
        <v>0.46858</v>
      </c>
      <c r="K146" s="41">
        <v>0.46758999999999995</v>
      </c>
      <c r="L146" s="41">
        <v>0.46825</v>
      </c>
      <c r="M146" s="41">
        <v>0.47288000000000002</v>
      </c>
      <c r="N146" s="41">
        <v>0.15</v>
      </c>
      <c r="O146" s="41">
        <v>0.17</v>
      </c>
      <c r="P146" s="41">
        <v>0.15</v>
      </c>
      <c r="Q146" s="41">
        <v>0.12</v>
      </c>
      <c r="R146" s="41">
        <v>0.2</v>
      </c>
      <c r="S146" s="41">
        <v>42.38</v>
      </c>
      <c r="T146" s="41">
        <v>41.8</v>
      </c>
      <c r="U146" s="41">
        <v>39.61</v>
      </c>
      <c r="V146" s="41">
        <v>38.229999999999997</v>
      </c>
      <c r="W146" s="41">
        <v>38.11</v>
      </c>
      <c r="X146" s="38">
        <v>5</v>
      </c>
      <c r="Y146" s="38">
        <v>0</v>
      </c>
      <c r="Z146" s="40">
        <v>316.18</v>
      </c>
      <c r="AA146" s="40">
        <v>381.89</v>
      </c>
      <c r="AB146" s="40">
        <v>603.63</v>
      </c>
      <c r="AC146" s="40">
        <v>724.88</v>
      </c>
      <c r="AD146" s="40">
        <v>1031.92</v>
      </c>
      <c r="AE146" s="40">
        <v>227.82</v>
      </c>
      <c r="AF146" s="40">
        <v>1046.1199999999999</v>
      </c>
      <c r="AG146" s="40">
        <v>1137.8399999999999</v>
      </c>
      <c r="AH146" s="40">
        <v>805.55</v>
      </c>
      <c r="AI146" s="40">
        <v>1471.79</v>
      </c>
      <c r="AK146" s="53">
        <f t="shared" si="26"/>
        <v>0.79</v>
      </c>
      <c r="AL146" s="54">
        <f t="shared" si="27"/>
        <v>3058.5</v>
      </c>
      <c r="AM146" s="54">
        <f t="shared" si="28"/>
        <v>4689.12</v>
      </c>
      <c r="AN146" s="123">
        <f t="shared" si="22"/>
        <v>7747.62</v>
      </c>
      <c r="AO146" s="44" t="s">
        <v>1389</v>
      </c>
      <c r="AP146" s="38" t="str">
        <f t="shared" si="23"/>
        <v>UG</v>
      </c>
    </row>
    <row r="147" spans="1:42" ht="30" hidden="1">
      <c r="A147" s="38" t="str">
        <f t="shared" si="29"/>
        <v>Ausgrid</v>
      </c>
      <c r="B147" s="38" t="s">
        <v>1197</v>
      </c>
      <c r="C147" s="38" t="str">
        <f t="shared" si="24"/>
        <v>Duplicate-CBD</v>
      </c>
      <c r="D147" s="38" t="str">
        <f t="shared" si="25"/>
        <v>Duplicate-LENGTH (KM) (000'S)</v>
      </c>
      <c r="E147" s="413"/>
      <c r="F147" s="43" t="s">
        <v>402</v>
      </c>
      <c r="G147" s="43" t="s">
        <v>403</v>
      </c>
      <c r="H147" s="43" t="s">
        <v>400</v>
      </c>
      <c r="I147" s="41">
        <v>0.46362000000000003</v>
      </c>
      <c r="J147" s="41">
        <v>0.47235000000000005</v>
      </c>
      <c r="K147" s="41">
        <v>0.48552999999999996</v>
      </c>
      <c r="L147" s="41">
        <v>0.50047000000000008</v>
      </c>
      <c r="M147" s="41">
        <v>0.51300999999999997</v>
      </c>
      <c r="N147" s="41">
        <v>0.7</v>
      </c>
      <c r="O147" s="41">
        <v>0.66</v>
      </c>
      <c r="P147" s="41">
        <v>0.6</v>
      </c>
      <c r="Q147" s="41">
        <v>0.69</v>
      </c>
      <c r="R147" s="41">
        <v>0.73</v>
      </c>
      <c r="S147" s="41">
        <v>32.5</v>
      </c>
      <c r="T147" s="41">
        <v>32.51</v>
      </c>
      <c r="U147" s="41">
        <v>31.26</v>
      </c>
      <c r="V147" s="41">
        <v>30.36</v>
      </c>
      <c r="W147" s="41">
        <v>30.05</v>
      </c>
      <c r="X147" s="38">
        <v>0</v>
      </c>
      <c r="Y147" s="38">
        <v>0</v>
      </c>
      <c r="Z147" s="40">
        <v>34.700000000000003</v>
      </c>
      <c r="AA147" s="40">
        <v>92.3</v>
      </c>
      <c r="AB147" s="40">
        <v>67.239999999999995</v>
      </c>
      <c r="AC147" s="40">
        <v>68.180000000000007</v>
      </c>
      <c r="AD147" s="40">
        <v>91.05</v>
      </c>
      <c r="AE147" s="40">
        <v>104.69</v>
      </c>
      <c r="AF147" s="40">
        <v>140.22999999999999</v>
      </c>
      <c r="AG147" s="40">
        <v>152.35</v>
      </c>
      <c r="AH147" s="40">
        <v>143.44999999999999</v>
      </c>
      <c r="AI147" s="40">
        <v>153.57</v>
      </c>
      <c r="AK147" s="53" t="str">
        <f t="shared" si="26"/>
        <v/>
      </c>
      <c r="AL147" s="54" t="str">
        <f t="shared" si="27"/>
        <v/>
      </c>
      <c r="AM147" s="54" t="str">
        <f t="shared" si="28"/>
        <v/>
      </c>
      <c r="AN147" s="121"/>
      <c r="AO147" s="44" t="s">
        <v>1197</v>
      </c>
      <c r="AP147" s="38" t="str">
        <f t="shared" si="23"/>
        <v>Exclude</v>
      </c>
    </row>
    <row r="148" spans="1:42" ht="30" hidden="1">
      <c r="A148" s="38" t="str">
        <f t="shared" si="29"/>
        <v>Ausgrid</v>
      </c>
      <c r="B148" s="38" t="s">
        <v>1197</v>
      </c>
      <c r="C148" s="38" t="str">
        <f t="shared" si="24"/>
        <v>Duplicate-NON-CBD</v>
      </c>
      <c r="D148" s="38" t="str">
        <f t="shared" si="25"/>
        <v>Duplicate-LENGTH (KM) (000'S)</v>
      </c>
      <c r="E148" s="413"/>
      <c r="F148" s="43" t="s">
        <v>402</v>
      </c>
      <c r="G148" s="43" t="s">
        <v>404</v>
      </c>
      <c r="H148" s="43" t="s">
        <v>400</v>
      </c>
      <c r="I148" s="41">
        <v>12.12968</v>
      </c>
      <c r="J148" s="41">
        <v>12.358229999999999</v>
      </c>
      <c r="K148" s="41">
        <v>12.703059999999999</v>
      </c>
      <c r="L148" s="41">
        <v>13.09379</v>
      </c>
      <c r="M148" s="41">
        <v>13.42188</v>
      </c>
      <c r="N148" s="41">
        <v>18.39</v>
      </c>
      <c r="O148" s="41">
        <v>17.170000000000002</v>
      </c>
      <c r="P148" s="41">
        <v>15.57</v>
      </c>
      <c r="Q148" s="41">
        <v>18.09</v>
      </c>
      <c r="R148" s="41">
        <v>19.23</v>
      </c>
      <c r="S148" s="41">
        <v>32.5</v>
      </c>
      <c r="T148" s="41">
        <v>32.51</v>
      </c>
      <c r="U148" s="41">
        <v>31.26</v>
      </c>
      <c r="V148" s="41">
        <v>30.36</v>
      </c>
      <c r="W148" s="41">
        <v>30.05</v>
      </c>
      <c r="X148" s="38">
        <v>0</v>
      </c>
      <c r="Y148" s="38">
        <v>0</v>
      </c>
      <c r="Z148" s="40">
        <v>907.96</v>
      </c>
      <c r="AA148" s="40">
        <v>2414.85</v>
      </c>
      <c r="AB148" s="40">
        <v>1759.14</v>
      </c>
      <c r="AC148" s="40">
        <v>1783.73</v>
      </c>
      <c r="AD148" s="40">
        <v>2382.2600000000002</v>
      </c>
      <c r="AE148" s="40">
        <v>2739.13</v>
      </c>
      <c r="AF148" s="40">
        <v>3668.86</v>
      </c>
      <c r="AG148" s="40">
        <v>3986.07</v>
      </c>
      <c r="AH148" s="40">
        <v>3753.02</v>
      </c>
      <c r="AI148" s="40">
        <v>4017.75</v>
      </c>
      <c r="AK148" s="53" t="str">
        <f t="shared" si="26"/>
        <v/>
      </c>
      <c r="AL148" s="54" t="str">
        <f t="shared" si="27"/>
        <v/>
      </c>
      <c r="AM148" s="54" t="str">
        <f t="shared" si="28"/>
        <v/>
      </c>
      <c r="AN148" s="121"/>
      <c r="AO148" s="119" t="s">
        <v>1197</v>
      </c>
      <c r="AP148" s="38" t="str">
        <f t="shared" si="23"/>
        <v>Exclude</v>
      </c>
    </row>
    <row r="149" spans="1:42" ht="30" hidden="1">
      <c r="A149" s="38" t="str">
        <f t="shared" si="29"/>
        <v>Ausgrid</v>
      </c>
      <c r="B149" s="38" t="s">
        <v>1381</v>
      </c>
      <c r="C149" s="38" t="str">
        <f t="shared" si="24"/>
        <v>Dist Sub Maintenance-DISTRIBUTION SUBSTATION TRANSFORMERS</v>
      </c>
      <c r="D149" s="38" t="str">
        <f t="shared" si="25"/>
        <v>Dist Sub Maintenance-NUMBER OF INSTALLED TRANSFORMERS (000'S)</v>
      </c>
      <c r="E149" s="413"/>
      <c r="F149" s="43" t="s">
        <v>405</v>
      </c>
      <c r="G149" s="43" t="s">
        <v>406</v>
      </c>
      <c r="H149" s="43" t="s">
        <v>407</v>
      </c>
      <c r="I149" s="41">
        <v>32</v>
      </c>
      <c r="J149" s="41">
        <v>32.24</v>
      </c>
      <c r="K149" s="41">
        <v>32.19</v>
      </c>
      <c r="L149" s="41">
        <v>32.520000000000003</v>
      </c>
      <c r="M149" s="41">
        <v>32.78</v>
      </c>
      <c r="N149" s="41">
        <v>0</v>
      </c>
      <c r="O149" s="41">
        <v>0</v>
      </c>
      <c r="P149" s="41">
        <v>0</v>
      </c>
      <c r="Q149" s="41">
        <v>0</v>
      </c>
      <c r="R149" s="41">
        <v>0</v>
      </c>
      <c r="S149" s="41">
        <v>24.19</v>
      </c>
      <c r="T149" s="41">
        <v>24.17</v>
      </c>
      <c r="U149" s="41">
        <v>24.02</v>
      </c>
      <c r="V149" s="41">
        <v>24.1</v>
      </c>
      <c r="W149" s="41">
        <v>24.3</v>
      </c>
      <c r="X149" s="38">
        <v>0</v>
      </c>
      <c r="Y149" s="38">
        <v>0</v>
      </c>
      <c r="Z149" s="40">
        <v>0</v>
      </c>
      <c r="AA149" s="40">
        <v>0</v>
      </c>
      <c r="AB149" s="40">
        <v>0</v>
      </c>
      <c r="AC149" s="40">
        <v>0</v>
      </c>
      <c r="AD149" s="40">
        <v>0</v>
      </c>
      <c r="AE149" s="40">
        <v>238.76</v>
      </c>
      <c r="AF149" s="40">
        <v>444.4</v>
      </c>
      <c r="AG149" s="40">
        <v>795.79</v>
      </c>
      <c r="AH149" s="40">
        <v>972.94</v>
      </c>
      <c r="AI149" s="40">
        <v>876.14</v>
      </c>
      <c r="AK149" s="53">
        <f t="shared" si="26"/>
        <v>0</v>
      </c>
      <c r="AL149" s="54">
        <f t="shared" si="27"/>
        <v>0</v>
      </c>
      <c r="AM149" s="54">
        <f t="shared" si="28"/>
        <v>3328.0299999999997</v>
      </c>
      <c r="AN149" s="123">
        <f t="shared" ref="AN149:AN163" si="30">AL149+AM149</f>
        <v>3328.0299999999997</v>
      </c>
      <c r="AO149" s="44" t="s">
        <v>1389</v>
      </c>
      <c r="AP149" s="38" t="str">
        <f t="shared" si="23"/>
        <v>OH/UG</v>
      </c>
    </row>
    <row r="150" spans="1:42" ht="60" hidden="1">
      <c r="A150" s="38" t="str">
        <f t="shared" si="29"/>
        <v>Ausgrid</v>
      </c>
      <c r="B150" s="38" t="s">
        <v>1381</v>
      </c>
      <c r="C150" s="38" t="str">
        <f t="shared" si="24"/>
        <v>Dist Sub Maintenance-DISTRIBUTION SUBSTATION SWITCHGEAR (WITHIN-SUBSTATIONS AND STAND-ALONE SWITCHGEAR)</v>
      </c>
      <c r="D150" s="38" t="str">
        <f t="shared" si="25"/>
        <v>Dist Sub Maintenance-NUMBER OF SWITCHES (000'S)</v>
      </c>
      <c r="E150" s="413"/>
      <c r="F150" s="43" t="s">
        <v>405</v>
      </c>
      <c r="G150" s="43" t="s">
        <v>408</v>
      </c>
      <c r="H150" s="43" t="s">
        <v>409</v>
      </c>
      <c r="I150" s="41">
        <v>10.48</v>
      </c>
      <c r="J150" s="41">
        <v>10.88</v>
      </c>
      <c r="K150" s="41">
        <v>11.33</v>
      </c>
      <c r="L150" s="41">
        <v>11.78</v>
      </c>
      <c r="M150" s="41">
        <v>12.15</v>
      </c>
      <c r="N150" s="41">
        <v>2.1</v>
      </c>
      <c r="O150" s="41">
        <v>2.2599999999999998</v>
      </c>
      <c r="P150" s="41">
        <v>2.0699999999999998</v>
      </c>
      <c r="Q150" s="41">
        <v>2.76</v>
      </c>
      <c r="R150" s="41">
        <v>1.91</v>
      </c>
      <c r="S150" s="41">
        <v>19.98</v>
      </c>
      <c r="T150" s="41">
        <v>19.84</v>
      </c>
      <c r="U150" s="41">
        <v>19.5</v>
      </c>
      <c r="V150" s="41">
        <v>19.350000000000001</v>
      </c>
      <c r="W150" s="41">
        <v>19.37</v>
      </c>
      <c r="X150" s="38">
        <v>20</v>
      </c>
      <c r="Y150" s="38">
        <v>20</v>
      </c>
      <c r="Z150" s="40">
        <v>1221.8399999999999</v>
      </c>
      <c r="AA150" s="40">
        <v>2128.73</v>
      </c>
      <c r="AB150" s="40">
        <v>2377.23</v>
      </c>
      <c r="AC150" s="40">
        <v>2009.87</v>
      </c>
      <c r="AD150" s="40">
        <v>2998.75</v>
      </c>
      <c r="AE150" s="40">
        <v>664.98</v>
      </c>
      <c r="AF150" s="40">
        <v>1317.33</v>
      </c>
      <c r="AG150" s="40">
        <v>2033.92</v>
      </c>
      <c r="AH150" s="40">
        <v>1987.74</v>
      </c>
      <c r="AI150" s="40">
        <v>1214.26</v>
      </c>
      <c r="AK150" s="53">
        <f t="shared" si="26"/>
        <v>11.1</v>
      </c>
      <c r="AL150" s="54">
        <f t="shared" si="27"/>
        <v>10736.419999999998</v>
      </c>
      <c r="AM150" s="54">
        <f t="shared" si="28"/>
        <v>7218.2300000000005</v>
      </c>
      <c r="AN150" s="123">
        <f t="shared" si="30"/>
        <v>17954.649999999998</v>
      </c>
      <c r="AO150" s="44" t="s">
        <v>1389</v>
      </c>
      <c r="AP150" s="38" t="str">
        <f t="shared" si="23"/>
        <v>OH/UG</v>
      </c>
    </row>
    <row r="151" spans="1:42" ht="30" hidden="1">
      <c r="A151" s="38" t="str">
        <f t="shared" si="29"/>
        <v>Ausgrid</v>
      </c>
      <c r="B151" s="38" t="s">
        <v>1381</v>
      </c>
      <c r="C151" s="38" t="str">
        <f t="shared" si="24"/>
        <v>Dist Sub Maintenance-DISTRIBUTION SUBSTATION - OTHER EQUIPMENT</v>
      </c>
      <c r="D151" s="38" t="str">
        <f t="shared" si="25"/>
        <v>Dist Sub Maintenance-NUMBER OF EQUIPMENT</v>
      </c>
      <c r="E151" s="413"/>
      <c r="F151" s="43" t="s">
        <v>405</v>
      </c>
      <c r="G151" s="43" t="s">
        <v>410</v>
      </c>
      <c r="H151" s="43" t="s">
        <v>721</v>
      </c>
      <c r="I151" s="41">
        <v>31.49</v>
      </c>
      <c r="J151" s="41">
        <v>31.81</v>
      </c>
      <c r="K151" s="41">
        <v>32.119999999999997</v>
      </c>
      <c r="L151" s="41">
        <v>32.409999999999997</v>
      </c>
      <c r="M151" s="41">
        <v>32.700000000000003</v>
      </c>
      <c r="N151" s="41">
        <v>8.09</v>
      </c>
      <c r="O151" s="41">
        <v>6.29</v>
      </c>
      <c r="P151" s="41">
        <v>6.75</v>
      </c>
      <c r="Q151" s="41">
        <v>6.43</v>
      </c>
      <c r="R151" s="41">
        <v>5.69</v>
      </c>
      <c r="S151" s="41">
        <v>52.69</v>
      </c>
      <c r="T151" s="41">
        <v>52.52</v>
      </c>
      <c r="U151" s="41">
        <v>53.5</v>
      </c>
      <c r="V151" s="41">
        <v>54.13</v>
      </c>
      <c r="W151" s="41">
        <v>54.55</v>
      </c>
      <c r="X151" s="38">
        <v>10</v>
      </c>
      <c r="Y151" s="38">
        <v>0</v>
      </c>
      <c r="Z151" s="40">
        <v>1183</v>
      </c>
      <c r="AA151" s="40">
        <v>1574.62</v>
      </c>
      <c r="AB151" s="40">
        <v>2453.0100000000002</v>
      </c>
      <c r="AC151" s="40">
        <v>2754.09</v>
      </c>
      <c r="AD151" s="40">
        <v>3359.34</v>
      </c>
      <c r="AE151" s="40">
        <v>2902.74</v>
      </c>
      <c r="AF151" s="40">
        <v>2731.55</v>
      </c>
      <c r="AG151" s="40">
        <v>4393.38</v>
      </c>
      <c r="AH151" s="40">
        <v>5989.44</v>
      </c>
      <c r="AI151" s="40">
        <v>5754.11</v>
      </c>
      <c r="AK151" s="53">
        <f t="shared" si="26"/>
        <v>33.25</v>
      </c>
      <c r="AL151" s="54">
        <f t="shared" si="27"/>
        <v>11324.060000000001</v>
      </c>
      <c r="AM151" s="54">
        <f t="shared" si="28"/>
        <v>21771.22</v>
      </c>
      <c r="AN151" s="123">
        <f t="shared" si="30"/>
        <v>33095.279999999999</v>
      </c>
      <c r="AO151" s="44" t="s">
        <v>1389</v>
      </c>
      <c r="AP151" s="38" t="str">
        <f t="shared" si="23"/>
        <v>OH/UG</v>
      </c>
    </row>
    <row r="152" spans="1:42" ht="45" hidden="1">
      <c r="A152" s="38" t="str">
        <f t="shared" si="29"/>
        <v>Ausgrid</v>
      </c>
      <c r="B152" s="38" t="s">
        <v>1381</v>
      </c>
      <c r="C152" s="38" t="str">
        <f t="shared" si="24"/>
        <v>Dist Sub Maintenance-DISTRIBUTION SUBSTATION - PROPERTY</v>
      </c>
      <c r="D152" s="38" t="str">
        <f t="shared" si="25"/>
        <v>Dist Sub Maintenance-NUMBER OF DISTRIBUTION SUBSTATION PROPERTIES MAINTAINED (000'S)</v>
      </c>
      <c r="E152" s="413"/>
      <c r="F152" s="43" t="s">
        <v>405</v>
      </c>
      <c r="G152" s="43" t="s">
        <v>412</v>
      </c>
      <c r="H152" s="43" t="s">
        <v>413</v>
      </c>
      <c r="I152" s="41">
        <v>2.89</v>
      </c>
      <c r="J152" s="41">
        <v>2.89</v>
      </c>
      <c r="K152" s="41">
        <v>2.87</v>
      </c>
      <c r="L152" s="41">
        <v>2.84</v>
      </c>
      <c r="M152" s="41">
        <v>2.84</v>
      </c>
      <c r="N152" s="41">
        <v>0.04</v>
      </c>
      <c r="O152" s="41">
        <v>0.04</v>
      </c>
      <c r="P152" s="41">
        <v>0.04</v>
      </c>
      <c r="Q152" s="41">
        <v>0.04</v>
      </c>
      <c r="R152" s="41">
        <v>19.29</v>
      </c>
      <c r="S152" s="41">
        <v>32.83</v>
      </c>
      <c r="T152" s="41">
        <v>33.18</v>
      </c>
      <c r="U152" s="41">
        <v>33.61</v>
      </c>
      <c r="V152" s="41">
        <v>34.11</v>
      </c>
      <c r="W152" s="41">
        <v>34.950000000000003</v>
      </c>
      <c r="X152" s="38">
        <v>0</v>
      </c>
      <c r="Y152" s="38">
        <v>0</v>
      </c>
      <c r="Z152" s="40">
        <v>20.05</v>
      </c>
      <c r="AA152" s="40">
        <v>273.89999999999998</v>
      </c>
      <c r="AB152" s="40">
        <v>399.03</v>
      </c>
      <c r="AC152" s="40">
        <v>549.41999999999996</v>
      </c>
      <c r="AD152" s="40">
        <v>649.16999999999996</v>
      </c>
      <c r="AE152" s="40">
        <v>1141.1500000000001</v>
      </c>
      <c r="AF152" s="40">
        <v>1717.63</v>
      </c>
      <c r="AG152" s="40">
        <v>2117.5300000000002</v>
      </c>
      <c r="AH152" s="40">
        <v>475.09</v>
      </c>
      <c r="AI152" s="40">
        <v>842.56</v>
      </c>
      <c r="AK152" s="53">
        <f t="shared" si="26"/>
        <v>19.45</v>
      </c>
      <c r="AL152" s="54">
        <f t="shared" si="27"/>
        <v>1891.5700000000002</v>
      </c>
      <c r="AM152" s="54">
        <f t="shared" si="28"/>
        <v>6293.9600000000009</v>
      </c>
      <c r="AN152" s="123">
        <f t="shared" si="30"/>
        <v>8185.5300000000007</v>
      </c>
      <c r="AO152" s="44" t="s">
        <v>1389</v>
      </c>
      <c r="AP152" s="38" t="str">
        <f t="shared" si="23"/>
        <v>OH/UG</v>
      </c>
    </row>
    <row r="153" spans="1:42" ht="30" hidden="1">
      <c r="A153" s="38" t="str">
        <f t="shared" si="29"/>
        <v>Ausgrid</v>
      </c>
      <c r="B153" s="38" t="s">
        <v>1380</v>
      </c>
      <c r="C153" s="38" t="str">
        <f t="shared" si="24"/>
        <v>Zone Sub Maintenance-TRANSFORMERS - ZONE SUBSTATION</v>
      </c>
      <c r="D153" s="38" t="str">
        <f t="shared" si="25"/>
        <v>Zone Sub Maintenance-NUMBER OF ZONE SUBSTATION TRANSFORMERS (000'S)</v>
      </c>
      <c r="E153" s="413"/>
      <c r="F153" s="43" t="s">
        <v>414</v>
      </c>
      <c r="G153" s="43" t="s">
        <v>415</v>
      </c>
      <c r="H153" s="43" t="s">
        <v>416</v>
      </c>
      <c r="I153" s="41">
        <v>0.5</v>
      </c>
      <c r="J153" s="41">
        <v>0.52</v>
      </c>
      <c r="K153" s="41">
        <v>0.53</v>
      </c>
      <c r="L153" s="41">
        <v>0.53</v>
      </c>
      <c r="M153" s="41">
        <v>0.53</v>
      </c>
      <c r="N153" s="41">
        <v>5.43</v>
      </c>
      <c r="O153" s="41">
        <v>3.67</v>
      </c>
      <c r="P153" s="41">
        <v>3.75</v>
      </c>
      <c r="Q153" s="41">
        <v>3.26</v>
      </c>
      <c r="R153" s="41">
        <v>2.4700000000000002</v>
      </c>
      <c r="S153" s="41">
        <v>28.87</v>
      </c>
      <c r="T153" s="41">
        <v>28.35</v>
      </c>
      <c r="U153" s="41">
        <v>27.59</v>
      </c>
      <c r="V153" s="41">
        <v>26.7</v>
      </c>
      <c r="W153" s="41">
        <v>26.71</v>
      </c>
      <c r="X153" s="38">
        <v>6</v>
      </c>
      <c r="Y153" s="38">
        <v>0</v>
      </c>
      <c r="Z153" s="40">
        <v>833.38</v>
      </c>
      <c r="AA153" s="40">
        <v>1191.26</v>
      </c>
      <c r="AB153" s="40">
        <v>1171.51</v>
      </c>
      <c r="AC153" s="40">
        <v>1069.81</v>
      </c>
      <c r="AD153" s="40">
        <v>1294.03</v>
      </c>
      <c r="AE153" s="40">
        <v>558.28</v>
      </c>
      <c r="AF153" s="40">
        <v>693.52</v>
      </c>
      <c r="AG153" s="40">
        <v>912.97</v>
      </c>
      <c r="AH153" s="40">
        <v>996.17</v>
      </c>
      <c r="AI153" s="40">
        <v>985.03</v>
      </c>
      <c r="AK153" s="53">
        <f t="shared" si="26"/>
        <v>18.579999999999998</v>
      </c>
      <c r="AL153" s="54">
        <f t="shared" si="27"/>
        <v>5559.9899999999989</v>
      </c>
      <c r="AM153" s="54">
        <f t="shared" si="28"/>
        <v>4145.97</v>
      </c>
      <c r="AN153" s="123">
        <f t="shared" si="30"/>
        <v>9705.9599999999991</v>
      </c>
      <c r="AO153" s="44" t="s">
        <v>1390</v>
      </c>
      <c r="AP153" s="38" t="str">
        <f t="shared" si="23"/>
        <v>Zone Sub</v>
      </c>
    </row>
    <row r="154" spans="1:42" ht="45" hidden="1">
      <c r="A154" s="38" t="str">
        <f t="shared" si="29"/>
        <v>Ausgrid</v>
      </c>
      <c r="B154" s="38" t="s">
        <v>1380</v>
      </c>
      <c r="C154" s="38" t="str">
        <f t="shared" si="24"/>
        <v xml:space="preserve">Zone Sub Maintenance-TRANSFORMERS - DISTRIBUTION </v>
      </c>
      <c r="D154" s="38" t="str">
        <f t="shared" si="25"/>
        <v>Zone Sub Maintenance-NUMBER OF DISTRIBUTION TRANSFORMERS WITHIN ZONE SUBSTATIONS (000'S)</v>
      </c>
      <c r="E154" s="413"/>
      <c r="F154" s="43" t="s">
        <v>414</v>
      </c>
      <c r="G154" s="43" t="s">
        <v>417</v>
      </c>
      <c r="H154" s="43" t="s">
        <v>418</v>
      </c>
      <c r="I154" s="41">
        <v>0.08</v>
      </c>
      <c r="J154" s="41">
        <v>0.08</v>
      </c>
      <c r="K154" s="41">
        <v>0.08</v>
      </c>
      <c r="L154" s="41">
        <v>0.08</v>
      </c>
      <c r="M154" s="41">
        <v>0.09</v>
      </c>
      <c r="N154" s="41">
        <v>0</v>
      </c>
      <c r="O154" s="41">
        <v>0</v>
      </c>
      <c r="P154" s="41">
        <v>0</v>
      </c>
      <c r="Q154" s="41">
        <v>0</v>
      </c>
      <c r="R154" s="41">
        <v>0</v>
      </c>
      <c r="S154" s="41">
        <v>25.11</v>
      </c>
      <c r="T154" s="41">
        <v>25.5</v>
      </c>
      <c r="U154" s="41">
        <v>25.65</v>
      </c>
      <c r="V154" s="41">
        <v>24.77</v>
      </c>
      <c r="W154" s="41">
        <v>22.53</v>
      </c>
      <c r="X154" s="38">
        <v>3</v>
      </c>
      <c r="Y154" s="38">
        <v>0</v>
      </c>
      <c r="Z154" s="40">
        <v>0</v>
      </c>
      <c r="AA154" s="40">
        <v>0</v>
      </c>
      <c r="AB154" s="40">
        <v>0</v>
      </c>
      <c r="AC154" s="40">
        <v>0</v>
      </c>
      <c r="AD154" s="40">
        <v>0</v>
      </c>
      <c r="AE154" s="40">
        <v>0</v>
      </c>
      <c r="AF154" s="40">
        <v>0</v>
      </c>
      <c r="AG154" s="40">
        <v>0</v>
      </c>
      <c r="AH154" s="40">
        <v>0</v>
      </c>
      <c r="AI154" s="40">
        <v>0</v>
      </c>
      <c r="AK154" s="53">
        <f t="shared" si="26"/>
        <v>0</v>
      </c>
      <c r="AL154" s="54">
        <f t="shared" si="27"/>
        <v>0</v>
      </c>
      <c r="AM154" s="54">
        <f t="shared" si="28"/>
        <v>0</v>
      </c>
      <c r="AN154" s="123">
        <f t="shared" si="30"/>
        <v>0</v>
      </c>
      <c r="AO154" s="44" t="s">
        <v>1390</v>
      </c>
      <c r="AP154" s="38" t="str">
        <f t="shared" si="23"/>
        <v>Zone Sub</v>
      </c>
    </row>
    <row r="155" spans="1:42" ht="30" hidden="1">
      <c r="A155" s="38" t="str">
        <f t="shared" si="29"/>
        <v>Ausgrid</v>
      </c>
      <c r="B155" s="38" t="s">
        <v>1380</v>
      </c>
      <c r="C155" s="38" t="str">
        <f t="shared" si="24"/>
        <v>Zone Sub Maintenance-TRANSFORMERS - HV</v>
      </c>
      <c r="D155" s="38" t="str">
        <f t="shared" si="25"/>
        <v>Zone Sub Maintenance-NUMBER OF HV TRANSFORMERS (000'S)</v>
      </c>
      <c r="E155" s="413"/>
      <c r="F155" s="43" t="s">
        <v>414</v>
      </c>
      <c r="G155" s="43" t="s">
        <v>419</v>
      </c>
      <c r="H155" s="43" t="s">
        <v>420</v>
      </c>
      <c r="I155" s="41">
        <v>0</v>
      </c>
      <c r="J155" s="41">
        <v>0</v>
      </c>
      <c r="K155" s="41">
        <v>0</v>
      </c>
      <c r="L155" s="41">
        <v>0</v>
      </c>
      <c r="M155" s="41">
        <v>0</v>
      </c>
      <c r="N155" s="41">
        <v>0</v>
      </c>
      <c r="O155" s="41">
        <v>0</v>
      </c>
      <c r="P155" s="41">
        <v>0</v>
      </c>
      <c r="Q155" s="41">
        <v>0</v>
      </c>
      <c r="R155" s="41">
        <v>0</v>
      </c>
      <c r="S155" s="41">
        <v>0</v>
      </c>
      <c r="T155" s="41">
        <v>0</v>
      </c>
      <c r="U155" s="41">
        <v>0</v>
      </c>
      <c r="V155" s="41">
        <v>0</v>
      </c>
      <c r="W155" s="41">
        <v>0</v>
      </c>
      <c r="X155" s="38">
        <v>0</v>
      </c>
      <c r="Y155" s="38">
        <v>0</v>
      </c>
      <c r="Z155" s="40">
        <v>0</v>
      </c>
      <c r="AA155" s="40">
        <v>0</v>
      </c>
      <c r="AB155" s="40">
        <v>0</v>
      </c>
      <c r="AC155" s="40">
        <v>0</v>
      </c>
      <c r="AD155" s="40">
        <v>0</v>
      </c>
      <c r="AE155" s="40">
        <v>0</v>
      </c>
      <c r="AF155" s="40">
        <v>0</v>
      </c>
      <c r="AG155" s="40">
        <v>0</v>
      </c>
      <c r="AH155" s="40">
        <v>0</v>
      </c>
      <c r="AI155" s="40">
        <v>0</v>
      </c>
      <c r="AK155" s="53">
        <f t="shared" si="26"/>
        <v>0</v>
      </c>
      <c r="AL155" s="54">
        <f t="shared" si="27"/>
        <v>0</v>
      </c>
      <c r="AM155" s="54">
        <f t="shared" si="28"/>
        <v>0</v>
      </c>
      <c r="AN155" s="123">
        <f t="shared" si="30"/>
        <v>0</v>
      </c>
      <c r="AO155" s="44" t="s">
        <v>1390</v>
      </c>
      <c r="AP155" s="38" t="str">
        <f t="shared" si="23"/>
        <v>Zone Sub</v>
      </c>
    </row>
    <row r="156" spans="1:42" ht="30" hidden="1">
      <c r="A156" s="38" t="str">
        <f t="shared" si="29"/>
        <v>Ausgrid</v>
      </c>
      <c r="B156" s="38" t="s">
        <v>1380</v>
      </c>
      <c r="C156" s="38" t="str">
        <f t="shared" si="24"/>
        <v>Zone Sub Maintenance-ZONE SUBSTATION - OTHER EQUIPMENT</v>
      </c>
      <c r="D156" s="38" t="str">
        <f t="shared" si="25"/>
        <v>Zone Sub Maintenance-NUMBER OF EQUIPMENT (000's)</v>
      </c>
      <c r="E156" s="413"/>
      <c r="F156" s="43" t="s">
        <v>414</v>
      </c>
      <c r="G156" s="43" t="s">
        <v>421</v>
      </c>
      <c r="H156" s="43" t="s">
        <v>722</v>
      </c>
      <c r="I156" s="41">
        <v>6.03</v>
      </c>
      <c r="J156" s="41">
        <v>6.37</v>
      </c>
      <c r="K156" s="41">
        <v>6.4</v>
      </c>
      <c r="L156" s="41">
        <v>6.32</v>
      </c>
      <c r="M156" s="41">
        <v>6.34</v>
      </c>
      <c r="N156" s="41">
        <v>6.41</v>
      </c>
      <c r="O156" s="41">
        <v>5.77</v>
      </c>
      <c r="P156" s="41">
        <v>5.04</v>
      </c>
      <c r="Q156" s="41">
        <v>4.25</v>
      </c>
      <c r="R156" s="41">
        <v>4.5</v>
      </c>
      <c r="S156" s="41">
        <v>217.02</v>
      </c>
      <c r="T156" s="41">
        <v>209.02</v>
      </c>
      <c r="U156" s="41">
        <v>203.1</v>
      </c>
      <c r="V156" s="41">
        <v>197.89</v>
      </c>
      <c r="W156" s="41">
        <v>190.27</v>
      </c>
      <c r="X156" s="38">
        <v>0.5</v>
      </c>
      <c r="Y156" s="38">
        <v>0</v>
      </c>
      <c r="Z156" s="40">
        <v>1982.82</v>
      </c>
      <c r="AA156" s="40">
        <v>3067.95</v>
      </c>
      <c r="AB156" s="40">
        <v>2604.85</v>
      </c>
      <c r="AC156" s="40">
        <v>2778.5</v>
      </c>
      <c r="AD156" s="40">
        <v>2887.18</v>
      </c>
      <c r="AE156" s="40">
        <v>1198.77</v>
      </c>
      <c r="AF156" s="40">
        <v>1826.83</v>
      </c>
      <c r="AG156" s="40">
        <v>3030.09</v>
      </c>
      <c r="AH156" s="40">
        <v>2436.29</v>
      </c>
      <c r="AI156" s="40">
        <v>2498.4699999999998</v>
      </c>
      <c r="AK156" s="53">
        <f t="shared" si="26"/>
        <v>25.97</v>
      </c>
      <c r="AL156" s="54">
        <f t="shared" si="27"/>
        <v>13321.3</v>
      </c>
      <c r="AM156" s="54">
        <f t="shared" si="28"/>
        <v>10990.449999999999</v>
      </c>
      <c r="AN156" s="123">
        <f t="shared" si="30"/>
        <v>24311.75</v>
      </c>
      <c r="AO156" s="44" t="s">
        <v>1390</v>
      </c>
      <c r="AP156" s="38" t="str">
        <f t="shared" si="23"/>
        <v>Zone Sub</v>
      </c>
    </row>
    <row r="157" spans="1:42" ht="45" hidden="1">
      <c r="A157" s="38" t="str">
        <f t="shared" si="29"/>
        <v>Ausgrid</v>
      </c>
      <c r="B157" s="38" t="s">
        <v>1380</v>
      </c>
      <c r="C157" s="38" t="str">
        <f t="shared" si="24"/>
        <v>Zone Sub Maintenance-ALL ZONE SUBSTATION PROPERTIES</v>
      </c>
      <c r="D157" s="38" t="str">
        <f t="shared" si="25"/>
        <v>Zone Sub Maintenance-NUMBER OF ZONE SUBSTATION PROPERTIES MAINTAINED (000'S)</v>
      </c>
      <c r="E157" s="413"/>
      <c r="F157" s="43" t="s">
        <v>422</v>
      </c>
      <c r="G157" s="43" t="s">
        <v>423</v>
      </c>
      <c r="H157" s="43" t="s">
        <v>424</v>
      </c>
      <c r="I157" s="41">
        <v>0.2</v>
      </c>
      <c r="J157" s="41">
        <v>0.21</v>
      </c>
      <c r="K157" s="41">
        <v>0.21</v>
      </c>
      <c r="L157" s="41">
        <v>0.21</v>
      </c>
      <c r="M157" s="41">
        <v>0.21</v>
      </c>
      <c r="N157" s="41">
        <v>2.5499999999999998</v>
      </c>
      <c r="O157" s="41">
        <v>2.4700000000000002</v>
      </c>
      <c r="P157" s="41">
        <v>2.5499999999999998</v>
      </c>
      <c r="Q157" s="41">
        <v>3.23</v>
      </c>
      <c r="R157" s="41">
        <v>21.26</v>
      </c>
      <c r="S157" s="41">
        <v>38.86</v>
      </c>
      <c r="T157" s="41">
        <v>38.11</v>
      </c>
      <c r="U157" s="41">
        <v>37.659999999999997</v>
      </c>
      <c r="V157" s="41">
        <v>37.6</v>
      </c>
      <c r="W157" s="41">
        <v>37.18</v>
      </c>
      <c r="X157" s="38">
        <v>0.08</v>
      </c>
      <c r="Y157" s="38">
        <v>0</v>
      </c>
      <c r="Z157" s="40">
        <v>2859.62</v>
      </c>
      <c r="AA157" s="40">
        <v>5055.08</v>
      </c>
      <c r="AB157" s="40">
        <v>4823.3500000000004</v>
      </c>
      <c r="AC157" s="40">
        <v>3653.56</v>
      </c>
      <c r="AD157" s="40">
        <v>2965.58</v>
      </c>
      <c r="AE157" s="40">
        <v>738.71</v>
      </c>
      <c r="AF157" s="40">
        <v>2176.73</v>
      </c>
      <c r="AG157" s="40">
        <v>3301.12</v>
      </c>
      <c r="AH157" s="40">
        <v>4292.24</v>
      </c>
      <c r="AI157" s="40">
        <v>4784.6899999999996</v>
      </c>
      <c r="AK157" s="53">
        <f t="shared" si="26"/>
        <v>32.06</v>
      </c>
      <c r="AL157" s="54">
        <f t="shared" si="27"/>
        <v>19357.190000000002</v>
      </c>
      <c r="AM157" s="54">
        <f t="shared" si="28"/>
        <v>15293.489999999998</v>
      </c>
      <c r="AN157" s="123">
        <f t="shared" si="30"/>
        <v>34650.68</v>
      </c>
      <c r="AO157" s="44" t="s">
        <v>1390</v>
      </c>
      <c r="AP157" s="38" t="str">
        <f t="shared" si="23"/>
        <v>Zone Sub</v>
      </c>
    </row>
    <row r="158" spans="1:42" ht="30" hidden="1">
      <c r="A158" s="38" t="str">
        <f t="shared" si="29"/>
        <v>Ausgrid</v>
      </c>
      <c r="B158" s="38" t="s">
        <v>1193</v>
      </c>
      <c r="C158" s="38" t="str">
        <f t="shared" si="24"/>
        <v>Public Lighting Maintenance-MINOR ROADS</v>
      </c>
      <c r="D158" s="38" t="str">
        <f t="shared" si="25"/>
        <v>Public Lighting Maintenance-NUMBER OF PUBLIC LIGHTS MAINTAINED (000'S)</v>
      </c>
      <c r="E158" s="413"/>
      <c r="F158" s="43" t="s">
        <v>425</v>
      </c>
      <c r="G158" s="43" t="s">
        <v>426</v>
      </c>
      <c r="H158" s="43" t="s">
        <v>427</v>
      </c>
      <c r="I158" s="41">
        <v>32.06</v>
      </c>
      <c r="J158" s="41">
        <v>32.29</v>
      </c>
      <c r="K158" s="41">
        <v>32.54</v>
      </c>
      <c r="L158" s="41">
        <v>32.93</v>
      </c>
      <c r="M158" s="41">
        <v>33</v>
      </c>
      <c r="N158" s="41">
        <v>9.19</v>
      </c>
      <c r="O158" s="41">
        <v>9.9499999999999993</v>
      </c>
      <c r="P158" s="41">
        <v>14.56</v>
      </c>
      <c r="Q158" s="41">
        <v>10.31</v>
      </c>
      <c r="R158" s="41">
        <v>16.43</v>
      </c>
      <c r="S158" s="41">
        <v>22.68</v>
      </c>
      <c r="T158" s="41">
        <v>21.08</v>
      </c>
      <c r="U158" s="41">
        <v>19.96</v>
      </c>
      <c r="V158" s="41">
        <v>18.91</v>
      </c>
      <c r="W158" s="41">
        <v>18.21</v>
      </c>
      <c r="X158" s="38">
        <v>2.5</v>
      </c>
      <c r="Y158" s="38">
        <v>2.5</v>
      </c>
      <c r="Z158" s="40">
        <v>701.93</v>
      </c>
      <c r="AA158" s="40">
        <v>727.55</v>
      </c>
      <c r="AB158" s="40">
        <v>992.58</v>
      </c>
      <c r="AC158" s="40">
        <v>752.53</v>
      </c>
      <c r="AD158" s="40">
        <v>820.02</v>
      </c>
      <c r="AE158" s="40">
        <v>288.11</v>
      </c>
      <c r="AF158" s="40">
        <v>253.52</v>
      </c>
      <c r="AG158" s="40">
        <v>207.35</v>
      </c>
      <c r="AH158" s="40">
        <v>203.79</v>
      </c>
      <c r="AI158" s="40">
        <v>222.07</v>
      </c>
      <c r="AK158" s="53">
        <f t="shared" si="26"/>
        <v>60.440000000000005</v>
      </c>
      <c r="AL158" s="54">
        <f t="shared" si="27"/>
        <v>3994.61</v>
      </c>
      <c r="AM158" s="54">
        <f t="shared" si="28"/>
        <v>1174.8399999999999</v>
      </c>
      <c r="AN158" s="123">
        <f t="shared" si="30"/>
        <v>5169.45</v>
      </c>
      <c r="AO158" s="44" t="s">
        <v>1389</v>
      </c>
      <c r="AP158" s="38" t="str">
        <f t="shared" si="23"/>
        <v>Public Lighting</v>
      </c>
    </row>
    <row r="159" spans="1:42" ht="30" hidden="1">
      <c r="A159" s="38" t="str">
        <f t="shared" si="29"/>
        <v>Ausgrid</v>
      </c>
      <c r="B159" s="38" t="s">
        <v>1193</v>
      </c>
      <c r="C159" s="38" t="str">
        <f t="shared" si="24"/>
        <v>Public Lighting Maintenance-MAJOR ROADS</v>
      </c>
      <c r="D159" s="38" t="str">
        <f t="shared" si="25"/>
        <v>Public Lighting Maintenance-NUMBER OF PUBLIC LIGHTS MAINTAINED (000'S)</v>
      </c>
      <c r="E159" s="413"/>
      <c r="F159" s="43" t="s">
        <v>425</v>
      </c>
      <c r="G159" s="43" t="s">
        <v>428</v>
      </c>
      <c r="H159" s="43" t="s">
        <v>427</v>
      </c>
      <c r="I159" s="41">
        <v>212.25</v>
      </c>
      <c r="J159" s="41">
        <v>213.13</v>
      </c>
      <c r="K159" s="41">
        <v>214.01</v>
      </c>
      <c r="L159" s="41">
        <v>215.01</v>
      </c>
      <c r="M159" s="41">
        <v>215.68</v>
      </c>
      <c r="N159" s="41">
        <v>59.86</v>
      </c>
      <c r="O159" s="41">
        <v>70.39</v>
      </c>
      <c r="P159" s="41">
        <v>87.35</v>
      </c>
      <c r="Q159" s="41">
        <v>81.5</v>
      </c>
      <c r="R159" s="41">
        <v>101.01</v>
      </c>
      <c r="S159" s="41">
        <v>19.05</v>
      </c>
      <c r="T159" s="41">
        <v>17.8</v>
      </c>
      <c r="U159" s="41">
        <v>16.489999999999998</v>
      </c>
      <c r="V159" s="41">
        <v>15</v>
      </c>
      <c r="W159" s="41">
        <v>13.42</v>
      </c>
      <c r="X159" s="38">
        <v>2.5</v>
      </c>
      <c r="Y159" s="38">
        <v>2.5</v>
      </c>
      <c r="Z159" s="40">
        <v>4647.25</v>
      </c>
      <c r="AA159" s="40">
        <v>4802.7700000000004</v>
      </c>
      <c r="AB159" s="40">
        <v>6527.95</v>
      </c>
      <c r="AC159" s="40">
        <v>4913.42</v>
      </c>
      <c r="AD159" s="40">
        <v>5359.24</v>
      </c>
      <c r="AE159" s="40">
        <v>1907.45</v>
      </c>
      <c r="AF159" s="40">
        <v>1673.56</v>
      </c>
      <c r="AG159" s="40">
        <v>1363.71</v>
      </c>
      <c r="AH159" s="40">
        <v>1330.57</v>
      </c>
      <c r="AI159" s="40">
        <v>1451.31</v>
      </c>
      <c r="AK159" s="53">
        <f t="shared" si="26"/>
        <v>400.11</v>
      </c>
      <c r="AL159" s="54">
        <f t="shared" si="27"/>
        <v>26250.629999999997</v>
      </c>
      <c r="AM159" s="54">
        <f t="shared" si="28"/>
        <v>7726.6</v>
      </c>
      <c r="AN159" s="123">
        <f t="shared" si="30"/>
        <v>33977.229999999996</v>
      </c>
      <c r="AO159" s="44" t="s">
        <v>1389</v>
      </c>
      <c r="AP159" s="38" t="str">
        <f t="shared" si="23"/>
        <v>Public Lighting</v>
      </c>
    </row>
    <row r="160" spans="1:42" ht="30" hidden="1">
      <c r="A160" s="38" t="str">
        <f t="shared" si="29"/>
        <v>Ausgrid</v>
      </c>
      <c r="B160" s="38" t="s">
        <v>1194</v>
      </c>
      <c r="C160" s="38" t="str">
        <f t="shared" si="24"/>
        <v>SCADA Maintenance-SCADA &amp; NETWORK CONTROL MAINTENANCE</v>
      </c>
      <c r="D160" s="38" t="str">
        <f t="shared" si="25"/>
        <v>SCADA Maintenance-Length of comms cable (km)</v>
      </c>
      <c r="E160" s="413"/>
      <c r="F160" s="43" t="s">
        <v>429</v>
      </c>
      <c r="G160" s="43" t="s">
        <v>429</v>
      </c>
      <c r="H160" s="43" t="s">
        <v>723</v>
      </c>
      <c r="I160" s="41">
        <v>6215.44</v>
      </c>
      <c r="J160" s="41">
        <v>6435.74</v>
      </c>
      <c r="K160" s="41">
        <v>6479.04</v>
      </c>
      <c r="L160" s="41">
        <v>6727.91</v>
      </c>
      <c r="M160" s="41">
        <v>6878.2</v>
      </c>
      <c r="N160" s="41">
        <v>0</v>
      </c>
      <c r="O160" s="41">
        <v>0</v>
      </c>
      <c r="P160" s="41">
        <v>0</v>
      </c>
      <c r="Q160" s="41">
        <v>0</v>
      </c>
      <c r="R160" s="41">
        <v>0</v>
      </c>
      <c r="S160" s="41">
        <v>31.72</v>
      </c>
      <c r="T160" s="41">
        <v>31.49</v>
      </c>
      <c r="U160" s="41">
        <v>31.49</v>
      </c>
      <c r="V160" s="41">
        <v>30.82</v>
      </c>
      <c r="W160" s="41">
        <v>31.06</v>
      </c>
      <c r="X160" s="38">
        <v>0</v>
      </c>
      <c r="Y160" s="38">
        <v>0</v>
      </c>
      <c r="Z160" s="40">
        <v>9.7200000000000006</v>
      </c>
      <c r="AA160" s="40">
        <v>36.67</v>
      </c>
      <c r="AB160" s="40">
        <v>22.74</v>
      </c>
      <c r="AC160" s="40">
        <v>40.380000000000003</v>
      </c>
      <c r="AD160" s="40">
        <v>45.85</v>
      </c>
      <c r="AE160" s="40">
        <v>206.97</v>
      </c>
      <c r="AF160" s="40">
        <v>245.83</v>
      </c>
      <c r="AG160" s="40">
        <v>151.91</v>
      </c>
      <c r="AH160" s="40">
        <v>225.19</v>
      </c>
      <c r="AI160" s="40">
        <v>70.38</v>
      </c>
      <c r="AK160" s="53">
        <f t="shared" si="26"/>
        <v>0</v>
      </c>
      <c r="AL160" s="54">
        <f t="shared" si="27"/>
        <v>155.35999999999999</v>
      </c>
      <c r="AM160" s="54">
        <f t="shared" si="28"/>
        <v>900.28000000000009</v>
      </c>
      <c r="AN160" s="123">
        <f t="shared" si="30"/>
        <v>1055.6400000000001</v>
      </c>
      <c r="AO160" s="44" t="s">
        <v>1390</v>
      </c>
      <c r="AP160" s="38" t="str">
        <f t="shared" si="23"/>
        <v>Zone Sub</v>
      </c>
    </row>
    <row r="161" spans="1:42" ht="30" hidden="1">
      <c r="A161" s="38" t="str">
        <f t="shared" si="29"/>
        <v>Ausgrid</v>
      </c>
      <c r="B161" s="38" t="s">
        <v>1195</v>
      </c>
      <c r="C161" s="38" t="str">
        <f t="shared" si="24"/>
        <v>Protection Maintenance-PROTECTION SYSTEMS MAINTENANCE</v>
      </c>
      <c r="D161" s="38" t="str">
        <f t="shared" si="25"/>
        <v>Protection Maintenance-No. of protection relays ('000s)</v>
      </c>
      <c r="E161" s="413"/>
      <c r="F161" s="43" t="s">
        <v>430</v>
      </c>
      <c r="G161" s="43" t="s">
        <v>430</v>
      </c>
      <c r="H161" s="43" t="s">
        <v>724</v>
      </c>
      <c r="I161" s="41">
        <v>56.45</v>
      </c>
      <c r="J161" s="41">
        <v>59.39</v>
      </c>
      <c r="K161" s="41">
        <v>59.93</v>
      </c>
      <c r="L161" s="41">
        <v>59.2</v>
      </c>
      <c r="M161" s="41">
        <v>59.33</v>
      </c>
      <c r="N161" s="41">
        <v>0</v>
      </c>
      <c r="O161" s="41">
        <v>0</v>
      </c>
      <c r="P161" s="41">
        <v>0</v>
      </c>
      <c r="Q161" s="41">
        <v>0</v>
      </c>
      <c r="R161" s="41">
        <v>0</v>
      </c>
      <c r="S161" s="41">
        <v>99.16</v>
      </c>
      <c r="T161" s="41">
        <v>98</v>
      </c>
      <c r="U161" s="41">
        <v>99.11</v>
      </c>
      <c r="V161" s="41">
        <v>99.83</v>
      </c>
      <c r="W161" s="41">
        <v>99.88</v>
      </c>
      <c r="X161" s="38">
        <v>0</v>
      </c>
      <c r="Y161" s="38">
        <v>0</v>
      </c>
      <c r="Z161" s="40">
        <v>0</v>
      </c>
      <c r="AA161" s="40">
        <v>0</v>
      </c>
      <c r="AB161" s="40">
        <v>0</v>
      </c>
      <c r="AC161" s="40">
        <v>0</v>
      </c>
      <c r="AD161" s="40">
        <v>0</v>
      </c>
      <c r="AE161" s="40">
        <v>70.27</v>
      </c>
      <c r="AF161" s="40">
        <v>95.75</v>
      </c>
      <c r="AG161" s="40">
        <v>91.48</v>
      </c>
      <c r="AH161" s="40">
        <v>233.86</v>
      </c>
      <c r="AI161" s="40">
        <v>84.11</v>
      </c>
      <c r="AK161" s="53">
        <f t="shared" si="26"/>
        <v>0</v>
      </c>
      <c r="AL161" s="54">
        <f t="shared" si="27"/>
        <v>0</v>
      </c>
      <c r="AM161" s="54">
        <f t="shared" si="28"/>
        <v>575.47</v>
      </c>
      <c r="AN161" s="123">
        <f t="shared" si="30"/>
        <v>575.47</v>
      </c>
      <c r="AO161" s="44" t="s">
        <v>1390</v>
      </c>
      <c r="AP161" s="38" t="str">
        <f t="shared" si="23"/>
        <v>Zone Sub</v>
      </c>
    </row>
    <row r="162" spans="1:42" ht="60" hidden="1">
      <c r="A162" s="38" t="str">
        <f t="shared" si="29"/>
        <v>Ausgrid</v>
      </c>
      <c r="B162" s="38" t="s">
        <v>1196</v>
      </c>
      <c r="C162" s="38" t="str">
        <f t="shared" si="24"/>
        <v>Subtrans Maintenance-SUBTRANSMISSION ASSET MAINTENANCE - FOR DNSPS WITH DUAL FUNCTION ASSETS</v>
      </c>
      <c r="D162" s="38" t="str">
        <f t="shared" si="25"/>
        <v>Subtrans Maintenance-Number of items (000's)</v>
      </c>
      <c r="E162" s="413"/>
      <c r="F162" s="43" t="s">
        <v>431</v>
      </c>
      <c r="G162" s="43" t="s">
        <v>431</v>
      </c>
      <c r="H162" s="43" t="s">
        <v>725</v>
      </c>
      <c r="I162" s="41">
        <v>941.59</v>
      </c>
      <c r="J162" s="41">
        <v>953.79</v>
      </c>
      <c r="K162" s="41">
        <v>951.25</v>
      </c>
      <c r="L162" s="41">
        <v>952.41</v>
      </c>
      <c r="M162" s="41">
        <v>961.68</v>
      </c>
      <c r="N162" s="41">
        <v>3.44</v>
      </c>
      <c r="O162" s="41">
        <v>3.42</v>
      </c>
      <c r="P162" s="41">
        <v>3.27</v>
      </c>
      <c r="Q162" s="41">
        <v>3.54</v>
      </c>
      <c r="R162" s="41">
        <v>7.21</v>
      </c>
      <c r="S162" s="41">
        <v>331.27</v>
      </c>
      <c r="T162" s="41">
        <v>333.23</v>
      </c>
      <c r="U162" s="41">
        <v>333.95</v>
      </c>
      <c r="V162" s="41">
        <v>334.48</v>
      </c>
      <c r="W162" s="41">
        <v>337.92</v>
      </c>
      <c r="X162" s="38">
        <v>6</v>
      </c>
      <c r="Y162" s="38">
        <v>0</v>
      </c>
      <c r="Z162" s="40">
        <v>1296.1199999999999</v>
      </c>
      <c r="AA162" s="40">
        <v>2111.92</v>
      </c>
      <c r="AB162" s="40">
        <v>2094.19</v>
      </c>
      <c r="AC162" s="40">
        <v>1741.24</v>
      </c>
      <c r="AD162" s="40">
        <v>1812.62</v>
      </c>
      <c r="AE162" s="40">
        <v>2767.59</v>
      </c>
      <c r="AF162" s="40">
        <v>3751.95</v>
      </c>
      <c r="AG162" s="40">
        <v>4594.38</v>
      </c>
      <c r="AH162" s="40">
        <v>5466.62</v>
      </c>
      <c r="AI162" s="40">
        <v>4480.74</v>
      </c>
      <c r="AK162" s="53">
        <f t="shared" si="26"/>
        <v>20.88</v>
      </c>
      <c r="AL162" s="54">
        <f t="shared" si="27"/>
        <v>9056.09</v>
      </c>
      <c r="AM162" s="54">
        <f t="shared" si="28"/>
        <v>21061.279999999999</v>
      </c>
      <c r="AN162" s="123">
        <f t="shared" si="30"/>
        <v>30117.37</v>
      </c>
      <c r="AO162" s="44" t="s">
        <v>1389</v>
      </c>
      <c r="AP162" s="38" t="str">
        <f t="shared" si="23"/>
        <v>OH/UG</v>
      </c>
    </row>
    <row r="163" spans="1:42" ht="30" hidden="1">
      <c r="A163" s="38" t="str">
        <f t="shared" si="29"/>
        <v>Ausgrid</v>
      </c>
      <c r="B163" s="38" t="s">
        <v>720</v>
      </c>
      <c r="C163" s="38" t="str">
        <f t="shared" si="24"/>
        <v>Other-</v>
      </c>
      <c r="D163" s="38" t="str">
        <f t="shared" si="25"/>
        <v>Other-</v>
      </c>
      <c r="E163" s="413"/>
      <c r="F163" s="43" t="s">
        <v>433</v>
      </c>
      <c r="AK163" s="53">
        <f t="shared" si="26"/>
        <v>0</v>
      </c>
      <c r="AL163" s="54">
        <f t="shared" si="27"/>
        <v>0</v>
      </c>
      <c r="AM163" s="54">
        <f t="shared" si="28"/>
        <v>0</v>
      </c>
      <c r="AN163" s="123">
        <f t="shared" si="30"/>
        <v>0</v>
      </c>
      <c r="AO163" s="44" t="s">
        <v>1389</v>
      </c>
      <c r="AP163" s="38" t="str">
        <f t="shared" si="23"/>
        <v>Exclude</v>
      </c>
    </row>
    <row r="164" spans="1:42" ht="30" hidden="1">
      <c r="A164" s="38" t="str">
        <f t="shared" si="29"/>
        <v>Ausgrid</v>
      </c>
      <c r="B164" s="38" t="s">
        <v>1197</v>
      </c>
      <c r="C164" s="38" t="str">
        <f t="shared" si="24"/>
        <v>Duplicate-POLES  AND OVERHEAD LINES</v>
      </c>
      <c r="D164" s="38" t="str">
        <f t="shared" si="25"/>
        <v>Duplicate-No. of poles ('000s)</v>
      </c>
      <c r="E164" s="413"/>
      <c r="F164" s="43" t="s">
        <v>388</v>
      </c>
      <c r="G164" s="43" t="s">
        <v>726</v>
      </c>
      <c r="H164" s="43" t="s">
        <v>727</v>
      </c>
      <c r="I164" s="41">
        <v>476.87</v>
      </c>
      <c r="J164" s="41">
        <v>477.76</v>
      </c>
      <c r="K164" s="41">
        <v>478.47</v>
      </c>
      <c r="L164" s="41">
        <v>479.86</v>
      </c>
      <c r="M164" s="41">
        <v>480.65</v>
      </c>
      <c r="N164" s="41">
        <v>101.79</v>
      </c>
      <c r="O164" s="41">
        <v>122.75</v>
      </c>
      <c r="P164" s="41">
        <v>114.85</v>
      </c>
      <c r="Q164" s="41">
        <v>114.04</v>
      </c>
      <c r="R164" s="41">
        <v>96.64</v>
      </c>
      <c r="S164" s="41">
        <v>32.35</v>
      </c>
      <c r="T164" s="41">
        <v>32.68</v>
      </c>
      <c r="U164" s="41">
        <v>32.950000000000003</v>
      </c>
      <c r="V164" s="41">
        <v>33.19</v>
      </c>
      <c r="W164" s="41">
        <v>33.53</v>
      </c>
      <c r="Z164" s="40">
        <v>8476.4500000000007</v>
      </c>
      <c r="AA164" s="40">
        <v>2247.85</v>
      </c>
      <c r="AB164" s="40">
        <v>2723.75</v>
      </c>
      <c r="AC164" s="40">
        <v>3135.29</v>
      </c>
      <c r="AD164" s="40">
        <v>3307.51</v>
      </c>
      <c r="AE164" s="40">
        <v>10400.299999999999</v>
      </c>
      <c r="AF164" s="40">
        <v>10123.64</v>
      </c>
      <c r="AG164" s="40">
        <v>7662.76</v>
      </c>
      <c r="AH164" s="40">
        <v>7975.54</v>
      </c>
      <c r="AI164" s="40">
        <v>8487.2800000000007</v>
      </c>
      <c r="AK164" s="45">
        <f t="shared" ref="AK164:AK195" si="31">SUM(N164:R164)</f>
        <v>550.07000000000005</v>
      </c>
      <c r="AL164" s="46">
        <f t="shared" ref="AL164:AL195" si="32">SUM(Z164:AD164)</f>
        <v>19890.849999999999</v>
      </c>
      <c r="AM164" s="46">
        <f t="shared" ref="AM164:AM195" si="33">SUM(AE164:AI164)</f>
        <v>44649.52</v>
      </c>
      <c r="AN164" s="46"/>
      <c r="AO164" s="119" t="s">
        <v>1197</v>
      </c>
      <c r="AP164" s="38" t="str">
        <f t="shared" si="23"/>
        <v>Exclude</v>
      </c>
    </row>
    <row r="165" spans="1:42" ht="90" hidden="1">
      <c r="A165" s="38" t="str">
        <f t="shared" si="29"/>
        <v>Ausgrid</v>
      </c>
      <c r="B165" s="38" t="s">
        <v>1197</v>
      </c>
      <c r="C165" s="38" t="str">
        <f t="shared" si="24"/>
        <v>Duplicate-OH0102 - Patrol - Concrete, wood and steel pole lines including poles, standards, LV pillars and pit lids. Façade Mounted ABC - OVERHEAD LINES</v>
      </c>
      <c r="D165" s="38" t="str">
        <f t="shared" si="25"/>
        <v>Duplicate-No. of poles ('000s)</v>
      </c>
      <c r="E165" s="413"/>
      <c r="F165" s="43" t="s">
        <v>388</v>
      </c>
      <c r="G165" s="43" t="s">
        <v>728</v>
      </c>
      <c r="H165" s="43" t="s">
        <v>727</v>
      </c>
      <c r="X165" s="38">
        <v>5</v>
      </c>
      <c r="Y165" s="38">
        <v>0</v>
      </c>
      <c r="AK165" s="45">
        <f t="shared" si="31"/>
        <v>0</v>
      </c>
      <c r="AL165" s="46">
        <f t="shared" si="32"/>
        <v>0</v>
      </c>
      <c r="AM165" s="46">
        <f t="shared" si="33"/>
        <v>0</v>
      </c>
      <c r="AN165" s="46"/>
      <c r="AO165" s="119" t="s">
        <v>1197</v>
      </c>
      <c r="AP165" s="38" t="str">
        <f t="shared" si="23"/>
        <v>Exclude</v>
      </c>
    </row>
    <row r="166" spans="1:42" ht="30" hidden="1">
      <c r="A166" s="38" t="str">
        <f t="shared" si="29"/>
        <v>Ausgrid</v>
      </c>
      <c r="B166" s="38" t="s">
        <v>1197</v>
      </c>
      <c r="C166" s="38" t="str">
        <f t="shared" si="24"/>
        <v>Duplicate-POLE TOPS AND OVERHEAD LINES - 33 kV and above</v>
      </c>
      <c r="D166" s="38" t="str">
        <f t="shared" si="25"/>
        <v>Duplicate-No. of poles ('000s)</v>
      </c>
      <c r="E166" s="413"/>
      <c r="F166" s="43" t="s">
        <v>388</v>
      </c>
      <c r="G166" s="43" t="s">
        <v>729</v>
      </c>
      <c r="H166" s="43" t="s">
        <v>727</v>
      </c>
      <c r="I166" s="41">
        <v>23.11</v>
      </c>
      <c r="J166" s="41">
        <v>24.06</v>
      </c>
      <c r="K166" s="41">
        <v>24.89</v>
      </c>
      <c r="L166" s="41">
        <v>25.14</v>
      </c>
      <c r="M166" s="41">
        <v>25.01</v>
      </c>
      <c r="N166" s="41">
        <v>3.87</v>
      </c>
      <c r="O166" s="41">
        <v>4.72</v>
      </c>
      <c r="P166" s="41">
        <v>6.54</v>
      </c>
      <c r="Q166" s="41">
        <v>8.9499999999999993</v>
      </c>
      <c r="R166" s="41">
        <v>5.98</v>
      </c>
      <c r="S166" s="41">
        <v>27.02</v>
      </c>
      <c r="T166" s="41">
        <v>26.87</v>
      </c>
      <c r="U166" s="41">
        <v>26.84</v>
      </c>
      <c r="V166" s="41">
        <v>27.14</v>
      </c>
      <c r="W166" s="41">
        <v>27.71</v>
      </c>
      <c r="Z166" s="40">
        <v>53.36</v>
      </c>
      <c r="AA166" s="40">
        <v>262.14</v>
      </c>
      <c r="AB166" s="40">
        <v>123.73</v>
      </c>
      <c r="AC166" s="40">
        <v>223.88</v>
      </c>
      <c r="AD166" s="40">
        <v>86.65</v>
      </c>
      <c r="AE166" s="40">
        <v>124.12</v>
      </c>
      <c r="AF166" s="40">
        <v>125.36</v>
      </c>
      <c r="AG166" s="40">
        <v>399.27</v>
      </c>
      <c r="AH166" s="40">
        <v>775.16</v>
      </c>
      <c r="AI166" s="40">
        <v>941.8</v>
      </c>
      <c r="AK166" s="45">
        <f t="shared" si="31"/>
        <v>30.06</v>
      </c>
      <c r="AL166" s="46">
        <f t="shared" si="32"/>
        <v>749.76</v>
      </c>
      <c r="AM166" s="46">
        <f t="shared" si="33"/>
        <v>2365.71</v>
      </c>
      <c r="AN166" s="46"/>
      <c r="AO166" s="119" t="s">
        <v>1197</v>
      </c>
      <c r="AP166" s="38" t="str">
        <f t="shared" si="23"/>
        <v>Exclude</v>
      </c>
    </row>
    <row r="167" spans="1:42" ht="45" hidden="1">
      <c r="A167" s="38" t="str">
        <f t="shared" si="29"/>
        <v>Ausgrid</v>
      </c>
      <c r="B167" s="38" t="s">
        <v>1197</v>
      </c>
      <c r="C167" s="38" t="str">
        <f t="shared" si="24"/>
        <v>Duplicate-OH0107 - Patrol - Bush Fire Risk Areas and Post Feeder Trip  - OVERHEAD LINES</v>
      </c>
      <c r="D167" s="38" t="str">
        <f t="shared" si="25"/>
        <v>Duplicate-No. of poles ('000s)</v>
      </c>
      <c r="E167" s="413"/>
      <c r="F167" s="43" t="s">
        <v>388</v>
      </c>
      <c r="G167" s="43" t="s">
        <v>730</v>
      </c>
      <c r="H167" s="43" t="s">
        <v>727</v>
      </c>
      <c r="X167" s="38">
        <v>1</v>
      </c>
      <c r="Y167" s="38">
        <v>0</v>
      </c>
      <c r="AK167" s="45">
        <f t="shared" si="31"/>
        <v>0</v>
      </c>
      <c r="AL167" s="46">
        <f t="shared" si="32"/>
        <v>0</v>
      </c>
      <c r="AM167" s="46">
        <f t="shared" si="33"/>
        <v>0</v>
      </c>
      <c r="AN167" s="46"/>
      <c r="AO167" s="119" t="s">
        <v>1197</v>
      </c>
      <c r="AP167" s="38" t="str">
        <f t="shared" si="23"/>
        <v>Exclude</v>
      </c>
    </row>
    <row r="168" spans="1:42" ht="60" hidden="1">
      <c r="A168" s="38" t="str">
        <f t="shared" si="29"/>
        <v>Ausgrid</v>
      </c>
      <c r="B168" s="38" t="s">
        <v>1197</v>
      </c>
      <c r="C168" s="38" t="str">
        <f t="shared" si="24"/>
        <v>Duplicate-OH0112 - Patrol - Subtransmisison Concrete, wood and steel pole lines  - OVERHEAD LINES</v>
      </c>
      <c r="D168" s="38" t="str">
        <f t="shared" si="25"/>
        <v>Duplicate-No. of poles ('000s)</v>
      </c>
      <c r="E168" s="413"/>
      <c r="F168" s="43" t="s">
        <v>388</v>
      </c>
      <c r="G168" s="43" t="s">
        <v>731</v>
      </c>
      <c r="H168" s="43" t="s">
        <v>727</v>
      </c>
      <c r="X168" s="38">
        <v>5</v>
      </c>
      <c r="Y168" s="38">
        <v>0</v>
      </c>
      <c r="AK168" s="45">
        <f t="shared" si="31"/>
        <v>0</v>
      </c>
      <c r="AL168" s="46">
        <f t="shared" si="32"/>
        <v>0</v>
      </c>
      <c r="AM168" s="46">
        <f t="shared" si="33"/>
        <v>0</v>
      </c>
      <c r="AN168" s="46"/>
      <c r="AO168" s="119" t="s">
        <v>1197</v>
      </c>
      <c r="AP168" s="38" t="str">
        <f t="shared" si="23"/>
        <v>Exclude</v>
      </c>
    </row>
    <row r="169" spans="1:42" ht="30" hidden="1">
      <c r="A169" s="38" t="str">
        <f t="shared" si="29"/>
        <v>Ausgrid</v>
      </c>
      <c r="B169" s="38" t="s">
        <v>1197</v>
      </c>
      <c r="C169" s="38" t="str">
        <f t="shared" si="24"/>
        <v>Duplicate-TOWER LINES</v>
      </c>
      <c r="D169" s="38" t="str">
        <f t="shared" si="25"/>
        <v>Duplicate-No. of poles ('000s)</v>
      </c>
      <c r="E169" s="413"/>
      <c r="F169" s="43" t="s">
        <v>388</v>
      </c>
      <c r="G169" s="43" t="s">
        <v>732</v>
      </c>
      <c r="H169" s="43" t="s">
        <v>727</v>
      </c>
      <c r="I169" s="41">
        <v>0.4</v>
      </c>
      <c r="J169" s="41">
        <v>0.4</v>
      </c>
      <c r="K169" s="41">
        <v>0.4</v>
      </c>
      <c r="L169" s="41">
        <v>0.4</v>
      </c>
      <c r="M169" s="41">
        <v>0.4</v>
      </c>
      <c r="N169" s="41">
        <v>0.1</v>
      </c>
      <c r="O169" s="41">
        <v>0.09</v>
      </c>
      <c r="P169" s="41">
        <v>0.05</v>
      </c>
      <c r="Q169" s="41">
        <v>0.05</v>
      </c>
      <c r="R169" s="41">
        <v>0.13</v>
      </c>
      <c r="S169" s="41">
        <v>43.31</v>
      </c>
      <c r="T169" s="41">
        <v>44.3</v>
      </c>
      <c r="U169" s="41">
        <v>45.29</v>
      </c>
      <c r="V169" s="41">
        <v>46.3</v>
      </c>
      <c r="W169" s="41">
        <v>47.3</v>
      </c>
      <c r="Z169" s="40">
        <v>6.54</v>
      </c>
      <c r="AA169" s="40">
        <v>155.78</v>
      </c>
      <c r="AB169" s="40">
        <v>120.3</v>
      </c>
      <c r="AC169" s="40">
        <v>195.04</v>
      </c>
      <c r="AD169" s="40">
        <v>308.08999999999997</v>
      </c>
      <c r="AE169" s="40">
        <v>0</v>
      </c>
      <c r="AF169" s="40">
        <v>0.32</v>
      </c>
      <c r="AG169" s="40">
        <v>23.21</v>
      </c>
      <c r="AH169" s="40">
        <v>73.7</v>
      </c>
      <c r="AI169" s="40">
        <v>405.46</v>
      </c>
      <c r="AK169" s="45">
        <f t="shared" si="31"/>
        <v>0.42</v>
      </c>
      <c r="AL169" s="46">
        <f t="shared" si="32"/>
        <v>785.75</v>
      </c>
      <c r="AM169" s="46">
        <f t="shared" si="33"/>
        <v>502.69</v>
      </c>
      <c r="AN169" s="46"/>
      <c r="AO169" s="119" t="s">
        <v>1197</v>
      </c>
      <c r="AP169" s="38" t="str">
        <f t="shared" si="23"/>
        <v>Exclude</v>
      </c>
    </row>
    <row r="170" spans="1:42" ht="45" hidden="1">
      <c r="A170" s="38" t="str">
        <f t="shared" si="29"/>
        <v>Ausgrid</v>
      </c>
      <c r="B170" s="38" t="s">
        <v>1197</v>
      </c>
      <c r="C170" s="38" t="str">
        <f t="shared" si="24"/>
        <v>Duplicate-OH0103 - Patrol  - Subtransmission, Steel Towers - OVERHEAD LINES</v>
      </c>
      <c r="D170" s="38" t="str">
        <f t="shared" si="25"/>
        <v>Duplicate-No. of poles ('000s)</v>
      </c>
      <c r="E170" s="413"/>
      <c r="F170" s="43" t="s">
        <v>388</v>
      </c>
      <c r="G170" s="43" t="s">
        <v>733</v>
      </c>
      <c r="H170" s="43" t="s">
        <v>727</v>
      </c>
      <c r="X170" s="38">
        <v>5</v>
      </c>
      <c r="Y170" s="38">
        <v>0</v>
      </c>
      <c r="AK170" s="45">
        <f t="shared" si="31"/>
        <v>0</v>
      </c>
      <c r="AL170" s="46">
        <f t="shared" si="32"/>
        <v>0</v>
      </c>
      <c r="AM170" s="46">
        <f t="shared" si="33"/>
        <v>0</v>
      </c>
      <c r="AN170" s="46"/>
      <c r="AO170" s="119" t="s">
        <v>1197</v>
      </c>
      <c r="AP170" s="38" t="str">
        <f t="shared" si="23"/>
        <v>Exclude</v>
      </c>
    </row>
    <row r="171" spans="1:42" ht="30" hidden="1">
      <c r="A171" s="38" t="str">
        <f t="shared" si="29"/>
        <v>Ausgrid</v>
      </c>
      <c r="B171" s="38" t="s">
        <v>1197</v>
      </c>
      <c r="C171" s="38" t="str">
        <f t="shared" si="24"/>
        <v>Duplicate-SERVICE LINES</v>
      </c>
      <c r="D171" s="38" t="str">
        <f t="shared" si="25"/>
        <v>Duplicate-NUMBER OF CUSTOMERS (000'S)</v>
      </c>
      <c r="E171" s="413"/>
      <c r="F171" s="43" t="s">
        <v>388</v>
      </c>
      <c r="G171" s="43" t="s">
        <v>391</v>
      </c>
      <c r="H171" s="43" t="s">
        <v>392</v>
      </c>
      <c r="I171" s="41">
        <v>716.11</v>
      </c>
      <c r="J171" s="41">
        <v>717.45</v>
      </c>
      <c r="K171" s="41">
        <v>718.51</v>
      </c>
      <c r="L171" s="41">
        <v>720.6</v>
      </c>
      <c r="M171" s="41">
        <v>721.78</v>
      </c>
      <c r="N171" s="41">
        <v>0</v>
      </c>
      <c r="O171" s="41">
        <v>0</v>
      </c>
      <c r="P171" s="41">
        <v>0</v>
      </c>
      <c r="Q171" s="41">
        <v>0</v>
      </c>
      <c r="R171" s="41">
        <v>0</v>
      </c>
      <c r="S171" s="41">
        <v>30.21</v>
      </c>
      <c r="T171" s="41">
        <v>30.21</v>
      </c>
      <c r="U171" s="41">
        <v>30.21</v>
      </c>
      <c r="V171" s="41">
        <v>30.21</v>
      </c>
      <c r="W171" s="41">
        <v>30.21</v>
      </c>
      <c r="X171" s="38">
        <v>0</v>
      </c>
      <c r="Y171" s="38">
        <v>0</v>
      </c>
      <c r="Z171" s="40">
        <v>0</v>
      </c>
      <c r="AA171" s="40">
        <v>0</v>
      </c>
      <c r="AB171" s="40">
        <v>0</v>
      </c>
      <c r="AC171" s="40">
        <v>0</v>
      </c>
      <c r="AD171" s="40">
        <v>0</v>
      </c>
      <c r="AE171" s="40">
        <v>43.17</v>
      </c>
      <c r="AF171" s="40">
        <v>172.85</v>
      </c>
      <c r="AG171" s="40">
        <v>195.93</v>
      </c>
      <c r="AH171" s="40">
        <v>302.83</v>
      </c>
      <c r="AI171" s="40">
        <v>210.43</v>
      </c>
      <c r="AK171" s="45">
        <f t="shared" si="31"/>
        <v>0</v>
      </c>
      <c r="AL171" s="46">
        <f t="shared" si="32"/>
        <v>0</v>
      </c>
      <c r="AM171" s="46">
        <f t="shared" si="33"/>
        <v>925.21</v>
      </c>
      <c r="AN171" s="46"/>
      <c r="AO171" s="119" t="s">
        <v>1197</v>
      </c>
      <c r="AP171" s="38" t="str">
        <f t="shared" si="23"/>
        <v>Exclude</v>
      </c>
    </row>
    <row r="172" spans="1:42" hidden="1">
      <c r="A172" s="38" t="str">
        <f t="shared" si="29"/>
        <v>Ausgrid</v>
      </c>
      <c r="B172" s="38" t="s">
        <v>1197</v>
      </c>
      <c r="C172" s="38" t="str">
        <f t="shared" si="24"/>
        <v>Duplicate-ALL POLES</v>
      </c>
      <c r="D172" s="38" t="str">
        <f t="shared" si="25"/>
        <v>Duplicate-</v>
      </c>
      <c r="E172" s="413"/>
      <c r="F172" s="43" t="s">
        <v>393</v>
      </c>
      <c r="G172" s="43" t="s">
        <v>394</v>
      </c>
      <c r="I172" s="41">
        <v>505.12</v>
      </c>
      <c r="J172" s="41">
        <v>506.45</v>
      </c>
      <c r="K172" s="41">
        <v>507.43</v>
      </c>
      <c r="L172" s="41">
        <v>508.92</v>
      </c>
      <c r="M172" s="41">
        <v>509.5</v>
      </c>
      <c r="N172" s="41">
        <v>132.03</v>
      </c>
      <c r="O172" s="41">
        <v>133.34</v>
      </c>
      <c r="P172" s="41">
        <v>132.29</v>
      </c>
      <c r="Q172" s="41">
        <v>118.69</v>
      </c>
      <c r="R172" s="41">
        <v>101.83</v>
      </c>
      <c r="S172" s="41">
        <v>32.090000000000003</v>
      </c>
      <c r="T172" s="41">
        <v>32.369999999999997</v>
      </c>
      <c r="U172" s="41">
        <v>32.61</v>
      </c>
      <c r="V172" s="41">
        <v>32.85</v>
      </c>
      <c r="W172" s="41">
        <v>33.21</v>
      </c>
      <c r="Z172" s="40">
        <v>7610.73</v>
      </c>
      <c r="AA172" s="40">
        <v>10719.98</v>
      </c>
      <c r="AB172" s="40">
        <v>10956.22</v>
      </c>
      <c r="AC172" s="40">
        <v>8823.98</v>
      </c>
      <c r="AD172" s="40">
        <v>6009.44</v>
      </c>
      <c r="AE172" s="40">
        <v>713.07</v>
      </c>
      <c r="AF172" s="40">
        <v>634.47</v>
      </c>
      <c r="AG172" s="40">
        <v>641.4</v>
      </c>
      <c r="AH172" s="40">
        <v>644.79</v>
      </c>
      <c r="AI172" s="40">
        <v>524.89</v>
      </c>
      <c r="AK172" s="45">
        <f t="shared" si="31"/>
        <v>618.17999999999995</v>
      </c>
      <c r="AL172" s="46">
        <f t="shared" si="32"/>
        <v>44120.350000000006</v>
      </c>
      <c r="AM172" s="46">
        <f t="shared" si="33"/>
        <v>3158.62</v>
      </c>
      <c r="AN172" s="46"/>
      <c r="AO172" s="119" t="s">
        <v>1197</v>
      </c>
      <c r="AP172" s="38" t="str">
        <f t="shared" si="23"/>
        <v>Exclude</v>
      </c>
    </row>
    <row r="173" spans="1:42" ht="60" hidden="1">
      <c r="A173" s="38" t="str">
        <f t="shared" si="29"/>
        <v>Ausgrid</v>
      </c>
      <c r="B173" s="38" t="s">
        <v>1197</v>
      </c>
      <c r="C173" s="38" t="str">
        <f t="shared" si="24"/>
        <v>Duplicate-OH0105 - Polebase Examination (all poles and standards). - OVERHEAD LINES</v>
      </c>
      <c r="D173" s="38" t="str">
        <f t="shared" si="25"/>
        <v>Duplicate-</v>
      </c>
      <c r="E173" s="413"/>
      <c r="F173" s="43" t="s">
        <v>393</v>
      </c>
      <c r="G173" s="43" t="s">
        <v>734</v>
      </c>
      <c r="X173" s="38">
        <v>5</v>
      </c>
      <c r="Y173" s="38">
        <v>0</v>
      </c>
      <c r="AK173" s="45">
        <f t="shared" si="31"/>
        <v>0</v>
      </c>
      <c r="AL173" s="46">
        <f t="shared" si="32"/>
        <v>0</v>
      </c>
      <c r="AM173" s="46">
        <f t="shared" si="33"/>
        <v>0</v>
      </c>
      <c r="AN173" s="46"/>
      <c r="AO173" s="119" t="s">
        <v>1197</v>
      </c>
      <c r="AP173" s="38" t="str">
        <f t="shared" si="23"/>
        <v>Exclude</v>
      </c>
    </row>
    <row r="174" spans="1:42" hidden="1">
      <c r="A174" s="38" t="str">
        <f t="shared" si="29"/>
        <v>Ausgrid</v>
      </c>
      <c r="B174" s="38" t="s">
        <v>1197</v>
      </c>
      <c r="C174" s="38" t="str">
        <f t="shared" si="24"/>
        <v>Duplicate-ALL OVERHEAD ASSETS</v>
      </c>
      <c r="D174" s="38" t="str">
        <f t="shared" si="25"/>
        <v xml:space="preserve">Duplicate-Line patrolled (route km) </v>
      </c>
      <c r="E174" s="413"/>
      <c r="F174" s="43" t="s">
        <v>395</v>
      </c>
      <c r="G174" s="43" t="s">
        <v>396</v>
      </c>
      <c r="H174" s="43" t="s">
        <v>735</v>
      </c>
      <c r="I174" s="41">
        <v>25934</v>
      </c>
      <c r="J174" s="41">
        <v>25966.7</v>
      </c>
      <c r="K174" s="41">
        <v>26138.7</v>
      </c>
      <c r="L174" s="41">
        <v>26084.7</v>
      </c>
      <c r="M174" s="41">
        <v>26071.9</v>
      </c>
      <c r="N174" s="41">
        <v>5470.2</v>
      </c>
      <c r="O174" s="41">
        <v>6590.13</v>
      </c>
      <c r="P174" s="41">
        <v>6305.92</v>
      </c>
      <c r="Q174" s="41">
        <v>6377.25</v>
      </c>
      <c r="R174" s="41">
        <v>5290.83</v>
      </c>
      <c r="S174" s="41">
        <v>37.450000000000003</v>
      </c>
      <c r="T174" s="41">
        <v>37.9</v>
      </c>
      <c r="U174" s="41">
        <v>36.659999999999997</v>
      </c>
      <c r="V174" s="41">
        <v>36.97</v>
      </c>
      <c r="W174" s="41">
        <v>37.159999999999997</v>
      </c>
      <c r="X174" s="38">
        <v>0</v>
      </c>
      <c r="Y174" s="38">
        <v>0</v>
      </c>
      <c r="Z174" s="40">
        <v>2629.82</v>
      </c>
      <c r="AA174" s="40">
        <v>3836.64</v>
      </c>
      <c r="AB174" s="40">
        <v>4302.7</v>
      </c>
      <c r="AC174" s="40">
        <v>4069.48</v>
      </c>
      <c r="AD174" s="40">
        <v>3282.58</v>
      </c>
      <c r="AE174" s="40">
        <v>0</v>
      </c>
      <c r="AF174" s="40">
        <v>0</v>
      </c>
      <c r="AG174" s="40">
        <v>0</v>
      </c>
      <c r="AH174" s="40">
        <v>0</v>
      </c>
      <c r="AI174" s="40">
        <v>0</v>
      </c>
      <c r="AK174" s="45">
        <f t="shared" si="31"/>
        <v>30034.33</v>
      </c>
      <c r="AL174" s="46">
        <f t="shared" si="32"/>
        <v>18121.22</v>
      </c>
      <c r="AM174" s="46">
        <f t="shared" si="33"/>
        <v>0</v>
      </c>
      <c r="AN174" s="46"/>
      <c r="AO174" s="119" t="s">
        <v>1197</v>
      </c>
      <c r="AP174" s="38" t="str">
        <f t="shared" si="23"/>
        <v>Exclude</v>
      </c>
    </row>
    <row r="175" spans="1:42" ht="90" hidden="1">
      <c r="A175" s="38" t="str">
        <f t="shared" si="29"/>
        <v>Ausgrid</v>
      </c>
      <c r="B175" s="38" t="s">
        <v>1197</v>
      </c>
      <c r="C175" s="38" t="str">
        <f t="shared" si="24"/>
        <v>Duplicate-OH0102 - Patrol - Concrete, wood and steel pole lines including poles, standards, LV pillars and pit lids. Façade Mounted ABC - OVERHEAD LINES</v>
      </c>
      <c r="D175" s="38" t="str">
        <f t="shared" si="25"/>
        <v>Duplicate-</v>
      </c>
      <c r="E175" s="413"/>
      <c r="F175" s="43" t="s">
        <v>395</v>
      </c>
      <c r="G175" s="43" t="s">
        <v>728</v>
      </c>
      <c r="X175" s="38">
        <v>5</v>
      </c>
      <c r="Y175" s="38">
        <v>0</v>
      </c>
      <c r="AK175" s="45">
        <f t="shared" si="31"/>
        <v>0</v>
      </c>
      <c r="AL175" s="46">
        <f t="shared" si="32"/>
        <v>0</v>
      </c>
      <c r="AM175" s="46">
        <f t="shared" si="33"/>
        <v>0</v>
      </c>
      <c r="AN175" s="46"/>
      <c r="AO175" s="119" t="s">
        <v>1197</v>
      </c>
      <c r="AP175" s="38" t="str">
        <f t="shared" si="23"/>
        <v>Exclude</v>
      </c>
    </row>
    <row r="176" spans="1:42" ht="60" hidden="1">
      <c r="A176" s="38" t="str">
        <f t="shared" si="29"/>
        <v>Ausgrid</v>
      </c>
      <c r="B176" s="38" t="s">
        <v>1197</v>
      </c>
      <c r="C176" s="38" t="str">
        <f t="shared" si="24"/>
        <v>Duplicate-OH0112 - Patrol - Subtransmisison Concrete, wood and steel pole lines  - OVERHEAD LINES</v>
      </c>
      <c r="D176" s="38" t="str">
        <f t="shared" si="25"/>
        <v>Duplicate-</v>
      </c>
      <c r="E176" s="413"/>
      <c r="F176" s="43" t="s">
        <v>395</v>
      </c>
      <c r="G176" s="43" t="s">
        <v>731</v>
      </c>
      <c r="X176" s="38">
        <v>5</v>
      </c>
      <c r="Y176" s="38">
        <v>0</v>
      </c>
      <c r="AK176" s="45">
        <f t="shared" si="31"/>
        <v>0</v>
      </c>
      <c r="AL176" s="46">
        <f t="shared" si="32"/>
        <v>0</v>
      </c>
      <c r="AM176" s="46">
        <f t="shared" si="33"/>
        <v>0</v>
      </c>
      <c r="AN176" s="46"/>
      <c r="AO176" s="119" t="s">
        <v>1197</v>
      </c>
      <c r="AP176" s="38" t="str">
        <f t="shared" si="23"/>
        <v>Exclude</v>
      </c>
    </row>
    <row r="177" spans="1:42" ht="45" hidden="1">
      <c r="A177" s="38" t="str">
        <f t="shared" si="29"/>
        <v>Ausgrid</v>
      </c>
      <c r="B177" s="38" t="s">
        <v>1197</v>
      </c>
      <c r="C177" s="38" t="str">
        <f t="shared" si="24"/>
        <v>Duplicate-OH0107 - Patrol - Bush Fire Risk Areas and Post Feeder Trip  - OVERHEAD LINES</v>
      </c>
      <c r="D177" s="38" t="str">
        <f t="shared" si="25"/>
        <v>Duplicate-</v>
      </c>
      <c r="E177" s="413"/>
      <c r="F177" s="43" t="s">
        <v>395</v>
      </c>
      <c r="G177" s="43" t="s">
        <v>730</v>
      </c>
      <c r="X177" s="38">
        <v>1</v>
      </c>
      <c r="Y177" s="38">
        <v>0</v>
      </c>
      <c r="AK177" s="45">
        <f t="shared" si="31"/>
        <v>0</v>
      </c>
      <c r="AL177" s="46">
        <f t="shared" si="32"/>
        <v>0</v>
      </c>
      <c r="AM177" s="46">
        <f t="shared" si="33"/>
        <v>0</v>
      </c>
      <c r="AN177" s="46"/>
      <c r="AO177" s="119" t="s">
        <v>1197</v>
      </c>
      <c r="AP177" s="38" t="str">
        <f t="shared" si="23"/>
        <v>Exclude</v>
      </c>
    </row>
    <row r="178" spans="1:42" ht="30" hidden="1">
      <c r="A178" s="38" t="str">
        <f t="shared" si="29"/>
        <v>Ausgrid</v>
      </c>
      <c r="B178" s="38" t="s">
        <v>1197</v>
      </c>
      <c r="C178" s="38" t="str">
        <f t="shared" si="24"/>
        <v>Duplicate-LV - 11 to 22 kV</v>
      </c>
      <c r="D178" s="38" t="str">
        <f t="shared" si="25"/>
        <v>Duplicate-Length (km) (inspected qty in  '000s tasks)</v>
      </c>
      <c r="E178" s="413"/>
      <c r="F178" s="43" t="s">
        <v>398</v>
      </c>
      <c r="G178" s="43" t="s">
        <v>736</v>
      </c>
      <c r="H178" s="43" t="s">
        <v>737</v>
      </c>
      <c r="I178" s="41">
        <v>12131</v>
      </c>
      <c r="J178" s="41">
        <v>12362</v>
      </c>
      <c r="K178" s="41">
        <v>12721</v>
      </c>
      <c r="L178" s="41">
        <v>13126</v>
      </c>
      <c r="M178" s="41">
        <v>13462</v>
      </c>
      <c r="N178" s="41">
        <v>18.95</v>
      </c>
      <c r="O178" s="41">
        <v>17.66</v>
      </c>
      <c r="P178" s="41">
        <v>16.02</v>
      </c>
      <c r="Q178" s="41">
        <v>18.66</v>
      </c>
      <c r="R178" s="41">
        <v>19.760000000000002</v>
      </c>
      <c r="S178" s="41">
        <v>31.36</v>
      </c>
      <c r="T178" s="41">
        <v>31.44</v>
      </c>
      <c r="U178" s="41">
        <v>30.33</v>
      </c>
      <c r="V178" s="41">
        <v>29.51</v>
      </c>
      <c r="W178" s="41">
        <v>29.19</v>
      </c>
      <c r="X178" s="38">
        <v>0</v>
      </c>
      <c r="Y178" s="38">
        <v>0</v>
      </c>
      <c r="Z178" s="40">
        <v>626.49</v>
      </c>
      <c r="AA178" s="40">
        <v>2125.2600000000002</v>
      </c>
      <c r="AB178" s="40">
        <v>1222.75</v>
      </c>
      <c r="AC178" s="40">
        <v>1127.03</v>
      </c>
      <c r="AD178" s="40">
        <v>1441.4</v>
      </c>
      <c r="AE178" s="40">
        <v>2616</v>
      </c>
      <c r="AF178" s="40">
        <v>2762.97</v>
      </c>
      <c r="AG178" s="40">
        <v>3000.59</v>
      </c>
      <c r="AH178" s="40">
        <v>3090.93</v>
      </c>
      <c r="AI178" s="40">
        <v>2699.53</v>
      </c>
      <c r="AK178" s="45">
        <f t="shared" si="31"/>
        <v>91.05</v>
      </c>
      <c r="AL178" s="46">
        <f t="shared" si="32"/>
        <v>6542.93</v>
      </c>
      <c r="AM178" s="46">
        <f t="shared" si="33"/>
        <v>14170.02</v>
      </c>
      <c r="AN178" s="46"/>
      <c r="AO178" s="119" t="s">
        <v>1197</v>
      </c>
      <c r="AP178" s="38" t="str">
        <f t="shared" si="23"/>
        <v>Exclude</v>
      </c>
    </row>
    <row r="179" spans="1:42" ht="30" hidden="1">
      <c r="A179" s="38" t="str">
        <f t="shared" ref="A179:A242" si="34">IF(E179&gt;0,E179,A178)</f>
        <v>Ausgrid</v>
      </c>
      <c r="B179" s="38" t="s">
        <v>1197</v>
      </c>
      <c r="C179" s="38" t="str">
        <f t="shared" si="24"/>
        <v>Duplicate-UG2101 - Low Voltage all types - LV PILLARS</v>
      </c>
      <c r="D179" s="38" t="str">
        <f t="shared" si="25"/>
        <v>Duplicate-</v>
      </c>
      <c r="E179" s="413"/>
      <c r="F179" s="43" t="s">
        <v>398</v>
      </c>
      <c r="G179" s="43" t="s">
        <v>738</v>
      </c>
      <c r="X179" s="38">
        <v>6</v>
      </c>
      <c r="Y179" s="38">
        <v>0</v>
      </c>
      <c r="AK179" s="45">
        <f t="shared" si="31"/>
        <v>0</v>
      </c>
      <c r="AL179" s="46">
        <f t="shared" si="32"/>
        <v>0</v>
      </c>
      <c r="AM179" s="46">
        <f t="shared" si="33"/>
        <v>0</v>
      </c>
      <c r="AN179" s="46"/>
      <c r="AO179" s="119" t="s">
        <v>1197</v>
      </c>
      <c r="AP179" s="38" t="str">
        <f t="shared" si="23"/>
        <v>Exclude</v>
      </c>
    </row>
    <row r="180" spans="1:42" ht="75" hidden="1">
      <c r="A180" s="38" t="str">
        <f t="shared" si="34"/>
        <v>Ausgrid</v>
      </c>
      <c r="B180" s="38" t="s">
        <v>1197</v>
      </c>
      <c r="C180" s="38" t="str">
        <f t="shared" si="24"/>
        <v>Duplicate-OH0102 - Patrol - Concrete, wood and steel pole lines including poles, standards, LV pillars and pit lids. Façade Mounted ABC</v>
      </c>
      <c r="D180" s="38" t="str">
        <f t="shared" si="25"/>
        <v>Duplicate-</v>
      </c>
      <c r="E180" s="413"/>
      <c r="F180" s="43" t="s">
        <v>398</v>
      </c>
      <c r="G180" s="43" t="s">
        <v>739</v>
      </c>
      <c r="X180" s="38">
        <v>5</v>
      </c>
      <c r="Y180" s="38">
        <v>0</v>
      </c>
      <c r="AK180" s="45">
        <f t="shared" si="31"/>
        <v>0</v>
      </c>
      <c r="AL180" s="46">
        <f t="shared" si="32"/>
        <v>0</v>
      </c>
      <c r="AM180" s="46">
        <f t="shared" si="33"/>
        <v>0</v>
      </c>
      <c r="AN180" s="46"/>
      <c r="AO180" s="119" t="s">
        <v>1197</v>
      </c>
      <c r="AP180" s="38" t="str">
        <f t="shared" si="23"/>
        <v>Exclude</v>
      </c>
    </row>
    <row r="181" spans="1:42" ht="30" hidden="1">
      <c r="A181" s="38" t="str">
        <f t="shared" si="34"/>
        <v>Ausgrid</v>
      </c>
      <c r="B181" s="38" t="s">
        <v>1197</v>
      </c>
      <c r="C181" s="38" t="str">
        <f t="shared" si="24"/>
        <v>Duplicate-33 kV and above</v>
      </c>
      <c r="D181" s="38" t="str">
        <f t="shared" si="25"/>
        <v>Duplicate-Length (km) (inspected qty in  '000s tasks)</v>
      </c>
      <c r="E181" s="413"/>
      <c r="F181" s="43" t="s">
        <v>398</v>
      </c>
      <c r="G181" s="43" t="s">
        <v>740</v>
      </c>
      <c r="H181" s="43" t="s">
        <v>737</v>
      </c>
      <c r="I181" s="41">
        <v>462.3</v>
      </c>
      <c r="J181" s="41">
        <v>468.58</v>
      </c>
      <c r="K181" s="41">
        <v>467.59</v>
      </c>
      <c r="L181" s="41">
        <v>468.25</v>
      </c>
      <c r="M181" s="41">
        <v>472.88</v>
      </c>
      <c r="N181" s="41">
        <v>0.15</v>
      </c>
      <c r="O181" s="41">
        <v>0.17</v>
      </c>
      <c r="P181" s="41">
        <v>0.15</v>
      </c>
      <c r="Q181" s="41">
        <v>0.12</v>
      </c>
      <c r="R181" s="41">
        <v>0.2</v>
      </c>
      <c r="S181" s="41">
        <v>42.38</v>
      </c>
      <c r="T181" s="41">
        <v>41.8</v>
      </c>
      <c r="U181" s="41">
        <v>39.61</v>
      </c>
      <c r="V181" s="41">
        <v>38.229999999999997</v>
      </c>
      <c r="W181" s="41">
        <v>38.11</v>
      </c>
      <c r="X181" s="38">
        <v>0</v>
      </c>
      <c r="Y181" s="38">
        <v>0</v>
      </c>
      <c r="Z181" s="40">
        <v>316.18</v>
      </c>
      <c r="AA181" s="40">
        <v>381.89</v>
      </c>
      <c r="AB181" s="40">
        <v>603.63</v>
      </c>
      <c r="AC181" s="40">
        <v>724.88</v>
      </c>
      <c r="AD181" s="40">
        <v>1031.92</v>
      </c>
      <c r="AE181" s="40">
        <v>227.82</v>
      </c>
      <c r="AF181" s="40">
        <v>1046.1199999999999</v>
      </c>
      <c r="AG181" s="40">
        <v>1137.8399999999999</v>
      </c>
      <c r="AH181" s="40">
        <v>805.55</v>
      </c>
      <c r="AI181" s="40">
        <v>1471.79</v>
      </c>
      <c r="AK181" s="45">
        <f t="shared" si="31"/>
        <v>0.79</v>
      </c>
      <c r="AL181" s="46">
        <f t="shared" si="32"/>
        <v>3058.5</v>
      </c>
      <c r="AM181" s="46">
        <f t="shared" si="33"/>
        <v>4689.12</v>
      </c>
      <c r="AN181" s="46"/>
      <c r="AO181" s="119" t="s">
        <v>1197</v>
      </c>
      <c r="AP181" s="38" t="str">
        <f t="shared" si="23"/>
        <v>Exclude</v>
      </c>
    </row>
    <row r="182" spans="1:42" ht="45" hidden="1">
      <c r="A182" s="38" t="str">
        <f t="shared" si="34"/>
        <v>Ausgrid</v>
      </c>
      <c r="B182" s="38" t="s">
        <v>1197</v>
      </c>
      <c r="C182" s="38" t="str">
        <f t="shared" si="24"/>
        <v>Duplicate-UG0104 - Oil Filled Cables, 132 and 33kV - 132KV CABLES</v>
      </c>
      <c r="D182" s="38" t="str">
        <f t="shared" si="25"/>
        <v>Duplicate-</v>
      </c>
      <c r="E182" s="413"/>
      <c r="F182" s="43" t="s">
        <v>398</v>
      </c>
      <c r="G182" s="43" t="s">
        <v>741</v>
      </c>
      <c r="X182" s="38">
        <v>5</v>
      </c>
      <c r="Y182" s="38">
        <v>0</v>
      </c>
      <c r="AK182" s="45">
        <f t="shared" si="31"/>
        <v>0</v>
      </c>
      <c r="AL182" s="46">
        <f t="shared" si="32"/>
        <v>0</v>
      </c>
      <c r="AM182" s="46">
        <f t="shared" si="33"/>
        <v>0</v>
      </c>
      <c r="AN182" s="46"/>
      <c r="AO182" s="119" t="s">
        <v>1197</v>
      </c>
      <c r="AP182" s="38" t="str">
        <f t="shared" si="23"/>
        <v>Exclude</v>
      </c>
    </row>
    <row r="183" spans="1:42" ht="45" hidden="1">
      <c r="A183" s="38" t="str">
        <f t="shared" si="34"/>
        <v>Ausgrid</v>
      </c>
      <c r="B183" s="38" t="s">
        <v>1197</v>
      </c>
      <c r="C183" s="38" t="str">
        <f t="shared" si="24"/>
        <v>Duplicate-UG0102 - Oil Filled Cables, 132 and 33kV - 132KV CABLES</v>
      </c>
      <c r="D183" s="38" t="str">
        <f t="shared" si="25"/>
        <v>Duplicate-</v>
      </c>
      <c r="E183" s="413"/>
      <c r="F183" s="43" t="s">
        <v>398</v>
      </c>
      <c r="G183" s="43" t="s">
        <v>742</v>
      </c>
      <c r="X183" s="38">
        <v>0.25</v>
      </c>
      <c r="Y183" s="38">
        <v>0</v>
      </c>
      <c r="AK183" s="45">
        <f t="shared" si="31"/>
        <v>0</v>
      </c>
      <c r="AL183" s="46">
        <f t="shared" si="32"/>
        <v>0</v>
      </c>
      <c r="AM183" s="46">
        <f t="shared" si="33"/>
        <v>0</v>
      </c>
      <c r="AN183" s="46"/>
      <c r="AO183" s="119" t="s">
        <v>1197</v>
      </c>
      <c r="AP183" s="38" t="str">
        <f t="shared" si="23"/>
        <v>Exclude</v>
      </c>
    </row>
    <row r="184" spans="1:42" ht="45" hidden="1">
      <c r="A184" s="38" t="str">
        <f t="shared" si="34"/>
        <v>Ausgrid</v>
      </c>
      <c r="B184" s="38" t="s">
        <v>1197</v>
      </c>
      <c r="C184" s="38" t="str">
        <f t="shared" si="24"/>
        <v>Duplicate-UG0103 - Oil Filled Cables, 132 and 33kV - 132KV CABLES</v>
      </c>
      <c r="D184" s="38" t="str">
        <f t="shared" si="25"/>
        <v>Duplicate-</v>
      </c>
      <c r="E184" s="413"/>
      <c r="F184" s="43" t="s">
        <v>398</v>
      </c>
      <c r="G184" s="43" t="s">
        <v>743</v>
      </c>
      <c r="X184" s="38">
        <v>0.5</v>
      </c>
      <c r="Y184" s="38">
        <v>0</v>
      </c>
      <c r="AK184" s="45">
        <f t="shared" si="31"/>
        <v>0</v>
      </c>
      <c r="AL184" s="46">
        <f t="shared" si="32"/>
        <v>0</v>
      </c>
      <c r="AM184" s="46">
        <f t="shared" si="33"/>
        <v>0</v>
      </c>
      <c r="AN184" s="46"/>
      <c r="AO184" s="119" t="s">
        <v>1197</v>
      </c>
      <c r="AP184" s="38" t="str">
        <f t="shared" si="23"/>
        <v>Exclude</v>
      </c>
    </row>
    <row r="185" spans="1:42" ht="45" hidden="1">
      <c r="A185" s="38" t="str">
        <f t="shared" si="34"/>
        <v>Ausgrid</v>
      </c>
      <c r="B185" s="38" t="s">
        <v>1197</v>
      </c>
      <c r="C185" s="38" t="str">
        <f t="shared" si="24"/>
        <v>Duplicate-UG0102 - Oil Filled Cables, 132 and 33kV - 132KV CABLES</v>
      </c>
      <c r="D185" s="38" t="str">
        <f t="shared" si="25"/>
        <v>Duplicate-</v>
      </c>
      <c r="E185" s="413"/>
      <c r="F185" s="43" t="s">
        <v>398</v>
      </c>
      <c r="G185" s="43" t="s">
        <v>742</v>
      </c>
      <c r="X185" s="38">
        <v>0.5</v>
      </c>
      <c r="Y185" s="38">
        <v>0</v>
      </c>
      <c r="AK185" s="45">
        <f t="shared" si="31"/>
        <v>0</v>
      </c>
      <c r="AL185" s="46">
        <f t="shared" si="32"/>
        <v>0</v>
      </c>
      <c r="AM185" s="46">
        <f t="shared" si="33"/>
        <v>0</v>
      </c>
      <c r="AN185" s="46"/>
      <c r="AO185" s="119" t="s">
        <v>1197</v>
      </c>
      <c r="AP185" s="38" t="str">
        <f t="shared" si="23"/>
        <v>Exclude</v>
      </c>
    </row>
    <row r="186" spans="1:42" ht="45" hidden="1">
      <c r="A186" s="38" t="str">
        <f t="shared" si="34"/>
        <v>Ausgrid</v>
      </c>
      <c r="B186" s="38" t="s">
        <v>1197</v>
      </c>
      <c r="C186" s="38" t="str">
        <f t="shared" si="24"/>
        <v>Duplicate-UG0103 - Oil Filled Cables, 132 and 33kV - 132KV CABLES</v>
      </c>
      <c r="D186" s="38" t="str">
        <f t="shared" si="25"/>
        <v>Duplicate-</v>
      </c>
      <c r="E186" s="413"/>
      <c r="F186" s="43" t="s">
        <v>398</v>
      </c>
      <c r="G186" s="43" t="s">
        <v>743</v>
      </c>
      <c r="X186" s="38">
        <v>1</v>
      </c>
      <c r="Y186" s="38">
        <v>0</v>
      </c>
      <c r="AK186" s="45">
        <f t="shared" si="31"/>
        <v>0</v>
      </c>
      <c r="AL186" s="46">
        <f t="shared" si="32"/>
        <v>0</v>
      </c>
      <c r="AM186" s="46">
        <f t="shared" si="33"/>
        <v>0</v>
      </c>
      <c r="AN186" s="46"/>
      <c r="AO186" s="119" t="s">
        <v>1197</v>
      </c>
      <c r="AP186" s="38" t="str">
        <f t="shared" si="23"/>
        <v>Exclude</v>
      </c>
    </row>
    <row r="187" spans="1:42" ht="45" hidden="1">
      <c r="A187" s="38" t="str">
        <f t="shared" si="34"/>
        <v>Ausgrid</v>
      </c>
      <c r="B187" s="38" t="s">
        <v>1197</v>
      </c>
      <c r="C187" s="38" t="str">
        <f t="shared" si="24"/>
        <v>Duplicate-UG0105 - Oil Filled Cables, 132 and 33kV - 132KV CABLES</v>
      </c>
      <c r="D187" s="38" t="str">
        <f t="shared" si="25"/>
        <v>Duplicate-</v>
      </c>
      <c r="E187" s="413"/>
      <c r="F187" s="43" t="s">
        <v>398</v>
      </c>
      <c r="G187" s="43" t="s">
        <v>744</v>
      </c>
      <c r="X187" s="38">
        <v>5</v>
      </c>
      <c r="Y187" s="38">
        <v>0</v>
      </c>
      <c r="AK187" s="45">
        <f t="shared" si="31"/>
        <v>0</v>
      </c>
      <c r="AL187" s="46">
        <f t="shared" si="32"/>
        <v>0</v>
      </c>
      <c r="AM187" s="46">
        <f t="shared" si="33"/>
        <v>0</v>
      </c>
      <c r="AN187" s="46"/>
      <c r="AO187" s="119" t="s">
        <v>1197</v>
      </c>
      <c r="AP187" s="38" t="str">
        <f t="shared" si="23"/>
        <v>Exclude</v>
      </c>
    </row>
    <row r="188" spans="1:42" ht="45" hidden="1">
      <c r="A188" s="38" t="str">
        <f t="shared" si="34"/>
        <v>Ausgrid</v>
      </c>
      <c r="B188" s="38" t="s">
        <v>1197</v>
      </c>
      <c r="C188" s="38" t="str">
        <f t="shared" si="24"/>
        <v>Duplicate-UG0105 - Oil Filled Cables, 132 and 33kV - 132KV CABLES</v>
      </c>
      <c r="D188" s="38" t="str">
        <f t="shared" si="25"/>
        <v>Duplicate-</v>
      </c>
      <c r="E188" s="413"/>
      <c r="F188" s="43" t="s">
        <v>398</v>
      </c>
      <c r="G188" s="43" t="s">
        <v>744</v>
      </c>
      <c r="X188" s="38">
        <v>10</v>
      </c>
      <c r="Y188" s="38">
        <v>0</v>
      </c>
      <c r="AK188" s="45">
        <f t="shared" si="31"/>
        <v>0</v>
      </c>
      <c r="AL188" s="46">
        <f t="shared" si="32"/>
        <v>0</v>
      </c>
      <c r="AM188" s="46">
        <f t="shared" si="33"/>
        <v>0</v>
      </c>
      <c r="AN188" s="46"/>
      <c r="AO188" s="119" t="s">
        <v>1197</v>
      </c>
      <c r="AP188" s="38" t="str">
        <f t="shared" si="23"/>
        <v>Exclude</v>
      </c>
    </row>
    <row r="189" spans="1:42" ht="30" hidden="1">
      <c r="A189" s="38" t="str">
        <f t="shared" si="34"/>
        <v>Ausgrid</v>
      </c>
      <c r="B189" s="38" t="s">
        <v>1197</v>
      </c>
      <c r="C189" s="38" t="str">
        <f t="shared" si="24"/>
        <v>Duplicate-UG0104 - Oil Filled Cables, 132 and 33kV - 66KV CABLES</v>
      </c>
      <c r="D189" s="38" t="str">
        <f t="shared" si="25"/>
        <v>Duplicate-</v>
      </c>
      <c r="E189" s="413"/>
      <c r="F189" s="43" t="s">
        <v>398</v>
      </c>
      <c r="G189" s="43" t="s">
        <v>745</v>
      </c>
      <c r="X189" s="38">
        <v>5</v>
      </c>
      <c r="Y189" s="38">
        <v>0</v>
      </c>
      <c r="AK189" s="45">
        <f t="shared" si="31"/>
        <v>0</v>
      </c>
      <c r="AL189" s="46">
        <f t="shared" si="32"/>
        <v>0</v>
      </c>
      <c r="AM189" s="46">
        <f t="shared" si="33"/>
        <v>0</v>
      </c>
      <c r="AN189" s="46"/>
      <c r="AO189" s="119" t="s">
        <v>1197</v>
      </c>
      <c r="AP189" s="38" t="str">
        <f t="shared" si="23"/>
        <v>Exclude</v>
      </c>
    </row>
    <row r="190" spans="1:42" ht="30" hidden="1">
      <c r="A190" s="38" t="str">
        <f t="shared" si="34"/>
        <v>Ausgrid</v>
      </c>
      <c r="B190" s="38" t="s">
        <v>1197</v>
      </c>
      <c r="C190" s="38" t="str">
        <f t="shared" si="24"/>
        <v>Duplicate-UG0103 - Oil Filled Cables, 132 and 33kV - 66KV CABLES</v>
      </c>
      <c r="D190" s="38" t="str">
        <f t="shared" si="25"/>
        <v>Duplicate-</v>
      </c>
      <c r="E190" s="413"/>
      <c r="F190" s="43" t="s">
        <v>398</v>
      </c>
      <c r="G190" s="43" t="s">
        <v>746</v>
      </c>
      <c r="X190" s="38">
        <v>1</v>
      </c>
      <c r="Y190" s="38">
        <v>0</v>
      </c>
      <c r="AK190" s="45">
        <f t="shared" si="31"/>
        <v>0</v>
      </c>
      <c r="AL190" s="46">
        <f t="shared" si="32"/>
        <v>0</v>
      </c>
      <c r="AM190" s="46">
        <f t="shared" si="33"/>
        <v>0</v>
      </c>
      <c r="AN190" s="46"/>
      <c r="AO190" s="119" t="s">
        <v>1197</v>
      </c>
      <c r="AP190" s="38" t="str">
        <f t="shared" si="23"/>
        <v>Exclude</v>
      </c>
    </row>
    <row r="191" spans="1:42" ht="30" hidden="1">
      <c r="A191" s="38" t="str">
        <f t="shared" si="34"/>
        <v>Ausgrid</v>
      </c>
      <c r="B191" s="38" t="s">
        <v>1197</v>
      </c>
      <c r="C191" s="38" t="str">
        <f t="shared" si="24"/>
        <v>Duplicate-UG0102 - Oil Filled Cables, 132 and 33kV - 33KV CABLES</v>
      </c>
      <c r="D191" s="38" t="str">
        <f t="shared" si="25"/>
        <v>Duplicate-</v>
      </c>
      <c r="E191" s="413"/>
      <c r="F191" s="43" t="s">
        <v>398</v>
      </c>
      <c r="G191" s="43" t="s">
        <v>747</v>
      </c>
      <c r="X191" s="38">
        <v>0.25</v>
      </c>
      <c r="Y191" s="38">
        <v>0</v>
      </c>
      <c r="AK191" s="45">
        <f t="shared" si="31"/>
        <v>0</v>
      </c>
      <c r="AL191" s="46">
        <f t="shared" si="32"/>
        <v>0</v>
      </c>
      <c r="AM191" s="46">
        <f t="shared" si="33"/>
        <v>0</v>
      </c>
      <c r="AN191" s="46"/>
      <c r="AO191" s="119" t="s">
        <v>1197</v>
      </c>
      <c r="AP191" s="38" t="str">
        <f t="shared" si="23"/>
        <v>Exclude</v>
      </c>
    </row>
    <row r="192" spans="1:42" ht="30" hidden="1">
      <c r="A192" s="38" t="str">
        <f t="shared" si="34"/>
        <v>Ausgrid</v>
      </c>
      <c r="B192" s="38" t="s">
        <v>1197</v>
      </c>
      <c r="C192" s="38" t="str">
        <f t="shared" si="24"/>
        <v>Duplicate-UG0103 - Oil Filled Cables, 132 and 33kV - 33KV CABLES</v>
      </c>
      <c r="D192" s="38" t="str">
        <f t="shared" si="25"/>
        <v>Duplicate-</v>
      </c>
      <c r="E192" s="413"/>
      <c r="F192" s="43" t="s">
        <v>398</v>
      </c>
      <c r="G192" s="43" t="s">
        <v>748</v>
      </c>
      <c r="X192" s="38">
        <v>1</v>
      </c>
      <c r="Y192" s="38">
        <v>0</v>
      </c>
      <c r="AK192" s="45">
        <f t="shared" si="31"/>
        <v>0</v>
      </c>
      <c r="AL192" s="46">
        <f t="shared" si="32"/>
        <v>0</v>
      </c>
      <c r="AM192" s="46">
        <f t="shared" si="33"/>
        <v>0</v>
      </c>
      <c r="AN192" s="46"/>
      <c r="AO192" s="119" t="s">
        <v>1197</v>
      </c>
      <c r="AP192" s="38" t="str">
        <f t="shared" si="23"/>
        <v>Exclude</v>
      </c>
    </row>
    <row r="193" spans="1:42" ht="30" hidden="1">
      <c r="A193" s="38" t="str">
        <f t="shared" si="34"/>
        <v>Ausgrid</v>
      </c>
      <c r="B193" s="38" t="s">
        <v>1197</v>
      </c>
      <c r="C193" s="38" t="str">
        <f t="shared" si="24"/>
        <v>Duplicate-UG0301 - Gas Pressure Cables, 33kV</v>
      </c>
      <c r="D193" s="38" t="str">
        <f t="shared" si="25"/>
        <v>Duplicate-</v>
      </c>
      <c r="E193" s="413"/>
      <c r="F193" s="43" t="s">
        <v>398</v>
      </c>
      <c r="G193" s="43" t="s">
        <v>749</v>
      </c>
      <c r="X193" s="38">
        <v>0.5</v>
      </c>
      <c r="Y193" s="38">
        <v>0</v>
      </c>
      <c r="AK193" s="45">
        <f t="shared" si="31"/>
        <v>0</v>
      </c>
      <c r="AL193" s="46">
        <f t="shared" si="32"/>
        <v>0</v>
      </c>
      <c r="AM193" s="46">
        <f t="shared" si="33"/>
        <v>0</v>
      </c>
      <c r="AN193" s="46"/>
      <c r="AO193" s="119" t="s">
        <v>1197</v>
      </c>
      <c r="AP193" s="38" t="str">
        <f t="shared" si="23"/>
        <v>Exclude</v>
      </c>
    </row>
    <row r="194" spans="1:42" ht="30" hidden="1">
      <c r="A194" s="38" t="str">
        <f t="shared" si="34"/>
        <v>Ausgrid</v>
      </c>
      <c r="B194" s="38" t="s">
        <v>1197</v>
      </c>
      <c r="C194" s="38" t="str">
        <f t="shared" si="24"/>
        <v>Duplicate-UG0301 - Gas Pressure Cables, 33kV</v>
      </c>
      <c r="D194" s="38" t="str">
        <f t="shared" si="25"/>
        <v>Duplicate-</v>
      </c>
      <c r="E194" s="413"/>
      <c r="F194" s="43" t="s">
        <v>398</v>
      </c>
      <c r="G194" s="43" t="s">
        <v>749</v>
      </c>
      <c r="X194" s="38">
        <v>1</v>
      </c>
      <c r="Y194" s="38">
        <v>0</v>
      </c>
      <c r="AK194" s="45">
        <f t="shared" si="31"/>
        <v>0</v>
      </c>
      <c r="AL194" s="46">
        <f t="shared" si="32"/>
        <v>0</v>
      </c>
      <c r="AM194" s="46">
        <f t="shared" si="33"/>
        <v>0</v>
      </c>
      <c r="AN194" s="46"/>
      <c r="AO194" s="119" t="s">
        <v>1197</v>
      </c>
      <c r="AP194" s="38" t="str">
        <f t="shared" si="23"/>
        <v>Exclude</v>
      </c>
    </row>
    <row r="195" spans="1:42" ht="30" hidden="1">
      <c r="A195" s="38" t="str">
        <f t="shared" si="34"/>
        <v>Ausgrid</v>
      </c>
      <c r="B195" s="38" t="s">
        <v>1197</v>
      </c>
      <c r="C195" s="38" t="str">
        <f t="shared" si="24"/>
        <v>Duplicate-UG0401 - Tunnel Examination</v>
      </c>
      <c r="D195" s="38" t="str">
        <f t="shared" si="25"/>
        <v>Duplicate-</v>
      </c>
      <c r="E195" s="413"/>
      <c r="F195" s="43" t="s">
        <v>398</v>
      </c>
      <c r="G195" s="43" t="s">
        <v>750</v>
      </c>
      <c r="X195" s="38">
        <v>1</v>
      </c>
      <c r="Y195" s="38">
        <v>0</v>
      </c>
      <c r="AK195" s="45">
        <f t="shared" si="31"/>
        <v>0</v>
      </c>
      <c r="AL195" s="46">
        <f t="shared" si="32"/>
        <v>0</v>
      </c>
      <c r="AM195" s="46">
        <f t="shared" si="33"/>
        <v>0</v>
      </c>
      <c r="AN195" s="46"/>
      <c r="AO195" s="119" t="s">
        <v>1197</v>
      </c>
      <c r="AP195" s="38" t="str">
        <f t="shared" ref="AP195:AP258" si="35">IFERROR(VLOOKUP(C195,$AR:$AS,2,FALSE),"Exclude")</f>
        <v>Exclude</v>
      </c>
    </row>
    <row r="196" spans="1:42" ht="30" hidden="1">
      <c r="A196" s="38" t="str">
        <f t="shared" si="34"/>
        <v>Ausgrid</v>
      </c>
      <c r="B196" s="38" t="s">
        <v>1197</v>
      </c>
      <c r="C196" s="38" t="str">
        <f t="shared" ref="C196:C259" si="36">B196&amp;"-"&amp;G196</f>
        <v>Duplicate-UG0441 - Tunnel Sumps and Pumps</v>
      </c>
      <c r="D196" s="38" t="str">
        <f t="shared" ref="D196:D259" si="37">B196&amp;"-"&amp;H196</f>
        <v>Duplicate-</v>
      </c>
      <c r="E196" s="413"/>
      <c r="F196" s="43" t="s">
        <v>398</v>
      </c>
      <c r="G196" s="43" t="s">
        <v>751</v>
      </c>
      <c r="X196" s="38">
        <v>0.5</v>
      </c>
      <c r="Y196" s="38">
        <v>0</v>
      </c>
      <c r="AK196" s="45">
        <f t="shared" ref="AK196:AK259" si="38">SUM(N196:R196)</f>
        <v>0</v>
      </c>
      <c r="AL196" s="46">
        <f t="shared" ref="AL196:AL259" si="39">SUM(Z196:AD196)</f>
        <v>0</v>
      </c>
      <c r="AM196" s="46">
        <f t="shared" ref="AM196:AM259" si="40">SUM(AE196:AI196)</f>
        <v>0</v>
      </c>
      <c r="AN196" s="46"/>
      <c r="AO196" s="119" t="s">
        <v>1197</v>
      </c>
      <c r="AP196" s="38" t="str">
        <f t="shared" si="35"/>
        <v>Exclude</v>
      </c>
    </row>
    <row r="197" spans="1:42" ht="30" hidden="1">
      <c r="A197" s="38" t="str">
        <f t="shared" si="34"/>
        <v>Ausgrid</v>
      </c>
      <c r="B197" s="38" t="s">
        <v>1197</v>
      </c>
      <c r="C197" s="38" t="str">
        <f t="shared" si="36"/>
        <v>Duplicate-UG0442 - Tunnel Sumps and Pumps</v>
      </c>
      <c r="D197" s="38" t="str">
        <f t="shared" si="37"/>
        <v>Duplicate-</v>
      </c>
      <c r="E197" s="413"/>
      <c r="F197" s="43" t="s">
        <v>398</v>
      </c>
      <c r="G197" s="43" t="s">
        <v>752</v>
      </c>
      <c r="X197" s="38">
        <v>1</v>
      </c>
      <c r="Y197" s="38">
        <v>1</v>
      </c>
      <c r="AK197" s="45">
        <f t="shared" si="38"/>
        <v>0</v>
      </c>
      <c r="AL197" s="46">
        <f t="shared" si="39"/>
        <v>0</v>
      </c>
      <c r="AM197" s="46">
        <f t="shared" si="40"/>
        <v>0</v>
      </c>
      <c r="AN197" s="46"/>
      <c r="AO197" s="119" t="s">
        <v>1197</v>
      </c>
      <c r="AP197" s="38" t="str">
        <f t="shared" si="35"/>
        <v>Exclude</v>
      </c>
    </row>
    <row r="198" spans="1:42" ht="45" hidden="1">
      <c r="A198" s="38" t="str">
        <f t="shared" si="34"/>
        <v>Ausgrid</v>
      </c>
      <c r="B198" s="38" t="s">
        <v>1197</v>
      </c>
      <c r="C198" s="38" t="str">
        <f t="shared" si="36"/>
        <v>Duplicate-UG0444 - Sump Pumps - 10,000 hrs - CITY SOUTH 132KV CABLE TUNNEL</v>
      </c>
      <c r="D198" s="38" t="str">
        <f t="shared" si="37"/>
        <v>Duplicate-</v>
      </c>
      <c r="E198" s="413"/>
      <c r="F198" s="43" t="s">
        <v>398</v>
      </c>
      <c r="G198" s="43" t="s">
        <v>753</v>
      </c>
      <c r="X198" s="38">
        <v>0</v>
      </c>
      <c r="Y198" s="38">
        <v>2</v>
      </c>
      <c r="AK198" s="45">
        <f t="shared" si="38"/>
        <v>0</v>
      </c>
      <c r="AL198" s="46">
        <f t="shared" si="39"/>
        <v>0</v>
      </c>
      <c r="AM198" s="46">
        <f t="shared" si="40"/>
        <v>0</v>
      </c>
      <c r="AN198" s="46"/>
      <c r="AO198" s="119" t="s">
        <v>1197</v>
      </c>
      <c r="AP198" s="38" t="str">
        <f t="shared" si="35"/>
        <v>Exclude</v>
      </c>
    </row>
    <row r="199" spans="1:42" ht="45" hidden="1">
      <c r="A199" s="38" t="str">
        <f t="shared" si="34"/>
        <v>Ausgrid</v>
      </c>
      <c r="B199" s="38" t="s">
        <v>1197</v>
      </c>
      <c r="C199" s="38" t="str">
        <f t="shared" si="36"/>
        <v>Duplicate-UG0445 - Tunnel drainage channels - CITY SOUTH 132KV CABLE TUNNEL</v>
      </c>
      <c r="D199" s="38" t="str">
        <f t="shared" si="37"/>
        <v>Duplicate-</v>
      </c>
      <c r="E199" s="413"/>
      <c r="F199" s="43" t="s">
        <v>398</v>
      </c>
      <c r="G199" s="43" t="s">
        <v>754</v>
      </c>
      <c r="X199" s="38">
        <v>0</v>
      </c>
      <c r="Y199" s="38">
        <v>0.04</v>
      </c>
      <c r="AK199" s="45">
        <f t="shared" si="38"/>
        <v>0</v>
      </c>
      <c r="AL199" s="46">
        <f t="shared" si="39"/>
        <v>0</v>
      </c>
      <c r="AM199" s="46">
        <f t="shared" si="40"/>
        <v>0</v>
      </c>
      <c r="AN199" s="46"/>
      <c r="AO199" s="119" t="s">
        <v>1197</v>
      </c>
      <c r="AP199" s="38" t="str">
        <f t="shared" si="35"/>
        <v>Exclude</v>
      </c>
    </row>
    <row r="200" spans="1:42" ht="45" hidden="1">
      <c r="A200" s="38" t="str">
        <f t="shared" si="34"/>
        <v>Ausgrid</v>
      </c>
      <c r="B200" s="38" t="s">
        <v>1197</v>
      </c>
      <c r="C200" s="38" t="str">
        <f t="shared" si="36"/>
        <v>Duplicate-UG0445 - Tunnel drainage channels - CITY SOUTH 132KV CABLE TUNNEL</v>
      </c>
      <c r="D200" s="38" t="str">
        <f t="shared" si="37"/>
        <v>Duplicate-</v>
      </c>
      <c r="E200" s="413"/>
      <c r="F200" s="43" t="s">
        <v>398</v>
      </c>
      <c r="G200" s="43" t="s">
        <v>754</v>
      </c>
      <c r="X200" s="38">
        <v>0</v>
      </c>
      <c r="Y200" s="38">
        <v>0.5</v>
      </c>
      <c r="AK200" s="45">
        <f t="shared" si="38"/>
        <v>0</v>
      </c>
      <c r="AL200" s="46">
        <f t="shared" si="39"/>
        <v>0</v>
      </c>
      <c r="AM200" s="46">
        <f t="shared" si="40"/>
        <v>0</v>
      </c>
      <c r="AN200" s="46"/>
      <c r="AO200" s="119" t="s">
        <v>1197</v>
      </c>
      <c r="AP200" s="38" t="str">
        <f t="shared" si="35"/>
        <v>Exclude</v>
      </c>
    </row>
    <row r="201" spans="1:42" ht="30" hidden="1">
      <c r="A201" s="38" t="str">
        <f t="shared" si="34"/>
        <v>Ausgrid</v>
      </c>
      <c r="B201" s="38" t="s">
        <v>1197</v>
      </c>
      <c r="C201" s="38" t="str">
        <f t="shared" si="36"/>
        <v>Duplicate-UG0446 - Rising main - CITY SOUTH 132KV CABLE TUNNEL</v>
      </c>
      <c r="D201" s="38" t="str">
        <f t="shared" si="37"/>
        <v>Duplicate-</v>
      </c>
      <c r="E201" s="413"/>
      <c r="F201" s="43" t="s">
        <v>398</v>
      </c>
      <c r="G201" s="43" t="s">
        <v>755</v>
      </c>
      <c r="X201" s="38">
        <v>0</v>
      </c>
      <c r="Y201" s="38">
        <v>1</v>
      </c>
      <c r="AK201" s="45">
        <f t="shared" si="38"/>
        <v>0</v>
      </c>
      <c r="AL201" s="46">
        <f t="shared" si="39"/>
        <v>0</v>
      </c>
      <c r="AM201" s="46">
        <f t="shared" si="40"/>
        <v>0</v>
      </c>
      <c r="AN201" s="46"/>
      <c r="AO201" s="119" t="s">
        <v>1197</v>
      </c>
      <c r="AP201" s="38" t="str">
        <f t="shared" si="35"/>
        <v>Exclude</v>
      </c>
    </row>
    <row r="202" spans="1:42" ht="30" hidden="1">
      <c r="A202" s="38" t="str">
        <f t="shared" si="34"/>
        <v>Ausgrid</v>
      </c>
      <c r="B202" s="38" t="s">
        <v>1197</v>
      </c>
      <c r="C202" s="38" t="str">
        <f t="shared" si="36"/>
        <v xml:space="preserve">Duplicate-UG0461 - Radio Communications Equipment </v>
      </c>
      <c r="D202" s="38" t="str">
        <f t="shared" si="37"/>
        <v>Duplicate-</v>
      </c>
      <c r="E202" s="413"/>
      <c r="F202" s="43" t="s">
        <v>398</v>
      </c>
      <c r="G202" s="43" t="s">
        <v>756</v>
      </c>
      <c r="X202" s="38">
        <v>1</v>
      </c>
      <c r="Y202" s="38">
        <v>0</v>
      </c>
      <c r="AK202" s="45">
        <f t="shared" si="38"/>
        <v>0</v>
      </c>
      <c r="AL202" s="46">
        <f t="shared" si="39"/>
        <v>0</v>
      </c>
      <c r="AM202" s="46">
        <f t="shared" si="40"/>
        <v>0</v>
      </c>
      <c r="AN202" s="46"/>
      <c r="AO202" s="119" t="s">
        <v>1197</v>
      </c>
      <c r="AP202" s="38" t="str">
        <f t="shared" si="35"/>
        <v>Exclude</v>
      </c>
    </row>
    <row r="203" spans="1:42" ht="60" hidden="1">
      <c r="A203" s="38" t="str">
        <f t="shared" si="34"/>
        <v>Ausgrid</v>
      </c>
      <c r="B203" s="38" t="s">
        <v>1197</v>
      </c>
      <c r="C203" s="38" t="str">
        <f t="shared" si="36"/>
        <v>Duplicate-UG0462 - Radio Communications Equipment  - CITY SOUTH 132KV CABLE TUNNEL</v>
      </c>
      <c r="D203" s="38" t="str">
        <f t="shared" si="37"/>
        <v>Duplicate-</v>
      </c>
      <c r="E203" s="413"/>
      <c r="F203" s="43" t="s">
        <v>398</v>
      </c>
      <c r="G203" s="43" t="s">
        <v>757</v>
      </c>
      <c r="X203" s="38">
        <v>0</v>
      </c>
      <c r="Y203" s="38">
        <v>0.25</v>
      </c>
      <c r="AK203" s="45">
        <f t="shared" si="38"/>
        <v>0</v>
      </c>
      <c r="AL203" s="46">
        <f t="shared" si="39"/>
        <v>0</v>
      </c>
      <c r="AM203" s="46">
        <f t="shared" si="40"/>
        <v>0</v>
      </c>
      <c r="AN203" s="46"/>
      <c r="AO203" s="119" t="s">
        <v>1197</v>
      </c>
      <c r="AP203" s="38" t="str">
        <f t="shared" si="35"/>
        <v>Exclude</v>
      </c>
    </row>
    <row r="204" spans="1:42" ht="60" hidden="1">
      <c r="A204" s="38" t="str">
        <f t="shared" si="34"/>
        <v>Ausgrid</v>
      </c>
      <c r="B204" s="38" t="s">
        <v>1197</v>
      </c>
      <c r="C204" s="38" t="str">
        <f t="shared" si="36"/>
        <v>Duplicate-UG0464 - Tunnel temperature, humidity and airflow detectors. - CITY SOUTH 132KV CABLE TUNNEL</v>
      </c>
      <c r="D204" s="38" t="str">
        <f t="shared" si="37"/>
        <v>Duplicate-</v>
      </c>
      <c r="E204" s="413"/>
      <c r="F204" s="43" t="s">
        <v>398</v>
      </c>
      <c r="G204" s="43" t="s">
        <v>758</v>
      </c>
      <c r="X204" s="38">
        <v>0</v>
      </c>
      <c r="Y204" s="38">
        <v>0.08</v>
      </c>
      <c r="AK204" s="45">
        <f t="shared" si="38"/>
        <v>0</v>
      </c>
      <c r="AL204" s="46">
        <f t="shared" si="39"/>
        <v>0</v>
      </c>
      <c r="AM204" s="46">
        <f t="shared" si="40"/>
        <v>0</v>
      </c>
      <c r="AN204" s="46"/>
      <c r="AO204" s="119" t="s">
        <v>1197</v>
      </c>
      <c r="AP204" s="38" t="str">
        <f t="shared" si="35"/>
        <v>Exclude</v>
      </c>
    </row>
    <row r="205" spans="1:42" ht="30" hidden="1">
      <c r="A205" s="38" t="str">
        <f t="shared" si="34"/>
        <v>Ausgrid</v>
      </c>
      <c r="B205" s="38" t="s">
        <v>1197</v>
      </c>
      <c r="C205" s="38" t="str">
        <f t="shared" si="36"/>
        <v>Duplicate-UG0465 - Tunnel Monitoring and Control System UPS</v>
      </c>
      <c r="D205" s="38" t="str">
        <f t="shared" si="37"/>
        <v>Duplicate-</v>
      </c>
      <c r="E205" s="413"/>
      <c r="F205" s="43" t="s">
        <v>398</v>
      </c>
      <c r="G205" s="43" t="s">
        <v>759</v>
      </c>
      <c r="X205" s="38">
        <v>0.25</v>
      </c>
      <c r="Y205" s="38">
        <v>0</v>
      </c>
      <c r="AK205" s="45">
        <f t="shared" si="38"/>
        <v>0</v>
      </c>
      <c r="AL205" s="46">
        <f t="shared" si="39"/>
        <v>0</v>
      </c>
      <c r="AM205" s="46">
        <f t="shared" si="40"/>
        <v>0</v>
      </c>
      <c r="AN205" s="46"/>
      <c r="AO205" s="119" t="s">
        <v>1197</v>
      </c>
      <c r="AP205" s="38" t="str">
        <f t="shared" si="35"/>
        <v>Exclude</v>
      </c>
    </row>
    <row r="206" spans="1:42" ht="30" hidden="1">
      <c r="A206" s="38" t="str">
        <f t="shared" si="34"/>
        <v>Ausgrid</v>
      </c>
      <c r="B206" s="38" t="s">
        <v>1197</v>
      </c>
      <c r="C206" s="38" t="str">
        <f t="shared" si="36"/>
        <v>Duplicate-UG0463 - Tunnel Monitoring and Control System</v>
      </c>
      <c r="D206" s="38" t="str">
        <f t="shared" si="37"/>
        <v>Duplicate-</v>
      </c>
      <c r="E206" s="413"/>
      <c r="F206" s="43" t="s">
        <v>398</v>
      </c>
      <c r="G206" s="43" t="s">
        <v>760</v>
      </c>
      <c r="X206" s="38">
        <v>1</v>
      </c>
      <c r="Y206" s="38">
        <v>0.25</v>
      </c>
      <c r="AK206" s="45">
        <f t="shared" si="38"/>
        <v>0</v>
      </c>
      <c r="AL206" s="46">
        <f t="shared" si="39"/>
        <v>0</v>
      </c>
      <c r="AM206" s="46">
        <f t="shared" si="40"/>
        <v>0</v>
      </c>
      <c r="AN206" s="46"/>
      <c r="AO206" s="119" t="s">
        <v>1197</v>
      </c>
      <c r="AP206" s="38" t="str">
        <f t="shared" si="35"/>
        <v>Exclude</v>
      </c>
    </row>
    <row r="207" spans="1:42" ht="45" hidden="1">
      <c r="A207" s="38" t="str">
        <f t="shared" si="34"/>
        <v>Ausgrid</v>
      </c>
      <c r="B207" s="38" t="s">
        <v>1197</v>
      </c>
      <c r="C207" s="38" t="str">
        <f t="shared" si="36"/>
        <v>Duplicate-UG0468 - Tunnel emergency and construction/fixed lighting</v>
      </c>
      <c r="D207" s="38" t="str">
        <f t="shared" si="37"/>
        <v>Duplicate-</v>
      </c>
      <c r="E207" s="413"/>
      <c r="F207" s="43" t="s">
        <v>398</v>
      </c>
      <c r="G207" s="43" t="s">
        <v>761</v>
      </c>
      <c r="X207" s="38">
        <v>1</v>
      </c>
      <c r="Y207" s="38">
        <v>0.08</v>
      </c>
      <c r="AK207" s="45">
        <f t="shared" si="38"/>
        <v>0</v>
      </c>
      <c r="AL207" s="46">
        <f t="shared" si="39"/>
        <v>0</v>
      </c>
      <c r="AM207" s="46">
        <f t="shared" si="40"/>
        <v>0</v>
      </c>
      <c r="AN207" s="46"/>
      <c r="AO207" s="119" t="s">
        <v>1197</v>
      </c>
      <c r="AP207" s="38" t="str">
        <f t="shared" si="35"/>
        <v>Exclude</v>
      </c>
    </row>
    <row r="208" spans="1:42" ht="45" hidden="1">
      <c r="A208" s="38" t="str">
        <f t="shared" si="34"/>
        <v>Ausgrid</v>
      </c>
      <c r="B208" s="38" t="s">
        <v>1197</v>
      </c>
      <c r="C208" s="38" t="str">
        <f t="shared" si="36"/>
        <v>Duplicate-UG0468 - Tunnel emergency and construction/fixed lighting</v>
      </c>
      <c r="D208" s="38" t="str">
        <f t="shared" si="37"/>
        <v>Duplicate-</v>
      </c>
      <c r="E208" s="413"/>
      <c r="F208" s="43" t="s">
        <v>398</v>
      </c>
      <c r="G208" s="43" t="s">
        <v>761</v>
      </c>
      <c r="X208" s="38">
        <v>1</v>
      </c>
      <c r="Y208" s="38">
        <v>0.25</v>
      </c>
      <c r="AK208" s="45">
        <f t="shared" si="38"/>
        <v>0</v>
      </c>
      <c r="AL208" s="46">
        <f t="shared" si="39"/>
        <v>0</v>
      </c>
      <c r="AM208" s="46">
        <f t="shared" si="40"/>
        <v>0</v>
      </c>
      <c r="AN208" s="46"/>
      <c r="AO208" s="119" t="s">
        <v>1197</v>
      </c>
      <c r="AP208" s="38" t="str">
        <f t="shared" si="35"/>
        <v>Exclude</v>
      </c>
    </row>
    <row r="209" spans="1:42" ht="45" hidden="1">
      <c r="A209" s="38" t="str">
        <f t="shared" si="34"/>
        <v>Ausgrid</v>
      </c>
      <c r="B209" s="38" t="s">
        <v>1197</v>
      </c>
      <c r="C209" s="38" t="str">
        <f t="shared" si="36"/>
        <v>Duplicate-UG0467 - Tunnel Switchboards and Distribution Boards</v>
      </c>
      <c r="D209" s="38" t="str">
        <f t="shared" si="37"/>
        <v>Duplicate-</v>
      </c>
      <c r="E209" s="413"/>
      <c r="F209" s="43" t="s">
        <v>398</v>
      </c>
      <c r="G209" s="43" t="s">
        <v>762</v>
      </c>
      <c r="X209" s="38">
        <v>1</v>
      </c>
      <c r="Y209" s="38">
        <v>0</v>
      </c>
      <c r="AK209" s="45">
        <f t="shared" si="38"/>
        <v>0</v>
      </c>
      <c r="AL209" s="46">
        <f t="shared" si="39"/>
        <v>0</v>
      </c>
      <c r="AM209" s="46">
        <f t="shared" si="40"/>
        <v>0</v>
      </c>
      <c r="AN209" s="46"/>
      <c r="AO209" s="119" t="s">
        <v>1197</v>
      </c>
      <c r="AP209" s="38" t="str">
        <f t="shared" si="35"/>
        <v>Exclude</v>
      </c>
    </row>
    <row r="210" spans="1:42" ht="30" hidden="1">
      <c r="A210" s="38" t="str">
        <f t="shared" si="34"/>
        <v>Ausgrid</v>
      </c>
      <c r="B210" s="38" t="s">
        <v>1197</v>
      </c>
      <c r="C210" s="38" t="str">
        <f t="shared" si="36"/>
        <v>Duplicate-CBD</v>
      </c>
      <c r="D210" s="38" t="str">
        <f t="shared" si="37"/>
        <v>Duplicate-Length (km) (inspected qty in  '000s tasks)</v>
      </c>
      <c r="E210" s="413"/>
      <c r="F210" s="43" t="s">
        <v>402</v>
      </c>
      <c r="G210" s="43" t="s">
        <v>403</v>
      </c>
      <c r="H210" s="43" t="s">
        <v>737</v>
      </c>
      <c r="I210" s="41">
        <v>463.62</v>
      </c>
      <c r="J210" s="41">
        <v>472.35</v>
      </c>
      <c r="K210" s="41">
        <v>485.53</v>
      </c>
      <c r="L210" s="41">
        <v>500.47</v>
      </c>
      <c r="M210" s="41">
        <v>513.01</v>
      </c>
      <c r="N210" s="41">
        <v>0.7</v>
      </c>
      <c r="O210" s="41">
        <v>0.66</v>
      </c>
      <c r="P210" s="41">
        <v>0.6</v>
      </c>
      <c r="Q210" s="41">
        <v>0.69</v>
      </c>
      <c r="R210" s="41">
        <v>0.73</v>
      </c>
      <c r="S210" s="41">
        <v>32.5</v>
      </c>
      <c r="T210" s="41">
        <v>32.51</v>
      </c>
      <c r="U210" s="41">
        <v>31.26</v>
      </c>
      <c r="V210" s="41">
        <v>30.36</v>
      </c>
      <c r="W210" s="41">
        <v>30.05</v>
      </c>
      <c r="X210" s="38">
        <v>0</v>
      </c>
      <c r="Y210" s="38">
        <v>0</v>
      </c>
      <c r="Z210" s="40">
        <v>34.700000000000003</v>
      </c>
      <c r="AA210" s="40">
        <v>92.3</v>
      </c>
      <c r="AB210" s="40">
        <v>67.239999999999995</v>
      </c>
      <c r="AC210" s="40">
        <v>68.180000000000007</v>
      </c>
      <c r="AD210" s="40">
        <v>91.05</v>
      </c>
      <c r="AE210" s="40">
        <v>104.69</v>
      </c>
      <c r="AF210" s="40">
        <v>140.22999999999999</v>
      </c>
      <c r="AG210" s="40">
        <v>152.35</v>
      </c>
      <c r="AH210" s="40">
        <v>143.44999999999999</v>
      </c>
      <c r="AI210" s="40">
        <v>153.57</v>
      </c>
      <c r="AK210" s="45">
        <f t="shared" si="38"/>
        <v>3.38</v>
      </c>
      <c r="AL210" s="46">
        <f t="shared" si="39"/>
        <v>353.47</v>
      </c>
      <c r="AM210" s="46">
        <f t="shared" si="40"/>
        <v>694.29</v>
      </c>
      <c r="AN210" s="46"/>
      <c r="AO210" s="119" t="s">
        <v>1197</v>
      </c>
      <c r="AP210" s="38" t="str">
        <f t="shared" si="35"/>
        <v>Exclude</v>
      </c>
    </row>
    <row r="211" spans="1:42" ht="30" hidden="1">
      <c r="A211" s="38" t="str">
        <f t="shared" si="34"/>
        <v>Ausgrid</v>
      </c>
      <c r="B211" s="38" t="s">
        <v>1197</v>
      </c>
      <c r="C211" s="38" t="str">
        <f t="shared" si="36"/>
        <v>Duplicate-Non-CBD</v>
      </c>
      <c r="D211" s="38" t="str">
        <f t="shared" si="37"/>
        <v>Duplicate-Length (km)  (inspected qty in  '000s tasks)</v>
      </c>
      <c r="E211" s="413"/>
      <c r="F211" s="43" t="s">
        <v>402</v>
      </c>
      <c r="G211" s="43" t="s">
        <v>763</v>
      </c>
      <c r="H211" s="43" t="s">
        <v>764</v>
      </c>
      <c r="I211" s="41">
        <v>12129.68</v>
      </c>
      <c r="J211" s="41">
        <v>12358.23</v>
      </c>
      <c r="K211" s="41">
        <v>12703.06</v>
      </c>
      <c r="L211" s="41">
        <v>13093.79</v>
      </c>
      <c r="M211" s="41">
        <v>13421.88</v>
      </c>
      <c r="N211" s="41">
        <v>18.39</v>
      </c>
      <c r="O211" s="41">
        <v>17.170000000000002</v>
      </c>
      <c r="P211" s="41">
        <v>15.57</v>
      </c>
      <c r="Q211" s="41">
        <v>18.09</v>
      </c>
      <c r="R211" s="41">
        <v>19.23</v>
      </c>
      <c r="S211" s="41">
        <v>32.5</v>
      </c>
      <c r="T211" s="41">
        <v>32.51</v>
      </c>
      <c r="U211" s="41">
        <v>31.26</v>
      </c>
      <c r="V211" s="41">
        <v>30.36</v>
      </c>
      <c r="W211" s="41">
        <v>30.05</v>
      </c>
      <c r="X211" s="38">
        <v>0</v>
      </c>
      <c r="Y211" s="38">
        <v>0</v>
      </c>
      <c r="Z211" s="40">
        <v>907.96</v>
      </c>
      <c r="AA211" s="40">
        <v>2414.85</v>
      </c>
      <c r="AB211" s="40">
        <v>1759.14</v>
      </c>
      <c r="AC211" s="40">
        <v>1783.73</v>
      </c>
      <c r="AD211" s="40">
        <v>2382.2600000000002</v>
      </c>
      <c r="AE211" s="40">
        <v>2739.13</v>
      </c>
      <c r="AF211" s="40">
        <v>3668.86</v>
      </c>
      <c r="AG211" s="40">
        <v>3986.07</v>
      </c>
      <c r="AH211" s="40">
        <v>3753.02</v>
      </c>
      <c r="AI211" s="40">
        <v>4017.75</v>
      </c>
      <c r="AK211" s="45">
        <f t="shared" si="38"/>
        <v>88.45</v>
      </c>
      <c r="AL211" s="46">
        <f t="shared" si="39"/>
        <v>9247.94</v>
      </c>
      <c r="AM211" s="46">
        <f t="shared" si="40"/>
        <v>18164.830000000002</v>
      </c>
      <c r="AN211" s="46"/>
      <c r="AO211" s="119" t="s">
        <v>1197</v>
      </c>
      <c r="AP211" s="38" t="str">
        <f t="shared" si="35"/>
        <v>Exclude</v>
      </c>
    </row>
    <row r="212" spans="1:42" ht="30" hidden="1">
      <c r="A212" s="38" t="str">
        <f t="shared" si="34"/>
        <v>Ausgrid</v>
      </c>
      <c r="B212" s="38" t="s">
        <v>1197</v>
      </c>
      <c r="C212" s="38" t="str">
        <f t="shared" si="36"/>
        <v>Duplicate-DISTRIBUTION SUBSTATION TRANSFORMERS</v>
      </c>
      <c r="D212" s="38" t="str">
        <f t="shared" si="37"/>
        <v>Duplicate-No. of installed transformers   ('000s)</v>
      </c>
      <c r="E212" s="413"/>
      <c r="F212" s="43" t="s">
        <v>405</v>
      </c>
      <c r="G212" s="43" t="s">
        <v>406</v>
      </c>
      <c r="H212" s="43" t="s">
        <v>765</v>
      </c>
      <c r="I212" s="41">
        <v>32</v>
      </c>
      <c r="J212" s="41">
        <v>32.24</v>
      </c>
      <c r="K212" s="41">
        <v>32.19</v>
      </c>
      <c r="L212" s="41">
        <v>32.520000000000003</v>
      </c>
      <c r="M212" s="41">
        <v>32.78</v>
      </c>
      <c r="N212" s="41">
        <v>0</v>
      </c>
      <c r="O212" s="41">
        <v>0</v>
      </c>
      <c r="P212" s="41">
        <v>0</v>
      </c>
      <c r="Q212" s="41">
        <v>0</v>
      </c>
      <c r="R212" s="41">
        <v>0</v>
      </c>
      <c r="S212" s="41">
        <v>24.19</v>
      </c>
      <c r="T212" s="41">
        <v>24.17</v>
      </c>
      <c r="U212" s="41">
        <v>24.02</v>
      </c>
      <c r="V212" s="41">
        <v>24.1</v>
      </c>
      <c r="W212" s="41">
        <v>24.3</v>
      </c>
      <c r="X212" s="38">
        <v>0</v>
      </c>
      <c r="Y212" s="38">
        <v>0</v>
      </c>
      <c r="Z212" s="40">
        <v>0</v>
      </c>
      <c r="AA212" s="40">
        <v>0</v>
      </c>
      <c r="AB212" s="40">
        <v>0</v>
      </c>
      <c r="AC212" s="40">
        <v>0</v>
      </c>
      <c r="AD212" s="40">
        <v>0</v>
      </c>
      <c r="AE212" s="40">
        <v>238.76</v>
      </c>
      <c r="AF212" s="40">
        <v>444.4</v>
      </c>
      <c r="AG212" s="40">
        <v>795.79</v>
      </c>
      <c r="AH212" s="40">
        <v>972.94</v>
      </c>
      <c r="AI212" s="40">
        <v>876.14</v>
      </c>
      <c r="AK212" s="45">
        <f t="shared" si="38"/>
        <v>0</v>
      </c>
      <c r="AL212" s="46">
        <f t="shared" si="39"/>
        <v>0</v>
      </c>
      <c r="AM212" s="46">
        <f t="shared" si="40"/>
        <v>3328.0299999999997</v>
      </c>
      <c r="AN212" s="46"/>
      <c r="AO212" s="119" t="s">
        <v>1197</v>
      </c>
      <c r="AP212" s="38" t="str">
        <f t="shared" si="35"/>
        <v>Exclude</v>
      </c>
    </row>
    <row r="213" spans="1:42" ht="60" hidden="1">
      <c r="A213" s="38" t="str">
        <f t="shared" si="34"/>
        <v>Ausgrid</v>
      </c>
      <c r="B213" s="38" t="s">
        <v>1197</v>
      </c>
      <c r="C213" s="38" t="str">
        <f t="shared" si="36"/>
        <v>Duplicate-DISTRIBUTION SUBSTATION SWITCHGEAR (within-substations and stand-alone switchgear)</v>
      </c>
      <c r="D213" s="38" t="str">
        <f t="shared" si="37"/>
        <v>Duplicate-No. of switches   ('000s)</v>
      </c>
      <c r="E213" s="413"/>
      <c r="F213" s="43" t="s">
        <v>405</v>
      </c>
      <c r="G213" s="43" t="s">
        <v>766</v>
      </c>
      <c r="H213" s="43" t="s">
        <v>767</v>
      </c>
      <c r="I213" s="41">
        <v>10.48</v>
      </c>
      <c r="J213" s="41">
        <v>10.88</v>
      </c>
      <c r="K213" s="41">
        <v>11.33</v>
      </c>
      <c r="L213" s="41">
        <v>11.78</v>
      </c>
      <c r="M213" s="41">
        <v>12.15</v>
      </c>
      <c r="N213" s="41">
        <v>2.1</v>
      </c>
      <c r="O213" s="41">
        <v>2.2599999999999998</v>
      </c>
      <c r="P213" s="41">
        <v>2.0699999999999998</v>
      </c>
      <c r="Q213" s="41">
        <v>2.76</v>
      </c>
      <c r="R213" s="41">
        <v>1.91</v>
      </c>
      <c r="S213" s="41">
        <v>19.98</v>
      </c>
      <c r="T213" s="41">
        <v>19.84</v>
      </c>
      <c r="U213" s="41">
        <v>19.5</v>
      </c>
      <c r="V213" s="41">
        <v>19.350000000000001</v>
      </c>
      <c r="W213" s="41">
        <v>19.37</v>
      </c>
      <c r="X213" s="38">
        <v>0</v>
      </c>
      <c r="Y213" s="38">
        <v>0</v>
      </c>
      <c r="Z213" s="40">
        <v>1221.8399999999999</v>
      </c>
      <c r="AA213" s="40">
        <v>2128.73</v>
      </c>
      <c r="AB213" s="40">
        <v>2377.23</v>
      </c>
      <c r="AC213" s="40">
        <v>2009.87</v>
      </c>
      <c r="AD213" s="40">
        <v>2998.75</v>
      </c>
      <c r="AE213" s="40">
        <v>664.98</v>
      </c>
      <c r="AF213" s="40">
        <v>1317.33</v>
      </c>
      <c r="AG213" s="40">
        <v>2033.92</v>
      </c>
      <c r="AH213" s="40">
        <v>1987.74</v>
      </c>
      <c r="AI213" s="40">
        <v>1214.26</v>
      </c>
      <c r="AK213" s="45">
        <f t="shared" si="38"/>
        <v>11.1</v>
      </c>
      <c r="AL213" s="46">
        <f t="shared" si="39"/>
        <v>10736.419999999998</v>
      </c>
      <c r="AM213" s="46">
        <f t="shared" si="40"/>
        <v>7218.2300000000005</v>
      </c>
      <c r="AN213" s="46"/>
      <c r="AO213" s="119" t="s">
        <v>1197</v>
      </c>
      <c r="AP213" s="38" t="str">
        <f t="shared" si="35"/>
        <v>Exclude</v>
      </c>
    </row>
    <row r="214" spans="1:42" ht="60" hidden="1">
      <c r="A214" s="38" t="str">
        <f t="shared" si="34"/>
        <v>Ausgrid</v>
      </c>
      <c r="B214" s="38" t="s">
        <v>1197</v>
      </c>
      <c r="C214" s="38" t="str">
        <f t="shared" si="36"/>
        <v>Duplicate-SW1201 - Low Voltage Air Circuit Breakers, Manual Spring Charge, Generic - GENERIC TYPES</v>
      </c>
      <c r="D214" s="38" t="str">
        <f t="shared" si="37"/>
        <v>Duplicate-</v>
      </c>
      <c r="E214" s="413"/>
      <c r="F214" s="43" t="s">
        <v>405</v>
      </c>
      <c r="G214" s="43" t="s">
        <v>768</v>
      </c>
      <c r="X214" s="38">
        <v>3</v>
      </c>
      <c r="Y214" s="38">
        <v>0</v>
      </c>
      <c r="AK214" s="45">
        <f t="shared" si="38"/>
        <v>0</v>
      </c>
      <c r="AL214" s="46">
        <f t="shared" si="39"/>
        <v>0</v>
      </c>
      <c r="AM214" s="46">
        <f t="shared" si="40"/>
        <v>0</v>
      </c>
      <c r="AN214" s="46"/>
      <c r="AO214" s="119" t="s">
        <v>1197</v>
      </c>
      <c r="AP214" s="38" t="str">
        <f t="shared" si="35"/>
        <v>Exclude</v>
      </c>
    </row>
    <row r="215" spans="1:42" ht="45" hidden="1">
      <c r="A215" s="38" t="str">
        <f t="shared" si="34"/>
        <v>Ausgrid</v>
      </c>
      <c r="B215" s="38" t="s">
        <v>1197</v>
      </c>
      <c r="C215" s="38" t="str">
        <f t="shared" si="36"/>
        <v>Duplicate-SW1210 - Low Voltage Air Circuit Breakers, Generic - GENERIC TYPES</v>
      </c>
      <c r="D215" s="38" t="str">
        <f t="shared" si="37"/>
        <v>Duplicate-</v>
      </c>
      <c r="E215" s="413"/>
      <c r="F215" s="43" t="s">
        <v>405</v>
      </c>
      <c r="G215" s="43" t="s">
        <v>769</v>
      </c>
      <c r="X215" s="38">
        <v>12</v>
      </c>
      <c r="Y215" s="38">
        <v>12</v>
      </c>
      <c r="AK215" s="45">
        <f t="shared" si="38"/>
        <v>0</v>
      </c>
      <c r="AL215" s="46">
        <f t="shared" si="39"/>
        <v>0</v>
      </c>
      <c r="AM215" s="46">
        <f t="shared" si="40"/>
        <v>0</v>
      </c>
      <c r="AN215" s="46"/>
      <c r="AO215" s="119" t="s">
        <v>1197</v>
      </c>
      <c r="AP215" s="38" t="str">
        <f t="shared" si="35"/>
        <v>Exclude</v>
      </c>
    </row>
    <row r="216" spans="1:42" ht="45" hidden="1">
      <c r="A216" s="38" t="str">
        <f t="shared" si="34"/>
        <v>Ausgrid</v>
      </c>
      <c r="B216" s="38" t="s">
        <v>1197</v>
      </c>
      <c r="C216" s="38" t="str">
        <f t="shared" si="36"/>
        <v>Duplicate-SW1202 - Low Voltage Air Circuit Breakers, Nilsen NAB - GENERIC TYPES</v>
      </c>
      <c r="D216" s="38" t="str">
        <f t="shared" si="37"/>
        <v>Duplicate-</v>
      </c>
      <c r="E216" s="413"/>
      <c r="F216" s="43" t="s">
        <v>405</v>
      </c>
      <c r="G216" s="43" t="s">
        <v>770</v>
      </c>
      <c r="X216" s="38">
        <v>6</v>
      </c>
      <c r="Y216" s="38">
        <v>6</v>
      </c>
      <c r="AK216" s="45">
        <f t="shared" si="38"/>
        <v>0</v>
      </c>
      <c r="AL216" s="46">
        <f t="shared" si="39"/>
        <v>0</v>
      </c>
      <c r="AM216" s="46">
        <f t="shared" si="40"/>
        <v>0</v>
      </c>
      <c r="AN216" s="46"/>
      <c r="AO216" s="119" t="s">
        <v>1197</v>
      </c>
      <c r="AP216" s="38" t="str">
        <f t="shared" si="35"/>
        <v>Exclude</v>
      </c>
    </row>
    <row r="217" spans="1:42" ht="45" hidden="1">
      <c r="A217" s="38" t="str">
        <f t="shared" si="34"/>
        <v>Ausgrid</v>
      </c>
      <c r="B217" s="38" t="s">
        <v>1197</v>
      </c>
      <c r="C217" s="38" t="str">
        <f t="shared" si="36"/>
        <v>Duplicate-SW1202 - Low Voltage Air Circuit Breakers, Nilsen NAB - GENERIC TYPES</v>
      </c>
      <c r="D217" s="38" t="str">
        <f t="shared" si="37"/>
        <v>Duplicate-</v>
      </c>
      <c r="E217" s="413"/>
      <c r="F217" s="43" t="s">
        <v>405</v>
      </c>
      <c r="G217" s="43" t="s">
        <v>770</v>
      </c>
      <c r="X217" s="38">
        <v>12</v>
      </c>
      <c r="Y217" s="38">
        <v>12</v>
      </c>
      <c r="AK217" s="45">
        <f t="shared" si="38"/>
        <v>0</v>
      </c>
      <c r="AL217" s="46">
        <f t="shared" si="39"/>
        <v>0</v>
      </c>
      <c r="AM217" s="46">
        <f t="shared" si="40"/>
        <v>0</v>
      </c>
      <c r="AN217" s="46"/>
      <c r="AO217" s="119" t="s">
        <v>1197</v>
      </c>
      <c r="AP217" s="38" t="str">
        <f t="shared" si="35"/>
        <v>Exclude</v>
      </c>
    </row>
    <row r="218" spans="1:42" ht="45" hidden="1">
      <c r="A218" s="38" t="str">
        <f t="shared" si="34"/>
        <v>Ausgrid</v>
      </c>
      <c r="B218" s="38" t="s">
        <v>1197</v>
      </c>
      <c r="C218" s="38" t="str">
        <f t="shared" si="36"/>
        <v>Duplicate-SW1203 - Low Voltage Air Circuit Breakers, Nilsen AB - GENERIC TYPES</v>
      </c>
      <c r="D218" s="38" t="str">
        <f t="shared" si="37"/>
        <v>Duplicate-</v>
      </c>
      <c r="E218" s="413"/>
      <c r="F218" s="43" t="s">
        <v>405</v>
      </c>
      <c r="G218" s="43" t="s">
        <v>771</v>
      </c>
      <c r="X218" s="38">
        <v>6</v>
      </c>
      <c r="Y218" s="38">
        <v>6</v>
      </c>
      <c r="AK218" s="45">
        <f t="shared" si="38"/>
        <v>0</v>
      </c>
      <c r="AL218" s="46">
        <f t="shared" si="39"/>
        <v>0</v>
      </c>
      <c r="AM218" s="46">
        <f t="shared" si="40"/>
        <v>0</v>
      </c>
      <c r="AN218" s="46"/>
      <c r="AO218" s="119" t="s">
        <v>1197</v>
      </c>
      <c r="AP218" s="38" t="str">
        <f t="shared" si="35"/>
        <v>Exclude</v>
      </c>
    </row>
    <row r="219" spans="1:42" ht="45" hidden="1">
      <c r="A219" s="38" t="str">
        <f t="shared" si="34"/>
        <v>Ausgrid</v>
      </c>
      <c r="B219" s="38" t="s">
        <v>1197</v>
      </c>
      <c r="C219" s="38" t="str">
        <f t="shared" si="36"/>
        <v>Duplicate-SW1203 - Low Voltage Air Circuit Breakers, Nilsen AB - GENERIC TYPES</v>
      </c>
      <c r="D219" s="38" t="str">
        <f t="shared" si="37"/>
        <v>Duplicate-</v>
      </c>
      <c r="E219" s="413"/>
      <c r="F219" s="43" t="s">
        <v>405</v>
      </c>
      <c r="G219" s="43" t="s">
        <v>771</v>
      </c>
      <c r="X219" s="38">
        <v>12</v>
      </c>
      <c r="Y219" s="38">
        <v>12</v>
      </c>
      <c r="AK219" s="45">
        <f t="shared" si="38"/>
        <v>0</v>
      </c>
      <c r="AL219" s="46">
        <f t="shared" si="39"/>
        <v>0</v>
      </c>
      <c r="AM219" s="46">
        <f t="shared" si="40"/>
        <v>0</v>
      </c>
      <c r="AN219" s="46"/>
      <c r="AO219" s="119" t="s">
        <v>1197</v>
      </c>
      <c r="AP219" s="38" t="str">
        <f t="shared" si="35"/>
        <v>Exclude</v>
      </c>
    </row>
    <row r="220" spans="1:42" ht="45" hidden="1">
      <c r="A220" s="38" t="str">
        <f t="shared" si="34"/>
        <v>Ausgrid</v>
      </c>
      <c r="B220" s="38" t="s">
        <v>1197</v>
      </c>
      <c r="C220" s="38" t="str">
        <f t="shared" si="36"/>
        <v>Duplicate-SW1204 - Low Voltage Air Circuit Breakers, Nilsen / PDL D-Pro - GENERIC TYPES</v>
      </c>
      <c r="D220" s="38" t="str">
        <f t="shared" si="37"/>
        <v>Duplicate-</v>
      </c>
      <c r="E220" s="413"/>
      <c r="F220" s="43" t="s">
        <v>405</v>
      </c>
      <c r="G220" s="43" t="s">
        <v>772</v>
      </c>
      <c r="X220" s="38">
        <v>12</v>
      </c>
      <c r="Y220" s="38">
        <v>12</v>
      </c>
      <c r="AK220" s="45">
        <f t="shared" si="38"/>
        <v>0</v>
      </c>
      <c r="AL220" s="46">
        <f t="shared" si="39"/>
        <v>0</v>
      </c>
      <c r="AM220" s="46">
        <f t="shared" si="40"/>
        <v>0</v>
      </c>
      <c r="AN220" s="46"/>
      <c r="AO220" s="119" t="s">
        <v>1197</v>
      </c>
      <c r="AP220" s="38" t="str">
        <f t="shared" si="35"/>
        <v>Exclude</v>
      </c>
    </row>
    <row r="221" spans="1:42" ht="60" hidden="1">
      <c r="A221" s="38" t="str">
        <f t="shared" si="34"/>
        <v>Ausgrid</v>
      </c>
      <c r="B221" s="38" t="s">
        <v>1197</v>
      </c>
      <c r="C221" s="38" t="str">
        <f t="shared" si="36"/>
        <v>Duplicate-SW1205 - Low Voltage Air Circuit Breakers, Standard Waygood LA 50 - GENERIC TYPES</v>
      </c>
      <c r="D221" s="38" t="str">
        <f t="shared" si="37"/>
        <v>Duplicate-</v>
      </c>
      <c r="E221" s="413"/>
      <c r="F221" s="43" t="s">
        <v>405</v>
      </c>
      <c r="G221" s="43" t="s">
        <v>773</v>
      </c>
      <c r="X221" s="38">
        <v>6</v>
      </c>
      <c r="Y221" s="38">
        <v>6</v>
      </c>
      <c r="AK221" s="45">
        <f t="shared" si="38"/>
        <v>0</v>
      </c>
      <c r="AL221" s="46">
        <f t="shared" si="39"/>
        <v>0</v>
      </c>
      <c r="AM221" s="46">
        <f t="shared" si="40"/>
        <v>0</v>
      </c>
      <c r="AN221" s="46"/>
      <c r="AO221" s="119" t="s">
        <v>1197</v>
      </c>
      <c r="AP221" s="38" t="str">
        <f t="shared" si="35"/>
        <v>Exclude</v>
      </c>
    </row>
    <row r="222" spans="1:42" ht="60" hidden="1">
      <c r="A222" s="38" t="str">
        <f t="shared" si="34"/>
        <v>Ausgrid</v>
      </c>
      <c r="B222" s="38" t="s">
        <v>1197</v>
      </c>
      <c r="C222" s="38" t="str">
        <f t="shared" si="36"/>
        <v>Duplicate-SW1205 - Low Voltage Air Circuit Breakers, Standard Waygood LA 50 - GENERIC TYPES</v>
      </c>
      <c r="D222" s="38" t="str">
        <f t="shared" si="37"/>
        <v>Duplicate-</v>
      </c>
      <c r="E222" s="413"/>
      <c r="F222" s="43" t="s">
        <v>405</v>
      </c>
      <c r="G222" s="43" t="s">
        <v>773</v>
      </c>
      <c r="X222" s="38">
        <v>12</v>
      </c>
      <c r="Y222" s="38">
        <v>12</v>
      </c>
      <c r="AK222" s="45">
        <f t="shared" si="38"/>
        <v>0</v>
      </c>
      <c r="AL222" s="46">
        <f t="shared" si="39"/>
        <v>0</v>
      </c>
      <c r="AM222" s="46">
        <f t="shared" si="40"/>
        <v>0</v>
      </c>
      <c r="AN222" s="46"/>
      <c r="AO222" s="119" t="s">
        <v>1197</v>
      </c>
      <c r="AP222" s="38" t="str">
        <f t="shared" si="35"/>
        <v>Exclude</v>
      </c>
    </row>
    <row r="223" spans="1:42" ht="60" hidden="1">
      <c r="A223" s="38" t="str">
        <f t="shared" si="34"/>
        <v>Ausgrid</v>
      </c>
      <c r="B223" s="38" t="s">
        <v>1197</v>
      </c>
      <c r="C223" s="38" t="str">
        <f t="shared" si="36"/>
        <v>Duplicate-SW1206 - Low Voltage Air Circuit Breakers, Boukley &amp; Sawer (B &amp; S) C7  - GENERIC TYPES</v>
      </c>
      <c r="D223" s="38" t="str">
        <f t="shared" si="37"/>
        <v>Duplicate-</v>
      </c>
      <c r="E223" s="413"/>
      <c r="F223" s="43" t="s">
        <v>405</v>
      </c>
      <c r="G223" s="43" t="s">
        <v>774</v>
      </c>
      <c r="X223" s="38">
        <v>12</v>
      </c>
      <c r="Y223" s="38">
        <v>12</v>
      </c>
      <c r="AK223" s="45">
        <f t="shared" si="38"/>
        <v>0</v>
      </c>
      <c r="AL223" s="46">
        <f t="shared" si="39"/>
        <v>0</v>
      </c>
      <c r="AM223" s="46">
        <f t="shared" si="40"/>
        <v>0</v>
      </c>
      <c r="AN223" s="46"/>
      <c r="AO223" s="119" t="s">
        <v>1197</v>
      </c>
      <c r="AP223" s="38" t="str">
        <f t="shared" si="35"/>
        <v>Exclude</v>
      </c>
    </row>
    <row r="224" spans="1:42" ht="60" hidden="1">
      <c r="A224" s="38" t="str">
        <f t="shared" si="34"/>
        <v>Ausgrid</v>
      </c>
      <c r="B224" s="38" t="s">
        <v>1197</v>
      </c>
      <c r="C224" s="38" t="str">
        <f t="shared" si="36"/>
        <v>Duplicate-SW1207 - Low Voltage Air Circuit Breakers, Mitsubishi AE-SH (non-motorised) - GENERIC TYPES</v>
      </c>
      <c r="D224" s="38" t="str">
        <f t="shared" si="37"/>
        <v>Duplicate-</v>
      </c>
      <c r="E224" s="413"/>
      <c r="F224" s="43" t="s">
        <v>405</v>
      </c>
      <c r="G224" s="43" t="s">
        <v>775</v>
      </c>
      <c r="X224" s="38">
        <v>12</v>
      </c>
      <c r="Y224" s="38">
        <v>12</v>
      </c>
      <c r="AK224" s="45">
        <f t="shared" si="38"/>
        <v>0</v>
      </c>
      <c r="AL224" s="46">
        <f t="shared" si="39"/>
        <v>0</v>
      </c>
      <c r="AM224" s="46">
        <f t="shared" si="40"/>
        <v>0</v>
      </c>
      <c r="AN224" s="46"/>
      <c r="AO224" s="119" t="s">
        <v>1197</v>
      </c>
      <c r="AP224" s="38" t="str">
        <f t="shared" si="35"/>
        <v>Exclude</v>
      </c>
    </row>
    <row r="225" spans="1:42" ht="60" hidden="1">
      <c r="A225" s="38" t="str">
        <f t="shared" si="34"/>
        <v>Ausgrid</v>
      </c>
      <c r="B225" s="38" t="s">
        <v>1197</v>
      </c>
      <c r="C225" s="38" t="str">
        <f t="shared" si="36"/>
        <v>Duplicate-SW1208 - Low Voltage Air Circuit Breakers, Westinghouse DS532 - GENERIC TYPES</v>
      </c>
      <c r="D225" s="38" t="str">
        <f t="shared" si="37"/>
        <v>Duplicate-</v>
      </c>
      <c r="E225" s="413"/>
      <c r="F225" s="43" t="s">
        <v>405</v>
      </c>
      <c r="G225" s="43" t="s">
        <v>776</v>
      </c>
      <c r="X225" s="38">
        <v>12</v>
      </c>
      <c r="Y225" s="38">
        <v>12</v>
      </c>
      <c r="AK225" s="45">
        <f t="shared" si="38"/>
        <v>0</v>
      </c>
      <c r="AL225" s="46">
        <f t="shared" si="39"/>
        <v>0</v>
      </c>
      <c r="AM225" s="46">
        <f t="shared" si="40"/>
        <v>0</v>
      </c>
      <c r="AN225" s="46"/>
      <c r="AO225" s="119" t="s">
        <v>1197</v>
      </c>
      <c r="AP225" s="38" t="str">
        <f t="shared" si="35"/>
        <v>Exclude</v>
      </c>
    </row>
    <row r="226" spans="1:42" ht="60" hidden="1">
      <c r="A226" s="38" t="str">
        <f t="shared" si="34"/>
        <v>Ausgrid</v>
      </c>
      <c r="B226" s="38" t="s">
        <v>1197</v>
      </c>
      <c r="C226" s="38" t="str">
        <f t="shared" si="36"/>
        <v>Duplicate-SW1250 - Network Protectors &amp; Motorised LV ACB's, Generic Operational Check - GENERIC TYPES</v>
      </c>
      <c r="D226" s="38" t="str">
        <f t="shared" si="37"/>
        <v>Duplicate-</v>
      </c>
      <c r="E226" s="413"/>
      <c r="F226" s="43" t="s">
        <v>405</v>
      </c>
      <c r="G226" s="43" t="s">
        <v>777</v>
      </c>
      <c r="X226" s="38">
        <v>3</v>
      </c>
      <c r="Y226" s="38">
        <v>0</v>
      </c>
      <c r="AK226" s="45">
        <f t="shared" si="38"/>
        <v>0</v>
      </c>
      <c r="AL226" s="46">
        <f t="shared" si="39"/>
        <v>0</v>
      </c>
      <c r="AM226" s="46">
        <f t="shared" si="40"/>
        <v>0</v>
      </c>
      <c r="AN226" s="46"/>
      <c r="AO226" s="119" t="s">
        <v>1197</v>
      </c>
      <c r="AP226" s="38" t="str">
        <f t="shared" si="35"/>
        <v>Exclude</v>
      </c>
    </row>
    <row r="227" spans="1:42" ht="45" hidden="1">
      <c r="A227" s="38" t="str">
        <f t="shared" si="34"/>
        <v>Ausgrid</v>
      </c>
      <c r="B227" s="38" t="s">
        <v>1197</v>
      </c>
      <c r="C227" s="38" t="str">
        <f t="shared" si="36"/>
        <v>Duplicate-SW1265 - Motorised LV ACB, General Electric MG14 - GENERIC TYPES</v>
      </c>
      <c r="D227" s="38" t="str">
        <f t="shared" si="37"/>
        <v>Duplicate-</v>
      </c>
      <c r="E227" s="413"/>
      <c r="F227" s="43" t="s">
        <v>405</v>
      </c>
      <c r="G227" s="43" t="s">
        <v>778</v>
      </c>
      <c r="X227" s="38">
        <v>6</v>
      </c>
      <c r="Y227" s="38">
        <v>6</v>
      </c>
      <c r="AK227" s="45">
        <f t="shared" si="38"/>
        <v>0</v>
      </c>
      <c r="AL227" s="46">
        <f t="shared" si="39"/>
        <v>0</v>
      </c>
      <c r="AM227" s="46">
        <f t="shared" si="40"/>
        <v>0</v>
      </c>
      <c r="AN227" s="46"/>
      <c r="AO227" s="119" t="s">
        <v>1197</v>
      </c>
      <c r="AP227" s="38" t="str">
        <f t="shared" si="35"/>
        <v>Exclude</v>
      </c>
    </row>
    <row r="228" spans="1:42" ht="45" hidden="1">
      <c r="A228" s="38" t="str">
        <f t="shared" si="34"/>
        <v>Ausgrid</v>
      </c>
      <c r="B228" s="38" t="s">
        <v>1197</v>
      </c>
      <c r="C228" s="38" t="str">
        <f t="shared" si="36"/>
        <v>Duplicate-SW1266 - Motorised LV ACB, Standard Waygood - GENERIC TYPES</v>
      </c>
      <c r="D228" s="38" t="str">
        <f t="shared" si="37"/>
        <v>Duplicate-</v>
      </c>
      <c r="E228" s="413"/>
      <c r="F228" s="43" t="s">
        <v>405</v>
      </c>
      <c r="G228" s="43" t="s">
        <v>779</v>
      </c>
      <c r="X228" s="38">
        <v>6</v>
      </c>
      <c r="Y228" s="38">
        <v>6</v>
      </c>
      <c r="AK228" s="45">
        <f t="shared" si="38"/>
        <v>0</v>
      </c>
      <c r="AL228" s="46">
        <f t="shared" si="39"/>
        <v>0</v>
      </c>
      <c r="AM228" s="46">
        <f t="shared" si="40"/>
        <v>0</v>
      </c>
      <c r="AN228" s="46"/>
      <c r="AO228" s="119" t="s">
        <v>1197</v>
      </c>
      <c r="AP228" s="38" t="str">
        <f t="shared" si="35"/>
        <v>Exclude</v>
      </c>
    </row>
    <row r="229" spans="1:42" ht="45" hidden="1">
      <c r="A229" s="38" t="str">
        <f t="shared" si="34"/>
        <v>Ausgrid</v>
      </c>
      <c r="B229" s="38" t="s">
        <v>1197</v>
      </c>
      <c r="C229" s="38" t="str">
        <f t="shared" si="36"/>
        <v>Duplicate-SW1267 - Motorised LV ACB, Nilsen AB Series - GENERIC TYPES</v>
      </c>
      <c r="D229" s="38" t="str">
        <f t="shared" si="37"/>
        <v>Duplicate-</v>
      </c>
      <c r="E229" s="413"/>
      <c r="F229" s="43" t="s">
        <v>405</v>
      </c>
      <c r="G229" s="43" t="s">
        <v>780</v>
      </c>
      <c r="X229" s="38">
        <v>6</v>
      </c>
      <c r="Y229" s="38">
        <v>6</v>
      </c>
      <c r="AK229" s="45">
        <f t="shared" si="38"/>
        <v>0</v>
      </c>
      <c r="AL229" s="46">
        <f t="shared" si="39"/>
        <v>0</v>
      </c>
      <c r="AM229" s="46">
        <f t="shared" si="40"/>
        <v>0</v>
      </c>
      <c r="AN229" s="46"/>
      <c r="AO229" s="119" t="s">
        <v>1197</v>
      </c>
      <c r="AP229" s="38" t="str">
        <f t="shared" si="35"/>
        <v>Exclude</v>
      </c>
    </row>
    <row r="230" spans="1:42" ht="45" hidden="1">
      <c r="A230" s="38" t="str">
        <f t="shared" si="34"/>
        <v>Ausgrid</v>
      </c>
      <c r="B230" s="38" t="s">
        <v>1197</v>
      </c>
      <c r="C230" s="38" t="str">
        <f t="shared" si="36"/>
        <v>Duplicate-SW1268 - Motorised LV ACB, Nilsen NAB Series - GENERIC TYPES</v>
      </c>
      <c r="D230" s="38" t="str">
        <f t="shared" si="37"/>
        <v>Duplicate-</v>
      </c>
      <c r="E230" s="413"/>
      <c r="F230" s="43" t="s">
        <v>405</v>
      </c>
      <c r="G230" s="43" t="s">
        <v>781</v>
      </c>
      <c r="X230" s="38">
        <v>6</v>
      </c>
      <c r="Y230" s="38">
        <v>6</v>
      </c>
      <c r="AK230" s="45">
        <f t="shared" si="38"/>
        <v>0</v>
      </c>
      <c r="AL230" s="46">
        <f t="shared" si="39"/>
        <v>0</v>
      </c>
      <c r="AM230" s="46">
        <f t="shared" si="40"/>
        <v>0</v>
      </c>
      <c r="AN230" s="46"/>
      <c r="AO230" s="119" t="s">
        <v>1197</v>
      </c>
      <c r="AP230" s="38" t="str">
        <f t="shared" si="35"/>
        <v>Exclude</v>
      </c>
    </row>
    <row r="231" spans="1:42" ht="45" hidden="1">
      <c r="A231" s="38" t="str">
        <f t="shared" si="34"/>
        <v>Ausgrid</v>
      </c>
      <c r="B231" s="38" t="s">
        <v>1197</v>
      </c>
      <c r="C231" s="38" t="str">
        <f t="shared" si="36"/>
        <v>Duplicate-SW1251 - Network Protectors, Generic - GENERIC TYPES</v>
      </c>
      <c r="D231" s="38" t="str">
        <f t="shared" si="37"/>
        <v>Duplicate-</v>
      </c>
      <c r="E231" s="413"/>
      <c r="F231" s="43" t="s">
        <v>405</v>
      </c>
      <c r="G231" s="43" t="s">
        <v>782</v>
      </c>
      <c r="X231" s="38">
        <v>6</v>
      </c>
      <c r="Y231" s="38">
        <v>6</v>
      </c>
      <c r="AK231" s="45">
        <f t="shared" si="38"/>
        <v>0</v>
      </c>
      <c r="AL231" s="46">
        <f t="shared" si="39"/>
        <v>0</v>
      </c>
      <c r="AM231" s="46">
        <f t="shared" si="40"/>
        <v>0</v>
      </c>
      <c r="AN231" s="46"/>
      <c r="AO231" s="119" t="s">
        <v>1197</v>
      </c>
      <c r="AP231" s="38" t="str">
        <f t="shared" si="35"/>
        <v>Exclude</v>
      </c>
    </row>
    <row r="232" spans="1:42" ht="60" hidden="1">
      <c r="A232" s="38" t="str">
        <f t="shared" si="34"/>
        <v>Ausgrid</v>
      </c>
      <c r="B232" s="38" t="s">
        <v>1197</v>
      </c>
      <c r="C232" s="38" t="str">
        <f t="shared" si="36"/>
        <v>Duplicate-SW1252 - Network Protectors, Westinghouse CM-22 Network Protector - GENERIC TYPES</v>
      </c>
      <c r="D232" s="38" t="str">
        <f t="shared" si="37"/>
        <v>Duplicate-</v>
      </c>
      <c r="E232" s="413"/>
      <c r="F232" s="43" t="s">
        <v>405</v>
      </c>
      <c r="G232" s="43" t="s">
        <v>783</v>
      </c>
      <c r="X232" s="38">
        <v>6</v>
      </c>
      <c r="Y232" s="38">
        <v>6</v>
      </c>
      <c r="AK232" s="45">
        <f t="shared" si="38"/>
        <v>0</v>
      </c>
      <c r="AL232" s="46">
        <f t="shared" si="39"/>
        <v>0</v>
      </c>
      <c r="AM232" s="46">
        <f t="shared" si="40"/>
        <v>0</v>
      </c>
      <c r="AN232" s="46"/>
      <c r="AO232" s="119" t="s">
        <v>1197</v>
      </c>
      <c r="AP232" s="38" t="str">
        <f t="shared" si="35"/>
        <v>Exclude</v>
      </c>
    </row>
    <row r="233" spans="1:42" ht="60" hidden="1">
      <c r="A233" s="38" t="str">
        <f t="shared" si="34"/>
        <v>Ausgrid</v>
      </c>
      <c r="B233" s="38" t="s">
        <v>1197</v>
      </c>
      <c r="C233" s="38" t="str">
        <f t="shared" si="36"/>
        <v>Duplicate-SW1253 - Network Protectors, Westinghouse CM-2 Network Protector - GENERIC TYPES</v>
      </c>
      <c r="D233" s="38" t="str">
        <f t="shared" si="37"/>
        <v>Duplicate-</v>
      </c>
      <c r="E233" s="413"/>
      <c r="F233" s="43" t="s">
        <v>405</v>
      </c>
      <c r="G233" s="43" t="s">
        <v>784</v>
      </c>
      <c r="X233" s="38">
        <v>6</v>
      </c>
      <c r="Y233" s="38">
        <v>6</v>
      </c>
      <c r="AK233" s="45">
        <f t="shared" si="38"/>
        <v>0</v>
      </c>
      <c r="AL233" s="46">
        <f t="shared" si="39"/>
        <v>0</v>
      </c>
      <c r="AM233" s="46">
        <f t="shared" si="40"/>
        <v>0</v>
      </c>
      <c r="AN233" s="46"/>
      <c r="AO233" s="119" t="s">
        <v>1197</v>
      </c>
      <c r="AP233" s="38" t="str">
        <f t="shared" si="35"/>
        <v>Exclude</v>
      </c>
    </row>
    <row r="234" spans="1:42" ht="60" hidden="1">
      <c r="A234" s="38" t="str">
        <f t="shared" si="34"/>
        <v>Ausgrid</v>
      </c>
      <c r="B234" s="38" t="s">
        <v>1197</v>
      </c>
      <c r="C234" s="38" t="str">
        <f t="shared" si="36"/>
        <v>Duplicate-SW1254 - Network Protectors, General Electric MG14, Network Protector - GENERIC TYPES</v>
      </c>
      <c r="D234" s="38" t="str">
        <f t="shared" si="37"/>
        <v>Duplicate-</v>
      </c>
      <c r="E234" s="413"/>
      <c r="F234" s="43" t="s">
        <v>405</v>
      </c>
      <c r="G234" s="43" t="s">
        <v>785</v>
      </c>
      <c r="X234" s="38">
        <v>6</v>
      </c>
      <c r="Y234" s="38">
        <v>6</v>
      </c>
      <c r="AK234" s="45">
        <f t="shared" si="38"/>
        <v>0</v>
      </c>
      <c r="AL234" s="46">
        <f t="shared" si="39"/>
        <v>0</v>
      </c>
      <c r="AM234" s="46">
        <f t="shared" si="40"/>
        <v>0</v>
      </c>
      <c r="AN234" s="46"/>
      <c r="AO234" s="119" t="s">
        <v>1197</v>
      </c>
      <c r="AP234" s="38" t="str">
        <f t="shared" si="35"/>
        <v>Exclude</v>
      </c>
    </row>
    <row r="235" spans="1:42" ht="60" hidden="1">
      <c r="A235" s="38" t="str">
        <f t="shared" si="34"/>
        <v>Ausgrid</v>
      </c>
      <c r="B235" s="38" t="s">
        <v>1197</v>
      </c>
      <c r="C235" s="38" t="str">
        <f t="shared" si="36"/>
        <v>Duplicate-SW1255 - Network Protectors, General Electric MG9, Network Protector - GENERIC TYPES</v>
      </c>
      <c r="D235" s="38" t="str">
        <f t="shared" si="37"/>
        <v>Duplicate-</v>
      </c>
      <c r="E235" s="413"/>
      <c r="F235" s="43" t="s">
        <v>405</v>
      </c>
      <c r="G235" s="43" t="s">
        <v>786</v>
      </c>
      <c r="X235" s="38">
        <v>6</v>
      </c>
      <c r="Y235" s="38">
        <v>6</v>
      </c>
      <c r="AK235" s="45">
        <f t="shared" si="38"/>
        <v>0</v>
      </c>
      <c r="AL235" s="46">
        <f t="shared" si="39"/>
        <v>0</v>
      </c>
      <c r="AM235" s="46">
        <f t="shared" si="40"/>
        <v>0</v>
      </c>
      <c r="AN235" s="46"/>
      <c r="AO235" s="119" t="s">
        <v>1197</v>
      </c>
      <c r="AP235" s="38" t="str">
        <f t="shared" si="35"/>
        <v>Exclude</v>
      </c>
    </row>
    <row r="236" spans="1:42" ht="60" hidden="1">
      <c r="A236" s="38" t="str">
        <f t="shared" si="34"/>
        <v>Ausgrid</v>
      </c>
      <c r="B236" s="38" t="s">
        <v>1197</v>
      </c>
      <c r="C236" s="38" t="str">
        <f t="shared" si="36"/>
        <v>Duplicate-SW1258 - Network Protectors, Standard Waygood, Network Protector - GENERIC TYPES</v>
      </c>
      <c r="D236" s="38" t="str">
        <f t="shared" si="37"/>
        <v>Duplicate-</v>
      </c>
      <c r="E236" s="413"/>
      <c r="F236" s="43" t="s">
        <v>405</v>
      </c>
      <c r="G236" s="43" t="s">
        <v>787</v>
      </c>
      <c r="X236" s="38">
        <v>6</v>
      </c>
      <c r="Y236" s="38">
        <v>6</v>
      </c>
      <c r="AK236" s="45">
        <f t="shared" si="38"/>
        <v>0</v>
      </c>
      <c r="AL236" s="46">
        <f t="shared" si="39"/>
        <v>0</v>
      </c>
      <c r="AM236" s="46">
        <f t="shared" si="40"/>
        <v>0</v>
      </c>
      <c r="AN236" s="46"/>
      <c r="AO236" s="119" t="s">
        <v>1197</v>
      </c>
      <c r="AP236" s="38" t="str">
        <f t="shared" si="35"/>
        <v>Exclude</v>
      </c>
    </row>
    <row r="237" spans="1:42" ht="60" hidden="1">
      <c r="A237" s="38" t="str">
        <f t="shared" si="34"/>
        <v>Ausgrid</v>
      </c>
      <c r="B237" s="38" t="s">
        <v>1197</v>
      </c>
      <c r="C237" s="38" t="str">
        <f t="shared" si="36"/>
        <v>Duplicate-SW1259 - Network Protectors, Nilsen AB Series, Network Protector - GENERIC TYPES</v>
      </c>
      <c r="D237" s="38" t="str">
        <f t="shared" si="37"/>
        <v>Duplicate-</v>
      </c>
      <c r="E237" s="413"/>
      <c r="F237" s="43" t="s">
        <v>405</v>
      </c>
      <c r="G237" s="43" t="s">
        <v>788</v>
      </c>
      <c r="X237" s="38">
        <v>6</v>
      </c>
      <c r="Y237" s="38">
        <v>6</v>
      </c>
      <c r="AK237" s="45">
        <f t="shared" si="38"/>
        <v>0</v>
      </c>
      <c r="AL237" s="46">
        <f t="shared" si="39"/>
        <v>0</v>
      </c>
      <c r="AM237" s="46">
        <f t="shared" si="40"/>
        <v>0</v>
      </c>
      <c r="AN237" s="46"/>
      <c r="AO237" s="119" t="s">
        <v>1197</v>
      </c>
      <c r="AP237" s="38" t="str">
        <f t="shared" si="35"/>
        <v>Exclude</v>
      </c>
    </row>
    <row r="238" spans="1:42" ht="60" hidden="1">
      <c r="A238" s="38" t="str">
        <f t="shared" si="34"/>
        <v>Ausgrid</v>
      </c>
      <c r="B238" s="38" t="s">
        <v>1197</v>
      </c>
      <c r="C238" s="38" t="str">
        <f t="shared" si="36"/>
        <v>Duplicate-SW1260 - Network Protectors, Nilsen NAB Series, Network Protector - GENERIC TYPES</v>
      </c>
      <c r="D238" s="38" t="str">
        <f t="shared" si="37"/>
        <v>Duplicate-</v>
      </c>
      <c r="E238" s="413"/>
      <c r="F238" s="43" t="s">
        <v>405</v>
      </c>
      <c r="G238" s="43" t="s">
        <v>789</v>
      </c>
      <c r="X238" s="38">
        <v>6</v>
      </c>
      <c r="Y238" s="38">
        <v>6</v>
      </c>
      <c r="AK238" s="45">
        <f t="shared" si="38"/>
        <v>0</v>
      </c>
      <c r="AL238" s="46">
        <f t="shared" si="39"/>
        <v>0</v>
      </c>
      <c r="AM238" s="46">
        <f t="shared" si="40"/>
        <v>0</v>
      </c>
      <c r="AN238" s="46"/>
      <c r="AO238" s="119" t="s">
        <v>1197</v>
      </c>
      <c r="AP238" s="38" t="str">
        <f t="shared" si="35"/>
        <v>Exclude</v>
      </c>
    </row>
    <row r="239" spans="1:42" ht="60" hidden="1">
      <c r="A239" s="38" t="str">
        <f t="shared" si="34"/>
        <v>Ausgrid</v>
      </c>
      <c r="B239" s="38" t="s">
        <v>1197</v>
      </c>
      <c r="C239" s="38" t="str">
        <f t="shared" si="36"/>
        <v>Duplicate-SW1262 - Motorised Low Voltage Air Circuit Breakers, Merlin Gerin M32 - GENERIC TYPES</v>
      </c>
      <c r="D239" s="38" t="str">
        <f t="shared" si="37"/>
        <v>Duplicate-</v>
      </c>
      <c r="E239" s="413"/>
      <c r="F239" s="43" t="s">
        <v>405</v>
      </c>
      <c r="G239" s="43" t="s">
        <v>790</v>
      </c>
      <c r="X239" s="38">
        <v>6</v>
      </c>
      <c r="Y239" s="38">
        <v>6</v>
      </c>
      <c r="AK239" s="45">
        <f t="shared" si="38"/>
        <v>0</v>
      </c>
      <c r="AL239" s="46">
        <f t="shared" si="39"/>
        <v>0</v>
      </c>
      <c r="AM239" s="46">
        <f t="shared" si="40"/>
        <v>0</v>
      </c>
      <c r="AN239" s="46"/>
      <c r="AO239" s="119" t="s">
        <v>1197</v>
      </c>
      <c r="AP239" s="38" t="str">
        <f t="shared" si="35"/>
        <v>Exclude</v>
      </c>
    </row>
    <row r="240" spans="1:42" ht="60" hidden="1">
      <c r="A240" s="38" t="str">
        <f t="shared" si="34"/>
        <v>Ausgrid</v>
      </c>
      <c r="B240" s="38" t="s">
        <v>1197</v>
      </c>
      <c r="C240" s="38" t="str">
        <f t="shared" si="36"/>
        <v>Duplicate-SW1263 - Motorised Low Voltage Air Circuit Breakers, Nilsen / PDL D-Pro - GENERIC TYPES</v>
      </c>
      <c r="D240" s="38" t="str">
        <f t="shared" si="37"/>
        <v>Duplicate-</v>
      </c>
      <c r="E240" s="413"/>
      <c r="F240" s="43" t="s">
        <v>405</v>
      </c>
      <c r="G240" s="43" t="s">
        <v>791</v>
      </c>
      <c r="X240" s="38">
        <v>6</v>
      </c>
      <c r="Y240" s="38">
        <v>6</v>
      </c>
      <c r="AK240" s="45">
        <f t="shared" si="38"/>
        <v>0</v>
      </c>
      <c r="AL240" s="46">
        <f t="shared" si="39"/>
        <v>0</v>
      </c>
      <c r="AM240" s="46">
        <f t="shared" si="40"/>
        <v>0</v>
      </c>
      <c r="AN240" s="46"/>
      <c r="AO240" s="119" t="s">
        <v>1197</v>
      </c>
      <c r="AP240" s="38" t="str">
        <f t="shared" si="35"/>
        <v>Exclude</v>
      </c>
    </row>
    <row r="241" spans="1:42" ht="60" hidden="1">
      <c r="A241" s="38" t="str">
        <f t="shared" si="34"/>
        <v>Ausgrid</v>
      </c>
      <c r="B241" s="38" t="s">
        <v>1197</v>
      </c>
      <c r="C241" s="38" t="str">
        <f t="shared" si="36"/>
        <v>Duplicate-SW1264 - Low Voltage Air Circuit Breakers, Mitsubishi AE-SH (motorised) - GENERIC TYPES</v>
      </c>
      <c r="D241" s="38" t="str">
        <f t="shared" si="37"/>
        <v>Duplicate-</v>
      </c>
      <c r="E241" s="413"/>
      <c r="F241" s="43" t="s">
        <v>405</v>
      </c>
      <c r="G241" s="43" t="s">
        <v>792</v>
      </c>
      <c r="X241" s="38">
        <v>6</v>
      </c>
      <c r="Y241" s="38">
        <v>6</v>
      </c>
      <c r="AK241" s="45">
        <f t="shared" si="38"/>
        <v>0</v>
      </c>
      <c r="AL241" s="46">
        <f t="shared" si="39"/>
        <v>0</v>
      </c>
      <c r="AM241" s="46">
        <f t="shared" si="40"/>
        <v>0</v>
      </c>
      <c r="AN241" s="46"/>
      <c r="AO241" s="119" t="s">
        <v>1197</v>
      </c>
      <c r="AP241" s="38" t="str">
        <f t="shared" si="35"/>
        <v>Exclude</v>
      </c>
    </row>
    <row r="242" spans="1:42" ht="75" hidden="1">
      <c r="A242" s="38" t="str">
        <f t="shared" si="34"/>
        <v>Ausgrid</v>
      </c>
      <c r="B242" s="38" t="s">
        <v>1197</v>
      </c>
      <c r="C242" s="38" t="str">
        <f t="shared" si="36"/>
        <v>Duplicate-SW1301 - Circuit Breaker, Low Voltage, Oil, All Types - LOW VOLTAGE OIL CIRCUIT BREAKER - ALL TYPES EXCEPT OB SERIES</v>
      </c>
      <c r="D242" s="38" t="str">
        <f t="shared" si="37"/>
        <v>Duplicate-</v>
      </c>
      <c r="E242" s="413"/>
      <c r="F242" s="43" t="s">
        <v>405</v>
      </c>
      <c r="G242" s="43" t="s">
        <v>793</v>
      </c>
      <c r="X242" s="38">
        <v>2</v>
      </c>
      <c r="Y242" s="38">
        <v>0</v>
      </c>
      <c r="AK242" s="45">
        <f t="shared" si="38"/>
        <v>0</v>
      </c>
      <c r="AL242" s="46">
        <f t="shared" si="39"/>
        <v>0</v>
      </c>
      <c r="AM242" s="46">
        <f t="shared" si="40"/>
        <v>0</v>
      </c>
      <c r="AN242" s="46"/>
      <c r="AO242" s="119" t="s">
        <v>1197</v>
      </c>
      <c r="AP242" s="38" t="str">
        <f t="shared" si="35"/>
        <v>Exclude</v>
      </c>
    </row>
    <row r="243" spans="1:42" ht="90" hidden="1">
      <c r="A243" s="38" t="str">
        <f t="shared" ref="A243:A306" si="41">IF(E243&gt;0,E243,A242)</f>
        <v>Ausgrid</v>
      </c>
      <c r="B243" s="38" t="s">
        <v>1197</v>
      </c>
      <c r="C243" s="38" t="str">
        <f t="shared" si="36"/>
        <v>Duplicate-SW1302 - LOW VOLTAGE OIL CIRCUIT BREAKER – OB 8 SERIES (B&amp;S, MV) - LOW VOLTAGE OIL CIRCUIT BREAKER - ALL TYPES EXCEPT OB SERIES</v>
      </c>
      <c r="D243" s="38" t="str">
        <f t="shared" si="37"/>
        <v>Duplicate-</v>
      </c>
      <c r="E243" s="413"/>
      <c r="F243" s="43" t="s">
        <v>405</v>
      </c>
      <c r="G243" s="43" t="s">
        <v>794</v>
      </c>
      <c r="X243" s="38">
        <v>2</v>
      </c>
      <c r="Y243" s="38">
        <v>0</v>
      </c>
      <c r="AK243" s="45">
        <f t="shared" si="38"/>
        <v>0</v>
      </c>
      <c r="AL243" s="46">
        <f t="shared" si="39"/>
        <v>0</v>
      </c>
      <c r="AM243" s="46">
        <f t="shared" si="40"/>
        <v>0</v>
      </c>
      <c r="AN243" s="46"/>
      <c r="AO243" s="119" t="s">
        <v>1197</v>
      </c>
      <c r="AP243" s="38" t="str">
        <f t="shared" si="35"/>
        <v>Exclude</v>
      </c>
    </row>
    <row r="244" spans="1:42" ht="45" hidden="1">
      <c r="A244" s="38" t="str">
        <f t="shared" si="41"/>
        <v>Ausgrid</v>
      </c>
      <c r="B244" s="38" t="s">
        <v>1197</v>
      </c>
      <c r="C244" s="38" t="str">
        <f t="shared" si="36"/>
        <v>Duplicate-SW1801 - Recloser, SF6, Nulec, N Series, Vacuum Outdoor - 33KV RECLOSERS</v>
      </c>
      <c r="D244" s="38" t="str">
        <f t="shared" si="37"/>
        <v>Duplicate-</v>
      </c>
      <c r="E244" s="413"/>
      <c r="F244" s="43" t="s">
        <v>405</v>
      </c>
      <c r="G244" s="43" t="s">
        <v>795</v>
      </c>
      <c r="X244" s="38">
        <v>3</v>
      </c>
      <c r="Y244" s="38">
        <v>3</v>
      </c>
      <c r="AK244" s="45">
        <f t="shared" si="38"/>
        <v>0</v>
      </c>
      <c r="AL244" s="46">
        <f t="shared" si="39"/>
        <v>0</v>
      </c>
      <c r="AM244" s="46">
        <f t="shared" si="40"/>
        <v>0</v>
      </c>
      <c r="AN244" s="46"/>
      <c r="AO244" s="119" t="s">
        <v>1197</v>
      </c>
      <c r="AP244" s="38" t="str">
        <f t="shared" si="35"/>
        <v>Exclude</v>
      </c>
    </row>
    <row r="245" spans="1:42" ht="45" hidden="1">
      <c r="A245" s="38" t="str">
        <f t="shared" si="41"/>
        <v>Ausgrid</v>
      </c>
      <c r="B245" s="38" t="s">
        <v>1197</v>
      </c>
      <c r="C245" s="38" t="str">
        <f t="shared" si="36"/>
        <v>Duplicate-SW1801 - Recloser, SF6, Nulec, N Series, Vacuum Outdoor - 22KV RECLOSERS</v>
      </c>
      <c r="D245" s="38" t="str">
        <f t="shared" si="37"/>
        <v>Duplicate-</v>
      </c>
      <c r="E245" s="413"/>
      <c r="F245" s="43" t="s">
        <v>405</v>
      </c>
      <c r="G245" s="43" t="s">
        <v>796</v>
      </c>
      <c r="X245" s="38">
        <v>3</v>
      </c>
      <c r="Y245" s="38">
        <v>3</v>
      </c>
      <c r="AK245" s="45">
        <f t="shared" si="38"/>
        <v>0</v>
      </c>
      <c r="AL245" s="46">
        <f t="shared" si="39"/>
        <v>0</v>
      </c>
      <c r="AM245" s="46">
        <f t="shared" si="40"/>
        <v>0</v>
      </c>
      <c r="AN245" s="46"/>
      <c r="AO245" s="119" t="s">
        <v>1197</v>
      </c>
      <c r="AP245" s="38" t="str">
        <f t="shared" si="35"/>
        <v>Exclude</v>
      </c>
    </row>
    <row r="246" spans="1:42" ht="45" hidden="1">
      <c r="A246" s="38" t="str">
        <f t="shared" si="41"/>
        <v>Ausgrid</v>
      </c>
      <c r="B246" s="38" t="s">
        <v>1197</v>
      </c>
      <c r="C246" s="38" t="str">
        <f t="shared" si="36"/>
        <v>Duplicate-SW1801 - Recloser, SF6, Nulec, N Series, Vacuum Outdoor - 11KV RECLOSERS</v>
      </c>
      <c r="D246" s="38" t="str">
        <f t="shared" si="37"/>
        <v>Duplicate-</v>
      </c>
      <c r="E246" s="413"/>
      <c r="F246" s="43" t="s">
        <v>405</v>
      </c>
      <c r="G246" s="43" t="s">
        <v>797</v>
      </c>
      <c r="X246" s="38">
        <v>3</v>
      </c>
      <c r="Y246" s="38">
        <v>3</v>
      </c>
      <c r="AK246" s="45">
        <f t="shared" si="38"/>
        <v>0</v>
      </c>
      <c r="AL246" s="46">
        <f t="shared" si="39"/>
        <v>0</v>
      </c>
      <c r="AM246" s="46">
        <f t="shared" si="40"/>
        <v>0</v>
      </c>
      <c r="AN246" s="46"/>
      <c r="AO246" s="119" t="s">
        <v>1197</v>
      </c>
      <c r="AP246" s="38" t="str">
        <f t="shared" si="35"/>
        <v>Exclude</v>
      </c>
    </row>
    <row r="247" spans="1:42" ht="45" hidden="1">
      <c r="A247" s="38" t="str">
        <f t="shared" si="41"/>
        <v>Ausgrid</v>
      </c>
      <c r="B247" s="38" t="s">
        <v>1197</v>
      </c>
      <c r="C247" s="38" t="str">
        <f t="shared" si="36"/>
        <v>Duplicate-SW1803 - Recloser, 11kV, Oil Filled with Oil Interrupters - 11KV RECLOSERS</v>
      </c>
      <c r="D247" s="38" t="str">
        <f t="shared" si="37"/>
        <v>Duplicate-</v>
      </c>
      <c r="E247" s="413"/>
      <c r="F247" s="43" t="s">
        <v>405</v>
      </c>
      <c r="G247" s="43" t="s">
        <v>798</v>
      </c>
      <c r="X247" s="38">
        <v>6</v>
      </c>
      <c r="Y247" s="38">
        <v>6</v>
      </c>
      <c r="AK247" s="45">
        <f t="shared" si="38"/>
        <v>0</v>
      </c>
      <c r="AL247" s="46">
        <f t="shared" si="39"/>
        <v>0</v>
      </c>
      <c r="AM247" s="46">
        <f t="shared" si="40"/>
        <v>0</v>
      </c>
      <c r="AN247" s="46"/>
      <c r="AO247" s="119" t="s">
        <v>1197</v>
      </c>
      <c r="AP247" s="38" t="str">
        <f t="shared" si="35"/>
        <v>Exclude</v>
      </c>
    </row>
    <row r="248" spans="1:42" ht="60" hidden="1">
      <c r="A248" s="38" t="str">
        <f t="shared" si="41"/>
        <v>Ausgrid</v>
      </c>
      <c r="B248" s="38" t="s">
        <v>1197</v>
      </c>
      <c r="C248" s="38" t="str">
        <f t="shared" si="36"/>
        <v>Duplicate-SW1805 - Recloser, 11kV, Oil Filled with Vacuum Interrupters - 11KV RECLOSERS</v>
      </c>
      <c r="D248" s="38" t="str">
        <f t="shared" si="37"/>
        <v>Duplicate-</v>
      </c>
      <c r="E248" s="413"/>
      <c r="F248" s="43" t="s">
        <v>405</v>
      </c>
      <c r="G248" s="43" t="s">
        <v>799</v>
      </c>
      <c r="X248" s="38">
        <v>12</v>
      </c>
      <c r="Y248" s="38">
        <v>12</v>
      </c>
      <c r="AK248" s="45">
        <f t="shared" si="38"/>
        <v>0</v>
      </c>
      <c r="AL248" s="46">
        <f t="shared" si="39"/>
        <v>0</v>
      </c>
      <c r="AM248" s="46">
        <f t="shared" si="40"/>
        <v>0</v>
      </c>
      <c r="AN248" s="46"/>
      <c r="AO248" s="119" t="s">
        <v>1197</v>
      </c>
      <c r="AP248" s="38" t="str">
        <f t="shared" si="35"/>
        <v>Exclude</v>
      </c>
    </row>
    <row r="249" spans="1:42" ht="75" hidden="1">
      <c r="A249" s="38" t="str">
        <f t="shared" si="41"/>
        <v>Ausgrid</v>
      </c>
      <c r="B249" s="38" t="s">
        <v>1197</v>
      </c>
      <c r="C249" s="38" t="str">
        <f t="shared" si="36"/>
        <v>Duplicate-SW2701 - Enclosed Load Break Switch, Automated Operation, Nulec RL Series - ENCLOSED LOAD BREAK SWITCH, OVERHEAD LINES</v>
      </c>
      <c r="D249" s="38" t="str">
        <f t="shared" si="37"/>
        <v>Duplicate-</v>
      </c>
      <c r="E249" s="413"/>
      <c r="F249" s="43" t="s">
        <v>405</v>
      </c>
      <c r="G249" s="43" t="s">
        <v>800</v>
      </c>
      <c r="X249" s="38">
        <v>4</v>
      </c>
      <c r="Y249" s="38">
        <v>4</v>
      </c>
      <c r="AK249" s="45">
        <f t="shared" si="38"/>
        <v>0</v>
      </c>
      <c r="AL249" s="46">
        <f t="shared" si="39"/>
        <v>0</v>
      </c>
      <c r="AM249" s="46">
        <f t="shared" si="40"/>
        <v>0</v>
      </c>
      <c r="AN249" s="46"/>
      <c r="AO249" s="119" t="s">
        <v>1197</v>
      </c>
      <c r="AP249" s="38" t="str">
        <f t="shared" si="35"/>
        <v>Exclude</v>
      </c>
    </row>
    <row r="250" spans="1:42" ht="60" hidden="1">
      <c r="A250" s="38" t="str">
        <f t="shared" si="41"/>
        <v>Ausgrid</v>
      </c>
      <c r="B250" s="38" t="s">
        <v>1197</v>
      </c>
      <c r="C250" s="38" t="str">
        <f t="shared" si="36"/>
        <v>Duplicate-SW2801 - Generic - Only to be done in conjunction with H0111  - AIRBREAK SWITCH, MANUAL, OVERHEAD LINES</v>
      </c>
      <c r="D250" s="38" t="str">
        <f t="shared" si="37"/>
        <v>Duplicate-</v>
      </c>
      <c r="E250" s="413"/>
      <c r="F250" s="43" t="s">
        <v>405</v>
      </c>
      <c r="G250" s="43" t="s">
        <v>801</v>
      </c>
      <c r="X250" s="38">
        <v>4</v>
      </c>
      <c r="Y250" s="38">
        <v>0</v>
      </c>
      <c r="AK250" s="45">
        <f t="shared" si="38"/>
        <v>0</v>
      </c>
      <c r="AL250" s="46">
        <f t="shared" si="39"/>
        <v>0</v>
      </c>
      <c r="AM250" s="46">
        <f t="shared" si="40"/>
        <v>0</v>
      </c>
      <c r="AN250" s="46"/>
      <c r="AO250" s="119" t="s">
        <v>1197</v>
      </c>
      <c r="AP250" s="38" t="str">
        <f t="shared" si="35"/>
        <v>Exclude</v>
      </c>
    </row>
    <row r="251" spans="1:42" ht="45" hidden="1">
      <c r="A251" s="38" t="str">
        <f t="shared" si="41"/>
        <v>Ausgrid</v>
      </c>
      <c r="B251" s="38" t="s">
        <v>1197</v>
      </c>
      <c r="C251" s="38" t="str">
        <f t="shared" si="36"/>
        <v>Duplicate-SW2802 - Generic  - AIRBREAK SWITCH, MANUAL, OVERHEAD LINES</v>
      </c>
      <c r="D251" s="38" t="str">
        <f t="shared" si="37"/>
        <v>Duplicate-</v>
      </c>
      <c r="E251" s="413"/>
      <c r="F251" s="43" t="s">
        <v>405</v>
      </c>
      <c r="G251" s="43" t="s">
        <v>802</v>
      </c>
      <c r="X251" s="38">
        <v>8</v>
      </c>
      <c r="Y251" s="38">
        <v>0</v>
      </c>
      <c r="AK251" s="45">
        <f t="shared" si="38"/>
        <v>0</v>
      </c>
      <c r="AL251" s="46">
        <f t="shared" si="39"/>
        <v>0</v>
      </c>
      <c r="AM251" s="46">
        <f t="shared" si="40"/>
        <v>0</v>
      </c>
      <c r="AN251" s="46"/>
      <c r="AO251" s="119" t="s">
        <v>1197</v>
      </c>
      <c r="AP251" s="38" t="str">
        <f t="shared" si="35"/>
        <v>Exclude</v>
      </c>
    </row>
    <row r="252" spans="1:42" ht="60" hidden="1">
      <c r="A252" s="38" t="str">
        <f t="shared" si="41"/>
        <v>Ausgrid</v>
      </c>
      <c r="B252" s="38" t="s">
        <v>1197</v>
      </c>
      <c r="C252" s="38" t="str">
        <f t="shared" si="36"/>
        <v>Duplicate-SW2901 - Generic - Only to be done in conjunction with H0111  - LINK SWITCH, MANUAL, OVERHEAD LINES</v>
      </c>
      <c r="D252" s="38" t="str">
        <f t="shared" si="37"/>
        <v>Duplicate-</v>
      </c>
      <c r="E252" s="413"/>
      <c r="F252" s="43" t="s">
        <v>405</v>
      </c>
      <c r="G252" s="43" t="s">
        <v>803</v>
      </c>
      <c r="X252" s="38">
        <v>4</v>
      </c>
      <c r="Y252" s="38">
        <v>0</v>
      </c>
      <c r="AK252" s="45">
        <f t="shared" si="38"/>
        <v>0</v>
      </c>
      <c r="AL252" s="46">
        <f t="shared" si="39"/>
        <v>0</v>
      </c>
      <c r="AM252" s="46">
        <f t="shared" si="40"/>
        <v>0</v>
      </c>
      <c r="AN252" s="46"/>
      <c r="AO252" s="119" t="s">
        <v>1197</v>
      </c>
      <c r="AP252" s="38" t="str">
        <f t="shared" si="35"/>
        <v>Exclude</v>
      </c>
    </row>
    <row r="253" spans="1:42" ht="120" hidden="1">
      <c r="A253" s="38" t="str">
        <f t="shared" si="41"/>
        <v>Ausgrid</v>
      </c>
      <c r="B253" s="38" t="s">
        <v>1197</v>
      </c>
      <c r="C253" s="38" t="str">
        <f t="shared" si="36"/>
        <v>Duplicate-SW6101 - Isolating &amp; Earthing Switch and Fuse Switch, Gas Insulated, Metal Clad, 11kV, Generic - RING MAIN SWITCH &amp; FUSE-SWITCH (GAS) - METAL ENCLOSED INCLUDES BUS BARS</v>
      </c>
      <c r="D253" s="38" t="str">
        <f t="shared" si="37"/>
        <v>Duplicate-</v>
      </c>
      <c r="E253" s="413"/>
      <c r="F253" s="43" t="s">
        <v>405</v>
      </c>
      <c r="G253" s="43" t="s">
        <v>804</v>
      </c>
      <c r="X253" s="38">
        <v>10</v>
      </c>
      <c r="Y253" s="38">
        <v>0</v>
      </c>
      <c r="AK253" s="45">
        <f t="shared" si="38"/>
        <v>0</v>
      </c>
      <c r="AL253" s="46">
        <f t="shared" si="39"/>
        <v>0</v>
      </c>
      <c r="AM253" s="46">
        <f t="shared" si="40"/>
        <v>0</v>
      </c>
      <c r="AN253" s="46"/>
      <c r="AO253" s="119" t="s">
        <v>1197</v>
      </c>
      <c r="AP253" s="38" t="str">
        <f t="shared" si="35"/>
        <v>Exclude</v>
      </c>
    </row>
    <row r="254" spans="1:42" ht="90" hidden="1">
      <c r="A254" s="38" t="str">
        <f t="shared" si="41"/>
        <v>Ausgrid</v>
      </c>
      <c r="B254" s="38" t="s">
        <v>1197</v>
      </c>
      <c r="C254" s="38" t="str">
        <f t="shared" si="36"/>
        <v>Duplicate-SW6102 - Ring Main Unit, SF6, Metal Enclosed, 11kV, ABB SafeLink - RING MAIN SWITCH &amp; FUSE-SWITCH (GAS) - METAL ENCLOSED INCLUDES BUS BARS</v>
      </c>
      <c r="D254" s="38" t="str">
        <f t="shared" si="37"/>
        <v>Duplicate-</v>
      </c>
      <c r="E254" s="413"/>
      <c r="F254" s="43" t="s">
        <v>405</v>
      </c>
      <c r="G254" s="43" t="s">
        <v>805</v>
      </c>
      <c r="X254" s="38">
        <v>10</v>
      </c>
      <c r="Y254" s="38">
        <v>0</v>
      </c>
      <c r="AK254" s="45">
        <f t="shared" si="38"/>
        <v>0</v>
      </c>
      <c r="AL254" s="46">
        <f t="shared" si="39"/>
        <v>0</v>
      </c>
      <c r="AM254" s="46">
        <f t="shared" si="40"/>
        <v>0</v>
      </c>
      <c r="AN254" s="46"/>
      <c r="AO254" s="119" t="s">
        <v>1197</v>
      </c>
      <c r="AP254" s="38" t="str">
        <f t="shared" si="35"/>
        <v>Exclude</v>
      </c>
    </row>
    <row r="255" spans="1:42" ht="90" hidden="1">
      <c r="A255" s="38" t="str">
        <f t="shared" si="41"/>
        <v>Ausgrid</v>
      </c>
      <c r="B255" s="38" t="s">
        <v>1197</v>
      </c>
      <c r="C255" s="38" t="str">
        <f t="shared" si="36"/>
        <v>Duplicate-SW6103 - Ring Main Unit, SF6, Metal Enclosed, 33kV - RING MAIN SWITCH &amp; FUSE-SWITCH (GAS) - METAL ENCLOSED INCLUDES BUS BARS</v>
      </c>
      <c r="D255" s="38" t="str">
        <f t="shared" si="37"/>
        <v>Duplicate-</v>
      </c>
      <c r="E255" s="413"/>
      <c r="F255" s="43" t="s">
        <v>405</v>
      </c>
      <c r="G255" s="43" t="s">
        <v>806</v>
      </c>
      <c r="X255" s="38">
        <v>5</v>
      </c>
      <c r="Y255" s="38">
        <v>0</v>
      </c>
      <c r="AK255" s="45">
        <f t="shared" si="38"/>
        <v>0</v>
      </c>
      <c r="AL255" s="46">
        <f t="shared" si="39"/>
        <v>0</v>
      </c>
      <c r="AM255" s="46">
        <f t="shared" si="40"/>
        <v>0</v>
      </c>
      <c r="AN255" s="46"/>
      <c r="AO255" s="119" t="s">
        <v>1197</v>
      </c>
      <c r="AP255" s="38" t="str">
        <f t="shared" si="35"/>
        <v>Exclude</v>
      </c>
    </row>
    <row r="256" spans="1:42" ht="90" hidden="1">
      <c r="A256" s="38" t="str">
        <f t="shared" si="41"/>
        <v>Ausgrid</v>
      </c>
      <c r="B256" s="38" t="s">
        <v>1197</v>
      </c>
      <c r="C256" s="38" t="str">
        <f t="shared" si="36"/>
        <v>Duplicate-SW6103 - Ring Main Unit, SF6, Metal Enclosed, 33kV - RING MAIN SWITCH &amp; FUSE-SWITCH (GAS) - METAL ENCLOSED INCLUDES BUS BARS</v>
      </c>
      <c r="D256" s="38" t="str">
        <f t="shared" si="37"/>
        <v>Duplicate-</v>
      </c>
      <c r="E256" s="413"/>
      <c r="F256" s="43" t="s">
        <v>405</v>
      </c>
      <c r="G256" s="43" t="s">
        <v>806</v>
      </c>
      <c r="X256" s="38">
        <v>10</v>
      </c>
      <c r="Y256" s="38">
        <v>0</v>
      </c>
      <c r="AK256" s="45">
        <f t="shared" si="38"/>
        <v>0</v>
      </c>
      <c r="AL256" s="46">
        <f t="shared" si="39"/>
        <v>0</v>
      </c>
      <c r="AM256" s="46">
        <f t="shared" si="40"/>
        <v>0</v>
      </c>
      <c r="AN256" s="46"/>
      <c r="AO256" s="119" t="s">
        <v>1197</v>
      </c>
      <c r="AP256" s="38" t="str">
        <f t="shared" si="35"/>
        <v>Exclude</v>
      </c>
    </row>
    <row r="257" spans="1:42" ht="90" hidden="1">
      <c r="A257" s="38" t="str">
        <f t="shared" si="41"/>
        <v>Ausgrid</v>
      </c>
      <c r="B257" s="38" t="s">
        <v>1197</v>
      </c>
      <c r="C257" s="38" t="str">
        <f t="shared" si="36"/>
        <v>Duplicate-SW6201 - Ring Main Switch, Oil, Metal Clad, 11kV, LUCY - RING MAIN SWITCH &amp; FUSE-SWITCH (OIL) - METAL ENCLOSED INCLUDES BUS BARS</v>
      </c>
      <c r="D257" s="38" t="str">
        <f t="shared" si="37"/>
        <v>Duplicate-</v>
      </c>
      <c r="E257" s="413"/>
      <c r="F257" s="43" t="s">
        <v>405</v>
      </c>
      <c r="G257" s="43" t="s">
        <v>807</v>
      </c>
      <c r="X257" s="38">
        <v>10</v>
      </c>
      <c r="Y257" s="38">
        <v>0</v>
      </c>
      <c r="AK257" s="45">
        <f t="shared" si="38"/>
        <v>0</v>
      </c>
      <c r="AL257" s="46">
        <f t="shared" si="39"/>
        <v>0</v>
      </c>
      <c r="AM257" s="46">
        <f t="shared" si="40"/>
        <v>0</v>
      </c>
      <c r="AN257" s="46"/>
      <c r="AO257" s="119" t="s">
        <v>1197</v>
      </c>
      <c r="AP257" s="38" t="str">
        <f t="shared" si="35"/>
        <v>Exclude</v>
      </c>
    </row>
    <row r="258" spans="1:42" ht="90" hidden="1">
      <c r="A258" s="38" t="str">
        <f t="shared" si="41"/>
        <v>Ausgrid</v>
      </c>
      <c r="B258" s="38" t="s">
        <v>1197</v>
      </c>
      <c r="C258" s="38" t="str">
        <f t="shared" si="36"/>
        <v>Duplicate-SW6202 - Ring Main Switch, Oil, Metal Clad, 11kV, LUCY - RING MAIN SWITCH &amp; FUSE-SWITCH (OIL) - METAL ENCLOSED INCLUDES BUS BARS</v>
      </c>
      <c r="D258" s="38" t="str">
        <f t="shared" si="37"/>
        <v>Duplicate-</v>
      </c>
      <c r="E258" s="413"/>
      <c r="F258" s="43" t="s">
        <v>405</v>
      </c>
      <c r="G258" s="43" t="s">
        <v>808</v>
      </c>
      <c r="X258" s="38">
        <v>20</v>
      </c>
      <c r="Y258" s="38">
        <v>0</v>
      </c>
      <c r="AK258" s="45">
        <f t="shared" si="38"/>
        <v>0</v>
      </c>
      <c r="AL258" s="46">
        <f t="shared" si="39"/>
        <v>0</v>
      </c>
      <c r="AM258" s="46">
        <f t="shared" si="40"/>
        <v>0</v>
      </c>
      <c r="AN258" s="46"/>
      <c r="AO258" s="119" t="s">
        <v>1197</v>
      </c>
      <c r="AP258" s="38" t="str">
        <f t="shared" si="35"/>
        <v>Exclude</v>
      </c>
    </row>
    <row r="259" spans="1:42" ht="90" hidden="1">
      <c r="A259" s="38" t="str">
        <f t="shared" si="41"/>
        <v>Ausgrid</v>
      </c>
      <c r="B259" s="38" t="s">
        <v>1197</v>
      </c>
      <c r="C259" s="38" t="str">
        <f t="shared" si="36"/>
        <v>Duplicate-SW6214 - Ring Main Switch, Oil, Metal Clad, 11kV, Generic - RING MAIN SWITCH &amp; FUSE-SWITCH (OIL) - METAL ENCLOSED INCLUDES BUS BARS</v>
      </c>
      <c r="D259" s="38" t="str">
        <f t="shared" si="37"/>
        <v>Duplicate-</v>
      </c>
      <c r="E259" s="413"/>
      <c r="F259" s="43" t="s">
        <v>405</v>
      </c>
      <c r="G259" s="43" t="s">
        <v>809</v>
      </c>
      <c r="X259" s="38">
        <v>10</v>
      </c>
      <c r="Y259" s="38">
        <v>0</v>
      </c>
      <c r="AK259" s="45">
        <f t="shared" si="38"/>
        <v>0</v>
      </c>
      <c r="AL259" s="46">
        <f t="shared" si="39"/>
        <v>0</v>
      </c>
      <c r="AM259" s="46">
        <f t="shared" si="40"/>
        <v>0</v>
      </c>
      <c r="AN259" s="46"/>
      <c r="AO259" s="119" t="s">
        <v>1197</v>
      </c>
      <c r="AP259" s="38" t="str">
        <f t="shared" ref="AP259:AP322" si="42">IFERROR(VLOOKUP(C259,$AR:$AS,2,FALSE),"Exclude")</f>
        <v>Exclude</v>
      </c>
    </row>
    <row r="260" spans="1:42" ht="90" hidden="1">
      <c r="A260" s="38" t="str">
        <f t="shared" si="41"/>
        <v>Ausgrid</v>
      </c>
      <c r="B260" s="38" t="s">
        <v>1197</v>
      </c>
      <c r="C260" s="38" t="str">
        <f t="shared" ref="C260:C323" si="43">B260&amp;"-"&amp;G260</f>
        <v>Duplicate-SW6215 - Ring Main Switch, Oil, Metal Clad, 11kV, Generic - RING MAIN SWITCH &amp; FUSE-SWITCH (OIL) - METAL ENCLOSED INCLUDES BUS BARS</v>
      </c>
      <c r="D260" s="38" t="str">
        <f t="shared" ref="D260:D323" si="44">B260&amp;"-"&amp;H260</f>
        <v>Duplicate-</v>
      </c>
      <c r="E260" s="413"/>
      <c r="F260" s="43" t="s">
        <v>405</v>
      </c>
      <c r="G260" s="43" t="s">
        <v>810</v>
      </c>
      <c r="X260" s="38">
        <v>20</v>
      </c>
      <c r="Y260" s="38">
        <v>20</v>
      </c>
      <c r="AK260" s="45">
        <f t="shared" ref="AK260:AK323" si="45">SUM(N260:R260)</f>
        <v>0</v>
      </c>
      <c r="AL260" s="46">
        <f t="shared" ref="AL260:AL323" si="46">SUM(Z260:AD260)</f>
        <v>0</v>
      </c>
      <c r="AM260" s="46">
        <f t="shared" ref="AM260:AM323" si="47">SUM(AE260:AI260)</f>
        <v>0</v>
      </c>
      <c r="AN260" s="46"/>
      <c r="AO260" s="119" t="s">
        <v>1197</v>
      </c>
      <c r="AP260" s="38" t="str">
        <f t="shared" si="42"/>
        <v>Exclude</v>
      </c>
    </row>
    <row r="261" spans="1:42" ht="90" hidden="1">
      <c r="A261" s="38" t="str">
        <f t="shared" si="41"/>
        <v>Ausgrid</v>
      </c>
      <c r="B261" s="38" t="s">
        <v>1197</v>
      </c>
      <c r="C261" s="38" t="str">
        <f t="shared" si="43"/>
        <v>Duplicate-SW6205 - Ring Main Switch, Oil, Metal Clad, 11kV, GEC DDFC/DFC - RING MAIN SWITCH &amp; FUSE-SWITCH (OIL) - METAL ENCLOSED INCLUDES BUS BARS</v>
      </c>
      <c r="D261" s="38" t="str">
        <f t="shared" si="44"/>
        <v>Duplicate-</v>
      </c>
      <c r="E261" s="413"/>
      <c r="F261" s="43" t="s">
        <v>405</v>
      </c>
      <c r="G261" s="43" t="s">
        <v>811</v>
      </c>
      <c r="X261" s="38">
        <v>10</v>
      </c>
      <c r="Y261" s="38">
        <v>10</v>
      </c>
      <c r="AK261" s="45">
        <f t="shared" si="45"/>
        <v>0</v>
      </c>
      <c r="AL261" s="46">
        <f t="shared" si="46"/>
        <v>0</v>
      </c>
      <c r="AM261" s="46">
        <f t="shared" si="47"/>
        <v>0</v>
      </c>
      <c r="AN261" s="46"/>
      <c r="AO261" s="119" t="s">
        <v>1197</v>
      </c>
      <c r="AP261" s="38" t="str">
        <f t="shared" si="42"/>
        <v>Exclude</v>
      </c>
    </row>
    <row r="262" spans="1:42" ht="105" hidden="1">
      <c r="A262" s="38" t="str">
        <f t="shared" si="41"/>
        <v>Ausgrid</v>
      </c>
      <c r="B262" s="38" t="s">
        <v>1197</v>
      </c>
      <c r="C262" s="38" t="str">
        <f t="shared" si="43"/>
        <v>Duplicate-SW6210 - Ring Main Switch, Oil, Metal Clad, 11kV, Metal Industries Australia (MIA) - RING MAIN SWITCH &amp; FUSE-SWITCH (OIL) - METAL ENCLOSED INCLUDES BUS BARS</v>
      </c>
      <c r="D262" s="38" t="str">
        <f t="shared" si="44"/>
        <v>Duplicate-</v>
      </c>
      <c r="E262" s="413"/>
      <c r="F262" s="43" t="s">
        <v>405</v>
      </c>
      <c r="G262" s="43" t="s">
        <v>812</v>
      </c>
      <c r="X262" s="38">
        <v>5</v>
      </c>
      <c r="Y262" s="38">
        <v>0</v>
      </c>
      <c r="AK262" s="45">
        <f t="shared" si="45"/>
        <v>0</v>
      </c>
      <c r="AL262" s="46">
        <f t="shared" si="46"/>
        <v>0</v>
      </c>
      <c r="AM262" s="46">
        <f t="shared" si="47"/>
        <v>0</v>
      </c>
      <c r="AN262" s="46"/>
      <c r="AO262" s="119" t="s">
        <v>1197</v>
      </c>
      <c r="AP262" s="38" t="str">
        <f t="shared" si="42"/>
        <v>Exclude</v>
      </c>
    </row>
    <row r="263" spans="1:42" ht="105" hidden="1">
      <c r="A263" s="38" t="str">
        <f t="shared" si="41"/>
        <v>Ausgrid</v>
      </c>
      <c r="B263" s="38" t="s">
        <v>1197</v>
      </c>
      <c r="C263" s="38" t="str">
        <f t="shared" si="43"/>
        <v>Duplicate-SW6211 - Ring Main Switch, Oil, Metal Clad, 11kV, Metal Industries Australia (MIA) - RING MAIN SWITCH &amp; FUSE-SWITCH (OIL) - METAL ENCLOSED INCLUDES BUS BARS</v>
      </c>
      <c r="D263" s="38" t="str">
        <f t="shared" si="44"/>
        <v>Duplicate-</v>
      </c>
      <c r="E263" s="413"/>
      <c r="F263" s="43" t="s">
        <v>405</v>
      </c>
      <c r="G263" s="43" t="s">
        <v>813</v>
      </c>
      <c r="X263" s="38">
        <v>10</v>
      </c>
      <c r="Y263" s="38">
        <v>10</v>
      </c>
      <c r="AK263" s="45">
        <f t="shared" si="45"/>
        <v>0</v>
      </c>
      <c r="AL263" s="46">
        <f t="shared" si="46"/>
        <v>0</v>
      </c>
      <c r="AM263" s="46">
        <f t="shared" si="47"/>
        <v>0</v>
      </c>
      <c r="AN263" s="46"/>
      <c r="AO263" s="119" t="s">
        <v>1197</v>
      </c>
      <c r="AP263" s="38" t="str">
        <f t="shared" si="42"/>
        <v>Exclude</v>
      </c>
    </row>
    <row r="264" spans="1:42" ht="105" hidden="1">
      <c r="A264" s="38" t="str">
        <f t="shared" si="41"/>
        <v>Ausgrid</v>
      </c>
      <c r="B264" s="38" t="s">
        <v>1197</v>
      </c>
      <c r="C264" s="38" t="str">
        <f t="shared" si="43"/>
        <v>Duplicate-SW6208 - Ring Main Switch, Oil, Metal Clad, 11kV, ROKSS (Outdoor Locations) - RING MAIN SWITCH &amp; FUSE-SWITCH (OIL) - METAL ENCLOSED INCLUDES BUS BARS</v>
      </c>
      <c r="D264" s="38" t="str">
        <f t="shared" si="44"/>
        <v>Duplicate-</v>
      </c>
      <c r="E264" s="413"/>
      <c r="F264" s="43" t="s">
        <v>405</v>
      </c>
      <c r="G264" s="43" t="s">
        <v>814</v>
      </c>
      <c r="X264" s="38">
        <v>5</v>
      </c>
      <c r="Y264" s="38">
        <v>0</v>
      </c>
      <c r="AK264" s="45">
        <f t="shared" si="45"/>
        <v>0</v>
      </c>
      <c r="AL264" s="46">
        <f t="shared" si="46"/>
        <v>0</v>
      </c>
      <c r="AM264" s="46">
        <f t="shared" si="47"/>
        <v>0</v>
      </c>
      <c r="AN264" s="46"/>
      <c r="AO264" s="119" t="s">
        <v>1197</v>
      </c>
      <c r="AP264" s="38" t="str">
        <f t="shared" si="42"/>
        <v>Exclude</v>
      </c>
    </row>
    <row r="265" spans="1:42" ht="105" hidden="1">
      <c r="A265" s="38" t="str">
        <f t="shared" si="41"/>
        <v>Ausgrid</v>
      </c>
      <c r="B265" s="38" t="s">
        <v>1197</v>
      </c>
      <c r="C265" s="38" t="str">
        <f t="shared" si="43"/>
        <v>Duplicate-SW6209 - Ring Main Switch, Oil, Metal Clad, 11kV, ROKSS (Outdoor Locations) - RING MAIN SWITCH &amp; FUSE-SWITCH (OIL) - METAL ENCLOSED INCLUDES BUS BARS</v>
      </c>
      <c r="D265" s="38" t="str">
        <f t="shared" si="44"/>
        <v>Duplicate-</v>
      </c>
      <c r="E265" s="413"/>
      <c r="F265" s="43" t="s">
        <v>405</v>
      </c>
      <c r="G265" s="43" t="s">
        <v>815</v>
      </c>
      <c r="X265" s="38">
        <v>20</v>
      </c>
      <c r="Y265" s="38">
        <v>20</v>
      </c>
      <c r="AK265" s="45">
        <f t="shared" si="45"/>
        <v>0</v>
      </c>
      <c r="AL265" s="46">
        <f t="shared" si="46"/>
        <v>0</v>
      </c>
      <c r="AM265" s="46">
        <f t="shared" si="47"/>
        <v>0</v>
      </c>
      <c r="AN265" s="46"/>
      <c r="AO265" s="119" t="s">
        <v>1197</v>
      </c>
      <c r="AP265" s="38" t="str">
        <f t="shared" si="42"/>
        <v>Exclude</v>
      </c>
    </row>
    <row r="266" spans="1:42" ht="90" hidden="1">
      <c r="A266" s="38" t="str">
        <f t="shared" si="41"/>
        <v>Ausgrid</v>
      </c>
      <c r="B266" s="38" t="s">
        <v>1197</v>
      </c>
      <c r="C266" s="38" t="str">
        <f t="shared" si="43"/>
        <v>Duplicate-SW6213 - Ring Main Switch, Oil, Metal Clad, 11kV, GEC, T3/OF - RING MAIN SWITCH &amp; FUSE-SWITCH (OIL) - METAL ENCLOSED INCLUDES BUS BARS</v>
      </c>
      <c r="D266" s="38" t="str">
        <f t="shared" si="44"/>
        <v>Duplicate-</v>
      </c>
      <c r="E266" s="413"/>
      <c r="F266" s="43" t="s">
        <v>405</v>
      </c>
      <c r="G266" s="43" t="s">
        <v>816</v>
      </c>
      <c r="X266" s="38">
        <v>10</v>
      </c>
      <c r="Y266" s="38">
        <v>10</v>
      </c>
      <c r="AK266" s="45">
        <f t="shared" si="45"/>
        <v>0</v>
      </c>
      <c r="AL266" s="46">
        <f t="shared" si="46"/>
        <v>0</v>
      </c>
      <c r="AM266" s="46">
        <f t="shared" si="47"/>
        <v>0</v>
      </c>
      <c r="AN266" s="46"/>
      <c r="AO266" s="119" t="s">
        <v>1197</v>
      </c>
      <c r="AP266" s="38" t="str">
        <f t="shared" si="42"/>
        <v>Exclude</v>
      </c>
    </row>
    <row r="267" spans="1:42" ht="75" hidden="1">
      <c r="A267" s="38" t="str">
        <f t="shared" si="41"/>
        <v>Ausgrid</v>
      </c>
      <c r="B267" s="38" t="s">
        <v>1197</v>
      </c>
      <c r="C267" s="38" t="str">
        <f t="shared" si="43"/>
        <v>Duplicate-SW6301 - Isolating Switch, Isolating &amp; Earthing Switch and Fuse Switch, Oil, Metal Clad, 11kV, Generic - OIL SWITCH - METAL ENCLOSED</v>
      </c>
      <c r="D267" s="38" t="str">
        <f t="shared" si="44"/>
        <v>Duplicate-</v>
      </c>
      <c r="E267" s="413"/>
      <c r="F267" s="43" t="s">
        <v>405</v>
      </c>
      <c r="G267" s="43" t="s">
        <v>817</v>
      </c>
      <c r="X267" s="38">
        <v>8</v>
      </c>
      <c r="Y267" s="38">
        <v>8</v>
      </c>
      <c r="AK267" s="45">
        <f t="shared" si="45"/>
        <v>0</v>
      </c>
      <c r="AL267" s="46">
        <f t="shared" si="46"/>
        <v>0</v>
      </c>
      <c r="AM267" s="46">
        <f t="shared" si="47"/>
        <v>0</v>
      </c>
      <c r="AN267" s="46"/>
      <c r="AO267" s="119" t="s">
        <v>1197</v>
      </c>
      <c r="AP267" s="38" t="str">
        <f t="shared" si="42"/>
        <v>Exclude</v>
      </c>
    </row>
    <row r="268" spans="1:42" ht="90" hidden="1">
      <c r="A268" s="38" t="str">
        <f t="shared" si="41"/>
        <v>Ausgrid</v>
      </c>
      <c r="B268" s="38" t="s">
        <v>1197</v>
      </c>
      <c r="C268" s="38" t="str">
        <f t="shared" si="43"/>
        <v>Duplicate-SW6401 - Ring Main Circuit Breakers, Generic - RING MAIN CIRCUIT BREAKER VACUUM/SF6 - METAL ENCLOSED INCLUDES BUS BARS</v>
      </c>
      <c r="D268" s="38" t="str">
        <f t="shared" si="44"/>
        <v>Duplicate-</v>
      </c>
      <c r="E268" s="413"/>
      <c r="F268" s="43" t="s">
        <v>405</v>
      </c>
      <c r="G268" s="43" t="s">
        <v>818</v>
      </c>
      <c r="X268" s="38">
        <v>2</v>
      </c>
      <c r="Y268" s="38">
        <v>2</v>
      </c>
      <c r="AK268" s="45">
        <f t="shared" si="45"/>
        <v>0</v>
      </c>
      <c r="AL268" s="46">
        <f t="shared" si="46"/>
        <v>0</v>
      </c>
      <c r="AM268" s="46">
        <f t="shared" si="47"/>
        <v>0</v>
      </c>
      <c r="AN268" s="46"/>
      <c r="AO268" s="119" t="s">
        <v>1197</v>
      </c>
      <c r="AP268" s="38" t="str">
        <f t="shared" si="42"/>
        <v>Exclude</v>
      </c>
    </row>
    <row r="269" spans="1:42" ht="90" hidden="1">
      <c r="A269" s="38" t="str">
        <f t="shared" si="41"/>
        <v>Ausgrid</v>
      </c>
      <c r="B269" s="38" t="s">
        <v>1197</v>
      </c>
      <c r="C269" s="38" t="str">
        <f t="shared" si="43"/>
        <v>Duplicate-SW6401 - Ring Main Circuit Breakers, Generic - RING MAIN CIRCUIT BREAKER VACUUM/SF6 - METAL ENCLOSED INCLUDES BUS BARS</v>
      </c>
      <c r="D269" s="38" t="str">
        <f t="shared" si="44"/>
        <v>Duplicate-</v>
      </c>
      <c r="E269" s="413"/>
      <c r="F269" s="43" t="s">
        <v>405</v>
      </c>
      <c r="G269" s="43" t="s">
        <v>818</v>
      </c>
      <c r="X269" s="38">
        <v>3</v>
      </c>
      <c r="Y269" s="38">
        <v>3</v>
      </c>
      <c r="AK269" s="45">
        <f t="shared" si="45"/>
        <v>0</v>
      </c>
      <c r="AL269" s="46">
        <f t="shared" si="46"/>
        <v>0</v>
      </c>
      <c r="AM269" s="46">
        <f t="shared" si="47"/>
        <v>0</v>
      </c>
      <c r="AN269" s="46"/>
      <c r="AO269" s="119" t="s">
        <v>1197</v>
      </c>
      <c r="AP269" s="38" t="str">
        <f t="shared" si="42"/>
        <v>Exclude</v>
      </c>
    </row>
    <row r="270" spans="1:42" ht="105" hidden="1">
      <c r="A270" s="38" t="str">
        <f t="shared" si="41"/>
        <v>Ausgrid</v>
      </c>
      <c r="B270" s="38" t="s">
        <v>1197</v>
      </c>
      <c r="C270" s="38" t="str">
        <f t="shared" si="43"/>
        <v>Duplicate-SW6402 - Ring Main Circuit Breakers, Yorkshire Ringmaster 1 &amp; Brush Falcon Beta - RING MAIN CIRCUIT BREAKER VACUUM/SF6 - METAL ENCLOSED INCLUDES BUS BARS</v>
      </c>
      <c r="D270" s="38" t="str">
        <f t="shared" si="44"/>
        <v>Duplicate-</v>
      </c>
      <c r="E270" s="413"/>
      <c r="F270" s="43" t="s">
        <v>405</v>
      </c>
      <c r="G270" s="43" t="s">
        <v>819</v>
      </c>
      <c r="X270" s="38">
        <v>12</v>
      </c>
      <c r="Y270" s="38">
        <v>12</v>
      </c>
      <c r="AK270" s="45">
        <f t="shared" si="45"/>
        <v>0</v>
      </c>
      <c r="AL270" s="46">
        <f t="shared" si="46"/>
        <v>0</v>
      </c>
      <c r="AM270" s="46">
        <f t="shared" si="47"/>
        <v>0</v>
      </c>
      <c r="AN270" s="46"/>
      <c r="AO270" s="119" t="s">
        <v>1197</v>
      </c>
      <c r="AP270" s="38" t="str">
        <f t="shared" si="42"/>
        <v>Exclude</v>
      </c>
    </row>
    <row r="271" spans="1:42" ht="60" hidden="1">
      <c r="A271" s="38" t="str">
        <f t="shared" si="41"/>
        <v>Ausgrid</v>
      </c>
      <c r="B271" s="38" t="s">
        <v>1197</v>
      </c>
      <c r="C271" s="38" t="str">
        <f t="shared" si="43"/>
        <v>Duplicate-SW6504 - Switchgear,11kV, HOLEC, Magnefix, MD4 - RING MAIN SWITCH (AIR) - RESIN ENCLOSED</v>
      </c>
      <c r="D271" s="38" t="str">
        <f t="shared" si="44"/>
        <v>Duplicate-</v>
      </c>
      <c r="E271" s="413"/>
      <c r="F271" s="43" t="s">
        <v>405</v>
      </c>
      <c r="G271" s="43" t="s">
        <v>820</v>
      </c>
      <c r="X271" s="38">
        <v>3</v>
      </c>
      <c r="Y271" s="38">
        <v>0</v>
      </c>
      <c r="AK271" s="45">
        <f t="shared" si="45"/>
        <v>0</v>
      </c>
      <c r="AL271" s="46">
        <f t="shared" si="46"/>
        <v>0</v>
      </c>
      <c r="AM271" s="46">
        <f t="shared" si="47"/>
        <v>0</v>
      </c>
      <c r="AN271" s="46"/>
      <c r="AO271" s="119" t="s">
        <v>1197</v>
      </c>
      <c r="AP271" s="38" t="str">
        <f t="shared" si="42"/>
        <v>Exclude</v>
      </c>
    </row>
    <row r="272" spans="1:42" ht="75" hidden="1">
      <c r="A272" s="38" t="str">
        <f t="shared" si="41"/>
        <v>Ausgrid</v>
      </c>
      <c r="B272" s="38" t="s">
        <v>1197</v>
      </c>
      <c r="C272" s="38" t="str">
        <f t="shared" si="43"/>
        <v>Duplicate-SW6503 - Switchgear,11kV, HOLEC, Magnefix, MD4 and KRONE. - RING MAIN SWITCH (AIR) - RESIN ENCLOSED</v>
      </c>
      <c r="D272" s="38" t="str">
        <f t="shared" si="44"/>
        <v>Duplicate-</v>
      </c>
      <c r="E272" s="413"/>
      <c r="F272" s="43" t="s">
        <v>405</v>
      </c>
      <c r="G272" s="43" t="s">
        <v>821</v>
      </c>
      <c r="X272" s="38">
        <v>10</v>
      </c>
      <c r="Y272" s="38">
        <v>0</v>
      </c>
      <c r="AK272" s="45">
        <f t="shared" si="45"/>
        <v>0</v>
      </c>
      <c r="AL272" s="46">
        <f t="shared" si="46"/>
        <v>0</v>
      </c>
      <c r="AM272" s="46">
        <f t="shared" si="47"/>
        <v>0</v>
      </c>
      <c r="AN272" s="46"/>
      <c r="AO272" s="119" t="s">
        <v>1197</v>
      </c>
      <c r="AP272" s="38" t="str">
        <f t="shared" si="42"/>
        <v>Exclude</v>
      </c>
    </row>
    <row r="273" spans="1:42" ht="45" hidden="1">
      <c r="A273" s="38" t="str">
        <f t="shared" si="41"/>
        <v>Ausgrid</v>
      </c>
      <c r="B273" s="38" t="s">
        <v>1197</v>
      </c>
      <c r="C273" s="38" t="str">
        <f t="shared" si="43"/>
        <v>Duplicate-DISTRIBUTION VOLTAGE REGULATORS AND CAPACITORS</v>
      </c>
      <c r="D273" s="38" t="str">
        <f t="shared" si="44"/>
        <v>Duplicate-No. of installed regulators . ('000s)</v>
      </c>
      <c r="E273" s="413"/>
      <c r="F273" s="43" t="s">
        <v>405</v>
      </c>
      <c r="G273" s="43" t="s">
        <v>822</v>
      </c>
      <c r="H273" s="43" t="s">
        <v>823</v>
      </c>
      <c r="I273" s="41">
        <v>7.0000000000000007E-2</v>
      </c>
      <c r="J273" s="41">
        <v>0.09</v>
      </c>
      <c r="K273" s="41">
        <v>0.1</v>
      </c>
      <c r="L273" s="41">
        <v>0.12</v>
      </c>
      <c r="M273" s="41">
        <v>0.15</v>
      </c>
      <c r="N273" s="41">
        <v>1.69</v>
      </c>
      <c r="O273" s="41">
        <v>0.9</v>
      </c>
      <c r="P273" s="41">
        <v>0.8</v>
      </c>
      <c r="Q273" s="41">
        <v>0.74</v>
      </c>
      <c r="R273" s="41">
        <v>0.71</v>
      </c>
      <c r="S273" s="41">
        <v>4.0599999999999996</v>
      </c>
      <c r="T273" s="41">
        <v>3.69</v>
      </c>
      <c r="U273" s="41">
        <v>4.24</v>
      </c>
      <c r="V273" s="41">
        <v>4.5199999999999996</v>
      </c>
      <c r="W273" s="41">
        <v>4.3600000000000003</v>
      </c>
      <c r="X273" s="38">
        <v>0</v>
      </c>
      <c r="Y273" s="38">
        <v>0</v>
      </c>
      <c r="Z273" s="40">
        <v>104.09</v>
      </c>
      <c r="AA273" s="40">
        <v>93.55</v>
      </c>
      <c r="AB273" s="40">
        <v>75.02</v>
      </c>
      <c r="AC273" s="40">
        <v>79.67</v>
      </c>
      <c r="AD273" s="40">
        <v>142.01</v>
      </c>
      <c r="AE273" s="40">
        <v>71.84</v>
      </c>
      <c r="AF273" s="40">
        <v>81.099999999999994</v>
      </c>
      <c r="AG273" s="40">
        <v>87.73</v>
      </c>
      <c r="AH273" s="40">
        <v>29.18</v>
      </c>
      <c r="AI273" s="40">
        <v>45.97</v>
      </c>
      <c r="AK273" s="45">
        <f t="shared" si="45"/>
        <v>4.84</v>
      </c>
      <c r="AL273" s="46">
        <f t="shared" si="46"/>
        <v>494.34</v>
      </c>
      <c r="AM273" s="46">
        <f t="shared" si="47"/>
        <v>315.82000000000005</v>
      </c>
      <c r="AN273" s="46"/>
      <c r="AO273" s="119" t="s">
        <v>1197</v>
      </c>
      <c r="AP273" s="38" t="str">
        <f t="shared" si="42"/>
        <v>Exclude</v>
      </c>
    </row>
    <row r="274" spans="1:42" ht="45" hidden="1">
      <c r="A274" s="38" t="str">
        <f t="shared" si="41"/>
        <v>Ausgrid</v>
      </c>
      <c r="B274" s="38" t="s">
        <v>1197</v>
      </c>
      <c r="C274" s="38" t="str">
        <f t="shared" si="43"/>
        <v>Duplicate-OH4001 - 11kV Pole Mounted Capacitors - POLE MOUNTED CONTROL POINTS</v>
      </c>
      <c r="D274" s="38" t="str">
        <f t="shared" si="44"/>
        <v>Duplicate-</v>
      </c>
      <c r="E274" s="413"/>
      <c r="F274" s="43" t="s">
        <v>405</v>
      </c>
      <c r="G274" s="43" t="s">
        <v>824</v>
      </c>
      <c r="X274" s="38">
        <v>0.5</v>
      </c>
      <c r="Y274" s="38">
        <v>0</v>
      </c>
      <c r="AK274" s="45">
        <f t="shared" si="45"/>
        <v>0</v>
      </c>
      <c r="AL274" s="46">
        <f t="shared" si="46"/>
        <v>0</v>
      </c>
      <c r="AM274" s="46">
        <f t="shared" si="47"/>
        <v>0</v>
      </c>
      <c r="AN274" s="46"/>
      <c r="AO274" s="119" t="s">
        <v>1197</v>
      </c>
      <c r="AP274" s="38" t="str">
        <f t="shared" si="42"/>
        <v>Exclude</v>
      </c>
    </row>
    <row r="275" spans="1:42" ht="45" hidden="1">
      <c r="A275" s="38" t="str">
        <f t="shared" si="41"/>
        <v>Ausgrid</v>
      </c>
      <c r="B275" s="38" t="s">
        <v>1197</v>
      </c>
      <c r="C275" s="38" t="str">
        <f t="shared" si="43"/>
        <v>Duplicate-OH4002 - 11kV Pole Mounted Capacitors - POLE MOUNTED CONTROL POINTS</v>
      </c>
      <c r="D275" s="38" t="str">
        <f t="shared" si="44"/>
        <v>Duplicate-</v>
      </c>
      <c r="E275" s="413"/>
      <c r="F275" s="43" t="s">
        <v>405</v>
      </c>
      <c r="G275" s="43" t="s">
        <v>825</v>
      </c>
      <c r="X275" s="38">
        <v>8</v>
      </c>
      <c r="Y275" s="38">
        <v>0</v>
      </c>
      <c r="AK275" s="45">
        <f t="shared" si="45"/>
        <v>0</v>
      </c>
      <c r="AL275" s="46">
        <f t="shared" si="46"/>
        <v>0</v>
      </c>
      <c r="AM275" s="46">
        <f t="shared" si="47"/>
        <v>0</v>
      </c>
      <c r="AN275" s="46"/>
      <c r="AO275" s="119" t="s">
        <v>1197</v>
      </c>
      <c r="AP275" s="38" t="str">
        <f t="shared" si="42"/>
        <v>Exclude</v>
      </c>
    </row>
    <row r="276" spans="1:42" ht="45" hidden="1">
      <c r="A276" s="38" t="str">
        <f t="shared" si="41"/>
        <v>Ausgrid</v>
      </c>
      <c r="B276" s="38" t="s">
        <v>1197</v>
      </c>
      <c r="C276" s="38" t="str">
        <f t="shared" si="43"/>
        <v>Duplicate-OH4003 - 11kV Pole Mounted Capacitors - POLE MOUNTED CONTROL POINTS</v>
      </c>
      <c r="D276" s="38" t="str">
        <f t="shared" si="44"/>
        <v>Duplicate-</v>
      </c>
      <c r="E276" s="413"/>
      <c r="F276" s="43" t="s">
        <v>405</v>
      </c>
      <c r="G276" s="43" t="s">
        <v>826</v>
      </c>
      <c r="X276" s="38">
        <v>0</v>
      </c>
      <c r="Y276" s="38">
        <v>0</v>
      </c>
      <c r="AK276" s="45">
        <f t="shared" si="45"/>
        <v>0</v>
      </c>
      <c r="AL276" s="46">
        <f t="shared" si="46"/>
        <v>0</v>
      </c>
      <c r="AM276" s="46">
        <f t="shared" si="47"/>
        <v>0</v>
      </c>
      <c r="AN276" s="46"/>
      <c r="AO276" s="119" t="s">
        <v>1197</v>
      </c>
      <c r="AP276" s="38" t="str">
        <f t="shared" si="42"/>
        <v>Exclude</v>
      </c>
    </row>
    <row r="277" spans="1:42" ht="75" hidden="1">
      <c r="A277" s="38" t="str">
        <f t="shared" si="41"/>
        <v>Ausgrid</v>
      </c>
      <c r="B277" s="38" t="s">
        <v>1197</v>
      </c>
      <c r="C277" s="38" t="str">
        <f t="shared" si="43"/>
        <v>Duplicate-OH4004 - Pole Mounted Regulators, Reclosers &amp; Sectionalisers - Major In Service Maintenance - POLE MOUNTED CONTROL POINTS</v>
      </c>
      <c r="D277" s="38" t="str">
        <f t="shared" si="44"/>
        <v>Duplicate-</v>
      </c>
      <c r="E277" s="413"/>
      <c r="F277" s="43" t="s">
        <v>405</v>
      </c>
      <c r="G277" s="43" t="s">
        <v>827</v>
      </c>
      <c r="X277" s="38">
        <v>8</v>
      </c>
      <c r="Y277" s="38">
        <v>0</v>
      </c>
      <c r="AK277" s="45">
        <f t="shared" si="45"/>
        <v>0</v>
      </c>
      <c r="AL277" s="46">
        <f t="shared" si="46"/>
        <v>0</v>
      </c>
      <c r="AM277" s="46">
        <f t="shared" si="47"/>
        <v>0</v>
      </c>
      <c r="AN277" s="46"/>
      <c r="AO277" s="119" t="s">
        <v>1197</v>
      </c>
      <c r="AP277" s="38" t="str">
        <f t="shared" si="42"/>
        <v>Exclude</v>
      </c>
    </row>
    <row r="278" spans="1:42" ht="60" hidden="1">
      <c r="A278" s="38" t="str">
        <f t="shared" si="41"/>
        <v>Ausgrid</v>
      </c>
      <c r="B278" s="38" t="s">
        <v>1197</v>
      </c>
      <c r="C278" s="38" t="str">
        <f t="shared" si="43"/>
        <v>Duplicate-TX6102 - Transformer, Generic, 11kv Single Phase Regulators - 11KV REGULATORS</v>
      </c>
      <c r="D278" s="38" t="str">
        <f t="shared" si="44"/>
        <v>Duplicate-</v>
      </c>
      <c r="E278" s="413"/>
      <c r="F278" s="43" t="s">
        <v>405</v>
      </c>
      <c r="G278" s="43" t="s">
        <v>828</v>
      </c>
      <c r="X278" s="38">
        <v>10</v>
      </c>
      <c r="Y278" s="38">
        <v>0</v>
      </c>
      <c r="AK278" s="45">
        <f t="shared" si="45"/>
        <v>0</v>
      </c>
      <c r="AL278" s="46">
        <f t="shared" si="46"/>
        <v>0</v>
      </c>
      <c r="AM278" s="46">
        <f t="shared" si="47"/>
        <v>0</v>
      </c>
      <c r="AN278" s="46"/>
      <c r="AO278" s="119" t="s">
        <v>1197</v>
      </c>
      <c r="AP278" s="38" t="str">
        <f t="shared" si="42"/>
        <v>Exclude</v>
      </c>
    </row>
    <row r="279" spans="1:42" ht="30" hidden="1">
      <c r="A279" s="38" t="str">
        <f t="shared" si="41"/>
        <v>Ausgrid</v>
      </c>
      <c r="B279" s="38" t="s">
        <v>1197</v>
      </c>
      <c r="C279" s="38" t="str">
        <f t="shared" si="43"/>
        <v>Duplicate-TX8101 - Tapchanger - All types. - 11KV REGULATORS</v>
      </c>
      <c r="D279" s="38" t="str">
        <f t="shared" si="44"/>
        <v>Duplicate-</v>
      </c>
      <c r="E279" s="413"/>
      <c r="F279" s="43" t="s">
        <v>405</v>
      </c>
      <c r="G279" s="43" t="s">
        <v>829</v>
      </c>
      <c r="X279" s="38">
        <v>0.25</v>
      </c>
      <c r="Y279" s="38">
        <v>0</v>
      </c>
      <c r="AK279" s="45">
        <f t="shared" si="45"/>
        <v>0</v>
      </c>
      <c r="AL279" s="46">
        <f t="shared" si="46"/>
        <v>0</v>
      </c>
      <c r="AM279" s="46">
        <f t="shared" si="47"/>
        <v>0</v>
      </c>
      <c r="AN279" s="46"/>
      <c r="AO279" s="119" t="s">
        <v>1197</v>
      </c>
      <c r="AP279" s="38" t="str">
        <f t="shared" si="42"/>
        <v>Exclude</v>
      </c>
    </row>
    <row r="280" spans="1:42" ht="60" hidden="1">
      <c r="A280" s="38" t="str">
        <f t="shared" si="41"/>
        <v>Ausgrid</v>
      </c>
      <c r="B280" s="38" t="s">
        <v>1197</v>
      </c>
      <c r="C280" s="38" t="str">
        <f t="shared" si="43"/>
        <v>Duplicate-VR0101 - Relay, Voltage Regulation, Generic - VR RELAYS - ELECTROMECHANICAL</v>
      </c>
      <c r="D280" s="38" t="str">
        <f t="shared" si="44"/>
        <v>Duplicate-</v>
      </c>
      <c r="E280" s="413"/>
      <c r="F280" s="43" t="s">
        <v>405</v>
      </c>
      <c r="G280" s="43" t="s">
        <v>830</v>
      </c>
      <c r="X280" s="38">
        <v>6</v>
      </c>
      <c r="Y280" s="38">
        <v>0</v>
      </c>
      <c r="AK280" s="45">
        <f t="shared" si="45"/>
        <v>0</v>
      </c>
      <c r="AL280" s="46">
        <f t="shared" si="46"/>
        <v>0</v>
      </c>
      <c r="AM280" s="46">
        <f t="shared" si="47"/>
        <v>0</v>
      </c>
      <c r="AN280" s="46"/>
      <c r="AO280" s="119" t="s">
        <v>1197</v>
      </c>
      <c r="AP280" s="38" t="str">
        <f t="shared" si="42"/>
        <v>Exclude</v>
      </c>
    </row>
    <row r="281" spans="1:42" ht="45" hidden="1">
      <c r="A281" s="38" t="str">
        <f t="shared" si="41"/>
        <v>Ausgrid</v>
      </c>
      <c r="B281" s="38" t="s">
        <v>1197</v>
      </c>
      <c r="C281" s="38" t="str">
        <f t="shared" si="43"/>
        <v>Duplicate-VR0101 - Relay, Voltage Regulation, Generic - VR RELAYS - ELECTRONIC</v>
      </c>
      <c r="D281" s="38" t="str">
        <f t="shared" si="44"/>
        <v>Duplicate-</v>
      </c>
      <c r="E281" s="413"/>
      <c r="F281" s="43" t="s">
        <v>405</v>
      </c>
      <c r="G281" s="43" t="s">
        <v>831</v>
      </c>
      <c r="X281" s="38">
        <v>6</v>
      </c>
      <c r="Y281" s="38">
        <v>0</v>
      </c>
      <c r="AK281" s="45">
        <f t="shared" si="45"/>
        <v>0</v>
      </c>
      <c r="AL281" s="46">
        <f t="shared" si="46"/>
        <v>0</v>
      </c>
      <c r="AM281" s="46">
        <f t="shared" si="47"/>
        <v>0</v>
      </c>
      <c r="AN281" s="46"/>
      <c r="AO281" s="119" t="s">
        <v>1197</v>
      </c>
      <c r="AP281" s="38" t="str">
        <f t="shared" si="42"/>
        <v>Exclude</v>
      </c>
    </row>
    <row r="282" spans="1:42" ht="45" hidden="1">
      <c r="A282" s="38" t="str">
        <f t="shared" si="41"/>
        <v>Ausgrid</v>
      </c>
      <c r="B282" s="38" t="s">
        <v>1197</v>
      </c>
      <c r="C282" s="38" t="str">
        <f t="shared" si="43"/>
        <v>Duplicate-VR0101 - Relay, Voltage Regulation, Generic - VR RELAYS - NUMERICAL</v>
      </c>
      <c r="D282" s="38" t="str">
        <f t="shared" si="44"/>
        <v>Duplicate-</v>
      </c>
      <c r="E282" s="413"/>
      <c r="F282" s="43" t="s">
        <v>405</v>
      </c>
      <c r="G282" s="43" t="s">
        <v>832</v>
      </c>
      <c r="X282" s="38">
        <v>12</v>
      </c>
      <c r="Y282" s="38">
        <v>0</v>
      </c>
      <c r="AK282" s="45">
        <f t="shared" si="45"/>
        <v>0</v>
      </c>
      <c r="AL282" s="46">
        <f t="shared" si="46"/>
        <v>0</v>
      </c>
      <c r="AM282" s="46">
        <f t="shared" si="47"/>
        <v>0</v>
      </c>
      <c r="AN282" s="46"/>
      <c r="AO282" s="119" t="s">
        <v>1197</v>
      </c>
      <c r="AP282" s="38" t="str">
        <f t="shared" si="42"/>
        <v>Exclude</v>
      </c>
    </row>
    <row r="283" spans="1:42" ht="30" hidden="1">
      <c r="A283" s="38" t="str">
        <f t="shared" si="41"/>
        <v>Ausgrid</v>
      </c>
      <c r="B283" s="38" t="s">
        <v>1197</v>
      </c>
      <c r="C283" s="38" t="str">
        <f t="shared" si="43"/>
        <v>Duplicate-DISTRIBUTION SUBSTATION - BATTERIES</v>
      </c>
      <c r="D283" s="38" t="str">
        <f t="shared" si="44"/>
        <v>Duplicate-No. of batteries ('000s)</v>
      </c>
      <c r="E283" s="413"/>
      <c r="F283" s="43" t="s">
        <v>405</v>
      </c>
      <c r="G283" s="43" t="s">
        <v>833</v>
      </c>
      <c r="H283" s="43" t="s">
        <v>834</v>
      </c>
      <c r="I283" s="41">
        <v>1.89</v>
      </c>
      <c r="J283" s="41">
        <v>1.88</v>
      </c>
      <c r="K283" s="41">
        <v>1.87</v>
      </c>
      <c r="L283" s="41">
        <v>1.86</v>
      </c>
      <c r="M283" s="41">
        <v>1.83</v>
      </c>
      <c r="N283" s="41">
        <v>1.59</v>
      </c>
      <c r="O283" s="41">
        <v>1.63</v>
      </c>
      <c r="P283" s="41">
        <v>1.49</v>
      </c>
      <c r="Q283" s="41">
        <v>1.5</v>
      </c>
      <c r="R283" s="41">
        <v>1.81</v>
      </c>
      <c r="S283" s="41">
        <v>22.42</v>
      </c>
      <c r="T283" s="41">
        <v>22.49</v>
      </c>
      <c r="U283" s="41">
        <v>22.83</v>
      </c>
      <c r="V283" s="41">
        <v>23.05</v>
      </c>
      <c r="W283" s="41">
        <v>23.41</v>
      </c>
      <c r="X283" s="38">
        <v>0</v>
      </c>
      <c r="Y283" s="38">
        <v>0</v>
      </c>
      <c r="Z283" s="40">
        <v>298.70999999999998</v>
      </c>
      <c r="AA283" s="40">
        <v>245.76</v>
      </c>
      <c r="AB283" s="40">
        <v>244.26</v>
      </c>
      <c r="AC283" s="40">
        <v>277.3</v>
      </c>
      <c r="AD283" s="40">
        <v>283.55</v>
      </c>
      <c r="AE283" s="40">
        <v>0</v>
      </c>
      <c r="AF283" s="40">
        <v>0</v>
      </c>
      <c r="AG283" s="40">
        <v>0</v>
      </c>
      <c r="AH283" s="40">
        <v>0</v>
      </c>
      <c r="AI283" s="40">
        <v>0</v>
      </c>
      <c r="AK283" s="45">
        <f t="shared" si="45"/>
        <v>8.02</v>
      </c>
      <c r="AL283" s="46">
        <f t="shared" si="46"/>
        <v>1349.58</v>
      </c>
      <c r="AM283" s="46">
        <f t="shared" si="47"/>
        <v>0</v>
      </c>
      <c r="AN283" s="46"/>
      <c r="AO283" s="119" t="s">
        <v>1197</v>
      </c>
      <c r="AP283" s="38" t="str">
        <f t="shared" si="42"/>
        <v>Exclude</v>
      </c>
    </row>
    <row r="284" spans="1:42" ht="45" hidden="1">
      <c r="A284" s="38" t="str">
        <f t="shared" si="41"/>
        <v>Ausgrid</v>
      </c>
      <c r="B284" s="38" t="s">
        <v>1197</v>
      </c>
      <c r="C284" s="38" t="str">
        <f t="shared" si="43"/>
        <v>Duplicate-DC0211 - Alkaline / Lead Acid - Wet Cell (32 - 130 volt) - BATTERIES</v>
      </c>
      <c r="D284" s="38" t="str">
        <f t="shared" si="44"/>
        <v>Duplicate-</v>
      </c>
      <c r="E284" s="413"/>
      <c r="F284" s="43" t="s">
        <v>405</v>
      </c>
      <c r="G284" s="43" t="s">
        <v>835</v>
      </c>
      <c r="X284" s="38">
        <v>0.25</v>
      </c>
      <c r="Y284" s="38">
        <v>0.25</v>
      </c>
      <c r="AK284" s="45">
        <f t="shared" si="45"/>
        <v>0</v>
      </c>
      <c r="AL284" s="46">
        <f t="shared" si="46"/>
        <v>0</v>
      </c>
      <c r="AM284" s="46">
        <f t="shared" si="47"/>
        <v>0</v>
      </c>
      <c r="AN284" s="46"/>
      <c r="AO284" s="119" t="s">
        <v>1197</v>
      </c>
      <c r="AP284" s="38" t="str">
        <f t="shared" si="42"/>
        <v>Exclude</v>
      </c>
    </row>
    <row r="285" spans="1:42" ht="45" hidden="1">
      <c r="A285" s="38" t="str">
        <f t="shared" si="41"/>
        <v>Ausgrid</v>
      </c>
      <c r="B285" s="38" t="s">
        <v>1197</v>
      </c>
      <c r="C285" s="38" t="str">
        <f t="shared" si="43"/>
        <v>Duplicate-DC0212 - Alkaline / Lead Acid - Wet Cell (32 - 130 volt) - BATTERIES</v>
      </c>
      <c r="D285" s="38" t="str">
        <f t="shared" si="44"/>
        <v>Duplicate-</v>
      </c>
      <c r="E285" s="413"/>
      <c r="F285" s="43" t="s">
        <v>405</v>
      </c>
      <c r="G285" s="43" t="s">
        <v>836</v>
      </c>
      <c r="X285" s="38">
        <v>1</v>
      </c>
      <c r="Y285" s="38">
        <v>1</v>
      </c>
      <c r="AK285" s="45">
        <f t="shared" si="45"/>
        <v>0</v>
      </c>
      <c r="AL285" s="46">
        <f t="shared" si="46"/>
        <v>0</v>
      </c>
      <c r="AM285" s="46">
        <f t="shared" si="47"/>
        <v>0</v>
      </c>
      <c r="AN285" s="46"/>
      <c r="AO285" s="119" t="s">
        <v>1197</v>
      </c>
      <c r="AP285" s="38" t="str">
        <f t="shared" si="42"/>
        <v>Exclude</v>
      </c>
    </row>
    <row r="286" spans="1:42" ht="45" hidden="1">
      <c r="A286" s="38" t="str">
        <f t="shared" si="41"/>
        <v>Ausgrid</v>
      </c>
      <c r="B286" s="38" t="s">
        <v>1197</v>
      </c>
      <c r="C286" s="38" t="str">
        <f t="shared" si="43"/>
        <v>Duplicate-DC0211 - Alkaline / Lead Acid - Wet Cell (32 - 130 volt) - BATTERIES</v>
      </c>
      <c r="D286" s="38" t="str">
        <f t="shared" si="44"/>
        <v>Duplicate-</v>
      </c>
      <c r="E286" s="413"/>
      <c r="F286" s="43" t="s">
        <v>405</v>
      </c>
      <c r="G286" s="43" t="s">
        <v>835</v>
      </c>
      <c r="X286" s="38">
        <v>0.17</v>
      </c>
      <c r="Y286" s="38">
        <v>0.17</v>
      </c>
      <c r="AK286" s="45">
        <f t="shared" si="45"/>
        <v>0</v>
      </c>
      <c r="AL286" s="46">
        <f t="shared" si="46"/>
        <v>0</v>
      </c>
      <c r="AM286" s="46">
        <f t="shared" si="47"/>
        <v>0</v>
      </c>
      <c r="AN286" s="46"/>
      <c r="AO286" s="119" t="s">
        <v>1197</v>
      </c>
      <c r="AP286" s="38" t="str">
        <f t="shared" si="42"/>
        <v>Exclude</v>
      </c>
    </row>
    <row r="287" spans="1:42" ht="30" hidden="1">
      <c r="A287" s="38" t="str">
        <f t="shared" si="41"/>
        <v>Ausgrid</v>
      </c>
      <c r="B287" s="38" t="s">
        <v>1197</v>
      </c>
      <c r="C287" s="38" t="str">
        <f t="shared" si="43"/>
        <v>Duplicate-DC0215 - Wet Cells  (6V-32V) - BATTERIES</v>
      </c>
      <c r="D287" s="38" t="str">
        <f t="shared" si="44"/>
        <v>Duplicate-</v>
      </c>
      <c r="E287" s="413"/>
      <c r="F287" s="43" t="s">
        <v>405</v>
      </c>
      <c r="G287" s="43" t="s">
        <v>837</v>
      </c>
      <c r="X287" s="38">
        <v>0.5</v>
      </c>
      <c r="Y287" s="38">
        <v>0.5</v>
      </c>
      <c r="AK287" s="45">
        <f t="shared" si="45"/>
        <v>0</v>
      </c>
      <c r="AL287" s="46">
        <f t="shared" si="46"/>
        <v>0</v>
      </c>
      <c r="AM287" s="46">
        <f t="shared" si="47"/>
        <v>0</v>
      </c>
      <c r="AN287" s="46"/>
      <c r="AO287" s="119" t="s">
        <v>1197</v>
      </c>
      <c r="AP287" s="38" t="str">
        <f t="shared" si="42"/>
        <v>Exclude</v>
      </c>
    </row>
    <row r="288" spans="1:42" ht="30" hidden="1">
      <c r="A288" s="38" t="str">
        <f t="shared" si="41"/>
        <v>Ausgrid</v>
      </c>
      <c r="B288" s="38" t="s">
        <v>1197</v>
      </c>
      <c r="C288" s="38" t="str">
        <f t="shared" si="43"/>
        <v>Duplicate-DC0215 - Wet Cells  (6V-32V) - BATTERIES</v>
      </c>
      <c r="D288" s="38" t="str">
        <f t="shared" si="44"/>
        <v>Duplicate-</v>
      </c>
      <c r="E288" s="413"/>
      <c r="F288" s="43" t="s">
        <v>405</v>
      </c>
      <c r="G288" s="43" t="s">
        <v>837</v>
      </c>
      <c r="X288" s="38">
        <v>1</v>
      </c>
      <c r="Y288" s="38">
        <v>1</v>
      </c>
      <c r="AK288" s="45">
        <f t="shared" si="45"/>
        <v>0</v>
      </c>
      <c r="AL288" s="46">
        <f t="shared" si="46"/>
        <v>0</v>
      </c>
      <c r="AM288" s="46">
        <f t="shared" si="47"/>
        <v>0</v>
      </c>
      <c r="AN288" s="46"/>
      <c r="AO288" s="119" t="s">
        <v>1197</v>
      </c>
      <c r="AP288" s="38" t="str">
        <f t="shared" si="42"/>
        <v>Exclude</v>
      </c>
    </row>
    <row r="289" spans="1:42" ht="30" hidden="1">
      <c r="A289" s="38" t="str">
        <f t="shared" si="41"/>
        <v>Ausgrid</v>
      </c>
      <c r="B289" s="38" t="s">
        <v>1197</v>
      </c>
      <c r="C289" s="38" t="str">
        <f t="shared" si="43"/>
        <v>Duplicate-DC0216 - Wet Cells  (6V-32V) - BATTERIES</v>
      </c>
      <c r="D289" s="38" t="str">
        <f t="shared" si="44"/>
        <v>Duplicate-</v>
      </c>
      <c r="E289" s="413"/>
      <c r="F289" s="43" t="s">
        <v>405</v>
      </c>
      <c r="G289" s="43" t="s">
        <v>838</v>
      </c>
      <c r="X289" s="38">
        <v>0.5</v>
      </c>
      <c r="Y289" s="38">
        <v>0.5</v>
      </c>
      <c r="AK289" s="45">
        <f t="shared" si="45"/>
        <v>0</v>
      </c>
      <c r="AL289" s="46">
        <f t="shared" si="46"/>
        <v>0</v>
      </c>
      <c r="AM289" s="46">
        <f t="shared" si="47"/>
        <v>0</v>
      </c>
      <c r="AN289" s="46"/>
      <c r="AO289" s="119" t="s">
        <v>1197</v>
      </c>
      <c r="AP289" s="38" t="str">
        <f t="shared" si="42"/>
        <v>Exclude</v>
      </c>
    </row>
    <row r="290" spans="1:42" ht="45" hidden="1">
      <c r="A290" s="38" t="str">
        <f t="shared" si="41"/>
        <v>Ausgrid</v>
      </c>
      <c r="B290" s="38" t="s">
        <v>1197</v>
      </c>
      <c r="C290" s="38" t="str">
        <f t="shared" si="43"/>
        <v>Duplicate-DC0231 - Alkaline / Lead Acid - Wet Cell (48 volt) - COMMUNICATIONS</v>
      </c>
      <c r="D290" s="38" t="str">
        <f t="shared" si="44"/>
        <v>Duplicate-</v>
      </c>
      <c r="E290" s="413"/>
      <c r="F290" s="43" t="s">
        <v>405</v>
      </c>
      <c r="G290" s="43" t="s">
        <v>839</v>
      </c>
      <c r="X290" s="38">
        <v>0.25</v>
      </c>
      <c r="Y290" s="38">
        <v>0.25</v>
      </c>
      <c r="AK290" s="45">
        <f t="shared" si="45"/>
        <v>0</v>
      </c>
      <c r="AL290" s="46">
        <f t="shared" si="46"/>
        <v>0</v>
      </c>
      <c r="AM290" s="46">
        <f t="shared" si="47"/>
        <v>0</v>
      </c>
      <c r="AN290" s="46"/>
      <c r="AO290" s="119" t="s">
        <v>1197</v>
      </c>
      <c r="AP290" s="38" t="str">
        <f t="shared" si="42"/>
        <v>Exclude</v>
      </c>
    </row>
    <row r="291" spans="1:42" ht="45" hidden="1">
      <c r="A291" s="38" t="str">
        <f t="shared" si="41"/>
        <v>Ausgrid</v>
      </c>
      <c r="B291" s="38" t="s">
        <v>1197</v>
      </c>
      <c r="C291" s="38" t="str">
        <f t="shared" si="43"/>
        <v>Duplicate-DC0232 - Alkaline / Lead Acid - Wet Cell (48 volt) - COMMUNICATIONS</v>
      </c>
      <c r="D291" s="38" t="str">
        <f t="shared" si="44"/>
        <v>Duplicate-</v>
      </c>
      <c r="E291" s="413"/>
      <c r="F291" s="43" t="s">
        <v>405</v>
      </c>
      <c r="G291" s="43" t="s">
        <v>840</v>
      </c>
      <c r="X291" s="38">
        <v>1</v>
      </c>
      <c r="Y291" s="38">
        <v>1</v>
      </c>
      <c r="AK291" s="45">
        <f t="shared" si="45"/>
        <v>0</v>
      </c>
      <c r="AL291" s="46">
        <f t="shared" si="46"/>
        <v>0</v>
      </c>
      <c r="AM291" s="46">
        <f t="shared" si="47"/>
        <v>0</v>
      </c>
      <c r="AN291" s="46"/>
      <c r="AO291" s="119" t="s">
        <v>1197</v>
      </c>
      <c r="AP291" s="38" t="str">
        <f t="shared" si="42"/>
        <v>Exclude</v>
      </c>
    </row>
    <row r="292" spans="1:42" ht="30" hidden="1">
      <c r="A292" s="38" t="str">
        <f t="shared" si="41"/>
        <v>Ausgrid</v>
      </c>
      <c r="B292" s="38" t="s">
        <v>1197</v>
      </c>
      <c r="C292" s="38" t="str">
        <f t="shared" si="43"/>
        <v>Duplicate-DC0235 - Sealed Cells  (12V-24V) - BATTERIES</v>
      </c>
      <c r="D292" s="38" t="str">
        <f t="shared" si="44"/>
        <v>Duplicate-</v>
      </c>
      <c r="E292" s="413"/>
      <c r="F292" s="43" t="s">
        <v>405</v>
      </c>
      <c r="G292" s="43" t="s">
        <v>841</v>
      </c>
      <c r="X292" s="38">
        <v>1</v>
      </c>
      <c r="Y292" s="38">
        <v>0</v>
      </c>
      <c r="AK292" s="45">
        <f t="shared" si="45"/>
        <v>0</v>
      </c>
      <c r="AL292" s="46">
        <f t="shared" si="46"/>
        <v>0</v>
      </c>
      <c r="AM292" s="46">
        <f t="shared" si="47"/>
        <v>0</v>
      </c>
      <c r="AN292" s="46"/>
      <c r="AO292" s="119" t="s">
        <v>1197</v>
      </c>
      <c r="AP292" s="38" t="str">
        <f t="shared" si="42"/>
        <v>Exclude</v>
      </c>
    </row>
    <row r="293" spans="1:42" ht="45" hidden="1">
      <c r="A293" s="38" t="str">
        <f t="shared" si="41"/>
        <v>Ausgrid</v>
      </c>
      <c r="B293" s="38" t="s">
        <v>1197</v>
      </c>
      <c r="C293" s="38" t="str">
        <f t="shared" si="43"/>
        <v>Duplicate-DC0251 - Intertrip Battery - Dry Cell (120V/ 240V) - BATTERIES</v>
      </c>
      <c r="D293" s="38" t="str">
        <f t="shared" si="44"/>
        <v>Duplicate-</v>
      </c>
      <c r="E293" s="413"/>
      <c r="F293" s="43" t="s">
        <v>405</v>
      </c>
      <c r="G293" s="43" t="s">
        <v>842</v>
      </c>
      <c r="X293" s="38">
        <v>0.5</v>
      </c>
      <c r="Y293" s="38">
        <v>0</v>
      </c>
      <c r="AK293" s="45">
        <f t="shared" si="45"/>
        <v>0</v>
      </c>
      <c r="AL293" s="46">
        <f t="shared" si="46"/>
        <v>0</v>
      </c>
      <c r="AM293" s="46">
        <f t="shared" si="47"/>
        <v>0</v>
      </c>
      <c r="AN293" s="46"/>
      <c r="AO293" s="119" t="s">
        <v>1197</v>
      </c>
      <c r="AP293" s="38" t="str">
        <f t="shared" si="42"/>
        <v>Exclude</v>
      </c>
    </row>
    <row r="294" spans="1:42" ht="45" hidden="1">
      <c r="A294" s="38" t="str">
        <f t="shared" si="41"/>
        <v>Ausgrid</v>
      </c>
      <c r="B294" s="38" t="s">
        <v>1197</v>
      </c>
      <c r="C294" s="38" t="str">
        <f t="shared" si="43"/>
        <v>Duplicate-DC0252 - Intertrip Battery - Dry Cell (120V/ 240V) - BATTERIES</v>
      </c>
      <c r="D294" s="38" t="str">
        <f t="shared" si="44"/>
        <v>Duplicate-</v>
      </c>
      <c r="E294" s="413"/>
      <c r="F294" s="43" t="s">
        <v>405</v>
      </c>
      <c r="G294" s="43" t="s">
        <v>843</v>
      </c>
      <c r="X294" s="38">
        <v>2</v>
      </c>
      <c r="Y294" s="38">
        <v>0</v>
      </c>
      <c r="AK294" s="45">
        <f t="shared" si="45"/>
        <v>0</v>
      </c>
      <c r="AL294" s="46">
        <f t="shared" si="46"/>
        <v>0</v>
      </c>
      <c r="AM294" s="46">
        <f t="shared" si="47"/>
        <v>0</v>
      </c>
      <c r="AN294" s="46"/>
      <c r="AO294" s="119" t="s">
        <v>1197</v>
      </c>
      <c r="AP294" s="38" t="str">
        <f t="shared" si="42"/>
        <v>Exclude</v>
      </c>
    </row>
    <row r="295" spans="1:42" ht="30" hidden="1">
      <c r="A295" s="38" t="str">
        <f t="shared" si="41"/>
        <v>Ausgrid</v>
      </c>
      <c r="B295" s="38" t="s">
        <v>1197</v>
      </c>
      <c r="C295" s="38" t="str">
        <f t="shared" si="43"/>
        <v>Duplicate-DC0253 - Intertrip Battery - Lithium (245V) - BATTERIES</v>
      </c>
      <c r="D295" s="38" t="str">
        <f t="shared" si="44"/>
        <v>Duplicate-</v>
      </c>
      <c r="E295" s="413"/>
      <c r="F295" s="43" t="s">
        <v>405</v>
      </c>
      <c r="G295" s="43" t="s">
        <v>844</v>
      </c>
      <c r="X295" s="38">
        <v>1</v>
      </c>
      <c r="Y295" s="38">
        <v>0</v>
      </c>
      <c r="AK295" s="45">
        <f t="shared" si="45"/>
        <v>0</v>
      </c>
      <c r="AL295" s="46">
        <f t="shared" si="46"/>
        <v>0</v>
      </c>
      <c r="AM295" s="46">
        <f t="shared" si="47"/>
        <v>0</v>
      </c>
      <c r="AN295" s="46"/>
      <c r="AO295" s="119" t="s">
        <v>1197</v>
      </c>
      <c r="AP295" s="38" t="str">
        <f t="shared" si="42"/>
        <v>Exclude</v>
      </c>
    </row>
    <row r="296" spans="1:42" ht="45" hidden="1">
      <c r="A296" s="38" t="str">
        <f t="shared" si="41"/>
        <v>Ausgrid</v>
      </c>
      <c r="B296" s="38" t="s">
        <v>1197</v>
      </c>
      <c r="C296" s="38" t="str">
        <f t="shared" si="43"/>
        <v>Duplicate-DC0255 - Intertrip Battery -Wet Cells (240V) - BATTERIES</v>
      </c>
      <c r="D296" s="38" t="str">
        <f t="shared" si="44"/>
        <v>Duplicate-</v>
      </c>
      <c r="E296" s="413"/>
      <c r="F296" s="43" t="s">
        <v>405</v>
      </c>
      <c r="G296" s="43" t="s">
        <v>845</v>
      </c>
      <c r="X296" s="38">
        <v>0.5</v>
      </c>
      <c r="Y296" s="38">
        <v>0.5</v>
      </c>
      <c r="AK296" s="45">
        <f t="shared" si="45"/>
        <v>0</v>
      </c>
      <c r="AL296" s="46">
        <f t="shared" si="46"/>
        <v>0</v>
      </c>
      <c r="AM296" s="46">
        <f t="shared" si="47"/>
        <v>0</v>
      </c>
      <c r="AN296" s="46"/>
      <c r="AO296" s="119" t="s">
        <v>1197</v>
      </c>
      <c r="AP296" s="38" t="str">
        <f t="shared" si="42"/>
        <v>Exclude</v>
      </c>
    </row>
    <row r="297" spans="1:42" ht="45" hidden="1">
      <c r="A297" s="38" t="str">
        <f t="shared" si="41"/>
        <v>Ausgrid</v>
      </c>
      <c r="B297" s="38" t="s">
        <v>1197</v>
      </c>
      <c r="C297" s="38" t="str">
        <f t="shared" si="43"/>
        <v>Duplicate-DC0257 - Intertrip Battery - SLA Paste (120V) - BATTERIES</v>
      </c>
      <c r="D297" s="38" t="str">
        <f t="shared" si="44"/>
        <v>Duplicate-</v>
      </c>
      <c r="E297" s="413"/>
      <c r="F297" s="43" t="s">
        <v>405</v>
      </c>
      <c r="G297" s="43" t="s">
        <v>846</v>
      </c>
      <c r="X297" s="38">
        <v>0.5</v>
      </c>
      <c r="Y297" s="38">
        <v>0</v>
      </c>
      <c r="AK297" s="45">
        <f t="shared" si="45"/>
        <v>0</v>
      </c>
      <c r="AL297" s="46">
        <f t="shared" si="46"/>
        <v>0</v>
      </c>
      <c r="AM297" s="46">
        <f t="shared" si="47"/>
        <v>0</v>
      </c>
      <c r="AN297" s="46"/>
      <c r="AO297" s="119" t="s">
        <v>1197</v>
      </c>
      <c r="AP297" s="38" t="str">
        <f t="shared" si="42"/>
        <v>Exclude</v>
      </c>
    </row>
    <row r="298" spans="1:42" ht="30" hidden="1">
      <c r="A298" s="38" t="str">
        <f t="shared" si="41"/>
        <v>Ausgrid</v>
      </c>
      <c r="B298" s="38" t="s">
        <v>1197</v>
      </c>
      <c r="C298" s="38" t="str">
        <f t="shared" si="43"/>
        <v>Duplicate-DISTRIBUTION SUBSTATION - OTHER EQUIPMENT</v>
      </c>
      <c r="D298" s="38" t="str">
        <f t="shared" si="44"/>
        <v>Duplicate-No. of distribution substations ('000s)</v>
      </c>
      <c r="E298" s="413"/>
      <c r="F298" s="43" t="s">
        <v>405</v>
      </c>
      <c r="G298" s="43" t="s">
        <v>410</v>
      </c>
      <c r="H298" s="43" t="s">
        <v>847</v>
      </c>
      <c r="I298" s="41">
        <v>29.53</v>
      </c>
      <c r="J298" s="41">
        <v>29.84</v>
      </c>
      <c r="K298" s="41">
        <v>30.15</v>
      </c>
      <c r="L298" s="41">
        <v>30.43</v>
      </c>
      <c r="M298" s="41">
        <v>30.71</v>
      </c>
      <c r="N298" s="41">
        <v>4.8099999999999996</v>
      </c>
      <c r="O298" s="41">
        <v>3.77</v>
      </c>
      <c r="P298" s="41">
        <v>4.45</v>
      </c>
      <c r="Q298" s="41">
        <v>4.1900000000000004</v>
      </c>
      <c r="R298" s="41">
        <v>3.17</v>
      </c>
      <c r="S298" s="41">
        <v>26.21</v>
      </c>
      <c r="T298" s="41">
        <v>26.34</v>
      </c>
      <c r="U298" s="41">
        <v>26.43</v>
      </c>
      <c r="V298" s="41">
        <v>26.56</v>
      </c>
      <c r="W298" s="41">
        <v>26.78</v>
      </c>
      <c r="X298" s="38">
        <v>0</v>
      </c>
      <c r="Y298" s="38">
        <v>0</v>
      </c>
      <c r="Z298" s="40">
        <v>780.19</v>
      </c>
      <c r="AA298" s="40">
        <v>1235.3</v>
      </c>
      <c r="AB298" s="40">
        <v>2133.7199999999998</v>
      </c>
      <c r="AC298" s="40">
        <v>2397.12</v>
      </c>
      <c r="AD298" s="40">
        <v>2933.77</v>
      </c>
      <c r="AE298" s="40">
        <v>2830.9</v>
      </c>
      <c r="AF298" s="40">
        <v>2650.45</v>
      </c>
      <c r="AG298" s="40">
        <v>4305.66</v>
      </c>
      <c r="AH298" s="40">
        <v>5960.26</v>
      </c>
      <c r="AI298" s="40">
        <v>5708.14</v>
      </c>
      <c r="AK298" s="45">
        <f t="shared" si="45"/>
        <v>20.39</v>
      </c>
      <c r="AL298" s="46">
        <f t="shared" si="46"/>
        <v>9480.1</v>
      </c>
      <c r="AM298" s="46">
        <f t="shared" si="47"/>
        <v>21455.41</v>
      </c>
      <c r="AN298" s="46"/>
      <c r="AO298" s="119" t="s">
        <v>1197</v>
      </c>
      <c r="AP298" s="38" t="str">
        <f t="shared" si="42"/>
        <v>Exclude</v>
      </c>
    </row>
    <row r="299" spans="1:42" ht="45" hidden="1">
      <c r="A299" s="38" t="str">
        <f t="shared" si="41"/>
        <v>Ausgrid</v>
      </c>
      <c r="B299" s="38" t="s">
        <v>1197</v>
      </c>
      <c r="C299" s="38" t="str">
        <f t="shared" si="43"/>
        <v>Duplicate-SU0201 - Kiosk Substations - In Service maintenance - KIOSK SUBSTATIONS</v>
      </c>
      <c r="D299" s="38" t="str">
        <f t="shared" si="44"/>
        <v>Duplicate-</v>
      </c>
      <c r="E299" s="413"/>
      <c r="F299" s="43" t="s">
        <v>405</v>
      </c>
      <c r="G299" s="43" t="s">
        <v>848</v>
      </c>
      <c r="X299" s="38">
        <v>10</v>
      </c>
      <c r="Y299" s="38">
        <v>0</v>
      </c>
      <c r="AK299" s="45">
        <f t="shared" si="45"/>
        <v>0</v>
      </c>
      <c r="AL299" s="46">
        <f t="shared" si="46"/>
        <v>0</v>
      </c>
      <c r="AM299" s="46">
        <f t="shared" si="47"/>
        <v>0</v>
      </c>
      <c r="AN299" s="46"/>
      <c r="AO299" s="119" t="s">
        <v>1197</v>
      </c>
      <c r="AP299" s="38" t="str">
        <f t="shared" si="42"/>
        <v>Exclude</v>
      </c>
    </row>
    <row r="300" spans="1:42" ht="75" hidden="1">
      <c r="A300" s="38" t="str">
        <f t="shared" si="41"/>
        <v>Ausgrid</v>
      </c>
      <c r="B300" s="38" t="s">
        <v>1197</v>
      </c>
      <c r="C300" s="38" t="str">
        <f t="shared" si="43"/>
        <v>Duplicate-SU0403 - Underground / Basement type - In Service Maintenance - UNDERGROUND SUBSTATIONS</v>
      </c>
      <c r="D300" s="38" t="str">
        <f t="shared" si="44"/>
        <v>Duplicate-</v>
      </c>
      <c r="E300" s="413"/>
      <c r="F300" s="43" t="s">
        <v>405</v>
      </c>
      <c r="G300" s="43" t="s">
        <v>849</v>
      </c>
      <c r="X300" s="38">
        <v>8</v>
      </c>
      <c r="Y300" s="38">
        <v>0</v>
      </c>
      <c r="AK300" s="45">
        <f t="shared" si="45"/>
        <v>0</v>
      </c>
      <c r="AL300" s="46">
        <f t="shared" si="46"/>
        <v>0</v>
      </c>
      <c r="AM300" s="46">
        <f t="shared" si="47"/>
        <v>0</v>
      </c>
      <c r="AN300" s="46"/>
      <c r="AO300" s="119" t="s">
        <v>1197</v>
      </c>
      <c r="AP300" s="38" t="str">
        <f t="shared" si="42"/>
        <v>Exclude</v>
      </c>
    </row>
    <row r="301" spans="1:42" ht="60" hidden="1">
      <c r="A301" s="38" t="str">
        <f t="shared" si="41"/>
        <v>Ausgrid</v>
      </c>
      <c r="B301" s="38" t="s">
        <v>1197</v>
      </c>
      <c r="C301" s="38" t="str">
        <f t="shared" si="43"/>
        <v>Duplicate-SU0401 - Underground type - Floodgate Maintenance - UNDERGROUND SUBSTATIONS</v>
      </c>
      <c r="D301" s="38" t="str">
        <f t="shared" si="44"/>
        <v>Duplicate-</v>
      </c>
      <c r="E301" s="413"/>
      <c r="F301" s="43" t="s">
        <v>405</v>
      </c>
      <c r="G301" s="43" t="s">
        <v>850</v>
      </c>
      <c r="X301" s="38">
        <v>0.5</v>
      </c>
      <c r="Y301" s="38">
        <v>0.5</v>
      </c>
      <c r="AK301" s="45">
        <f t="shared" si="45"/>
        <v>0</v>
      </c>
      <c r="AL301" s="46">
        <f t="shared" si="46"/>
        <v>0</v>
      </c>
      <c r="AM301" s="46">
        <f t="shared" si="47"/>
        <v>0</v>
      </c>
      <c r="AN301" s="46"/>
      <c r="AO301" s="119" t="s">
        <v>1197</v>
      </c>
      <c r="AP301" s="38" t="str">
        <f t="shared" si="42"/>
        <v>Exclude</v>
      </c>
    </row>
    <row r="302" spans="1:42" ht="75" hidden="1">
      <c r="A302" s="38" t="str">
        <f t="shared" si="41"/>
        <v>Ausgrid</v>
      </c>
      <c r="B302" s="38" t="s">
        <v>1197</v>
      </c>
      <c r="C302" s="38" t="str">
        <f t="shared" si="43"/>
        <v>Duplicate-SU0402 - Underground / Basement type - Hatch Maintenance - UNDERGROUND SUBSTATIONS</v>
      </c>
      <c r="D302" s="38" t="str">
        <f t="shared" si="44"/>
        <v>Duplicate-</v>
      </c>
      <c r="E302" s="413"/>
      <c r="F302" s="43" t="s">
        <v>405</v>
      </c>
      <c r="G302" s="43" t="s">
        <v>851</v>
      </c>
      <c r="X302" s="38">
        <v>1</v>
      </c>
      <c r="Y302" s="38">
        <v>1</v>
      </c>
      <c r="AK302" s="45">
        <f t="shared" si="45"/>
        <v>0</v>
      </c>
      <c r="AL302" s="46">
        <f t="shared" si="46"/>
        <v>0</v>
      </c>
      <c r="AM302" s="46">
        <f t="shared" si="47"/>
        <v>0</v>
      </c>
      <c r="AN302" s="46"/>
      <c r="AO302" s="119" t="s">
        <v>1197</v>
      </c>
      <c r="AP302" s="38" t="str">
        <f t="shared" si="42"/>
        <v>Exclude</v>
      </c>
    </row>
    <row r="303" spans="1:42" ht="60" hidden="1">
      <c r="A303" s="38" t="str">
        <f t="shared" si="41"/>
        <v>Ausgrid</v>
      </c>
      <c r="B303" s="38" t="s">
        <v>1197</v>
      </c>
      <c r="C303" s="38" t="str">
        <f t="shared" si="43"/>
        <v>Duplicate-SU0501 - Double Pole Arrangements Minor In Service Maintenance - POLE MOUNTED SUBSTATIONS</v>
      </c>
      <c r="D303" s="38" t="str">
        <f t="shared" si="44"/>
        <v>Duplicate-</v>
      </c>
      <c r="E303" s="413"/>
      <c r="F303" s="43" t="s">
        <v>405</v>
      </c>
      <c r="G303" s="43" t="s">
        <v>852</v>
      </c>
      <c r="X303" s="38">
        <v>4</v>
      </c>
      <c r="Y303" s="38">
        <v>0</v>
      </c>
      <c r="AK303" s="45">
        <f t="shared" si="45"/>
        <v>0</v>
      </c>
      <c r="AL303" s="46">
        <f t="shared" si="46"/>
        <v>0</v>
      </c>
      <c r="AM303" s="46">
        <f t="shared" si="47"/>
        <v>0</v>
      </c>
      <c r="AN303" s="46"/>
      <c r="AO303" s="119" t="s">
        <v>1197</v>
      </c>
      <c r="AP303" s="38" t="str">
        <f t="shared" si="42"/>
        <v>Exclude</v>
      </c>
    </row>
    <row r="304" spans="1:42" ht="60" hidden="1">
      <c r="A304" s="38" t="str">
        <f t="shared" si="41"/>
        <v>Ausgrid</v>
      </c>
      <c r="B304" s="38" t="s">
        <v>1197</v>
      </c>
      <c r="C304" s="38" t="str">
        <f t="shared" si="43"/>
        <v>Duplicate-SU0502 - Double Pole Arrangements Major In Service Maintenance - POLE MOUNTED SUBSTATIONS</v>
      </c>
      <c r="D304" s="38" t="str">
        <f t="shared" si="44"/>
        <v>Duplicate-</v>
      </c>
      <c r="E304" s="413"/>
      <c r="F304" s="43" t="s">
        <v>405</v>
      </c>
      <c r="G304" s="43" t="s">
        <v>853</v>
      </c>
      <c r="X304" s="38">
        <v>8</v>
      </c>
      <c r="Y304" s="38">
        <v>0</v>
      </c>
      <c r="AK304" s="45">
        <f t="shared" si="45"/>
        <v>0</v>
      </c>
      <c r="AL304" s="46">
        <f t="shared" si="46"/>
        <v>0</v>
      </c>
      <c r="AM304" s="46">
        <f t="shared" si="47"/>
        <v>0</v>
      </c>
      <c r="AN304" s="46"/>
      <c r="AO304" s="119" t="s">
        <v>1197</v>
      </c>
      <c r="AP304" s="38" t="str">
        <f t="shared" si="42"/>
        <v>Exclude</v>
      </c>
    </row>
    <row r="305" spans="1:42" ht="60" hidden="1">
      <c r="A305" s="38" t="str">
        <f t="shared" si="41"/>
        <v>Ausgrid</v>
      </c>
      <c r="B305" s="38" t="s">
        <v>1197</v>
      </c>
      <c r="C305" s="38" t="str">
        <f t="shared" si="43"/>
        <v>Duplicate-SU0503 - Single Pole Arrangements Major In Service Maintenance - POLE MOUNTED SUBSTATIONS</v>
      </c>
      <c r="D305" s="38" t="str">
        <f t="shared" si="44"/>
        <v>Duplicate-</v>
      </c>
      <c r="E305" s="413"/>
      <c r="F305" s="43" t="s">
        <v>405</v>
      </c>
      <c r="G305" s="43" t="s">
        <v>854</v>
      </c>
      <c r="X305" s="38">
        <v>10</v>
      </c>
      <c r="Y305" s="38">
        <v>0</v>
      </c>
      <c r="AK305" s="45">
        <f t="shared" si="45"/>
        <v>0</v>
      </c>
      <c r="AL305" s="46">
        <f t="shared" si="46"/>
        <v>0</v>
      </c>
      <c r="AM305" s="46">
        <f t="shared" si="47"/>
        <v>0</v>
      </c>
      <c r="AN305" s="46"/>
      <c r="AO305" s="119" t="s">
        <v>1197</v>
      </c>
      <c r="AP305" s="38" t="str">
        <f t="shared" si="42"/>
        <v>Exclude</v>
      </c>
    </row>
    <row r="306" spans="1:42" ht="60" hidden="1">
      <c r="A306" s="38" t="str">
        <f t="shared" si="41"/>
        <v>Ausgrid</v>
      </c>
      <c r="B306" s="38" t="s">
        <v>1197</v>
      </c>
      <c r="C306" s="38" t="str">
        <f t="shared" si="43"/>
        <v>Duplicate-SU0504 - SWER Arrangements Minor In Service Maintenance - POLE MOUNTED SUBSTATIONS</v>
      </c>
      <c r="D306" s="38" t="str">
        <f t="shared" si="44"/>
        <v>Duplicate-</v>
      </c>
      <c r="E306" s="413"/>
      <c r="F306" s="43" t="s">
        <v>405</v>
      </c>
      <c r="G306" s="43" t="s">
        <v>855</v>
      </c>
      <c r="X306" s="38">
        <v>1</v>
      </c>
      <c r="Y306" s="38">
        <v>0</v>
      </c>
      <c r="AK306" s="45">
        <f t="shared" si="45"/>
        <v>0</v>
      </c>
      <c r="AL306" s="46">
        <f t="shared" si="46"/>
        <v>0</v>
      </c>
      <c r="AM306" s="46">
        <f t="shared" si="47"/>
        <v>0</v>
      </c>
      <c r="AN306" s="46"/>
      <c r="AO306" s="119" t="s">
        <v>1197</v>
      </c>
      <c r="AP306" s="38" t="str">
        <f t="shared" si="42"/>
        <v>Exclude</v>
      </c>
    </row>
    <row r="307" spans="1:42" ht="45" hidden="1">
      <c r="A307" s="38" t="str">
        <f t="shared" ref="A307:A370" si="48">IF(E307&gt;0,E307,A306)</f>
        <v>Ausgrid</v>
      </c>
      <c r="B307" s="38" t="s">
        <v>1197</v>
      </c>
      <c r="C307" s="38" t="str">
        <f t="shared" si="43"/>
        <v>Duplicate-SU0505 - SWER Arrangements - POLE MOUNTED SUBSTATIONS</v>
      </c>
      <c r="D307" s="38" t="str">
        <f t="shared" si="44"/>
        <v>Duplicate-</v>
      </c>
      <c r="E307" s="413"/>
      <c r="F307" s="43" t="s">
        <v>405</v>
      </c>
      <c r="G307" s="43" t="s">
        <v>856</v>
      </c>
      <c r="X307" s="38">
        <v>8</v>
      </c>
      <c r="Y307" s="38">
        <v>0</v>
      </c>
      <c r="AK307" s="45">
        <f t="shared" si="45"/>
        <v>0</v>
      </c>
      <c r="AL307" s="46">
        <f t="shared" si="46"/>
        <v>0</v>
      </c>
      <c r="AM307" s="46">
        <f t="shared" si="47"/>
        <v>0</v>
      </c>
      <c r="AN307" s="46"/>
      <c r="AO307" s="119" t="s">
        <v>1197</v>
      </c>
      <c r="AP307" s="38" t="str">
        <f t="shared" si="42"/>
        <v>Exclude</v>
      </c>
    </row>
    <row r="308" spans="1:42" ht="60" hidden="1">
      <c r="A308" s="38" t="str">
        <f t="shared" si="48"/>
        <v>Ausgrid</v>
      </c>
      <c r="B308" s="38" t="s">
        <v>1197</v>
      </c>
      <c r="C308" s="38" t="str">
        <f t="shared" si="43"/>
        <v>Duplicate-SU0601 - Surface Chamber type - In Service Maintenance - SURFACE CHAMBER SUBSTATIONS</v>
      </c>
      <c r="D308" s="38" t="str">
        <f t="shared" si="44"/>
        <v>Duplicate-</v>
      </c>
      <c r="E308" s="413"/>
      <c r="F308" s="43" t="s">
        <v>405</v>
      </c>
      <c r="G308" s="43" t="s">
        <v>857</v>
      </c>
      <c r="X308" s="38">
        <v>8</v>
      </c>
      <c r="Y308" s="38">
        <v>0</v>
      </c>
      <c r="AK308" s="45">
        <f t="shared" si="45"/>
        <v>0</v>
      </c>
      <c r="AL308" s="46">
        <f t="shared" si="46"/>
        <v>0</v>
      </c>
      <c r="AM308" s="46">
        <f t="shared" si="47"/>
        <v>0</v>
      </c>
      <c r="AN308" s="46"/>
      <c r="AO308" s="119" t="s">
        <v>1197</v>
      </c>
      <c r="AP308" s="38" t="str">
        <f t="shared" si="42"/>
        <v>Exclude</v>
      </c>
    </row>
    <row r="309" spans="1:42" ht="45" hidden="1">
      <c r="A309" s="38" t="str">
        <f t="shared" si="48"/>
        <v>Ausgrid</v>
      </c>
      <c r="B309" s="38" t="s">
        <v>1197</v>
      </c>
      <c r="C309" s="38" t="str">
        <f t="shared" si="43"/>
        <v>Duplicate-SU0701 - Upper Level type - In Service Maintenance - UPPER LEVEL SUBSTATIONS</v>
      </c>
      <c r="D309" s="38" t="str">
        <f t="shared" si="44"/>
        <v>Duplicate-</v>
      </c>
      <c r="E309" s="413"/>
      <c r="F309" s="43" t="s">
        <v>405</v>
      </c>
      <c r="G309" s="43" t="s">
        <v>858</v>
      </c>
      <c r="X309" s="38">
        <v>8</v>
      </c>
      <c r="Y309" s="38">
        <v>0</v>
      </c>
      <c r="AK309" s="45">
        <f t="shared" si="45"/>
        <v>0</v>
      </c>
      <c r="AL309" s="46">
        <f t="shared" si="46"/>
        <v>0</v>
      </c>
      <c r="AM309" s="46">
        <f t="shared" si="47"/>
        <v>0</v>
      </c>
      <c r="AN309" s="46"/>
      <c r="AO309" s="119" t="s">
        <v>1197</v>
      </c>
      <c r="AP309" s="38" t="str">
        <f t="shared" si="42"/>
        <v>Exclude</v>
      </c>
    </row>
    <row r="310" spans="1:42" ht="75" hidden="1">
      <c r="A310" s="38" t="str">
        <f t="shared" si="48"/>
        <v>Ausgrid</v>
      </c>
      <c r="B310" s="38" t="s">
        <v>1197</v>
      </c>
      <c r="C310" s="38" t="str">
        <f t="shared" si="43"/>
        <v>Duplicate-SU0901 - Outdoor type - Minor In Service Maintenance - OUTDOOR LOCATION (GROUND) SUBSTATIONS</v>
      </c>
      <c r="D310" s="38" t="str">
        <f t="shared" si="44"/>
        <v>Duplicate-</v>
      </c>
      <c r="E310" s="413"/>
      <c r="F310" s="43" t="s">
        <v>405</v>
      </c>
      <c r="G310" s="43" t="s">
        <v>859</v>
      </c>
      <c r="X310" s="38">
        <v>2</v>
      </c>
      <c r="Y310" s="38">
        <v>0</v>
      </c>
      <c r="AK310" s="45">
        <f t="shared" si="45"/>
        <v>0</v>
      </c>
      <c r="AL310" s="46">
        <f t="shared" si="46"/>
        <v>0</v>
      </c>
      <c r="AM310" s="46">
        <f t="shared" si="47"/>
        <v>0</v>
      </c>
      <c r="AN310" s="46"/>
      <c r="AO310" s="119" t="s">
        <v>1197</v>
      </c>
      <c r="AP310" s="38" t="str">
        <f t="shared" si="42"/>
        <v>Exclude</v>
      </c>
    </row>
    <row r="311" spans="1:42" ht="75" hidden="1">
      <c r="A311" s="38" t="str">
        <f t="shared" si="48"/>
        <v>Ausgrid</v>
      </c>
      <c r="B311" s="38" t="s">
        <v>1197</v>
      </c>
      <c r="C311" s="38" t="str">
        <f t="shared" si="43"/>
        <v>Duplicate-SU0902 - Outdoor type - Major In Service Maintenance - OUTDOOR LOCATION (GROUND) SUBSTATIONS</v>
      </c>
      <c r="D311" s="38" t="str">
        <f t="shared" si="44"/>
        <v>Duplicate-</v>
      </c>
      <c r="E311" s="413"/>
      <c r="F311" s="43" t="s">
        <v>405</v>
      </c>
      <c r="G311" s="43" t="s">
        <v>860</v>
      </c>
      <c r="X311" s="38">
        <v>8</v>
      </c>
      <c r="Y311" s="38">
        <v>0</v>
      </c>
      <c r="AK311" s="45">
        <f t="shared" si="45"/>
        <v>0</v>
      </c>
      <c r="AL311" s="46">
        <f t="shared" si="46"/>
        <v>0</v>
      </c>
      <c r="AM311" s="46">
        <f t="shared" si="47"/>
        <v>0</v>
      </c>
      <c r="AN311" s="46"/>
      <c r="AO311" s="119" t="s">
        <v>1197</v>
      </c>
      <c r="AP311" s="38" t="str">
        <f t="shared" si="42"/>
        <v>Exclude</v>
      </c>
    </row>
    <row r="312" spans="1:42" ht="30" hidden="1">
      <c r="A312" s="38" t="str">
        <f t="shared" si="48"/>
        <v>Ausgrid</v>
      </c>
      <c r="B312" s="38" t="s">
        <v>1197</v>
      </c>
      <c r="C312" s="38" t="str">
        <f t="shared" si="43"/>
        <v>Duplicate-DISTRIBUTION SUBSTATION - PROPERTY</v>
      </c>
      <c r="D312" s="38" t="str">
        <f t="shared" si="44"/>
        <v>Duplicate-No. of distribution substation properties maintained ('000s)</v>
      </c>
      <c r="E312" s="413"/>
      <c r="F312" s="43" t="s">
        <v>405</v>
      </c>
      <c r="G312" s="43" t="s">
        <v>412</v>
      </c>
      <c r="H312" s="43" t="s">
        <v>861</v>
      </c>
      <c r="I312" s="41">
        <v>2.89</v>
      </c>
      <c r="J312" s="41">
        <v>2.89</v>
      </c>
      <c r="K312" s="41">
        <v>2.87</v>
      </c>
      <c r="L312" s="41">
        <v>2.84</v>
      </c>
      <c r="M312" s="41">
        <v>2.84</v>
      </c>
      <c r="N312" s="41">
        <v>0.04</v>
      </c>
      <c r="O312" s="41">
        <v>0.04</v>
      </c>
      <c r="P312" s="41">
        <v>0.04</v>
      </c>
      <c r="Q312" s="41">
        <v>0.04</v>
      </c>
      <c r="R312" s="41">
        <v>19.29</v>
      </c>
      <c r="S312" s="41">
        <v>32.83</v>
      </c>
      <c r="T312" s="41">
        <v>33.18</v>
      </c>
      <c r="U312" s="41">
        <v>33.61</v>
      </c>
      <c r="V312" s="41">
        <v>34.11</v>
      </c>
      <c r="W312" s="41">
        <v>34.950000000000003</v>
      </c>
      <c r="X312" s="38">
        <v>0</v>
      </c>
      <c r="Y312" s="38">
        <v>0</v>
      </c>
      <c r="Z312" s="40">
        <v>20.05</v>
      </c>
      <c r="AA312" s="40">
        <v>273.89999999999998</v>
      </c>
      <c r="AB312" s="40">
        <v>399.03</v>
      </c>
      <c r="AC312" s="40">
        <v>549.41999999999996</v>
      </c>
      <c r="AD312" s="40">
        <v>649.16999999999996</v>
      </c>
      <c r="AE312" s="40">
        <v>1141.1500000000001</v>
      </c>
      <c r="AF312" s="40">
        <v>1717.63</v>
      </c>
      <c r="AG312" s="40">
        <v>2117.5300000000002</v>
      </c>
      <c r="AH312" s="40">
        <v>475.09</v>
      </c>
      <c r="AI312" s="40">
        <v>842.56</v>
      </c>
      <c r="AK312" s="45">
        <f t="shared" si="45"/>
        <v>19.45</v>
      </c>
      <c r="AL312" s="46">
        <f t="shared" si="46"/>
        <v>1891.5700000000002</v>
      </c>
      <c r="AM312" s="46">
        <f t="shared" si="47"/>
        <v>6293.9600000000009</v>
      </c>
      <c r="AN312" s="46"/>
      <c r="AO312" s="119" t="s">
        <v>1197</v>
      </c>
      <c r="AP312" s="38" t="str">
        <f t="shared" si="42"/>
        <v>Exclude</v>
      </c>
    </row>
    <row r="313" spans="1:42" ht="30" hidden="1">
      <c r="A313" s="38" t="str">
        <f t="shared" si="48"/>
        <v>Ausgrid</v>
      </c>
      <c r="B313" s="38" t="s">
        <v>1197</v>
      </c>
      <c r="C313" s="38" t="str">
        <f t="shared" si="43"/>
        <v>Duplicate-AU1001 - Fire Extinguishers - Portable</v>
      </c>
      <c r="D313" s="38" t="str">
        <f t="shared" si="44"/>
        <v>Duplicate-</v>
      </c>
      <c r="E313" s="413"/>
      <c r="F313" s="43" t="s">
        <v>405</v>
      </c>
      <c r="G313" s="43" t="s">
        <v>862</v>
      </c>
      <c r="X313" s="38">
        <v>0.5</v>
      </c>
      <c r="Y313" s="38">
        <v>0</v>
      </c>
      <c r="AK313" s="45">
        <f t="shared" si="45"/>
        <v>0</v>
      </c>
      <c r="AL313" s="46">
        <f t="shared" si="46"/>
        <v>0</v>
      </c>
      <c r="AM313" s="46">
        <f t="shared" si="47"/>
        <v>0</v>
      </c>
      <c r="AN313" s="46"/>
      <c r="AO313" s="119" t="s">
        <v>1197</v>
      </c>
      <c r="AP313" s="38" t="str">
        <f t="shared" si="42"/>
        <v>Exclude</v>
      </c>
    </row>
    <row r="314" spans="1:42" ht="30" hidden="1">
      <c r="A314" s="38" t="str">
        <f t="shared" si="48"/>
        <v>Ausgrid</v>
      </c>
      <c r="B314" s="38" t="s">
        <v>1197</v>
      </c>
      <c r="C314" s="38" t="str">
        <f t="shared" si="43"/>
        <v>Duplicate-AU1002 - Fire Extinguishers - Portable</v>
      </c>
      <c r="D314" s="38" t="str">
        <f t="shared" si="44"/>
        <v>Duplicate-</v>
      </c>
      <c r="E314" s="413"/>
      <c r="F314" s="43" t="s">
        <v>405</v>
      </c>
      <c r="G314" s="43" t="s">
        <v>863</v>
      </c>
      <c r="X314" s="38">
        <v>1</v>
      </c>
      <c r="Y314" s="38">
        <v>0</v>
      </c>
      <c r="AK314" s="45">
        <f t="shared" si="45"/>
        <v>0</v>
      </c>
      <c r="AL314" s="46">
        <f t="shared" si="46"/>
        <v>0</v>
      </c>
      <c r="AM314" s="46">
        <f t="shared" si="47"/>
        <v>0</v>
      </c>
      <c r="AN314" s="46"/>
      <c r="AO314" s="119" t="s">
        <v>1197</v>
      </c>
      <c r="AP314" s="38" t="str">
        <f t="shared" si="42"/>
        <v>Exclude</v>
      </c>
    </row>
    <row r="315" spans="1:42" ht="30" hidden="1">
      <c r="A315" s="38" t="str">
        <f t="shared" si="48"/>
        <v>Ausgrid</v>
      </c>
      <c r="B315" s="38" t="s">
        <v>1197</v>
      </c>
      <c r="C315" s="38" t="str">
        <f t="shared" si="43"/>
        <v>Duplicate-AU1003 - Fire Extinguishers - Portable</v>
      </c>
      <c r="D315" s="38" t="str">
        <f t="shared" si="44"/>
        <v>Duplicate-</v>
      </c>
      <c r="E315" s="413"/>
      <c r="F315" s="43" t="s">
        <v>405</v>
      </c>
      <c r="G315" s="43" t="s">
        <v>864</v>
      </c>
      <c r="X315" s="38">
        <v>5</v>
      </c>
      <c r="Y315" s="38">
        <v>0</v>
      </c>
      <c r="AK315" s="45">
        <f t="shared" si="45"/>
        <v>0</v>
      </c>
      <c r="AL315" s="46">
        <f t="shared" si="46"/>
        <v>0</v>
      </c>
      <c r="AM315" s="46">
        <f t="shared" si="47"/>
        <v>0</v>
      </c>
      <c r="AN315" s="46"/>
      <c r="AO315" s="119" t="s">
        <v>1197</v>
      </c>
      <c r="AP315" s="38" t="str">
        <f t="shared" si="42"/>
        <v>Exclude</v>
      </c>
    </row>
    <row r="316" spans="1:42" ht="30" hidden="1">
      <c r="A316" s="38" t="str">
        <f t="shared" si="48"/>
        <v>Ausgrid</v>
      </c>
      <c r="B316" s="38" t="s">
        <v>1197</v>
      </c>
      <c r="C316" s="38" t="str">
        <f t="shared" si="43"/>
        <v>Duplicate-TRANSFORMERS - ZONE SUBSTATION</v>
      </c>
      <c r="D316" s="38" t="str">
        <f t="shared" si="44"/>
        <v>Duplicate-No. of zone substation transformers ('000s)</v>
      </c>
      <c r="E316" s="413"/>
      <c r="F316" s="43" t="s">
        <v>414</v>
      </c>
      <c r="G316" s="43" t="s">
        <v>415</v>
      </c>
      <c r="H316" s="43" t="s">
        <v>865</v>
      </c>
      <c r="I316" s="41">
        <v>0.5</v>
      </c>
      <c r="J316" s="41">
        <v>0.52</v>
      </c>
      <c r="K316" s="41">
        <v>0.53</v>
      </c>
      <c r="L316" s="41">
        <v>0.53</v>
      </c>
      <c r="M316" s="41">
        <v>0.53</v>
      </c>
      <c r="N316" s="41">
        <v>5.43</v>
      </c>
      <c r="O316" s="41">
        <v>3.67</v>
      </c>
      <c r="P316" s="41">
        <v>3.75</v>
      </c>
      <c r="Q316" s="41">
        <v>3.26</v>
      </c>
      <c r="R316" s="41">
        <v>2.4700000000000002</v>
      </c>
      <c r="S316" s="41">
        <v>28.87</v>
      </c>
      <c r="T316" s="41">
        <v>28.35</v>
      </c>
      <c r="U316" s="41">
        <v>27.59</v>
      </c>
      <c r="V316" s="41">
        <v>26.7</v>
      </c>
      <c r="W316" s="41">
        <v>26.71</v>
      </c>
      <c r="X316" s="38">
        <v>0</v>
      </c>
      <c r="Y316" s="38">
        <v>0</v>
      </c>
      <c r="Z316" s="40">
        <v>833.38</v>
      </c>
      <c r="AA316" s="40">
        <v>1191.26</v>
      </c>
      <c r="AB316" s="40">
        <v>1171.51</v>
      </c>
      <c r="AC316" s="40">
        <v>1069.81</v>
      </c>
      <c r="AD316" s="40">
        <v>1294.03</v>
      </c>
      <c r="AE316" s="40">
        <v>558.28</v>
      </c>
      <c r="AF316" s="40">
        <v>693.52</v>
      </c>
      <c r="AG316" s="40">
        <v>912.97</v>
      </c>
      <c r="AH316" s="40">
        <v>996.17</v>
      </c>
      <c r="AI316" s="40">
        <v>985.03</v>
      </c>
      <c r="AK316" s="45">
        <f t="shared" si="45"/>
        <v>18.579999999999998</v>
      </c>
      <c r="AL316" s="46">
        <f t="shared" si="46"/>
        <v>5559.9899999999989</v>
      </c>
      <c r="AM316" s="46">
        <f t="shared" si="47"/>
        <v>4145.97</v>
      </c>
      <c r="AN316" s="46"/>
      <c r="AO316" s="119" t="s">
        <v>1197</v>
      </c>
      <c r="AP316" s="38" t="str">
        <f t="shared" si="42"/>
        <v>Exclude</v>
      </c>
    </row>
    <row r="317" spans="1:42" ht="60" hidden="1">
      <c r="A317" s="38" t="str">
        <f t="shared" si="48"/>
        <v>Ausgrid</v>
      </c>
      <c r="B317" s="38" t="s">
        <v>1197</v>
      </c>
      <c r="C317" s="38" t="str">
        <f t="shared" si="43"/>
        <v xml:space="preserve">Duplicate-TX0101 - Transformer (energised) - Generic (excludes Earthing / Auxilliary TX's) </v>
      </c>
      <c r="D317" s="38" t="str">
        <f t="shared" si="44"/>
        <v>Duplicate-</v>
      </c>
      <c r="E317" s="413"/>
      <c r="F317" s="43" t="s">
        <v>414</v>
      </c>
      <c r="G317" s="43" t="s">
        <v>866</v>
      </c>
      <c r="X317" s="38">
        <v>0.25</v>
      </c>
      <c r="Y317" s="38">
        <v>0</v>
      </c>
      <c r="AK317" s="45">
        <f t="shared" si="45"/>
        <v>0</v>
      </c>
      <c r="AL317" s="46">
        <f t="shared" si="46"/>
        <v>0</v>
      </c>
      <c r="AM317" s="46">
        <f t="shared" si="47"/>
        <v>0</v>
      </c>
      <c r="AN317" s="46"/>
      <c r="AO317" s="119" t="s">
        <v>1197</v>
      </c>
      <c r="AP317" s="38" t="str">
        <f t="shared" si="42"/>
        <v>Exclude</v>
      </c>
    </row>
    <row r="318" spans="1:42" ht="30" hidden="1">
      <c r="A318" s="38" t="str">
        <f t="shared" si="48"/>
        <v>Ausgrid</v>
      </c>
      <c r="B318" s="38" t="s">
        <v>1197</v>
      </c>
      <c r="C318" s="38" t="str">
        <f t="shared" si="43"/>
        <v>Duplicate-TX0102 - Transformer (energised) - Generic</v>
      </c>
      <c r="D318" s="38" t="str">
        <f t="shared" si="44"/>
        <v>Duplicate-</v>
      </c>
      <c r="E318" s="413"/>
      <c r="F318" s="43" t="s">
        <v>414</v>
      </c>
      <c r="G318" s="43" t="s">
        <v>867</v>
      </c>
      <c r="X318" s="38">
        <v>0.5</v>
      </c>
      <c r="Y318" s="38">
        <v>0</v>
      </c>
      <c r="AK318" s="45">
        <f t="shared" si="45"/>
        <v>0</v>
      </c>
      <c r="AL318" s="46">
        <f t="shared" si="46"/>
        <v>0</v>
      </c>
      <c r="AM318" s="46">
        <f t="shared" si="47"/>
        <v>0</v>
      </c>
      <c r="AN318" s="46"/>
      <c r="AO318" s="119" t="s">
        <v>1197</v>
      </c>
      <c r="AP318" s="38" t="str">
        <f t="shared" si="42"/>
        <v>Exclude</v>
      </c>
    </row>
    <row r="319" spans="1:42" ht="60" hidden="1">
      <c r="A319" s="38" t="str">
        <f t="shared" si="48"/>
        <v>Ausgrid</v>
      </c>
      <c r="B319" s="38" t="s">
        <v>1197</v>
      </c>
      <c r="C319" s="38" t="str">
        <f t="shared" si="43"/>
        <v xml:space="preserve">Duplicate-TX0103 - Transformer (energised) - Generic (includes Earthing / Auxilliary TX's) </v>
      </c>
      <c r="D319" s="38" t="str">
        <f t="shared" si="44"/>
        <v>Duplicate-</v>
      </c>
      <c r="E319" s="413"/>
      <c r="F319" s="43" t="s">
        <v>414</v>
      </c>
      <c r="G319" s="43" t="s">
        <v>868</v>
      </c>
      <c r="X319" s="38">
        <v>3</v>
      </c>
      <c r="Y319" s="38">
        <v>0</v>
      </c>
      <c r="AK319" s="45">
        <f t="shared" si="45"/>
        <v>0</v>
      </c>
      <c r="AL319" s="46">
        <f t="shared" si="46"/>
        <v>0</v>
      </c>
      <c r="AM319" s="46">
        <f t="shared" si="47"/>
        <v>0</v>
      </c>
      <c r="AN319" s="46"/>
      <c r="AO319" s="119" t="s">
        <v>1197</v>
      </c>
      <c r="AP319" s="38" t="str">
        <f t="shared" si="42"/>
        <v>Exclude</v>
      </c>
    </row>
    <row r="320" spans="1:42" ht="60" hidden="1">
      <c r="A320" s="38" t="str">
        <f t="shared" si="48"/>
        <v>Ausgrid</v>
      </c>
      <c r="B320" s="38" t="s">
        <v>1197</v>
      </c>
      <c r="C320" s="38" t="str">
        <f t="shared" si="43"/>
        <v>Duplicate-TX0109 - Transformer  - Bushing testing - Oil impregnated capacitively graded bushings</v>
      </c>
      <c r="D320" s="38" t="str">
        <f t="shared" si="44"/>
        <v>Duplicate-</v>
      </c>
      <c r="E320" s="413"/>
      <c r="F320" s="43" t="s">
        <v>414</v>
      </c>
      <c r="G320" s="43" t="s">
        <v>869</v>
      </c>
      <c r="X320" s="38">
        <v>6</v>
      </c>
      <c r="Y320" s="38">
        <v>0</v>
      </c>
      <c r="AK320" s="45">
        <f t="shared" si="45"/>
        <v>0</v>
      </c>
      <c r="AL320" s="46">
        <f t="shared" si="46"/>
        <v>0</v>
      </c>
      <c r="AM320" s="46">
        <f t="shared" si="47"/>
        <v>0</v>
      </c>
      <c r="AN320" s="46"/>
      <c r="AO320" s="119" t="s">
        <v>1197</v>
      </c>
      <c r="AP320" s="38" t="str">
        <f t="shared" si="42"/>
        <v>Exclude</v>
      </c>
    </row>
    <row r="321" spans="1:42" ht="30" hidden="1">
      <c r="A321" s="38" t="str">
        <f t="shared" si="48"/>
        <v>Ausgrid</v>
      </c>
      <c r="B321" s="38" t="s">
        <v>1197</v>
      </c>
      <c r="C321" s="38" t="str">
        <f t="shared" si="43"/>
        <v xml:space="preserve">Duplicate-TX0104 - Transformer  (De-energised)- Generic </v>
      </c>
      <c r="D321" s="38" t="str">
        <f t="shared" si="44"/>
        <v>Duplicate-</v>
      </c>
      <c r="E321" s="413"/>
      <c r="F321" s="43" t="s">
        <v>414</v>
      </c>
      <c r="G321" s="43" t="s">
        <v>870</v>
      </c>
      <c r="X321" s="38">
        <v>6</v>
      </c>
      <c r="Y321" s="38">
        <v>0</v>
      </c>
      <c r="AK321" s="45">
        <f t="shared" si="45"/>
        <v>0</v>
      </c>
      <c r="AL321" s="46">
        <f t="shared" si="46"/>
        <v>0</v>
      </c>
      <c r="AM321" s="46">
        <f t="shared" si="47"/>
        <v>0</v>
      </c>
      <c r="AN321" s="46"/>
      <c r="AO321" s="119" t="s">
        <v>1197</v>
      </c>
      <c r="AP321" s="38" t="str">
        <f t="shared" si="42"/>
        <v>Exclude</v>
      </c>
    </row>
    <row r="322" spans="1:42" ht="45" hidden="1">
      <c r="A322" s="38" t="str">
        <f t="shared" si="48"/>
        <v>Ausgrid</v>
      </c>
      <c r="B322" s="38" t="s">
        <v>1197</v>
      </c>
      <c r="C322" s="38" t="str">
        <f t="shared" si="43"/>
        <v>Duplicate-TX0111 - Oil Filled Series Reactor (energised) - Generic</v>
      </c>
      <c r="D322" s="38" t="str">
        <f t="shared" si="44"/>
        <v>Duplicate-</v>
      </c>
      <c r="E322" s="413"/>
      <c r="F322" s="43" t="s">
        <v>414</v>
      </c>
      <c r="G322" s="43" t="s">
        <v>871</v>
      </c>
      <c r="X322" s="38">
        <v>0.5</v>
      </c>
      <c r="Y322" s="38">
        <v>0</v>
      </c>
      <c r="AK322" s="45">
        <f t="shared" si="45"/>
        <v>0</v>
      </c>
      <c r="AL322" s="46">
        <f t="shared" si="46"/>
        <v>0</v>
      </c>
      <c r="AM322" s="46">
        <f t="shared" si="47"/>
        <v>0</v>
      </c>
      <c r="AN322" s="46"/>
      <c r="AO322" s="119" t="s">
        <v>1197</v>
      </c>
      <c r="AP322" s="38" t="str">
        <f t="shared" si="42"/>
        <v>Exclude</v>
      </c>
    </row>
    <row r="323" spans="1:42" ht="45" hidden="1">
      <c r="A323" s="38" t="str">
        <f t="shared" si="48"/>
        <v>Ausgrid</v>
      </c>
      <c r="B323" s="38" t="s">
        <v>1197</v>
      </c>
      <c r="C323" s="38" t="str">
        <f t="shared" si="43"/>
        <v>Duplicate-TX0112 - Oil Filled Series Reactor (energised) - Generic</v>
      </c>
      <c r="D323" s="38" t="str">
        <f t="shared" si="44"/>
        <v>Duplicate-</v>
      </c>
      <c r="E323" s="413"/>
      <c r="F323" s="43" t="s">
        <v>414</v>
      </c>
      <c r="G323" s="43" t="s">
        <v>872</v>
      </c>
      <c r="X323" s="38">
        <v>1</v>
      </c>
      <c r="Y323" s="38">
        <v>0</v>
      </c>
      <c r="AK323" s="45">
        <f t="shared" si="45"/>
        <v>0</v>
      </c>
      <c r="AL323" s="46">
        <f t="shared" si="46"/>
        <v>0</v>
      </c>
      <c r="AM323" s="46">
        <f t="shared" si="47"/>
        <v>0</v>
      </c>
      <c r="AN323" s="46"/>
      <c r="AO323" s="119" t="s">
        <v>1197</v>
      </c>
      <c r="AP323" s="38" t="str">
        <f t="shared" ref="AP323:AP386" si="49">IFERROR(VLOOKUP(C323,$AR:$AS,2,FALSE),"Exclude")</f>
        <v>Exclude</v>
      </c>
    </row>
    <row r="324" spans="1:42" ht="45" hidden="1">
      <c r="A324" s="38" t="str">
        <f t="shared" si="48"/>
        <v>Ausgrid</v>
      </c>
      <c r="B324" s="38" t="s">
        <v>1197</v>
      </c>
      <c r="C324" s="38" t="str">
        <f t="shared" ref="C324:C387" si="50">B324&amp;"-"&amp;G324</f>
        <v>Duplicate-TX0113 - Oil Filled Series Reactor (energised) - Generic</v>
      </c>
      <c r="D324" s="38" t="str">
        <f t="shared" ref="D324:D387" si="51">B324&amp;"-"&amp;H324</f>
        <v>Duplicate-</v>
      </c>
      <c r="E324" s="413"/>
      <c r="F324" s="43" t="s">
        <v>414</v>
      </c>
      <c r="G324" s="43" t="s">
        <v>873</v>
      </c>
      <c r="X324" s="38">
        <v>2</v>
      </c>
      <c r="Y324" s="38">
        <v>0</v>
      </c>
      <c r="AK324" s="45">
        <f t="shared" ref="AK324:AK387" si="52">SUM(N324:R324)</f>
        <v>0</v>
      </c>
      <c r="AL324" s="46">
        <f t="shared" ref="AL324:AL387" si="53">SUM(Z324:AD324)</f>
        <v>0</v>
      </c>
      <c r="AM324" s="46">
        <f t="shared" ref="AM324:AM387" si="54">SUM(AE324:AI324)</f>
        <v>0</v>
      </c>
      <c r="AN324" s="46"/>
      <c r="AO324" s="119" t="s">
        <v>1197</v>
      </c>
      <c r="AP324" s="38" t="str">
        <f t="shared" si="49"/>
        <v>Exclude</v>
      </c>
    </row>
    <row r="325" spans="1:42" ht="30" hidden="1">
      <c r="A325" s="38" t="str">
        <f t="shared" si="48"/>
        <v>Ausgrid</v>
      </c>
      <c r="B325" s="38" t="s">
        <v>1197</v>
      </c>
      <c r="C325" s="38" t="str">
        <f t="shared" si="50"/>
        <v>Duplicate-TX0114 - Oil Filled Series Reactor - Generic</v>
      </c>
      <c r="D325" s="38" t="str">
        <f t="shared" si="51"/>
        <v>Duplicate-</v>
      </c>
      <c r="E325" s="413"/>
      <c r="F325" s="43" t="s">
        <v>414</v>
      </c>
      <c r="G325" s="43" t="s">
        <v>874</v>
      </c>
      <c r="X325" s="38">
        <v>6</v>
      </c>
      <c r="Y325" s="38">
        <v>0</v>
      </c>
      <c r="AK325" s="45">
        <f t="shared" si="52"/>
        <v>0</v>
      </c>
      <c r="AL325" s="46">
        <f t="shared" si="53"/>
        <v>0</v>
      </c>
      <c r="AM325" s="46">
        <f t="shared" si="54"/>
        <v>0</v>
      </c>
      <c r="AN325" s="46"/>
      <c r="AO325" s="119" t="s">
        <v>1197</v>
      </c>
      <c r="AP325" s="38" t="str">
        <f t="shared" si="49"/>
        <v>Exclude</v>
      </c>
    </row>
    <row r="326" spans="1:42" ht="45" hidden="1">
      <c r="A326" s="38" t="str">
        <f t="shared" si="48"/>
        <v>Ausgrid</v>
      </c>
      <c r="B326" s="38" t="s">
        <v>1197</v>
      </c>
      <c r="C326" s="38" t="str">
        <f t="shared" si="50"/>
        <v>Duplicate-TX0120 - Zone Transformer (de-energised) - 33/11kV Dry Type</v>
      </c>
      <c r="D326" s="38" t="str">
        <f t="shared" si="51"/>
        <v>Duplicate-</v>
      </c>
      <c r="E326" s="413"/>
      <c r="F326" s="43" t="s">
        <v>414</v>
      </c>
      <c r="G326" s="43" t="s">
        <v>875</v>
      </c>
      <c r="X326" s="38">
        <v>0.05</v>
      </c>
      <c r="Y326" s="38">
        <v>0</v>
      </c>
      <c r="AK326" s="45">
        <f t="shared" si="52"/>
        <v>0</v>
      </c>
      <c r="AL326" s="46">
        <f t="shared" si="53"/>
        <v>0</v>
      </c>
      <c r="AM326" s="46">
        <f t="shared" si="54"/>
        <v>0</v>
      </c>
      <c r="AN326" s="46"/>
      <c r="AO326" s="119" t="s">
        <v>1197</v>
      </c>
      <c r="AP326" s="38" t="str">
        <f t="shared" si="49"/>
        <v>Exclude</v>
      </c>
    </row>
    <row r="327" spans="1:42" ht="30" hidden="1">
      <c r="A327" s="38" t="str">
        <f t="shared" si="48"/>
        <v>Ausgrid</v>
      </c>
      <c r="B327" s="38" t="s">
        <v>1197</v>
      </c>
      <c r="C327" s="38" t="str">
        <f t="shared" si="50"/>
        <v>Duplicate-TX0301 - Series Reactor - Dry Type - REACTORS - DRY TYPE</v>
      </c>
      <c r="D327" s="38" t="str">
        <f t="shared" si="51"/>
        <v>Duplicate-</v>
      </c>
      <c r="E327" s="413"/>
      <c r="F327" s="43" t="s">
        <v>414</v>
      </c>
      <c r="G327" s="43" t="s">
        <v>876</v>
      </c>
      <c r="X327" s="38">
        <v>12</v>
      </c>
      <c r="Y327" s="38">
        <v>0</v>
      </c>
      <c r="AK327" s="45">
        <f t="shared" si="52"/>
        <v>0</v>
      </c>
      <c r="AL327" s="46">
        <f t="shared" si="53"/>
        <v>0</v>
      </c>
      <c r="AM327" s="46">
        <f t="shared" si="54"/>
        <v>0</v>
      </c>
      <c r="AN327" s="46"/>
      <c r="AO327" s="119" t="s">
        <v>1197</v>
      </c>
      <c r="AP327" s="38" t="str">
        <f t="shared" si="49"/>
        <v>Exclude</v>
      </c>
    </row>
    <row r="328" spans="1:42" ht="120" hidden="1">
      <c r="A328" s="38" t="str">
        <f t="shared" si="48"/>
        <v>Ausgrid</v>
      </c>
      <c r="B328" s="38" t="s">
        <v>1197</v>
      </c>
      <c r="C328" s="38" t="str">
        <f t="shared" si="50"/>
        <v>Duplicate-TX0501 - Transformers, Reactors and switchgear with compound filled endboxes (greater then 11kV) - ZONE AND SUBTRANSMISSION TRANSFORMERS / OIL FILLED REACTORS</v>
      </c>
      <c r="D328" s="38" t="str">
        <f t="shared" si="51"/>
        <v>Duplicate-</v>
      </c>
      <c r="E328" s="413"/>
      <c r="F328" s="43" t="s">
        <v>414</v>
      </c>
      <c r="G328" s="43" t="s">
        <v>877</v>
      </c>
      <c r="X328" s="38">
        <v>0</v>
      </c>
      <c r="Y328" s="38">
        <v>6</v>
      </c>
      <c r="AK328" s="45">
        <f t="shared" si="52"/>
        <v>0</v>
      </c>
      <c r="AL328" s="46">
        <f t="shared" si="53"/>
        <v>0</v>
      </c>
      <c r="AM328" s="46">
        <f t="shared" si="54"/>
        <v>0</v>
      </c>
      <c r="AN328" s="46"/>
      <c r="AO328" s="119" t="s">
        <v>1197</v>
      </c>
      <c r="AP328" s="38" t="str">
        <f t="shared" si="49"/>
        <v>Exclude</v>
      </c>
    </row>
    <row r="329" spans="1:42" ht="120" hidden="1">
      <c r="A329" s="38" t="str">
        <f t="shared" si="48"/>
        <v>Ausgrid</v>
      </c>
      <c r="B329" s="38" t="s">
        <v>1197</v>
      </c>
      <c r="C329" s="38" t="str">
        <f t="shared" si="50"/>
        <v>Duplicate-TX0501 - Transformers, Reactors and switchgear with compound filled endboxes (greater then 11kV) - ZONE AND SUBTRANSMISSION TRANSFORMERS / OIL FILLED REACTORS</v>
      </c>
      <c r="D329" s="38" t="str">
        <f t="shared" si="51"/>
        <v>Duplicate-</v>
      </c>
      <c r="E329" s="413"/>
      <c r="F329" s="43" t="s">
        <v>414</v>
      </c>
      <c r="G329" s="43" t="s">
        <v>877</v>
      </c>
      <c r="X329" s="38">
        <v>0</v>
      </c>
      <c r="Y329" s="38">
        <v>12</v>
      </c>
      <c r="AK329" s="45">
        <f t="shared" si="52"/>
        <v>0</v>
      </c>
      <c r="AL329" s="46">
        <f t="shared" si="53"/>
        <v>0</v>
      </c>
      <c r="AM329" s="46">
        <f t="shared" si="54"/>
        <v>0</v>
      </c>
      <c r="AN329" s="46"/>
      <c r="AO329" s="119" t="s">
        <v>1197</v>
      </c>
      <c r="AP329" s="38" t="str">
        <f t="shared" si="49"/>
        <v>Exclude</v>
      </c>
    </row>
    <row r="330" spans="1:42" ht="30" hidden="1">
      <c r="A330" s="38" t="str">
        <f t="shared" si="48"/>
        <v>Ausgrid</v>
      </c>
      <c r="B330" s="38" t="s">
        <v>1197</v>
      </c>
      <c r="C330" s="38" t="str">
        <f t="shared" si="50"/>
        <v>Duplicate-TX0601 - Mitsubishi Electric Corporation - SF6 Type</v>
      </c>
      <c r="D330" s="38" t="str">
        <f t="shared" si="51"/>
        <v>Duplicate-</v>
      </c>
      <c r="E330" s="413"/>
      <c r="F330" s="43" t="s">
        <v>414</v>
      </c>
      <c r="G330" s="43" t="s">
        <v>878</v>
      </c>
      <c r="X330" s="38">
        <v>0.25</v>
      </c>
      <c r="Y330" s="38">
        <v>0</v>
      </c>
      <c r="AK330" s="45">
        <f t="shared" si="52"/>
        <v>0</v>
      </c>
      <c r="AL330" s="46">
        <f t="shared" si="53"/>
        <v>0</v>
      </c>
      <c r="AM330" s="46">
        <f t="shared" si="54"/>
        <v>0</v>
      </c>
      <c r="AN330" s="46"/>
      <c r="AO330" s="119" t="s">
        <v>1197</v>
      </c>
      <c r="AP330" s="38" t="str">
        <f t="shared" si="49"/>
        <v>Exclude</v>
      </c>
    </row>
    <row r="331" spans="1:42" ht="30" hidden="1">
      <c r="A331" s="38" t="str">
        <f t="shared" si="48"/>
        <v>Ausgrid</v>
      </c>
      <c r="B331" s="38" t="s">
        <v>1197</v>
      </c>
      <c r="C331" s="38" t="str">
        <f t="shared" si="50"/>
        <v>Duplicate-TX0602 - Mitsubishi Electric Corporation - SF6 Type</v>
      </c>
      <c r="D331" s="38" t="str">
        <f t="shared" si="51"/>
        <v>Duplicate-</v>
      </c>
      <c r="E331" s="413"/>
      <c r="F331" s="43" t="s">
        <v>414</v>
      </c>
      <c r="G331" s="43" t="s">
        <v>879</v>
      </c>
      <c r="X331" s="38">
        <v>0</v>
      </c>
      <c r="Y331" s="38">
        <v>2</v>
      </c>
      <c r="AK331" s="45">
        <f t="shared" si="52"/>
        <v>0</v>
      </c>
      <c r="AL331" s="46">
        <f t="shared" si="53"/>
        <v>0</v>
      </c>
      <c r="AM331" s="46">
        <f t="shared" si="54"/>
        <v>0</v>
      </c>
      <c r="AN331" s="46"/>
      <c r="AO331" s="119" t="s">
        <v>1197</v>
      </c>
      <c r="AP331" s="38" t="str">
        <f t="shared" si="49"/>
        <v>Exclude</v>
      </c>
    </row>
    <row r="332" spans="1:42" ht="30" hidden="1">
      <c r="A332" s="38" t="str">
        <f t="shared" si="48"/>
        <v>Ausgrid</v>
      </c>
      <c r="B332" s="38" t="s">
        <v>1197</v>
      </c>
      <c r="C332" s="38" t="str">
        <f t="shared" si="50"/>
        <v xml:space="preserve">Duplicate-TX0603 - Mitsubishi Electric Corporation - SF6 Type </v>
      </c>
      <c r="D332" s="38" t="str">
        <f t="shared" si="51"/>
        <v>Duplicate-</v>
      </c>
      <c r="E332" s="413"/>
      <c r="F332" s="43" t="s">
        <v>414</v>
      </c>
      <c r="G332" s="43" t="s">
        <v>880</v>
      </c>
      <c r="X332" s="38">
        <v>3</v>
      </c>
      <c r="Y332" s="38">
        <v>0</v>
      </c>
      <c r="AK332" s="45">
        <f t="shared" si="52"/>
        <v>0</v>
      </c>
      <c r="AL332" s="46">
        <f t="shared" si="53"/>
        <v>0</v>
      </c>
      <c r="AM332" s="46">
        <f t="shared" si="54"/>
        <v>0</v>
      </c>
      <c r="AN332" s="46"/>
      <c r="AO332" s="119" t="s">
        <v>1197</v>
      </c>
      <c r="AP332" s="38" t="str">
        <f t="shared" si="49"/>
        <v>Exclude</v>
      </c>
    </row>
    <row r="333" spans="1:42" ht="30" hidden="1">
      <c r="A333" s="38" t="str">
        <f t="shared" si="48"/>
        <v>Ausgrid</v>
      </c>
      <c r="B333" s="38" t="s">
        <v>1197</v>
      </c>
      <c r="C333" s="38" t="str">
        <f t="shared" si="50"/>
        <v xml:space="preserve">Duplicate-TX0604 - Mitsubishi Electric Corporation - SF6 Type </v>
      </c>
      <c r="D333" s="38" t="str">
        <f t="shared" si="51"/>
        <v>Duplicate-</v>
      </c>
      <c r="E333" s="413"/>
      <c r="F333" s="43" t="s">
        <v>414</v>
      </c>
      <c r="G333" s="43" t="s">
        <v>881</v>
      </c>
      <c r="X333" s="38">
        <v>0</v>
      </c>
      <c r="Y333" s="38">
        <v>10</v>
      </c>
      <c r="AK333" s="45">
        <f t="shared" si="52"/>
        <v>0</v>
      </c>
      <c r="AL333" s="46">
        <f t="shared" si="53"/>
        <v>0</v>
      </c>
      <c r="AM333" s="46">
        <f t="shared" si="54"/>
        <v>0</v>
      </c>
      <c r="AN333" s="46"/>
      <c r="AO333" s="119" t="s">
        <v>1197</v>
      </c>
      <c r="AP333" s="38" t="str">
        <f t="shared" si="49"/>
        <v>Exclude</v>
      </c>
    </row>
    <row r="334" spans="1:42" ht="45" hidden="1">
      <c r="A334" s="38" t="str">
        <f t="shared" si="48"/>
        <v>Ausgrid</v>
      </c>
      <c r="B334" s="38" t="s">
        <v>1197</v>
      </c>
      <c r="C334" s="38" t="str">
        <f t="shared" si="50"/>
        <v>Duplicate-TX1002 - Heat Exchanger, SF6/Water heat exchangers - HEAT EXCHANGERS</v>
      </c>
      <c r="D334" s="38" t="str">
        <f t="shared" si="51"/>
        <v>Duplicate-</v>
      </c>
      <c r="E334" s="413"/>
      <c r="F334" s="43" t="s">
        <v>414</v>
      </c>
      <c r="G334" s="43" t="s">
        <v>882</v>
      </c>
      <c r="X334" s="38">
        <v>0</v>
      </c>
      <c r="Y334" s="38">
        <v>1</v>
      </c>
      <c r="AK334" s="45">
        <f t="shared" si="52"/>
        <v>0</v>
      </c>
      <c r="AL334" s="46">
        <f t="shared" si="53"/>
        <v>0</v>
      </c>
      <c r="AM334" s="46">
        <f t="shared" si="54"/>
        <v>0</v>
      </c>
      <c r="AN334" s="46"/>
      <c r="AO334" s="119" t="s">
        <v>1197</v>
      </c>
      <c r="AP334" s="38" t="str">
        <f t="shared" si="49"/>
        <v>Exclude</v>
      </c>
    </row>
    <row r="335" spans="1:42" ht="45" hidden="1">
      <c r="A335" s="38" t="str">
        <f t="shared" si="48"/>
        <v>Ausgrid</v>
      </c>
      <c r="B335" s="38" t="s">
        <v>1197</v>
      </c>
      <c r="C335" s="38" t="str">
        <f t="shared" si="50"/>
        <v>Duplicate-TX8101 - Tapchanger - All types. - TRANSFORMER REGULATORS</v>
      </c>
      <c r="D335" s="38" t="str">
        <f t="shared" si="51"/>
        <v>Duplicate-</v>
      </c>
      <c r="E335" s="413"/>
      <c r="F335" s="43" t="s">
        <v>414</v>
      </c>
      <c r="G335" s="43" t="s">
        <v>883</v>
      </c>
      <c r="X335" s="38">
        <v>0.25</v>
      </c>
      <c r="Y335" s="38">
        <v>0</v>
      </c>
      <c r="AK335" s="45">
        <f t="shared" si="52"/>
        <v>0</v>
      </c>
      <c r="AL335" s="46">
        <f t="shared" si="53"/>
        <v>0</v>
      </c>
      <c r="AM335" s="46">
        <f t="shared" si="54"/>
        <v>0</v>
      </c>
      <c r="AN335" s="46"/>
      <c r="AO335" s="119" t="s">
        <v>1197</v>
      </c>
      <c r="AP335" s="38" t="str">
        <f t="shared" si="49"/>
        <v>Exclude</v>
      </c>
    </row>
    <row r="336" spans="1:42" ht="45" hidden="1">
      <c r="A336" s="38" t="str">
        <f t="shared" si="48"/>
        <v>Ausgrid</v>
      </c>
      <c r="B336" s="38" t="s">
        <v>1197</v>
      </c>
      <c r="C336" s="38" t="str">
        <f t="shared" si="50"/>
        <v>Duplicate-TX8104 - Tapchanger, Motorbox - Reinhausen MA Type</v>
      </c>
      <c r="D336" s="38" t="str">
        <f t="shared" si="51"/>
        <v>Duplicate-</v>
      </c>
      <c r="E336" s="413"/>
      <c r="F336" s="43" t="s">
        <v>414</v>
      </c>
      <c r="G336" s="43" t="s">
        <v>884</v>
      </c>
      <c r="X336" s="38">
        <v>6</v>
      </c>
      <c r="Y336" s="38">
        <v>0</v>
      </c>
      <c r="AK336" s="45">
        <f t="shared" si="52"/>
        <v>0</v>
      </c>
      <c r="AL336" s="46">
        <f t="shared" si="53"/>
        <v>0</v>
      </c>
      <c r="AM336" s="46">
        <f t="shared" si="54"/>
        <v>0</v>
      </c>
      <c r="AN336" s="46"/>
      <c r="AO336" s="119" t="s">
        <v>1197</v>
      </c>
      <c r="AP336" s="38" t="str">
        <f t="shared" si="49"/>
        <v>Exclude</v>
      </c>
    </row>
    <row r="337" spans="1:42" ht="60" hidden="1">
      <c r="A337" s="38" t="str">
        <f t="shared" si="48"/>
        <v>Ausgrid</v>
      </c>
      <c r="B337" s="38" t="s">
        <v>1197</v>
      </c>
      <c r="C337" s="38" t="str">
        <f t="shared" si="50"/>
        <v>Duplicate-TX8102 - Tapchanger - Reinhausen C types - AUTO TAP CHANGERS - REINHAUSEN</v>
      </c>
      <c r="D337" s="38" t="str">
        <f t="shared" si="51"/>
        <v>Duplicate-</v>
      </c>
      <c r="E337" s="413"/>
      <c r="F337" s="43" t="s">
        <v>414</v>
      </c>
      <c r="G337" s="43" t="s">
        <v>885</v>
      </c>
      <c r="X337" s="38">
        <v>0</v>
      </c>
      <c r="Y337" s="38">
        <v>6</v>
      </c>
      <c r="AK337" s="45">
        <f t="shared" si="52"/>
        <v>0</v>
      </c>
      <c r="AL337" s="46">
        <f t="shared" si="53"/>
        <v>0</v>
      </c>
      <c r="AM337" s="46">
        <f t="shared" si="54"/>
        <v>0</v>
      </c>
      <c r="AN337" s="46"/>
      <c r="AO337" s="119" t="s">
        <v>1197</v>
      </c>
      <c r="AP337" s="38" t="str">
        <f t="shared" si="49"/>
        <v>Exclude</v>
      </c>
    </row>
    <row r="338" spans="1:42" ht="60" hidden="1">
      <c r="A338" s="38" t="str">
        <f t="shared" si="48"/>
        <v>Ausgrid</v>
      </c>
      <c r="B338" s="38" t="s">
        <v>1197</v>
      </c>
      <c r="C338" s="38" t="str">
        <f t="shared" si="50"/>
        <v>Duplicate-TX8105 - Tapchanger, Motorbox - Reinhausen MA Type - AUTO TAP CHANGERS - REINHAUSEN</v>
      </c>
      <c r="D338" s="38" t="str">
        <f t="shared" si="51"/>
        <v>Duplicate-</v>
      </c>
      <c r="E338" s="413"/>
      <c r="F338" s="43" t="s">
        <v>414</v>
      </c>
      <c r="G338" s="43" t="s">
        <v>886</v>
      </c>
      <c r="X338" s="38">
        <v>0</v>
      </c>
      <c r="Y338" s="38">
        <v>12</v>
      </c>
      <c r="AK338" s="45">
        <f t="shared" si="52"/>
        <v>0</v>
      </c>
      <c r="AL338" s="46">
        <f t="shared" si="53"/>
        <v>0</v>
      </c>
      <c r="AM338" s="46">
        <f t="shared" si="54"/>
        <v>0</v>
      </c>
      <c r="AN338" s="46"/>
      <c r="AO338" s="119" t="s">
        <v>1197</v>
      </c>
      <c r="AP338" s="38" t="str">
        <f t="shared" si="49"/>
        <v>Exclude</v>
      </c>
    </row>
    <row r="339" spans="1:42" ht="60" hidden="1">
      <c r="A339" s="38" t="str">
        <f t="shared" si="48"/>
        <v>Ausgrid</v>
      </c>
      <c r="B339" s="38" t="s">
        <v>1197</v>
      </c>
      <c r="C339" s="38" t="str">
        <f t="shared" si="50"/>
        <v>Duplicate-TX8106 - Tapchanger, Motorbox - Reinhausen MA4 Type only - AUTO TAP CHANGERS - REINHAUSEN</v>
      </c>
      <c r="D339" s="38" t="str">
        <f t="shared" si="51"/>
        <v>Duplicate-</v>
      </c>
      <c r="E339" s="413"/>
      <c r="F339" s="43" t="s">
        <v>414</v>
      </c>
      <c r="G339" s="43" t="s">
        <v>887</v>
      </c>
      <c r="X339" s="38">
        <v>0</v>
      </c>
      <c r="Y339" s="38">
        <v>24</v>
      </c>
      <c r="AK339" s="45">
        <f t="shared" si="52"/>
        <v>0</v>
      </c>
      <c r="AL339" s="46">
        <f t="shared" si="53"/>
        <v>0</v>
      </c>
      <c r="AM339" s="46">
        <f t="shared" si="54"/>
        <v>0</v>
      </c>
      <c r="AN339" s="46"/>
      <c r="AO339" s="119" t="s">
        <v>1197</v>
      </c>
      <c r="AP339" s="38" t="str">
        <f t="shared" si="49"/>
        <v>Exclude</v>
      </c>
    </row>
    <row r="340" spans="1:42" ht="60" hidden="1">
      <c r="A340" s="38" t="str">
        <f t="shared" si="48"/>
        <v>Ausgrid</v>
      </c>
      <c r="B340" s="38" t="s">
        <v>1197</v>
      </c>
      <c r="C340" s="38" t="str">
        <f t="shared" si="50"/>
        <v>Duplicate-TX8117 - Transformer  - Reinhausen V type tap changer - AUTO TAP CHANGERS - REINHAUSEN</v>
      </c>
      <c r="D340" s="38" t="str">
        <f t="shared" si="51"/>
        <v>Duplicate-</v>
      </c>
      <c r="E340" s="413"/>
      <c r="F340" s="43" t="s">
        <v>414</v>
      </c>
      <c r="G340" s="43" t="s">
        <v>888</v>
      </c>
      <c r="X340" s="38">
        <v>0</v>
      </c>
      <c r="Y340" s="38">
        <v>6</v>
      </c>
      <c r="AK340" s="45">
        <f t="shared" si="52"/>
        <v>0</v>
      </c>
      <c r="AL340" s="46">
        <f t="shared" si="53"/>
        <v>0</v>
      </c>
      <c r="AM340" s="46">
        <f t="shared" si="54"/>
        <v>0</v>
      </c>
      <c r="AN340" s="46"/>
      <c r="AO340" s="119" t="s">
        <v>1197</v>
      </c>
      <c r="AP340" s="38" t="str">
        <f t="shared" si="49"/>
        <v>Exclude</v>
      </c>
    </row>
    <row r="341" spans="1:42" ht="60" hidden="1">
      <c r="A341" s="38" t="str">
        <f t="shared" si="48"/>
        <v>Ausgrid</v>
      </c>
      <c r="B341" s="38" t="s">
        <v>1197</v>
      </c>
      <c r="C341" s="38" t="str">
        <f t="shared" si="50"/>
        <v>Duplicate-TX8107 - Transformer  - Reinhausen D type tap changer - AUTO TAP CHANGERS - REINHAUSEN</v>
      </c>
      <c r="D341" s="38" t="str">
        <f t="shared" si="51"/>
        <v>Duplicate-</v>
      </c>
      <c r="E341" s="413"/>
      <c r="F341" s="43" t="s">
        <v>414</v>
      </c>
      <c r="G341" s="43" t="s">
        <v>889</v>
      </c>
      <c r="X341" s="38">
        <v>0</v>
      </c>
      <c r="Y341" s="38">
        <v>6</v>
      </c>
      <c r="AK341" s="45">
        <f t="shared" si="52"/>
        <v>0</v>
      </c>
      <c r="AL341" s="46">
        <f t="shared" si="53"/>
        <v>0</v>
      </c>
      <c r="AM341" s="46">
        <f t="shared" si="54"/>
        <v>0</v>
      </c>
      <c r="AN341" s="46"/>
      <c r="AO341" s="119" t="s">
        <v>1197</v>
      </c>
      <c r="AP341" s="38" t="str">
        <f t="shared" si="49"/>
        <v>Exclude</v>
      </c>
    </row>
    <row r="342" spans="1:42" ht="60" hidden="1">
      <c r="A342" s="38" t="str">
        <f t="shared" si="48"/>
        <v>Ausgrid</v>
      </c>
      <c r="B342" s="38" t="s">
        <v>1197</v>
      </c>
      <c r="C342" s="38" t="str">
        <f t="shared" si="50"/>
        <v>Duplicate-TX8108 - Transformer  - Reinhausen D type tap changer - AUTO TAP CHANGERS - REINHAUSEN</v>
      </c>
      <c r="D342" s="38" t="str">
        <f t="shared" si="51"/>
        <v>Duplicate-</v>
      </c>
      <c r="E342" s="413"/>
      <c r="F342" s="43" t="s">
        <v>414</v>
      </c>
      <c r="G342" s="43" t="s">
        <v>890</v>
      </c>
      <c r="X342" s="38">
        <v>0</v>
      </c>
      <c r="Y342" s="38">
        <v>12</v>
      </c>
      <c r="AK342" s="45">
        <f t="shared" si="52"/>
        <v>0</v>
      </c>
      <c r="AL342" s="46">
        <f t="shared" si="53"/>
        <v>0</v>
      </c>
      <c r="AM342" s="46">
        <f t="shared" si="54"/>
        <v>0</v>
      </c>
      <c r="AN342" s="46"/>
      <c r="AO342" s="119" t="s">
        <v>1197</v>
      </c>
      <c r="AP342" s="38" t="str">
        <f t="shared" si="49"/>
        <v>Exclude</v>
      </c>
    </row>
    <row r="343" spans="1:42" ht="45" hidden="1">
      <c r="A343" s="38" t="str">
        <f t="shared" si="48"/>
        <v>Ausgrid</v>
      </c>
      <c r="B343" s="38" t="s">
        <v>1197</v>
      </c>
      <c r="C343" s="38" t="str">
        <f t="shared" si="50"/>
        <v>Duplicate-TX8101 - Tapchanger - All types. - AUTO TAP CHANGERS - REINHAUSEN</v>
      </c>
      <c r="D343" s="38" t="str">
        <f t="shared" si="51"/>
        <v>Duplicate-</v>
      </c>
      <c r="E343" s="413"/>
      <c r="F343" s="43" t="s">
        <v>414</v>
      </c>
      <c r="G343" s="43" t="s">
        <v>891</v>
      </c>
      <c r="X343" s="38">
        <v>0.25</v>
      </c>
      <c r="Y343" s="38">
        <v>0</v>
      </c>
      <c r="AK343" s="45">
        <f t="shared" si="52"/>
        <v>0</v>
      </c>
      <c r="AL343" s="46">
        <f t="shared" si="53"/>
        <v>0</v>
      </c>
      <c r="AM343" s="46">
        <f t="shared" si="54"/>
        <v>0</v>
      </c>
      <c r="AN343" s="46"/>
      <c r="AO343" s="119" t="s">
        <v>1197</v>
      </c>
      <c r="AP343" s="38" t="str">
        <f t="shared" si="49"/>
        <v>Exclude</v>
      </c>
    </row>
    <row r="344" spans="1:42" ht="60" hidden="1">
      <c r="A344" s="38" t="str">
        <f t="shared" si="48"/>
        <v>Ausgrid</v>
      </c>
      <c r="B344" s="38" t="s">
        <v>1197</v>
      </c>
      <c r="C344" s="38" t="str">
        <f t="shared" si="50"/>
        <v>Duplicate-TX8110 - Transformer  - Reinhausen M type tap changer - AUTO TAP CHANGERS - REINHAUSEN</v>
      </c>
      <c r="D344" s="38" t="str">
        <f t="shared" si="51"/>
        <v>Duplicate-</v>
      </c>
      <c r="E344" s="413"/>
      <c r="F344" s="43" t="s">
        <v>414</v>
      </c>
      <c r="G344" s="43" t="s">
        <v>892</v>
      </c>
      <c r="X344" s="38">
        <v>0</v>
      </c>
      <c r="Y344" s="38">
        <v>6</v>
      </c>
      <c r="AK344" s="45">
        <f t="shared" si="52"/>
        <v>0</v>
      </c>
      <c r="AL344" s="46">
        <f t="shared" si="53"/>
        <v>0</v>
      </c>
      <c r="AM344" s="46">
        <f t="shared" si="54"/>
        <v>0</v>
      </c>
      <c r="AN344" s="46"/>
      <c r="AO344" s="119" t="s">
        <v>1197</v>
      </c>
      <c r="AP344" s="38" t="str">
        <f t="shared" si="49"/>
        <v>Exclude</v>
      </c>
    </row>
    <row r="345" spans="1:42" ht="60" hidden="1">
      <c r="A345" s="38" t="str">
        <f t="shared" si="48"/>
        <v>Ausgrid</v>
      </c>
      <c r="B345" s="38" t="s">
        <v>1197</v>
      </c>
      <c r="C345" s="38" t="str">
        <f t="shared" si="50"/>
        <v>Duplicate-TX8118 - Transformer  - Reinhausen R &amp; T type tap changer - AUTO TAP CHANGERS - REINHAUSEN</v>
      </c>
      <c r="D345" s="38" t="str">
        <f t="shared" si="51"/>
        <v>Duplicate-</v>
      </c>
      <c r="E345" s="413"/>
      <c r="F345" s="43" t="s">
        <v>414</v>
      </c>
      <c r="G345" s="43" t="s">
        <v>893</v>
      </c>
      <c r="X345" s="38">
        <v>0</v>
      </c>
      <c r="Y345" s="38">
        <v>6</v>
      </c>
      <c r="AK345" s="45">
        <f t="shared" si="52"/>
        <v>0</v>
      </c>
      <c r="AL345" s="46">
        <f t="shared" si="53"/>
        <v>0</v>
      </c>
      <c r="AM345" s="46">
        <f t="shared" si="54"/>
        <v>0</v>
      </c>
      <c r="AN345" s="46"/>
      <c r="AO345" s="119" t="s">
        <v>1197</v>
      </c>
      <c r="AP345" s="38" t="str">
        <f t="shared" si="49"/>
        <v>Exclude</v>
      </c>
    </row>
    <row r="346" spans="1:42" ht="60" hidden="1">
      <c r="A346" s="38" t="str">
        <f t="shared" si="48"/>
        <v>Ausgrid</v>
      </c>
      <c r="B346" s="38" t="s">
        <v>1197</v>
      </c>
      <c r="C346" s="38" t="str">
        <f t="shared" si="50"/>
        <v>Duplicate-TX8119 - Transformer  - Reinhausen R &amp; T type tap changer - AUTO TAP CHANGERS - REINHAUSEN</v>
      </c>
      <c r="D346" s="38" t="str">
        <f t="shared" si="51"/>
        <v>Duplicate-</v>
      </c>
      <c r="E346" s="413"/>
      <c r="F346" s="43" t="s">
        <v>414</v>
      </c>
      <c r="G346" s="43" t="s">
        <v>894</v>
      </c>
      <c r="X346" s="38">
        <v>0</v>
      </c>
      <c r="Y346" s="38">
        <v>48</v>
      </c>
      <c r="AK346" s="45">
        <f t="shared" si="52"/>
        <v>0</v>
      </c>
      <c r="AL346" s="46">
        <f t="shared" si="53"/>
        <v>0</v>
      </c>
      <c r="AM346" s="46">
        <f t="shared" si="54"/>
        <v>0</v>
      </c>
      <c r="AN346" s="46"/>
      <c r="AO346" s="119" t="s">
        <v>1197</v>
      </c>
      <c r="AP346" s="38" t="str">
        <f t="shared" si="49"/>
        <v>Exclude</v>
      </c>
    </row>
    <row r="347" spans="1:42" ht="60" hidden="1">
      <c r="A347" s="38" t="str">
        <f t="shared" si="48"/>
        <v>Ausgrid</v>
      </c>
      <c r="B347" s="38" t="s">
        <v>1197</v>
      </c>
      <c r="C347" s="38" t="str">
        <f t="shared" si="50"/>
        <v>Duplicate-TX8114 - Transformer  - Reinhausen F type tap changer - AUTO TAP CHANGERS - REINHAUSEN</v>
      </c>
      <c r="D347" s="38" t="str">
        <f t="shared" si="51"/>
        <v>Duplicate-</v>
      </c>
      <c r="E347" s="413"/>
      <c r="F347" s="43" t="s">
        <v>414</v>
      </c>
      <c r="G347" s="43" t="s">
        <v>895</v>
      </c>
      <c r="X347" s="38">
        <v>0</v>
      </c>
      <c r="Y347" s="38">
        <v>6</v>
      </c>
      <c r="AK347" s="45">
        <f t="shared" si="52"/>
        <v>0</v>
      </c>
      <c r="AL347" s="46">
        <f t="shared" si="53"/>
        <v>0</v>
      </c>
      <c r="AM347" s="46">
        <f t="shared" si="54"/>
        <v>0</v>
      </c>
      <c r="AN347" s="46"/>
      <c r="AO347" s="119" t="s">
        <v>1197</v>
      </c>
      <c r="AP347" s="38" t="str">
        <f t="shared" si="49"/>
        <v>Exclude</v>
      </c>
    </row>
    <row r="348" spans="1:42" ht="60" hidden="1">
      <c r="A348" s="38" t="str">
        <f t="shared" si="48"/>
        <v>Ausgrid</v>
      </c>
      <c r="B348" s="38" t="s">
        <v>1197</v>
      </c>
      <c r="C348" s="38" t="str">
        <f t="shared" si="50"/>
        <v>Duplicate-TX8115 - Transformer  - Reinhausen F type tap changer - AUTO TAP CHANGERS - REINHAUSEN</v>
      </c>
      <c r="D348" s="38" t="str">
        <f t="shared" si="51"/>
        <v>Duplicate-</v>
      </c>
      <c r="E348" s="413"/>
      <c r="F348" s="43" t="s">
        <v>414</v>
      </c>
      <c r="G348" s="43" t="s">
        <v>896</v>
      </c>
      <c r="X348" s="38">
        <v>0</v>
      </c>
      <c r="Y348" s="38">
        <v>12</v>
      </c>
      <c r="AK348" s="45">
        <f t="shared" si="52"/>
        <v>0</v>
      </c>
      <c r="AL348" s="46">
        <f t="shared" si="53"/>
        <v>0</v>
      </c>
      <c r="AM348" s="46">
        <f t="shared" si="54"/>
        <v>0</v>
      </c>
      <c r="AN348" s="46"/>
      <c r="AO348" s="119" t="s">
        <v>1197</v>
      </c>
      <c r="AP348" s="38" t="str">
        <f t="shared" si="49"/>
        <v>Exclude</v>
      </c>
    </row>
    <row r="349" spans="1:42" ht="60" hidden="1">
      <c r="A349" s="38" t="str">
        <f t="shared" si="48"/>
        <v>Ausgrid</v>
      </c>
      <c r="B349" s="38" t="s">
        <v>1197</v>
      </c>
      <c r="C349" s="38" t="str">
        <f t="shared" si="50"/>
        <v>Duplicate-TX8116 - Transformer  - Reinhausen F type tap changer - AUTO TAP CHANGERS - REINHAUSEN</v>
      </c>
      <c r="D349" s="38" t="str">
        <f t="shared" si="51"/>
        <v>Duplicate-</v>
      </c>
      <c r="E349" s="413"/>
      <c r="F349" s="43" t="s">
        <v>414</v>
      </c>
      <c r="G349" s="43" t="s">
        <v>897</v>
      </c>
      <c r="X349" s="38">
        <v>0</v>
      </c>
      <c r="Y349" s="38">
        <v>36</v>
      </c>
      <c r="AK349" s="45">
        <f t="shared" si="52"/>
        <v>0</v>
      </c>
      <c r="AL349" s="46">
        <f t="shared" si="53"/>
        <v>0</v>
      </c>
      <c r="AM349" s="46">
        <f t="shared" si="54"/>
        <v>0</v>
      </c>
      <c r="AN349" s="46"/>
      <c r="AO349" s="119" t="s">
        <v>1197</v>
      </c>
      <c r="AP349" s="38" t="str">
        <f t="shared" si="49"/>
        <v>Exclude</v>
      </c>
    </row>
    <row r="350" spans="1:42" ht="60" hidden="1">
      <c r="A350" s="38" t="str">
        <f t="shared" si="48"/>
        <v>Ausgrid</v>
      </c>
      <c r="B350" s="38" t="s">
        <v>1197</v>
      </c>
      <c r="C350" s="38" t="str">
        <f t="shared" si="50"/>
        <v>Duplicate-TX8116 - Transformer  - Reinhausen F type tap changer - AUTO TAP CHANGERS - REINHAUSEN</v>
      </c>
      <c r="D350" s="38" t="str">
        <f t="shared" si="51"/>
        <v>Duplicate-</v>
      </c>
      <c r="E350" s="413"/>
      <c r="F350" s="43" t="s">
        <v>414</v>
      </c>
      <c r="G350" s="43" t="s">
        <v>897</v>
      </c>
      <c r="X350" s="38">
        <v>0</v>
      </c>
      <c r="Y350" s="38">
        <v>48</v>
      </c>
      <c r="AK350" s="45">
        <f t="shared" si="52"/>
        <v>0</v>
      </c>
      <c r="AL350" s="46">
        <f t="shared" si="53"/>
        <v>0</v>
      </c>
      <c r="AM350" s="46">
        <f t="shared" si="54"/>
        <v>0</v>
      </c>
      <c r="AN350" s="46"/>
      <c r="AO350" s="119" t="s">
        <v>1197</v>
      </c>
      <c r="AP350" s="38" t="str">
        <f t="shared" si="49"/>
        <v>Exclude</v>
      </c>
    </row>
    <row r="351" spans="1:42" ht="60" hidden="1">
      <c r="A351" s="38" t="str">
        <f t="shared" si="48"/>
        <v>Ausgrid</v>
      </c>
      <c r="B351" s="38" t="s">
        <v>1197</v>
      </c>
      <c r="C351" s="38" t="str">
        <f t="shared" si="50"/>
        <v>Duplicate-TX8120 - Tapchanger - Reinhausen Vacutap - AUTO TAP CHANGERS - REINHAUSEN</v>
      </c>
      <c r="D351" s="38" t="str">
        <f t="shared" si="51"/>
        <v>Duplicate-</v>
      </c>
      <c r="E351" s="413"/>
      <c r="F351" s="43" t="s">
        <v>414</v>
      </c>
      <c r="G351" s="43" t="s">
        <v>898</v>
      </c>
      <c r="X351" s="38">
        <v>0</v>
      </c>
      <c r="Y351" s="38">
        <v>0.5</v>
      </c>
      <c r="AK351" s="45">
        <f t="shared" si="52"/>
        <v>0</v>
      </c>
      <c r="AL351" s="46">
        <f t="shared" si="53"/>
        <v>0</v>
      </c>
      <c r="AM351" s="46">
        <f t="shared" si="54"/>
        <v>0</v>
      </c>
      <c r="AN351" s="46"/>
      <c r="AO351" s="119" t="s">
        <v>1197</v>
      </c>
      <c r="AP351" s="38" t="str">
        <f t="shared" si="49"/>
        <v>Exclude</v>
      </c>
    </row>
    <row r="352" spans="1:42" ht="60" hidden="1">
      <c r="A352" s="38" t="str">
        <f t="shared" si="48"/>
        <v>Ausgrid</v>
      </c>
      <c r="B352" s="38" t="s">
        <v>1197</v>
      </c>
      <c r="C352" s="38" t="str">
        <f t="shared" si="50"/>
        <v>Duplicate-TX8124 - Tapchanger, Motorbox - Reinhausen ED 100 / 200 Types - AUTO TAP CHANGERS - REINHAUSEN</v>
      </c>
      <c r="D352" s="38" t="str">
        <f t="shared" si="51"/>
        <v>Duplicate-</v>
      </c>
      <c r="E352" s="413"/>
      <c r="F352" s="43" t="s">
        <v>414</v>
      </c>
      <c r="G352" s="43" t="s">
        <v>899</v>
      </c>
      <c r="X352" s="38">
        <v>0</v>
      </c>
      <c r="Y352" s="38">
        <v>6</v>
      </c>
      <c r="AK352" s="45">
        <f t="shared" si="52"/>
        <v>0</v>
      </c>
      <c r="AL352" s="46">
        <f t="shared" si="53"/>
        <v>0</v>
      </c>
      <c r="AM352" s="46">
        <f t="shared" si="54"/>
        <v>0</v>
      </c>
      <c r="AN352" s="46"/>
      <c r="AO352" s="119" t="s">
        <v>1197</v>
      </c>
      <c r="AP352" s="38" t="str">
        <f t="shared" si="49"/>
        <v>Exclude</v>
      </c>
    </row>
    <row r="353" spans="1:42" hidden="1">
      <c r="A353" s="38" t="str">
        <f t="shared" si="48"/>
        <v>Ausgrid</v>
      </c>
      <c r="B353" s="38" t="s">
        <v>1197</v>
      </c>
      <c r="C353" s="38" t="str">
        <f t="shared" si="50"/>
        <v>Duplicate-</v>
      </c>
      <c r="D353" s="38" t="str">
        <f t="shared" si="51"/>
        <v>Duplicate-</v>
      </c>
      <c r="E353" s="413"/>
      <c r="F353" s="43" t="s">
        <v>414</v>
      </c>
      <c r="X353" s="38">
        <v>0</v>
      </c>
      <c r="Y353" s="38">
        <v>0</v>
      </c>
      <c r="AK353" s="45">
        <f t="shared" si="52"/>
        <v>0</v>
      </c>
      <c r="AL353" s="46">
        <f t="shared" si="53"/>
        <v>0</v>
      </c>
      <c r="AM353" s="46">
        <f t="shared" si="54"/>
        <v>0</v>
      </c>
      <c r="AN353" s="46"/>
      <c r="AO353" s="119" t="s">
        <v>1197</v>
      </c>
      <c r="AP353" s="38" t="str">
        <f t="shared" si="49"/>
        <v>Exclude</v>
      </c>
    </row>
    <row r="354" spans="1:42" ht="60" hidden="1">
      <c r="A354" s="38" t="str">
        <f t="shared" si="48"/>
        <v>Ausgrid</v>
      </c>
      <c r="B354" s="38" t="s">
        <v>1197</v>
      </c>
      <c r="C354" s="38" t="str">
        <f t="shared" si="50"/>
        <v>Duplicate-TX8205 - Transformer  - AEI / MV  M21, M23 and M52 Type Tapchanger  - AUTO TAP CHANGERS - AEI</v>
      </c>
      <c r="D354" s="38" t="str">
        <f t="shared" si="51"/>
        <v>Duplicate-</v>
      </c>
      <c r="E354" s="413"/>
      <c r="F354" s="43" t="s">
        <v>414</v>
      </c>
      <c r="G354" s="43" t="s">
        <v>900</v>
      </c>
      <c r="X354" s="38">
        <v>0</v>
      </c>
      <c r="Y354" s="38">
        <v>2</v>
      </c>
      <c r="AK354" s="45">
        <f t="shared" si="52"/>
        <v>0</v>
      </c>
      <c r="AL354" s="46">
        <f t="shared" si="53"/>
        <v>0</v>
      </c>
      <c r="AM354" s="46">
        <f t="shared" si="54"/>
        <v>0</v>
      </c>
      <c r="AN354" s="46"/>
      <c r="AO354" s="119" t="s">
        <v>1197</v>
      </c>
      <c r="AP354" s="38" t="str">
        <f t="shared" si="49"/>
        <v>Exclude</v>
      </c>
    </row>
    <row r="355" spans="1:42" ht="60" hidden="1">
      <c r="A355" s="38" t="str">
        <f t="shared" si="48"/>
        <v>Ausgrid</v>
      </c>
      <c r="B355" s="38" t="s">
        <v>1197</v>
      </c>
      <c r="C355" s="38" t="str">
        <f t="shared" si="50"/>
        <v>Duplicate-TX8206 - Transformer  - AEI / MV  M21, M23 and M52 Type Tapchanger  - AUTO TAP CHANGERS - AEI</v>
      </c>
      <c r="D355" s="38" t="str">
        <f t="shared" si="51"/>
        <v>Duplicate-</v>
      </c>
      <c r="E355" s="413"/>
      <c r="F355" s="43" t="s">
        <v>414</v>
      </c>
      <c r="G355" s="43" t="s">
        <v>901</v>
      </c>
      <c r="X355" s="38">
        <v>0</v>
      </c>
      <c r="Y355" s="38">
        <v>6</v>
      </c>
      <c r="AK355" s="45">
        <f t="shared" si="52"/>
        <v>0</v>
      </c>
      <c r="AL355" s="46">
        <f t="shared" si="53"/>
        <v>0</v>
      </c>
      <c r="AM355" s="46">
        <f t="shared" si="54"/>
        <v>0</v>
      </c>
      <c r="AN355" s="46"/>
      <c r="AO355" s="119" t="s">
        <v>1197</v>
      </c>
      <c r="AP355" s="38" t="str">
        <f t="shared" si="49"/>
        <v>Exclude</v>
      </c>
    </row>
    <row r="356" spans="1:42" ht="45" hidden="1">
      <c r="A356" s="38" t="str">
        <f t="shared" si="48"/>
        <v>Ausgrid</v>
      </c>
      <c r="B356" s="38" t="s">
        <v>1197</v>
      </c>
      <c r="C356" s="38" t="str">
        <f t="shared" si="50"/>
        <v>Duplicate-TX8301 - Transformer, Tapchanger, Ferranti DS2/ES3</v>
      </c>
      <c r="D356" s="38" t="str">
        <f t="shared" si="51"/>
        <v>Duplicate-</v>
      </c>
      <c r="E356" s="413"/>
      <c r="F356" s="43" t="s">
        <v>414</v>
      </c>
      <c r="G356" s="43" t="s">
        <v>902</v>
      </c>
      <c r="X356" s="38">
        <v>3</v>
      </c>
      <c r="Y356" s="38">
        <v>3</v>
      </c>
      <c r="AK356" s="45">
        <f t="shared" si="52"/>
        <v>0</v>
      </c>
      <c r="AL356" s="46">
        <f t="shared" si="53"/>
        <v>0</v>
      </c>
      <c r="AM356" s="46">
        <f t="shared" si="54"/>
        <v>0</v>
      </c>
      <c r="AN356" s="46"/>
      <c r="AO356" s="119" t="s">
        <v>1197</v>
      </c>
      <c r="AP356" s="38" t="str">
        <f t="shared" si="49"/>
        <v>Exclude</v>
      </c>
    </row>
    <row r="357" spans="1:42" ht="45" hidden="1">
      <c r="A357" s="38" t="str">
        <f t="shared" si="48"/>
        <v>Ausgrid</v>
      </c>
      <c r="B357" s="38" t="s">
        <v>1197</v>
      </c>
      <c r="C357" s="38" t="str">
        <f t="shared" si="50"/>
        <v xml:space="preserve">Duplicate-TX8302 - Transformer  - Ferranti Rotary, FRT and FC4 Type Tapchanger </v>
      </c>
      <c r="D357" s="38" t="str">
        <f t="shared" si="51"/>
        <v>Duplicate-</v>
      </c>
      <c r="E357" s="413"/>
      <c r="F357" s="43" t="s">
        <v>414</v>
      </c>
      <c r="G357" s="43" t="s">
        <v>903</v>
      </c>
      <c r="X357" s="38">
        <v>1</v>
      </c>
      <c r="Y357" s="38">
        <v>1</v>
      </c>
      <c r="AK357" s="45">
        <f t="shared" si="52"/>
        <v>0</v>
      </c>
      <c r="AL357" s="46">
        <f t="shared" si="53"/>
        <v>0</v>
      </c>
      <c r="AM357" s="46">
        <f t="shared" si="54"/>
        <v>0</v>
      </c>
      <c r="AN357" s="46"/>
      <c r="AO357" s="119" t="s">
        <v>1197</v>
      </c>
      <c r="AP357" s="38" t="str">
        <f t="shared" si="49"/>
        <v>Exclude</v>
      </c>
    </row>
    <row r="358" spans="1:42" ht="45" hidden="1">
      <c r="A358" s="38" t="str">
        <f t="shared" si="48"/>
        <v>Ausgrid</v>
      </c>
      <c r="B358" s="38" t="s">
        <v>1197</v>
      </c>
      <c r="C358" s="38" t="str">
        <f t="shared" si="50"/>
        <v xml:space="preserve">Duplicate-TX8303- Transformer  - Ferranti Rotary, FRT and FC4 Type Tapchanger </v>
      </c>
      <c r="D358" s="38" t="str">
        <f t="shared" si="51"/>
        <v>Duplicate-</v>
      </c>
      <c r="E358" s="413"/>
      <c r="F358" s="43" t="s">
        <v>414</v>
      </c>
      <c r="G358" s="43" t="s">
        <v>904</v>
      </c>
      <c r="X358" s="38">
        <v>6</v>
      </c>
      <c r="Y358" s="38">
        <v>6</v>
      </c>
      <c r="AK358" s="45">
        <f t="shared" si="52"/>
        <v>0</v>
      </c>
      <c r="AL358" s="46">
        <f t="shared" si="53"/>
        <v>0</v>
      </c>
      <c r="AM358" s="46">
        <f t="shared" si="54"/>
        <v>0</v>
      </c>
      <c r="AN358" s="46"/>
      <c r="AO358" s="119" t="s">
        <v>1197</v>
      </c>
      <c r="AP358" s="38" t="str">
        <f t="shared" si="49"/>
        <v>Exclude</v>
      </c>
    </row>
    <row r="359" spans="1:42" ht="45" hidden="1">
      <c r="A359" s="38" t="str">
        <f t="shared" si="48"/>
        <v>Ausgrid</v>
      </c>
      <c r="B359" s="38" t="s">
        <v>1197</v>
      </c>
      <c r="C359" s="38" t="str">
        <f t="shared" si="50"/>
        <v xml:space="preserve">Duplicate-TX8304 - Transformer  - Ferranti Rotary, FRT and FC4 Type Tapchanger </v>
      </c>
      <c r="D359" s="38" t="str">
        <f t="shared" si="51"/>
        <v>Duplicate-</v>
      </c>
      <c r="E359" s="413"/>
      <c r="F359" s="43" t="s">
        <v>414</v>
      </c>
      <c r="G359" s="43" t="s">
        <v>905</v>
      </c>
      <c r="X359" s="38">
        <v>12</v>
      </c>
      <c r="Y359" s="38">
        <v>12</v>
      </c>
      <c r="AK359" s="45">
        <f t="shared" si="52"/>
        <v>0</v>
      </c>
      <c r="AL359" s="46">
        <f t="shared" si="53"/>
        <v>0</v>
      </c>
      <c r="AM359" s="46">
        <f t="shared" si="54"/>
        <v>0</v>
      </c>
      <c r="AN359" s="46"/>
      <c r="AO359" s="119" t="s">
        <v>1197</v>
      </c>
      <c r="AP359" s="38" t="str">
        <f t="shared" si="49"/>
        <v>Exclude</v>
      </c>
    </row>
    <row r="360" spans="1:42" ht="30" hidden="1">
      <c r="A360" s="38" t="str">
        <f t="shared" si="48"/>
        <v>Ausgrid</v>
      </c>
      <c r="B360" s="38" t="s">
        <v>1197</v>
      </c>
      <c r="C360" s="38" t="str">
        <f t="shared" si="50"/>
        <v>Duplicate-TX8401 - Transformer  - ABB Type UZE/UZF tap changers</v>
      </c>
      <c r="D360" s="38" t="str">
        <f t="shared" si="51"/>
        <v>Duplicate-</v>
      </c>
      <c r="E360" s="413"/>
      <c r="F360" s="43" t="s">
        <v>414</v>
      </c>
      <c r="G360" s="43" t="s">
        <v>906</v>
      </c>
      <c r="X360" s="38">
        <v>6</v>
      </c>
      <c r="Y360" s="38">
        <v>6</v>
      </c>
      <c r="AK360" s="45">
        <f t="shared" si="52"/>
        <v>0</v>
      </c>
      <c r="AL360" s="46">
        <f t="shared" si="53"/>
        <v>0</v>
      </c>
      <c r="AM360" s="46">
        <f t="shared" si="54"/>
        <v>0</v>
      </c>
      <c r="AN360" s="46"/>
      <c r="AO360" s="119" t="s">
        <v>1197</v>
      </c>
      <c r="AP360" s="38" t="str">
        <f t="shared" si="49"/>
        <v>Exclude</v>
      </c>
    </row>
    <row r="361" spans="1:42" ht="30" hidden="1">
      <c r="A361" s="38" t="str">
        <f t="shared" si="48"/>
        <v>Ausgrid</v>
      </c>
      <c r="B361" s="38" t="s">
        <v>1197</v>
      </c>
      <c r="C361" s="38" t="str">
        <f t="shared" si="50"/>
        <v>Duplicate-TX8402 - Transformer  - ABB Type UZE/UZF tap changers</v>
      </c>
      <c r="D361" s="38" t="str">
        <f t="shared" si="51"/>
        <v>Duplicate-</v>
      </c>
      <c r="E361" s="413"/>
      <c r="F361" s="43" t="s">
        <v>414</v>
      </c>
      <c r="G361" s="43" t="s">
        <v>907</v>
      </c>
      <c r="X361" s="38">
        <v>60</v>
      </c>
      <c r="Y361" s="38">
        <v>60</v>
      </c>
      <c r="AK361" s="45">
        <f t="shared" si="52"/>
        <v>0</v>
      </c>
      <c r="AL361" s="46">
        <f t="shared" si="53"/>
        <v>0</v>
      </c>
      <c r="AM361" s="46">
        <f t="shared" si="54"/>
        <v>0</v>
      </c>
      <c r="AN361" s="46"/>
      <c r="AO361" s="119" t="s">
        <v>1197</v>
      </c>
      <c r="AP361" s="38" t="str">
        <f t="shared" si="49"/>
        <v>Exclude</v>
      </c>
    </row>
    <row r="362" spans="1:42" ht="30" hidden="1">
      <c r="A362" s="38" t="str">
        <f t="shared" si="48"/>
        <v>Ausgrid</v>
      </c>
      <c r="B362" s="38" t="s">
        <v>1197</v>
      </c>
      <c r="C362" s="38" t="str">
        <f t="shared" si="50"/>
        <v>Duplicate-TX8403 - Transformer  - ABB Type UZC tap changers</v>
      </c>
      <c r="D362" s="38" t="str">
        <f t="shared" si="51"/>
        <v>Duplicate-</v>
      </c>
      <c r="E362" s="413"/>
      <c r="F362" s="43" t="s">
        <v>414</v>
      </c>
      <c r="G362" s="43" t="s">
        <v>908</v>
      </c>
      <c r="X362" s="38">
        <v>6</v>
      </c>
      <c r="Y362" s="38">
        <v>6</v>
      </c>
      <c r="AK362" s="45">
        <f t="shared" si="52"/>
        <v>0</v>
      </c>
      <c r="AL362" s="46">
        <f t="shared" si="53"/>
        <v>0</v>
      </c>
      <c r="AM362" s="46">
        <f t="shared" si="54"/>
        <v>0</v>
      </c>
      <c r="AN362" s="46"/>
      <c r="AO362" s="119" t="s">
        <v>1197</v>
      </c>
      <c r="AP362" s="38" t="str">
        <f t="shared" si="49"/>
        <v>Exclude</v>
      </c>
    </row>
    <row r="363" spans="1:42" ht="45" hidden="1">
      <c r="A363" s="38" t="str">
        <f t="shared" si="48"/>
        <v>Ausgrid</v>
      </c>
      <c r="B363" s="38" t="s">
        <v>1197</v>
      </c>
      <c r="C363" s="38" t="str">
        <f t="shared" si="50"/>
        <v>Duplicate-TX8404 - Transformer  - ABB Type UZC tap changers - AUTO TAP CHANGERS - ABB</v>
      </c>
      <c r="D363" s="38" t="str">
        <f t="shared" si="51"/>
        <v>Duplicate-</v>
      </c>
      <c r="E363" s="413"/>
      <c r="F363" s="43" t="s">
        <v>414</v>
      </c>
      <c r="G363" s="43" t="s">
        <v>909</v>
      </c>
      <c r="X363" s="38">
        <v>24</v>
      </c>
      <c r="Y363" s="38">
        <v>24</v>
      </c>
      <c r="AK363" s="45">
        <f t="shared" si="52"/>
        <v>0</v>
      </c>
      <c r="AL363" s="46">
        <f t="shared" si="53"/>
        <v>0</v>
      </c>
      <c r="AM363" s="46">
        <f t="shared" si="54"/>
        <v>0</v>
      </c>
      <c r="AN363" s="46"/>
      <c r="AO363" s="119" t="s">
        <v>1197</v>
      </c>
      <c r="AP363" s="38" t="str">
        <f t="shared" si="49"/>
        <v>Exclude</v>
      </c>
    </row>
    <row r="364" spans="1:42" ht="45" hidden="1">
      <c r="A364" s="38" t="str">
        <f t="shared" si="48"/>
        <v>Ausgrid</v>
      </c>
      <c r="B364" s="38" t="s">
        <v>1197</v>
      </c>
      <c r="C364" s="38" t="str">
        <f t="shared" si="50"/>
        <v>Duplicate-TX8501 - Transformer (energised) - BGE / EPM  M Type Tapchanger</v>
      </c>
      <c r="D364" s="38" t="str">
        <f t="shared" si="51"/>
        <v>Duplicate-</v>
      </c>
      <c r="E364" s="413"/>
      <c r="F364" s="43" t="s">
        <v>414</v>
      </c>
      <c r="G364" s="43" t="s">
        <v>910</v>
      </c>
      <c r="X364" s="38">
        <v>1</v>
      </c>
      <c r="Y364" s="38">
        <v>1</v>
      </c>
      <c r="AK364" s="45">
        <f t="shared" si="52"/>
        <v>0</v>
      </c>
      <c r="AL364" s="46">
        <f t="shared" si="53"/>
        <v>0</v>
      </c>
      <c r="AM364" s="46">
        <f t="shared" si="54"/>
        <v>0</v>
      </c>
      <c r="AN364" s="46"/>
      <c r="AO364" s="119" t="s">
        <v>1197</v>
      </c>
      <c r="AP364" s="38" t="str">
        <f t="shared" si="49"/>
        <v>Exclude</v>
      </c>
    </row>
    <row r="365" spans="1:42" ht="30" hidden="1">
      <c r="A365" s="38" t="str">
        <f t="shared" si="48"/>
        <v>Ausgrid</v>
      </c>
      <c r="B365" s="38" t="s">
        <v>1197</v>
      </c>
      <c r="C365" s="38" t="str">
        <f t="shared" si="50"/>
        <v xml:space="preserve">Duplicate-TX8502 - Transformer  - BGE / EPM  M Type Tapchanger </v>
      </c>
      <c r="D365" s="38" t="str">
        <f t="shared" si="51"/>
        <v>Duplicate-</v>
      </c>
      <c r="E365" s="413"/>
      <c r="F365" s="43" t="s">
        <v>414</v>
      </c>
      <c r="G365" s="43" t="s">
        <v>911</v>
      </c>
      <c r="X365" s="38">
        <v>2</v>
      </c>
      <c r="Y365" s="38">
        <v>2</v>
      </c>
      <c r="AK365" s="45">
        <f t="shared" si="52"/>
        <v>0</v>
      </c>
      <c r="AL365" s="46">
        <f t="shared" si="53"/>
        <v>0</v>
      </c>
      <c r="AM365" s="46">
        <f t="shared" si="54"/>
        <v>0</v>
      </c>
      <c r="AN365" s="46"/>
      <c r="AO365" s="119" t="s">
        <v>1197</v>
      </c>
      <c r="AP365" s="38" t="str">
        <f t="shared" si="49"/>
        <v>Exclude</v>
      </c>
    </row>
    <row r="366" spans="1:42" ht="30" hidden="1">
      <c r="A366" s="38" t="str">
        <f t="shared" si="48"/>
        <v>Ausgrid</v>
      </c>
      <c r="B366" s="38" t="s">
        <v>1197</v>
      </c>
      <c r="C366" s="38" t="str">
        <f t="shared" si="50"/>
        <v>Duplicate-TX8503 - Transformer  - BGE / EPM  M Type Tapchanger</v>
      </c>
      <c r="D366" s="38" t="str">
        <f t="shared" si="51"/>
        <v>Duplicate-</v>
      </c>
      <c r="E366" s="413"/>
      <c r="F366" s="43" t="s">
        <v>414</v>
      </c>
      <c r="G366" s="43" t="s">
        <v>912</v>
      </c>
      <c r="X366" s="38">
        <v>6</v>
      </c>
      <c r="Y366" s="38">
        <v>6</v>
      </c>
      <c r="AK366" s="45">
        <f t="shared" si="52"/>
        <v>0</v>
      </c>
      <c r="AL366" s="46">
        <f t="shared" si="53"/>
        <v>0</v>
      </c>
      <c r="AM366" s="46">
        <f t="shared" si="54"/>
        <v>0</v>
      </c>
      <c r="AN366" s="46"/>
      <c r="AO366" s="119" t="s">
        <v>1197</v>
      </c>
      <c r="AP366" s="38" t="str">
        <f t="shared" si="49"/>
        <v>Exclude</v>
      </c>
    </row>
    <row r="367" spans="1:42" ht="45" hidden="1">
      <c r="A367" s="38" t="str">
        <f t="shared" si="48"/>
        <v>Ausgrid</v>
      </c>
      <c r="B367" s="38" t="s">
        <v>1197</v>
      </c>
      <c r="C367" s="38" t="str">
        <f t="shared" si="50"/>
        <v>Duplicate-TX8601 - Transformer (energised) - Fuller 317 tap changer</v>
      </c>
      <c r="D367" s="38" t="str">
        <f t="shared" si="51"/>
        <v>Duplicate-</v>
      </c>
      <c r="E367" s="413"/>
      <c r="F367" s="43" t="s">
        <v>414</v>
      </c>
      <c r="G367" s="43" t="s">
        <v>913</v>
      </c>
      <c r="X367" s="38">
        <v>1</v>
      </c>
      <c r="Y367" s="38">
        <v>0</v>
      </c>
      <c r="AK367" s="45">
        <f t="shared" si="52"/>
        <v>0</v>
      </c>
      <c r="AL367" s="46">
        <f t="shared" si="53"/>
        <v>0</v>
      </c>
      <c r="AM367" s="46">
        <f t="shared" si="54"/>
        <v>0</v>
      </c>
      <c r="AN367" s="46"/>
      <c r="AO367" s="119" t="s">
        <v>1197</v>
      </c>
      <c r="AP367" s="38" t="str">
        <f t="shared" si="49"/>
        <v>Exclude</v>
      </c>
    </row>
    <row r="368" spans="1:42" ht="30" hidden="1">
      <c r="A368" s="38" t="str">
        <f t="shared" si="48"/>
        <v>Ausgrid</v>
      </c>
      <c r="B368" s="38" t="s">
        <v>1197</v>
      </c>
      <c r="C368" s="38" t="str">
        <f t="shared" si="50"/>
        <v>Duplicate-TX8602 - Transformer  - Fuller 317 tap changer</v>
      </c>
      <c r="D368" s="38" t="str">
        <f t="shared" si="51"/>
        <v>Duplicate-</v>
      </c>
      <c r="E368" s="413"/>
      <c r="F368" s="43" t="s">
        <v>414</v>
      </c>
      <c r="G368" s="43" t="s">
        <v>914</v>
      </c>
      <c r="X368" s="38">
        <v>3</v>
      </c>
      <c r="Y368" s="38">
        <v>3</v>
      </c>
      <c r="AK368" s="45">
        <f t="shared" si="52"/>
        <v>0</v>
      </c>
      <c r="AL368" s="46">
        <f t="shared" si="53"/>
        <v>0</v>
      </c>
      <c r="AM368" s="46">
        <f t="shared" si="54"/>
        <v>0</v>
      </c>
      <c r="AN368" s="46"/>
      <c r="AO368" s="119" t="s">
        <v>1197</v>
      </c>
      <c r="AP368" s="38" t="str">
        <f t="shared" si="49"/>
        <v>Exclude</v>
      </c>
    </row>
    <row r="369" spans="1:42" ht="45" hidden="1">
      <c r="A369" s="38" t="str">
        <f t="shared" si="48"/>
        <v>Ausgrid</v>
      </c>
      <c r="B369" s="38" t="s">
        <v>1197</v>
      </c>
      <c r="C369" s="38" t="str">
        <f t="shared" si="50"/>
        <v>Duplicate-TX8702 - Transformer, Tapchanger, Cromptom Parkinson HDA/MDA</v>
      </c>
      <c r="D369" s="38" t="str">
        <f t="shared" si="51"/>
        <v>Duplicate-</v>
      </c>
      <c r="E369" s="413"/>
      <c r="F369" s="43" t="s">
        <v>414</v>
      </c>
      <c r="G369" s="43" t="s">
        <v>915</v>
      </c>
      <c r="X369" s="38">
        <v>3</v>
      </c>
      <c r="Y369" s="38">
        <v>3</v>
      </c>
      <c r="AK369" s="45">
        <f t="shared" si="52"/>
        <v>0</v>
      </c>
      <c r="AL369" s="46">
        <f t="shared" si="53"/>
        <v>0</v>
      </c>
      <c r="AM369" s="46">
        <f t="shared" si="54"/>
        <v>0</v>
      </c>
      <c r="AN369" s="46"/>
      <c r="AO369" s="119" t="s">
        <v>1197</v>
      </c>
      <c r="AP369" s="38" t="str">
        <f t="shared" si="49"/>
        <v>Exclude</v>
      </c>
    </row>
    <row r="370" spans="1:42" ht="45" hidden="1">
      <c r="A370" s="38" t="str">
        <f t="shared" si="48"/>
        <v>Ausgrid</v>
      </c>
      <c r="B370" s="38" t="s">
        <v>1197</v>
      </c>
      <c r="C370" s="38" t="str">
        <f t="shared" si="50"/>
        <v>Duplicate-TX8703 - Transformer, Tapchanger, Cromptom Parkinson HDA/MDA</v>
      </c>
      <c r="D370" s="38" t="str">
        <f t="shared" si="51"/>
        <v>Duplicate-</v>
      </c>
      <c r="E370" s="413"/>
      <c r="F370" s="43" t="s">
        <v>414</v>
      </c>
      <c r="G370" s="43" t="s">
        <v>916</v>
      </c>
      <c r="X370" s="38">
        <v>12</v>
      </c>
      <c r="Y370" s="38">
        <v>12</v>
      </c>
      <c r="AK370" s="45">
        <f t="shared" si="52"/>
        <v>0</v>
      </c>
      <c r="AL370" s="46">
        <f t="shared" si="53"/>
        <v>0</v>
      </c>
      <c r="AM370" s="46">
        <f t="shared" si="54"/>
        <v>0</v>
      </c>
      <c r="AN370" s="46"/>
      <c r="AO370" s="119" t="s">
        <v>1197</v>
      </c>
      <c r="AP370" s="38" t="str">
        <f t="shared" si="49"/>
        <v>Exclude</v>
      </c>
    </row>
    <row r="371" spans="1:42" ht="45" hidden="1">
      <c r="A371" s="38" t="str">
        <f t="shared" ref="A371:A434" si="55">IF(E371&gt;0,E371,A370)</f>
        <v>Ausgrid</v>
      </c>
      <c r="B371" s="38" t="s">
        <v>1197</v>
      </c>
      <c r="C371" s="38" t="str">
        <f t="shared" si="50"/>
        <v>Duplicate-TX8801 - Transformer (energised) - English Electric AF series tap changers</v>
      </c>
      <c r="D371" s="38" t="str">
        <f t="shared" si="51"/>
        <v>Duplicate-</v>
      </c>
      <c r="E371" s="413"/>
      <c r="F371" s="43" t="s">
        <v>414</v>
      </c>
      <c r="G371" s="43" t="s">
        <v>917</v>
      </c>
      <c r="X371" s="38">
        <v>1</v>
      </c>
      <c r="Y371" s="38">
        <v>1</v>
      </c>
      <c r="AK371" s="45">
        <f t="shared" si="52"/>
        <v>0</v>
      </c>
      <c r="AL371" s="46">
        <f t="shared" si="53"/>
        <v>0</v>
      </c>
      <c r="AM371" s="46">
        <f t="shared" si="54"/>
        <v>0</v>
      </c>
      <c r="AN371" s="46"/>
      <c r="AO371" s="119" t="s">
        <v>1197</v>
      </c>
      <c r="AP371" s="38" t="str">
        <f t="shared" si="49"/>
        <v>Exclude</v>
      </c>
    </row>
    <row r="372" spans="1:42" ht="45" hidden="1">
      <c r="A372" s="38" t="str">
        <f t="shared" si="55"/>
        <v>Ausgrid</v>
      </c>
      <c r="B372" s="38" t="s">
        <v>1197</v>
      </c>
      <c r="C372" s="38" t="str">
        <f t="shared" si="50"/>
        <v>Duplicate-TX8802 - Transformer  - English Electric AF series tap changers</v>
      </c>
      <c r="D372" s="38" t="str">
        <f t="shared" si="51"/>
        <v>Duplicate-</v>
      </c>
      <c r="E372" s="413"/>
      <c r="F372" s="43" t="s">
        <v>414</v>
      </c>
      <c r="G372" s="43" t="s">
        <v>918</v>
      </c>
      <c r="X372" s="38">
        <v>2</v>
      </c>
      <c r="Y372" s="38">
        <v>2</v>
      </c>
      <c r="AK372" s="45">
        <f t="shared" si="52"/>
        <v>0</v>
      </c>
      <c r="AL372" s="46">
        <f t="shared" si="53"/>
        <v>0</v>
      </c>
      <c r="AM372" s="46">
        <f t="shared" si="54"/>
        <v>0</v>
      </c>
      <c r="AN372" s="46"/>
      <c r="AO372" s="119" t="s">
        <v>1197</v>
      </c>
      <c r="AP372" s="38" t="str">
        <f t="shared" si="49"/>
        <v>Exclude</v>
      </c>
    </row>
    <row r="373" spans="1:42" ht="45" hidden="1">
      <c r="A373" s="38" t="str">
        <f t="shared" si="55"/>
        <v>Ausgrid</v>
      </c>
      <c r="B373" s="38" t="s">
        <v>1197</v>
      </c>
      <c r="C373" s="38" t="str">
        <f t="shared" si="50"/>
        <v>Duplicate-TX8803 - Transformer  - English Electric AF series tap changers</v>
      </c>
      <c r="D373" s="38" t="str">
        <f t="shared" si="51"/>
        <v>Duplicate-</v>
      </c>
      <c r="E373" s="413"/>
      <c r="F373" s="43" t="s">
        <v>414</v>
      </c>
      <c r="G373" s="43" t="s">
        <v>919</v>
      </c>
      <c r="X373" s="38">
        <v>6</v>
      </c>
      <c r="Y373" s="38">
        <v>6</v>
      </c>
      <c r="AK373" s="45">
        <f t="shared" si="52"/>
        <v>0</v>
      </c>
      <c r="AL373" s="46">
        <f t="shared" si="53"/>
        <v>0</v>
      </c>
      <c r="AM373" s="46">
        <f t="shared" si="54"/>
        <v>0</v>
      </c>
      <c r="AN373" s="46"/>
      <c r="AO373" s="119" t="s">
        <v>1197</v>
      </c>
      <c r="AP373" s="38" t="str">
        <f t="shared" si="49"/>
        <v>Exclude</v>
      </c>
    </row>
    <row r="374" spans="1:42" ht="45" hidden="1">
      <c r="A374" s="38" t="str">
        <f t="shared" si="55"/>
        <v>Ausgrid</v>
      </c>
      <c r="B374" s="38" t="s">
        <v>1197</v>
      </c>
      <c r="C374" s="38" t="str">
        <f t="shared" si="50"/>
        <v xml:space="preserve">Duplicate-TX8901 - Transformer  - ASEA Fuller H315PB and Hackbridge Type Tapchanger </v>
      </c>
      <c r="D374" s="38" t="str">
        <f t="shared" si="51"/>
        <v>Duplicate-</v>
      </c>
      <c r="E374" s="413"/>
      <c r="F374" s="43" t="s">
        <v>414</v>
      </c>
      <c r="G374" s="43" t="s">
        <v>920</v>
      </c>
      <c r="X374" s="38">
        <v>1</v>
      </c>
      <c r="Y374" s="38">
        <v>1</v>
      </c>
      <c r="AK374" s="45">
        <f t="shared" si="52"/>
        <v>0</v>
      </c>
      <c r="AL374" s="46">
        <f t="shared" si="53"/>
        <v>0</v>
      </c>
      <c r="AM374" s="46">
        <f t="shared" si="54"/>
        <v>0</v>
      </c>
      <c r="AN374" s="46"/>
      <c r="AO374" s="119" t="s">
        <v>1197</v>
      </c>
      <c r="AP374" s="38" t="str">
        <f t="shared" si="49"/>
        <v>Exclude</v>
      </c>
    </row>
    <row r="375" spans="1:42" ht="60" hidden="1">
      <c r="A375" s="38" t="str">
        <f t="shared" si="55"/>
        <v>Ausgrid</v>
      </c>
      <c r="B375" s="38" t="s">
        <v>1197</v>
      </c>
      <c r="C375" s="38" t="str">
        <f t="shared" si="50"/>
        <v xml:space="preserve">Duplicate-TX8902 - Transformer  - ASEA Fuller H315PB / H315B / H310B and Hackbridge Type Tapchanger </v>
      </c>
      <c r="D375" s="38" t="str">
        <f t="shared" si="51"/>
        <v>Duplicate-</v>
      </c>
      <c r="E375" s="413"/>
      <c r="F375" s="43" t="s">
        <v>414</v>
      </c>
      <c r="G375" s="43" t="s">
        <v>921</v>
      </c>
      <c r="X375" s="38">
        <v>6</v>
      </c>
      <c r="Y375" s="38">
        <v>6</v>
      </c>
      <c r="AK375" s="45">
        <f t="shared" si="52"/>
        <v>0</v>
      </c>
      <c r="AL375" s="46">
        <f t="shared" si="53"/>
        <v>0</v>
      </c>
      <c r="AM375" s="46">
        <f t="shared" si="54"/>
        <v>0</v>
      </c>
      <c r="AN375" s="46"/>
      <c r="AO375" s="119" t="s">
        <v>1197</v>
      </c>
      <c r="AP375" s="38" t="str">
        <f t="shared" si="49"/>
        <v>Exclude</v>
      </c>
    </row>
    <row r="376" spans="1:42" ht="45" hidden="1">
      <c r="A376" s="38" t="str">
        <f t="shared" si="55"/>
        <v>Ausgrid</v>
      </c>
      <c r="B376" s="38" t="s">
        <v>1197</v>
      </c>
      <c r="C376" s="38" t="str">
        <f t="shared" si="50"/>
        <v>Duplicate-TX9003 - Transformer  - ATL type AT tap changer - AUTO TAP CHANGERS - ATL</v>
      </c>
      <c r="D376" s="38" t="str">
        <f t="shared" si="51"/>
        <v>Duplicate-</v>
      </c>
      <c r="E376" s="413"/>
      <c r="F376" s="43" t="s">
        <v>414</v>
      </c>
      <c r="G376" s="43" t="s">
        <v>922</v>
      </c>
      <c r="X376" s="38">
        <v>3</v>
      </c>
      <c r="Y376" s="38">
        <v>3</v>
      </c>
      <c r="AK376" s="45">
        <f t="shared" si="52"/>
        <v>0</v>
      </c>
      <c r="AL376" s="46">
        <f t="shared" si="53"/>
        <v>0</v>
      </c>
      <c r="AM376" s="46">
        <f t="shared" si="54"/>
        <v>0</v>
      </c>
      <c r="AN376" s="46"/>
      <c r="AO376" s="119" t="s">
        <v>1197</v>
      </c>
      <c r="AP376" s="38" t="str">
        <f t="shared" si="49"/>
        <v>Exclude</v>
      </c>
    </row>
    <row r="377" spans="1:42" ht="30" hidden="1">
      <c r="A377" s="38" t="str">
        <f t="shared" si="55"/>
        <v>Ausgrid</v>
      </c>
      <c r="B377" s="38" t="s">
        <v>1197</v>
      </c>
      <c r="C377" s="38" t="str">
        <f t="shared" si="50"/>
        <v xml:space="preserve">Duplicate-TX8907 - Transformer  - ASEA UFNR Type Tapchanger </v>
      </c>
      <c r="D377" s="38" t="str">
        <f t="shared" si="51"/>
        <v>Duplicate-</v>
      </c>
      <c r="E377" s="413"/>
      <c r="F377" s="43" t="s">
        <v>414</v>
      </c>
      <c r="G377" s="43" t="s">
        <v>923</v>
      </c>
      <c r="X377" s="38">
        <v>2</v>
      </c>
      <c r="Y377" s="38">
        <v>2</v>
      </c>
      <c r="AK377" s="45">
        <f t="shared" si="52"/>
        <v>0</v>
      </c>
      <c r="AL377" s="46">
        <f t="shared" si="53"/>
        <v>0</v>
      </c>
      <c r="AM377" s="46">
        <f t="shared" si="54"/>
        <v>0</v>
      </c>
      <c r="AN377" s="46"/>
      <c r="AO377" s="119" t="s">
        <v>1197</v>
      </c>
      <c r="AP377" s="38" t="str">
        <f t="shared" si="49"/>
        <v>Exclude</v>
      </c>
    </row>
    <row r="378" spans="1:42" ht="30" hidden="1">
      <c r="A378" s="38" t="str">
        <f t="shared" si="55"/>
        <v>Ausgrid</v>
      </c>
      <c r="B378" s="38" t="s">
        <v>1197</v>
      </c>
      <c r="C378" s="38" t="str">
        <f t="shared" si="50"/>
        <v>Duplicate-TX8904 - Transformer  - ASEA UCB type tap changers</v>
      </c>
      <c r="D378" s="38" t="str">
        <f t="shared" si="51"/>
        <v>Duplicate-</v>
      </c>
      <c r="E378" s="413"/>
      <c r="F378" s="43" t="s">
        <v>414</v>
      </c>
      <c r="G378" s="43" t="s">
        <v>924</v>
      </c>
      <c r="X378" s="38">
        <v>6</v>
      </c>
      <c r="Y378" s="38">
        <v>6</v>
      </c>
      <c r="AK378" s="45">
        <f t="shared" si="52"/>
        <v>0</v>
      </c>
      <c r="AL378" s="46">
        <f t="shared" si="53"/>
        <v>0</v>
      </c>
      <c r="AM378" s="46">
        <f t="shared" si="54"/>
        <v>0</v>
      </c>
      <c r="AN378" s="46"/>
      <c r="AO378" s="119" t="s">
        <v>1197</v>
      </c>
      <c r="AP378" s="38" t="str">
        <f t="shared" si="49"/>
        <v>Exclude</v>
      </c>
    </row>
    <row r="379" spans="1:42" ht="45" hidden="1">
      <c r="A379" s="38" t="str">
        <f t="shared" si="55"/>
        <v>Ausgrid</v>
      </c>
      <c r="B379" s="38" t="s">
        <v>1197</v>
      </c>
      <c r="C379" s="38" t="str">
        <f t="shared" si="50"/>
        <v xml:space="preserve">Duplicate-TX8901 - Transformer  - ASEA Fuller H315PB and Hackbridge Type Tapchanger </v>
      </c>
      <c r="D379" s="38" t="str">
        <f t="shared" si="51"/>
        <v>Duplicate-</v>
      </c>
      <c r="E379" s="413"/>
      <c r="F379" s="43" t="s">
        <v>414</v>
      </c>
      <c r="G379" s="43" t="s">
        <v>920</v>
      </c>
      <c r="X379" s="38">
        <v>0.5</v>
      </c>
      <c r="Y379" s="38">
        <v>0.5</v>
      </c>
      <c r="AK379" s="45">
        <f t="shared" si="52"/>
        <v>0</v>
      </c>
      <c r="AL379" s="46">
        <f t="shared" si="53"/>
        <v>0</v>
      </c>
      <c r="AM379" s="46">
        <f t="shared" si="54"/>
        <v>0</v>
      </c>
      <c r="AN379" s="46"/>
      <c r="AO379" s="119" t="s">
        <v>1197</v>
      </c>
      <c r="AP379" s="38" t="str">
        <f t="shared" si="49"/>
        <v>Exclude</v>
      </c>
    </row>
    <row r="380" spans="1:42" ht="30" hidden="1">
      <c r="A380" s="38" t="str">
        <f t="shared" si="55"/>
        <v>Ausgrid</v>
      </c>
      <c r="B380" s="38" t="s">
        <v>1197</v>
      </c>
      <c r="C380" s="38" t="str">
        <f t="shared" si="50"/>
        <v xml:space="preserve">Duplicate-TX9001 - Transformer  - ATL HS/AMD Type Tapchanger </v>
      </c>
      <c r="D380" s="38" t="str">
        <f t="shared" si="51"/>
        <v>Duplicate-</v>
      </c>
      <c r="E380" s="413"/>
      <c r="F380" s="43" t="s">
        <v>414</v>
      </c>
      <c r="G380" s="43" t="s">
        <v>925</v>
      </c>
      <c r="X380" s="38">
        <v>1</v>
      </c>
      <c r="Y380" s="38">
        <v>1</v>
      </c>
      <c r="AK380" s="45">
        <f t="shared" si="52"/>
        <v>0</v>
      </c>
      <c r="AL380" s="46">
        <f t="shared" si="53"/>
        <v>0</v>
      </c>
      <c r="AM380" s="46">
        <f t="shared" si="54"/>
        <v>0</v>
      </c>
      <c r="AN380" s="46"/>
      <c r="AO380" s="119" t="s">
        <v>1197</v>
      </c>
      <c r="AP380" s="38" t="str">
        <f t="shared" si="49"/>
        <v>Exclude</v>
      </c>
    </row>
    <row r="381" spans="1:42" ht="30" hidden="1">
      <c r="A381" s="38" t="str">
        <f t="shared" si="55"/>
        <v>Ausgrid</v>
      </c>
      <c r="B381" s="38" t="s">
        <v>1197</v>
      </c>
      <c r="C381" s="38" t="str">
        <f t="shared" si="50"/>
        <v xml:space="preserve">Duplicate-TX9002 - Transformer  - ATL HS/AMD Type Tapchanger </v>
      </c>
      <c r="D381" s="38" t="str">
        <f t="shared" si="51"/>
        <v>Duplicate-</v>
      </c>
      <c r="E381" s="413"/>
      <c r="F381" s="43" t="s">
        <v>414</v>
      </c>
      <c r="G381" s="43" t="s">
        <v>926</v>
      </c>
      <c r="X381" s="38">
        <v>6</v>
      </c>
      <c r="Y381" s="38">
        <v>6</v>
      </c>
      <c r="AK381" s="45">
        <f t="shared" si="52"/>
        <v>0</v>
      </c>
      <c r="AL381" s="46">
        <f t="shared" si="53"/>
        <v>0</v>
      </c>
      <c r="AM381" s="46">
        <f t="shared" si="54"/>
        <v>0</v>
      </c>
      <c r="AN381" s="46"/>
      <c r="AO381" s="119" t="s">
        <v>1197</v>
      </c>
      <c r="AP381" s="38" t="str">
        <f t="shared" si="49"/>
        <v>Exclude</v>
      </c>
    </row>
    <row r="382" spans="1:42" ht="30" hidden="1">
      <c r="A382" s="38" t="str">
        <f t="shared" si="55"/>
        <v>Ausgrid</v>
      </c>
      <c r="B382" s="38" t="s">
        <v>1197</v>
      </c>
      <c r="C382" s="38" t="str">
        <f t="shared" si="50"/>
        <v xml:space="preserve">Duplicate-TX9004 - Transformer  - AGE LBTA Type Tapchanger </v>
      </c>
      <c r="D382" s="38" t="str">
        <f t="shared" si="51"/>
        <v>Duplicate-</v>
      </c>
      <c r="E382" s="413"/>
      <c r="F382" s="43" t="s">
        <v>414</v>
      </c>
      <c r="G382" s="43" t="s">
        <v>927</v>
      </c>
      <c r="X382" s="38">
        <v>1</v>
      </c>
      <c r="Y382" s="38">
        <v>1</v>
      </c>
      <c r="AK382" s="45">
        <f t="shared" si="52"/>
        <v>0</v>
      </c>
      <c r="AL382" s="46">
        <f t="shared" si="53"/>
        <v>0</v>
      </c>
      <c r="AM382" s="46">
        <f t="shared" si="54"/>
        <v>0</v>
      </c>
      <c r="AN382" s="46"/>
      <c r="AO382" s="119" t="s">
        <v>1197</v>
      </c>
      <c r="AP382" s="38" t="str">
        <f t="shared" si="49"/>
        <v>Exclude</v>
      </c>
    </row>
    <row r="383" spans="1:42" ht="30" hidden="1">
      <c r="A383" s="38" t="str">
        <f t="shared" si="55"/>
        <v>Ausgrid</v>
      </c>
      <c r="B383" s="38" t="s">
        <v>1197</v>
      </c>
      <c r="C383" s="38" t="str">
        <f t="shared" si="50"/>
        <v xml:space="preserve">Duplicate-TX9005 - Transformer  - AGE LBTA Type Tapchanger </v>
      </c>
      <c r="D383" s="38" t="str">
        <f t="shared" si="51"/>
        <v>Duplicate-</v>
      </c>
      <c r="E383" s="413"/>
      <c r="F383" s="43" t="s">
        <v>414</v>
      </c>
      <c r="G383" s="43" t="s">
        <v>928</v>
      </c>
      <c r="X383" s="38">
        <v>6</v>
      </c>
      <c r="Y383" s="38">
        <v>6</v>
      </c>
      <c r="AK383" s="45">
        <f t="shared" si="52"/>
        <v>0</v>
      </c>
      <c r="AL383" s="46">
        <f t="shared" si="53"/>
        <v>0</v>
      </c>
      <c r="AM383" s="46">
        <f t="shared" si="54"/>
        <v>0</v>
      </c>
      <c r="AN383" s="46"/>
      <c r="AO383" s="119" t="s">
        <v>1197</v>
      </c>
      <c r="AP383" s="38" t="str">
        <f t="shared" si="49"/>
        <v>Exclude</v>
      </c>
    </row>
    <row r="384" spans="1:42" ht="30" hidden="1">
      <c r="A384" s="38" t="str">
        <f t="shared" si="55"/>
        <v>Ausgrid</v>
      </c>
      <c r="B384" s="38" t="s">
        <v>1197</v>
      </c>
      <c r="C384" s="38" t="str">
        <f t="shared" si="50"/>
        <v xml:space="preserve">Duplicate-TX9006 - Transformer  - IEL H9D33 Type Tapchanger </v>
      </c>
      <c r="D384" s="38" t="str">
        <f t="shared" si="51"/>
        <v>Duplicate-</v>
      </c>
      <c r="E384" s="413"/>
      <c r="F384" s="43" t="s">
        <v>414</v>
      </c>
      <c r="G384" s="43" t="s">
        <v>929</v>
      </c>
      <c r="X384" s="38">
        <v>1</v>
      </c>
      <c r="Y384" s="38">
        <v>1</v>
      </c>
      <c r="AK384" s="45">
        <f t="shared" si="52"/>
        <v>0</v>
      </c>
      <c r="AL384" s="46">
        <f t="shared" si="53"/>
        <v>0</v>
      </c>
      <c r="AM384" s="46">
        <f t="shared" si="54"/>
        <v>0</v>
      </c>
      <c r="AN384" s="46"/>
      <c r="AO384" s="119" t="s">
        <v>1197</v>
      </c>
      <c r="AP384" s="38" t="str">
        <f t="shared" si="49"/>
        <v>Exclude</v>
      </c>
    </row>
    <row r="385" spans="1:42" ht="30" hidden="1">
      <c r="A385" s="38" t="str">
        <f t="shared" si="55"/>
        <v>Ausgrid</v>
      </c>
      <c r="B385" s="38" t="s">
        <v>1197</v>
      </c>
      <c r="C385" s="38" t="str">
        <f t="shared" si="50"/>
        <v>Duplicate-TX9007 - Transformer  - CGE tap changer</v>
      </c>
      <c r="D385" s="38" t="str">
        <f t="shared" si="51"/>
        <v>Duplicate-</v>
      </c>
      <c r="E385" s="413"/>
      <c r="F385" s="43" t="s">
        <v>414</v>
      </c>
      <c r="G385" s="43" t="s">
        <v>930</v>
      </c>
      <c r="X385" s="38">
        <v>1</v>
      </c>
      <c r="Y385" s="38">
        <v>1</v>
      </c>
      <c r="AK385" s="45">
        <f t="shared" si="52"/>
        <v>0</v>
      </c>
      <c r="AL385" s="46">
        <f t="shared" si="53"/>
        <v>0</v>
      </c>
      <c r="AM385" s="46">
        <f t="shared" si="54"/>
        <v>0</v>
      </c>
      <c r="AN385" s="46"/>
      <c r="AO385" s="119" t="s">
        <v>1197</v>
      </c>
      <c r="AP385" s="38" t="str">
        <f t="shared" si="49"/>
        <v>Exclude</v>
      </c>
    </row>
    <row r="386" spans="1:42" ht="60" hidden="1">
      <c r="A386" s="38" t="str">
        <f t="shared" si="55"/>
        <v>Ausgrid</v>
      </c>
      <c r="B386" s="38" t="s">
        <v>1197</v>
      </c>
      <c r="C386" s="38" t="str">
        <f t="shared" si="50"/>
        <v>Duplicate-TX9601 - On Load Tapchanger, Mistubishi Electric Corporation, Type VSG 550/600</v>
      </c>
      <c r="D386" s="38" t="str">
        <f t="shared" si="51"/>
        <v>Duplicate-</v>
      </c>
      <c r="E386" s="413"/>
      <c r="F386" s="43" t="s">
        <v>414</v>
      </c>
      <c r="G386" s="43" t="s">
        <v>931</v>
      </c>
      <c r="X386" s="38">
        <v>10</v>
      </c>
      <c r="Y386" s="38">
        <v>10</v>
      </c>
      <c r="AK386" s="45">
        <f t="shared" si="52"/>
        <v>0</v>
      </c>
      <c r="AL386" s="46">
        <f t="shared" si="53"/>
        <v>0</v>
      </c>
      <c r="AM386" s="46">
        <f t="shared" si="54"/>
        <v>0</v>
      </c>
      <c r="AN386" s="46"/>
      <c r="AO386" s="119" t="s">
        <v>1197</v>
      </c>
      <c r="AP386" s="38" t="str">
        <f t="shared" si="49"/>
        <v>Exclude</v>
      </c>
    </row>
    <row r="387" spans="1:42" ht="45" hidden="1">
      <c r="A387" s="38" t="str">
        <f t="shared" si="55"/>
        <v>Ausgrid</v>
      </c>
      <c r="B387" s="38" t="s">
        <v>1197</v>
      </c>
      <c r="C387" s="38" t="str">
        <f t="shared" si="50"/>
        <v>Duplicate-TX9008 - Transformer  - ACEC TSVR type tap changer - AUTO TAP CHANGERS - ACEC</v>
      </c>
      <c r="D387" s="38" t="str">
        <f t="shared" si="51"/>
        <v>Duplicate-</v>
      </c>
      <c r="E387" s="413"/>
      <c r="F387" s="43" t="s">
        <v>414</v>
      </c>
      <c r="G387" s="43" t="s">
        <v>932</v>
      </c>
      <c r="X387" s="38">
        <v>6</v>
      </c>
      <c r="Y387" s="38">
        <v>6</v>
      </c>
      <c r="AK387" s="45">
        <f t="shared" si="52"/>
        <v>0</v>
      </c>
      <c r="AL387" s="46">
        <f t="shared" si="53"/>
        <v>0</v>
      </c>
      <c r="AM387" s="46">
        <f t="shared" si="54"/>
        <v>0</v>
      </c>
      <c r="AN387" s="46"/>
      <c r="AO387" s="119" t="s">
        <v>1197</v>
      </c>
      <c r="AP387" s="38" t="str">
        <f t="shared" ref="AP387:AP450" si="56">IFERROR(VLOOKUP(C387,$AR:$AS,2,FALSE),"Exclude")</f>
        <v>Exclude</v>
      </c>
    </row>
    <row r="388" spans="1:42" ht="45" hidden="1">
      <c r="A388" s="38" t="str">
        <f t="shared" si="55"/>
        <v>Ausgrid</v>
      </c>
      <c r="B388" s="38" t="s">
        <v>1197</v>
      </c>
      <c r="C388" s="38" t="str">
        <f t="shared" ref="C388:C451" si="57">B388&amp;"-"&amp;G388</f>
        <v xml:space="preserve">Duplicate-TRANSFORMERS - DISTRIBUTION </v>
      </c>
      <c r="D388" s="38" t="str">
        <f t="shared" ref="D388:D451" si="58">B388&amp;"-"&amp;H388</f>
        <v>Duplicate-No. of distribution transformers within zone substations</v>
      </c>
      <c r="E388" s="413"/>
      <c r="F388" s="43" t="s">
        <v>414</v>
      </c>
      <c r="G388" s="43" t="s">
        <v>417</v>
      </c>
      <c r="H388" s="43" t="s">
        <v>933</v>
      </c>
      <c r="I388" s="41">
        <v>0.08</v>
      </c>
      <c r="J388" s="41">
        <v>0.08</v>
      </c>
      <c r="K388" s="41">
        <v>0.08</v>
      </c>
      <c r="L388" s="41">
        <v>0.08</v>
      </c>
      <c r="M388" s="41">
        <v>0.09</v>
      </c>
      <c r="N388" s="41">
        <v>0</v>
      </c>
      <c r="O388" s="41">
        <v>0</v>
      </c>
      <c r="P388" s="41">
        <v>0</v>
      </c>
      <c r="Q388" s="41">
        <v>0</v>
      </c>
      <c r="R388" s="41">
        <v>0</v>
      </c>
      <c r="S388" s="41">
        <v>25.11</v>
      </c>
      <c r="T388" s="41">
        <v>25.5</v>
      </c>
      <c r="U388" s="41">
        <v>25.65</v>
      </c>
      <c r="V388" s="41">
        <v>24.77</v>
      </c>
      <c r="W388" s="41">
        <v>22.53</v>
      </c>
      <c r="X388" s="38">
        <v>0</v>
      </c>
      <c r="Y388" s="38">
        <v>0</v>
      </c>
      <c r="Z388" s="40">
        <v>0</v>
      </c>
      <c r="AA388" s="40">
        <v>0</v>
      </c>
      <c r="AB388" s="40">
        <v>0</v>
      </c>
      <c r="AC388" s="40">
        <v>0</v>
      </c>
      <c r="AD388" s="40">
        <v>0</v>
      </c>
      <c r="AE388" s="40">
        <v>0</v>
      </c>
      <c r="AF388" s="40">
        <v>0</v>
      </c>
      <c r="AG388" s="40">
        <v>0</v>
      </c>
      <c r="AH388" s="40">
        <v>0</v>
      </c>
      <c r="AI388" s="40">
        <v>0</v>
      </c>
      <c r="AK388" s="45">
        <f t="shared" ref="AK388:AK451" si="59">SUM(N388:R388)</f>
        <v>0</v>
      </c>
      <c r="AL388" s="46">
        <f t="shared" ref="AL388:AL451" si="60">SUM(Z388:AD388)</f>
        <v>0</v>
      </c>
      <c r="AM388" s="46">
        <f t="shared" ref="AM388:AM451" si="61">SUM(AE388:AI388)</f>
        <v>0</v>
      </c>
      <c r="AN388" s="46"/>
      <c r="AO388" s="119" t="s">
        <v>1197</v>
      </c>
      <c r="AP388" s="38" t="str">
        <f t="shared" si="56"/>
        <v>Exclude</v>
      </c>
    </row>
    <row r="389" spans="1:42" ht="60" hidden="1">
      <c r="A389" s="38" t="str">
        <f t="shared" si="55"/>
        <v>Ausgrid</v>
      </c>
      <c r="B389" s="38" t="s">
        <v>1197</v>
      </c>
      <c r="C389" s="38" t="str">
        <f t="shared" si="57"/>
        <v xml:space="preserve">Duplicate-TX0103 - Transformer (energised) - Generic (includes Earthing / Auxilliary TX's) </v>
      </c>
      <c r="D389" s="38" t="str">
        <f t="shared" si="58"/>
        <v>Duplicate-</v>
      </c>
      <c r="E389" s="413"/>
      <c r="F389" s="43" t="s">
        <v>414</v>
      </c>
      <c r="G389" s="43" t="s">
        <v>868</v>
      </c>
      <c r="X389" s="38">
        <v>3</v>
      </c>
      <c r="Y389" s="38">
        <v>0</v>
      </c>
      <c r="AK389" s="45">
        <f t="shared" si="59"/>
        <v>0</v>
      </c>
      <c r="AL389" s="46">
        <f t="shared" si="60"/>
        <v>0</v>
      </c>
      <c r="AM389" s="46">
        <f t="shared" si="61"/>
        <v>0</v>
      </c>
      <c r="AN389" s="46"/>
      <c r="AO389" s="119" t="s">
        <v>1197</v>
      </c>
      <c r="AP389" s="38" t="str">
        <f t="shared" si="56"/>
        <v>Exclude</v>
      </c>
    </row>
    <row r="390" spans="1:42" hidden="1">
      <c r="A390" s="38" t="str">
        <f t="shared" si="55"/>
        <v>Ausgrid</v>
      </c>
      <c r="B390" s="38" t="s">
        <v>1197</v>
      </c>
      <c r="C390" s="38" t="str">
        <f t="shared" si="57"/>
        <v>Duplicate-TRANSFORMERS - HV</v>
      </c>
      <c r="D390" s="38" t="str">
        <f t="shared" si="58"/>
        <v>Duplicate-No. of HV transformers</v>
      </c>
      <c r="E390" s="413"/>
      <c r="F390" s="43" t="s">
        <v>414</v>
      </c>
      <c r="G390" s="43" t="s">
        <v>419</v>
      </c>
      <c r="H390" s="43" t="s">
        <v>934</v>
      </c>
      <c r="I390" s="41">
        <v>0</v>
      </c>
      <c r="J390" s="41">
        <v>0</v>
      </c>
      <c r="K390" s="41">
        <v>0</v>
      </c>
      <c r="L390" s="41">
        <v>0</v>
      </c>
      <c r="M390" s="41">
        <v>0</v>
      </c>
      <c r="N390" s="41">
        <v>0</v>
      </c>
      <c r="O390" s="41">
        <v>0</v>
      </c>
      <c r="P390" s="41">
        <v>0</v>
      </c>
      <c r="Q390" s="41">
        <v>0</v>
      </c>
      <c r="R390" s="41">
        <v>0</v>
      </c>
      <c r="S390" s="41">
        <v>0</v>
      </c>
      <c r="T390" s="41">
        <v>0</v>
      </c>
      <c r="U390" s="41">
        <v>0</v>
      </c>
      <c r="V390" s="41">
        <v>0</v>
      </c>
      <c r="W390" s="41">
        <v>0</v>
      </c>
      <c r="X390" s="38">
        <v>0</v>
      </c>
      <c r="Y390" s="38">
        <v>0</v>
      </c>
      <c r="Z390" s="40">
        <v>0</v>
      </c>
      <c r="AA390" s="40">
        <v>0</v>
      </c>
      <c r="AB390" s="40">
        <v>0</v>
      </c>
      <c r="AC390" s="40">
        <v>0</v>
      </c>
      <c r="AD390" s="40">
        <v>0</v>
      </c>
      <c r="AE390" s="40">
        <v>0</v>
      </c>
      <c r="AF390" s="40">
        <v>0</v>
      </c>
      <c r="AG390" s="40">
        <v>0</v>
      </c>
      <c r="AH390" s="40">
        <v>0</v>
      </c>
      <c r="AI390" s="40">
        <v>0</v>
      </c>
      <c r="AK390" s="45">
        <f t="shared" si="59"/>
        <v>0</v>
      </c>
      <c r="AL390" s="46">
        <f t="shared" si="60"/>
        <v>0</v>
      </c>
      <c r="AM390" s="46">
        <f t="shared" si="61"/>
        <v>0</v>
      </c>
      <c r="AN390" s="46"/>
      <c r="AO390" s="119" t="s">
        <v>1197</v>
      </c>
      <c r="AP390" s="38" t="str">
        <f t="shared" si="56"/>
        <v>Exclude</v>
      </c>
    </row>
    <row r="391" spans="1:42" ht="30" hidden="1">
      <c r="A391" s="38" t="str">
        <f t="shared" si="55"/>
        <v>Ausgrid</v>
      </c>
      <c r="B391" s="38" t="s">
        <v>1197</v>
      </c>
      <c r="C391" s="38" t="str">
        <f t="shared" si="57"/>
        <v>Duplicate-ZONE SUBSTATION - OTHER EQUIPMENT</v>
      </c>
      <c r="D391" s="38" t="str">
        <f t="shared" si="58"/>
        <v>Duplicate-No. of zone substations ('000s)</v>
      </c>
      <c r="E391" s="413"/>
      <c r="F391" s="43" t="s">
        <v>414</v>
      </c>
      <c r="G391" s="43" t="s">
        <v>421</v>
      </c>
      <c r="H391" s="43" t="s">
        <v>935</v>
      </c>
      <c r="I391" s="41">
        <v>0.2</v>
      </c>
      <c r="J391" s="41">
        <v>0.21</v>
      </c>
      <c r="K391" s="41">
        <v>0.21</v>
      </c>
      <c r="L391" s="41">
        <v>0.21</v>
      </c>
      <c r="M391" s="41">
        <v>0.21</v>
      </c>
      <c r="N391" s="41">
        <v>0.74</v>
      </c>
      <c r="O391" s="41">
        <v>0.43</v>
      </c>
      <c r="P391" s="41">
        <v>0.43</v>
      </c>
      <c r="Q391" s="41">
        <v>0.43</v>
      </c>
      <c r="R391" s="41">
        <v>0.41</v>
      </c>
      <c r="S391" s="41">
        <v>38.86</v>
      </c>
      <c r="T391" s="41">
        <v>38.11</v>
      </c>
      <c r="U391" s="41">
        <v>37.659999999999997</v>
      </c>
      <c r="V391" s="41">
        <v>37.6</v>
      </c>
      <c r="W391" s="41">
        <v>37.18</v>
      </c>
      <c r="X391" s="38">
        <v>0</v>
      </c>
      <c r="Y391" s="38">
        <v>0</v>
      </c>
      <c r="Z391" s="40">
        <v>434.67</v>
      </c>
      <c r="AA391" s="40">
        <v>591.82000000000005</v>
      </c>
      <c r="AB391" s="40">
        <v>482.93</v>
      </c>
      <c r="AC391" s="40">
        <v>607.33000000000004</v>
      </c>
      <c r="AD391" s="40">
        <v>459.02</v>
      </c>
      <c r="AE391" s="40">
        <v>702.41</v>
      </c>
      <c r="AF391" s="40">
        <v>1208.56</v>
      </c>
      <c r="AG391" s="40">
        <v>2342.86</v>
      </c>
      <c r="AH391" s="40">
        <v>1658.8</v>
      </c>
      <c r="AI391" s="40">
        <v>1544.85</v>
      </c>
      <c r="AK391" s="45">
        <f t="shared" si="59"/>
        <v>2.44</v>
      </c>
      <c r="AL391" s="46">
        <f t="shared" si="60"/>
        <v>2575.77</v>
      </c>
      <c r="AM391" s="46">
        <f t="shared" si="61"/>
        <v>7457.48</v>
      </c>
      <c r="AN391" s="46"/>
      <c r="AO391" s="119" t="s">
        <v>1197</v>
      </c>
      <c r="AP391" s="38" t="str">
        <f t="shared" si="56"/>
        <v>Exclude</v>
      </c>
    </row>
    <row r="392" spans="1:42" ht="60" hidden="1">
      <c r="A392" s="38" t="str">
        <f t="shared" si="55"/>
        <v>Ausgrid</v>
      </c>
      <c r="B392" s="38" t="s">
        <v>1197</v>
      </c>
      <c r="C392" s="38" t="str">
        <f t="shared" si="57"/>
        <v>Duplicate-SU0101 - Substation, Electrical Inspection - MAJOR SUBSTATIONS (ZONE AND SUBTRANSMISSION)</v>
      </c>
      <c r="D392" s="38" t="str">
        <f t="shared" si="58"/>
        <v>Duplicate-</v>
      </c>
      <c r="E392" s="413"/>
      <c r="F392" s="43" t="s">
        <v>414</v>
      </c>
      <c r="G392" s="43" t="s">
        <v>936</v>
      </c>
      <c r="X392" s="38">
        <v>0.5</v>
      </c>
      <c r="Y392" s="38">
        <v>0</v>
      </c>
      <c r="AK392" s="45">
        <f t="shared" si="59"/>
        <v>0</v>
      </c>
      <c r="AL392" s="46">
        <f t="shared" si="60"/>
        <v>0</v>
      </c>
      <c r="AM392" s="46">
        <f t="shared" si="61"/>
        <v>0</v>
      </c>
      <c r="AN392" s="46"/>
      <c r="AO392" s="119" t="s">
        <v>1197</v>
      </c>
      <c r="AP392" s="38" t="str">
        <f t="shared" si="56"/>
        <v>Exclude</v>
      </c>
    </row>
    <row r="393" spans="1:42" ht="60" hidden="1">
      <c r="A393" s="38" t="str">
        <f t="shared" si="55"/>
        <v>Ausgrid</v>
      </c>
      <c r="B393" s="38" t="s">
        <v>1197</v>
      </c>
      <c r="C393" s="38" t="str">
        <f t="shared" si="57"/>
        <v>Duplicate-SU0121 - Exposed Connection in switchyards - MAJOR SUBSTATIONS (ZONE AND SUBTRANSMISSION)</v>
      </c>
      <c r="D393" s="38" t="str">
        <f t="shared" si="58"/>
        <v>Duplicate-</v>
      </c>
      <c r="E393" s="413"/>
      <c r="F393" s="43" t="s">
        <v>414</v>
      </c>
      <c r="G393" s="43" t="s">
        <v>937</v>
      </c>
      <c r="X393" s="38">
        <v>2</v>
      </c>
      <c r="Y393" s="38">
        <v>0</v>
      </c>
      <c r="AK393" s="45">
        <f t="shared" si="59"/>
        <v>0</v>
      </c>
      <c r="AL393" s="46">
        <f t="shared" si="60"/>
        <v>0</v>
      </c>
      <c r="AM393" s="46">
        <f t="shared" si="61"/>
        <v>0</v>
      </c>
      <c r="AN393" s="46"/>
      <c r="AO393" s="119" t="s">
        <v>1197</v>
      </c>
      <c r="AP393" s="38" t="str">
        <f t="shared" si="56"/>
        <v>Exclude</v>
      </c>
    </row>
    <row r="394" spans="1:42" ht="30" hidden="1">
      <c r="A394" s="38" t="str">
        <f t="shared" si="55"/>
        <v>Ausgrid</v>
      </c>
      <c r="B394" s="38" t="s">
        <v>1197</v>
      </c>
      <c r="C394" s="38" t="str">
        <f t="shared" si="57"/>
        <v>Duplicate-AU0101 - High Voltage Operational Sticks</v>
      </c>
      <c r="D394" s="38" t="str">
        <f t="shared" si="58"/>
        <v>Duplicate-</v>
      </c>
      <c r="E394" s="413"/>
      <c r="F394" s="43" t="s">
        <v>414</v>
      </c>
      <c r="G394" s="43" t="s">
        <v>938</v>
      </c>
      <c r="X394" s="38">
        <v>1</v>
      </c>
      <c r="Y394" s="38">
        <v>0</v>
      </c>
      <c r="AK394" s="45">
        <f t="shared" si="59"/>
        <v>0</v>
      </c>
      <c r="AL394" s="46">
        <f t="shared" si="60"/>
        <v>0</v>
      </c>
      <c r="AM394" s="46">
        <f t="shared" si="61"/>
        <v>0</v>
      </c>
      <c r="AN394" s="46"/>
      <c r="AO394" s="119" t="s">
        <v>1197</v>
      </c>
      <c r="AP394" s="38" t="str">
        <f t="shared" si="56"/>
        <v>Exclude</v>
      </c>
    </row>
    <row r="395" spans="1:42" ht="60" hidden="1">
      <c r="A395" s="38" t="str">
        <f t="shared" si="55"/>
        <v>Ausgrid</v>
      </c>
      <c r="B395" s="38" t="s">
        <v>1197</v>
      </c>
      <c r="C395" s="38" t="str">
        <f t="shared" si="57"/>
        <v>Duplicate-VR0101 - Relay, Voltage Regulation, Generic - VR RELAYS - ELECTROMECHANICAL</v>
      </c>
      <c r="D395" s="38" t="str">
        <f t="shared" si="58"/>
        <v>Duplicate-</v>
      </c>
      <c r="E395" s="413"/>
      <c r="F395" s="43" t="s">
        <v>414</v>
      </c>
      <c r="G395" s="43" t="s">
        <v>830</v>
      </c>
      <c r="X395" s="38">
        <v>6</v>
      </c>
      <c r="Y395" s="38">
        <v>0</v>
      </c>
      <c r="AK395" s="45">
        <f t="shared" si="59"/>
        <v>0</v>
      </c>
      <c r="AL395" s="46">
        <f t="shared" si="60"/>
        <v>0</v>
      </c>
      <c r="AM395" s="46">
        <f t="shared" si="61"/>
        <v>0</v>
      </c>
      <c r="AN395" s="46"/>
      <c r="AO395" s="119" t="s">
        <v>1197</v>
      </c>
      <c r="AP395" s="38" t="str">
        <f t="shared" si="56"/>
        <v>Exclude</v>
      </c>
    </row>
    <row r="396" spans="1:42" ht="45" hidden="1">
      <c r="A396" s="38" t="str">
        <f t="shared" si="55"/>
        <v>Ausgrid</v>
      </c>
      <c r="B396" s="38" t="s">
        <v>1197</v>
      </c>
      <c r="C396" s="38" t="str">
        <f t="shared" si="57"/>
        <v>Duplicate-VR0101 - Relay, Voltage Regulation, Generic - VR RELAYS - ELECTRONIC</v>
      </c>
      <c r="D396" s="38" t="str">
        <f t="shared" si="58"/>
        <v>Duplicate-</v>
      </c>
      <c r="E396" s="413"/>
      <c r="F396" s="43" t="s">
        <v>414</v>
      </c>
      <c r="G396" s="43" t="s">
        <v>831</v>
      </c>
      <c r="X396" s="38">
        <v>6</v>
      </c>
      <c r="Y396" s="38">
        <v>0</v>
      </c>
      <c r="AK396" s="45">
        <f t="shared" si="59"/>
        <v>0</v>
      </c>
      <c r="AL396" s="46">
        <f t="shared" si="60"/>
        <v>0</v>
      </c>
      <c r="AM396" s="46">
        <f t="shared" si="61"/>
        <v>0</v>
      </c>
      <c r="AN396" s="46"/>
      <c r="AO396" s="119" t="s">
        <v>1197</v>
      </c>
      <c r="AP396" s="38" t="str">
        <f t="shared" si="56"/>
        <v>Exclude</v>
      </c>
    </row>
    <row r="397" spans="1:42" ht="45" hidden="1">
      <c r="A397" s="38" t="str">
        <f t="shared" si="55"/>
        <v>Ausgrid</v>
      </c>
      <c r="B397" s="38" t="s">
        <v>1197</v>
      </c>
      <c r="C397" s="38" t="str">
        <f t="shared" si="57"/>
        <v>Duplicate-VR0101 - Relay, Voltage Regulation, Generic - VR RELAYS - NUMERICAL</v>
      </c>
      <c r="D397" s="38" t="str">
        <f t="shared" si="58"/>
        <v>Duplicate-</v>
      </c>
      <c r="E397" s="413"/>
      <c r="F397" s="43" t="s">
        <v>414</v>
      </c>
      <c r="G397" s="43" t="s">
        <v>832</v>
      </c>
      <c r="X397" s="38">
        <v>12</v>
      </c>
      <c r="Y397" s="38">
        <v>0</v>
      </c>
      <c r="AK397" s="45">
        <f t="shared" si="59"/>
        <v>0</v>
      </c>
      <c r="AL397" s="46">
        <f t="shared" si="60"/>
        <v>0</v>
      </c>
      <c r="AM397" s="46">
        <f t="shared" si="61"/>
        <v>0</v>
      </c>
      <c r="AN397" s="46"/>
      <c r="AO397" s="119" t="s">
        <v>1197</v>
      </c>
      <c r="AP397" s="38" t="str">
        <f t="shared" si="56"/>
        <v>Exclude</v>
      </c>
    </row>
    <row r="398" spans="1:42" hidden="1">
      <c r="A398" s="38" t="str">
        <f t="shared" si="55"/>
        <v>Ausgrid</v>
      </c>
      <c r="B398" s="38" t="s">
        <v>1197</v>
      </c>
      <c r="C398" s="38" t="str">
        <f t="shared" si="57"/>
        <v>Duplicate-</v>
      </c>
      <c r="D398" s="38" t="str">
        <f t="shared" si="58"/>
        <v>Duplicate-</v>
      </c>
      <c r="E398" s="413"/>
      <c r="F398" s="43" t="s">
        <v>414</v>
      </c>
      <c r="X398" s="38">
        <v>0</v>
      </c>
      <c r="Y398" s="38">
        <v>0</v>
      </c>
      <c r="AK398" s="45">
        <f t="shared" si="59"/>
        <v>0</v>
      </c>
      <c r="AL398" s="46">
        <f t="shared" si="60"/>
        <v>0</v>
      </c>
      <c r="AM398" s="46">
        <f t="shared" si="61"/>
        <v>0</v>
      </c>
      <c r="AN398" s="46"/>
      <c r="AO398" s="119" t="s">
        <v>1197</v>
      </c>
      <c r="AP398" s="38" t="str">
        <f t="shared" si="56"/>
        <v>Exclude</v>
      </c>
    </row>
    <row r="399" spans="1:42" ht="75" hidden="1">
      <c r="A399" s="38" t="str">
        <f t="shared" si="55"/>
        <v>Ausgrid</v>
      </c>
      <c r="B399" s="38" t="s">
        <v>1197</v>
      </c>
      <c r="C399" s="38" t="str">
        <f t="shared" si="57"/>
        <v>Duplicate-SU0140 - Deluge System - Air detection System Compressors - MAJOR SUBSTATIONS (ZONE AND SUBTRANSMISSION)</v>
      </c>
      <c r="D399" s="38" t="str">
        <f t="shared" si="58"/>
        <v>Duplicate-</v>
      </c>
      <c r="E399" s="413"/>
      <c r="F399" s="43" t="s">
        <v>414</v>
      </c>
      <c r="G399" s="43" t="s">
        <v>939</v>
      </c>
      <c r="X399" s="38">
        <v>0.02</v>
      </c>
      <c r="Y399" s="38">
        <v>0.02</v>
      </c>
      <c r="AK399" s="45">
        <f t="shared" si="59"/>
        <v>0</v>
      </c>
      <c r="AL399" s="46">
        <f t="shared" si="60"/>
        <v>0</v>
      </c>
      <c r="AM399" s="46">
        <f t="shared" si="61"/>
        <v>0</v>
      </c>
      <c r="AN399" s="46"/>
      <c r="AO399" s="119" t="s">
        <v>1197</v>
      </c>
      <c r="AP399" s="38" t="str">
        <f t="shared" si="56"/>
        <v>Exclude</v>
      </c>
    </row>
    <row r="400" spans="1:42" ht="75" hidden="1">
      <c r="A400" s="38" t="str">
        <f t="shared" si="55"/>
        <v>Ausgrid</v>
      </c>
      <c r="B400" s="38" t="s">
        <v>1197</v>
      </c>
      <c r="C400" s="38" t="str">
        <f t="shared" si="57"/>
        <v>Duplicate-SU0141 - Deluge System - Air detection System Compressors - MAJOR SUBSTATIONS (ZONE AND SUBTRANSMISSION)</v>
      </c>
      <c r="D400" s="38" t="str">
        <f t="shared" si="58"/>
        <v>Duplicate-</v>
      </c>
      <c r="E400" s="413"/>
      <c r="F400" s="43" t="s">
        <v>414</v>
      </c>
      <c r="G400" s="43" t="s">
        <v>940</v>
      </c>
      <c r="X400" s="38">
        <v>1</v>
      </c>
      <c r="Y400" s="38">
        <v>1</v>
      </c>
      <c r="AK400" s="45">
        <f t="shared" si="59"/>
        <v>0</v>
      </c>
      <c r="AL400" s="46">
        <f t="shared" si="60"/>
        <v>0</v>
      </c>
      <c r="AM400" s="46">
        <f t="shared" si="61"/>
        <v>0</v>
      </c>
      <c r="AN400" s="46"/>
      <c r="AO400" s="119" t="s">
        <v>1197</v>
      </c>
      <c r="AP400" s="38" t="str">
        <f t="shared" si="56"/>
        <v>Exclude</v>
      </c>
    </row>
    <row r="401" spans="1:42" ht="30" hidden="1">
      <c r="A401" s="38" t="str">
        <f t="shared" si="55"/>
        <v>Ausgrid</v>
      </c>
      <c r="B401" s="38" t="s">
        <v>1197</v>
      </c>
      <c r="C401" s="38" t="str">
        <f t="shared" si="57"/>
        <v>Duplicate-ZONE SUBSTATION - SWITCHGEAR</v>
      </c>
      <c r="D401" s="38" t="str">
        <f t="shared" si="58"/>
        <v>Duplicate-No. of zone substation switches   ('000s)</v>
      </c>
      <c r="E401" s="413"/>
      <c r="F401" s="43" t="s">
        <v>414</v>
      </c>
      <c r="G401" s="43" t="s">
        <v>941</v>
      </c>
      <c r="H401" s="43" t="s">
        <v>942</v>
      </c>
      <c r="I401" s="41">
        <v>4.0599999999999996</v>
      </c>
      <c r="J401" s="41">
        <v>4.34</v>
      </c>
      <c r="K401" s="41">
        <v>4.41</v>
      </c>
      <c r="L401" s="41">
        <v>4.38</v>
      </c>
      <c r="M401" s="41">
        <v>4.41</v>
      </c>
      <c r="N401" s="41">
        <v>3.82</v>
      </c>
      <c r="O401" s="41">
        <v>3.13</v>
      </c>
      <c r="P401" s="41">
        <v>2.5</v>
      </c>
      <c r="Q401" s="41">
        <v>1.69</v>
      </c>
      <c r="R401" s="41">
        <v>2.0499999999999998</v>
      </c>
      <c r="S401" s="41">
        <v>32.83</v>
      </c>
      <c r="T401" s="41">
        <v>29.93</v>
      </c>
      <c r="U401" s="41">
        <v>27.99</v>
      </c>
      <c r="V401" s="41">
        <v>25.55</v>
      </c>
      <c r="W401" s="41">
        <v>22.94</v>
      </c>
      <c r="X401" s="38">
        <v>0</v>
      </c>
      <c r="Y401" s="38">
        <v>0</v>
      </c>
      <c r="Z401" s="40">
        <v>1087.0999999999999</v>
      </c>
      <c r="AA401" s="40">
        <v>1743.28</v>
      </c>
      <c r="AB401" s="40">
        <v>1436.77</v>
      </c>
      <c r="AC401" s="40">
        <v>1431.14</v>
      </c>
      <c r="AD401" s="40">
        <v>1476.5</v>
      </c>
      <c r="AE401" s="40">
        <v>205.3</v>
      </c>
      <c r="AF401" s="40">
        <v>247.74</v>
      </c>
      <c r="AG401" s="40">
        <v>220.66</v>
      </c>
      <c r="AH401" s="40">
        <v>222.5</v>
      </c>
      <c r="AI401" s="40">
        <v>124.63</v>
      </c>
      <c r="AK401" s="45">
        <f t="shared" si="59"/>
        <v>13.189999999999998</v>
      </c>
      <c r="AL401" s="46">
        <f t="shared" si="60"/>
        <v>7174.79</v>
      </c>
      <c r="AM401" s="46">
        <f t="shared" si="61"/>
        <v>1020.83</v>
      </c>
      <c r="AN401" s="46"/>
      <c r="AO401" s="119" t="s">
        <v>1197</v>
      </c>
      <c r="AP401" s="38" t="str">
        <f t="shared" si="56"/>
        <v>Exclude</v>
      </c>
    </row>
    <row r="402" spans="1:42" ht="60" hidden="1">
      <c r="A402" s="38" t="str">
        <f t="shared" si="55"/>
        <v>Ausgrid</v>
      </c>
      <c r="B402" s="38" t="s">
        <v>1197</v>
      </c>
      <c r="C402" s="38" t="str">
        <f t="shared" si="57"/>
        <v>Duplicate-SW0111 - Circuit Breaker, Bulk Oil, Outdoor AEI / Bharat 33kV LGIC/44 - ACCB, BULK OIL, OUTDOOR</v>
      </c>
      <c r="D402" s="38" t="str">
        <f t="shared" si="58"/>
        <v>Duplicate-</v>
      </c>
      <c r="E402" s="413"/>
      <c r="F402" s="43" t="s">
        <v>414</v>
      </c>
      <c r="G402" s="43" t="s">
        <v>943</v>
      </c>
      <c r="X402" s="38">
        <v>2</v>
      </c>
      <c r="Y402" s="38">
        <v>0</v>
      </c>
      <c r="AK402" s="45">
        <f t="shared" si="59"/>
        <v>0</v>
      </c>
      <c r="AL402" s="46">
        <f t="shared" si="60"/>
        <v>0</v>
      </c>
      <c r="AM402" s="46">
        <f t="shared" si="61"/>
        <v>0</v>
      </c>
      <c r="AN402" s="46"/>
      <c r="AO402" s="119" t="s">
        <v>1197</v>
      </c>
      <c r="AP402" s="38" t="str">
        <f t="shared" si="56"/>
        <v>Exclude</v>
      </c>
    </row>
    <row r="403" spans="1:42" ht="60" hidden="1">
      <c r="A403" s="38" t="str">
        <f t="shared" si="55"/>
        <v>Ausgrid</v>
      </c>
      <c r="B403" s="38" t="s">
        <v>1197</v>
      </c>
      <c r="C403" s="38" t="str">
        <f t="shared" si="57"/>
        <v>Duplicate-SW0112 - Circuit Breaker, Bulk Oil, Outdoor AEI / Bharat 33kV LGIC/44 - ACCB, BULK OIL, OUTDOOR</v>
      </c>
      <c r="D403" s="38" t="str">
        <f t="shared" si="58"/>
        <v>Duplicate-</v>
      </c>
      <c r="E403" s="413"/>
      <c r="F403" s="43" t="s">
        <v>414</v>
      </c>
      <c r="G403" s="43" t="s">
        <v>944</v>
      </c>
      <c r="X403" s="38">
        <v>6</v>
      </c>
      <c r="Y403" s="38">
        <v>6</v>
      </c>
      <c r="AK403" s="45">
        <f t="shared" si="59"/>
        <v>0</v>
      </c>
      <c r="AL403" s="46">
        <f t="shared" si="60"/>
        <v>0</v>
      </c>
      <c r="AM403" s="46">
        <f t="shared" si="61"/>
        <v>0</v>
      </c>
      <c r="AN403" s="46"/>
      <c r="AO403" s="119" t="s">
        <v>1197</v>
      </c>
      <c r="AP403" s="38" t="str">
        <f t="shared" si="56"/>
        <v>Exclude</v>
      </c>
    </row>
    <row r="404" spans="1:42" ht="60" hidden="1">
      <c r="A404" s="38" t="str">
        <f t="shared" si="55"/>
        <v>Ausgrid</v>
      </c>
      <c r="B404" s="38" t="s">
        <v>1197</v>
      </c>
      <c r="C404" s="38" t="str">
        <f t="shared" si="57"/>
        <v>Duplicate-SW0113 - Circuit Breaker, Bulk Oil, Outdoor AEI / Bharat 33kV LGIC/44 - ACCB, BULK OIL, OUTDOOR</v>
      </c>
      <c r="D404" s="38" t="str">
        <f t="shared" si="58"/>
        <v>Duplicate-</v>
      </c>
      <c r="E404" s="413"/>
      <c r="F404" s="43" t="s">
        <v>414</v>
      </c>
      <c r="G404" s="43" t="s">
        <v>945</v>
      </c>
      <c r="X404" s="38">
        <v>12</v>
      </c>
      <c r="Y404" s="38">
        <v>12</v>
      </c>
      <c r="AK404" s="45">
        <f t="shared" si="59"/>
        <v>0</v>
      </c>
      <c r="AL404" s="46">
        <f t="shared" si="60"/>
        <v>0</v>
      </c>
      <c r="AM404" s="46">
        <f t="shared" si="61"/>
        <v>0</v>
      </c>
      <c r="AN404" s="46"/>
      <c r="AO404" s="119" t="s">
        <v>1197</v>
      </c>
      <c r="AP404" s="38" t="str">
        <f t="shared" si="56"/>
        <v>Exclude</v>
      </c>
    </row>
    <row r="405" spans="1:42" ht="75" hidden="1">
      <c r="A405" s="38" t="str">
        <f t="shared" si="55"/>
        <v>Ausgrid</v>
      </c>
      <c r="B405" s="38" t="s">
        <v>1197</v>
      </c>
      <c r="C405" s="38" t="str">
        <f t="shared" si="57"/>
        <v>Duplicate-SW0102 - Circuit Breaker, Bulk oil, outdoor, Westinghouse 33kV 345 - GCN - ACCB, BULK OIL, OUTDOOR</v>
      </c>
      <c r="D405" s="38" t="str">
        <f t="shared" si="58"/>
        <v>Duplicate-</v>
      </c>
      <c r="E405" s="413"/>
      <c r="F405" s="43" t="s">
        <v>414</v>
      </c>
      <c r="G405" s="43" t="s">
        <v>946</v>
      </c>
      <c r="X405" s="38">
        <v>3</v>
      </c>
      <c r="Y405" s="38">
        <v>0</v>
      </c>
      <c r="AK405" s="45">
        <f t="shared" si="59"/>
        <v>0</v>
      </c>
      <c r="AL405" s="46">
        <f t="shared" si="60"/>
        <v>0</v>
      </c>
      <c r="AM405" s="46">
        <f t="shared" si="61"/>
        <v>0</v>
      </c>
      <c r="AN405" s="46"/>
      <c r="AO405" s="119" t="s">
        <v>1197</v>
      </c>
      <c r="AP405" s="38" t="str">
        <f t="shared" si="56"/>
        <v>Exclude</v>
      </c>
    </row>
    <row r="406" spans="1:42" ht="75" hidden="1">
      <c r="A406" s="38" t="str">
        <f t="shared" si="55"/>
        <v>Ausgrid</v>
      </c>
      <c r="B406" s="38" t="s">
        <v>1197</v>
      </c>
      <c r="C406" s="38" t="str">
        <f t="shared" si="57"/>
        <v>Duplicate-SW0103 - Circuit Breaker, Bulk oil, outdoor, Westinghouse 33kV 345 - GCN - ACCB, BULK OIL, OUTDOOR</v>
      </c>
      <c r="D406" s="38" t="str">
        <f t="shared" si="58"/>
        <v>Duplicate-</v>
      </c>
      <c r="E406" s="413"/>
      <c r="F406" s="43" t="s">
        <v>414</v>
      </c>
      <c r="G406" s="43" t="s">
        <v>947</v>
      </c>
      <c r="X406" s="38">
        <v>6</v>
      </c>
      <c r="Y406" s="38">
        <v>6</v>
      </c>
      <c r="AK406" s="45">
        <f t="shared" si="59"/>
        <v>0</v>
      </c>
      <c r="AL406" s="46">
        <f t="shared" si="60"/>
        <v>0</v>
      </c>
      <c r="AM406" s="46">
        <f t="shared" si="61"/>
        <v>0</v>
      </c>
      <c r="AN406" s="46"/>
      <c r="AO406" s="119" t="s">
        <v>1197</v>
      </c>
      <c r="AP406" s="38" t="str">
        <f t="shared" si="56"/>
        <v>Exclude</v>
      </c>
    </row>
    <row r="407" spans="1:42" ht="75" hidden="1">
      <c r="A407" s="38" t="str">
        <f t="shared" si="55"/>
        <v>Ausgrid</v>
      </c>
      <c r="B407" s="38" t="s">
        <v>1197</v>
      </c>
      <c r="C407" s="38" t="str">
        <f t="shared" si="57"/>
        <v>Duplicate-SW0104 - Circuit Breaker, Bulk oil, outdoor, Westinghouse 33kV 345 - GCN - ACCB, BULK OIL, OUTDOOR</v>
      </c>
      <c r="D407" s="38" t="str">
        <f t="shared" si="58"/>
        <v>Duplicate-</v>
      </c>
      <c r="E407" s="413"/>
      <c r="F407" s="43" t="s">
        <v>414</v>
      </c>
      <c r="G407" s="43" t="s">
        <v>948</v>
      </c>
      <c r="X407" s="38">
        <v>12</v>
      </c>
      <c r="Y407" s="38">
        <v>12</v>
      </c>
      <c r="AK407" s="45">
        <f t="shared" si="59"/>
        <v>0</v>
      </c>
      <c r="AL407" s="46">
        <f t="shared" si="60"/>
        <v>0</v>
      </c>
      <c r="AM407" s="46">
        <f t="shared" si="61"/>
        <v>0</v>
      </c>
      <c r="AN407" s="46"/>
      <c r="AO407" s="119" t="s">
        <v>1197</v>
      </c>
      <c r="AP407" s="38" t="str">
        <f t="shared" si="56"/>
        <v>Exclude</v>
      </c>
    </row>
    <row r="408" spans="1:42" ht="90" hidden="1">
      <c r="A408" s="38" t="str">
        <f t="shared" si="55"/>
        <v>Ausgrid</v>
      </c>
      <c r="B408" s="38" t="s">
        <v>1197</v>
      </c>
      <c r="C408" s="38" t="str">
        <f t="shared" si="57"/>
        <v>Duplicate-SW0105 - Circuit Breaker, Bulk oil, outdoor, Westinghouse 33kV 345 - GCS/GCNS 
(used as capacitor CB) - ACCB, BULK OIL, OUTDOOR</v>
      </c>
      <c r="D408" s="38" t="str">
        <f t="shared" si="58"/>
        <v>Duplicate-</v>
      </c>
      <c r="E408" s="413"/>
      <c r="F408" s="43" t="s">
        <v>414</v>
      </c>
      <c r="G408" s="43" t="s">
        <v>949</v>
      </c>
      <c r="X408" s="38">
        <v>0.5</v>
      </c>
      <c r="Y408" s="38">
        <v>0</v>
      </c>
      <c r="AK408" s="45">
        <f t="shared" si="59"/>
        <v>0</v>
      </c>
      <c r="AL408" s="46">
        <f t="shared" si="60"/>
        <v>0</v>
      </c>
      <c r="AM408" s="46">
        <f t="shared" si="61"/>
        <v>0</v>
      </c>
      <c r="AN408" s="46"/>
      <c r="AO408" s="119" t="s">
        <v>1197</v>
      </c>
      <c r="AP408" s="38" t="str">
        <f t="shared" si="56"/>
        <v>Exclude</v>
      </c>
    </row>
    <row r="409" spans="1:42" ht="90" hidden="1">
      <c r="A409" s="38" t="str">
        <f t="shared" si="55"/>
        <v>Ausgrid</v>
      </c>
      <c r="B409" s="38" t="s">
        <v>1197</v>
      </c>
      <c r="C409" s="38" t="str">
        <f t="shared" si="57"/>
        <v>Duplicate-SW0108 - Circuit Breaker, Bulk oil, outdoor, Westinghouse 33kV 345 - GCS/GCNS 
(used as capacitor CB) - ACCB, BULK OIL, OUTDOOR</v>
      </c>
      <c r="D409" s="38" t="str">
        <f t="shared" si="58"/>
        <v>Duplicate-</v>
      </c>
      <c r="E409" s="413"/>
      <c r="F409" s="43" t="s">
        <v>414</v>
      </c>
      <c r="G409" s="43" t="s">
        <v>950</v>
      </c>
      <c r="X409" s="38">
        <v>6</v>
      </c>
      <c r="Y409" s="38">
        <v>6</v>
      </c>
      <c r="AK409" s="45">
        <f t="shared" si="59"/>
        <v>0</v>
      </c>
      <c r="AL409" s="46">
        <f t="shared" si="60"/>
        <v>0</v>
      </c>
      <c r="AM409" s="46">
        <f t="shared" si="61"/>
        <v>0</v>
      </c>
      <c r="AN409" s="46"/>
      <c r="AO409" s="119" t="s">
        <v>1197</v>
      </c>
      <c r="AP409" s="38" t="str">
        <f t="shared" si="56"/>
        <v>Exclude</v>
      </c>
    </row>
    <row r="410" spans="1:42" ht="45" hidden="1">
      <c r="A410" s="38" t="str">
        <f t="shared" si="55"/>
        <v>Ausgrid</v>
      </c>
      <c r="B410" s="38" t="s">
        <v>1197</v>
      </c>
      <c r="C410" s="38" t="str">
        <f t="shared" si="57"/>
        <v>Duplicate-SW0114 - Circuit Breaker, English Electric, 33kV, OKH4 - ACCB, BULK OIL, OUTDOOR</v>
      </c>
      <c r="D410" s="38" t="str">
        <f t="shared" si="58"/>
        <v>Duplicate-</v>
      </c>
      <c r="E410" s="413"/>
      <c r="F410" s="43" t="s">
        <v>414</v>
      </c>
      <c r="G410" s="43" t="s">
        <v>951</v>
      </c>
      <c r="X410" s="38">
        <v>6</v>
      </c>
      <c r="Y410" s="38">
        <v>6</v>
      </c>
      <c r="AK410" s="45">
        <f t="shared" si="59"/>
        <v>0</v>
      </c>
      <c r="AL410" s="46">
        <f t="shared" si="60"/>
        <v>0</v>
      </c>
      <c r="AM410" s="46">
        <f t="shared" si="61"/>
        <v>0</v>
      </c>
      <c r="AN410" s="46"/>
      <c r="AO410" s="119" t="s">
        <v>1197</v>
      </c>
      <c r="AP410" s="38" t="str">
        <f t="shared" si="56"/>
        <v>Exclude</v>
      </c>
    </row>
    <row r="411" spans="1:42" ht="45" hidden="1">
      <c r="A411" s="38" t="str">
        <f t="shared" si="55"/>
        <v>Ausgrid</v>
      </c>
      <c r="B411" s="38" t="s">
        <v>1197</v>
      </c>
      <c r="C411" s="38" t="str">
        <f t="shared" si="57"/>
        <v>Duplicate-SW0115 - Circuit Breaker, English Electric, 33kV, OKH4 - ACCB, BULK OIL, OUTDOOR</v>
      </c>
      <c r="D411" s="38" t="str">
        <f t="shared" si="58"/>
        <v>Duplicate-</v>
      </c>
      <c r="E411" s="413"/>
      <c r="F411" s="43" t="s">
        <v>414</v>
      </c>
      <c r="G411" s="43" t="s">
        <v>952</v>
      </c>
      <c r="X411" s="38">
        <v>12</v>
      </c>
      <c r="Y411" s="38">
        <v>12</v>
      </c>
      <c r="AK411" s="45">
        <f t="shared" si="59"/>
        <v>0</v>
      </c>
      <c r="AL411" s="46">
        <f t="shared" si="60"/>
        <v>0</v>
      </c>
      <c r="AM411" s="46">
        <f t="shared" si="61"/>
        <v>0</v>
      </c>
      <c r="AN411" s="46"/>
      <c r="AO411" s="119" t="s">
        <v>1197</v>
      </c>
      <c r="AP411" s="38" t="str">
        <f t="shared" si="56"/>
        <v>Exclude</v>
      </c>
    </row>
    <row r="412" spans="1:42" ht="75" hidden="1">
      <c r="A412" s="38" t="str">
        <f t="shared" si="55"/>
        <v>Ausgrid</v>
      </c>
      <c r="B412" s="38" t="s">
        <v>1197</v>
      </c>
      <c r="C412" s="38" t="str">
        <f t="shared" si="57"/>
        <v>Duplicate-SW0201 - Circuit Breaker, Minimim Oil, Generic (Gas and Non-gas pressure) - ACCB, MINIMUM OIL, OUTDOOR</v>
      </c>
      <c r="D412" s="38" t="str">
        <f t="shared" si="58"/>
        <v>Duplicate-</v>
      </c>
      <c r="E412" s="413"/>
      <c r="F412" s="43" t="s">
        <v>414</v>
      </c>
      <c r="G412" s="43" t="s">
        <v>953</v>
      </c>
      <c r="X412" s="38">
        <v>1</v>
      </c>
      <c r="Y412" s="38">
        <v>0</v>
      </c>
      <c r="AK412" s="45">
        <f t="shared" si="59"/>
        <v>0</v>
      </c>
      <c r="AL412" s="46">
        <f t="shared" si="60"/>
        <v>0</v>
      </c>
      <c r="AM412" s="46">
        <f t="shared" si="61"/>
        <v>0</v>
      </c>
      <c r="AN412" s="46"/>
      <c r="AO412" s="119" t="s">
        <v>1197</v>
      </c>
      <c r="AP412" s="38" t="str">
        <f t="shared" si="56"/>
        <v>Exclude</v>
      </c>
    </row>
    <row r="413" spans="1:42" ht="60" hidden="1">
      <c r="A413" s="38" t="str">
        <f t="shared" si="55"/>
        <v>Ausgrid</v>
      </c>
      <c r="B413" s="38" t="s">
        <v>1197</v>
      </c>
      <c r="C413" s="38" t="str">
        <f t="shared" si="57"/>
        <v>Duplicate-SW0231 - Circuit Breaker, Minimum Oil, Outdoor, Generic - ACCB, MINIMUM OIL, OUTDOOR</v>
      </c>
      <c r="D413" s="38" t="str">
        <f t="shared" si="58"/>
        <v>Duplicate-</v>
      </c>
      <c r="E413" s="413"/>
      <c r="F413" s="43" t="s">
        <v>414</v>
      </c>
      <c r="G413" s="43" t="s">
        <v>954</v>
      </c>
      <c r="X413" s="38">
        <v>6</v>
      </c>
      <c r="Y413" s="38">
        <v>6</v>
      </c>
      <c r="AK413" s="45">
        <f t="shared" si="59"/>
        <v>0</v>
      </c>
      <c r="AL413" s="46">
        <f t="shared" si="60"/>
        <v>0</v>
      </c>
      <c r="AM413" s="46">
        <f t="shared" si="61"/>
        <v>0</v>
      </c>
      <c r="AN413" s="46"/>
      <c r="AO413" s="119" t="s">
        <v>1197</v>
      </c>
      <c r="AP413" s="38" t="str">
        <f t="shared" si="56"/>
        <v>Exclude</v>
      </c>
    </row>
    <row r="414" spans="1:42" ht="75" hidden="1">
      <c r="A414" s="38" t="str">
        <f t="shared" si="55"/>
        <v>Ausgrid</v>
      </c>
      <c r="B414" s="38" t="s">
        <v>1197</v>
      </c>
      <c r="C414" s="38" t="str">
        <f t="shared" si="57"/>
        <v>Duplicate-SW0201 - Circuit Breaker, Minimim Oil, Generic (Gas and Non-gas pressure) - ACCB, MINIMUM OIL, OUTDOOR</v>
      </c>
      <c r="D414" s="38" t="str">
        <f t="shared" si="58"/>
        <v>Duplicate-</v>
      </c>
      <c r="E414" s="413"/>
      <c r="F414" s="43" t="s">
        <v>414</v>
      </c>
      <c r="G414" s="43" t="s">
        <v>953</v>
      </c>
      <c r="X414" s="38">
        <v>2</v>
      </c>
      <c r="Y414" s="38">
        <v>0</v>
      </c>
      <c r="AK414" s="45">
        <f t="shared" si="59"/>
        <v>0</v>
      </c>
      <c r="AL414" s="46">
        <f t="shared" si="60"/>
        <v>0</v>
      </c>
      <c r="AM414" s="46">
        <f t="shared" si="61"/>
        <v>0</v>
      </c>
      <c r="AN414" s="46"/>
      <c r="AO414" s="119" t="s">
        <v>1197</v>
      </c>
      <c r="AP414" s="38" t="str">
        <f t="shared" si="56"/>
        <v>Exclude</v>
      </c>
    </row>
    <row r="415" spans="1:42" ht="75" hidden="1">
      <c r="A415" s="38" t="str">
        <f t="shared" si="55"/>
        <v>Ausgrid</v>
      </c>
      <c r="B415" s="38" t="s">
        <v>1197</v>
      </c>
      <c r="C415" s="38" t="str">
        <f t="shared" si="57"/>
        <v>Duplicate-SW0202 - Circuit Breaker, Minimum Oil, Outdoor, Sprecher &amp; Schuh HPF512, HPF509 and HPFA409 - ACCB, MINIMUM OIL, OUTDOOR</v>
      </c>
      <c r="D415" s="38" t="str">
        <f t="shared" si="58"/>
        <v>Duplicate-</v>
      </c>
      <c r="E415" s="413"/>
      <c r="F415" s="43" t="s">
        <v>414</v>
      </c>
      <c r="G415" s="43" t="s">
        <v>955</v>
      </c>
      <c r="X415" s="38">
        <v>6</v>
      </c>
      <c r="Y415" s="38">
        <v>6</v>
      </c>
      <c r="AK415" s="45">
        <f t="shared" si="59"/>
        <v>0</v>
      </c>
      <c r="AL415" s="46">
        <f t="shared" si="60"/>
        <v>0</v>
      </c>
      <c r="AM415" s="46">
        <f t="shared" si="61"/>
        <v>0</v>
      </c>
      <c r="AN415" s="46"/>
      <c r="AO415" s="119" t="s">
        <v>1197</v>
      </c>
      <c r="AP415" s="38" t="str">
        <f t="shared" si="56"/>
        <v>Exclude</v>
      </c>
    </row>
    <row r="416" spans="1:42" ht="75" hidden="1">
      <c r="A416" s="38" t="str">
        <f t="shared" si="55"/>
        <v>Ausgrid</v>
      </c>
      <c r="B416" s="38" t="s">
        <v>1197</v>
      </c>
      <c r="C416" s="38" t="str">
        <f t="shared" si="57"/>
        <v>Duplicate-SW0203 - Circuit Breaker, Minimum Oil, Outdoor, Sprecher &amp; Schuh HPF512, HPF509 and HPFA409 - ACCB, MINIMUM OIL, OUTDOOR</v>
      </c>
      <c r="D416" s="38" t="str">
        <f t="shared" si="58"/>
        <v>Duplicate-</v>
      </c>
      <c r="E416" s="413"/>
      <c r="F416" s="43" t="s">
        <v>414</v>
      </c>
      <c r="G416" s="43" t="s">
        <v>956</v>
      </c>
      <c r="X416" s="38">
        <v>12</v>
      </c>
      <c r="Y416" s="38">
        <v>12</v>
      </c>
      <c r="AK416" s="45">
        <f t="shared" si="59"/>
        <v>0</v>
      </c>
      <c r="AL416" s="46">
        <f t="shared" si="60"/>
        <v>0</v>
      </c>
      <c r="AM416" s="46">
        <f t="shared" si="61"/>
        <v>0</v>
      </c>
      <c r="AN416" s="46"/>
      <c r="AO416" s="119" t="s">
        <v>1197</v>
      </c>
      <c r="AP416" s="38" t="str">
        <f t="shared" si="56"/>
        <v>Exclude</v>
      </c>
    </row>
    <row r="417" spans="1:42" ht="60" hidden="1">
      <c r="A417" s="38" t="str">
        <f t="shared" si="55"/>
        <v>Ausgrid</v>
      </c>
      <c r="B417" s="38" t="s">
        <v>1197</v>
      </c>
      <c r="C417" s="38" t="str">
        <f t="shared" si="57"/>
        <v>Duplicate-SW0230 - Circuit Breaker, Minimum Oil, Outdoor, Generic - ACCB, MINIMUM OIL, OUTDOOR</v>
      </c>
      <c r="D417" s="38" t="str">
        <f t="shared" si="58"/>
        <v>Duplicate-</v>
      </c>
      <c r="E417" s="413"/>
      <c r="F417" s="43" t="s">
        <v>414</v>
      </c>
      <c r="G417" s="43" t="s">
        <v>957</v>
      </c>
      <c r="X417" s="38">
        <v>6</v>
      </c>
      <c r="Y417" s="38">
        <v>6</v>
      </c>
      <c r="AK417" s="45">
        <f t="shared" si="59"/>
        <v>0</v>
      </c>
      <c r="AL417" s="46">
        <f t="shared" si="60"/>
        <v>0</v>
      </c>
      <c r="AM417" s="46">
        <f t="shared" si="61"/>
        <v>0</v>
      </c>
      <c r="AN417" s="46"/>
      <c r="AO417" s="119" t="s">
        <v>1197</v>
      </c>
      <c r="AP417" s="38" t="str">
        <f t="shared" si="56"/>
        <v>Exclude</v>
      </c>
    </row>
    <row r="418" spans="1:42" ht="60" hidden="1">
      <c r="A418" s="38" t="str">
        <f t="shared" si="55"/>
        <v>Ausgrid</v>
      </c>
      <c r="B418" s="38" t="s">
        <v>1197</v>
      </c>
      <c r="C418" s="38" t="str">
        <f t="shared" si="57"/>
        <v>Duplicate-SW0231 - Circuit Breaker, Minimum Oil, Outdoor, Generic - ACCB, MINIMUM OIL, OUTDOOR</v>
      </c>
      <c r="D418" s="38" t="str">
        <f t="shared" si="58"/>
        <v>Duplicate-</v>
      </c>
      <c r="E418" s="413"/>
      <c r="F418" s="43" t="s">
        <v>414</v>
      </c>
      <c r="G418" s="43" t="s">
        <v>954</v>
      </c>
      <c r="X418" s="38">
        <v>12</v>
      </c>
      <c r="Y418" s="38">
        <v>12</v>
      </c>
      <c r="AK418" s="45">
        <f t="shared" si="59"/>
        <v>0</v>
      </c>
      <c r="AL418" s="46">
        <f t="shared" si="60"/>
        <v>0</v>
      </c>
      <c r="AM418" s="46">
        <f t="shared" si="61"/>
        <v>0</v>
      </c>
      <c r="AN418" s="46"/>
      <c r="AO418" s="119" t="s">
        <v>1197</v>
      </c>
      <c r="AP418" s="38" t="str">
        <f t="shared" si="56"/>
        <v>Exclude</v>
      </c>
    </row>
    <row r="419" spans="1:42" ht="60" hidden="1">
      <c r="A419" s="38" t="str">
        <f t="shared" si="55"/>
        <v>Ausgrid</v>
      </c>
      <c r="B419" s="38" t="s">
        <v>1197</v>
      </c>
      <c r="C419" s="38" t="str">
        <f t="shared" si="57"/>
        <v>Duplicate-SW0204 - Circuit Breaker, Minimum Oil, Outdoor, Asea Type HLD145 - ACCB, MINIMUM OIL, OUTDOOR</v>
      </c>
      <c r="D419" s="38" t="str">
        <f t="shared" si="58"/>
        <v>Duplicate-</v>
      </c>
      <c r="E419" s="413"/>
      <c r="F419" s="43" t="s">
        <v>414</v>
      </c>
      <c r="G419" s="43" t="s">
        <v>958</v>
      </c>
      <c r="X419" s="38">
        <v>6</v>
      </c>
      <c r="Y419" s="38">
        <v>6</v>
      </c>
      <c r="AK419" s="45">
        <f t="shared" si="59"/>
        <v>0</v>
      </c>
      <c r="AL419" s="46">
        <f t="shared" si="60"/>
        <v>0</v>
      </c>
      <c r="AM419" s="46">
        <f t="shared" si="61"/>
        <v>0</v>
      </c>
      <c r="AN419" s="46"/>
      <c r="AO419" s="119" t="s">
        <v>1197</v>
      </c>
      <c r="AP419" s="38" t="str">
        <f t="shared" si="56"/>
        <v>Exclude</v>
      </c>
    </row>
    <row r="420" spans="1:42" ht="60" hidden="1">
      <c r="A420" s="38" t="str">
        <f t="shared" si="55"/>
        <v>Ausgrid</v>
      </c>
      <c r="B420" s="38" t="s">
        <v>1197</v>
      </c>
      <c r="C420" s="38" t="str">
        <f t="shared" si="57"/>
        <v>Duplicate-SW0205 - Circuit Breaker, Minimum Oil, Outdoor, Asea Type HLD145 - ACCB, MINIMUM OIL, OUTDOOR</v>
      </c>
      <c r="D420" s="38" t="str">
        <f t="shared" si="58"/>
        <v>Duplicate-</v>
      </c>
      <c r="E420" s="413"/>
      <c r="F420" s="43" t="s">
        <v>414</v>
      </c>
      <c r="G420" s="43" t="s">
        <v>959</v>
      </c>
      <c r="X420" s="38">
        <v>12</v>
      </c>
      <c r="Y420" s="38">
        <v>12</v>
      </c>
      <c r="AK420" s="45">
        <f t="shared" si="59"/>
        <v>0</v>
      </c>
      <c r="AL420" s="46">
        <f t="shared" si="60"/>
        <v>0</v>
      </c>
      <c r="AM420" s="46">
        <f t="shared" si="61"/>
        <v>0</v>
      </c>
      <c r="AN420" s="46"/>
      <c r="AO420" s="119" t="s">
        <v>1197</v>
      </c>
      <c r="AP420" s="38" t="str">
        <f t="shared" si="56"/>
        <v>Exclude</v>
      </c>
    </row>
    <row r="421" spans="1:42" ht="60" hidden="1">
      <c r="A421" s="38" t="str">
        <f t="shared" si="55"/>
        <v>Ausgrid</v>
      </c>
      <c r="B421" s="38" t="s">
        <v>1197</v>
      </c>
      <c r="C421" s="38" t="str">
        <f t="shared" si="57"/>
        <v>Duplicate-SW0215 - Circuit Breaker, Minimim Oil, Generic - ACCB, MINIMUM OIL, OUTDOOR</v>
      </c>
      <c r="D421" s="38" t="str">
        <f t="shared" si="58"/>
        <v>Duplicate-</v>
      </c>
      <c r="E421" s="413"/>
      <c r="F421" s="43" t="s">
        <v>414</v>
      </c>
      <c r="G421" s="43" t="s">
        <v>960</v>
      </c>
      <c r="X421" s="38">
        <v>0.25</v>
      </c>
      <c r="Y421" s="38">
        <v>0</v>
      </c>
      <c r="AK421" s="45">
        <f t="shared" si="59"/>
        <v>0</v>
      </c>
      <c r="AL421" s="46">
        <f t="shared" si="60"/>
        <v>0</v>
      </c>
      <c r="AM421" s="46">
        <f t="shared" si="61"/>
        <v>0</v>
      </c>
      <c r="AN421" s="46"/>
      <c r="AO421" s="119" t="s">
        <v>1197</v>
      </c>
      <c r="AP421" s="38" t="str">
        <f t="shared" si="56"/>
        <v>Exclude</v>
      </c>
    </row>
    <row r="422" spans="1:42" ht="60" hidden="1">
      <c r="A422" s="38" t="str">
        <f t="shared" si="55"/>
        <v>Ausgrid</v>
      </c>
      <c r="B422" s="38" t="s">
        <v>1197</v>
      </c>
      <c r="C422" s="38" t="str">
        <f t="shared" si="57"/>
        <v>Duplicate-SW0206 - Circuit Breaker, Minimum Oil, Outdoor, ASEA Type HLR145 - ACCB, MINIMUM OIL, OUTDOOR</v>
      </c>
      <c r="D422" s="38" t="str">
        <f t="shared" si="58"/>
        <v>Duplicate-</v>
      </c>
      <c r="E422" s="413"/>
      <c r="F422" s="43" t="s">
        <v>414</v>
      </c>
      <c r="G422" s="43" t="s">
        <v>961</v>
      </c>
      <c r="X422" s="38">
        <v>6</v>
      </c>
      <c r="Y422" s="38">
        <v>6</v>
      </c>
      <c r="AK422" s="45">
        <f t="shared" si="59"/>
        <v>0</v>
      </c>
      <c r="AL422" s="46">
        <f t="shared" si="60"/>
        <v>0</v>
      </c>
      <c r="AM422" s="46">
        <f t="shared" si="61"/>
        <v>0</v>
      </c>
      <c r="AN422" s="46"/>
      <c r="AO422" s="119" t="s">
        <v>1197</v>
      </c>
      <c r="AP422" s="38" t="str">
        <f t="shared" si="56"/>
        <v>Exclude</v>
      </c>
    </row>
    <row r="423" spans="1:42" ht="60" hidden="1">
      <c r="A423" s="38" t="str">
        <f t="shared" si="55"/>
        <v>Ausgrid</v>
      </c>
      <c r="B423" s="38" t="s">
        <v>1197</v>
      </c>
      <c r="C423" s="38" t="str">
        <f t="shared" si="57"/>
        <v>Duplicate-SW0207 - Circuit Breaker, Minimum Oil, Outdoor, ASEA Type HLR145 - ACCB, MINIMUM OIL, OUTDOOR</v>
      </c>
      <c r="D423" s="38" t="str">
        <f t="shared" si="58"/>
        <v>Duplicate-</v>
      </c>
      <c r="E423" s="413"/>
      <c r="F423" s="43" t="s">
        <v>414</v>
      </c>
      <c r="G423" s="43" t="s">
        <v>962</v>
      </c>
      <c r="X423" s="38">
        <v>12</v>
      </c>
      <c r="Y423" s="38">
        <v>12</v>
      </c>
      <c r="AK423" s="45">
        <f t="shared" si="59"/>
        <v>0</v>
      </c>
      <c r="AL423" s="46">
        <f t="shared" si="60"/>
        <v>0</v>
      </c>
      <c r="AM423" s="46">
        <f t="shared" si="61"/>
        <v>0</v>
      </c>
      <c r="AN423" s="46"/>
      <c r="AO423" s="119" t="s">
        <v>1197</v>
      </c>
      <c r="AP423" s="38" t="str">
        <f t="shared" si="56"/>
        <v>Exclude</v>
      </c>
    </row>
    <row r="424" spans="1:42" ht="60" hidden="1">
      <c r="A424" s="38" t="str">
        <f t="shared" si="55"/>
        <v>Ausgrid</v>
      </c>
      <c r="B424" s="38" t="s">
        <v>1197</v>
      </c>
      <c r="C424" s="38" t="str">
        <f t="shared" si="57"/>
        <v>Duplicate-SW0216 - Circuit Breaker, Minimim Oil, ASEA, 66kV, Type HLC72.5 - ACCB, MINIMUM OIL, OUTDOOR</v>
      </c>
      <c r="D424" s="38" t="str">
        <f t="shared" si="58"/>
        <v>Duplicate-</v>
      </c>
      <c r="E424" s="413"/>
      <c r="F424" s="43" t="s">
        <v>414</v>
      </c>
      <c r="G424" s="43" t="s">
        <v>963</v>
      </c>
      <c r="X424" s="38">
        <v>6</v>
      </c>
      <c r="Y424" s="38">
        <v>6</v>
      </c>
      <c r="AK424" s="45">
        <f t="shared" si="59"/>
        <v>0</v>
      </c>
      <c r="AL424" s="46">
        <f t="shared" si="60"/>
        <v>0</v>
      </c>
      <c r="AM424" s="46">
        <f t="shared" si="61"/>
        <v>0</v>
      </c>
      <c r="AN424" s="46"/>
      <c r="AO424" s="119" t="s">
        <v>1197</v>
      </c>
      <c r="AP424" s="38" t="str">
        <f t="shared" si="56"/>
        <v>Exclude</v>
      </c>
    </row>
    <row r="425" spans="1:42" ht="60" hidden="1">
      <c r="A425" s="38" t="str">
        <f t="shared" si="55"/>
        <v>Ausgrid</v>
      </c>
      <c r="B425" s="38" t="s">
        <v>1197</v>
      </c>
      <c r="C425" s="38" t="str">
        <f t="shared" si="57"/>
        <v>Duplicate-SW0217 - Circuit Breaker, Minimim Oil, ASEA, 66kV, Type HLC72.5 - ACCB, MINIMUM OIL, OUTDOOR</v>
      </c>
      <c r="D425" s="38" t="str">
        <f t="shared" si="58"/>
        <v>Duplicate-</v>
      </c>
      <c r="E425" s="413"/>
      <c r="F425" s="43" t="s">
        <v>414</v>
      </c>
      <c r="G425" s="43" t="s">
        <v>964</v>
      </c>
      <c r="X425" s="38">
        <v>12</v>
      </c>
      <c r="Y425" s="38">
        <v>12</v>
      </c>
      <c r="AK425" s="45">
        <f t="shared" si="59"/>
        <v>0</v>
      </c>
      <c r="AL425" s="46">
        <f t="shared" si="60"/>
        <v>0</v>
      </c>
      <c r="AM425" s="46">
        <f t="shared" si="61"/>
        <v>0</v>
      </c>
      <c r="AN425" s="46"/>
      <c r="AO425" s="119" t="s">
        <v>1197</v>
      </c>
      <c r="AP425" s="38" t="str">
        <f t="shared" si="56"/>
        <v>Exclude</v>
      </c>
    </row>
    <row r="426" spans="1:42" ht="60" hidden="1">
      <c r="A426" s="38" t="str">
        <f t="shared" si="55"/>
        <v>Ausgrid</v>
      </c>
      <c r="B426" s="38" t="s">
        <v>1197</v>
      </c>
      <c r="C426" s="38" t="str">
        <f t="shared" si="57"/>
        <v>Duplicate-SW0220 - Circuit Breaker, Minimim Oil, 66kV, HKEY - ACCB, MINIMUM OIL, OUTDOOR</v>
      </c>
      <c r="D426" s="38" t="str">
        <f t="shared" si="58"/>
        <v>Duplicate-</v>
      </c>
      <c r="E426" s="413"/>
      <c r="F426" s="43" t="s">
        <v>414</v>
      </c>
      <c r="G426" s="43" t="s">
        <v>965</v>
      </c>
      <c r="X426" s="38">
        <v>6</v>
      </c>
      <c r="Y426" s="38">
        <v>6</v>
      </c>
      <c r="AK426" s="45">
        <f t="shared" si="59"/>
        <v>0</v>
      </c>
      <c r="AL426" s="46">
        <f t="shared" si="60"/>
        <v>0</v>
      </c>
      <c r="AM426" s="46">
        <f t="shared" si="61"/>
        <v>0</v>
      </c>
      <c r="AN426" s="46"/>
      <c r="AO426" s="119" t="s">
        <v>1197</v>
      </c>
      <c r="AP426" s="38" t="str">
        <f t="shared" si="56"/>
        <v>Exclude</v>
      </c>
    </row>
    <row r="427" spans="1:42" ht="60" hidden="1">
      <c r="A427" s="38" t="str">
        <f t="shared" si="55"/>
        <v>Ausgrid</v>
      </c>
      <c r="B427" s="38" t="s">
        <v>1197</v>
      </c>
      <c r="C427" s="38" t="str">
        <f t="shared" si="57"/>
        <v>Duplicate-SW0221 - Circuit Breaker, Minimim Oil, 66kV, HKEY - ACCB, MINIMUM OIL, OUTDOOR</v>
      </c>
      <c r="D427" s="38" t="str">
        <f t="shared" si="58"/>
        <v>Duplicate-</v>
      </c>
      <c r="E427" s="413"/>
      <c r="F427" s="43" t="s">
        <v>414</v>
      </c>
      <c r="G427" s="43" t="s">
        <v>966</v>
      </c>
      <c r="X427" s="38">
        <v>12</v>
      </c>
      <c r="Y427" s="38">
        <v>12</v>
      </c>
      <c r="AK427" s="45">
        <f t="shared" si="59"/>
        <v>0</v>
      </c>
      <c r="AL427" s="46">
        <f t="shared" si="60"/>
        <v>0</v>
      </c>
      <c r="AM427" s="46">
        <f t="shared" si="61"/>
        <v>0</v>
      </c>
      <c r="AN427" s="46"/>
      <c r="AO427" s="119" t="s">
        <v>1197</v>
      </c>
      <c r="AP427" s="38" t="str">
        <f t="shared" si="56"/>
        <v>Exclude</v>
      </c>
    </row>
    <row r="428" spans="1:42" ht="75" hidden="1">
      <c r="A428" s="38" t="str">
        <f t="shared" si="55"/>
        <v>Ausgrid</v>
      </c>
      <c r="B428" s="38" t="s">
        <v>1197</v>
      </c>
      <c r="C428" s="38" t="str">
        <f t="shared" si="57"/>
        <v>Duplicate-SW0213 - Circuit Breaker, 33kV, Minimim Oil, Magrini Galileo 33kV, 38 MGE - ACCB, MINIMUM OIL, OUTDOOR</v>
      </c>
      <c r="D428" s="38" t="str">
        <f t="shared" si="58"/>
        <v>Duplicate-</v>
      </c>
      <c r="E428" s="413"/>
      <c r="F428" s="43" t="s">
        <v>414</v>
      </c>
      <c r="G428" s="43" t="s">
        <v>967</v>
      </c>
      <c r="X428" s="38">
        <v>6</v>
      </c>
      <c r="Y428" s="38">
        <v>6</v>
      </c>
      <c r="AK428" s="45">
        <f t="shared" si="59"/>
        <v>0</v>
      </c>
      <c r="AL428" s="46">
        <f t="shared" si="60"/>
        <v>0</v>
      </c>
      <c r="AM428" s="46">
        <f t="shared" si="61"/>
        <v>0</v>
      </c>
      <c r="AN428" s="46"/>
      <c r="AO428" s="119" t="s">
        <v>1197</v>
      </c>
      <c r="AP428" s="38" t="str">
        <f t="shared" si="56"/>
        <v>Exclude</v>
      </c>
    </row>
    <row r="429" spans="1:42" ht="75" hidden="1">
      <c r="A429" s="38" t="str">
        <f t="shared" si="55"/>
        <v>Ausgrid</v>
      </c>
      <c r="B429" s="38" t="s">
        <v>1197</v>
      </c>
      <c r="C429" s="38" t="str">
        <f t="shared" si="57"/>
        <v>Duplicate-SW0214 - Circuit Breaker, 33kV, Minimim Oil, Magrini Galileo 33kV, 38 MGE - ACCB, MINIMUM OIL, OUTDOOR</v>
      </c>
      <c r="D429" s="38" t="str">
        <f t="shared" si="58"/>
        <v>Duplicate-</v>
      </c>
      <c r="E429" s="413"/>
      <c r="F429" s="43" t="s">
        <v>414</v>
      </c>
      <c r="G429" s="43" t="s">
        <v>968</v>
      </c>
      <c r="X429" s="38">
        <v>12</v>
      </c>
      <c r="Y429" s="38">
        <v>12</v>
      </c>
      <c r="AK429" s="45">
        <f t="shared" si="59"/>
        <v>0</v>
      </c>
      <c r="AL429" s="46">
        <f t="shared" si="60"/>
        <v>0</v>
      </c>
      <c r="AM429" s="46">
        <f t="shared" si="61"/>
        <v>0</v>
      </c>
      <c r="AN429" s="46"/>
      <c r="AO429" s="119" t="s">
        <v>1197</v>
      </c>
      <c r="AP429" s="38" t="str">
        <f t="shared" si="56"/>
        <v>Exclude</v>
      </c>
    </row>
    <row r="430" spans="1:42" ht="45" hidden="1">
      <c r="A430" s="38" t="str">
        <f t="shared" si="55"/>
        <v>Ausgrid</v>
      </c>
      <c r="B430" s="38" t="s">
        <v>1197</v>
      </c>
      <c r="C430" s="38" t="str">
        <f t="shared" si="57"/>
        <v>Duplicate-SW0301 - Circuit Breaker, Gas Indoor, Generic - ACCB, GAS, INDOOR</v>
      </c>
      <c r="D430" s="38" t="str">
        <f t="shared" si="58"/>
        <v>Duplicate-</v>
      </c>
      <c r="E430" s="413"/>
      <c r="F430" s="43" t="s">
        <v>414</v>
      </c>
      <c r="G430" s="43" t="s">
        <v>969</v>
      </c>
      <c r="X430" s="38">
        <v>2</v>
      </c>
      <c r="Y430" s="38">
        <v>0</v>
      </c>
      <c r="AK430" s="45">
        <f t="shared" si="59"/>
        <v>0</v>
      </c>
      <c r="AL430" s="46">
        <f t="shared" si="60"/>
        <v>0</v>
      </c>
      <c r="AM430" s="46">
        <f t="shared" si="61"/>
        <v>0</v>
      </c>
      <c r="AN430" s="46"/>
      <c r="AO430" s="119" t="s">
        <v>1197</v>
      </c>
      <c r="AP430" s="38" t="str">
        <f t="shared" si="56"/>
        <v>Exclude</v>
      </c>
    </row>
    <row r="431" spans="1:42" ht="60" hidden="1">
      <c r="A431" s="38" t="str">
        <f t="shared" si="55"/>
        <v>Ausgrid</v>
      </c>
      <c r="B431" s="38" t="s">
        <v>1197</v>
      </c>
      <c r="C431" s="38" t="str">
        <f t="shared" si="57"/>
        <v>Duplicate-SW0302 - Circuit Breaker,Gas Indoor, Brown Boveri, 132kV, Type ELKSN - ACCB, GAS, INDOOR</v>
      </c>
      <c r="D431" s="38" t="str">
        <f t="shared" si="58"/>
        <v>Duplicate-</v>
      </c>
      <c r="E431" s="413"/>
      <c r="F431" s="43" t="s">
        <v>414</v>
      </c>
      <c r="G431" s="43" t="s">
        <v>970</v>
      </c>
      <c r="X431" s="38">
        <v>12</v>
      </c>
      <c r="Y431" s="38">
        <v>0</v>
      </c>
      <c r="AK431" s="45">
        <f t="shared" si="59"/>
        <v>0</v>
      </c>
      <c r="AL431" s="46">
        <f t="shared" si="60"/>
        <v>0</v>
      </c>
      <c r="AM431" s="46">
        <f t="shared" si="61"/>
        <v>0</v>
      </c>
      <c r="AN431" s="46"/>
      <c r="AO431" s="119" t="s">
        <v>1197</v>
      </c>
      <c r="AP431" s="38" t="str">
        <f t="shared" si="56"/>
        <v>Exclude</v>
      </c>
    </row>
    <row r="432" spans="1:42" ht="60" hidden="1">
      <c r="A432" s="38" t="str">
        <f t="shared" si="55"/>
        <v>Ausgrid</v>
      </c>
      <c r="B432" s="38" t="s">
        <v>1197</v>
      </c>
      <c r="C432" s="38" t="str">
        <f t="shared" si="57"/>
        <v>Duplicate-SW0303 - Circuit Breaker,Gas Indoor, Hitachi, 132kV, Type CFPT-120-40L - ACCB, GAS, INDOOR</v>
      </c>
      <c r="D432" s="38" t="str">
        <f t="shared" si="58"/>
        <v>Duplicate-</v>
      </c>
      <c r="E432" s="413"/>
      <c r="F432" s="43" t="s">
        <v>414</v>
      </c>
      <c r="G432" s="43" t="s">
        <v>971</v>
      </c>
      <c r="X432" s="38">
        <v>12</v>
      </c>
      <c r="Y432" s="38">
        <v>0</v>
      </c>
      <c r="AK432" s="45">
        <f t="shared" si="59"/>
        <v>0</v>
      </c>
      <c r="AL432" s="46">
        <f t="shared" si="60"/>
        <v>0</v>
      </c>
      <c r="AM432" s="46">
        <f t="shared" si="61"/>
        <v>0</v>
      </c>
      <c r="AN432" s="46"/>
      <c r="AO432" s="119" t="s">
        <v>1197</v>
      </c>
      <c r="AP432" s="38" t="str">
        <f t="shared" si="56"/>
        <v>Exclude</v>
      </c>
    </row>
    <row r="433" spans="1:42" ht="60" hidden="1">
      <c r="A433" s="38" t="str">
        <f t="shared" si="55"/>
        <v>Ausgrid</v>
      </c>
      <c r="B433" s="38" t="s">
        <v>1197</v>
      </c>
      <c r="C433" s="38" t="str">
        <f t="shared" si="57"/>
        <v>Duplicate-SW0304 - Circuit Breaker,Gas Indoor, Fuji Electric Co, 132kV, Type BAK314NN - ACCB, GAS, INDOOR</v>
      </c>
      <c r="D433" s="38" t="str">
        <f t="shared" si="58"/>
        <v>Duplicate-</v>
      </c>
      <c r="E433" s="413"/>
      <c r="F433" s="43" t="s">
        <v>414</v>
      </c>
      <c r="G433" s="43" t="s">
        <v>972</v>
      </c>
      <c r="X433" s="38">
        <v>12</v>
      </c>
      <c r="Y433" s="38">
        <v>0</v>
      </c>
      <c r="AK433" s="45">
        <f t="shared" si="59"/>
        <v>0</v>
      </c>
      <c r="AL433" s="46">
        <f t="shared" si="60"/>
        <v>0</v>
      </c>
      <c r="AM433" s="46">
        <f t="shared" si="61"/>
        <v>0</v>
      </c>
      <c r="AN433" s="46"/>
      <c r="AO433" s="119" t="s">
        <v>1197</v>
      </c>
      <c r="AP433" s="38" t="str">
        <f t="shared" si="56"/>
        <v>Exclude</v>
      </c>
    </row>
    <row r="434" spans="1:42" ht="45" hidden="1">
      <c r="A434" s="38" t="str">
        <f t="shared" si="55"/>
        <v>Ausgrid</v>
      </c>
      <c r="B434" s="38" t="s">
        <v>1197</v>
      </c>
      <c r="C434" s="38" t="str">
        <f t="shared" si="57"/>
        <v>Duplicate-SW0301 - Circuit Breaker, Gas Indoor, Generic - ACCB, GAS, INDOOR</v>
      </c>
      <c r="D434" s="38" t="str">
        <f t="shared" si="58"/>
        <v>Duplicate-</v>
      </c>
      <c r="E434" s="413"/>
      <c r="F434" s="43" t="s">
        <v>414</v>
      </c>
      <c r="G434" s="43" t="s">
        <v>969</v>
      </c>
      <c r="X434" s="38">
        <v>6</v>
      </c>
      <c r="Y434" s="38">
        <v>0</v>
      </c>
      <c r="AK434" s="45">
        <f t="shared" si="59"/>
        <v>0</v>
      </c>
      <c r="AL434" s="46">
        <f t="shared" si="60"/>
        <v>0</v>
      </c>
      <c r="AM434" s="46">
        <f t="shared" si="61"/>
        <v>0</v>
      </c>
      <c r="AN434" s="46"/>
      <c r="AO434" s="119" t="s">
        <v>1197</v>
      </c>
      <c r="AP434" s="38" t="str">
        <f t="shared" si="56"/>
        <v>Exclude</v>
      </c>
    </row>
    <row r="435" spans="1:42" ht="60" hidden="1">
      <c r="A435" s="38" t="str">
        <f t="shared" ref="A435:A498" si="62">IF(E435&gt;0,E435,A434)</f>
        <v>Ausgrid</v>
      </c>
      <c r="B435" s="38" t="s">
        <v>1197</v>
      </c>
      <c r="C435" s="38" t="str">
        <f t="shared" si="57"/>
        <v>Duplicate-SW0306 - Circuit Breaker,Gas Indoor, Siemens, 132kV, Type 8DN8 - ACCB, GAS, INDOOR</v>
      </c>
      <c r="D435" s="38" t="str">
        <f t="shared" si="58"/>
        <v>Duplicate-</v>
      </c>
      <c r="E435" s="413"/>
      <c r="F435" s="43" t="s">
        <v>414</v>
      </c>
      <c r="G435" s="43" t="s">
        <v>973</v>
      </c>
      <c r="X435" s="38">
        <v>12</v>
      </c>
      <c r="Y435" s="38">
        <v>0</v>
      </c>
      <c r="AK435" s="45">
        <f t="shared" si="59"/>
        <v>0</v>
      </c>
      <c r="AL435" s="46">
        <f t="shared" si="60"/>
        <v>0</v>
      </c>
      <c r="AM435" s="46">
        <f t="shared" si="61"/>
        <v>0</v>
      </c>
      <c r="AN435" s="46"/>
      <c r="AO435" s="119" t="s">
        <v>1197</v>
      </c>
      <c r="AP435" s="38" t="str">
        <f t="shared" si="56"/>
        <v>Exclude</v>
      </c>
    </row>
    <row r="436" spans="1:42" ht="60" hidden="1">
      <c r="A436" s="38" t="str">
        <f t="shared" si="62"/>
        <v>Ausgrid</v>
      </c>
      <c r="B436" s="38" t="s">
        <v>1197</v>
      </c>
      <c r="C436" s="38" t="str">
        <f t="shared" si="57"/>
        <v>Duplicate-SW0307 - Circuit Breaker,Gas Indoor, Mitsubishi, 132kV, Type 120-SFMT-40CJ - ACCB, GAS, INDOOR</v>
      </c>
      <c r="D436" s="38" t="str">
        <f t="shared" si="58"/>
        <v>Duplicate-</v>
      </c>
      <c r="E436" s="413"/>
      <c r="F436" s="43" t="s">
        <v>414</v>
      </c>
      <c r="G436" s="43" t="s">
        <v>974</v>
      </c>
      <c r="X436" s="38">
        <v>12</v>
      </c>
      <c r="Y436" s="38">
        <v>0</v>
      </c>
      <c r="AK436" s="45">
        <f t="shared" si="59"/>
        <v>0</v>
      </c>
      <c r="AL436" s="46">
        <f t="shared" si="60"/>
        <v>0</v>
      </c>
      <c r="AM436" s="46">
        <f t="shared" si="61"/>
        <v>0</v>
      </c>
      <c r="AN436" s="46"/>
      <c r="AO436" s="119" t="s">
        <v>1197</v>
      </c>
      <c r="AP436" s="38" t="str">
        <f t="shared" si="56"/>
        <v>Exclude</v>
      </c>
    </row>
    <row r="437" spans="1:42" ht="60" hidden="1">
      <c r="A437" s="38" t="str">
        <f t="shared" si="62"/>
        <v>Ausgrid</v>
      </c>
      <c r="B437" s="38" t="s">
        <v>1197</v>
      </c>
      <c r="C437" s="38" t="str">
        <f t="shared" si="57"/>
        <v>Duplicate-SW0305 - Circuit Breaker,Gas Indoor, ABB, 132kV, Type HDG (ELK-0) - ACCB, GAS, INDOOR</v>
      </c>
      <c r="D437" s="38" t="str">
        <f t="shared" si="58"/>
        <v>Duplicate-</v>
      </c>
      <c r="E437" s="413"/>
      <c r="F437" s="43" t="s">
        <v>414</v>
      </c>
      <c r="G437" s="43" t="s">
        <v>975</v>
      </c>
      <c r="X437" s="38">
        <v>12</v>
      </c>
      <c r="Y437" s="38">
        <v>0</v>
      </c>
      <c r="AK437" s="45">
        <f t="shared" si="59"/>
        <v>0</v>
      </c>
      <c r="AL437" s="46">
        <f t="shared" si="60"/>
        <v>0</v>
      </c>
      <c r="AM437" s="46">
        <f t="shared" si="61"/>
        <v>0</v>
      </c>
      <c r="AN437" s="46"/>
      <c r="AO437" s="119" t="s">
        <v>1197</v>
      </c>
      <c r="AP437" s="38" t="str">
        <f t="shared" si="56"/>
        <v>Exclude</v>
      </c>
    </row>
    <row r="438" spans="1:42" ht="45" hidden="1">
      <c r="A438" s="38" t="str">
        <f t="shared" si="62"/>
        <v>Ausgrid</v>
      </c>
      <c r="B438" s="38" t="s">
        <v>1197</v>
      </c>
      <c r="C438" s="38" t="str">
        <f t="shared" si="57"/>
        <v>Duplicate-SW0311 - Circuit Breaker,Gas Indoor, ABB, 33kV, Type HB / HC - ACCB, GAS, INDOOR</v>
      </c>
      <c r="D438" s="38" t="str">
        <f t="shared" si="58"/>
        <v>Duplicate-</v>
      </c>
      <c r="E438" s="413"/>
      <c r="F438" s="43" t="s">
        <v>414</v>
      </c>
      <c r="G438" s="43" t="s">
        <v>976</v>
      </c>
      <c r="X438" s="38">
        <v>12</v>
      </c>
      <c r="Y438" s="38">
        <v>0</v>
      </c>
      <c r="AK438" s="45">
        <f t="shared" si="59"/>
        <v>0</v>
      </c>
      <c r="AL438" s="46">
        <f t="shared" si="60"/>
        <v>0</v>
      </c>
      <c r="AM438" s="46">
        <f t="shared" si="61"/>
        <v>0</v>
      </c>
      <c r="AN438" s="46"/>
      <c r="AO438" s="119" t="s">
        <v>1197</v>
      </c>
      <c r="AP438" s="38" t="str">
        <f t="shared" si="56"/>
        <v>Exclude</v>
      </c>
    </row>
    <row r="439" spans="1:42" ht="60" hidden="1">
      <c r="A439" s="38" t="str">
        <f t="shared" si="62"/>
        <v>Ausgrid</v>
      </c>
      <c r="B439" s="38" t="s">
        <v>1197</v>
      </c>
      <c r="C439" s="38" t="str">
        <f t="shared" si="57"/>
        <v>Duplicate-SW0312 - Circuit Breaker,Gas Indoor, Merlin Gerin, 33kV, Type SFI-G - ACCB, GAS, INDOOR</v>
      </c>
      <c r="D439" s="38" t="str">
        <f t="shared" si="58"/>
        <v>Duplicate-</v>
      </c>
      <c r="E439" s="413"/>
      <c r="F439" s="43" t="s">
        <v>414</v>
      </c>
      <c r="G439" s="43" t="s">
        <v>977</v>
      </c>
      <c r="X439" s="38">
        <v>12</v>
      </c>
      <c r="Y439" s="38">
        <v>0</v>
      </c>
      <c r="AK439" s="45">
        <f t="shared" si="59"/>
        <v>0</v>
      </c>
      <c r="AL439" s="46">
        <f t="shared" si="60"/>
        <v>0</v>
      </c>
      <c r="AM439" s="46">
        <f t="shared" si="61"/>
        <v>0</v>
      </c>
      <c r="AN439" s="46"/>
      <c r="AO439" s="119" t="s">
        <v>1197</v>
      </c>
      <c r="AP439" s="38" t="str">
        <f t="shared" si="56"/>
        <v>Exclude</v>
      </c>
    </row>
    <row r="440" spans="1:42" ht="45" hidden="1">
      <c r="A440" s="38" t="str">
        <f t="shared" si="62"/>
        <v>Ausgrid</v>
      </c>
      <c r="B440" s="38" t="s">
        <v>1197</v>
      </c>
      <c r="C440" s="38" t="str">
        <f t="shared" si="57"/>
        <v>Duplicate-SW0301 - Circuit Breaker, Gas Indoor, Generic - ACCB, GAS, INDOOR</v>
      </c>
      <c r="D440" s="38" t="str">
        <f t="shared" si="58"/>
        <v>Duplicate-</v>
      </c>
      <c r="E440" s="413"/>
      <c r="F440" s="43" t="s">
        <v>414</v>
      </c>
      <c r="G440" s="43" t="s">
        <v>969</v>
      </c>
      <c r="X440" s="38">
        <v>3</v>
      </c>
      <c r="Y440" s="38">
        <v>0</v>
      </c>
      <c r="AK440" s="45">
        <f t="shared" si="59"/>
        <v>0</v>
      </c>
      <c r="AL440" s="46">
        <f t="shared" si="60"/>
        <v>0</v>
      </c>
      <c r="AM440" s="46">
        <f t="shared" si="61"/>
        <v>0</v>
      </c>
      <c r="AN440" s="46"/>
      <c r="AO440" s="119" t="s">
        <v>1197</v>
      </c>
      <c r="AP440" s="38" t="str">
        <f t="shared" si="56"/>
        <v>Exclude</v>
      </c>
    </row>
    <row r="441" spans="1:42" ht="60" hidden="1">
      <c r="A441" s="38" t="str">
        <f t="shared" si="62"/>
        <v>Ausgrid</v>
      </c>
      <c r="B441" s="38" t="s">
        <v>1197</v>
      </c>
      <c r="C441" s="38" t="str">
        <f t="shared" si="57"/>
        <v>Duplicate-SW0314 - Circuit Breaker,Gas Indoor, Merlin Gerin, 33kV, Type Fluarc / FCSF6 - ACCB, GAS, INDOOR</v>
      </c>
      <c r="D441" s="38" t="str">
        <f t="shared" si="58"/>
        <v>Duplicate-</v>
      </c>
      <c r="E441" s="413"/>
      <c r="F441" s="43" t="s">
        <v>414</v>
      </c>
      <c r="G441" s="43" t="s">
        <v>978</v>
      </c>
      <c r="X441" s="38">
        <v>12</v>
      </c>
      <c r="Y441" s="38">
        <v>12</v>
      </c>
      <c r="AK441" s="45">
        <f t="shared" si="59"/>
        <v>0</v>
      </c>
      <c r="AL441" s="46">
        <f t="shared" si="60"/>
        <v>0</v>
      </c>
      <c r="AM441" s="46">
        <f t="shared" si="61"/>
        <v>0</v>
      </c>
      <c r="AN441" s="46"/>
      <c r="AO441" s="119" t="s">
        <v>1197</v>
      </c>
      <c r="AP441" s="38" t="str">
        <f t="shared" si="56"/>
        <v>Exclude</v>
      </c>
    </row>
    <row r="442" spans="1:42" ht="60" hidden="1">
      <c r="A442" s="38" t="str">
        <f t="shared" si="62"/>
        <v>Ausgrid</v>
      </c>
      <c r="B442" s="38" t="s">
        <v>1197</v>
      </c>
      <c r="C442" s="38" t="str">
        <f t="shared" si="57"/>
        <v>Duplicate-SW0315 - Circuit Breaker,Gas Indoor, Schneider, 33kV, Type SF2 - ACCB, GAS, INDOOR</v>
      </c>
      <c r="D442" s="38" t="str">
        <f t="shared" si="58"/>
        <v>Duplicate-</v>
      </c>
      <c r="E442" s="413"/>
      <c r="F442" s="43" t="s">
        <v>414</v>
      </c>
      <c r="G442" s="43" t="s">
        <v>979</v>
      </c>
      <c r="X442" s="38">
        <v>12</v>
      </c>
      <c r="Y442" s="38">
        <v>12</v>
      </c>
      <c r="AK442" s="45">
        <f t="shared" si="59"/>
        <v>0</v>
      </c>
      <c r="AL442" s="46">
        <f t="shared" si="60"/>
        <v>0</v>
      </c>
      <c r="AM442" s="46">
        <f t="shared" si="61"/>
        <v>0</v>
      </c>
      <c r="AN442" s="46"/>
      <c r="AO442" s="119" t="s">
        <v>1197</v>
      </c>
      <c r="AP442" s="38" t="str">
        <f t="shared" si="56"/>
        <v>Exclude</v>
      </c>
    </row>
    <row r="443" spans="1:42" ht="45" hidden="1">
      <c r="A443" s="38" t="str">
        <f t="shared" si="62"/>
        <v>Ausgrid</v>
      </c>
      <c r="B443" s="38" t="s">
        <v>1197</v>
      </c>
      <c r="C443" s="38" t="str">
        <f t="shared" si="57"/>
        <v>Duplicate-SW0316 - Circuit Breaker, Gas Indoor, HD4 - ACCB, GAS, INDOOR</v>
      </c>
      <c r="D443" s="38" t="str">
        <f t="shared" si="58"/>
        <v>Duplicate-</v>
      </c>
      <c r="E443" s="413"/>
      <c r="F443" s="43" t="s">
        <v>414</v>
      </c>
      <c r="G443" s="43" t="s">
        <v>980</v>
      </c>
      <c r="X443" s="38">
        <v>12</v>
      </c>
      <c r="Y443" s="38">
        <v>12</v>
      </c>
      <c r="AK443" s="45">
        <f t="shared" si="59"/>
        <v>0</v>
      </c>
      <c r="AL443" s="46">
        <f t="shared" si="60"/>
        <v>0</v>
      </c>
      <c r="AM443" s="46">
        <f t="shared" si="61"/>
        <v>0</v>
      </c>
      <c r="AN443" s="46"/>
      <c r="AO443" s="119" t="s">
        <v>1197</v>
      </c>
      <c r="AP443" s="38" t="str">
        <f t="shared" si="56"/>
        <v>Exclude</v>
      </c>
    </row>
    <row r="444" spans="1:42" ht="45" hidden="1">
      <c r="A444" s="38" t="str">
        <f t="shared" si="62"/>
        <v>Ausgrid</v>
      </c>
      <c r="B444" s="38" t="s">
        <v>1197</v>
      </c>
      <c r="C444" s="38" t="str">
        <f t="shared" si="57"/>
        <v>Duplicate-SW0401 - Circuit Breaker, Vacuum, Outdoor, Generic - ACCB, VACUUM, OUTDOOR</v>
      </c>
      <c r="D444" s="38" t="str">
        <f t="shared" si="58"/>
        <v>Duplicate-</v>
      </c>
      <c r="E444" s="413"/>
      <c r="F444" s="43" t="s">
        <v>414</v>
      </c>
      <c r="G444" s="43" t="s">
        <v>981</v>
      </c>
      <c r="X444" s="38">
        <v>6</v>
      </c>
      <c r="Y444" s="38">
        <v>0</v>
      </c>
      <c r="AK444" s="45">
        <f t="shared" si="59"/>
        <v>0</v>
      </c>
      <c r="AL444" s="46">
        <f t="shared" si="60"/>
        <v>0</v>
      </c>
      <c r="AM444" s="46">
        <f t="shared" si="61"/>
        <v>0</v>
      </c>
      <c r="AN444" s="46"/>
      <c r="AO444" s="119" t="s">
        <v>1197</v>
      </c>
      <c r="AP444" s="38" t="str">
        <f t="shared" si="56"/>
        <v>Exclude</v>
      </c>
    </row>
    <row r="445" spans="1:42" ht="60" hidden="1">
      <c r="A445" s="38" t="str">
        <f t="shared" si="62"/>
        <v>Ausgrid</v>
      </c>
      <c r="B445" s="38" t="s">
        <v>1197</v>
      </c>
      <c r="C445" s="38" t="str">
        <f t="shared" si="57"/>
        <v>Duplicate-SW0402 - Circuit Breaker, Vacuum, Outdoor, 33kv, Alstom Type OX36 - ACCB, VACUUM, OUTDOOR</v>
      </c>
      <c r="D445" s="38" t="str">
        <f t="shared" si="58"/>
        <v>Duplicate-</v>
      </c>
      <c r="E445" s="413"/>
      <c r="F445" s="43" t="s">
        <v>414</v>
      </c>
      <c r="G445" s="43" t="s">
        <v>982</v>
      </c>
      <c r="X445" s="38">
        <v>12</v>
      </c>
      <c r="Y445" s="38">
        <v>0</v>
      </c>
      <c r="AK445" s="45">
        <f t="shared" si="59"/>
        <v>0</v>
      </c>
      <c r="AL445" s="46">
        <f t="shared" si="60"/>
        <v>0</v>
      </c>
      <c r="AM445" s="46">
        <f t="shared" si="61"/>
        <v>0</v>
      </c>
      <c r="AN445" s="46"/>
      <c r="AO445" s="119" t="s">
        <v>1197</v>
      </c>
      <c r="AP445" s="38" t="str">
        <f t="shared" si="56"/>
        <v>Exclude</v>
      </c>
    </row>
    <row r="446" spans="1:42" ht="45" hidden="1">
      <c r="A446" s="38" t="str">
        <f t="shared" si="62"/>
        <v>Ausgrid</v>
      </c>
      <c r="B446" s="38" t="s">
        <v>1197</v>
      </c>
      <c r="C446" s="38" t="str">
        <f t="shared" si="57"/>
        <v>Duplicate-SW0403 - Circuit Breaker, Vacuum, Outdoor, Generic,  - ACCB, VACUUM, OUTDOOR</v>
      </c>
      <c r="D446" s="38" t="str">
        <f t="shared" si="58"/>
        <v>Duplicate-</v>
      </c>
      <c r="E446" s="413"/>
      <c r="F446" s="43" t="s">
        <v>414</v>
      </c>
      <c r="G446" s="43" t="s">
        <v>983</v>
      </c>
      <c r="X446" s="38">
        <v>3</v>
      </c>
      <c r="Y446" s="38">
        <v>0</v>
      </c>
      <c r="AK446" s="45">
        <f t="shared" si="59"/>
        <v>0</v>
      </c>
      <c r="AL446" s="46">
        <f t="shared" si="60"/>
        <v>0</v>
      </c>
      <c r="AM446" s="46">
        <f t="shared" si="61"/>
        <v>0</v>
      </c>
      <c r="AN446" s="46"/>
      <c r="AO446" s="119" t="s">
        <v>1197</v>
      </c>
      <c r="AP446" s="38" t="str">
        <f t="shared" si="56"/>
        <v>Exclude</v>
      </c>
    </row>
    <row r="447" spans="1:42" ht="60" hidden="1">
      <c r="A447" s="38" t="str">
        <f t="shared" si="62"/>
        <v>Ausgrid</v>
      </c>
      <c r="B447" s="38" t="s">
        <v>1197</v>
      </c>
      <c r="C447" s="38" t="str">
        <f t="shared" si="57"/>
        <v>Duplicate-SW0404 - Circuit Breaker, Vacuum, Outdoor, ABB R-MAG, 27kV  - ACCB, VACUUM, OUTDOOR</v>
      </c>
      <c r="D447" s="38" t="str">
        <f t="shared" si="58"/>
        <v>Duplicate-</v>
      </c>
      <c r="E447" s="413"/>
      <c r="F447" s="43" t="s">
        <v>414</v>
      </c>
      <c r="G447" s="43" t="s">
        <v>984</v>
      </c>
      <c r="X447" s="38">
        <v>12</v>
      </c>
      <c r="Y447" s="38">
        <v>0</v>
      </c>
      <c r="AK447" s="45">
        <f t="shared" si="59"/>
        <v>0</v>
      </c>
      <c r="AL447" s="46">
        <f t="shared" si="60"/>
        <v>0</v>
      </c>
      <c r="AM447" s="46">
        <f t="shared" si="61"/>
        <v>0</v>
      </c>
      <c r="AN447" s="46"/>
      <c r="AO447" s="119" t="s">
        <v>1197</v>
      </c>
      <c r="AP447" s="38" t="str">
        <f t="shared" si="56"/>
        <v>Exclude</v>
      </c>
    </row>
    <row r="448" spans="1:42" ht="60" hidden="1">
      <c r="A448" s="38" t="str">
        <f t="shared" si="62"/>
        <v>Ausgrid</v>
      </c>
      <c r="B448" s="38" t="s">
        <v>1197</v>
      </c>
      <c r="C448" s="38" t="str">
        <f t="shared" si="57"/>
        <v>Duplicate-SW0405 - Circuit Breaker, Vacuum, Outdoor, ABB R-MAG, 27kV  - ACCB, VACUUM, OUTDOOR</v>
      </c>
      <c r="D448" s="38" t="str">
        <f t="shared" si="58"/>
        <v>Duplicate-</v>
      </c>
      <c r="E448" s="413"/>
      <c r="F448" s="43" t="s">
        <v>414</v>
      </c>
      <c r="G448" s="43" t="s">
        <v>985</v>
      </c>
      <c r="X448" s="38">
        <v>20</v>
      </c>
      <c r="Y448" s="38">
        <v>20</v>
      </c>
      <c r="AK448" s="45">
        <f t="shared" si="59"/>
        <v>0</v>
      </c>
      <c r="AL448" s="46">
        <f t="shared" si="60"/>
        <v>0</v>
      </c>
      <c r="AM448" s="46">
        <f t="shared" si="61"/>
        <v>0</v>
      </c>
      <c r="AN448" s="46"/>
      <c r="AO448" s="119" t="s">
        <v>1197</v>
      </c>
      <c r="AP448" s="38" t="str">
        <f t="shared" si="56"/>
        <v>Exclude</v>
      </c>
    </row>
    <row r="449" spans="1:42" ht="45" hidden="1">
      <c r="A449" s="38" t="str">
        <f t="shared" si="62"/>
        <v>Ausgrid</v>
      </c>
      <c r="B449" s="38" t="s">
        <v>1197</v>
      </c>
      <c r="C449" s="38" t="str">
        <f t="shared" si="57"/>
        <v>Duplicate-SW0501 - Circuit Breaker, Air Indoor, Generic - ACCB, AIR, INDOOR</v>
      </c>
      <c r="D449" s="38" t="str">
        <f t="shared" si="58"/>
        <v>Duplicate-</v>
      </c>
      <c r="E449" s="413"/>
      <c r="F449" s="43" t="s">
        <v>414</v>
      </c>
      <c r="G449" s="43" t="s">
        <v>986</v>
      </c>
      <c r="X449" s="38">
        <v>2</v>
      </c>
      <c r="Y449" s="38">
        <v>0</v>
      </c>
      <c r="AK449" s="45">
        <f t="shared" si="59"/>
        <v>0</v>
      </c>
      <c r="AL449" s="46">
        <f t="shared" si="60"/>
        <v>0</v>
      </c>
      <c r="AM449" s="46">
        <f t="shared" si="61"/>
        <v>0</v>
      </c>
      <c r="AN449" s="46"/>
      <c r="AO449" s="119" t="s">
        <v>1197</v>
      </c>
      <c r="AP449" s="38" t="str">
        <f t="shared" si="56"/>
        <v>Exclude</v>
      </c>
    </row>
    <row r="450" spans="1:42" ht="60" hidden="1">
      <c r="A450" s="38" t="str">
        <f t="shared" si="62"/>
        <v>Ausgrid</v>
      </c>
      <c r="B450" s="38" t="s">
        <v>1197</v>
      </c>
      <c r="C450" s="38" t="str">
        <f t="shared" si="57"/>
        <v>Duplicate-SW0502 - Circuit Breaker, Air, Indoor, Hitachi, 33kV, PBR-150 - ACCB, AIR, INDOOR</v>
      </c>
      <c r="D450" s="38" t="str">
        <f t="shared" si="58"/>
        <v>Duplicate-</v>
      </c>
      <c r="E450" s="413"/>
      <c r="F450" s="43" t="s">
        <v>414</v>
      </c>
      <c r="G450" s="43" t="s">
        <v>987</v>
      </c>
      <c r="X450" s="38">
        <v>6</v>
      </c>
      <c r="Y450" s="38">
        <v>0</v>
      </c>
      <c r="AK450" s="45">
        <f t="shared" si="59"/>
        <v>0</v>
      </c>
      <c r="AL450" s="46">
        <f t="shared" si="60"/>
        <v>0</v>
      </c>
      <c r="AM450" s="46">
        <f t="shared" si="61"/>
        <v>0</v>
      </c>
      <c r="AN450" s="46"/>
      <c r="AO450" s="119" t="s">
        <v>1197</v>
      </c>
      <c r="AP450" s="38" t="str">
        <f t="shared" si="56"/>
        <v>Exclude</v>
      </c>
    </row>
    <row r="451" spans="1:42" ht="60" hidden="1">
      <c r="A451" s="38" t="str">
        <f t="shared" si="62"/>
        <v>Ausgrid</v>
      </c>
      <c r="B451" s="38" t="s">
        <v>1197</v>
      </c>
      <c r="C451" s="38" t="str">
        <f t="shared" si="57"/>
        <v>Duplicate-SW0503 - Circuit Breaker, Air, Indoor, Hitachi, 33kV, PBR-150 - ACCB, AIR, INDOOR</v>
      </c>
      <c r="D451" s="38" t="str">
        <f t="shared" si="58"/>
        <v>Duplicate-</v>
      </c>
      <c r="E451" s="413"/>
      <c r="F451" s="43" t="s">
        <v>414</v>
      </c>
      <c r="G451" s="43" t="s">
        <v>988</v>
      </c>
      <c r="X451" s="38">
        <v>12</v>
      </c>
      <c r="Y451" s="38">
        <v>0</v>
      </c>
      <c r="AK451" s="45">
        <f t="shared" si="59"/>
        <v>0</v>
      </c>
      <c r="AL451" s="46">
        <f t="shared" si="60"/>
        <v>0</v>
      </c>
      <c r="AM451" s="46">
        <f t="shared" si="61"/>
        <v>0</v>
      </c>
      <c r="AN451" s="46"/>
      <c r="AO451" s="119" t="s">
        <v>1197</v>
      </c>
      <c r="AP451" s="38" t="str">
        <f t="shared" ref="AP451:AP514" si="63">IFERROR(VLOOKUP(C451,$AR:$AS,2,FALSE),"Exclude")</f>
        <v>Exclude</v>
      </c>
    </row>
    <row r="452" spans="1:42" ht="60" hidden="1">
      <c r="A452" s="38" t="str">
        <f t="shared" si="62"/>
        <v>Ausgrid</v>
      </c>
      <c r="B452" s="38" t="s">
        <v>1197</v>
      </c>
      <c r="C452" s="38" t="str">
        <f t="shared" ref="C452:C515" si="64">B452&amp;"-"&amp;G452</f>
        <v>Duplicate-SW0601 - Circuit Breaker, 11kV, Indoor Bulk Oil, Email/Westinghouse J18/22 - ACCB, BULK OIL, INDOOR</v>
      </c>
      <c r="D452" s="38" t="str">
        <f t="shared" ref="D452:D515" si="65">B452&amp;"-"&amp;H452</f>
        <v>Duplicate-</v>
      </c>
      <c r="E452" s="413"/>
      <c r="F452" s="43" t="s">
        <v>414</v>
      </c>
      <c r="G452" s="43" t="s">
        <v>989</v>
      </c>
      <c r="X452" s="38">
        <v>3</v>
      </c>
      <c r="Y452" s="38">
        <v>0</v>
      </c>
      <c r="AK452" s="45">
        <f t="shared" ref="AK452:AK515" si="66">SUM(N452:R452)</f>
        <v>0</v>
      </c>
      <c r="AL452" s="46">
        <f t="shared" ref="AL452:AL515" si="67">SUM(Z452:AD452)</f>
        <v>0</v>
      </c>
      <c r="AM452" s="46">
        <f t="shared" ref="AM452:AM515" si="68">SUM(AE452:AI452)</f>
        <v>0</v>
      </c>
      <c r="AN452" s="46"/>
      <c r="AO452" s="119" t="s">
        <v>1197</v>
      </c>
      <c r="AP452" s="38" t="str">
        <f t="shared" si="63"/>
        <v>Exclude</v>
      </c>
    </row>
    <row r="453" spans="1:42" ht="60" hidden="1">
      <c r="A453" s="38" t="str">
        <f t="shared" si="62"/>
        <v>Ausgrid</v>
      </c>
      <c r="B453" s="38" t="s">
        <v>1197</v>
      </c>
      <c r="C453" s="38" t="str">
        <f t="shared" si="64"/>
        <v>Duplicate-SW0602 - Circuit Breaker, 11kV, Indoor Bulk Oil, Email/Westinghouse J18/J22 - ACCB, BULK OIL, INDOOR</v>
      </c>
      <c r="D453" s="38" t="str">
        <f t="shared" si="65"/>
        <v>Duplicate-</v>
      </c>
      <c r="E453" s="413"/>
      <c r="F453" s="43" t="s">
        <v>414</v>
      </c>
      <c r="G453" s="43" t="s">
        <v>990</v>
      </c>
      <c r="X453" s="38">
        <v>6</v>
      </c>
      <c r="Y453" s="38">
        <v>6</v>
      </c>
      <c r="AK453" s="45">
        <f t="shared" si="66"/>
        <v>0</v>
      </c>
      <c r="AL453" s="46">
        <f t="shared" si="67"/>
        <v>0</v>
      </c>
      <c r="AM453" s="46">
        <f t="shared" si="68"/>
        <v>0</v>
      </c>
      <c r="AN453" s="46"/>
      <c r="AO453" s="119" t="s">
        <v>1197</v>
      </c>
      <c r="AP453" s="38" t="str">
        <f t="shared" si="63"/>
        <v>Exclude</v>
      </c>
    </row>
    <row r="454" spans="1:42" ht="60" hidden="1">
      <c r="A454" s="38" t="str">
        <f t="shared" si="62"/>
        <v>Ausgrid</v>
      </c>
      <c r="B454" s="38" t="s">
        <v>1197</v>
      </c>
      <c r="C454" s="38" t="str">
        <f t="shared" si="64"/>
        <v>Duplicate-SW0603 - Circuit Breaker, 11kV, Indoor Bulk Oil, Email/Westinghouse J18/J22 - ACCB, BULK OIL, INDOOR</v>
      </c>
      <c r="D454" s="38" t="str">
        <f t="shared" si="65"/>
        <v>Duplicate-</v>
      </c>
      <c r="E454" s="413"/>
      <c r="F454" s="43" t="s">
        <v>414</v>
      </c>
      <c r="G454" s="43" t="s">
        <v>991</v>
      </c>
      <c r="X454" s="38">
        <v>12</v>
      </c>
      <c r="Y454" s="38">
        <v>12</v>
      </c>
      <c r="AK454" s="45">
        <f t="shared" si="66"/>
        <v>0</v>
      </c>
      <c r="AL454" s="46">
        <f t="shared" si="67"/>
        <v>0</v>
      </c>
      <c r="AM454" s="46">
        <f t="shared" si="68"/>
        <v>0</v>
      </c>
      <c r="AN454" s="46"/>
      <c r="AO454" s="119" t="s">
        <v>1197</v>
      </c>
      <c r="AP454" s="38" t="str">
        <f t="shared" si="63"/>
        <v>Exclude</v>
      </c>
    </row>
    <row r="455" spans="1:42" ht="60" hidden="1">
      <c r="A455" s="38" t="str">
        <f t="shared" si="62"/>
        <v>Ausgrid</v>
      </c>
      <c r="B455" s="38" t="s">
        <v>1197</v>
      </c>
      <c r="C455" s="38" t="str">
        <f t="shared" si="64"/>
        <v>Duplicate-SW0608 - Circuit Breaker, 33kV &amp; 11kV , Indoor Bulk Oil, Generic - ACCB, BULK OIL, INDOOR</v>
      </c>
      <c r="D455" s="38" t="str">
        <f t="shared" si="65"/>
        <v>Duplicate-</v>
      </c>
      <c r="E455" s="413"/>
      <c r="F455" s="43" t="s">
        <v>414</v>
      </c>
      <c r="G455" s="43" t="s">
        <v>992</v>
      </c>
      <c r="X455" s="38">
        <v>3</v>
      </c>
      <c r="Y455" s="38">
        <v>0</v>
      </c>
      <c r="AK455" s="45">
        <f t="shared" si="66"/>
        <v>0</v>
      </c>
      <c r="AL455" s="46">
        <f t="shared" si="67"/>
        <v>0</v>
      </c>
      <c r="AM455" s="46">
        <f t="shared" si="68"/>
        <v>0</v>
      </c>
      <c r="AN455" s="46"/>
      <c r="AO455" s="119" t="s">
        <v>1197</v>
      </c>
      <c r="AP455" s="38" t="str">
        <f t="shared" si="63"/>
        <v>Exclude</v>
      </c>
    </row>
    <row r="456" spans="1:42" ht="60" hidden="1">
      <c r="A456" s="38" t="str">
        <f t="shared" si="62"/>
        <v>Ausgrid</v>
      </c>
      <c r="B456" s="38" t="s">
        <v>1197</v>
      </c>
      <c r="C456" s="38" t="str">
        <f t="shared" si="64"/>
        <v>Duplicate-SW0630 - Circuit Breaker, 11kV, Bulk Oil, South Wales D &amp; C Series - ACCB, BULK OIL, INDOOR</v>
      </c>
      <c r="D456" s="38" t="str">
        <f t="shared" si="65"/>
        <v>Duplicate-</v>
      </c>
      <c r="E456" s="413"/>
      <c r="F456" s="43" t="s">
        <v>414</v>
      </c>
      <c r="G456" s="43" t="s">
        <v>993</v>
      </c>
      <c r="X456" s="38">
        <v>6</v>
      </c>
      <c r="Y456" s="38">
        <v>6</v>
      </c>
      <c r="AK456" s="45">
        <f t="shared" si="66"/>
        <v>0</v>
      </c>
      <c r="AL456" s="46">
        <f t="shared" si="67"/>
        <v>0</v>
      </c>
      <c r="AM456" s="46">
        <f t="shared" si="68"/>
        <v>0</v>
      </c>
      <c r="AN456" s="46"/>
      <c r="AO456" s="119" t="s">
        <v>1197</v>
      </c>
      <c r="AP456" s="38" t="str">
        <f t="shared" si="63"/>
        <v>Exclude</v>
      </c>
    </row>
    <row r="457" spans="1:42" ht="60" hidden="1">
      <c r="A457" s="38" t="str">
        <f t="shared" si="62"/>
        <v>Ausgrid</v>
      </c>
      <c r="B457" s="38" t="s">
        <v>1197</v>
      </c>
      <c r="C457" s="38" t="str">
        <f t="shared" si="64"/>
        <v>Duplicate-SW0631 - Circuit Breaker, 11kV, Bulk Oil, South Wales D &amp; C Series - ACCB, BULK OIL, INDOOR</v>
      </c>
      <c r="D457" s="38" t="str">
        <f t="shared" si="65"/>
        <v>Duplicate-</v>
      </c>
      <c r="E457" s="413"/>
      <c r="F457" s="43" t="s">
        <v>414</v>
      </c>
      <c r="G457" s="43" t="s">
        <v>994</v>
      </c>
      <c r="X457" s="38">
        <v>12</v>
      </c>
      <c r="Y457" s="38">
        <v>12</v>
      </c>
      <c r="AK457" s="45">
        <f t="shared" si="66"/>
        <v>0</v>
      </c>
      <c r="AL457" s="46">
        <f t="shared" si="67"/>
        <v>0</v>
      </c>
      <c r="AM457" s="46">
        <f t="shared" si="68"/>
        <v>0</v>
      </c>
      <c r="AN457" s="46"/>
      <c r="AO457" s="119" t="s">
        <v>1197</v>
      </c>
      <c r="AP457" s="38" t="str">
        <f t="shared" si="63"/>
        <v>Exclude</v>
      </c>
    </row>
    <row r="458" spans="1:42" ht="60" hidden="1">
      <c r="A458" s="38" t="str">
        <f t="shared" si="62"/>
        <v>Ausgrid</v>
      </c>
      <c r="B458" s="38" t="s">
        <v>1197</v>
      </c>
      <c r="C458" s="38" t="str">
        <f t="shared" si="64"/>
        <v>Duplicate-SW0633 - Circuit Breaker, 11kV, Bulk Oil, Westinghouse F100 / F150 - ACCB, BULK OIL, INDOOR</v>
      </c>
      <c r="D458" s="38" t="str">
        <f t="shared" si="65"/>
        <v>Duplicate-</v>
      </c>
      <c r="E458" s="413"/>
      <c r="F458" s="43" t="s">
        <v>414</v>
      </c>
      <c r="G458" s="43" t="s">
        <v>995</v>
      </c>
      <c r="X458" s="38">
        <v>6</v>
      </c>
      <c r="Y458" s="38">
        <v>6</v>
      </c>
      <c r="AK458" s="45">
        <f t="shared" si="66"/>
        <v>0</v>
      </c>
      <c r="AL458" s="46">
        <f t="shared" si="67"/>
        <v>0</v>
      </c>
      <c r="AM458" s="46">
        <f t="shared" si="68"/>
        <v>0</v>
      </c>
      <c r="AN458" s="46"/>
      <c r="AO458" s="119" t="s">
        <v>1197</v>
      </c>
      <c r="AP458" s="38" t="str">
        <f t="shared" si="63"/>
        <v>Exclude</v>
      </c>
    </row>
    <row r="459" spans="1:42" ht="60" hidden="1">
      <c r="A459" s="38" t="str">
        <f t="shared" si="62"/>
        <v>Ausgrid</v>
      </c>
      <c r="B459" s="38" t="s">
        <v>1197</v>
      </c>
      <c r="C459" s="38" t="str">
        <f t="shared" si="64"/>
        <v>Duplicate-SW0611 - Circuit Breaker, 11kV, Indoor Bulk Oil, Email S15 - ACCB, BULK OIL, INDOOR</v>
      </c>
      <c r="D459" s="38" t="str">
        <f t="shared" si="65"/>
        <v>Duplicate-</v>
      </c>
      <c r="E459" s="413"/>
      <c r="F459" s="43" t="s">
        <v>414</v>
      </c>
      <c r="G459" s="43" t="s">
        <v>996</v>
      </c>
      <c r="X459" s="38">
        <v>6</v>
      </c>
      <c r="Y459" s="38">
        <v>6</v>
      </c>
      <c r="AK459" s="45">
        <f t="shared" si="66"/>
        <v>0</v>
      </c>
      <c r="AL459" s="46">
        <f t="shared" si="67"/>
        <v>0</v>
      </c>
      <c r="AM459" s="46">
        <f t="shared" si="68"/>
        <v>0</v>
      </c>
      <c r="AN459" s="46"/>
      <c r="AO459" s="119" t="s">
        <v>1197</v>
      </c>
      <c r="AP459" s="38" t="str">
        <f t="shared" si="63"/>
        <v>Exclude</v>
      </c>
    </row>
    <row r="460" spans="1:42" ht="60" hidden="1">
      <c r="A460" s="38" t="str">
        <f t="shared" si="62"/>
        <v>Ausgrid</v>
      </c>
      <c r="B460" s="38" t="s">
        <v>1197</v>
      </c>
      <c r="C460" s="38" t="str">
        <f t="shared" si="64"/>
        <v>Duplicate-SW0612 - Circuit Breaker, 11kV, Indoor Bulk Oil, Email S15 - ACCB, BULK OIL, INDOOR</v>
      </c>
      <c r="D460" s="38" t="str">
        <f t="shared" si="65"/>
        <v>Duplicate-</v>
      </c>
      <c r="E460" s="413"/>
      <c r="F460" s="43" t="s">
        <v>414</v>
      </c>
      <c r="G460" s="43" t="s">
        <v>997</v>
      </c>
      <c r="X460" s="38">
        <v>12</v>
      </c>
      <c r="Y460" s="38">
        <v>12</v>
      </c>
      <c r="AK460" s="45">
        <f t="shared" si="66"/>
        <v>0</v>
      </c>
      <c r="AL460" s="46">
        <f t="shared" si="67"/>
        <v>0</v>
      </c>
      <c r="AM460" s="46">
        <f t="shared" si="68"/>
        <v>0</v>
      </c>
      <c r="AN460" s="46"/>
      <c r="AO460" s="119" t="s">
        <v>1197</v>
      </c>
      <c r="AP460" s="38" t="str">
        <f t="shared" si="63"/>
        <v>Exclude</v>
      </c>
    </row>
    <row r="461" spans="1:42" ht="60" hidden="1">
      <c r="A461" s="38" t="str">
        <f t="shared" si="62"/>
        <v>Ausgrid</v>
      </c>
      <c r="B461" s="38" t="s">
        <v>1197</v>
      </c>
      <c r="C461" s="38" t="str">
        <f t="shared" si="64"/>
        <v>Duplicate-SW0608 - Circuit Breaker, 33kV &amp; 11kV , Indoor Bulk Oil, Generic - ACCB, BULK OIL, INDOOR</v>
      </c>
      <c r="D461" s="38" t="str">
        <f t="shared" si="65"/>
        <v>Duplicate-</v>
      </c>
      <c r="E461" s="413"/>
      <c r="F461" s="43" t="s">
        <v>414</v>
      </c>
      <c r="G461" s="43" t="s">
        <v>992</v>
      </c>
      <c r="X461" s="38">
        <v>1</v>
      </c>
      <c r="Y461" s="38">
        <v>0</v>
      </c>
      <c r="AK461" s="45">
        <f t="shared" si="66"/>
        <v>0</v>
      </c>
      <c r="AL461" s="46">
        <f t="shared" si="67"/>
        <v>0</v>
      </c>
      <c r="AM461" s="46">
        <f t="shared" si="68"/>
        <v>0</v>
      </c>
      <c r="AN461" s="46"/>
      <c r="AO461" s="119" t="s">
        <v>1197</v>
      </c>
      <c r="AP461" s="38" t="str">
        <f t="shared" si="63"/>
        <v>Exclude</v>
      </c>
    </row>
    <row r="462" spans="1:42" ht="60" hidden="1">
      <c r="A462" s="38" t="str">
        <f t="shared" si="62"/>
        <v>Ausgrid</v>
      </c>
      <c r="B462" s="38" t="s">
        <v>1197</v>
      </c>
      <c r="C462" s="38" t="str">
        <f t="shared" si="64"/>
        <v>Duplicate-SW0613 - Circuit Breaker, 11kV, Indoor Bulk Oil, P4 Series - ACCB, BULK OIL, INDOOR</v>
      </c>
      <c r="D462" s="38" t="str">
        <f t="shared" si="65"/>
        <v>Duplicate-</v>
      </c>
      <c r="E462" s="413"/>
      <c r="F462" s="43" t="s">
        <v>414</v>
      </c>
      <c r="G462" s="43" t="s">
        <v>998</v>
      </c>
      <c r="X462" s="38">
        <v>6</v>
      </c>
      <c r="Y462" s="38">
        <v>6</v>
      </c>
      <c r="AK462" s="45">
        <f t="shared" si="66"/>
        <v>0</v>
      </c>
      <c r="AL462" s="46">
        <f t="shared" si="67"/>
        <v>0</v>
      </c>
      <c r="AM462" s="46">
        <f t="shared" si="68"/>
        <v>0</v>
      </c>
      <c r="AN462" s="46"/>
      <c r="AO462" s="119" t="s">
        <v>1197</v>
      </c>
      <c r="AP462" s="38" t="str">
        <f t="shared" si="63"/>
        <v>Exclude</v>
      </c>
    </row>
    <row r="463" spans="1:42" ht="60" hidden="1">
      <c r="A463" s="38" t="str">
        <f t="shared" si="62"/>
        <v>Ausgrid</v>
      </c>
      <c r="B463" s="38" t="s">
        <v>1197</v>
      </c>
      <c r="C463" s="38" t="str">
        <f t="shared" si="64"/>
        <v>Duplicate-SW0614 - Circuit Breaker, 11kV, Indoor Bulk Oil, P4 Series - ACCB, BULK OIL, INDOOR</v>
      </c>
      <c r="D463" s="38" t="str">
        <f t="shared" si="65"/>
        <v>Duplicate-</v>
      </c>
      <c r="E463" s="413"/>
      <c r="F463" s="43" t="s">
        <v>414</v>
      </c>
      <c r="G463" s="43" t="s">
        <v>999</v>
      </c>
      <c r="X463" s="38">
        <v>12</v>
      </c>
      <c r="Y463" s="38">
        <v>12</v>
      </c>
      <c r="AK463" s="45">
        <f t="shared" si="66"/>
        <v>0</v>
      </c>
      <c r="AL463" s="46">
        <f t="shared" si="67"/>
        <v>0</v>
      </c>
      <c r="AM463" s="46">
        <f t="shared" si="68"/>
        <v>0</v>
      </c>
      <c r="AN463" s="46"/>
      <c r="AO463" s="119" t="s">
        <v>1197</v>
      </c>
      <c r="AP463" s="38" t="str">
        <f t="shared" si="63"/>
        <v>Exclude</v>
      </c>
    </row>
    <row r="464" spans="1:42" ht="60" hidden="1">
      <c r="A464" s="38" t="str">
        <f t="shared" si="62"/>
        <v>Ausgrid</v>
      </c>
      <c r="B464" s="38" t="s">
        <v>1197</v>
      </c>
      <c r="C464" s="38" t="str">
        <f t="shared" si="64"/>
        <v>Duplicate-SW0608 - Circuit Breaker, 33kV &amp; 11kV , Indoor Bulk Oil, Generic - ACCB, BULK OIL, INDOOR</v>
      </c>
      <c r="D464" s="38" t="str">
        <f t="shared" si="65"/>
        <v>Duplicate-</v>
      </c>
      <c r="E464" s="413"/>
      <c r="F464" s="43" t="s">
        <v>414</v>
      </c>
      <c r="G464" s="43" t="s">
        <v>992</v>
      </c>
      <c r="X464" s="38">
        <v>2</v>
      </c>
      <c r="Y464" s="38">
        <v>0</v>
      </c>
      <c r="AK464" s="45">
        <f t="shared" si="66"/>
        <v>0</v>
      </c>
      <c r="AL464" s="46">
        <f t="shared" si="67"/>
        <v>0</v>
      </c>
      <c r="AM464" s="46">
        <f t="shared" si="68"/>
        <v>0</v>
      </c>
      <c r="AN464" s="46"/>
      <c r="AO464" s="119" t="s">
        <v>1197</v>
      </c>
      <c r="AP464" s="38" t="str">
        <f t="shared" si="63"/>
        <v>Exclude</v>
      </c>
    </row>
    <row r="465" spans="1:42" ht="60" hidden="1">
      <c r="A465" s="38" t="str">
        <f t="shared" si="62"/>
        <v>Ausgrid</v>
      </c>
      <c r="B465" s="38" t="s">
        <v>1197</v>
      </c>
      <c r="C465" s="38" t="str">
        <f t="shared" si="64"/>
        <v>Duplicate-SW0634 - Circuit Breaker, 11kV, Bulk Oil, Reyrolle C5, C6 &amp; C7 - ACCB, BULK OIL, INDOOR</v>
      </c>
      <c r="D465" s="38" t="str">
        <f t="shared" si="65"/>
        <v>Duplicate-</v>
      </c>
      <c r="E465" s="413"/>
      <c r="F465" s="43" t="s">
        <v>414</v>
      </c>
      <c r="G465" s="43" t="s">
        <v>1000</v>
      </c>
      <c r="X465" s="38">
        <v>6</v>
      </c>
      <c r="Y465" s="38">
        <v>6</v>
      </c>
      <c r="AK465" s="45">
        <f t="shared" si="66"/>
        <v>0</v>
      </c>
      <c r="AL465" s="46">
        <f t="shared" si="67"/>
        <v>0</v>
      </c>
      <c r="AM465" s="46">
        <f t="shared" si="68"/>
        <v>0</v>
      </c>
      <c r="AN465" s="46"/>
      <c r="AO465" s="119" t="s">
        <v>1197</v>
      </c>
      <c r="AP465" s="38" t="str">
        <f t="shared" si="63"/>
        <v>Exclude</v>
      </c>
    </row>
    <row r="466" spans="1:42" ht="60" hidden="1">
      <c r="A466" s="38" t="str">
        <f t="shared" si="62"/>
        <v>Ausgrid</v>
      </c>
      <c r="B466" s="38" t="s">
        <v>1197</v>
      </c>
      <c r="C466" s="38" t="str">
        <f t="shared" si="64"/>
        <v>Duplicate-SW0635 - Circuit Breaker, 11kV, Bulk Oil, Reyrolle C5, C6 &amp; C7 - ACCB, BULK OIL, INDOOR</v>
      </c>
      <c r="D466" s="38" t="str">
        <f t="shared" si="65"/>
        <v>Duplicate-</v>
      </c>
      <c r="E466" s="413"/>
      <c r="F466" s="43" t="s">
        <v>414</v>
      </c>
      <c r="G466" s="43" t="s">
        <v>1001</v>
      </c>
      <c r="X466" s="38">
        <v>12</v>
      </c>
      <c r="Y466" s="38">
        <v>12</v>
      </c>
      <c r="AK466" s="45">
        <f t="shared" si="66"/>
        <v>0</v>
      </c>
      <c r="AL466" s="46">
        <f t="shared" si="67"/>
        <v>0</v>
      </c>
      <c r="AM466" s="46">
        <f t="shared" si="68"/>
        <v>0</v>
      </c>
      <c r="AN466" s="46"/>
      <c r="AO466" s="119" t="s">
        <v>1197</v>
      </c>
      <c r="AP466" s="38" t="str">
        <f t="shared" si="63"/>
        <v>Exclude</v>
      </c>
    </row>
    <row r="467" spans="1:42" ht="60" hidden="1">
      <c r="A467" s="38" t="str">
        <f t="shared" si="62"/>
        <v>Ausgrid</v>
      </c>
      <c r="B467" s="38" t="s">
        <v>1197</v>
      </c>
      <c r="C467" s="38" t="str">
        <f t="shared" si="64"/>
        <v>Duplicate-SW0636 - Circuit Breaker, 11kV, Bulk Oil, Reyrolle LA22 / LC22 - ACCB, BULK OIL, INDOOR</v>
      </c>
      <c r="D467" s="38" t="str">
        <f t="shared" si="65"/>
        <v>Duplicate-</v>
      </c>
      <c r="E467" s="413"/>
      <c r="F467" s="43" t="s">
        <v>414</v>
      </c>
      <c r="G467" s="43" t="s">
        <v>1002</v>
      </c>
      <c r="X467" s="38">
        <v>6</v>
      </c>
      <c r="Y467" s="38">
        <v>6</v>
      </c>
      <c r="AK467" s="45">
        <f t="shared" si="66"/>
        <v>0</v>
      </c>
      <c r="AL467" s="46">
        <f t="shared" si="67"/>
        <v>0</v>
      </c>
      <c r="AM467" s="46">
        <f t="shared" si="68"/>
        <v>0</v>
      </c>
      <c r="AN467" s="46"/>
      <c r="AO467" s="119" t="s">
        <v>1197</v>
      </c>
      <c r="AP467" s="38" t="str">
        <f t="shared" si="63"/>
        <v>Exclude</v>
      </c>
    </row>
    <row r="468" spans="1:42" ht="60" hidden="1">
      <c r="A468" s="38" t="str">
        <f t="shared" si="62"/>
        <v>Ausgrid</v>
      </c>
      <c r="B468" s="38" t="s">
        <v>1197</v>
      </c>
      <c r="C468" s="38" t="str">
        <f t="shared" si="64"/>
        <v>Duplicate-SW0637 - Circuit Breaker, 11kV, Bulk Oil, Reyrolle LA22 / LC22 - ACCB, BULK OIL, INDOOR</v>
      </c>
      <c r="D468" s="38" t="str">
        <f t="shared" si="65"/>
        <v>Duplicate-</v>
      </c>
      <c r="E468" s="413"/>
      <c r="F468" s="43" t="s">
        <v>414</v>
      </c>
      <c r="G468" s="43" t="s">
        <v>1003</v>
      </c>
      <c r="X468" s="38">
        <v>12</v>
      </c>
      <c r="Y468" s="38">
        <v>12</v>
      </c>
      <c r="AK468" s="45">
        <f t="shared" si="66"/>
        <v>0</v>
      </c>
      <c r="AL468" s="46">
        <f t="shared" si="67"/>
        <v>0</v>
      </c>
      <c r="AM468" s="46">
        <f t="shared" si="68"/>
        <v>0</v>
      </c>
      <c r="AN468" s="46"/>
      <c r="AO468" s="119" t="s">
        <v>1197</v>
      </c>
      <c r="AP468" s="38" t="str">
        <f t="shared" si="63"/>
        <v>Exclude</v>
      </c>
    </row>
    <row r="469" spans="1:42" ht="60" hidden="1">
      <c r="A469" s="38" t="str">
        <f t="shared" si="62"/>
        <v>Ausgrid</v>
      </c>
      <c r="B469" s="38" t="s">
        <v>1197</v>
      </c>
      <c r="C469" s="38" t="str">
        <f t="shared" si="64"/>
        <v>Duplicate-SW0638 - Circuit Breaker, 11kV, Bulk Oil, Westinghouse F250 - ACCB, BULK OIL, INDOOR</v>
      </c>
      <c r="D469" s="38" t="str">
        <f t="shared" si="65"/>
        <v>Duplicate-</v>
      </c>
      <c r="E469" s="413"/>
      <c r="F469" s="43" t="s">
        <v>414</v>
      </c>
      <c r="G469" s="43" t="s">
        <v>1004</v>
      </c>
      <c r="X469" s="38">
        <v>6</v>
      </c>
      <c r="Y469" s="38">
        <v>6</v>
      </c>
      <c r="AK469" s="45">
        <f t="shared" si="66"/>
        <v>0</v>
      </c>
      <c r="AL469" s="46">
        <f t="shared" si="67"/>
        <v>0</v>
      </c>
      <c r="AM469" s="46">
        <f t="shared" si="68"/>
        <v>0</v>
      </c>
      <c r="AN469" s="46"/>
      <c r="AO469" s="119" t="s">
        <v>1197</v>
      </c>
      <c r="AP469" s="38" t="str">
        <f t="shared" si="63"/>
        <v>Exclude</v>
      </c>
    </row>
    <row r="470" spans="1:42" ht="60" hidden="1">
      <c r="A470" s="38" t="str">
        <f t="shared" si="62"/>
        <v>Ausgrid</v>
      </c>
      <c r="B470" s="38" t="s">
        <v>1197</v>
      </c>
      <c r="C470" s="38" t="str">
        <f t="shared" si="64"/>
        <v>Duplicate-SW0639 - Circuit Breaker, 11kV, Bulk Oil, Westinghouse F250 - ACCB, BULK OIL, INDOOR</v>
      </c>
      <c r="D470" s="38" t="str">
        <f t="shared" si="65"/>
        <v>Duplicate-</v>
      </c>
      <c r="E470" s="413"/>
      <c r="F470" s="43" t="s">
        <v>414</v>
      </c>
      <c r="G470" s="43" t="s">
        <v>1005</v>
      </c>
      <c r="X470" s="38">
        <v>12</v>
      </c>
      <c r="Y470" s="38">
        <v>12</v>
      </c>
      <c r="AK470" s="45">
        <f t="shared" si="66"/>
        <v>0</v>
      </c>
      <c r="AL470" s="46">
        <f t="shared" si="67"/>
        <v>0</v>
      </c>
      <c r="AM470" s="46">
        <f t="shared" si="68"/>
        <v>0</v>
      </c>
      <c r="AN470" s="46"/>
      <c r="AO470" s="119" t="s">
        <v>1197</v>
      </c>
      <c r="AP470" s="38" t="str">
        <f t="shared" si="63"/>
        <v>Exclude</v>
      </c>
    </row>
    <row r="471" spans="1:42" ht="60" hidden="1">
      <c r="A471" s="38" t="str">
        <f t="shared" si="62"/>
        <v>Ausgrid</v>
      </c>
      <c r="B471" s="38" t="s">
        <v>1197</v>
      </c>
      <c r="C471" s="38" t="str">
        <f t="shared" si="64"/>
        <v>Duplicate-SW0641 - Circuit Breaker, 11kV, Bulk Oil, Reyrolle LMT / LMI - ACCB, BULK OIL, INDOOR</v>
      </c>
      <c r="D471" s="38" t="str">
        <f t="shared" si="65"/>
        <v>Duplicate-</v>
      </c>
      <c r="E471" s="413"/>
      <c r="F471" s="43" t="s">
        <v>414</v>
      </c>
      <c r="G471" s="43" t="s">
        <v>1006</v>
      </c>
      <c r="X471" s="38">
        <v>6</v>
      </c>
      <c r="Y471" s="38">
        <v>6</v>
      </c>
      <c r="AK471" s="45">
        <f t="shared" si="66"/>
        <v>0</v>
      </c>
      <c r="AL471" s="46">
        <f t="shared" si="67"/>
        <v>0</v>
      </c>
      <c r="AM471" s="46">
        <f t="shared" si="68"/>
        <v>0</v>
      </c>
      <c r="AN471" s="46"/>
      <c r="AO471" s="119" t="s">
        <v>1197</v>
      </c>
      <c r="AP471" s="38" t="str">
        <f t="shared" si="63"/>
        <v>Exclude</v>
      </c>
    </row>
    <row r="472" spans="1:42" ht="75" hidden="1">
      <c r="A472" s="38" t="str">
        <f t="shared" si="62"/>
        <v>Ausgrid</v>
      </c>
      <c r="B472" s="38" t="s">
        <v>1197</v>
      </c>
      <c r="C472" s="38" t="str">
        <f t="shared" si="64"/>
        <v>Duplicate-SW0615 - Circuit Breaker, 11kV, Indoor Bulk Oil, Johnson &amp; Phillips TSB16 Series - ACCB, BULK OIL, INDOOR</v>
      </c>
      <c r="D472" s="38" t="str">
        <f t="shared" si="65"/>
        <v>Duplicate-</v>
      </c>
      <c r="E472" s="413"/>
      <c r="F472" s="43" t="s">
        <v>414</v>
      </c>
      <c r="G472" s="43" t="s">
        <v>1007</v>
      </c>
      <c r="X472" s="38">
        <v>6</v>
      </c>
      <c r="Y472" s="38">
        <v>6</v>
      </c>
      <c r="AK472" s="45">
        <f t="shared" si="66"/>
        <v>0</v>
      </c>
      <c r="AL472" s="46">
        <f t="shared" si="67"/>
        <v>0</v>
      </c>
      <c r="AM472" s="46">
        <f t="shared" si="68"/>
        <v>0</v>
      </c>
      <c r="AN472" s="46"/>
      <c r="AO472" s="119" t="s">
        <v>1197</v>
      </c>
      <c r="AP472" s="38" t="str">
        <f t="shared" si="63"/>
        <v>Exclude</v>
      </c>
    </row>
    <row r="473" spans="1:42" ht="75" hidden="1">
      <c r="A473" s="38" t="str">
        <f t="shared" si="62"/>
        <v>Ausgrid</v>
      </c>
      <c r="B473" s="38" t="s">
        <v>1197</v>
      </c>
      <c r="C473" s="38" t="str">
        <f t="shared" si="64"/>
        <v>Duplicate-SW0609 - Circuit Breaker, 11kV, Indoor Bulk Oil, English Electric / GEC  OLX series - ACCB, BULK OIL, INDOOR</v>
      </c>
      <c r="D473" s="38" t="str">
        <f t="shared" si="65"/>
        <v>Duplicate-</v>
      </c>
      <c r="E473" s="413"/>
      <c r="F473" s="43" t="s">
        <v>414</v>
      </c>
      <c r="G473" s="43" t="s">
        <v>1008</v>
      </c>
      <c r="X473" s="38">
        <v>6</v>
      </c>
      <c r="Y473" s="38">
        <v>6</v>
      </c>
      <c r="AK473" s="45">
        <f t="shared" si="66"/>
        <v>0</v>
      </c>
      <c r="AL473" s="46">
        <f t="shared" si="67"/>
        <v>0</v>
      </c>
      <c r="AM473" s="46">
        <f t="shared" si="68"/>
        <v>0</v>
      </c>
      <c r="AN473" s="46"/>
      <c r="AO473" s="119" t="s">
        <v>1197</v>
      </c>
      <c r="AP473" s="38" t="str">
        <f t="shared" si="63"/>
        <v>Exclude</v>
      </c>
    </row>
    <row r="474" spans="1:42" ht="75" hidden="1">
      <c r="A474" s="38" t="str">
        <f t="shared" si="62"/>
        <v>Ausgrid</v>
      </c>
      <c r="B474" s="38" t="s">
        <v>1197</v>
      </c>
      <c r="C474" s="38" t="str">
        <f t="shared" si="64"/>
        <v>Duplicate-SW0610 - Circuit Breaker, 11kV, Indoor Bulk Oil, English Electric / GEC  OLX series - ACCB, BULK OIL, INDOOR</v>
      </c>
      <c r="D474" s="38" t="str">
        <f t="shared" si="65"/>
        <v>Duplicate-</v>
      </c>
      <c r="E474" s="413"/>
      <c r="F474" s="43" t="s">
        <v>414</v>
      </c>
      <c r="G474" s="43" t="s">
        <v>1009</v>
      </c>
      <c r="X474" s="38">
        <v>12</v>
      </c>
      <c r="Y474" s="38">
        <v>12</v>
      </c>
      <c r="AK474" s="45">
        <f t="shared" si="66"/>
        <v>0</v>
      </c>
      <c r="AL474" s="46">
        <f t="shared" si="67"/>
        <v>0</v>
      </c>
      <c r="AM474" s="46">
        <f t="shared" si="68"/>
        <v>0</v>
      </c>
      <c r="AN474" s="46"/>
      <c r="AO474" s="119" t="s">
        <v>1197</v>
      </c>
      <c r="AP474" s="38" t="str">
        <f t="shared" si="63"/>
        <v>Exclude</v>
      </c>
    </row>
    <row r="475" spans="1:42" ht="60" hidden="1">
      <c r="A475" s="38" t="str">
        <f t="shared" si="62"/>
        <v>Ausgrid</v>
      </c>
      <c r="B475" s="38" t="s">
        <v>1197</v>
      </c>
      <c r="C475" s="38" t="str">
        <f t="shared" si="64"/>
        <v>Duplicate-SW0642 - Circuit Breaker, 11kV, Bulk Oil, Westinghouse B18 / B20 - ACCB, BULK OIL, INDOOR</v>
      </c>
      <c r="D475" s="38" t="str">
        <f t="shared" si="65"/>
        <v>Duplicate-</v>
      </c>
      <c r="E475" s="413"/>
      <c r="F475" s="43" t="s">
        <v>414</v>
      </c>
      <c r="G475" s="43" t="s">
        <v>1010</v>
      </c>
      <c r="X475" s="38">
        <v>6</v>
      </c>
      <c r="Y475" s="38">
        <v>6</v>
      </c>
      <c r="AK475" s="45">
        <f t="shared" si="66"/>
        <v>0</v>
      </c>
      <c r="AL475" s="46">
        <f t="shared" si="67"/>
        <v>0</v>
      </c>
      <c r="AM475" s="46">
        <f t="shared" si="68"/>
        <v>0</v>
      </c>
      <c r="AN475" s="46"/>
      <c r="AO475" s="119" t="s">
        <v>1197</v>
      </c>
      <c r="AP475" s="38" t="str">
        <f t="shared" si="63"/>
        <v>Exclude</v>
      </c>
    </row>
    <row r="476" spans="1:42" ht="60" hidden="1">
      <c r="A476" s="38" t="str">
        <f t="shared" si="62"/>
        <v>Ausgrid</v>
      </c>
      <c r="B476" s="38" t="s">
        <v>1197</v>
      </c>
      <c r="C476" s="38" t="str">
        <f t="shared" si="64"/>
        <v>Duplicate-SW0643 - Circuit Breaker, 11kV, Bulk Oil, Westinghouse B18 / B20 - ACCB, BULK OIL, INDOOR</v>
      </c>
      <c r="D476" s="38" t="str">
        <f t="shared" si="65"/>
        <v>Duplicate-</v>
      </c>
      <c r="E476" s="413"/>
      <c r="F476" s="43" t="s">
        <v>414</v>
      </c>
      <c r="G476" s="43" t="s">
        <v>1011</v>
      </c>
      <c r="X476" s="38">
        <v>12</v>
      </c>
      <c r="Y476" s="38">
        <v>12</v>
      </c>
      <c r="AK476" s="45">
        <f t="shared" si="66"/>
        <v>0</v>
      </c>
      <c r="AL476" s="46">
        <f t="shared" si="67"/>
        <v>0</v>
      </c>
      <c r="AM476" s="46">
        <f t="shared" si="68"/>
        <v>0</v>
      </c>
      <c r="AN476" s="46"/>
      <c r="AO476" s="119" t="s">
        <v>1197</v>
      </c>
      <c r="AP476" s="38" t="str">
        <f t="shared" si="63"/>
        <v>Exclude</v>
      </c>
    </row>
    <row r="477" spans="1:42" ht="60" hidden="1">
      <c r="A477" s="38" t="str">
        <f t="shared" si="62"/>
        <v>Ausgrid</v>
      </c>
      <c r="B477" s="38" t="s">
        <v>1197</v>
      </c>
      <c r="C477" s="38" t="str">
        <f t="shared" si="64"/>
        <v>Duplicate-SW0608 - Circuit Breaker, 33kV &amp; 11kV , Indoor Bulk Oil, Generic - ACCB, BULK OIL, INDOOR</v>
      </c>
      <c r="D477" s="38" t="str">
        <f t="shared" si="65"/>
        <v>Duplicate-</v>
      </c>
      <c r="E477" s="413"/>
      <c r="F477" s="43" t="s">
        <v>414</v>
      </c>
      <c r="G477" s="43" t="s">
        <v>992</v>
      </c>
      <c r="X477" s="38">
        <v>0.25</v>
      </c>
      <c r="Y477" s="38">
        <v>0</v>
      </c>
      <c r="AK477" s="45">
        <f t="shared" si="66"/>
        <v>0</v>
      </c>
      <c r="AL477" s="46">
        <f t="shared" si="67"/>
        <v>0</v>
      </c>
      <c r="AM477" s="46">
        <f t="shared" si="68"/>
        <v>0</v>
      </c>
      <c r="AN477" s="46"/>
      <c r="AO477" s="119" t="s">
        <v>1197</v>
      </c>
      <c r="AP477" s="38" t="str">
        <f t="shared" si="63"/>
        <v>Exclude</v>
      </c>
    </row>
    <row r="478" spans="1:42" ht="60" hidden="1">
      <c r="A478" s="38" t="str">
        <f t="shared" si="62"/>
        <v>Ausgrid</v>
      </c>
      <c r="B478" s="38" t="s">
        <v>1197</v>
      </c>
      <c r="C478" s="38" t="str">
        <f t="shared" si="64"/>
        <v>Duplicate-SW0618 - Circuit Breaker, 11kV, Indoor Bulk Oil, Brush, VTD - ACCB, BULK OIL, INDOOR</v>
      </c>
      <c r="D478" s="38" t="str">
        <f t="shared" si="65"/>
        <v>Duplicate-</v>
      </c>
      <c r="E478" s="413"/>
      <c r="F478" s="43" t="s">
        <v>414</v>
      </c>
      <c r="G478" s="43" t="s">
        <v>1012</v>
      </c>
      <c r="X478" s="38">
        <v>6</v>
      </c>
      <c r="Y478" s="38">
        <v>6</v>
      </c>
      <c r="AK478" s="45">
        <f t="shared" si="66"/>
        <v>0</v>
      </c>
      <c r="AL478" s="46">
        <f t="shared" si="67"/>
        <v>0</v>
      </c>
      <c r="AM478" s="46">
        <f t="shared" si="68"/>
        <v>0</v>
      </c>
      <c r="AN478" s="46"/>
      <c r="AO478" s="119" t="s">
        <v>1197</v>
      </c>
      <c r="AP478" s="38" t="str">
        <f t="shared" si="63"/>
        <v>Exclude</v>
      </c>
    </row>
    <row r="479" spans="1:42" ht="60" hidden="1">
      <c r="A479" s="38" t="str">
        <f t="shared" si="62"/>
        <v>Ausgrid</v>
      </c>
      <c r="B479" s="38" t="s">
        <v>1197</v>
      </c>
      <c r="C479" s="38" t="str">
        <f t="shared" si="64"/>
        <v>Duplicate-SW0648 - Circuit Breaker, 11kV, Indoor Bulk Oil, Brush, VTD - ACCB, BULK OIL, INDOOR</v>
      </c>
      <c r="D479" s="38" t="str">
        <f t="shared" si="65"/>
        <v>Duplicate-</v>
      </c>
      <c r="E479" s="413"/>
      <c r="F479" s="43" t="s">
        <v>414</v>
      </c>
      <c r="G479" s="43" t="s">
        <v>1013</v>
      </c>
      <c r="X479" s="38">
        <v>12</v>
      </c>
      <c r="Y479" s="38">
        <v>12</v>
      </c>
      <c r="AK479" s="45">
        <f t="shared" si="66"/>
        <v>0</v>
      </c>
      <c r="AL479" s="46">
        <f t="shared" si="67"/>
        <v>0</v>
      </c>
      <c r="AM479" s="46">
        <f t="shared" si="68"/>
        <v>0</v>
      </c>
      <c r="AN479" s="46"/>
      <c r="AO479" s="119" t="s">
        <v>1197</v>
      </c>
      <c r="AP479" s="38" t="str">
        <f t="shared" si="63"/>
        <v>Exclude</v>
      </c>
    </row>
    <row r="480" spans="1:42" ht="60" hidden="1">
      <c r="A480" s="38" t="str">
        <f t="shared" si="62"/>
        <v>Ausgrid</v>
      </c>
      <c r="B480" s="38" t="s">
        <v>1197</v>
      </c>
      <c r="C480" s="38" t="str">
        <f t="shared" si="64"/>
        <v>Duplicate-SW0627 - Circuit Breaker, 33kV, Indoor Bulk Oil, MV K4C - ACCB, BULK OIL, INDOOR</v>
      </c>
      <c r="D480" s="38" t="str">
        <f t="shared" si="65"/>
        <v>Duplicate-</v>
      </c>
      <c r="E480" s="413"/>
      <c r="F480" s="43" t="s">
        <v>414</v>
      </c>
      <c r="G480" s="43" t="s">
        <v>1014</v>
      </c>
      <c r="X480" s="38">
        <v>6</v>
      </c>
      <c r="Y480" s="38">
        <v>6</v>
      </c>
      <c r="AK480" s="45">
        <f t="shared" si="66"/>
        <v>0</v>
      </c>
      <c r="AL480" s="46">
        <f t="shared" si="67"/>
        <v>0</v>
      </c>
      <c r="AM480" s="46">
        <f t="shared" si="68"/>
        <v>0</v>
      </c>
      <c r="AN480" s="46"/>
      <c r="AO480" s="119" t="s">
        <v>1197</v>
      </c>
      <c r="AP480" s="38" t="str">
        <f t="shared" si="63"/>
        <v>Exclude</v>
      </c>
    </row>
    <row r="481" spans="1:42" ht="75" hidden="1">
      <c r="A481" s="38" t="str">
        <f t="shared" si="62"/>
        <v>Ausgrid</v>
      </c>
      <c r="B481" s="38" t="s">
        <v>1197</v>
      </c>
      <c r="C481" s="38" t="str">
        <f t="shared" si="64"/>
        <v>Duplicate-SW0201 - Circuit Breaker, Minimim Oil, Generic (Gas and Non-gas pressure) - ACCB, MINIMUM OIL, INDOOR</v>
      </c>
      <c r="D481" s="38" t="str">
        <f t="shared" si="65"/>
        <v>Duplicate-</v>
      </c>
      <c r="E481" s="413"/>
      <c r="F481" s="43" t="s">
        <v>414</v>
      </c>
      <c r="G481" s="43" t="s">
        <v>1015</v>
      </c>
      <c r="X481" s="38">
        <v>1</v>
      </c>
      <c r="Y481" s="38">
        <v>0</v>
      </c>
      <c r="AK481" s="45">
        <f t="shared" si="66"/>
        <v>0</v>
      </c>
      <c r="AL481" s="46">
        <f t="shared" si="67"/>
        <v>0</v>
      </c>
      <c r="AM481" s="46">
        <f t="shared" si="68"/>
        <v>0</v>
      </c>
      <c r="AN481" s="46"/>
      <c r="AO481" s="119" t="s">
        <v>1197</v>
      </c>
      <c r="AP481" s="38" t="str">
        <f t="shared" si="63"/>
        <v>Exclude</v>
      </c>
    </row>
    <row r="482" spans="1:42" ht="60" hidden="1">
      <c r="A482" s="38" t="str">
        <f t="shared" si="62"/>
        <v>Ausgrid</v>
      </c>
      <c r="B482" s="38" t="s">
        <v>1197</v>
      </c>
      <c r="C482" s="38" t="str">
        <f t="shared" si="64"/>
        <v>Duplicate-SW0230 - Circuit Breaker, Minimum Oil, Outdoor, Generic - ACCB, MINIMUM OIL, INDOOR</v>
      </c>
      <c r="D482" s="38" t="str">
        <f t="shared" si="65"/>
        <v>Duplicate-</v>
      </c>
      <c r="E482" s="413"/>
      <c r="F482" s="43" t="s">
        <v>414</v>
      </c>
      <c r="G482" s="43" t="s">
        <v>1016</v>
      </c>
      <c r="X482" s="38">
        <v>6</v>
      </c>
      <c r="Y482" s="38">
        <v>6</v>
      </c>
      <c r="AK482" s="45">
        <f t="shared" si="66"/>
        <v>0</v>
      </c>
      <c r="AL482" s="46">
        <f t="shared" si="67"/>
        <v>0</v>
      </c>
      <c r="AM482" s="46">
        <f t="shared" si="68"/>
        <v>0</v>
      </c>
      <c r="AN482" s="46"/>
      <c r="AO482" s="119" t="s">
        <v>1197</v>
      </c>
      <c r="AP482" s="38" t="str">
        <f t="shared" si="63"/>
        <v>Exclude</v>
      </c>
    </row>
    <row r="483" spans="1:42" ht="60" hidden="1">
      <c r="A483" s="38" t="str">
        <f t="shared" si="62"/>
        <v>Ausgrid</v>
      </c>
      <c r="B483" s="38" t="s">
        <v>1197</v>
      </c>
      <c r="C483" s="38" t="str">
        <f t="shared" si="64"/>
        <v>Duplicate-SW0801 - Circuit Breaker, Vacuum, Indoor, Generic 33kV &amp; 11kV - ACCB, VACUUM, INDOOR</v>
      </c>
      <c r="D483" s="38" t="str">
        <f t="shared" si="65"/>
        <v>Duplicate-</v>
      </c>
      <c r="E483" s="413"/>
      <c r="F483" s="43" t="s">
        <v>414</v>
      </c>
      <c r="G483" s="43" t="s">
        <v>1017</v>
      </c>
      <c r="X483" s="38">
        <v>3</v>
      </c>
      <c r="Y483" s="38">
        <v>0</v>
      </c>
      <c r="AK483" s="45">
        <f t="shared" si="66"/>
        <v>0</v>
      </c>
      <c r="AL483" s="46">
        <f t="shared" si="67"/>
        <v>0</v>
      </c>
      <c r="AM483" s="46">
        <f t="shared" si="68"/>
        <v>0</v>
      </c>
      <c r="AN483" s="46"/>
      <c r="AO483" s="119" t="s">
        <v>1197</v>
      </c>
      <c r="AP483" s="38" t="str">
        <f t="shared" si="63"/>
        <v>Exclude</v>
      </c>
    </row>
    <row r="484" spans="1:42" ht="60" hidden="1">
      <c r="A484" s="38" t="str">
        <f t="shared" si="62"/>
        <v>Ausgrid</v>
      </c>
      <c r="B484" s="38" t="s">
        <v>1197</v>
      </c>
      <c r="C484" s="38" t="str">
        <f t="shared" si="64"/>
        <v>Duplicate-SW0802 - Circuit Breaker, Vacuum, Indoor, GEC, AVAC Circuit Breaker, 11kV - ACCB, VACUUM, INDOOR</v>
      </c>
      <c r="D484" s="38" t="str">
        <f t="shared" si="65"/>
        <v>Duplicate-</v>
      </c>
      <c r="E484" s="413"/>
      <c r="F484" s="43" t="s">
        <v>414</v>
      </c>
      <c r="G484" s="43" t="s">
        <v>1018</v>
      </c>
      <c r="X484" s="38">
        <v>12</v>
      </c>
      <c r="Y484" s="38">
        <v>0</v>
      </c>
      <c r="AK484" s="45">
        <f t="shared" si="66"/>
        <v>0</v>
      </c>
      <c r="AL484" s="46">
        <f t="shared" si="67"/>
        <v>0</v>
      </c>
      <c r="AM484" s="46">
        <f t="shared" si="68"/>
        <v>0</v>
      </c>
      <c r="AN484" s="46"/>
      <c r="AO484" s="119" t="s">
        <v>1197</v>
      </c>
      <c r="AP484" s="38" t="str">
        <f t="shared" si="63"/>
        <v>Exclude</v>
      </c>
    </row>
    <row r="485" spans="1:42" ht="60" hidden="1">
      <c r="A485" s="38" t="str">
        <f t="shared" si="62"/>
        <v>Ausgrid</v>
      </c>
      <c r="B485" s="38" t="s">
        <v>1197</v>
      </c>
      <c r="C485" s="38" t="str">
        <f t="shared" si="64"/>
        <v>Duplicate-SW0803 - Circuit Breaker, Vacuum, Indoor, Hawker Siddley VMH, 11kV - ACCB, VACUUM, INDOOR</v>
      </c>
      <c r="D485" s="38" t="str">
        <f t="shared" si="65"/>
        <v>Duplicate-</v>
      </c>
      <c r="E485" s="413"/>
      <c r="F485" s="43" t="s">
        <v>414</v>
      </c>
      <c r="G485" s="43" t="s">
        <v>1019</v>
      </c>
      <c r="X485" s="38">
        <v>12</v>
      </c>
      <c r="Y485" s="38">
        <v>12</v>
      </c>
      <c r="AK485" s="45">
        <f t="shared" si="66"/>
        <v>0</v>
      </c>
      <c r="AL485" s="46">
        <f t="shared" si="67"/>
        <v>0</v>
      </c>
      <c r="AM485" s="46">
        <f t="shared" si="68"/>
        <v>0</v>
      </c>
      <c r="AN485" s="46"/>
      <c r="AO485" s="119" t="s">
        <v>1197</v>
      </c>
      <c r="AP485" s="38" t="str">
        <f t="shared" si="63"/>
        <v>Exclude</v>
      </c>
    </row>
    <row r="486" spans="1:42" ht="60" hidden="1">
      <c r="A486" s="38" t="str">
        <f t="shared" si="62"/>
        <v>Ausgrid</v>
      </c>
      <c r="B486" s="38" t="s">
        <v>1197</v>
      </c>
      <c r="C486" s="38" t="str">
        <f t="shared" si="64"/>
        <v>Duplicate-SW0804 - Circuit Breaker, Vacuum, Indoor, Hawker Siddley VTD-V, 11kV - ACCB, VACUUM, INDOOR</v>
      </c>
      <c r="D486" s="38" t="str">
        <f t="shared" si="65"/>
        <v>Duplicate-</v>
      </c>
      <c r="E486" s="413"/>
      <c r="F486" s="43" t="s">
        <v>414</v>
      </c>
      <c r="G486" s="43" t="s">
        <v>1020</v>
      </c>
      <c r="X486" s="38">
        <v>12</v>
      </c>
      <c r="Y486" s="38">
        <v>12</v>
      </c>
      <c r="AK486" s="45">
        <f t="shared" si="66"/>
        <v>0</v>
      </c>
      <c r="AL486" s="46">
        <f t="shared" si="67"/>
        <v>0</v>
      </c>
      <c r="AM486" s="46">
        <f t="shared" si="68"/>
        <v>0</v>
      </c>
      <c r="AN486" s="46"/>
      <c r="AO486" s="119" t="s">
        <v>1197</v>
      </c>
      <c r="AP486" s="38" t="str">
        <f t="shared" si="63"/>
        <v>Exclude</v>
      </c>
    </row>
    <row r="487" spans="1:42" ht="60" hidden="1">
      <c r="A487" s="38" t="str">
        <f t="shared" si="62"/>
        <v>Ausgrid</v>
      </c>
      <c r="B487" s="38" t="s">
        <v>1197</v>
      </c>
      <c r="C487" s="38" t="str">
        <f t="shared" si="64"/>
        <v>Duplicate-SW0809 - Circuit Breaker, Vacuum, Indoor, Reyrolle LMVP, 11kV - ACCB, VACUUM, INDOOR</v>
      </c>
      <c r="D487" s="38" t="str">
        <f t="shared" si="65"/>
        <v>Duplicate-</v>
      </c>
      <c r="E487" s="413"/>
      <c r="F487" s="43" t="s">
        <v>414</v>
      </c>
      <c r="G487" s="43" t="s">
        <v>1021</v>
      </c>
      <c r="X487" s="38">
        <v>12</v>
      </c>
      <c r="Y487" s="38">
        <v>12</v>
      </c>
      <c r="AK487" s="45">
        <f t="shared" si="66"/>
        <v>0</v>
      </c>
      <c r="AL487" s="46">
        <f t="shared" si="67"/>
        <v>0</v>
      </c>
      <c r="AM487" s="46">
        <f t="shared" si="68"/>
        <v>0</v>
      </c>
      <c r="AN487" s="46"/>
      <c r="AO487" s="119" t="s">
        <v>1197</v>
      </c>
      <c r="AP487" s="38" t="str">
        <f t="shared" si="63"/>
        <v>Exclude</v>
      </c>
    </row>
    <row r="488" spans="1:42" ht="60" hidden="1">
      <c r="A488" s="38" t="str">
        <f t="shared" si="62"/>
        <v>Ausgrid</v>
      </c>
      <c r="B488" s="38" t="s">
        <v>1197</v>
      </c>
      <c r="C488" s="38" t="str">
        <f t="shared" si="64"/>
        <v>Duplicate-SW0805 - Circuit Breaker, Vacuum, Indoor, GEC / Alstom SBV Series, 11kV - ACCB, VACUUM, INDOOR</v>
      </c>
      <c r="D488" s="38" t="str">
        <f t="shared" si="65"/>
        <v>Duplicate-</v>
      </c>
      <c r="E488" s="413"/>
      <c r="F488" s="43" t="s">
        <v>414</v>
      </c>
      <c r="G488" s="43" t="s">
        <v>1022</v>
      </c>
      <c r="X488" s="38">
        <v>12</v>
      </c>
      <c r="Y488" s="38">
        <v>12</v>
      </c>
      <c r="AK488" s="45">
        <f t="shared" si="66"/>
        <v>0</v>
      </c>
      <c r="AL488" s="46">
        <f t="shared" si="67"/>
        <v>0</v>
      </c>
      <c r="AM488" s="46">
        <f t="shared" si="68"/>
        <v>0</v>
      </c>
      <c r="AN488" s="46"/>
      <c r="AO488" s="119" t="s">
        <v>1197</v>
      </c>
      <c r="AP488" s="38" t="str">
        <f t="shared" si="63"/>
        <v>Exclude</v>
      </c>
    </row>
    <row r="489" spans="1:42" ht="60" hidden="1">
      <c r="A489" s="38" t="str">
        <f t="shared" si="62"/>
        <v>Ausgrid</v>
      </c>
      <c r="B489" s="38" t="s">
        <v>1197</v>
      </c>
      <c r="C489" s="38" t="str">
        <f t="shared" si="64"/>
        <v>Duplicate-SW0806 - Circuit Breaker, Vacuum, Indoor, Mitsubishi / Email 10VPR-25B, 11kV - ACCB, VACUUM, INDOOR</v>
      </c>
      <c r="D489" s="38" t="str">
        <f t="shared" si="65"/>
        <v>Duplicate-</v>
      </c>
      <c r="E489" s="413"/>
      <c r="F489" s="43" t="s">
        <v>414</v>
      </c>
      <c r="G489" s="43" t="s">
        <v>1023</v>
      </c>
      <c r="X489" s="38">
        <v>12</v>
      </c>
      <c r="Y489" s="38">
        <v>12</v>
      </c>
      <c r="AK489" s="45">
        <f t="shared" si="66"/>
        <v>0</v>
      </c>
      <c r="AL489" s="46">
        <f t="shared" si="67"/>
        <v>0</v>
      </c>
      <c r="AM489" s="46">
        <f t="shared" si="68"/>
        <v>0</v>
      </c>
      <c r="AN489" s="46"/>
      <c r="AO489" s="119" t="s">
        <v>1197</v>
      </c>
      <c r="AP489" s="38" t="str">
        <f t="shared" si="63"/>
        <v>Exclude</v>
      </c>
    </row>
    <row r="490" spans="1:42" ht="60" hidden="1">
      <c r="A490" s="38" t="str">
        <f t="shared" si="62"/>
        <v>Ausgrid</v>
      </c>
      <c r="B490" s="38" t="s">
        <v>1197</v>
      </c>
      <c r="C490" s="38" t="str">
        <f t="shared" si="64"/>
        <v>Duplicate-SW0807 - Circuit Breaker, Vacuum, Indoor, Generic VK Series, 11kV - ACCB, VACUUM, INDOOR</v>
      </c>
      <c r="D490" s="38" t="str">
        <f t="shared" si="65"/>
        <v>Duplicate-</v>
      </c>
      <c r="E490" s="413"/>
      <c r="F490" s="43" t="s">
        <v>414</v>
      </c>
      <c r="G490" s="43" t="s">
        <v>1024</v>
      </c>
      <c r="X490" s="38">
        <v>12</v>
      </c>
      <c r="Y490" s="38">
        <v>12</v>
      </c>
      <c r="AK490" s="45">
        <f t="shared" si="66"/>
        <v>0</v>
      </c>
      <c r="AL490" s="46">
        <f t="shared" si="67"/>
        <v>0</v>
      </c>
      <c r="AM490" s="46">
        <f t="shared" si="68"/>
        <v>0</v>
      </c>
      <c r="AN490" s="46"/>
      <c r="AO490" s="119" t="s">
        <v>1197</v>
      </c>
      <c r="AP490" s="38" t="str">
        <f t="shared" si="63"/>
        <v>Exclude</v>
      </c>
    </row>
    <row r="491" spans="1:42" ht="60" hidden="1">
      <c r="A491" s="38" t="str">
        <f t="shared" si="62"/>
        <v>Ausgrid</v>
      </c>
      <c r="B491" s="38" t="s">
        <v>1197</v>
      </c>
      <c r="C491" s="38" t="str">
        <f t="shared" si="64"/>
        <v>Duplicate-SW0808 - Circuit Breaker, Vacuum, Indoor, Alstom HWX, 11kV - ACCB, VACUUM, INDOOR</v>
      </c>
      <c r="D491" s="38" t="str">
        <f t="shared" si="65"/>
        <v>Duplicate-</v>
      </c>
      <c r="E491" s="413"/>
      <c r="F491" s="43" t="s">
        <v>414</v>
      </c>
      <c r="G491" s="43" t="s">
        <v>1025</v>
      </c>
      <c r="X491" s="38">
        <v>12</v>
      </c>
      <c r="Y491" s="38">
        <v>12</v>
      </c>
      <c r="AK491" s="45">
        <f t="shared" si="66"/>
        <v>0</v>
      </c>
      <c r="AL491" s="46">
        <f t="shared" si="67"/>
        <v>0</v>
      </c>
      <c r="AM491" s="46">
        <f t="shared" si="68"/>
        <v>0</v>
      </c>
      <c r="AN491" s="46"/>
      <c r="AO491" s="119" t="s">
        <v>1197</v>
      </c>
      <c r="AP491" s="38" t="str">
        <f t="shared" si="63"/>
        <v>Exclude</v>
      </c>
    </row>
    <row r="492" spans="1:42" ht="60" hidden="1">
      <c r="A492" s="38" t="str">
        <f t="shared" si="62"/>
        <v>Ausgrid</v>
      </c>
      <c r="B492" s="38" t="s">
        <v>1197</v>
      </c>
      <c r="C492" s="38" t="str">
        <f t="shared" si="64"/>
        <v>Duplicate-SW0801 - Circuit Breaker, Vacuum, Indoor, Generic 33kV &amp; 11kV - ACCB, VACUUM, INDOOR</v>
      </c>
      <c r="D492" s="38" t="str">
        <f t="shared" si="65"/>
        <v>Duplicate-</v>
      </c>
      <c r="E492" s="413"/>
      <c r="F492" s="43" t="s">
        <v>414</v>
      </c>
      <c r="G492" s="43" t="s">
        <v>1017</v>
      </c>
      <c r="X492" s="38">
        <v>2</v>
      </c>
      <c r="Y492" s="38">
        <v>0</v>
      </c>
      <c r="AK492" s="45">
        <f t="shared" si="66"/>
        <v>0</v>
      </c>
      <c r="AL492" s="46">
        <f t="shared" si="67"/>
        <v>0</v>
      </c>
      <c r="AM492" s="46">
        <f t="shared" si="68"/>
        <v>0</v>
      </c>
      <c r="AN492" s="46"/>
      <c r="AO492" s="119" t="s">
        <v>1197</v>
      </c>
      <c r="AP492" s="38" t="str">
        <f t="shared" si="63"/>
        <v>Exclude</v>
      </c>
    </row>
    <row r="493" spans="1:42" ht="60" hidden="1">
      <c r="A493" s="38" t="str">
        <f t="shared" si="62"/>
        <v>Ausgrid</v>
      </c>
      <c r="B493" s="38" t="s">
        <v>1197</v>
      </c>
      <c r="C493" s="38" t="str">
        <f t="shared" si="64"/>
        <v>Duplicate-SW0811 - Circuit Breaker, Vacuum, Indoor, Siemens 3AF, 11kV - ACCB, VACUUM, INDOOR</v>
      </c>
      <c r="D493" s="38" t="str">
        <f t="shared" si="65"/>
        <v>Duplicate-</v>
      </c>
      <c r="E493" s="413"/>
      <c r="F493" s="43" t="s">
        <v>414</v>
      </c>
      <c r="G493" s="43" t="s">
        <v>1026</v>
      </c>
      <c r="X493" s="38">
        <v>12</v>
      </c>
      <c r="Y493" s="38">
        <v>12</v>
      </c>
      <c r="AK493" s="45">
        <f t="shared" si="66"/>
        <v>0</v>
      </c>
      <c r="AL493" s="46">
        <f t="shared" si="67"/>
        <v>0</v>
      </c>
      <c r="AM493" s="46">
        <f t="shared" si="68"/>
        <v>0</v>
      </c>
      <c r="AN493" s="46"/>
      <c r="AO493" s="119" t="s">
        <v>1197</v>
      </c>
      <c r="AP493" s="38" t="str">
        <f t="shared" si="63"/>
        <v>Exclude</v>
      </c>
    </row>
    <row r="494" spans="1:42" ht="60" hidden="1">
      <c r="A494" s="38" t="str">
        <f t="shared" si="62"/>
        <v>Ausgrid</v>
      </c>
      <c r="B494" s="38" t="s">
        <v>1197</v>
      </c>
      <c r="C494" s="38" t="str">
        <f t="shared" si="64"/>
        <v>Duplicate-SW0812 - Circuit Breaker, Vacuum, Indoor, GEC, AVAC Circuit Breaker, 11kV - ACCB, VACUUM, INDOOR</v>
      </c>
      <c r="D494" s="38" t="str">
        <f t="shared" si="65"/>
        <v>Duplicate-</v>
      </c>
      <c r="E494" s="413"/>
      <c r="F494" s="43" t="s">
        <v>414</v>
      </c>
      <c r="G494" s="43" t="s">
        <v>1027</v>
      </c>
      <c r="X494" s="38">
        <v>12</v>
      </c>
      <c r="Y494" s="38">
        <v>12</v>
      </c>
      <c r="AK494" s="45">
        <f t="shared" si="66"/>
        <v>0</v>
      </c>
      <c r="AL494" s="46">
        <f t="shared" si="67"/>
        <v>0</v>
      </c>
      <c r="AM494" s="46">
        <f t="shared" si="68"/>
        <v>0</v>
      </c>
      <c r="AN494" s="46"/>
      <c r="AO494" s="119" t="s">
        <v>1197</v>
      </c>
      <c r="AP494" s="38" t="str">
        <f t="shared" si="63"/>
        <v>Exclude</v>
      </c>
    </row>
    <row r="495" spans="1:42" ht="45" hidden="1">
      <c r="A495" s="38" t="str">
        <f t="shared" si="62"/>
        <v>Ausgrid</v>
      </c>
      <c r="B495" s="38" t="s">
        <v>1197</v>
      </c>
      <c r="C495" s="38" t="str">
        <f t="shared" si="64"/>
        <v>Duplicate-SW0813 - Circuit Breaker, 11kV, SF6 Vacuum, MCSET - ACCB, VACUUM, INDOOR</v>
      </c>
      <c r="D495" s="38" t="str">
        <f t="shared" si="65"/>
        <v>Duplicate-</v>
      </c>
      <c r="E495" s="413"/>
      <c r="F495" s="43" t="s">
        <v>414</v>
      </c>
      <c r="G495" s="43" t="s">
        <v>1028</v>
      </c>
      <c r="X495" s="38">
        <v>12</v>
      </c>
      <c r="Y495" s="38">
        <v>12</v>
      </c>
      <c r="AK495" s="45">
        <f t="shared" si="66"/>
        <v>0</v>
      </c>
      <c r="AL495" s="46">
        <f t="shared" si="67"/>
        <v>0</v>
      </c>
      <c r="AM495" s="46">
        <f t="shared" si="68"/>
        <v>0</v>
      </c>
      <c r="AN495" s="46"/>
      <c r="AO495" s="119" t="s">
        <v>1197</v>
      </c>
      <c r="AP495" s="38" t="str">
        <f t="shared" si="63"/>
        <v>Exclude</v>
      </c>
    </row>
    <row r="496" spans="1:42" ht="60" hidden="1">
      <c r="A496" s="38" t="str">
        <f t="shared" si="62"/>
        <v>Ausgrid</v>
      </c>
      <c r="B496" s="38" t="s">
        <v>1197</v>
      </c>
      <c r="C496" s="38" t="str">
        <f t="shared" si="64"/>
        <v>Duplicate-SW0814 - Circuit Breaker, Vacuum, Indoor, ABB, VD4, 36/40.5kV - ACCB, VACUUM, INDOOR</v>
      </c>
      <c r="D496" s="38" t="str">
        <f t="shared" si="65"/>
        <v>Duplicate-</v>
      </c>
      <c r="E496" s="413"/>
      <c r="F496" s="43" t="s">
        <v>414</v>
      </c>
      <c r="G496" s="43" t="s">
        <v>1029</v>
      </c>
      <c r="X496" s="38">
        <v>12</v>
      </c>
      <c r="Y496" s="38">
        <v>12</v>
      </c>
      <c r="AK496" s="45">
        <f t="shared" si="66"/>
        <v>0</v>
      </c>
      <c r="AL496" s="46">
        <f t="shared" si="67"/>
        <v>0</v>
      </c>
      <c r="AM496" s="46">
        <f t="shared" si="68"/>
        <v>0</v>
      </c>
      <c r="AN496" s="46"/>
      <c r="AO496" s="119" t="s">
        <v>1197</v>
      </c>
      <c r="AP496" s="38" t="str">
        <f t="shared" si="63"/>
        <v>Exclude</v>
      </c>
    </row>
    <row r="497" spans="1:42" ht="75" hidden="1">
      <c r="A497" s="38" t="str">
        <f t="shared" si="62"/>
        <v>Ausgrid</v>
      </c>
      <c r="B497" s="38" t="s">
        <v>1197</v>
      </c>
      <c r="C497" s="38" t="str">
        <f t="shared" si="64"/>
        <v>Duplicate-SW0816 - Circuit Breaker, Vacuum, Indoor, 11kV, RPS RPM J18 and J22 Vacuum Replacement - ACCB, VACUUM, INDOOR</v>
      </c>
      <c r="D497" s="38" t="str">
        <f t="shared" si="65"/>
        <v>Duplicate-</v>
      </c>
      <c r="E497" s="413"/>
      <c r="F497" s="43" t="s">
        <v>414</v>
      </c>
      <c r="G497" s="43" t="s">
        <v>1030</v>
      </c>
      <c r="X497" s="38">
        <v>12</v>
      </c>
      <c r="Y497" s="38">
        <v>12</v>
      </c>
      <c r="AK497" s="45">
        <f t="shared" si="66"/>
        <v>0</v>
      </c>
      <c r="AL497" s="46">
        <f t="shared" si="67"/>
        <v>0</v>
      </c>
      <c r="AM497" s="46">
        <f t="shared" si="68"/>
        <v>0</v>
      </c>
      <c r="AN497" s="46"/>
      <c r="AO497" s="119" t="s">
        <v>1197</v>
      </c>
      <c r="AP497" s="38" t="str">
        <f t="shared" si="63"/>
        <v>Exclude</v>
      </c>
    </row>
    <row r="498" spans="1:42" ht="75" hidden="1">
      <c r="A498" s="38" t="str">
        <f t="shared" si="62"/>
        <v>Ausgrid</v>
      </c>
      <c r="B498" s="38" t="s">
        <v>1197</v>
      </c>
      <c r="C498" s="38" t="str">
        <f t="shared" si="64"/>
        <v>Duplicate-SW0816 - Circuit Breaker, Vacuum, Indoor, 11kV, RPS RPM J18 and J22 Vacuum Replacement - ACCB, VACUUM, INDOOR</v>
      </c>
      <c r="D498" s="38" t="str">
        <f t="shared" si="65"/>
        <v>Duplicate-</v>
      </c>
      <c r="E498" s="413"/>
      <c r="F498" s="43" t="s">
        <v>414</v>
      </c>
      <c r="G498" s="43" t="s">
        <v>1030</v>
      </c>
      <c r="X498" s="38">
        <v>2</v>
      </c>
      <c r="Y498" s="38">
        <v>2</v>
      </c>
      <c r="AK498" s="45">
        <f t="shared" si="66"/>
        <v>0</v>
      </c>
      <c r="AL498" s="46">
        <f t="shared" si="67"/>
        <v>0</v>
      </c>
      <c r="AM498" s="46">
        <f t="shared" si="68"/>
        <v>0</v>
      </c>
      <c r="AN498" s="46"/>
      <c r="AO498" s="119" t="s">
        <v>1197</v>
      </c>
      <c r="AP498" s="38" t="str">
        <f t="shared" si="63"/>
        <v>Exclude</v>
      </c>
    </row>
    <row r="499" spans="1:42" ht="45" hidden="1">
      <c r="A499" s="38" t="str">
        <f t="shared" ref="A499:A562" si="69">IF(E499&gt;0,E499,A498)</f>
        <v>Ausgrid</v>
      </c>
      <c r="B499" s="38" t="s">
        <v>1197</v>
      </c>
      <c r="C499" s="38" t="str">
        <f t="shared" si="64"/>
        <v>Duplicate-SW0901 - Circuit Breaker, Gas, Outdoor, Generic - ACCB, GAS, OUTDOOR</v>
      </c>
      <c r="D499" s="38" t="str">
        <f t="shared" si="65"/>
        <v>Duplicate-</v>
      </c>
      <c r="E499" s="413"/>
      <c r="F499" s="43" t="s">
        <v>414</v>
      </c>
      <c r="G499" s="43" t="s">
        <v>1031</v>
      </c>
      <c r="X499" s="38">
        <v>2</v>
      </c>
      <c r="Y499" s="38">
        <v>0</v>
      </c>
      <c r="AK499" s="45">
        <f t="shared" si="66"/>
        <v>0</v>
      </c>
      <c r="AL499" s="46">
        <f t="shared" si="67"/>
        <v>0</v>
      </c>
      <c r="AM499" s="46">
        <f t="shared" si="68"/>
        <v>0</v>
      </c>
      <c r="AN499" s="46"/>
      <c r="AO499" s="119" t="s">
        <v>1197</v>
      </c>
      <c r="AP499" s="38" t="str">
        <f t="shared" si="63"/>
        <v>Exclude</v>
      </c>
    </row>
    <row r="500" spans="1:42" ht="60" hidden="1">
      <c r="A500" s="38" t="str">
        <f t="shared" si="69"/>
        <v>Ausgrid</v>
      </c>
      <c r="B500" s="38" t="s">
        <v>1197</v>
      </c>
      <c r="C500" s="38" t="str">
        <f t="shared" si="64"/>
        <v>Duplicate-SW0902 - Circuit Breaker, Gas Outdoor, ABB type LTB, and ASEA HPL - ACCB, GAS, OUTDOOR</v>
      </c>
      <c r="D500" s="38" t="str">
        <f t="shared" si="65"/>
        <v>Duplicate-</v>
      </c>
      <c r="E500" s="413"/>
      <c r="F500" s="43" t="s">
        <v>414</v>
      </c>
      <c r="G500" s="43" t="s">
        <v>1032</v>
      </c>
      <c r="X500" s="38">
        <v>12</v>
      </c>
      <c r="Y500" s="38">
        <v>0</v>
      </c>
      <c r="AK500" s="45">
        <f t="shared" si="66"/>
        <v>0</v>
      </c>
      <c r="AL500" s="46">
        <f t="shared" si="67"/>
        <v>0</v>
      </c>
      <c r="AM500" s="46">
        <f t="shared" si="68"/>
        <v>0</v>
      </c>
      <c r="AN500" s="46"/>
      <c r="AO500" s="119" t="s">
        <v>1197</v>
      </c>
      <c r="AP500" s="38" t="str">
        <f t="shared" si="63"/>
        <v>Exclude</v>
      </c>
    </row>
    <row r="501" spans="1:42" ht="60" hidden="1">
      <c r="A501" s="38" t="str">
        <f t="shared" si="69"/>
        <v>Ausgrid</v>
      </c>
      <c r="B501" s="38" t="s">
        <v>1197</v>
      </c>
      <c r="C501" s="38" t="str">
        <f t="shared" si="64"/>
        <v>Duplicate-SW0903 - Circuit Breaker, Gas Outdoor, GEC, 132kV, type HGF - ACCB, GAS, OUTDOOR</v>
      </c>
      <c r="D501" s="38" t="str">
        <f t="shared" si="65"/>
        <v>Duplicate-</v>
      </c>
      <c r="E501" s="413"/>
      <c r="F501" s="43" t="s">
        <v>414</v>
      </c>
      <c r="G501" s="43" t="s">
        <v>1033</v>
      </c>
      <c r="X501" s="38">
        <v>12</v>
      </c>
      <c r="Y501" s="38">
        <v>0</v>
      </c>
      <c r="AK501" s="45">
        <f t="shared" si="66"/>
        <v>0</v>
      </c>
      <c r="AL501" s="46">
        <f t="shared" si="67"/>
        <v>0</v>
      </c>
      <c r="AM501" s="46">
        <f t="shared" si="68"/>
        <v>0</v>
      </c>
      <c r="AN501" s="46"/>
      <c r="AO501" s="119" t="s">
        <v>1197</v>
      </c>
      <c r="AP501" s="38" t="str">
        <f t="shared" si="63"/>
        <v>Exclude</v>
      </c>
    </row>
    <row r="502" spans="1:42" ht="60" hidden="1">
      <c r="A502" s="38" t="str">
        <f t="shared" si="69"/>
        <v>Ausgrid</v>
      </c>
      <c r="B502" s="38" t="s">
        <v>1197</v>
      </c>
      <c r="C502" s="38" t="str">
        <f t="shared" si="64"/>
        <v>Duplicate-SW0932 - Circuit Breaker, Gas Outdoor, Mitsubishi, 132kV, type 120SFMTE - ACCB, GAS, OUTDOOR</v>
      </c>
      <c r="D502" s="38" t="str">
        <f t="shared" si="65"/>
        <v>Duplicate-</v>
      </c>
      <c r="E502" s="413"/>
      <c r="F502" s="43" t="s">
        <v>414</v>
      </c>
      <c r="G502" s="43" t="s">
        <v>1034</v>
      </c>
      <c r="X502" s="38">
        <v>12</v>
      </c>
      <c r="Y502" s="38">
        <v>0</v>
      </c>
      <c r="AK502" s="45">
        <f t="shared" si="66"/>
        <v>0</v>
      </c>
      <c r="AL502" s="46">
        <f t="shared" si="67"/>
        <v>0</v>
      </c>
      <c r="AM502" s="46">
        <f t="shared" si="68"/>
        <v>0</v>
      </c>
      <c r="AN502" s="46"/>
      <c r="AO502" s="119" t="s">
        <v>1197</v>
      </c>
      <c r="AP502" s="38" t="str">
        <f t="shared" si="63"/>
        <v>Exclude</v>
      </c>
    </row>
    <row r="503" spans="1:42" ht="45" hidden="1">
      <c r="A503" s="38" t="str">
        <f t="shared" si="69"/>
        <v>Ausgrid</v>
      </c>
      <c r="B503" s="38" t="s">
        <v>1197</v>
      </c>
      <c r="C503" s="38" t="str">
        <f t="shared" si="64"/>
        <v>Duplicate-SW0921 - Circuit Switcher, S &amp; C Electrical Co, 132kV, MK II - ACCB, GAS, OUTDOOR</v>
      </c>
      <c r="D503" s="38" t="str">
        <f t="shared" si="65"/>
        <v>Duplicate-</v>
      </c>
      <c r="E503" s="413"/>
      <c r="F503" s="43" t="s">
        <v>414</v>
      </c>
      <c r="G503" s="43" t="s">
        <v>1035</v>
      </c>
      <c r="X503" s="38">
        <v>2</v>
      </c>
      <c r="Y503" s="38">
        <v>0</v>
      </c>
      <c r="AK503" s="45">
        <f t="shared" si="66"/>
        <v>0</v>
      </c>
      <c r="AL503" s="46">
        <f t="shared" si="67"/>
        <v>0</v>
      </c>
      <c r="AM503" s="46">
        <f t="shared" si="68"/>
        <v>0</v>
      </c>
      <c r="AN503" s="46"/>
      <c r="AO503" s="119" t="s">
        <v>1197</v>
      </c>
      <c r="AP503" s="38" t="str">
        <f t="shared" si="63"/>
        <v>Exclude</v>
      </c>
    </row>
    <row r="504" spans="1:42" ht="45" hidden="1">
      <c r="A504" s="38" t="str">
        <f t="shared" si="69"/>
        <v>Ausgrid</v>
      </c>
      <c r="B504" s="38" t="s">
        <v>1197</v>
      </c>
      <c r="C504" s="38" t="str">
        <f t="shared" si="64"/>
        <v>Duplicate-SW0922 - Circuit Switcher, S &amp; C Electrical Co, 132kV, MK II - ACCB, GAS, OUTDOOR</v>
      </c>
      <c r="D504" s="38" t="str">
        <f t="shared" si="65"/>
        <v>Duplicate-</v>
      </c>
      <c r="E504" s="413"/>
      <c r="F504" s="43" t="s">
        <v>414</v>
      </c>
      <c r="G504" s="43" t="s">
        <v>1036</v>
      </c>
      <c r="X504" s="38">
        <v>12</v>
      </c>
      <c r="Y504" s="38">
        <v>0</v>
      </c>
      <c r="AK504" s="45">
        <f t="shared" si="66"/>
        <v>0</v>
      </c>
      <c r="AL504" s="46">
        <f t="shared" si="67"/>
        <v>0</v>
      </c>
      <c r="AM504" s="46">
        <f t="shared" si="68"/>
        <v>0</v>
      </c>
      <c r="AN504" s="46"/>
      <c r="AO504" s="119" t="s">
        <v>1197</v>
      </c>
      <c r="AP504" s="38" t="str">
        <f t="shared" si="63"/>
        <v>Exclude</v>
      </c>
    </row>
    <row r="505" spans="1:42" ht="45" hidden="1">
      <c r="A505" s="38" t="str">
        <f t="shared" si="69"/>
        <v>Ausgrid</v>
      </c>
      <c r="B505" s="38" t="s">
        <v>1197</v>
      </c>
      <c r="C505" s="38" t="str">
        <f t="shared" si="64"/>
        <v>Duplicate-SW0901 - Circuit Breaker, Gas, Outdoor, Generic - ACCB, GAS, OUTDOOR</v>
      </c>
      <c r="D505" s="38" t="str">
        <f t="shared" si="65"/>
        <v>Duplicate-</v>
      </c>
      <c r="E505" s="413"/>
      <c r="F505" s="43" t="s">
        <v>414</v>
      </c>
      <c r="G505" s="43" t="s">
        <v>1031</v>
      </c>
      <c r="X505" s="38">
        <v>6</v>
      </c>
      <c r="Y505" s="38">
        <v>0</v>
      </c>
      <c r="AK505" s="45">
        <f t="shared" si="66"/>
        <v>0</v>
      </c>
      <c r="AL505" s="46">
        <f t="shared" si="67"/>
        <v>0</v>
      </c>
      <c r="AM505" s="46">
        <f t="shared" si="68"/>
        <v>0</v>
      </c>
      <c r="AN505" s="46"/>
      <c r="AO505" s="119" t="s">
        <v>1197</v>
      </c>
      <c r="AP505" s="38" t="str">
        <f t="shared" si="63"/>
        <v>Exclude</v>
      </c>
    </row>
    <row r="506" spans="1:42" ht="60" hidden="1">
      <c r="A506" s="38" t="str">
        <f t="shared" si="69"/>
        <v>Ausgrid</v>
      </c>
      <c r="B506" s="38" t="s">
        <v>1197</v>
      </c>
      <c r="C506" s="38" t="str">
        <f t="shared" si="64"/>
        <v>Duplicate-SW0962 - Circuit Breaker, Gas Outdoor, Siemens, 66kV, type SPS2-72.5 - ACCB, GAS, OUTDOOR</v>
      </c>
      <c r="D506" s="38" t="str">
        <f t="shared" si="65"/>
        <v>Duplicate-</v>
      </c>
      <c r="E506" s="413"/>
      <c r="F506" s="43" t="s">
        <v>414</v>
      </c>
      <c r="G506" s="43" t="s">
        <v>1037</v>
      </c>
      <c r="X506" s="38">
        <v>12</v>
      </c>
      <c r="Y506" s="38">
        <v>0</v>
      </c>
      <c r="AK506" s="45">
        <f t="shared" si="66"/>
        <v>0</v>
      </c>
      <c r="AL506" s="46">
        <f t="shared" si="67"/>
        <v>0</v>
      </c>
      <c r="AM506" s="46">
        <f t="shared" si="68"/>
        <v>0</v>
      </c>
      <c r="AN506" s="46"/>
      <c r="AO506" s="119" t="s">
        <v>1197</v>
      </c>
      <c r="AP506" s="38" t="str">
        <f t="shared" si="63"/>
        <v>Exclude</v>
      </c>
    </row>
    <row r="507" spans="1:42" ht="75" hidden="1">
      <c r="A507" s="38" t="str">
        <f t="shared" si="69"/>
        <v>Ausgrid</v>
      </c>
      <c r="B507" s="38" t="s">
        <v>1197</v>
      </c>
      <c r="C507" s="38" t="str">
        <f t="shared" si="64"/>
        <v>Duplicate-SW7201 - 12kV Compound Insulated Switchboards and 12kV Oil Circuit Breakers - Vertical Racking - BUSBAR, ENCLOSED (WITH VT'S)</v>
      </c>
      <c r="D507" s="38" t="str">
        <f t="shared" si="65"/>
        <v>Duplicate-</v>
      </c>
      <c r="E507" s="413"/>
      <c r="F507" s="43" t="s">
        <v>414</v>
      </c>
      <c r="G507" s="43" t="s">
        <v>1038</v>
      </c>
      <c r="X507" s="38">
        <v>0.5</v>
      </c>
      <c r="Y507" s="38">
        <v>0.5</v>
      </c>
      <c r="AK507" s="45">
        <f t="shared" si="66"/>
        <v>0</v>
      </c>
      <c r="AL507" s="46">
        <f t="shared" si="67"/>
        <v>0</v>
      </c>
      <c r="AM507" s="46">
        <f t="shared" si="68"/>
        <v>0</v>
      </c>
      <c r="AN507" s="46"/>
      <c r="AO507" s="119" t="s">
        <v>1197</v>
      </c>
      <c r="AP507" s="38" t="str">
        <f t="shared" si="63"/>
        <v>Exclude</v>
      </c>
    </row>
    <row r="508" spans="1:42" ht="75" hidden="1">
      <c r="A508" s="38" t="str">
        <f t="shared" si="69"/>
        <v>Ausgrid</v>
      </c>
      <c r="B508" s="38" t="s">
        <v>1197</v>
      </c>
      <c r="C508" s="38" t="str">
        <f t="shared" si="64"/>
        <v>Duplicate-SW7201 - 12kV Compound Insulated Switchboards and 12kV Oil Circuit Breakers - Vertical Racking - BUSBAR, ENCLOSED (WITH VT'S)</v>
      </c>
      <c r="D508" s="38" t="str">
        <f t="shared" si="65"/>
        <v>Duplicate-</v>
      </c>
      <c r="E508" s="413"/>
      <c r="F508" s="43" t="s">
        <v>414</v>
      </c>
      <c r="G508" s="43" t="s">
        <v>1038</v>
      </c>
      <c r="X508" s="38">
        <v>1</v>
      </c>
      <c r="Y508" s="38">
        <v>1</v>
      </c>
      <c r="AK508" s="45">
        <f t="shared" si="66"/>
        <v>0</v>
      </c>
      <c r="AL508" s="46">
        <f t="shared" si="67"/>
        <v>0</v>
      </c>
      <c r="AM508" s="46">
        <f t="shared" si="68"/>
        <v>0</v>
      </c>
      <c r="AN508" s="46"/>
      <c r="AO508" s="119" t="s">
        <v>1197</v>
      </c>
      <c r="AP508" s="38" t="str">
        <f t="shared" si="63"/>
        <v>Exclude</v>
      </c>
    </row>
    <row r="509" spans="1:42" ht="75" hidden="1">
      <c r="A509" s="38" t="str">
        <f t="shared" si="69"/>
        <v>Ausgrid</v>
      </c>
      <c r="B509" s="38" t="s">
        <v>1197</v>
      </c>
      <c r="C509" s="38" t="str">
        <f t="shared" si="64"/>
        <v>Duplicate-SW7201 - 12kV Compound Insulated Switchboards and 12kV Oil Circuit Breakers - Vertical Racking - BUSBAR, ENCLOSED (WITH VT'S)</v>
      </c>
      <c r="D509" s="38" t="str">
        <f t="shared" si="65"/>
        <v>Duplicate-</v>
      </c>
      <c r="E509" s="413"/>
      <c r="F509" s="43" t="s">
        <v>414</v>
      </c>
      <c r="G509" s="43" t="s">
        <v>1038</v>
      </c>
      <c r="X509" s="38">
        <v>3</v>
      </c>
      <c r="Y509" s="38">
        <v>3</v>
      </c>
      <c r="AK509" s="45">
        <f t="shared" si="66"/>
        <v>0</v>
      </c>
      <c r="AL509" s="46">
        <f t="shared" si="67"/>
        <v>0</v>
      </c>
      <c r="AM509" s="46">
        <f t="shared" si="68"/>
        <v>0</v>
      </c>
      <c r="AN509" s="46"/>
      <c r="AO509" s="119" t="s">
        <v>1197</v>
      </c>
      <c r="AP509" s="38" t="str">
        <f t="shared" si="63"/>
        <v>Exclude</v>
      </c>
    </row>
    <row r="510" spans="1:42" ht="75" hidden="1">
      <c r="A510" s="38" t="str">
        <f t="shared" si="69"/>
        <v>Ausgrid</v>
      </c>
      <c r="B510" s="38" t="s">
        <v>1197</v>
      </c>
      <c r="C510" s="38" t="str">
        <f t="shared" si="64"/>
        <v>Duplicate-SW7201 - 12kV Compound Insulated Switchboards and 12kV Oil Circuit Breakers - Vertical Racking - BUSBAR, ENCLOSED (WITH VT'S)</v>
      </c>
      <c r="D510" s="38" t="str">
        <f t="shared" si="65"/>
        <v>Duplicate-</v>
      </c>
      <c r="E510" s="413"/>
      <c r="F510" s="43" t="s">
        <v>414</v>
      </c>
      <c r="G510" s="43" t="s">
        <v>1038</v>
      </c>
      <c r="X510" s="38">
        <v>6</v>
      </c>
      <c r="Y510" s="38">
        <v>6</v>
      </c>
      <c r="AK510" s="45">
        <f t="shared" si="66"/>
        <v>0</v>
      </c>
      <c r="AL510" s="46">
        <f t="shared" si="67"/>
        <v>0</v>
      </c>
      <c r="AM510" s="46">
        <f t="shared" si="68"/>
        <v>0</v>
      </c>
      <c r="AN510" s="46"/>
      <c r="AO510" s="119" t="s">
        <v>1197</v>
      </c>
      <c r="AP510" s="38" t="str">
        <f t="shared" si="63"/>
        <v>Exclude</v>
      </c>
    </row>
    <row r="511" spans="1:42" ht="75" hidden="1">
      <c r="A511" s="38" t="str">
        <f t="shared" si="69"/>
        <v>Ausgrid</v>
      </c>
      <c r="B511" s="38" t="s">
        <v>1197</v>
      </c>
      <c r="C511" s="38" t="str">
        <f t="shared" si="64"/>
        <v>Duplicate-SW7201 - 12kV Compound Insulated Switchboards and 12kV Oil Circuit Breakers - Vertical Racking - BUSBAR, ENCLOSED (WITH VT'S)</v>
      </c>
      <c r="D511" s="38" t="str">
        <f t="shared" si="65"/>
        <v>Duplicate-</v>
      </c>
      <c r="E511" s="413"/>
      <c r="F511" s="43" t="s">
        <v>414</v>
      </c>
      <c r="G511" s="43" t="s">
        <v>1038</v>
      </c>
      <c r="X511" s="38">
        <v>12</v>
      </c>
      <c r="Y511" s="38">
        <v>12</v>
      </c>
      <c r="AK511" s="45">
        <f t="shared" si="66"/>
        <v>0</v>
      </c>
      <c r="AL511" s="46">
        <f t="shared" si="67"/>
        <v>0</v>
      </c>
      <c r="AM511" s="46">
        <f t="shared" si="68"/>
        <v>0</v>
      </c>
      <c r="AN511" s="46"/>
      <c r="AO511" s="119" t="s">
        <v>1197</v>
      </c>
      <c r="AP511" s="38" t="str">
        <f t="shared" si="63"/>
        <v>Exclude</v>
      </c>
    </row>
    <row r="512" spans="1:42" ht="75" hidden="1">
      <c r="A512" s="38" t="str">
        <f t="shared" si="69"/>
        <v>Ausgrid</v>
      </c>
      <c r="B512" s="38" t="s">
        <v>1197</v>
      </c>
      <c r="C512" s="38" t="str">
        <f t="shared" si="64"/>
        <v>Duplicate-SW7201 - 12kV Compound Insulated Switchboards and 12kV Oil Circuit Breakers - Vertical Racking - BUSBAR, ENCLOSED (WITH VT'S)</v>
      </c>
      <c r="D512" s="38" t="str">
        <f t="shared" si="65"/>
        <v>Duplicate-</v>
      </c>
      <c r="E512" s="413"/>
      <c r="F512" s="43" t="s">
        <v>414</v>
      </c>
      <c r="G512" s="43" t="s">
        <v>1038</v>
      </c>
      <c r="X512" s="38">
        <v>24</v>
      </c>
      <c r="Y512" s="38">
        <v>24</v>
      </c>
      <c r="AK512" s="45">
        <f t="shared" si="66"/>
        <v>0</v>
      </c>
      <c r="AL512" s="46">
        <f t="shared" si="67"/>
        <v>0</v>
      </c>
      <c r="AM512" s="46">
        <f t="shared" si="68"/>
        <v>0</v>
      </c>
      <c r="AN512" s="46"/>
      <c r="AO512" s="119" t="s">
        <v>1197</v>
      </c>
      <c r="AP512" s="38" t="str">
        <f t="shared" si="63"/>
        <v>Exclude</v>
      </c>
    </row>
    <row r="513" spans="1:42" ht="90" hidden="1">
      <c r="A513" s="38" t="str">
        <f t="shared" si="69"/>
        <v>Ausgrid</v>
      </c>
      <c r="B513" s="38" t="s">
        <v>1197</v>
      </c>
      <c r="C513" s="38" t="str">
        <f t="shared" si="64"/>
        <v>Duplicate-SW7202 - 12kV Compound Insulated Switchboards and 12kV Oil Circuit Breakers - Horizontal Racking - BUSBAR, ENCLOSED (WITH VT'S)</v>
      </c>
      <c r="D513" s="38" t="str">
        <f t="shared" si="65"/>
        <v>Duplicate-</v>
      </c>
      <c r="E513" s="413"/>
      <c r="F513" s="43" t="s">
        <v>414</v>
      </c>
      <c r="G513" s="43" t="s">
        <v>1039</v>
      </c>
      <c r="X513" s="38">
        <v>0.5</v>
      </c>
      <c r="Y513" s="38">
        <v>0.5</v>
      </c>
      <c r="AK513" s="45">
        <f t="shared" si="66"/>
        <v>0</v>
      </c>
      <c r="AL513" s="46">
        <f t="shared" si="67"/>
        <v>0</v>
      </c>
      <c r="AM513" s="46">
        <f t="shared" si="68"/>
        <v>0</v>
      </c>
      <c r="AN513" s="46"/>
      <c r="AO513" s="119" t="s">
        <v>1197</v>
      </c>
      <c r="AP513" s="38" t="str">
        <f t="shared" si="63"/>
        <v>Exclude</v>
      </c>
    </row>
    <row r="514" spans="1:42" ht="90" hidden="1">
      <c r="A514" s="38" t="str">
        <f t="shared" si="69"/>
        <v>Ausgrid</v>
      </c>
      <c r="B514" s="38" t="s">
        <v>1197</v>
      </c>
      <c r="C514" s="38" t="str">
        <f t="shared" si="64"/>
        <v>Duplicate-SW7202 - 12kV Compound Insulated Switchboards and 12kV Oil Circuit Breakers - Horizontal Racking - BUSBAR, ENCLOSED (WITH VT'S)</v>
      </c>
      <c r="D514" s="38" t="str">
        <f t="shared" si="65"/>
        <v>Duplicate-</v>
      </c>
      <c r="E514" s="413"/>
      <c r="F514" s="43" t="s">
        <v>414</v>
      </c>
      <c r="G514" s="43" t="s">
        <v>1039</v>
      </c>
      <c r="X514" s="38">
        <v>1</v>
      </c>
      <c r="Y514" s="38">
        <v>1</v>
      </c>
      <c r="AK514" s="45">
        <f t="shared" si="66"/>
        <v>0</v>
      </c>
      <c r="AL514" s="46">
        <f t="shared" si="67"/>
        <v>0</v>
      </c>
      <c r="AM514" s="46">
        <f t="shared" si="68"/>
        <v>0</v>
      </c>
      <c r="AN514" s="46"/>
      <c r="AO514" s="119" t="s">
        <v>1197</v>
      </c>
      <c r="AP514" s="38" t="str">
        <f t="shared" si="63"/>
        <v>Exclude</v>
      </c>
    </row>
    <row r="515" spans="1:42" ht="90" hidden="1">
      <c r="A515" s="38" t="str">
        <f t="shared" si="69"/>
        <v>Ausgrid</v>
      </c>
      <c r="B515" s="38" t="s">
        <v>1197</v>
      </c>
      <c r="C515" s="38" t="str">
        <f t="shared" si="64"/>
        <v>Duplicate-SW7202 - 12kV Compound Insulated Switchboards and 12kV Oil Circuit Breakers - Horizontal Racking - BUSBAR, ENCLOSED (WITH VT'S)</v>
      </c>
      <c r="D515" s="38" t="str">
        <f t="shared" si="65"/>
        <v>Duplicate-</v>
      </c>
      <c r="E515" s="413"/>
      <c r="F515" s="43" t="s">
        <v>414</v>
      </c>
      <c r="G515" s="43" t="s">
        <v>1039</v>
      </c>
      <c r="X515" s="38">
        <v>3</v>
      </c>
      <c r="Y515" s="38">
        <v>3</v>
      </c>
      <c r="AK515" s="45">
        <f t="shared" si="66"/>
        <v>0</v>
      </c>
      <c r="AL515" s="46">
        <f t="shared" si="67"/>
        <v>0</v>
      </c>
      <c r="AM515" s="46">
        <f t="shared" si="68"/>
        <v>0</v>
      </c>
      <c r="AN515" s="46"/>
      <c r="AO515" s="119" t="s">
        <v>1197</v>
      </c>
      <c r="AP515" s="38" t="str">
        <f t="shared" ref="AP515:AP578" si="70">IFERROR(VLOOKUP(C515,$AR:$AS,2,FALSE),"Exclude")</f>
        <v>Exclude</v>
      </c>
    </row>
    <row r="516" spans="1:42" ht="90" hidden="1">
      <c r="A516" s="38" t="str">
        <f t="shared" si="69"/>
        <v>Ausgrid</v>
      </c>
      <c r="B516" s="38" t="s">
        <v>1197</v>
      </c>
      <c r="C516" s="38" t="str">
        <f t="shared" ref="C516:C579" si="71">B516&amp;"-"&amp;G516</f>
        <v>Duplicate-SW7202 - 12kV Compound Insulated Switchboards and 12kV Oil Circuit Breakers - Horizontal Racking - BUSBAR, ENCLOSED (WITH VT'S)</v>
      </c>
      <c r="D516" s="38" t="str">
        <f t="shared" ref="D516:D579" si="72">B516&amp;"-"&amp;H516</f>
        <v>Duplicate-</v>
      </c>
      <c r="E516" s="413"/>
      <c r="F516" s="43" t="s">
        <v>414</v>
      </c>
      <c r="G516" s="43" t="s">
        <v>1039</v>
      </c>
      <c r="X516" s="38">
        <v>6</v>
      </c>
      <c r="Y516" s="38">
        <v>6</v>
      </c>
      <c r="AK516" s="45">
        <f t="shared" ref="AK516:AK579" si="73">SUM(N516:R516)</f>
        <v>0</v>
      </c>
      <c r="AL516" s="46">
        <f t="shared" ref="AL516:AL579" si="74">SUM(Z516:AD516)</f>
        <v>0</v>
      </c>
      <c r="AM516" s="46">
        <f t="shared" ref="AM516:AM579" si="75">SUM(AE516:AI516)</f>
        <v>0</v>
      </c>
      <c r="AN516" s="46"/>
      <c r="AO516" s="119" t="s">
        <v>1197</v>
      </c>
      <c r="AP516" s="38" t="str">
        <f t="shared" si="70"/>
        <v>Exclude</v>
      </c>
    </row>
    <row r="517" spans="1:42" ht="90" hidden="1">
      <c r="A517" s="38" t="str">
        <f t="shared" si="69"/>
        <v>Ausgrid</v>
      </c>
      <c r="B517" s="38" t="s">
        <v>1197</v>
      </c>
      <c r="C517" s="38" t="str">
        <f t="shared" si="71"/>
        <v>Duplicate-SW7202 - 12kV Compound Insulated Switchboards and 12kV Oil Circuit Breakers - Horizontal Racking - BUSBAR, ENCLOSED (WITH VT'S)</v>
      </c>
      <c r="D517" s="38" t="str">
        <f t="shared" si="72"/>
        <v>Duplicate-</v>
      </c>
      <c r="E517" s="413"/>
      <c r="F517" s="43" t="s">
        <v>414</v>
      </c>
      <c r="G517" s="43" t="s">
        <v>1039</v>
      </c>
      <c r="X517" s="38">
        <v>12</v>
      </c>
      <c r="Y517" s="38">
        <v>12</v>
      </c>
      <c r="AK517" s="45">
        <f t="shared" si="73"/>
        <v>0</v>
      </c>
      <c r="AL517" s="46">
        <f t="shared" si="74"/>
        <v>0</v>
      </c>
      <c r="AM517" s="46">
        <f t="shared" si="75"/>
        <v>0</v>
      </c>
      <c r="AN517" s="46"/>
      <c r="AO517" s="119" t="s">
        <v>1197</v>
      </c>
      <c r="AP517" s="38" t="str">
        <f t="shared" si="70"/>
        <v>Exclude</v>
      </c>
    </row>
    <row r="518" spans="1:42" ht="30" hidden="1">
      <c r="A518" s="38" t="str">
        <f t="shared" si="69"/>
        <v>Ausgrid</v>
      </c>
      <c r="B518" s="38" t="s">
        <v>1197</v>
      </c>
      <c r="C518" s="38" t="str">
        <f t="shared" si="71"/>
        <v>Duplicate-SW8101 - Fault Thrower, Generic</v>
      </c>
      <c r="D518" s="38" t="str">
        <f t="shared" si="72"/>
        <v>Duplicate-</v>
      </c>
      <c r="E518" s="413"/>
      <c r="F518" s="43" t="s">
        <v>414</v>
      </c>
      <c r="G518" s="43" t="s">
        <v>1040</v>
      </c>
      <c r="X518" s="38">
        <v>6</v>
      </c>
      <c r="Y518" s="38">
        <v>6</v>
      </c>
      <c r="AK518" s="45">
        <f t="shared" si="73"/>
        <v>0</v>
      </c>
      <c r="AL518" s="46">
        <f t="shared" si="74"/>
        <v>0</v>
      </c>
      <c r="AM518" s="46">
        <f t="shared" si="75"/>
        <v>0</v>
      </c>
      <c r="AN518" s="46"/>
      <c r="AO518" s="119" t="s">
        <v>1197</v>
      </c>
      <c r="AP518" s="38" t="str">
        <f t="shared" si="70"/>
        <v>Exclude</v>
      </c>
    </row>
    <row r="519" spans="1:42" ht="30" hidden="1">
      <c r="A519" s="38" t="str">
        <f t="shared" si="69"/>
        <v>Ausgrid</v>
      </c>
      <c r="B519" s="38" t="s">
        <v>1197</v>
      </c>
      <c r="C519" s="38" t="str">
        <f t="shared" si="71"/>
        <v>Duplicate-ZONE SUBSTATION - BATTERIES</v>
      </c>
      <c r="D519" s="38" t="str">
        <f t="shared" si="72"/>
        <v xml:space="preserve">Duplicate-No. of zone substation batteries ('000s)  </v>
      </c>
      <c r="E519" s="413"/>
      <c r="F519" s="43" t="s">
        <v>414</v>
      </c>
      <c r="G519" s="43" t="s">
        <v>1041</v>
      </c>
      <c r="H519" s="43" t="s">
        <v>1042</v>
      </c>
      <c r="I519" s="41">
        <v>0.38</v>
      </c>
      <c r="J519" s="41">
        <v>0.4</v>
      </c>
      <c r="K519" s="41">
        <v>0.4</v>
      </c>
      <c r="L519" s="41">
        <v>0.42</v>
      </c>
      <c r="M519" s="41">
        <v>0.42</v>
      </c>
      <c r="N519" s="41">
        <v>1.58</v>
      </c>
      <c r="O519" s="41">
        <v>1.57</v>
      </c>
      <c r="P519" s="41">
        <v>1.53</v>
      </c>
      <c r="Q519" s="41">
        <v>1.54</v>
      </c>
      <c r="R519" s="41">
        <v>1.54</v>
      </c>
      <c r="S519" s="41">
        <v>17.309999999999999</v>
      </c>
      <c r="T519" s="41">
        <v>15.68</v>
      </c>
      <c r="U519" s="41">
        <v>11.92</v>
      </c>
      <c r="V519" s="41">
        <v>8.9700000000000006</v>
      </c>
      <c r="W519" s="41">
        <v>6.79</v>
      </c>
      <c r="X519" s="38">
        <v>0</v>
      </c>
      <c r="Y519" s="38">
        <v>0</v>
      </c>
      <c r="Z519" s="40">
        <v>282.64999999999998</v>
      </c>
      <c r="AA519" s="40">
        <v>313.37</v>
      </c>
      <c r="AB519" s="40">
        <v>287.18</v>
      </c>
      <c r="AC519" s="40">
        <v>267.86</v>
      </c>
      <c r="AD519" s="40">
        <v>339.82</v>
      </c>
      <c r="AE519" s="40">
        <v>61.65</v>
      </c>
      <c r="AF519" s="40">
        <v>41.24</v>
      </c>
      <c r="AG519" s="40">
        <v>117.35</v>
      </c>
      <c r="AH519" s="40">
        <v>61.62</v>
      </c>
      <c r="AI519" s="40">
        <v>100.24</v>
      </c>
      <c r="AK519" s="45">
        <f t="shared" si="73"/>
        <v>7.7600000000000007</v>
      </c>
      <c r="AL519" s="46">
        <f t="shared" si="74"/>
        <v>1490.8799999999999</v>
      </c>
      <c r="AM519" s="46">
        <f t="shared" si="75"/>
        <v>382.1</v>
      </c>
      <c r="AN519" s="46"/>
      <c r="AO519" s="119" t="s">
        <v>1197</v>
      </c>
      <c r="AP519" s="38" t="str">
        <f t="shared" si="70"/>
        <v>Exclude</v>
      </c>
    </row>
    <row r="520" spans="1:42" ht="45" hidden="1">
      <c r="A520" s="38" t="str">
        <f t="shared" si="69"/>
        <v>Ausgrid</v>
      </c>
      <c r="B520" s="38" t="s">
        <v>1197</v>
      </c>
      <c r="C520" s="38" t="str">
        <f t="shared" si="71"/>
        <v>Duplicate-DC0211 - Alkaline / Lead Acid - Wet Cell (32 - 130 volt) - BATTERIES</v>
      </c>
      <c r="D520" s="38" t="str">
        <f t="shared" si="72"/>
        <v>Duplicate-</v>
      </c>
      <c r="E520" s="413"/>
      <c r="F520" s="43" t="s">
        <v>414</v>
      </c>
      <c r="G520" s="43" t="s">
        <v>835</v>
      </c>
      <c r="X520" s="38">
        <v>0.25</v>
      </c>
      <c r="Y520" s="38">
        <v>0.25</v>
      </c>
      <c r="AK520" s="45">
        <f t="shared" si="73"/>
        <v>0</v>
      </c>
      <c r="AL520" s="46">
        <f t="shared" si="74"/>
        <v>0</v>
      </c>
      <c r="AM520" s="46">
        <f t="shared" si="75"/>
        <v>0</v>
      </c>
      <c r="AN520" s="46"/>
      <c r="AO520" s="119" t="s">
        <v>1197</v>
      </c>
      <c r="AP520" s="38" t="str">
        <f t="shared" si="70"/>
        <v>Exclude</v>
      </c>
    </row>
    <row r="521" spans="1:42" ht="45" hidden="1">
      <c r="A521" s="38" t="str">
        <f t="shared" si="69"/>
        <v>Ausgrid</v>
      </c>
      <c r="B521" s="38" t="s">
        <v>1197</v>
      </c>
      <c r="C521" s="38" t="str">
        <f t="shared" si="71"/>
        <v>Duplicate-DC0212 - Alkaline / Lead Acid - Wet Cell (32 - 130 volt) - BATTERIES</v>
      </c>
      <c r="D521" s="38" t="str">
        <f t="shared" si="72"/>
        <v>Duplicate-</v>
      </c>
      <c r="E521" s="413"/>
      <c r="F521" s="43" t="s">
        <v>414</v>
      </c>
      <c r="G521" s="43" t="s">
        <v>836</v>
      </c>
      <c r="X521" s="38">
        <v>1</v>
      </c>
      <c r="Y521" s="38">
        <v>1</v>
      </c>
      <c r="AK521" s="45">
        <f t="shared" si="73"/>
        <v>0</v>
      </c>
      <c r="AL521" s="46">
        <f t="shared" si="74"/>
        <v>0</v>
      </c>
      <c r="AM521" s="46">
        <f t="shared" si="75"/>
        <v>0</v>
      </c>
      <c r="AN521" s="46"/>
      <c r="AO521" s="119" t="s">
        <v>1197</v>
      </c>
      <c r="AP521" s="38" t="str">
        <f t="shared" si="70"/>
        <v>Exclude</v>
      </c>
    </row>
    <row r="522" spans="1:42" ht="105" hidden="1">
      <c r="A522" s="38" t="str">
        <f t="shared" si="69"/>
        <v>Ausgrid</v>
      </c>
      <c r="B522" s="38" t="s">
        <v>1197</v>
      </c>
      <c r="C522" s="38" t="str">
        <f t="shared" si="71"/>
        <v>Duplicate-DC0240 - Valve Regulated Lead Acid battery (32 - 130 volt) and associated Intelepower Battery Chargers - without monitoring communications connected. - BATTERIES</v>
      </c>
      <c r="D522" s="38" t="str">
        <f t="shared" si="72"/>
        <v>Duplicate-</v>
      </c>
      <c r="E522" s="413"/>
      <c r="F522" s="43" t="s">
        <v>414</v>
      </c>
      <c r="G522" s="43" t="s">
        <v>1043</v>
      </c>
      <c r="X522" s="38">
        <v>0.25</v>
      </c>
      <c r="Y522" s="38">
        <v>0</v>
      </c>
      <c r="AK522" s="45">
        <f t="shared" si="73"/>
        <v>0</v>
      </c>
      <c r="AL522" s="46">
        <f t="shared" si="74"/>
        <v>0</v>
      </c>
      <c r="AM522" s="46">
        <f t="shared" si="75"/>
        <v>0</v>
      </c>
      <c r="AN522" s="46"/>
      <c r="AO522" s="119" t="s">
        <v>1197</v>
      </c>
      <c r="AP522" s="38" t="str">
        <f t="shared" si="70"/>
        <v>Exclude</v>
      </c>
    </row>
    <row r="523" spans="1:42" ht="75" hidden="1">
      <c r="A523" s="38" t="str">
        <f t="shared" si="69"/>
        <v>Ausgrid</v>
      </c>
      <c r="B523" s="38" t="s">
        <v>1197</v>
      </c>
      <c r="C523" s="38" t="str">
        <f t="shared" si="71"/>
        <v>Duplicate-DC0241 - Valve Regulated Lead Acid battery (32 - 130 volt) and associated Intelepower Battery Chargers - BATTERIES</v>
      </c>
      <c r="D523" s="38" t="str">
        <f t="shared" si="72"/>
        <v>Duplicate-</v>
      </c>
      <c r="E523" s="413"/>
      <c r="F523" s="43" t="s">
        <v>414</v>
      </c>
      <c r="G523" s="43" t="s">
        <v>1044</v>
      </c>
      <c r="X523" s="38">
        <v>1</v>
      </c>
      <c r="Y523" s="38">
        <v>0</v>
      </c>
      <c r="AK523" s="45">
        <f t="shared" si="73"/>
        <v>0</v>
      </c>
      <c r="AL523" s="46">
        <f t="shared" si="74"/>
        <v>0</v>
      </c>
      <c r="AM523" s="46">
        <f t="shared" si="75"/>
        <v>0</v>
      </c>
      <c r="AN523" s="46"/>
      <c r="AO523" s="119" t="s">
        <v>1197</v>
      </c>
      <c r="AP523" s="38" t="str">
        <f t="shared" si="70"/>
        <v>Exclude</v>
      </c>
    </row>
    <row r="524" spans="1:42" ht="75" hidden="1">
      <c r="A524" s="38" t="str">
        <f t="shared" si="69"/>
        <v>Ausgrid</v>
      </c>
      <c r="B524" s="38" t="s">
        <v>1197</v>
      </c>
      <c r="C524" s="38" t="str">
        <f t="shared" si="71"/>
        <v>Duplicate-DC0242 - Valve Regulated Lead Acid battery (32 - 130 volt) and associated Intelepower Battery Chargers - BATTERIES</v>
      </c>
      <c r="D524" s="38" t="str">
        <f t="shared" si="72"/>
        <v>Duplicate-</v>
      </c>
      <c r="E524" s="413"/>
      <c r="F524" s="43" t="s">
        <v>414</v>
      </c>
      <c r="G524" s="43" t="s">
        <v>1045</v>
      </c>
      <c r="X524" s="38">
        <v>2</v>
      </c>
      <c r="Y524" s="38">
        <v>0</v>
      </c>
      <c r="AK524" s="45">
        <f t="shared" si="73"/>
        <v>0</v>
      </c>
      <c r="AL524" s="46">
        <f t="shared" si="74"/>
        <v>0</v>
      </c>
      <c r="AM524" s="46">
        <f t="shared" si="75"/>
        <v>0</v>
      </c>
      <c r="AN524" s="46"/>
      <c r="AO524" s="119" t="s">
        <v>1197</v>
      </c>
      <c r="AP524" s="38" t="str">
        <f t="shared" si="70"/>
        <v>Exclude</v>
      </c>
    </row>
    <row r="525" spans="1:42" ht="45" hidden="1">
      <c r="A525" s="38" t="str">
        <f t="shared" si="69"/>
        <v>Ausgrid</v>
      </c>
      <c r="B525" s="38" t="s">
        <v>1197</v>
      </c>
      <c r="C525" s="38" t="str">
        <f t="shared" si="71"/>
        <v>Duplicate-DC0211 - Alkaline / Lead Acid - Wet Cell (32 - 130 volt) - BATTERIES</v>
      </c>
      <c r="D525" s="38" t="str">
        <f t="shared" si="72"/>
        <v>Duplicate-</v>
      </c>
      <c r="E525" s="413"/>
      <c r="F525" s="43" t="s">
        <v>414</v>
      </c>
      <c r="G525" s="43" t="s">
        <v>835</v>
      </c>
      <c r="X525" s="38">
        <v>0.17</v>
      </c>
      <c r="Y525" s="38">
        <v>0.17</v>
      </c>
      <c r="AK525" s="45">
        <f t="shared" si="73"/>
        <v>0</v>
      </c>
      <c r="AL525" s="46">
        <f t="shared" si="74"/>
        <v>0</v>
      </c>
      <c r="AM525" s="46">
        <f t="shared" si="75"/>
        <v>0</v>
      </c>
      <c r="AN525" s="46"/>
      <c r="AO525" s="119" t="s">
        <v>1197</v>
      </c>
      <c r="AP525" s="38" t="str">
        <f t="shared" si="70"/>
        <v>Exclude</v>
      </c>
    </row>
    <row r="526" spans="1:42" ht="30" hidden="1">
      <c r="A526" s="38" t="str">
        <f t="shared" si="69"/>
        <v>Ausgrid</v>
      </c>
      <c r="B526" s="38" t="s">
        <v>1197</v>
      </c>
      <c r="C526" s="38" t="str">
        <f t="shared" si="71"/>
        <v>Duplicate-DC0215 - Wet Cells  (6V-32V) - BATTERIES</v>
      </c>
      <c r="D526" s="38" t="str">
        <f t="shared" si="72"/>
        <v>Duplicate-</v>
      </c>
      <c r="E526" s="413"/>
      <c r="F526" s="43" t="s">
        <v>414</v>
      </c>
      <c r="G526" s="43" t="s">
        <v>837</v>
      </c>
      <c r="X526" s="38">
        <v>0.5</v>
      </c>
      <c r="Y526" s="38">
        <v>0.5</v>
      </c>
      <c r="AK526" s="45">
        <f t="shared" si="73"/>
        <v>0</v>
      </c>
      <c r="AL526" s="46">
        <f t="shared" si="74"/>
        <v>0</v>
      </c>
      <c r="AM526" s="46">
        <f t="shared" si="75"/>
        <v>0</v>
      </c>
      <c r="AN526" s="46"/>
      <c r="AO526" s="119" t="s">
        <v>1197</v>
      </c>
      <c r="AP526" s="38" t="str">
        <f t="shared" si="70"/>
        <v>Exclude</v>
      </c>
    </row>
    <row r="527" spans="1:42" ht="30" hidden="1">
      <c r="A527" s="38" t="str">
        <f t="shared" si="69"/>
        <v>Ausgrid</v>
      </c>
      <c r="B527" s="38" t="s">
        <v>1197</v>
      </c>
      <c r="C527" s="38" t="str">
        <f t="shared" si="71"/>
        <v>Duplicate-DC0215 - Wet Cells  (6V-32V) - BATTERIES</v>
      </c>
      <c r="D527" s="38" t="str">
        <f t="shared" si="72"/>
        <v>Duplicate-</v>
      </c>
      <c r="E527" s="413"/>
      <c r="F527" s="43" t="s">
        <v>414</v>
      </c>
      <c r="G527" s="43" t="s">
        <v>837</v>
      </c>
      <c r="X527" s="38">
        <v>1</v>
      </c>
      <c r="Y527" s="38">
        <v>1</v>
      </c>
      <c r="AK527" s="45">
        <f t="shared" si="73"/>
        <v>0</v>
      </c>
      <c r="AL527" s="46">
        <f t="shared" si="74"/>
        <v>0</v>
      </c>
      <c r="AM527" s="46">
        <f t="shared" si="75"/>
        <v>0</v>
      </c>
      <c r="AN527" s="46"/>
      <c r="AO527" s="119" t="s">
        <v>1197</v>
      </c>
      <c r="AP527" s="38" t="str">
        <f t="shared" si="70"/>
        <v>Exclude</v>
      </c>
    </row>
    <row r="528" spans="1:42" ht="30" hidden="1">
      <c r="A528" s="38" t="str">
        <f t="shared" si="69"/>
        <v>Ausgrid</v>
      </c>
      <c r="B528" s="38" t="s">
        <v>1197</v>
      </c>
      <c r="C528" s="38" t="str">
        <f t="shared" si="71"/>
        <v>Duplicate-DC0216 - Wet Cells  (6V-32V) - BATTERIES</v>
      </c>
      <c r="D528" s="38" t="str">
        <f t="shared" si="72"/>
        <v>Duplicate-</v>
      </c>
      <c r="E528" s="413"/>
      <c r="F528" s="43" t="s">
        <v>414</v>
      </c>
      <c r="G528" s="43" t="s">
        <v>838</v>
      </c>
      <c r="X528" s="38">
        <v>0.5</v>
      </c>
      <c r="Y528" s="38">
        <v>0.5</v>
      </c>
      <c r="AK528" s="45">
        <f t="shared" si="73"/>
        <v>0</v>
      </c>
      <c r="AL528" s="46">
        <f t="shared" si="74"/>
        <v>0</v>
      </c>
      <c r="AM528" s="46">
        <f t="shared" si="75"/>
        <v>0</v>
      </c>
      <c r="AN528" s="46"/>
      <c r="AO528" s="119" t="s">
        <v>1197</v>
      </c>
      <c r="AP528" s="38" t="str">
        <f t="shared" si="70"/>
        <v>Exclude</v>
      </c>
    </row>
    <row r="529" spans="1:42" ht="45" hidden="1">
      <c r="A529" s="38" t="str">
        <f t="shared" si="69"/>
        <v>Ausgrid</v>
      </c>
      <c r="B529" s="38" t="s">
        <v>1197</v>
      </c>
      <c r="C529" s="38" t="str">
        <f t="shared" si="71"/>
        <v>Duplicate-DC0231 - Alkaline / Lead Acid - Wet Cell (48 volt) - COMMUNICATIONS</v>
      </c>
      <c r="D529" s="38" t="str">
        <f t="shared" si="72"/>
        <v>Duplicate-</v>
      </c>
      <c r="E529" s="413"/>
      <c r="F529" s="43" t="s">
        <v>414</v>
      </c>
      <c r="G529" s="43" t="s">
        <v>839</v>
      </c>
      <c r="X529" s="38">
        <v>0.25</v>
      </c>
      <c r="Y529" s="38">
        <v>0.25</v>
      </c>
      <c r="AK529" s="45">
        <f t="shared" si="73"/>
        <v>0</v>
      </c>
      <c r="AL529" s="46">
        <f t="shared" si="74"/>
        <v>0</v>
      </c>
      <c r="AM529" s="46">
        <f t="shared" si="75"/>
        <v>0</v>
      </c>
      <c r="AN529" s="46"/>
      <c r="AO529" s="119" t="s">
        <v>1197</v>
      </c>
      <c r="AP529" s="38" t="str">
        <f t="shared" si="70"/>
        <v>Exclude</v>
      </c>
    </row>
    <row r="530" spans="1:42" ht="45" hidden="1">
      <c r="A530" s="38" t="str">
        <f t="shared" si="69"/>
        <v>Ausgrid</v>
      </c>
      <c r="B530" s="38" t="s">
        <v>1197</v>
      </c>
      <c r="C530" s="38" t="str">
        <f t="shared" si="71"/>
        <v>Duplicate-DC0232 - Alkaline / Lead Acid - Wet Cell (48 volt) - COMMUNICATIONS</v>
      </c>
      <c r="D530" s="38" t="str">
        <f t="shared" si="72"/>
        <v>Duplicate-</v>
      </c>
      <c r="E530" s="413"/>
      <c r="F530" s="43" t="s">
        <v>414</v>
      </c>
      <c r="G530" s="43" t="s">
        <v>840</v>
      </c>
      <c r="X530" s="38">
        <v>1</v>
      </c>
      <c r="Y530" s="38">
        <v>1</v>
      </c>
      <c r="AK530" s="45">
        <f t="shared" si="73"/>
        <v>0</v>
      </c>
      <c r="AL530" s="46">
        <f t="shared" si="74"/>
        <v>0</v>
      </c>
      <c r="AM530" s="46">
        <f t="shared" si="75"/>
        <v>0</v>
      </c>
      <c r="AN530" s="46"/>
      <c r="AO530" s="119" t="s">
        <v>1197</v>
      </c>
      <c r="AP530" s="38" t="str">
        <f t="shared" si="70"/>
        <v>Exclude</v>
      </c>
    </row>
    <row r="531" spans="1:42" ht="30" hidden="1">
      <c r="A531" s="38" t="str">
        <f t="shared" si="69"/>
        <v>Ausgrid</v>
      </c>
      <c r="B531" s="38" t="s">
        <v>1197</v>
      </c>
      <c r="C531" s="38" t="str">
        <f t="shared" si="71"/>
        <v>Duplicate-DC0235 - Sealed Cells  (12V-24V) - BATTERIES</v>
      </c>
      <c r="D531" s="38" t="str">
        <f t="shared" si="72"/>
        <v>Duplicate-</v>
      </c>
      <c r="E531" s="413"/>
      <c r="F531" s="43" t="s">
        <v>414</v>
      </c>
      <c r="G531" s="43" t="s">
        <v>841</v>
      </c>
      <c r="X531" s="38">
        <v>1</v>
      </c>
      <c r="Y531" s="38">
        <v>0</v>
      </c>
      <c r="AK531" s="45">
        <f t="shared" si="73"/>
        <v>0</v>
      </c>
      <c r="AL531" s="46">
        <f t="shared" si="74"/>
        <v>0</v>
      </c>
      <c r="AM531" s="46">
        <f t="shared" si="75"/>
        <v>0</v>
      </c>
      <c r="AN531" s="46"/>
      <c r="AO531" s="119" t="s">
        <v>1197</v>
      </c>
      <c r="AP531" s="38" t="str">
        <f t="shared" si="70"/>
        <v>Exclude</v>
      </c>
    </row>
    <row r="532" spans="1:42" ht="45" hidden="1">
      <c r="A532" s="38" t="str">
        <f t="shared" si="69"/>
        <v>Ausgrid</v>
      </c>
      <c r="B532" s="38" t="s">
        <v>1197</v>
      </c>
      <c r="C532" s="38" t="str">
        <f t="shared" si="71"/>
        <v>Duplicate-DC0251 - Intertrip Battery - Dry Cell (120V/ 240V) - BATTERIES</v>
      </c>
      <c r="D532" s="38" t="str">
        <f t="shared" si="72"/>
        <v>Duplicate-</v>
      </c>
      <c r="E532" s="413"/>
      <c r="F532" s="43" t="s">
        <v>414</v>
      </c>
      <c r="G532" s="43" t="s">
        <v>842</v>
      </c>
      <c r="X532" s="38">
        <v>0.5</v>
      </c>
      <c r="Y532" s="38">
        <v>0</v>
      </c>
      <c r="AK532" s="45">
        <f t="shared" si="73"/>
        <v>0</v>
      </c>
      <c r="AL532" s="46">
        <f t="shared" si="74"/>
        <v>0</v>
      </c>
      <c r="AM532" s="46">
        <f t="shared" si="75"/>
        <v>0</v>
      </c>
      <c r="AN532" s="46"/>
      <c r="AO532" s="119" t="s">
        <v>1197</v>
      </c>
      <c r="AP532" s="38" t="str">
        <f t="shared" si="70"/>
        <v>Exclude</v>
      </c>
    </row>
    <row r="533" spans="1:42" ht="45" hidden="1">
      <c r="A533" s="38" t="str">
        <f t="shared" si="69"/>
        <v>Ausgrid</v>
      </c>
      <c r="B533" s="38" t="s">
        <v>1197</v>
      </c>
      <c r="C533" s="38" t="str">
        <f t="shared" si="71"/>
        <v>Duplicate-DC0252 - Intertrip Battery - Dry Cell (120V/ 240V) - BATTERIES</v>
      </c>
      <c r="D533" s="38" t="str">
        <f t="shared" si="72"/>
        <v>Duplicate-</v>
      </c>
      <c r="E533" s="413"/>
      <c r="F533" s="43" t="s">
        <v>414</v>
      </c>
      <c r="G533" s="43" t="s">
        <v>843</v>
      </c>
      <c r="X533" s="38">
        <v>2</v>
      </c>
      <c r="Y533" s="38">
        <v>0</v>
      </c>
      <c r="AK533" s="45">
        <f t="shared" si="73"/>
        <v>0</v>
      </c>
      <c r="AL533" s="46">
        <f t="shared" si="74"/>
        <v>0</v>
      </c>
      <c r="AM533" s="46">
        <f t="shared" si="75"/>
        <v>0</v>
      </c>
      <c r="AN533" s="46"/>
      <c r="AO533" s="119" t="s">
        <v>1197</v>
      </c>
      <c r="AP533" s="38" t="str">
        <f t="shared" si="70"/>
        <v>Exclude</v>
      </c>
    </row>
    <row r="534" spans="1:42" ht="30" hidden="1">
      <c r="A534" s="38" t="str">
        <f t="shared" si="69"/>
        <v>Ausgrid</v>
      </c>
      <c r="B534" s="38" t="s">
        <v>1197</v>
      </c>
      <c r="C534" s="38" t="str">
        <f t="shared" si="71"/>
        <v>Duplicate-DC0253 - Intertrip Battery - Lithium (245V) - BATTERIES</v>
      </c>
      <c r="D534" s="38" t="str">
        <f t="shared" si="72"/>
        <v>Duplicate-</v>
      </c>
      <c r="E534" s="413"/>
      <c r="F534" s="43" t="s">
        <v>414</v>
      </c>
      <c r="G534" s="43" t="s">
        <v>844</v>
      </c>
      <c r="X534" s="38">
        <v>1</v>
      </c>
      <c r="Y534" s="38">
        <v>0</v>
      </c>
      <c r="AK534" s="45">
        <f t="shared" si="73"/>
        <v>0</v>
      </c>
      <c r="AL534" s="46">
        <f t="shared" si="74"/>
        <v>0</v>
      </c>
      <c r="AM534" s="46">
        <f t="shared" si="75"/>
        <v>0</v>
      </c>
      <c r="AN534" s="46"/>
      <c r="AO534" s="119" t="s">
        <v>1197</v>
      </c>
      <c r="AP534" s="38" t="str">
        <f t="shared" si="70"/>
        <v>Exclude</v>
      </c>
    </row>
    <row r="535" spans="1:42" ht="45" hidden="1">
      <c r="A535" s="38" t="str">
        <f t="shared" si="69"/>
        <v>Ausgrid</v>
      </c>
      <c r="B535" s="38" t="s">
        <v>1197</v>
      </c>
      <c r="C535" s="38" t="str">
        <f t="shared" si="71"/>
        <v>Duplicate-DC0255 - Intertrip Battery -Wet Cells (240V) - BATTERIES</v>
      </c>
      <c r="D535" s="38" t="str">
        <f t="shared" si="72"/>
        <v>Duplicate-</v>
      </c>
      <c r="E535" s="413"/>
      <c r="F535" s="43" t="s">
        <v>414</v>
      </c>
      <c r="G535" s="43" t="s">
        <v>845</v>
      </c>
      <c r="X535" s="38">
        <v>0.5</v>
      </c>
      <c r="Y535" s="38">
        <v>0.5</v>
      </c>
      <c r="AK535" s="45">
        <f t="shared" si="73"/>
        <v>0</v>
      </c>
      <c r="AL535" s="46">
        <f t="shared" si="74"/>
        <v>0</v>
      </c>
      <c r="AM535" s="46">
        <f t="shared" si="75"/>
        <v>0</v>
      </c>
      <c r="AN535" s="46"/>
      <c r="AO535" s="119" t="s">
        <v>1197</v>
      </c>
      <c r="AP535" s="38" t="str">
        <f t="shared" si="70"/>
        <v>Exclude</v>
      </c>
    </row>
    <row r="536" spans="1:42" ht="45" hidden="1">
      <c r="A536" s="38" t="str">
        <f t="shared" si="69"/>
        <v>Ausgrid</v>
      </c>
      <c r="B536" s="38" t="s">
        <v>1197</v>
      </c>
      <c r="C536" s="38" t="str">
        <f t="shared" si="71"/>
        <v>Duplicate-DC0257 - Intertrip Battery - SLA Paste (120V) - BATTERIES</v>
      </c>
      <c r="D536" s="38" t="str">
        <f t="shared" si="72"/>
        <v>Duplicate-</v>
      </c>
      <c r="E536" s="413"/>
      <c r="F536" s="43" t="s">
        <v>414</v>
      </c>
      <c r="G536" s="43" t="s">
        <v>846</v>
      </c>
      <c r="X536" s="38">
        <v>0.5</v>
      </c>
      <c r="Y536" s="38">
        <v>0</v>
      </c>
      <c r="AK536" s="45">
        <f t="shared" si="73"/>
        <v>0</v>
      </c>
      <c r="AL536" s="46">
        <f t="shared" si="74"/>
        <v>0</v>
      </c>
      <c r="AM536" s="46">
        <f t="shared" si="75"/>
        <v>0</v>
      </c>
      <c r="AN536" s="46"/>
      <c r="AO536" s="119" t="s">
        <v>1197</v>
      </c>
      <c r="AP536" s="38" t="str">
        <f t="shared" si="70"/>
        <v>Exclude</v>
      </c>
    </row>
    <row r="537" spans="1:42" ht="45" hidden="1">
      <c r="A537" s="38" t="str">
        <f t="shared" si="69"/>
        <v>Ausgrid</v>
      </c>
      <c r="B537" s="38" t="s">
        <v>1197</v>
      </c>
      <c r="C537" s="38" t="str">
        <f t="shared" si="71"/>
        <v>Duplicate-ZONE SUBSTATION - SCADA &amp; CUSTOMER LOAD CONTROL</v>
      </c>
      <c r="D537" s="38" t="str">
        <f t="shared" si="72"/>
        <v>Duplicate-No. of zone substation CLC plant</v>
      </c>
      <c r="E537" s="413"/>
      <c r="F537" s="43" t="s">
        <v>414</v>
      </c>
      <c r="G537" s="43" t="s">
        <v>1046</v>
      </c>
      <c r="H537" s="43" t="s">
        <v>1047</v>
      </c>
      <c r="I537" s="41">
        <v>0.19</v>
      </c>
      <c r="J537" s="41">
        <v>0.2</v>
      </c>
      <c r="K537" s="41">
        <v>0.2</v>
      </c>
      <c r="L537" s="41">
        <v>0.2</v>
      </c>
      <c r="M537" s="41">
        <v>0.2</v>
      </c>
      <c r="N537" s="41">
        <v>0</v>
      </c>
      <c r="O537" s="41">
        <v>0</v>
      </c>
      <c r="P537" s="41">
        <v>0</v>
      </c>
      <c r="Q537" s="41">
        <v>0</v>
      </c>
      <c r="R537" s="41">
        <v>0</v>
      </c>
      <c r="S537" s="41">
        <v>27.26</v>
      </c>
      <c r="T537" s="41">
        <v>26.87</v>
      </c>
      <c r="U537" s="41">
        <v>27.46</v>
      </c>
      <c r="V537" s="41">
        <v>28.09</v>
      </c>
      <c r="W537" s="41">
        <v>28</v>
      </c>
      <c r="X537" s="38">
        <v>0</v>
      </c>
      <c r="Y537" s="38">
        <v>0</v>
      </c>
      <c r="Z537" s="40">
        <v>118.24</v>
      </c>
      <c r="AA537" s="40">
        <v>267.57</v>
      </c>
      <c r="AB537" s="40">
        <v>193.9</v>
      </c>
      <c r="AC537" s="40">
        <v>178.53</v>
      </c>
      <c r="AD537" s="40">
        <v>190.6</v>
      </c>
      <c r="AE537" s="40">
        <v>193.71</v>
      </c>
      <c r="AF537" s="40">
        <v>157.38</v>
      </c>
      <c r="AG537" s="40">
        <v>153.38999999999999</v>
      </c>
      <c r="AH537" s="40">
        <v>177.62</v>
      </c>
      <c r="AI537" s="40">
        <v>382.9</v>
      </c>
      <c r="AK537" s="45">
        <f t="shared" si="73"/>
        <v>0</v>
      </c>
      <c r="AL537" s="46">
        <f t="shared" si="74"/>
        <v>948.84</v>
      </c>
      <c r="AM537" s="46">
        <f t="shared" si="75"/>
        <v>1065</v>
      </c>
      <c r="AN537" s="46"/>
      <c r="AO537" s="119" t="s">
        <v>1197</v>
      </c>
      <c r="AP537" s="38" t="str">
        <f t="shared" si="70"/>
        <v>Exclude</v>
      </c>
    </row>
    <row r="538" spans="1:42" ht="30" hidden="1">
      <c r="A538" s="38" t="str">
        <f t="shared" si="69"/>
        <v>Ausgrid</v>
      </c>
      <c r="B538" s="38" t="s">
        <v>1197</v>
      </c>
      <c r="C538" s="38" t="str">
        <f t="shared" si="71"/>
        <v>Duplicate-ZONE SUBSTATION - EARTHING</v>
      </c>
      <c r="D538" s="38" t="str">
        <f t="shared" si="72"/>
        <v>Duplicate-No. of zone substations ('000s)</v>
      </c>
      <c r="E538" s="413"/>
      <c r="F538" s="43" t="s">
        <v>414</v>
      </c>
      <c r="G538" s="43" t="s">
        <v>1048</v>
      </c>
      <c r="H538" s="43" t="s">
        <v>935</v>
      </c>
      <c r="I538" s="41">
        <v>0.2</v>
      </c>
      <c r="J538" s="41">
        <v>0.21</v>
      </c>
      <c r="K538" s="41">
        <v>0.21</v>
      </c>
      <c r="L538" s="41">
        <v>0.21</v>
      </c>
      <c r="M538" s="41">
        <v>0.21</v>
      </c>
      <c r="N538" s="41">
        <v>0.09</v>
      </c>
      <c r="O538" s="41">
        <v>0.12</v>
      </c>
      <c r="P538" s="41">
        <v>0.1</v>
      </c>
      <c r="Q538" s="41">
        <v>0.14000000000000001</v>
      </c>
      <c r="R538" s="41">
        <v>0.04</v>
      </c>
      <c r="S538" s="41">
        <v>38.86</v>
      </c>
      <c r="T538" s="41">
        <v>38.11</v>
      </c>
      <c r="U538" s="41">
        <v>37.659999999999997</v>
      </c>
      <c r="V538" s="41">
        <v>37.6</v>
      </c>
      <c r="W538" s="41">
        <v>37.18</v>
      </c>
      <c r="X538" s="38">
        <v>0</v>
      </c>
      <c r="Y538" s="38">
        <v>0</v>
      </c>
      <c r="Z538" s="40">
        <v>32.54</v>
      </c>
      <c r="AA538" s="40">
        <v>67.62</v>
      </c>
      <c r="AB538" s="40">
        <v>58.36</v>
      </c>
      <c r="AC538" s="40">
        <v>95.62</v>
      </c>
      <c r="AD538" s="40">
        <v>43.48</v>
      </c>
      <c r="AE538" s="40">
        <v>0</v>
      </c>
      <c r="AF538" s="40">
        <v>0</v>
      </c>
      <c r="AG538" s="40">
        <v>0</v>
      </c>
      <c r="AH538" s="40">
        <v>0</v>
      </c>
      <c r="AI538" s="40">
        <v>0</v>
      </c>
      <c r="AK538" s="45">
        <f t="shared" si="73"/>
        <v>0.49</v>
      </c>
      <c r="AL538" s="46">
        <f t="shared" si="74"/>
        <v>297.62</v>
      </c>
      <c r="AM538" s="46">
        <f t="shared" si="75"/>
        <v>0</v>
      </c>
      <c r="AN538" s="46"/>
      <c r="AO538" s="119" t="s">
        <v>1197</v>
      </c>
      <c r="AP538" s="38" t="str">
        <f t="shared" si="70"/>
        <v>Exclude</v>
      </c>
    </row>
    <row r="539" spans="1:42" ht="45" hidden="1">
      <c r="A539" s="38" t="str">
        <f t="shared" si="69"/>
        <v>Ausgrid</v>
      </c>
      <c r="B539" s="38" t="s">
        <v>1197</v>
      </c>
      <c r="C539" s="38" t="str">
        <f t="shared" si="71"/>
        <v>Duplicate-ER0102 - Earthing Examination and Testing - MAJOR SUBSTATIONS</v>
      </c>
      <c r="D539" s="38" t="str">
        <f t="shared" si="72"/>
        <v>Duplicate-</v>
      </c>
      <c r="E539" s="413"/>
      <c r="F539" s="43" t="s">
        <v>414</v>
      </c>
      <c r="G539" s="43" t="s">
        <v>1049</v>
      </c>
      <c r="X539" s="38">
        <v>3</v>
      </c>
      <c r="Y539" s="38">
        <v>0</v>
      </c>
      <c r="AK539" s="45">
        <f t="shared" si="73"/>
        <v>0</v>
      </c>
      <c r="AL539" s="46">
        <f t="shared" si="74"/>
        <v>0</v>
      </c>
      <c r="AM539" s="46">
        <f t="shared" si="75"/>
        <v>0</v>
      </c>
      <c r="AN539" s="46"/>
      <c r="AO539" s="119" t="s">
        <v>1197</v>
      </c>
      <c r="AP539" s="38" t="str">
        <f t="shared" si="70"/>
        <v>Exclude</v>
      </c>
    </row>
    <row r="540" spans="1:42" ht="45" hidden="1">
      <c r="A540" s="38" t="str">
        <f t="shared" si="69"/>
        <v>Ausgrid</v>
      </c>
      <c r="B540" s="38" t="s">
        <v>1197</v>
      </c>
      <c r="C540" s="38" t="str">
        <f t="shared" si="71"/>
        <v>Duplicate-ER0103 - Detailed Earthing Examination and Testing - MAJOR SUBSTATIONS</v>
      </c>
      <c r="D540" s="38" t="str">
        <f t="shared" si="72"/>
        <v>Duplicate-</v>
      </c>
      <c r="E540" s="413"/>
      <c r="F540" s="43" t="s">
        <v>414</v>
      </c>
      <c r="G540" s="43" t="s">
        <v>1050</v>
      </c>
      <c r="X540" s="38">
        <v>12</v>
      </c>
      <c r="Y540" s="38">
        <v>0</v>
      </c>
      <c r="AK540" s="45">
        <f t="shared" si="73"/>
        <v>0</v>
      </c>
      <c r="AL540" s="46">
        <f t="shared" si="74"/>
        <v>0</v>
      </c>
      <c r="AM540" s="46">
        <f t="shared" si="75"/>
        <v>0</v>
      </c>
      <c r="AN540" s="46"/>
      <c r="AO540" s="119" t="s">
        <v>1197</v>
      </c>
      <c r="AP540" s="38" t="str">
        <f t="shared" si="70"/>
        <v>Exclude</v>
      </c>
    </row>
    <row r="541" spans="1:42" ht="30" hidden="1">
      <c r="A541" s="38" t="str">
        <f t="shared" si="69"/>
        <v>Ausgrid</v>
      </c>
      <c r="B541" s="38" t="s">
        <v>1197</v>
      </c>
      <c r="C541" s="38" t="str">
        <f t="shared" si="71"/>
        <v>Duplicate-ZONE SUBSTATION - OIL CONTAINMENT</v>
      </c>
      <c r="D541" s="38" t="str">
        <f t="shared" si="72"/>
        <v>Duplicate-No. of zone substations ('000s)</v>
      </c>
      <c r="E541" s="413"/>
      <c r="F541" s="43" t="s">
        <v>414</v>
      </c>
      <c r="G541" s="43" t="s">
        <v>1051</v>
      </c>
      <c r="H541" s="43" t="s">
        <v>935</v>
      </c>
      <c r="I541" s="41">
        <v>0.2</v>
      </c>
      <c r="J541" s="41">
        <v>0.21</v>
      </c>
      <c r="K541" s="41">
        <v>0.21</v>
      </c>
      <c r="L541" s="41">
        <v>0.21</v>
      </c>
      <c r="M541" s="41">
        <v>0.21</v>
      </c>
      <c r="N541" s="41">
        <v>0.09</v>
      </c>
      <c r="O541" s="41">
        <v>0.31</v>
      </c>
      <c r="P541" s="41">
        <v>0.3</v>
      </c>
      <c r="Q541" s="41">
        <v>0.33</v>
      </c>
      <c r="R541" s="41">
        <v>0.28000000000000003</v>
      </c>
      <c r="S541" s="41">
        <v>38.86</v>
      </c>
      <c r="T541" s="41">
        <v>38.11</v>
      </c>
      <c r="U541" s="41">
        <v>37.659999999999997</v>
      </c>
      <c r="V541" s="41">
        <v>37.6</v>
      </c>
      <c r="W541" s="41">
        <v>37.18</v>
      </c>
      <c r="X541" s="38">
        <v>0</v>
      </c>
      <c r="Y541" s="38">
        <v>0</v>
      </c>
      <c r="Z541" s="40">
        <v>0.19</v>
      </c>
      <c r="AA541" s="40">
        <v>30.92</v>
      </c>
      <c r="AB541" s="40">
        <v>94.71</v>
      </c>
      <c r="AC541" s="40">
        <v>159.03</v>
      </c>
      <c r="AD541" s="40">
        <v>315.85000000000002</v>
      </c>
      <c r="AE541" s="40">
        <v>0</v>
      </c>
      <c r="AF541" s="40">
        <v>20.79</v>
      </c>
      <c r="AG541" s="40">
        <v>129.52000000000001</v>
      </c>
      <c r="AH541" s="40">
        <v>269.36</v>
      </c>
      <c r="AI541" s="40">
        <v>298.36</v>
      </c>
      <c r="AK541" s="45">
        <f t="shared" si="73"/>
        <v>1.31</v>
      </c>
      <c r="AL541" s="46">
        <f t="shared" si="74"/>
        <v>600.70000000000005</v>
      </c>
      <c r="AM541" s="46">
        <f t="shared" si="75"/>
        <v>718.03</v>
      </c>
      <c r="AN541" s="46"/>
      <c r="AO541" s="119" t="s">
        <v>1197</v>
      </c>
      <c r="AP541" s="38" t="str">
        <f t="shared" si="70"/>
        <v>Exclude</v>
      </c>
    </row>
    <row r="542" spans="1:42" ht="75" hidden="1">
      <c r="A542" s="38" t="str">
        <f t="shared" si="69"/>
        <v>Ausgrid</v>
      </c>
      <c r="B542" s="38" t="s">
        <v>1197</v>
      </c>
      <c r="C542" s="38" t="str">
        <f t="shared" si="71"/>
        <v>Duplicate-SU0115 - Oil Containment System (1, 2,3  Stage and EGOWS) - MAJOR SUBSTATIONS (ZONE AND SUBTRANSMISSION)</v>
      </c>
      <c r="D542" s="38" t="str">
        <f t="shared" si="72"/>
        <v>Duplicate-</v>
      </c>
      <c r="E542" s="413"/>
      <c r="F542" s="43" t="s">
        <v>414</v>
      </c>
      <c r="G542" s="43" t="s">
        <v>1052</v>
      </c>
      <c r="X542" s="38">
        <v>1</v>
      </c>
      <c r="Y542" s="38">
        <v>1</v>
      </c>
      <c r="AK542" s="45">
        <f t="shared" si="73"/>
        <v>0</v>
      </c>
      <c r="AL542" s="46">
        <f t="shared" si="74"/>
        <v>0</v>
      </c>
      <c r="AM542" s="46">
        <f t="shared" si="75"/>
        <v>0</v>
      </c>
      <c r="AN542" s="46"/>
      <c r="AO542" s="119" t="s">
        <v>1197</v>
      </c>
      <c r="AP542" s="38" t="str">
        <f t="shared" si="70"/>
        <v>Exclude</v>
      </c>
    </row>
    <row r="543" spans="1:42" ht="75" hidden="1">
      <c r="A543" s="38" t="str">
        <f t="shared" si="69"/>
        <v>Ausgrid</v>
      </c>
      <c r="B543" s="38" t="s">
        <v>1197</v>
      </c>
      <c r="C543" s="38" t="str">
        <f t="shared" si="71"/>
        <v>Duplicate-SU0116 - Oil Treatment / Separation System (Baldwin / SEPA) - MAJOR SUBSTATIONS (ZONE AND SUBTRANSMISSION)</v>
      </c>
      <c r="D543" s="38" t="str">
        <f t="shared" si="72"/>
        <v>Duplicate-</v>
      </c>
      <c r="E543" s="413"/>
      <c r="F543" s="43" t="s">
        <v>414</v>
      </c>
      <c r="G543" s="43" t="s">
        <v>1053</v>
      </c>
      <c r="X543" s="38">
        <v>0.25</v>
      </c>
      <c r="Y543" s="38">
        <v>0.25</v>
      </c>
      <c r="AK543" s="45">
        <f t="shared" si="73"/>
        <v>0</v>
      </c>
      <c r="AL543" s="46">
        <f t="shared" si="74"/>
        <v>0</v>
      </c>
      <c r="AM543" s="46">
        <f t="shared" si="75"/>
        <v>0</v>
      </c>
      <c r="AN543" s="46"/>
      <c r="AO543" s="119" t="s">
        <v>1197</v>
      </c>
      <c r="AP543" s="38" t="str">
        <f t="shared" si="70"/>
        <v>Exclude</v>
      </c>
    </row>
    <row r="544" spans="1:42" ht="30" hidden="1">
      <c r="A544" s="38" t="str">
        <f t="shared" si="69"/>
        <v>Ausgrid</v>
      </c>
      <c r="B544" s="38" t="s">
        <v>1197</v>
      </c>
      <c r="C544" s="38" t="str">
        <f t="shared" si="71"/>
        <v>Duplicate-ZONE SUBSTATION - CT / VT's (oil type)</v>
      </c>
      <c r="D544" s="38" t="str">
        <f t="shared" si="72"/>
        <v>Duplicate-No. of zone substation CT's / VT's (oil type) ('000s)</v>
      </c>
      <c r="E544" s="413"/>
      <c r="F544" s="43" t="s">
        <v>414</v>
      </c>
      <c r="G544" s="43" t="s">
        <v>1054</v>
      </c>
      <c r="H544" s="43" t="s">
        <v>1055</v>
      </c>
      <c r="I544" s="41">
        <v>0.81</v>
      </c>
      <c r="J544" s="41">
        <v>0.81</v>
      </c>
      <c r="K544" s="41">
        <v>0.77</v>
      </c>
      <c r="L544" s="41">
        <v>0.69</v>
      </c>
      <c r="M544" s="41">
        <v>0.69</v>
      </c>
      <c r="N544" s="41">
        <v>0.1</v>
      </c>
      <c r="O544" s="41">
        <v>0.22</v>
      </c>
      <c r="P544" s="41">
        <v>0.19</v>
      </c>
      <c r="Q544" s="41">
        <v>0.12</v>
      </c>
      <c r="R544" s="41">
        <v>0.18</v>
      </c>
      <c r="S544" s="41">
        <v>23.03</v>
      </c>
      <c r="T544" s="41">
        <v>22.22</v>
      </c>
      <c r="U544" s="41">
        <v>22.74</v>
      </c>
      <c r="V544" s="41">
        <v>22.46</v>
      </c>
      <c r="W544" s="41">
        <v>21.01</v>
      </c>
      <c r="X544" s="38">
        <v>0</v>
      </c>
      <c r="Y544" s="38">
        <v>0</v>
      </c>
      <c r="Z544" s="40">
        <v>27.44</v>
      </c>
      <c r="AA544" s="40">
        <v>53.37</v>
      </c>
      <c r="AB544" s="40">
        <v>51</v>
      </c>
      <c r="AC544" s="40">
        <v>38.99</v>
      </c>
      <c r="AD544" s="40">
        <v>61.92</v>
      </c>
      <c r="AE544" s="40">
        <v>35.69</v>
      </c>
      <c r="AF544" s="40">
        <v>151.11000000000001</v>
      </c>
      <c r="AG544" s="40">
        <v>66.3</v>
      </c>
      <c r="AH544" s="40">
        <v>46.39</v>
      </c>
      <c r="AI544" s="40">
        <v>47.49</v>
      </c>
      <c r="AK544" s="45">
        <f t="shared" si="73"/>
        <v>0.81</v>
      </c>
      <c r="AL544" s="46">
        <f t="shared" si="74"/>
        <v>232.72000000000003</v>
      </c>
      <c r="AM544" s="46">
        <f t="shared" si="75"/>
        <v>346.98</v>
      </c>
      <c r="AN544" s="46"/>
      <c r="AO544" s="119" t="s">
        <v>1197</v>
      </c>
      <c r="AP544" s="38" t="str">
        <f t="shared" si="70"/>
        <v>Exclude</v>
      </c>
    </row>
    <row r="545" spans="1:42" ht="30" hidden="1">
      <c r="A545" s="38" t="str">
        <f t="shared" si="69"/>
        <v>Ausgrid</v>
      </c>
      <c r="B545" s="38" t="s">
        <v>1197</v>
      </c>
      <c r="C545" s="38" t="str">
        <f t="shared" si="71"/>
        <v>Duplicate-ALL ZONE SUBSTATION PROPERTIES</v>
      </c>
      <c r="D545" s="38" t="str">
        <f t="shared" si="72"/>
        <v>Duplicate-Number of zone substation properties maintained</v>
      </c>
      <c r="E545" s="413"/>
      <c r="F545" s="43" t="s">
        <v>422</v>
      </c>
      <c r="G545" s="43" t="s">
        <v>423</v>
      </c>
      <c r="H545" s="43" t="s">
        <v>1056</v>
      </c>
      <c r="I545" s="41">
        <v>0.2</v>
      </c>
      <c r="J545" s="41">
        <v>0.21</v>
      </c>
      <c r="K545" s="41">
        <v>0.21</v>
      </c>
      <c r="L545" s="41">
        <v>0.21</v>
      </c>
      <c r="M545" s="41">
        <v>0.21</v>
      </c>
      <c r="N545" s="41">
        <v>2.5499999999999998</v>
      </c>
      <c r="O545" s="41">
        <v>2.4700000000000002</v>
      </c>
      <c r="P545" s="41">
        <v>2.5499999999999998</v>
      </c>
      <c r="Q545" s="41">
        <v>3.23</v>
      </c>
      <c r="R545" s="41">
        <v>21.26</v>
      </c>
      <c r="S545" s="41">
        <v>38.86</v>
      </c>
      <c r="T545" s="41">
        <v>38.11</v>
      </c>
      <c r="U545" s="41">
        <v>37.659999999999997</v>
      </c>
      <c r="V545" s="41">
        <v>37.6</v>
      </c>
      <c r="W545" s="41">
        <v>37.18</v>
      </c>
      <c r="X545" s="38">
        <v>0</v>
      </c>
      <c r="Y545" s="38">
        <v>0</v>
      </c>
      <c r="Z545" s="40">
        <v>2859.62</v>
      </c>
      <c r="AA545" s="40">
        <v>5055.08</v>
      </c>
      <c r="AB545" s="40">
        <v>4823.3500000000004</v>
      </c>
      <c r="AC545" s="40">
        <v>3653.56</v>
      </c>
      <c r="AD545" s="40">
        <v>2965.58</v>
      </c>
      <c r="AE545" s="40">
        <v>738.71</v>
      </c>
      <c r="AF545" s="40">
        <v>2176.73</v>
      </c>
      <c r="AG545" s="40">
        <v>3301.12</v>
      </c>
      <c r="AH545" s="40">
        <v>4292.24</v>
      </c>
      <c r="AI545" s="40">
        <v>4784.6899999999996</v>
      </c>
      <c r="AK545" s="45">
        <f t="shared" si="73"/>
        <v>32.06</v>
      </c>
      <c r="AL545" s="46">
        <f t="shared" si="74"/>
        <v>19357.190000000002</v>
      </c>
      <c r="AM545" s="46">
        <f t="shared" si="75"/>
        <v>15293.489999999998</v>
      </c>
      <c r="AN545" s="46"/>
      <c r="AO545" s="119" t="s">
        <v>1197</v>
      </c>
      <c r="AP545" s="38" t="str">
        <f t="shared" si="70"/>
        <v>Exclude</v>
      </c>
    </row>
    <row r="546" spans="1:42" ht="60" hidden="1">
      <c r="A546" s="38" t="str">
        <f t="shared" si="69"/>
        <v>Ausgrid</v>
      </c>
      <c r="B546" s="38" t="s">
        <v>1197</v>
      </c>
      <c r="C546" s="38" t="str">
        <f t="shared" si="71"/>
        <v>Duplicate-SU0105 - Substation, Non-Electrical Inspection - MAJOR SUBSTATIONS (ZONE AND SUBTRANSMISSION)</v>
      </c>
      <c r="D546" s="38" t="str">
        <f t="shared" si="72"/>
        <v>Duplicate-</v>
      </c>
      <c r="E546" s="413"/>
      <c r="F546" s="43" t="s">
        <v>422</v>
      </c>
      <c r="G546" s="43" t="s">
        <v>1057</v>
      </c>
      <c r="X546" s="38">
        <v>4</v>
      </c>
      <c r="Y546" s="38">
        <v>0</v>
      </c>
      <c r="AK546" s="45">
        <f t="shared" si="73"/>
        <v>0</v>
      </c>
      <c r="AL546" s="46">
        <f t="shared" si="74"/>
        <v>0</v>
      </c>
      <c r="AM546" s="46">
        <f t="shared" si="75"/>
        <v>0</v>
      </c>
      <c r="AN546" s="46"/>
      <c r="AO546" s="119" t="s">
        <v>1197</v>
      </c>
      <c r="AP546" s="38" t="str">
        <f t="shared" si="70"/>
        <v>Exclude</v>
      </c>
    </row>
    <row r="547" spans="1:42" ht="60" hidden="1">
      <c r="A547" s="38" t="str">
        <f t="shared" si="69"/>
        <v>Ausgrid</v>
      </c>
      <c r="B547" s="38" t="s">
        <v>1197</v>
      </c>
      <c r="C547" s="38" t="str">
        <f t="shared" si="71"/>
        <v>Duplicate-SU0106 - Substation, Security Inspection - MAJOR SUBSTATIONS (ZONE AND SUBTRANSMISSION)</v>
      </c>
      <c r="D547" s="38" t="str">
        <f t="shared" si="72"/>
        <v>Duplicate-</v>
      </c>
      <c r="E547" s="413"/>
      <c r="F547" s="43" t="s">
        <v>422</v>
      </c>
      <c r="G547" s="43" t="s">
        <v>1058</v>
      </c>
      <c r="X547" s="38">
        <v>0.08</v>
      </c>
      <c r="Y547" s="38">
        <v>0</v>
      </c>
      <c r="AK547" s="45">
        <f t="shared" si="73"/>
        <v>0</v>
      </c>
      <c r="AL547" s="46">
        <f t="shared" si="74"/>
        <v>0</v>
      </c>
      <c r="AM547" s="46">
        <f t="shared" si="75"/>
        <v>0</v>
      </c>
      <c r="AN547" s="46"/>
      <c r="AO547" s="119" t="s">
        <v>1197</v>
      </c>
      <c r="AP547" s="38" t="str">
        <f t="shared" si="70"/>
        <v>Exclude</v>
      </c>
    </row>
    <row r="548" spans="1:42" ht="30" hidden="1">
      <c r="A548" s="38" t="str">
        <f t="shared" si="69"/>
        <v>Ausgrid</v>
      </c>
      <c r="B548" s="38" t="s">
        <v>1197</v>
      </c>
      <c r="C548" s="38" t="str">
        <f t="shared" si="71"/>
        <v>Duplicate-AU1001 - Fire Extinguishers - Portable</v>
      </c>
      <c r="D548" s="38" t="str">
        <f t="shared" si="72"/>
        <v>Duplicate-</v>
      </c>
      <c r="E548" s="413"/>
      <c r="F548" s="43" t="s">
        <v>422</v>
      </c>
      <c r="G548" s="43" t="s">
        <v>862</v>
      </c>
      <c r="X548" s="38">
        <v>0.5</v>
      </c>
      <c r="Y548" s="38">
        <v>0</v>
      </c>
      <c r="AK548" s="45">
        <f t="shared" si="73"/>
        <v>0</v>
      </c>
      <c r="AL548" s="46">
        <f t="shared" si="74"/>
        <v>0</v>
      </c>
      <c r="AM548" s="46">
        <f t="shared" si="75"/>
        <v>0</v>
      </c>
      <c r="AN548" s="46"/>
      <c r="AO548" s="119" t="s">
        <v>1197</v>
      </c>
      <c r="AP548" s="38" t="str">
        <f t="shared" si="70"/>
        <v>Exclude</v>
      </c>
    </row>
    <row r="549" spans="1:42" ht="30" hidden="1">
      <c r="A549" s="38" t="str">
        <f t="shared" si="69"/>
        <v>Ausgrid</v>
      </c>
      <c r="B549" s="38" t="s">
        <v>1197</v>
      </c>
      <c r="C549" s="38" t="str">
        <f t="shared" si="71"/>
        <v>Duplicate-AU1002 - Fire Extinguishers - Portable</v>
      </c>
      <c r="D549" s="38" t="str">
        <f t="shared" si="72"/>
        <v>Duplicate-</v>
      </c>
      <c r="E549" s="413"/>
      <c r="F549" s="43" t="s">
        <v>422</v>
      </c>
      <c r="G549" s="43" t="s">
        <v>863</v>
      </c>
      <c r="X549" s="38">
        <v>1</v>
      </c>
      <c r="Y549" s="38">
        <v>0</v>
      </c>
      <c r="AK549" s="45">
        <f t="shared" si="73"/>
        <v>0</v>
      </c>
      <c r="AL549" s="46">
        <f t="shared" si="74"/>
        <v>0</v>
      </c>
      <c r="AM549" s="46">
        <f t="shared" si="75"/>
        <v>0</v>
      </c>
      <c r="AN549" s="46"/>
      <c r="AO549" s="119" t="s">
        <v>1197</v>
      </c>
      <c r="AP549" s="38" t="str">
        <f t="shared" si="70"/>
        <v>Exclude</v>
      </c>
    </row>
    <row r="550" spans="1:42" ht="30" hidden="1">
      <c r="A550" s="38" t="str">
        <f t="shared" si="69"/>
        <v>Ausgrid</v>
      </c>
      <c r="B550" s="38" t="s">
        <v>1197</v>
      </c>
      <c r="C550" s="38" t="str">
        <f t="shared" si="71"/>
        <v>Duplicate-AU1003 - Fire Extinguishers - Portable</v>
      </c>
      <c r="D550" s="38" t="str">
        <f t="shared" si="72"/>
        <v>Duplicate-</v>
      </c>
      <c r="E550" s="413"/>
      <c r="F550" s="43" t="s">
        <v>422</v>
      </c>
      <c r="G550" s="43" t="s">
        <v>864</v>
      </c>
      <c r="X550" s="38">
        <v>5</v>
      </c>
      <c r="Y550" s="38">
        <v>0</v>
      </c>
      <c r="AK550" s="45">
        <f t="shared" si="73"/>
        <v>0</v>
      </c>
      <c r="AL550" s="46">
        <f t="shared" si="74"/>
        <v>0</v>
      </c>
      <c r="AM550" s="46">
        <f t="shared" si="75"/>
        <v>0</v>
      </c>
      <c r="AN550" s="46"/>
      <c r="AO550" s="119" t="s">
        <v>1197</v>
      </c>
      <c r="AP550" s="38" t="str">
        <f t="shared" si="70"/>
        <v>Exclude</v>
      </c>
    </row>
    <row r="551" spans="1:42" ht="30" hidden="1">
      <c r="A551" s="38" t="str">
        <f t="shared" si="69"/>
        <v>Ausgrid</v>
      </c>
      <c r="B551" s="38" t="s">
        <v>1197</v>
      </c>
      <c r="C551" s="38" t="str">
        <f t="shared" si="71"/>
        <v>Duplicate-MAJOR ROADS</v>
      </c>
      <c r="D551" s="38" t="str">
        <f t="shared" si="72"/>
        <v>Duplicate-No. of public lights maintained  ('000s)</v>
      </c>
      <c r="E551" s="413"/>
      <c r="F551" s="43" t="s">
        <v>425</v>
      </c>
      <c r="G551" s="43" t="s">
        <v>428</v>
      </c>
      <c r="H551" s="43" t="s">
        <v>1059</v>
      </c>
      <c r="I551" s="41">
        <v>32.06</v>
      </c>
      <c r="J551" s="41">
        <v>32.29</v>
      </c>
      <c r="K551" s="41">
        <v>32.54</v>
      </c>
      <c r="L551" s="41">
        <v>32.93</v>
      </c>
      <c r="M551" s="41">
        <v>33</v>
      </c>
      <c r="N551" s="41">
        <v>9.19</v>
      </c>
      <c r="O551" s="41">
        <v>9.9499999999999993</v>
      </c>
      <c r="P551" s="41">
        <v>14.56</v>
      </c>
      <c r="Q551" s="41">
        <v>10.31</v>
      </c>
      <c r="R551" s="41">
        <v>16.43</v>
      </c>
      <c r="S551" s="41">
        <v>22.68</v>
      </c>
      <c r="T551" s="41">
        <v>21.08</v>
      </c>
      <c r="U551" s="41">
        <v>19.96</v>
      </c>
      <c r="V551" s="41">
        <v>18.91</v>
      </c>
      <c r="W551" s="41">
        <v>18.21</v>
      </c>
      <c r="X551" s="38">
        <v>2.5</v>
      </c>
      <c r="Y551" s="38">
        <v>2.5</v>
      </c>
      <c r="Z551" s="40">
        <v>701.93</v>
      </c>
      <c r="AA551" s="40">
        <v>727.55</v>
      </c>
      <c r="AB551" s="40">
        <v>992.58</v>
      </c>
      <c r="AC551" s="40">
        <v>752.53</v>
      </c>
      <c r="AD551" s="40">
        <v>820.02</v>
      </c>
      <c r="AE551" s="40">
        <v>288.11</v>
      </c>
      <c r="AF551" s="40">
        <v>253.52</v>
      </c>
      <c r="AG551" s="40">
        <v>207.35</v>
      </c>
      <c r="AH551" s="40">
        <v>203.79</v>
      </c>
      <c r="AI551" s="40">
        <v>222.07</v>
      </c>
      <c r="AK551" s="45">
        <f t="shared" si="73"/>
        <v>60.440000000000005</v>
      </c>
      <c r="AL551" s="46">
        <f t="shared" si="74"/>
        <v>3994.61</v>
      </c>
      <c r="AM551" s="46">
        <f t="shared" si="75"/>
        <v>1174.8399999999999</v>
      </c>
      <c r="AN551" s="46"/>
      <c r="AO551" s="119" t="s">
        <v>1197</v>
      </c>
      <c r="AP551" s="38" t="str">
        <f t="shared" si="70"/>
        <v>Exclude</v>
      </c>
    </row>
    <row r="552" spans="1:42" ht="30" hidden="1">
      <c r="A552" s="38" t="str">
        <f t="shared" si="69"/>
        <v>Ausgrid</v>
      </c>
      <c r="B552" s="38" t="s">
        <v>1197</v>
      </c>
      <c r="C552" s="38" t="str">
        <f t="shared" si="71"/>
        <v>Duplicate-RESIDENTIAL ROADS</v>
      </c>
      <c r="D552" s="38" t="str">
        <f t="shared" si="72"/>
        <v>Duplicate-No. of public lights maintained  ('000s)</v>
      </c>
      <c r="E552" s="413"/>
      <c r="F552" s="43" t="s">
        <v>425</v>
      </c>
      <c r="G552" s="43" t="s">
        <v>648</v>
      </c>
      <c r="H552" s="43" t="s">
        <v>1059</v>
      </c>
      <c r="I552" s="41">
        <v>212.25</v>
      </c>
      <c r="J552" s="41">
        <v>213.13</v>
      </c>
      <c r="K552" s="41">
        <v>214.01</v>
      </c>
      <c r="L552" s="41">
        <v>215.01</v>
      </c>
      <c r="M552" s="41">
        <v>215.68</v>
      </c>
      <c r="N552" s="41">
        <v>59.86</v>
      </c>
      <c r="O552" s="41">
        <v>70.39</v>
      </c>
      <c r="P552" s="41">
        <v>87.35</v>
      </c>
      <c r="Q552" s="41">
        <v>81.5</v>
      </c>
      <c r="R552" s="41">
        <v>101.01</v>
      </c>
      <c r="S552" s="41">
        <v>19.05</v>
      </c>
      <c r="T552" s="41">
        <v>17.8</v>
      </c>
      <c r="U552" s="41">
        <v>16.489999999999998</v>
      </c>
      <c r="V552" s="41">
        <v>15</v>
      </c>
      <c r="W552" s="41">
        <v>13.42</v>
      </c>
      <c r="X552" s="38">
        <v>2.5</v>
      </c>
      <c r="Y552" s="38">
        <v>2.5</v>
      </c>
      <c r="Z552" s="40">
        <v>4647.25</v>
      </c>
      <c r="AA552" s="40">
        <v>4802.7700000000004</v>
      </c>
      <c r="AB552" s="40">
        <v>6527.95</v>
      </c>
      <c r="AC552" s="40">
        <v>4913.42</v>
      </c>
      <c r="AD552" s="40">
        <v>5359.24</v>
      </c>
      <c r="AE552" s="40">
        <v>1907.45</v>
      </c>
      <c r="AF552" s="40">
        <v>1673.56</v>
      </c>
      <c r="AG552" s="40">
        <v>1363.71</v>
      </c>
      <c r="AH552" s="40">
        <v>1330.57</v>
      </c>
      <c r="AI552" s="40">
        <v>1451.31</v>
      </c>
      <c r="AK552" s="45">
        <f t="shared" si="73"/>
        <v>400.11</v>
      </c>
      <c r="AL552" s="46">
        <f t="shared" si="74"/>
        <v>26250.629999999997</v>
      </c>
      <c r="AM552" s="46">
        <f t="shared" si="75"/>
        <v>7726.6</v>
      </c>
      <c r="AN552" s="46"/>
      <c r="AO552" s="119" t="s">
        <v>1197</v>
      </c>
      <c r="AP552" s="38" t="str">
        <f t="shared" si="70"/>
        <v>Exclude</v>
      </c>
    </row>
    <row r="553" spans="1:42" ht="30" hidden="1">
      <c r="A553" s="38" t="str">
        <f t="shared" si="69"/>
        <v>Ausgrid</v>
      </c>
      <c r="B553" s="38" t="s">
        <v>1197</v>
      </c>
      <c r="C553" s="38" t="str">
        <f t="shared" si="71"/>
        <v>Duplicate-SCADA &amp; NETWORK CONTROL MAINTENANCE</v>
      </c>
      <c r="D553" s="38" t="str">
        <f t="shared" si="72"/>
        <v>Duplicate-Length of comms cable (km)</v>
      </c>
      <c r="E553" s="413"/>
      <c r="F553" s="43" t="s">
        <v>429</v>
      </c>
      <c r="G553" s="43" t="s">
        <v>429</v>
      </c>
      <c r="H553" s="43" t="s">
        <v>723</v>
      </c>
      <c r="I553" s="41">
        <v>6215.44</v>
      </c>
      <c r="J553" s="41">
        <v>6435.74</v>
      </c>
      <c r="K553" s="41">
        <v>6479.04</v>
      </c>
      <c r="L553" s="41">
        <v>6727.91</v>
      </c>
      <c r="M553" s="41">
        <v>6878.2</v>
      </c>
      <c r="N553" s="41">
        <v>0</v>
      </c>
      <c r="O553" s="41">
        <v>0</v>
      </c>
      <c r="P553" s="41">
        <v>0</v>
      </c>
      <c r="Q553" s="41">
        <v>0</v>
      </c>
      <c r="R553" s="41">
        <v>0</v>
      </c>
      <c r="S553" s="41">
        <v>31.72</v>
      </c>
      <c r="T553" s="41">
        <v>31.49</v>
      </c>
      <c r="U553" s="41">
        <v>31.49</v>
      </c>
      <c r="V553" s="41">
        <v>30.82</v>
      </c>
      <c r="W553" s="41">
        <v>31.06</v>
      </c>
      <c r="X553" s="38">
        <v>0</v>
      </c>
      <c r="Y553" s="38">
        <v>0</v>
      </c>
      <c r="Z553" s="40">
        <v>9.7200000000000006</v>
      </c>
      <c r="AA553" s="40">
        <v>36.67</v>
      </c>
      <c r="AB553" s="40">
        <v>22.74</v>
      </c>
      <c r="AC553" s="40">
        <v>40.380000000000003</v>
      </c>
      <c r="AD553" s="40">
        <v>45.85</v>
      </c>
      <c r="AE553" s="40">
        <v>206.97</v>
      </c>
      <c r="AF553" s="40">
        <v>245.83</v>
      </c>
      <c r="AG553" s="40">
        <v>151.91</v>
      </c>
      <c r="AH553" s="40">
        <v>225.19</v>
      </c>
      <c r="AI553" s="40">
        <v>70.38</v>
      </c>
      <c r="AK553" s="45">
        <f t="shared" si="73"/>
        <v>0</v>
      </c>
      <c r="AL553" s="46">
        <f t="shared" si="74"/>
        <v>155.35999999999999</v>
      </c>
      <c r="AM553" s="46">
        <f t="shared" si="75"/>
        <v>900.28000000000009</v>
      </c>
      <c r="AN553" s="46"/>
      <c r="AO553" s="119" t="s">
        <v>1197</v>
      </c>
      <c r="AP553" s="38" t="str">
        <f t="shared" si="70"/>
        <v>Exclude</v>
      </c>
    </row>
    <row r="554" spans="1:42" ht="30" hidden="1">
      <c r="A554" s="38" t="str">
        <f t="shared" si="69"/>
        <v>Ausgrid</v>
      </c>
      <c r="B554" s="38" t="s">
        <v>1197</v>
      </c>
      <c r="C554" s="38" t="str">
        <f t="shared" si="71"/>
        <v>Duplicate-PROTECTION SYSTEMS MAINTENANCE</v>
      </c>
      <c r="D554" s="38" t="str">
        <f t="shared" si="72"/>
        <v>Duplicate-To be defined by the DNSP</v>
      </c>
      <c r="E554" s="413"/>
      <c r="F554" s="43" t="s">
        <v>430</v>
      </c>
      <c r="G554" s="43" t="s">
        <v>430</v>
      </c>
      <c r="H554" s="43" t="s">
        <v>1060</v>
      </c>
      <c r="X554" s="38">
        <v>0</v>
      </c>
      <c r="Y554" s="38">
        <v>0</v>
      </c>
      <c r="AK554" s="45">
        <f t="shared" si="73"/>
        <v>0</v>
      </c>
      <c r="AL554" s="46">
        <f t="shared" si="74"/>
        <v>0</v>
      </c>
      <c r="AM554" s="46">
        <f t="shared" si="75"/>
        <v>0</v>
      </c>
      <c r="AN554" s="46"/>
      <c r="AO554" s="119" t="s">
        <v>1197</v>
      </c>
      <c r="AP554" s="38" t="str">
        <f t="shared" si="70"/>
        <v>Exclude</v>
      </c>
    </row>
    <row r="555" spans="1:42" ht="30" hidden="1">
      <c r="A555" s="38" t="str">
        <f t="shared" si="69"/>
        <v>Ausgrid</v>
      </c>
      <c r="B555" s="38" t="s">
        <v>1197</v>
      </c>
      <c r="C555" s="38" t="str">
        <f t="shared" si="71"/>
        <v>Duplicate-PROTECTION SYSTEMS - DISTRIBUTION SUBSTATIONS</v>
      </c>
      <c r="D555" s="38" t="str">
        <f t="shared" si="72"/>
        <v>Duplicate-No. of protection relays ('000s)</v>
      </c>
      <c r="E555" s="413"/>
      <c r="F555" s="43" t="s">
        <v>430</v>
      </c>
      <c r="G555" s="43" t="s">
        <v>1061</v>
      </c>
      <c r="H555" s="43" t="s">
        <v>724</v>
      </c>
      <c r="I555" s="41">
        <v>13.71</v>
      </c>
      <c r="J555" s="41">
        <v>13.95</v>
      </c>
      <c r="K555" s="41">
        <v>14.18</v>
      </c>
      <c r="L555" s="41">
        <v>14.22</v>
      </c>
      <c r="M555" s="41">
        <v>14.27</v>
      </c>
      <c r="N555" s="41">
        <v>0</v>
      </c>
      <c r="O555" s="41">
        <v>0</v>
      </c>
      <c r="P555" s="41">
        <v>0</v>
      </c>
      <c r="Q555" s="41">
        <v>0</v>
      </c>
      <c r="R555" s="41">
        <v>0</v>
      </c>
      <c r="S555" s="41">
        <v>28</v>
      </c>
      <c r="T555" s="41">
        <v>28.21</v>
      </c>
      <c r="U555" s="41">
        <v>28.74</v>
      </c>
      <c r="V555" s="41">
        <v>29.42</v>
      </c>
      <c r="W555" s="41">
        <v>30.01</v>
      </c>
      <c r="X555" s="38">
        <v>0</v>
      </c>
      <c r="Y555" s="38">
        <v>0</v>
      </c>
      <c r="Z555" s="40">
        <v>0</v>
      </c>
      <c r="AA555" s="40">
        <v>0</v>
      </c>
      <c r="AB555" s="40">
        <v>0</v>
      </c>
      <c r="AC555" s="40">
        <v>0</v>
      </c>
      <c r="AD555" s="40">
        <v>0</v>
      </c>
      <c r="AE555" s="40">
        <v>0</v>
      </c>
      <c r="AF555" s="40">
        <v>0</v>
      </c>
      <c r="AG555" s="40">
        <v>0</v>
      </c>
      <c r="AH555" s="40">
        <v>0</v>
      </c>
      <c r="AI555" s="40">
        <v>0</v>
      </c>
      <c r="AK555" s="45">
        <f t="shared" si="73"/>
        <v>0</v>
      </c>
      <c r="AL555" s="46">
        <f t="shared" si="74"/>
        <v>0</v>
      </c>
      <c r="AM555" s="46">
        <f t="shared" si="75"/>
        <v>0</v>
      </c>
      <c r="AN555" s="46"/>
      <c r="AO555" s="119" t="s">
        <v>1197</v>
      </c>
      <c r="AP555" s="38" t="str">
        <f t="shared" si="70"/>
        <v>Exclude</v>
      </c>
    </row>
    <row r="556" spans="1:42" ht="60" hidden="1">
      <c r="A556" s="38" t="str">
        <f t="shared" si="69"/>
        <v>Ausgrid</v>
      </c>
      <c r="B556" s="38" t="s">
        <v>1197</v>
      </c>
      <c r="C556" s="38" t="str">
        <f t="shared" si="71"/>
        <v>Duplicate-PR3101 - Relay, Electromechanical, Timing. - RELAYS - ELECTROMECHANICAL</v>
      </c>
      <c r="D556" s="38" t="str">
        <f t="shared" si="72"/>
        <v>Duplicate-</v>
      </c>
      <c r="E556" s="413"/>
      <c r="F556" s="43" t="s">
        <v>430</v>
      </c>
      <c r="G556" s="43" t="s">
        <v>1062</v>
      </c>
      <c r="X556" s="38">
        <v>12</v>
      </c>
      <c r="Y556" s="38">
        <v>0</v>
      </c>
      <c r="AK556" s="45">
        <f t="shared" si="73"/>
        <v>0</v>
      </c>
      <c r="AL556" s="46">
        <f t="shared" si="74"/>
        <v>0</v>
      </c>
      <c r="AM556" s="46">
        <f t="shared" si="75"/>
        <v>0</v>
      </c>
      <c r="AN556" s="46"/>
      <c r="AO556" s="119" t="s">
        <v>1197</v>
      </c>
      <c r="AP556" s="38" t="str">
        <f t="shared" si="70"/>
        <v>Exclude</v>
      </c>
    </row>
    <row r="557" spans="1:42" ht="60" hidden="1">
      <c r="A557" s="38" t="str">
        <f t="shared" si="69"/>
        <v>Ausgrid</v>
      </c>
      <c r="B557" s="38" t="s">
        <v>1197</v>
      </c>
      <c r="C557" s="38" t="str">
        <f t="shared" si="71"/>
        <v>Duplicate-PR3102 - Relay, Protection, Electromechanical, Distance - RELAYS - ELECTROMECHANICAL</v>
      </c>
      <c r="D557" s="38" t="str">
        <f t="shared" si="72"/>
        <v>Duplicate-</v>
      </c>
      <c r="E557" s="413"/>
      <c r="F557" s="43" t="s">
        <v>430</v>
      </c>
      <c r="G557" s="43" t="s">
        <v>1063</v>
      </c>
      <c r="X557" s="38">
        <v>1</v>
      </c>
      <c r="Y557" s="38">
        <v>0</v>
      </c>
      <c r="AK557" s="45">
        <f t="shared" si="73"/>
        <v>0</v>
      </c>
      <c r="AL557" s="46">
        <f t="shared" si="74"/>
        <v>0</v>
      </c>
      <c r="AM557" s="46">
        <f t="shared" si="75"/>
        <v>0</v>
      </c>
      <c r="AN557" s="46"/>
      <c r="AO557" s="119" t="s">
        <v>1197</v>
      </c>
      <c r="AP557" s="38" t="str">
        <f t="shared" si="70"/>
        <v>Exclude</v>
      </c>
    </row>
    <row r="558" spans="1:42" ht="75" hidden="1">
      <c r="A558" s="38" t="str">
        <f t="shared" si="69"/>
        <v>Ausgrid</v>
      </c>
      <c r="B558" s="38" t="s">
        <v>1197</v>
      </c>
      <c r="C558" s="38" t="str">
        <f t="shared" si="71"/>
        <v>Duplicate-PR3103 - Relay, Protection, Electromechanical, Distance, Reyrolle H Type &amp; 
SELECTA-MHO - RELAYS - ELECTROMECHANICAL</v>
      </c>
      <c r="D558" s="38" t="str">
        <f t="shared" si="72"/>
        <v>Duplicate-</v>
      </c>
      <c r="E558" s="413"/>
      <c r="F558" s="43" t="s">
        <v>430</v>
      </c>
      <c r="G558" s="43" t="s">
        <v>1064</v>
      </c>
      <c r="X558" s="38">
        <v>6</v>
      </c>
      <c r="Y558" s="38">
        <v>0</v>
      </c>
      <c r="AK558" s="45">
        <f t="shared" si="73"/>
        <v>0</v>
      </c>
      <c r="AL558" s="46">
        <f t="shared" si="74"/>
        <v>0</v>
      </c>
      <c r="AM558" s="46">
        <f t="shared" si="75"/>
        <v>0</v>
      </c>
      <c r="AN558" s="46"/>
      <c r="AO558" s="119" t="s">
        <v>1197</v>
      </c>
      <c r="AP558" s="38" t="str">
        <f t="shared" si="70"/>
        <v>Exclude</v>
      </c>
    </row>
    <row r="559" spans="1:42" ht="60" hidden="1">
      <c r="A559" s="38" t="str">
        <f t="shared" si="69"/>
        <v>Ausgrid</v>
      </c>
      <c r="B559" s="38" t="s">
        <v>1197</v>
      </c>
      <c r="C559" s="38" t="str">
        <f t="shared" si="71"/>
        <v>Duplicate-PR3104 - Relay, Protection, Electromechanical, Voltage, Generic - RELAYS - ELECTROMECHANICAL</v>
      </c>
      <c r="D559" s="38" t="str">
        <f t="shared" si="72"/>
        <v>Duplicate-</v>
      </c>
      <c r="E559" s="413"/>
      <c r="F559" s="43" t="s">
        <v>430</v>
      </c>
      <c r="G559" s="43" t="s">
        <v>1065</v>
      </c>
      <c r="X559" s="38">
        <v>12</v>
      </c>
      <c r="Y559" s="38">
        <v>0</v>
      </c>
      <c r="AK559" s="45">
        <f t="shared" si="73"/>
        <v>0</v>
      </c>
      <c r="AL559" s="46">
        <f t="shared" si="74"/>
        <v>0</v>
      </c>
      <c r="AM559" s="46">
        <f t="shared" si="75"/>
        <v>0</v>
      </c>
      <c r="AN559" s="46"/>
      <c r="AO559" s="119" t="s">
        <v>1197</v>
      </c>
      <c r="AP559" s="38" t="str">
        <f t="shared" si="70"/>
        <v>Exclude</v>
      </c>
    </row>
    <row r="560" spans="1:42" ht="75" hidden="1">
      <c r="A560" s="38" t="str">
        <f t="shared" si="69"/>
        <v>Ausgrid</v>
      </c>
      <c r="B560" s="38" t="s">
        <v>1197</v>
      </c>
      <c r="C560" s="38" t="str">
        <f t="shared" si="71"/>
        <v>Duplicate-PR3105 - Relay, CVT Unbalance, Electromechanical, Generic - RELAYS - ELECTROMECHANICAL</v>
      </c>
      <c r="D560" s="38" t="str">
        <f t="shared" si="72"/>
        <v>Duplicate-</v>
      </c>
      <c r="E560" s="413"/>
      <c r="F560" s="43" t="s">
        <v>430</v>
      </c>
      <c r="G560" s="43" t="s">
        <v>1066</v>
      </c>
      <c r="X560" s="38">
        <v>12</v>
      </c>
      <c r="Y560" s="38">
        <v>0</v>
      </c>
      <c r="AK560" s="45">
        <f t="shared" si="73"/>
        <v>0</v>
      </c>
      <c r="AL560" s="46">
        <f t="shared" si="74"/>
        <v>0</v>
      </c>
      <c r="AM560" s="46">
        <f t="shared" si="75"/>
        <v>0</v>
      </c>
      <c r="AN560" s="46"/>
      <c r="AO560" s="119" t="s">
        <v>1197</v>
      </c>
      <c r="AP560" s="38" t="str">
        <f t="shared" si="70"/>
        <v>Exclude</v>
      </c>
    </row>
    <row r="561" spans="1:42" ht="75" hidden="1">
      <c r="A561" s="38" t="str">
        <f t="shared" si="69"/>
        <v>Ausgrid</v>
      </c>
      <c r="B561" s="38" t="s">
        <v>1197</v>
      </c>
      <c r="C561" s="38" t="str">
        <f t="shared" si="71"/>
        <v>Duplicate-PR3106 - Relay, Protection, Electromechanical, Attracted Armature, Generic - RELAYS - ELECTROMECHANICAL</v>
      </c>
      <c r="D561" s="38" t="str">
        <f t="shared" si="72"/>
        <v>Duplicate-</v>
      </c>
      <c r="E561" s="413"/>
      <c r="F561" s="43" t="s">
        <v>430</v>
      </c>
      <c r="G561" s="43" t="s">
        <v>1067</v>
      </c>
      <c r="X561" s="38">
        <v>6</v>
      </c>
      <c r="Y561" s="38">
        <v>0</v>
      </c>
      <c r="AK561" s="45">
        <f t="shared" si="73"/>
        <v>0</v>
      </c>
      <c r="AL561" s="46">
        <f t="shared" si="74"/>
        <v>0</v>
      </c>
      <c r="AM561" s="46">
        <f t="shared" si="75"/>
        <v>0</v>
      </c>
      <c r="AN561" s="46"/>
      <c r="AO561" s="119" t="s">
        <v>1197</v>
      </c>
      <c r="AP561" s="38" t="str">
        <f t="shared" si="70"/>
        <v>Exclude</v>
      </c>
    </row>
    <row r="562" spans="1:42" ht="75" hidden="1">
      <c r="A562" s="38" t="str">
        <f t="shared" si="69"/>
        <v>Ausgrid</v>
      </c>
      <c r="B562" s="38" t="s">
        <v>1197</v>
      </c>
      <c r="C562" s="38" t="str">
        <f t="shared" si="71"/>
        <v>Duplicate-PR3106 - Relay, Protection, Electromechanical, Attracted Armature, Generic - RELAYS - ELECTROMECHANICAL</v>
      </c>
      <c r="D562" s="38" t="str">
        <f t="shared" si="72"/>
        <v>Duplicate-</v>
      </c>
      <c r="E562" s="413"/>
      <c r="F562" s="43" t="s">
        <v>430</v>
      </c>
      <c r="G562" s="43" t="s">
        <v>1067</v>
      </c>
      <c r="X562" s="38">
        <v>3</v>
      </c>
      <c r="Y562" s="38">
        <v>0</v>
      </c>
      <c r="AK562" s="45">
        <f t="shared" si="73"/>
        <v>0</v>
      </c>
      <c r="AL562" s="46">
        <f t="shared" si="74"/>
        <v>0</v>
      </c>
      <c r="AM562" s="46">
        <f t="shared" si="75"/>
        <v>0</v>
      </c>
      <c r="AN562" s="46"/>
      <c r="AO562" s="119" t="s">
        <v>1197</v>
      </c>
      <c r="AP562" s="38" t="str">
        <f t="shared" si="70"/>
        <v>Exclude</v>
      </c>
    </row>
    <row r="563" spans="1:42" ht="75" hidden="1">
      <c r="A563" s="38" t="str">
        <f t="shared" ref="A563:A626" si="76">IF(E563&gt;0,E563,A562)</f>
        <v>Ausgrid</v>
      </c>
      <c r="B563" s="38" t="s">
        <v>1197</v>
      </c>
      <c r="C563" s="38" t="str">
        <f t="shared" si="71"/>
        <v>Duplicate-PR3107 - Relay, Protection, Electromechanical, Attracted Armature, CM Series - RELAYS - ELECTROMECHANICAL</v>
      </c>
      <c r="D563" s="38" t="str">
        <f t="shared" si="72"/>
        <v>Duplicate-</v>
      </c>
      <c r="E563" s="413"/>
      <c r="F563" s="43" t="s">
        <v>430</v>
      </c>
      <c r="G563" s="43" t="s">
        <v>1068</v>
      </c>
      <c r="X563" s="38">
        <v>6</v>
      </c>
      <c r="Y563" s="38">
        <v>0</v>
      </c>
      <c r="AK563" s="45">
        <f t="shared" si="73"/>
        <v>0</v>
      </c>
      <c r="AL563" s="46">
        <f t="shared" si="74"/>
        <v>0</v>
      </c>
      <c r="AM563" s="46">
        <f t="shared" si="75"/>
        <v>0</v>
      </c>
      <c r="AN563" s="46"/>
      <c r="AO563" s="119" t="s">
        <v>1197</v>
      </c>
      <c r="AP563" s="38" t="str">
        <f t="shared" si="70"/>
        <v>Exclude</v>
      </c>
    </row>
    <row r="564" spans="1:42" ht="60" hidden="1">
      <c r="A564" s="38" t="str">
        <f t="shared" si="76"/>
        <v>Ausgrid</v>
      </c>
      <c r="B564" s="38" t="s">
        <v>1197</v>
      </c>
      <c r="C564" s="38" t="str">
        <f t="shared" si="71"/>
        <v>Duplicate-PR3108 - Relay, Protection, Electromechanical, IDMT - RELAYS - ELECTROMECHANICAL</v>
      </c>
      <c r="D564" s="38" t="str">
        <f t="shared" si="72"/>
        <v>Duplicate-</v>
      </c>
      <c r="E564" s="413"/>
      <c r="F564" s="43" t="s">
        <v>430</v>
      </c>
      <c r="G564" s="43" t="s">
        <v>1069</v>
      </c>
      <c r="X564" s="38">
        <v>2</v>
      </c>
      <c r="Y564" s="38">
        <v>0</v>
      </c>
      <c r="AK564" s="45">
        <f t="shared" si="73"/>
        <v>0</v>
      </c>
      <c r="AL564" s="46">
        <f t="shared" si="74"/>
        <v>0</v>
      </c>
      <c r="AM564" s="46">
        <f t="shared" si="75"/>
        <v>0</v>
      </c>
      <c r="AN564" s="46"/>
      <c r="AO564" s="119" t="s">
        <v>1197</v>
      </c>
      <c r="AP564" s="38" t="str">
        <f t="shared" si="70"/>
        <v>Exclude</v>
      </c>
    </row>
    <row r="565" spans="1:42" ht="60" hidden="1">
      <c r="A565" s="38" t="str">
        <f t="shared" si="76"/>
        <v>Ausgrid</v>
      </c>
      <c r="B565" s="38" t="s">
        <v>1197</v>
      </c>
      <c r="C565" s="38" t="str">
        <f t="shared" si="71"/>
        <v>Duplicate-PR3109 - Relay, Protection, Electromechanical, IDMT - RELAYS - ELECTROMECHANICAL</v>
      </c>
      <c r="D565" s="38" t="str">
        <f t="shared" si="72"/>
        <v>Duplicate-</v>
      </c>
      <c r="E565" s="413"/>
      <c r="F565" s="43" t="s">
        <v>430</v>
      </c>
      <c r="G565" s="43" t="s">
        <v>1070</v>
      </c>
      <c r="X565" s="38">
        <v>6</v>
      </c>
      <c r="Y565" s="38">
        <v>0</v>
      </c>
      <c r="AK565" s="45">
        <f t="shared" si="73"/>
        <v>0</v>
      </c>
      <c r="AL565" s="46">
        <f t="shared" si="74"/>
        <v>0</v>
      </c>
      <c r="AM565" s="46">
        <f t="shared" si="75"/>
        <v>0</v>
      </c>
      <c r="AN565" s="46"/>
      <c r="AO565" s="119" t="s">
        <v>1197</v>
      </c>
      <c r="AP565" s="38" t="str">
        <f t="shared" si="70"/>
        <v>Exclude</v>
      </c>
    </row>
    <row r="566" spans="1:42" ht="60" hidden="1">
      <c r="A566" s="38" t="str">
        <f t="shared" si="76"/>
        <v>Ausgrid</v>
      </c>
      <c r="B566" s="38" t="s">
        <v>1197</v>
      </c>
      <c r="C566" s="38" t="str">
        <f t="shared" si="71"/>
        <v>Duplicate-PR3108 - Relay, Protection, Electromechanical, IDMT - RELAYS - ELECTROMECHANICAL</v>
      </c>
      <c r="D566" s="38" t="str">
        <f t="shared" si="72"/>
        <v>Duplicate-</v>
      </c>
      <c r="E566" s="413"/>
      <c r="F566" s="43" t="s">
        <v>430</v>
      </c>
      <c r="G566" s="43" t="s">
        <v>1069</v>
      </c>
      <c r="X566" s="38">
        <v>1</v>
      </c>
      <c r="Y566" s="38">
        <v>0</v>
      </c>
      <c r="AK566" s="45">
        <f t="shared" si="73"/>
        <v>0</v>
      </c>
      <c r="AL566" s="46">
        <f t="shared" si="74"/>
        <v>0</v>
      </c>
      <c r="AM566" s="46">
        <f t="shared" si="75"/>
        <v>0</v>
      </c>
      <c r="AN566" s="46"/>
      <c r="AO566" s="119" t="s">
        <v>1197</v>
      </c>
      <c r="AP566" s="38" t="str">
        <f t="shared" si="70"/>
        <v>Exclude</v>
      </c>
    </row>
    <row r="567" spans="1:42" ht="60" hidden="1">
      <c r="A567" s="38" t="str">
        <f t="shared" si="76"/>
        <v>Ausgrid</v>
      </c>
      <c r="B567" s="38" t="s">
        <v>1197</v>
      </c>
      <c r="C567" s="38" t="str">
        <f t="shared" si="71"/>
        <v>Duplicate-PR3110 - Relay, Protection, Electromechanical, Pilot wire, Generic - RELAYS - ELECTROMECHANICAL</v>
      </c>
      <c r="D567" s="38" t="str">
        <f t="shared" si="72"/>
        <v>Duplicate-</v>
      </c>
      <c r="E567" s="413"/>
      <c r="F567" s="43" t="s">
        <v>430</v>
      </c>
      <c r="G567" s="43" t="s">
        <v>1071</v>
      </c>
      <c r="X567" s="38">
        <v>2</v>
      </c>
      <c r="Y567" s="38">
        <v>0</v>
      </c>
      <c r="AK567" s="45">
        <f t="shared" si="73"/>
        <v>0</v>
      </c>
      <c r="AL567" s="46">
        <f t="shared" si="74"/>
        <v>0</v>
      </c>
      <c r="AM567" s="46">
        <f t="shared" si="75"/>
        <v>0</v>
      </c>
      <c r="AN567" s="46"/>
      <c r="AO567" s="119" t="s">
        <v>1197</v>
      </c>
      <c r="AP567" s="38" t="str">
        <f t="shared" si="70"/>
        <v>Exclude</v>
      </c>
    </row>
    <row r="568" spans="1:42" ht="60" hidden="1">
      <c r="A568" s="38" t="str">
        <f t="shared" si="76"/>
        <v>Ausgrid</v>
      </c>
      <c r="B568" s="38" t="s">
        <v>1197</v>
      </c>
      <c r="C568" s="38" t="str">
        <f t="shared" si="71"/>
        <v>Duplicate-PR3111 - Relay, Protection, Electromechanical, Pilot wire - RELAYS - ELECTROMECHANICAL</v>
      </c>
      <c r="D568" s="38" t="str">
        <f t="shared" si="72"/>
        <v>Duplicate-</v>
      </c>
      <c r="E568" s="413"/>
      <c r="F568" s="43" t="s">
        <v>430</v>
      </c>
      <c r="G568" s="43" t="s">
        <v>1072</v>
      </c>
      <c r="X568" s="38">
        <v>6</v>
      </c>
      <c r="Y568" s="38">
        <v>0</v>
      </c>
      <c r="AK568" s="45">
        <f t="shared" si="73"/>
        <v>0</v>
      </c>
      <c r="AL568" s="46">
        <f t="shared" si="74"/>
        <v>0</v>
      </c>
      <c r="AM568" s="46">
        <f t="shared" si="75"/>
        <v>0</v>
      </c>
      <c r="AN568" s="46"/>
      <c r="AO568" s="119" t="s">
        <v>1197</v>
      </c>
      <c r="AP568" s="38" t="str">
        <f t="shared" si="70"/>
        <v>Exclude</v>
      </c>
    </row>
    <row r="569" spans="1:42" ht="60" hidden="1">
      <c r="A569" s="38" t="str">
        <f t="shared" si="76"/>
        <v>Ausgrid</v>
      </c>
      <c r="B569" s="38" t="s">
        <v>1197</v>
      </c>
      <c r="C569" s="38" t="str">
        <f t="shared" si="71"/>
        <v>Duplicate-PR3112 - Relay, Protection, Electromechanical, Busbar type FAC &amp; FV2 - RELAYS - ELECTROMECHANICAL</v>
      </c>
      <c r="D569" s="38" t="str">
        <f t="shared" si="72"/>
        <v>Duplicate-</v>
      </c>
      <c r="E569" s="413"/>
      <c r="F569" s="43" t="s">
        <v>430</v>
      </c>
      <c r="G569" s="43" t="s">
        <v>1073</v>
      </c>
      <c r="X569" s="38">
        <v>12</v>
      </c>
      <c r="Y569" s="38">
        <v>0</v>
      </c>
      <c r="AK569" s="45">
        <f t="shared" si="73"/>
        <v>0</v>
      </c>
      <c r="AL569" s="46">
        <f t="shared" si="74"/>
        <v>0</v>
      </c>
      <c r="AM569" s="46">
        <f t="shared" si="75"/>
        <v>0</v>
      </c>
      <c r="AN569" s="46"/>
      <c r="AO569" s="119" t="s">
        <v>1197</v>
      </c>
      <c r="AP569" s="38" t="str">
        <f t="shared" si="70"/>
        <v>Exclude</v>
      </c>
    </row>
    <row r="570" spans="1:42" ht="60" hidden="1">
      <c r="A570" s="38" t="str">
        <f t="shared" si="76"/>
        <v>Ausgrid</v>
      </c>
      <c r="B570" s="38" t="s">
        <v>1197</v>
      </c>
      <c r="C570" s="38" t="str">
        <f t="shared" si="71"/>
        <v>Duplicate-PR3112 - Relay, Protection, Electromechanical, Busbar type FAC &amp; FV2 - RELAYS - ELECTROMECHANICAL</v>
      </c>
      <c r="D570" s="38" t="str">
        <f t="shared" si="72"/>
        <v>Duplicate-</v>
      </c>
      <c r="E570" s="413"/>
      <c r="F570" s="43" t="s">
        <v>430</v>
      </c>
      <c r="G570" s="43" t="s">
        <v>1073</v>
      </c>
      <c r="X570" s="38">
        <v>6</v>
      </c>
      <c r="Y570" s="38">
        <v>0</v>
      </c>
      <c r="AK570" s="45">
        <f t="shared" si="73"/>
        <v>0</v>
      </c>
      <c r="AL570" s="46">
        <f t="shared" si="74"/>
        <v>0</v>
      </c>
      <c r="AM570" s="46">
        <f t="shared" si="75"/>
        <v>0</v>
      </c>
      <c r="AN570" s="46"/>
      <c r="AO570" s="119" t="s">
        <v>1197</v>
      </c>
      <c r="AP570" s="38" t="str">
        <f t="shared" si="70"/>
        <v>Exclude</v>
      </c>
    </row>
    <row r="571" spans="1:42" ht="60" hidden="1">
      <c r="A571" s="38" t="str">
        <f t="shared" si="76"/>
        <v>Ausgrid</v>
      </c>
      <c r="B571" s="38" t="s">
        <v>1197</v>
      </c>
      <c r="C571" s="38" t="str">
        <f t="shared" si="71"/>
        <v>Duplicate-PR3116 - Relay, Protection, Electromechanical, Multi-trip - RELAYS - ELECTROMECHANICAL</v>
      </c>
      <c r="D571" s="38" t="str">
        <f t="shared" si="72"/>
        <v>Duplicate-</v>
      </c>
      <c r="E571" s="413"/>
      <c r="F571" s="43" t="s">
        <v>430</v>
      </c>
      <c r="G571" s="43" t="s">
        <v>1074</v>
      </c>
      <c r="X571" s="38">
        <v>12</v>
      </c>
      <c r="Y571" s="38">
        <v>0</v>
      </c>
      <c r="AK571" s="45">
        <f t="shared" si="73"/>
        <v>0</v>
      </c>
      <c r="AL571" s="46">
        <f t="shared" si="74"/>
        <v>0</v>
      </c>
      <c r="AM571" s="46">
        <f t="shared" si="75"/>
        <v>0</v>
      </c>
      <c r="AN571" s="46"/>
      <c r="AO571" s="119" t="s">
        <v>1197</v>
      </c>
      <c r="AP571" s="38" t="str">
        <f t="shared" si="70"/>
        <v>Exclude</v>
      </c>
    </row>
    <row r="572" spans="1:42" ht="60" hidden="1">
      <c r="A572" s="38" t="str">
        <f t="shared" si="76"/>
        <v>Ausgrid</v>
      </c>
      <c r="B572" s="38" t="s">
        <v>1197</v>
      </c>
      <c r="C572" s="38" t="str">
        <f t="shared" si="71"/>
        <v>Duplicate-PR3113 - Relay, Protection, Electromechanical, Auto-closing, Generic - RELAYS - ELECTROMECHANICAL</v>
      </c>
      <c r="D572" s="38" t="str">
        <f t="shared" si="72"/>
        <v>Duplicate-</v>
      </c>
      <c r="E572" s="413"/>
      <c r="F572" s="43" t="s">
        <v>430</v>
      </c>
      <c r="G572" s="43" t="s">
        <v>1075</v>
      </c>
      <c r="X572" s="38">
        <v>12</v>
      </c>
      <c r="Y572" s="38">
        <v>0</v>
      </c>
      <c r="AK572" s="45">
        <f t="shared" si="73"/>
        <v>0</v>
      </c>
      <c r="AL572" s="46">
        <f t="shared" si="74"/>
        <v>0</v>
      </c>
      <c r="AM572" s="46">
        <f t="shared" si="75"/>
        <v>0</v>
      </c>
      <c r="AN572" s="46"/>
      <c r="AO572" s="119" t="s">
        <v>1197</v>
      </c>
      <c r="AP572" s="38" t="str">
        <f t="shared" si="70"/>
        <v>Exclude</v>
      </c>
    </row>
    <row r="573" spans="1:42" ht="60" hidden="1">
      <c r="A573" s="38" t="str">
        <f t="shared" si="76"/>
        <v>Ausgrid</v>
      </c>
      <c r="B573" s="38" t="s">
        <v>1197</v>
      </c>
      <c r="C573" s="38" t="str">
        <f t="shared" si="71"/>
        <v>Duplicate-PR3114 - Relay, Electromechanical, Buchholz - RELAYS - ELECTROMECHANICAL</v>
      </c>
      <c r="D573" s="38" t="str">
        <f t="shared" si="72"/>
        <v>Duplicate-</v>
      </c>
      <c r="E573" s="413"/>
      <c r="F573" s="43" t="s">
        <v>430</v>
      </c>
      <c r="G573" s="43" t="s">
        <v>1076</v>
      </c>
      <c r="X573" s="38">
        <v>6</v>
      </c>
      <c r="Y573" s="38">
        <v>0</v>
      </c>
      <c r="AK573" s="45">
        <f t="shared" si="73"/>
        <v>0</v>
      </c>
      <c r="AL573" s="46">
        <f t="shared" si="74"/>
        <v>0</v>
      </c>
      <c r="AM573" s="46">
        <f t="shared" si="75"/>
        <v>0</v>
      </c>
      <c r="AN573" s="46"/>
      <c r="AO573" s="119" t="s">
        <v>1197</v>
      </c>
      <c r="AP573" s="38" t="str">
        <f t="shared" si="70"/>
        <v>Exclude</v>
      </c>
    </row>
    <row r="574" spans="1:42" ht="60" hidden="1">
      <c r="A574" s="38" t="str">
        <f t="shared" si="76"/>
        <v>Ausgrid</v>
      </c>
      <c r="B574" s="38" t="s">
        <v>1197</v>
      </c>
      <c r="C574" s="38" t="str">
        <f t="shared" si="71"/>
        <v>Duplicate-PR3115 - Relay, Protection, Electromechanical, Underfrequency - RELAYS - ELECTROMECHANICAL</v>
      </c>
      <c r="D574" s="38" t="str">
        <f t="shared" si="72"/>
        <v>Duplicate-</v>
      </c>
      <c r="E574" s="413"/>
      <c r="F574" s="43" t="s">
        <v>430</v>
      </c>
      <c r="G574" s="43" t="s">
        <v>1077</v>
      </c>
      <c r="X574" s="38">
        <v>12</v>
      </c>
      <c r="Y574" s="38">
        <v>0</v>
      </c>
      <c r="AK574" s="45">
        <f t="shared" si="73"/>
        <v>0</v>
      </c>
      <c r="AL574" s="46">
        <f t="shared" si="74"/>
        <v>0</v>
      </c>
      <c r="AM574" s="46">
        <f t="shared" si="75"/>
        <v>0</v>
      </c>
      <c r="AN574" s="46"/>
      <c r="AO574" s="119" t="s">
        <v>1197</v>
      </c>
      <c r="AP574" s="38" t="str">
        <f t="shared" si="70"/>
        <v>Exclude</v>
      </c>
    </row>
    <row r="575" spans="1:42" ht="75" hidden="1">
      <c r="A575" s="38" t="str">
        <f t="shared" si="76"/>
        <v>Ausgrid</v>
      </c>
      <c r="B575" s="38" t="s">
        <v>1197</v>
      </c>
      <c r="C575" s="38" t="str">
        <f t="shared" si="71"/>
        <v>Duplicate-PR3117 - Relay, Protection, Electromechanical, Transformer Differential. - RELAYS - ELECTROMECHANICAL</v>
      </c>
      <c r="D575" s="38" t="str">
        <f t="shared" si="72"/>
        <v>Duplicate-</v>
      </c>
      <c r="E575" s="413"/>
      <c r="F575" s="43" t="s">
        <v>430</v>
      </c>
      <c r="G575" s="43" t="s">
        <v>1078</v>
      </c>
      <c r="X575" s="38">
        <v>6</v>
      </c>
      <c r="Y575" s="38">
        <v>0</v>
      </c>
      <c r="AK575" s="45">
        <f t="shared" si="73"/>
        <v>0</v>
      </c>
      <c r="AL575" s="46">
        <f t="shared" si="74"/>
        <v>0</v>
      </c>
      <c r="AM575" s="46">
        <f t="shared" si="75"/>
        <v>0</v>
      </c>
      <c r="AN575" s="46"/>
      <c r="AO575" s="119" t="s">
        <v>1197</v>
      </c>
      <c r="AP575" s="38" t="str">
        <f t="shared" si="70"/>
        <v>Exclude</v>
      </c>
    </row>
    <row r="576" spans="1:42" ht="60" hidden="1">
      <c r="A576" s="38" t="str">
        <f t="shared" si="76"/>
        <v>Ausgrid</v>
      </c>
      <c r="B576" s="38" t="s">
        <v>1197</v>
      </c>
      <c r="C576" s="38" t="str">
        <f t="shared" si="71"/>
        <v>Duplicate-PR3118 - Relay, Protection, Electromechanical, Network Protector Relay - RELAYS - ELECTROMECHANICAL</v>
      </c>
      <c r="D576" s="38" t="str">
        <f t="shared" si="72"/>
        <v>Duplicate-</v>
      </c>
      <c r="E576" s="413"/>
      <c r="F576" s="43" t="s">
        <v>430</v>
      </c>
      <c r="G576" s="43" t="s">
        <v>1079</v>
      </c>
      <c r="X576" s="38">
        <v>3</v>
      </c>
      <c r="Y576" s="38">
        <v>0</v>
      </c>
      <c r="AK576" s="45">
        <f t="shared" si="73"/>
        <v>0</v>
      </c>
      <c r="AL576" s="46">
        <f t="shared" si="74"/>
        <v>0</v>
      </c>
      <c r="AM576" s="46">
        <f t="shared" si="75"/>
        <v>0</v>
      </c>
      <c r="AN576" s="46"/>
      <c r="AO576" s="119" t="s">
        <v>1197</v>
      </c>
      <c r="AP576" s="38" t="str">
        <f t="shared" si="70"/>
        <v>Exclude</v>
      </c>
    </row>
    <row r="577" spans="1:42" ht="45" hidden="1">
      <c r="A577" s="38" t="str">
        <f t="shared" si="76"/>
        <v>Ausgrid</v>
      </c>
      <c r="B577" s="38" t="s">
        <v>1197</v>
      </c>
      <c r="C577" s="38" t="str">
        <f t="shared" si="71"/>
        <v>Duplicate-PR3209 - Relay, Electronic, Timing - RELAYS - ELECTRONIC</v>
      </c>
      <c r="D577" s="38" t="str">
        <f t="shared" si="72"/>
        <v>Duplicate-</v>
      </c>
      <c r="E577" s="413"/>
      <c r="F577" s="43" t="s">
        <v>430</v>
      </c>
      <c r="G577" s="43" t="s">
        <v>1080</v>
      </c>
      <c r="X577" s="38">
        <v>12</v>
      </c>
      <c r="Y577" s="38">
        <v>0</v>
      </c>
      <c r="AK577" s="45">
        <f t="shared" si="73"/>
        <v>0</v>
      </c>
      <c r="AL577" s="46">
        <f t="shared" si="74"/>
        <v>0</v>
      </c>
      <c r="AM577" s="46">
        <f t="shared" si="75"/>
        <v>0</v>
      </c>
      <c r="AN577" s="46"/>
      <c r="AO577" s="119" t="s">
        <v>1197</v>
      </c>
      <c r="AP577" s="38" t="str">
        <f t="shared" si="70"/>
        <v>Exclude</v>
      </c>
    </row>
    <row r="578" spans="1:42" ht="45" hidden="1">
      <c r="A578" s="38" t="str">
        <f t="shared" si="76"/>
        <v>Ausgrid</v>
      </c>
      <c r="B578" s="38" t="s">
        <v>1197</v>
      </c>
      <c r="C578" s="38" t="str">
        <f t="shared" si="71"/>
        <v>Duplicate-PR3202 - Relay, Protection, Electronic, Distance - RELAYS - ELECTRONIC</v>
      </c>
      <c r="D578" s="38" t="str">
        <f t="shared" si="72"/>
        <v>Duplicate-</v>
      </c>
      <c r="E578" s="413"/>
      <c r="F578" s="43" t="s">
        <v>430</v>
      </c>
      <c r="G578" s="43" t="s">
        <v>1081</v>
      </c>
      <c r="X578" s="38">
        <v>1</v>
      </c>
      <c r="Y578" s="38">
        <v>0</v>
      </c>
      <c r="AK578" s="45">
        <f t="shared" si="73"/>
        <v>0</v>
      </c>
      <c r="AL578" s="46">
        <f t="shared" si="74"/>
        <v>0</v>
      </c>
      <c r="AM578" s="46">
        <f t="shared" si="75"/>
        <v>0</v>
      </c>
      <c r="AN578" s="46"/>
      <c r="AO578" s="119" t="s">
        <v>1197</v>
      </c>
      <c r="AP578" s="38" t="str">
        <f t="shared" si="70"/>
        <v>Exclude</v>
      </c>
    </row>
    <row r="579" spans="1:42" ht="60" hidden="1">
      <c r="A579" s="38" t="str">
        <f t="shared" si="76"/>
        <v>Ausgrid</v>
      </c>
      <c r="B579" s="38" t="s">
        <v>1197</v>
      </c>
      <c r="C579" s="38" t="str">
        <f t="shared" si="71"/>
        <v>Duplicate-PR3204 - Relay, Protection, Electronic, Distance Protection, Alstom YTG - RELAYS - ELECTRONIC</v>
      </c>
      <c r="D579" s="38" t="str">
        <f t="shared" si="72"/>
        <v>Duplicate-</v>
      </c>
      <c r="E579" s="413"/>
      <c r="F579" s="43" t="s">
        <v>430</v>
      </c>
      <c r="G579" s="43" t="s">
        <v>1082</v>
      </c>
      <c r="X579" s="38">
        <v>6</v>
      </c>
      <c r="Y579" s="38">
        <v>0</v>
      </c>
      <c r="AK579" s="45">
        <f t="shared" si="73"/>
        <v>0</v>
      </c>
      <c r="AL579" s="46">
        <f t="shared" si="74"/>
        <v>0</v>
      </c>
      <c r="AM579" s="46">
        <f t="shared" si="75"/>
        <v>0</v>
      </c>
      <c r="AN579" s="46"/>
      <c r="AO579" s="119" t="s">
        <v>1197</v>
      </c>
      <c r="AP579" s="38" t="str">
        <f t="shared" ref="AP579:AP642" si="77">IFERROR(VLOOKUP(C579,$AR:$AS,2,FALSE),"Exclude")</f>
        <v>Exclude</v>
      </c>
    </row>
    <row r="580" spans="1:42" ht="75" hidden="1">
      <c r="A580" s="38" t="str">
        <f t="shared" si="76"/>
        <v>Ausgrid</v>
      </c>
      <c r="B580" s="38" t="s">
        <v>1197</v>
      </c>
      <c r="C580" s="38" t="str">
        <f t="shared" ref="C580:C643" si="78">B580&amp;"-"&amp;G580</f>
        <v>Duplicate-PR3203 - Relay, Protection, Electronic, Distance Protection, Type THS,TH1A and THR - RELAYS - ELECTRONIC</v>
      </c>
      <c r="D580" s="38" t="str">
        <f t="shared" ref="D580:D643" si="79">B580&amp;"-"&amp;H580</f>
        <v>Duplicate-</v>
      </c>
      <c r="E580" s="413"/>
      <c r="F580" s="43" t="s">
        <v>430</v>
      </c>
      <c r="G580" s="43" t="s">
        <v>1083</v>
      </c>
      <c r="X580" s="38">
        <v>6</v>
      </c>
      <c r="Y580" s="38">
        <v>0</v>
      </c>
      <c r="AK580" s="45">
        <f t="shared" ref="AK580:AK643" si="80">SUM(N580:R580)</f>
        <v>0</v>
      </c>
      <c r="AL580" s="46">
        <f t="shared" ref="AL580:AL643" si="81">SUM(Z580:AD580)</f>
        <v>0</v>
      </c>
      <c r="AM580" s="46">
        <f t="shared" ref="AM580:AM643" si="82">SUM(AE580:AI580)</f>
        <v>0</v>
      </c>
      <c r="AN580" s="46"/>
      <c r="AO580" s="119" t="s">
        <v>1197</v>
      </c>
      <c r="AP580" s="38" t="str">
        <f t="shared" si="77"/>
        <v>Exclude</v>
      </c>
    </row>
    <row r="581" spans="1:42" ht="45" hidden="1">
      <c r="A581" s="38" t="str">
        <f t="shared" si="76"/>
        <v>Ausgrid</v>
      </c>
      <c r="B581" s="38" t="s">
        <v>1197</v>
      </c>
      <c r="C581" s="38" t="str">
        <f t="shared" si="78"/>
        <v>Duplicate-PR3202 - Relay, Protection, Electronic, Distance - RELAYS - ELECTRONIC</v>
      </c>
      <c r="D581" s="38" t="str">
        <f t="shared" si="79"/>
        <v>Duplicate-</v>
      </c>
      <c r="E581" s="413"/>
      <c r="F581" s="43" t="s">
        <v>430</v>
      </c>
      <c r="G581" s="43" t="s">
        <v>1081</v>
      </c>
      <c r="X581" s="38">
        <v>2</v>
      </c>
      <c r="Y581" s="38">
        <v>0</v>
      </c>
      <c r="AK581" s="45">
        <f t="shared" si="80"/>
        <v>0</v>
      </c>
      <c r="AL581" s="46">
        <f t="shared" si="81"/>
        <v>0</v>
      </c>
      <c r="AM581" s="46">
        <f t="shared" si="82"/>
        <v>0</v>
      </c>
      <c r="AN581" s="46"/>
      <c r="AO581" s="119" t="s">
        <v>1197</v>
      </c>
      <c r="AP581" s="38" t="str">
        <f t="shared" si="77"/>
        <v>Exclude</v>
      </c>
    </row>
    <row r="582" spans="1:42" ht="45" hidden="1">
      <c r="A582" s="38" t="str">
        <f t="shared" si="76"/>
        <v>Ausgrid</v>
      </c>
      <c r="B582" s="38" t="s">
        <v>1197</v>
      </c>
      <c r="C582" s="38" t="str">
        <f t="shared" si="78"/>
        <v>Duplicate-PR3205 - Relay, Protection, Electronic, Distance - RELAYS - ELECTRONIC</v>
      </c>
      <c r="D582" s="38" t="str">
        <f t="shared" si="79"/>
        <v>Duplicate-</v>
      </c>
      <c r="E582" s="413"/>
      <c r="F582" s="43" t="s">
        <v>430</v>
      </c>
      <c r="G582" s="43" t="s">
        <v>1084</v>
      </c>
      <c r="X582" s="38">
        <v>3</v>
      </c>
      <c r="Y582" s="38">
        <v>0</v>
      </c>
      <c r="AK582" s="45">
        <f t="shared" si="80"/>
        <v>0</v>
      </c>
      <c r="AL582" s="46">
        <f t="shared" si="81"/>
        <v>0</v>
      </c>
      <c r="AM582" s="46">
        <f t="shared" si="82"/>
        <v>0</v>
      </c>
      <c r="AN582" s="46"/>
      <c r="AO582" s="119" t="s">
        <v>1197</v>
      </c>
      <c r="AP582" s="38" t="str">
        <f t="shared" si="77"/>
        <v>Exclude</v>
      </c>
    </row>
    <row r="583" spans="1:42" ht="45" hidden="1">
      <c r="A583" s="38" t="str">
        <f t="shared" si="76"/>
        <v>Ausgrid</v>
      </c>
      <c r="B583" s="38" t="s">
        <v>1197</v>
      </c>
      <c r="C583" s="38" t="str">
        <f t="shared" si="78"/>
        <v>Duplicate-PR3206 - Relay, Protection, Electronic, Distance - RELAYS - ELECTRONIC</v>
      </c>
      <c r="D583" s="38" t="str">
        <f t="shared" si="79"/>
        <v>Duplicate-</v>
      </c>
      <c r="E583" s="413"/>
      <c r="F583" s="43" t="s">
        <v>430</v>
      </c>
      <c r="G583" s="43" t="s">
        <v>1085</v>
      </c>
      <c r="X583" s="38">
        <v>12</v>
      </c>
      <c r="Y583" s="38">
        <v>0</v>
      </c>
      <c r="AK583" s="45">
        <f t="shared" si="80"/>
        <v>0</v>
      </c>
      <c r="AL583" s="46">
        <f t="shared" si="81"/>
        <v>0</v>
      </c>
      <c r="AM583" s="46">
        <f t="shared" si="82"/>
        <v>0</v>
      </c>
      <c r="AN583" s="46"/>
      <c r="AO583" s="119" t="s">
        <v>1197</v>
      </c>
      <c r="AP583" s="38" t="str">
        <f t="shared" si="77"/>
        <v>Exclude</v>
      </c>
    </row>
    <row r="584" spans="1:42" ht="45" hidden="1">
      <c r="A584" s="38" t="str">
        <f t="shared" si="76"/>
        <v>Ausgrid</v>
      </c>
      <c r="B584" s="38" t="s">
        <v>1197</v>
      </c>
      <c r="C584" s="38" t="str">
        <f t="shared" si="78"/>
        <v>Duplicate-PR3212 - Relay, Protection, Electronic, Voltage, Generic - RELAYS - ELECTRONIC</v>
      </c>
      <c r="D584" s="38" t="str">
        <f t="shared" si="79"/>
        <v>Duplicate-</v>
      </c>
      <c r="E584" s="413"/>
      <c r="F584" s="43" t="s">
        <v>430</v>
      </c>
      <c r="G584" s="43" t="s">
        <v>1086</v>
      </c>
      <c r="X584" s="38">
        <v>12</v>
      </c>
      <c r="Y584" s="38">
        <v>0</v>
      </c>
      <c r="AK584" s="45">
        <f t="shared" si="80"/>
        <v>0</v>
      </c>
      <c r="AL584" s="46">
        <f t="shared" si="81"/>
        <v>0</v>
      </c>
      <c r="AM584" s="46">
        <f t="shared" si="82"/>
        <v>0</v>
      </c>
      <c r="AN584" s="46"/>
      <c r="AO584" s="119" t="s">
        <v>1197</v>
      </c>
      <c r="AP584" s="38" t="str">
        <f t="shared" si="77"/>
        <v>Exclude</v>
      </c>
    </row>
    <row r="585" spans="1:42" ht="60" hidden="1">
      <c r="A585" s="38" t="str">
        <f t="shared" si="76"/>
        <v>Ausgrid</v>
      </c>
      <c r="B585" s="38" t="s">
        <v>1197</v>
      </c>
      <c r="C585" s="38" t="str">
        <f t="shared" si="78"/>
        <v>Duplicate-PR3210 - Relay, Protection, Electronic, Arttracted Armature, Generic - RELAYS - ELECTRONIC</v>
      </c>
      <c r="D585" s="38" t="str">
        <f t="shared" si="79"/>
        <v>Duplicate-</v>
      </c>
      <c r="E585" s="413"/>
      <c r="F585" s="43" t="s">
        <v>430</v>
      </c>
      <c r="G585" s="43" t="s">
        <v>1087</v>
      </c>
      <c r="X585" s="38">
        <v>6</v>
      </c>
      <c r="Y585" s="38">
        <v>0</v>
      </c>
      <c r="AK585" s="45">
        <f t="shared" si="80"/>
        <v>0</v>
      </c>
      <c r="AL585" s="46">
        <f t="shared" si="81"/>
        <v>0</v>
      </c>
      <c r="AM585" s="46">
        <f t="shared" si="82"/>
        <v>0</v>
      </c>
      <c r="AN585" s="46"/>
      <c r="AO585" s="119" t="s">
        <v>1197</v>
      </c>
      <c r="AP585" s="38" t="str">
        <f t="shared" si="77"/>
        <v>Exclude</v>
      </c>
    </row>
    <row r="586" spans="1:42" ht="45" hidden="1">
      <c r="A586" s="38" t="str">
        <f t="shared" si="76"/>
        <v>Ausgrid</v>
      </c>
      <c r="B586" s="38" t="s">
        <v>1197</v>
      </c>
      <c r="C586" s="38" t="str">
        <f t="shared" si="78"/>
        <v>Duplicate-PR3207 - Relay, Protection, Electronic, IDMT - RELAYS - ELECTRONIC</v>
      </c>
      <c r="D586" s="38" t="str">
        <f t="shared" si="79"/>
        <v>Duplicate-</v>
      </c>
      <c r="E586" s="413"/>
      <c r="F586" s="43" t="s">
        <v>430</v>
      </c>
      <c r="G586" s="43" t="s">
        <v>1088</v>
      </c>
      <c r="X586" s="38">
        <v>3</v>
      </c>
      <c r="Y586" s="38">
        <v>0</v>
      </c>
      <c r="AK586" s="45">
        <f t="shared" si="80"/>
        <v>0</v>
      </c>
      <c r="AL586" s="46">
        <f t="shared" si="81"/>
        <v>0</v>
      </c>
      <c r="AM586" s="46">
        <f t="shared" si="82"/>
        <v>0</v>
      </c>
      <c r="AN586" s="46"/>
      <c r="AO586" s="119" t="s">
        <v>1197</v>
      </c>
      <c r="AP586" s="38" t="str">
        <f t="shared" si="77"/>
        <v>Exclude</v>
      </c>
    </row>
    <row r="587" spans="1:42" ht="45" hidden="1">
      <c r="A587" s="38" t="str">
        <f t="shared" si="76"/>
        <v>Ausgrid</v>
      </c>
      <c r="B587" s="38" t="s">
        <v>1197</v>
      </c>
      <c r="C587" s="38" t="str">
        <f t="shared" si="78"/>
        <v>Duplicate-PR3208 - Relay, Protection, Electronic, IDMT - RELAYS - ELECTRONIC</v>
      </c>
      <c r="D587" s="38" t="str">
        <f t="shared" si="79"/>
        <v>Duplicate-</v>
      </c>
      <c r="E587" s="413"/>
      <c r="F587" s="43" t="s">
        <v>430</v>
      </c>
      <c r="G587" s="43" t="s">
        <v>1089</v>
      </c>
      <c r="X587" s="38">
        <v>12</v>
      </c>
      <c r="Y587" s="38">
        <v>0</v>
      </c>
      <c r="AK587" s="45">
        <f t="shared" si="80"/>
        <v>0</v>
      </c>
      <c r="AL587" s="46">
        <f t="shared" si="81"/>
        <v>0</v>
      </c>
      <c r="AM587" s="46">
        <f t="shared" si="82"/>
        <v>0</v>
      </c>
      <c r="AN587" s="46"/>
      <c r="AO587" s="119" t="s">
        <v>1197</v>
      </c>
      <c r="AP587" s="38" t="str">
        <f t="shared" si="77"/>
        <v>Exclude</v>
      </c>
    </row>
    <row r="588" spans="1:42" ht="45" hidden="1">
      <c r="A588" s="38" t="str">
        <f t="shared" si="76"/>
        <v>Ausgrid</v>
      </c>
      <c r="B588" s="38" t="s">
        <v>1197</v>
      </c>
      <c r="C588" s="38" t="str">
        <f t="shared" si="78"/>
        <v>Duplicate-PR3207 - Relay, Protection, Electronic, IDMT - RELAYS - ELECTRONIC</v>
      </c>
      <c r="D588" s="38" t="str">
        <f t="shared" si="79"/>
        <v>Duplicate-</v>
      </c>
      <c r="E588" s="413"/>
      <c r="F588" s="43" t="s">
        <v>430</v>
      </c>
      <c r="G588" s="43" t="s">
        <v>1088</v>
      </c>
      <c r="X588" s="38">
        <v>1</v>
      </c>
      <c r="Y588" s="38">
        <v>0</v>
      </c>
      <c r="AK588" s="45">
        <f t="shared" si="80"/>
        <v>0</v>
      </c>
      <c r="AL588" s="46">
        <f t="shared" si="81"/>
        <v>0</v>
      </c>
      <c r="AM588" s="46">
        <f t="shared" si="82"/>
        <v>0</v>
      </c>
      <c r="AN588" s="46"/>
      <c r="AO588" s="119" t="s">
        <v>1197</v>
      </c>
      <c r="AP588" s="38" t="str">
        <f t="shared" si="77"/>
        <v>Exclude</v>
      </c>
    </row>
    <row r="589" spans="1:42" ht="45" hidden="1">
      <c r="A589" s="38" t="str">
        <f t="shared" si="76"/>
        <v>Ausgrid</v>
      </c>
      <c r="B589" s="38" t="s">
        <v>1197</v>
      </c>
      <c r="C589" s="38" t="str">
        <f t="shared" si="78"/>
        <v>Duplicate-PR3208 - Relay, Protection, Electronic, IDMT - RELAYS - ELECTRONIC</v>
      </c>
      <c r="D589" s="38" t="str">
        <f t="shared" si="79"/>
        <v>Duplicate-</v>
      </c>
      <c r="E589" s="413"/>
      <c r="F589" s="43" t="s">
        <v>430</v>
      </c>
      <c r="G589" s="43" t="s">
        <v>1089</v>
      </c>
      <c r="X589" s="38">
        <v>6</v>
      </c>
      <c r="Y589" s="38">
        <v>0</v>
      </c>
      <c r="AK589" s="45">
        <f t="shared" si="80"/>
        <v>0</v>
      </c>
      <c r="AL589" s="46">
        <f t="shared" si="81"/>
        <v>0</v>
      </c>
      <c r="AM589" s="46">
        <f t="shared" si="82"/>
        <v>0</v>
      </c>
      <c r="AN589" s="46"/>
      <c r="AO589" s="119" t="s">
        <v>1197</v>
      </c>
      <c r="AP589" s="38" t="str">
        <f t="shared" si="77"/>
        <v>Exclude</v>
      </c>
    </row>
    <row r="590" spans="1:42" ht="45" hidden="1">
      <c r="A590" s="38" t="str">
        <f t="shared" si="76"/>
        <v>Ausgrid</v>
      </c>
      <c r="B590" s="38" t="s">
        <v>1197</v>
      </c>
      <c r="C590" s="38" t="str">
        <f t="shared" si="78"/>
        <v>Duplicate-PR3213 - Relay, Protection, Electronic, Underfrequency - RELAYS - ELECTRONIC</v>
      </c>
      <c r="D590" s="38" t="str">
        <f t="shared" si="79"/>
        <v>Duplicate-</v>
      </c>
      <c r="E590" s="413"/>
      <c r="F590" s="43" t="s">
        <v>430</v>
      </c>
      <c r="G590" s="43" t="s">
        <v>1090</v>
      </c>
      <c r="X590" s="38">
        <v>12</v>
      </c>
      <c r="Y590" s="38">
        <v>0</v>
      </c>
      <c r="AK590" s="45">
        <f t="shared" si="80"/>
        <v>0</v>
      </c>
      <c r="AL590" s="46">
        <f t="shared" si="81"/>
        <v>0</v>
      </c>
      <c r="AM590" s="46">
        <f t="shared" si="82"/>
        <v>0</v>
      </c>
      <c r="AN590" s="46"/>
      <c r="AO590" s="119" t="s">
        <v>1197</v>
      </c>
      <c r="AP590" s="38" t="str">
        <f t="shared" si="77"/>
        <v>Exclude</v>
      </c>
    </row>
    <row r="591" spans="1:42" ht="60" hidden="1">
      <c r="A591" s="38" t="str">
        <f t="shared" si="76"/>
        <v>Ausgrid</v>
      </c>
      <c r="B591" s="38" t="s">
        <v>1197</v>
      </c>
      <c r="C591" s="38" t="str">
        <f t="shared" si="78"/>
        <v>Duplicate-PR3211 - Relay, Protection, Electronic, Transformer Differential. - RELAYS - ELECTRONIC</v>
      </c>
      <c r="D591" s="38" t="str">
        <f t="shared" si="79"/>
        <v>Duplicate-</v>
      </c>
      <c r="E591" s="413"/>
      <c r="F591" s="43" t="s">
        <v>430</v>
      </c>
      <c r="G591" s="43" t="s">
        <v>1091</v>
      </c>
      <c r="X591" s="38">
        <v>6</v>
      </c>
      <c r="Y591" s="38">
        <v>0</v>
      </c>
      <c r="AK591" s="45">
        <f t="shared" si="80"/>
        <v>0</v>
      </c>
      <c r="AL591" s="46">
        <f t="shared" si="81"/>
        <v>0</v>
      </c>
      <c r="AM591" s="46">
        <f t="shared" si="82"/>
        <v>0</v>
      </c>
      <c r="AN591" s="46"/>
      <c r="AO591" s="119" t="s">
        <v>1197</v>
      </c>
      <c r="AP591" s="38" t="str">
        <f t="shared" si="77"/>
        <v>Exclude</v>
      </c>
    </row>
    <row r="592" spans="1:42" ht="45" hidden="1">
      <c r="A592" s="38" t="str">
        <f t="shared" si="76"/>
        <v>Ausgrid</v>
      </c>
      <c r="B592" s="38" t="s">
        <v>1197</v>
      </c>
      <c r="C592" s="38" t="str">
        <f t="shared" si="78"/>
        <v>Duplicate-PR3302 - Relay, Protection, Numeric, Distance - RELAYS - NUMERICAL</v>
      </c>
      <c r="D592" s="38" t="str">
        <f t="shared" si="79"/>
        <v>Duplicate-</v>
      </c>
      <c r="E592" s="413"/>
      <c r="F592" s="43" t="s">
        <v>430</v>
      </c>
      <c r="G592" s="43" t="s">
        <v>1092</v>
      </c>
      <c r="X592" s="38">
        <v>3</v>
      </c>
      <c r="Y592" s="38">
        <v>0</v>
      </c>
      <c r="AK592" s="45">
        <f t="shared" si="80"/>
        <v>0</v>
      </c>
      <c r="AL592" s="46">
        <f t="shared" si="81"/>
        <v>0</v>
      </c>
      <c r="AM592" s="46">
        <f t="shared" si="82"/>
        <v>0</v>
      </c>
      <c r="AN592" s="46"/>
      <c r="AO592" s="119" t="s">
        <v>1197</v>
      </c>
      <c r="AP592" s="38" t="str">
        <f t="shared" si="77"/>
        <v>Exclude</v>
      </c>
    </row>
    <row r="593" spans="1:42" ht="45" hidden="1">
      <c r="A593" s="38" t="str">
        <f t="shared" si="76"/>
        <v>Ausgrid</v>
      </c>
      <c r="B593" s="38" t="s">
        <v>1197</v>
      </c>
      <c r="C593" s="38" t="str">
        <f t="shared" si="78"/>
        <v>Duplicate-PR3303 - Relay, Protection, Numerical, Distance - RELAYS - NUMERICAL</v>
      </c>
      <c r="D593" s="38" t="str">
        <f t="shared" si="79"/>
        <v>Duplicate-</v>
      </c>
      <c r="E593" s="413"/>
      <c r="F593" s="43" t="s">
        <v>430</v>
      </c>
      <c r="G593" s="43" t="s">
        <v>1093</v>
      </c>
      <c r="X593" s="38">
        <v>12</v>
      </c>
      <c r="Y593" s="38">
        <v>0</v>
      </c>
      <c r="AK593" s="45">
        <f t="shared" si="80"/>
        <v>0</v>
      </c>
      <c r="AL593" s="46">
        <f t="shared" si="81"/>
        <v>0</v>
      </c>
      <c r="AM593" s="46">
        <f t="shared" si="82"/>
        <v>0</v>
      </c>
      <c r="AN593" s="46"/>
      <c r="AO593" s="119" t="s">
        <v>1197</v>
      </c>
      <c r="AP593" s="38" t="str">
        <f t="shared" si="77"/>
        <v>Exclude</v>
      </c>
    </row>
    <row r="594" spans="1:42" ht="45" hidden="1">
      <c r="A594" s="38" t="str">
        <f t="shared" si="76"/>
        <v>Ausgrid</v>
      </c>
      <c r="B594" s="38" t="s">
        <v>1197</v>
      </c>
      <c r="C594" s="38" t="str">
        <f t="shared" si="78"/>
        <v>Duplicate-PR3304 - Relay, Protection, Under Voltage - RELAYS - NUMERICAL</v>
      </c>
      <c r="D594" s="38" t="str">
        <f t="shared" si="79"/>
        <v>Duplicate-</v>
      </c>
      <c r="E594" s="413"/>
      <c r="F594" s="43" t="s">
        <v>430</v>
      </c>
      <c r="G594" s="43" t="s">
        <v>1094</v>
      </c>
      <c r="X594" s="38">
        <v>12</v>
      </c>
      <c r="Y594" s="38">
        <v>0</v>
      </c>
      <c r="AK594" s="45">
        <f t="shared" si="80"/>
        <v>0</v>
      </c>
      <c r="AL594" s="46">
        <f t="shared" si="81"/>
        <v>0</v>
      </c>
      <c r="AM594" s="46">
        <f t="shared" si="82"/>
        <v>0</v>
      </c>
      <c r="AN594" s="46"/>
      <c r="AO594" s="119" t="s">
        <v>1197</v>
      </c>
      <c r="AP594" s="38" t="str">
        <f t="shared" si="77"/>
        <v>Exclude</v>
      </c>
    </row>
    <row r="595" spans="1:42" ht="45" hidden="1">
      <c r="A595" s="38" t="str">
        <f t="shared" si="76"/>
        <v>Ausgrid</v>
      </c>
      <c r="B595" s="38" t="s">
        <v>1197</v>
      </c>
      <c r="C595" s="38" t="str">
        <f t="shared" si="78"/>
        <v>Duplicate-PR3305 - Relay, Protection, Numerical, Overcurrent - RELAYS - NUMERICAL</v>
      </c>
      <c r="D595" s="38" t="str">
        <f t="shared" si="79"/>
        <v>Duplicate-</v>
      </c>
      <c r="E595" s="413"/>
      <c r="F595" s="43" t="s">
        <v>430</v>
      </c>
      <c r="G595" s="43" t="s">
        <v>1095</v>
      </c>
      <c r="X595" s="38">
        <v>3</v>
      </c>
      <c r="Y595" s="38">
        <v>0</v>
      </c>
      <c r="AK595" s="45">
        <f t="shared" si="80"/>
        <v>0</v>
      </c>
      <c r="AL595" s="46">
        <f t="shared" si="81"/>
        <v>0</v>
      </c>
      <c r="AM595" s="46">
        <f t="shared" si="82"/>
        <v>0</v>
      </c>
      <c r="AN595" s="46"/>
      <c r="AO595" s="119" t="s">
        <v>1197</v>
      </c>
      <c r="AP595" s="38" t="str">
        <f t="shared" si="77"/>
        <v>Exclude</v>
      </c>
    </row>
    <row r="596" spans="1:42" ht="45" hidden="1">
      <c r="A596" s="38" t="str">
        <f t="shared" si="76"/>
        <v>Ausgrid</v>
      </c>
      <c r="B596" s="38" t="s">
        <v>1197</v>
      </c>
      <c r="C596" s="38" t="str">
        <f t="shared" si="78"/>
        <v>Duplicate-PR3306 - Relay, Protection, Generic - RELAYS - NUMERICAL</v>
      </c>
      <c r="D596" s="38" t="str">
        <f t="shared" si="79"/>
        <v>Duplicate-</v>
      </c>
      <c r="E596" s="413"/>
      <c r="F596" s="43" t="s">
        <v>430</v>
      </c>
      <c r="G596" s="43" t="s">
        <v>1096</v>
      </c>
      <c r="X596" s="38">
        <v>12</v>
      </c>
      <c r="Y596" s="38">
        <v>0</v>
      </c>
      <c r="AK596" s="45">
        <f t="shared" si="80"/>
        <v>0</v>
      </c>
      <c r="AL596" s="46">
        <f t="shared" si="81"/>
        <v>0</v>
      </c>
      <c r="AM596" s="46">
        <f t="shared" si="82"/>
        <v>0</v>
      </c>
      <c r="AN596" s="46"/>
      <c r="AO596" s="119" t="s">
        <v>1197</v>
      </c>
      <c r="AP596" s="38" t="str">
        <f t="shared" si="77"/>
        <v>Exclude</v>
      </c>
    </row>
    <row r="597" spans="1:42" ht="45" hidden="1">
      <c r="A597" s="38" t="str">
        <f t="shared" si="76"/>
        <v>Ausgrid</v>
      </c>
      <c r="B597" s="38" t="s">
        <v>1197</v>
      </c>
      <c r="C597" s="38" t="str">
        <f t="shared" si="78"/>
        <v>Duplicate-PR3307 - Relay, Protection, Numerical, ABB SPAJ series - RELAYS - NUMERICAL</v>
      </c>
      <c r="D597" s="38" t="str">
        <f t="shared" si="79"/>
        <v>Duplicate-</v>
      </c>
      <c r="E597" s="413"/>
      <c r="F597" s="43" t="s">
        <v>430</v>
      </c>
      <c r="G597" s="43" t="s">
        <v>1097</v>
      </c>
      <c r="X597" s="38">
        <v>12</v>
      </c>
      <c r="Y597" s="38">
        <v>0</v>
      </c>
      <c r="AK597" s="45">
        <f t="shared" si="80"/>
        <v>0</v>
      </c>
      <c r="AL597" s="46">
        <f t="shared" si="81"/>
        <v>0</v>
      </c>
      <c r="AM597" s="46">
        <f t="shared" si="82"/>
        <v>0</v>
      </c>
      <c r="AN597" s="46"/>
      <c r="AO597" s="119" t="s">
        <v>1197</v>
      </c>
      <c r="AP597" s="38" t="str">
        <f t="shared" si="77"/>
        <v>Exclude</v>
      </c>
    </row>
    <row r="598" spans="1:42" ht="45" hidden="1">
      <c r="A598" s="38" t="str">
        <f t="shared" si="76"/>
        <v>Ausgrid</v>
      </c>
      <c r="B598" s="38" t="s">
        <v>1197</v>
      </c>
      <c r="C598" s="38" t="str">
        <f t="shared" si="78"/>
        <v>Duplicate-PR3308 - Relay, Protection, Numerical, Basler BE1-851 - RELAYS - NUMERICAL</v>
      </c>
      <c r="D598" s="38" t="str">
        <f t="shared" si="79"/>
        <v>Duplicate-</v>
      </c>
      <c r="E598" s="413"/>
      <c r="F598" s="43" t="s">
        <v>430</v>
      </c>
      <c r="G598" s="43" t="s">
        <v>1098</v>
      </c>
      <c r="X598" s="38">
        <v>12</v>
      </c>
      <c r="Y598" s="38">
        <v>0</v>
      </c>
      <c r="AK598" s="45">
        <f t="shared" si="80"/>
        <v>0</v>
      </c>
      <c r="AL598" s="46">
        <f t="shared" si="81"/>
        <v>0</v>
      </c>
      <c r="AM598" s="46">
        <f t="shared" si="82"/>
        <v>0</v>
      </c>
      <c r="AN598" s="46"/>
      <c r="AO598" s="119" t="s">
        <v>1197</v>
      </c>
      <c r="AP598" s="38" t="str">
        <f t="shared" si="77"/>
        <v>Exclude</v>
      </c>
    </row>
    <row r="599" spans="1:42" ht="45" hidden="1">
      <c r="A599" s="38" t="str">
        <f t="shared" si="76"/>
        <v>Ausgrid</v>
      </c>
      <c r="B599" s="38" t="s">
        <v>1197</v>
      </c>
      <c r="C599" s="38" t="str">
        <f t="shared" si="78"/>
        <v>Duplicate-PR3309 - Relay, Protection, Numerical, GEC K series - RELAYS - NUMERICAL</v>
      </c>
      <c r="D599" s="38" t="str">
        <f t="shared" si="79"/>
        <v>Duplicate-</v>
      </c>
      <c r="E599" s="413"/>
      <c r="F599" s="43" t="s">
        <v>430</v>
      </c>
      <c r="G599" s="43" t="s">
        <v>1099</v>
      </c>
      <c r="X599" s="38">
        <v>12</v>
      </c>
      <c r="Y599" s="38">
        <v>0</v>
      </c>
      <c r="AK599" s="45">
        <f t="shared" si="80"/>
        <v>0</v>
      </c>
      <c r="AL599" s="46">
        <f t="shared" si="81"/>
        <v>0</v>
      </c>
      <c r="AM599" s="46">
        <f t="shared" si="82"/>
        <v>0</v>
      </c>
      <c r="AN599" s="46"/>
      <c r="AO599" s="119" t="s">
        <v>1197</v>
      </c>
      <c r="AP599" s="38" t="str">
        <f t="shared" si="77"/>
        <v>Exclude</v>
      </c>
    </row>
    <row r="600" spans="1:42" ht="45" hidden="1">
      <c r="A600" s="38" t="str">
        <f t="shared" si="76"/>
        <v>Ausgrid</v>
      </c>
      <c r="B600" s="38" t="s">
        <v>1197</v>
      </c>
      <c r="C600" s="38" t="str">
        <f t="shared" si="78"/>
        <v>Duplicate-PR3310 - Relay, Protection, Numerical, Alstom 122A - RELAYS - NUMERICAL</v>
      </c>
      <c r="D600" s="38" t="str">
        <f t="shared" si="79"/>
        <v>Duplicate-</v>
      </c>
      <c r="E600" s="413"/>
      <c r="F600" s="43" t="s">
        <v>430</v>
      </c>
      <c r="G600" s="43" t="s">
        <v>1100</v>
      </c>
      <c r="X600" s="38">
        <v>12</v>
      </c>
      <c r="Y600" s="38">
        <v>0</v>
      </c>
      <c r="AK600" s="45">
        <f t="shared" si="80"/>
        <v>0</v>
      </c>
      <c r="AL600" s="46">
        <f t="shared" si="81"/>
        <v>0</v>
      </c>
      <c r="AM600" s="46">
        <f t="shared" si="82"/>
        <v>0</v>
      </c>
      <c r="AN600" s="46"/>
      <c r="AO600" s="119" t="s">
        <v>1197</v>
      </c>
      <c r="AP600" s="38" t="str">
        <f t="shared" si="77"/>
        <v>Exclude</v>
      </c>
    </row>
    <row r="601" spans="1:42" ht="45" hidden="1">
      <c r="A601" s="38" t="str">
        <f t="shared" si="76"/>
        <v>Ausgrid</v>
      </c>
      <c r="B601" s="38" t="s">
        <v>1197</v>
      </c>
      <c r="C601" s="38" t="str">
        <f t="shared" si="78"/>
        <v>Duplicate-PR3311 - Relay, Protection, Numerical, Reyrolle ARGUS1 - RELAYS - NUMERICAL</v>
      </c>
      <c r="D601" s="38" t="str">
        <f t="shared" si="79"/>
        <v>Duplicate-</v>
      </c>
      <c r="E601" s="413"/>
      <c r="F601" s="43" t="s">
        <v>430</v>
      </c>
      <c r="G601" s="43" t="s">
        <v>1101</v>
      </c>
      <c r="X601" s="38">
        <v>12</v>
      </c>
      <c r="Y601" s="38">
        <v>0</v>
      </c>
      <c r="AK601" s="45">
        <f t="shared" si="80"/>
        <v>0</v>
      </c>
      <c r="AL601" s="46">
        <f t="shared" si="81"/>
        <v>0</v>
      </c>
      <c r="AM601" s="46">
        <f t="shared" si="82"/>
        <v>0</v>
      </c>
      <c r="AN601" s="46"/>
      <c r="AO601" s="119" t="s">
        <v>1197</v>
      </c>
      <c r="AP601" s="38" t="str">
        <f t="shared" si="77"/>
        <v>Exclude</v>
      </c>
    </row>
    <row r="602" spans="1:42" ht="60" hidden="1">
      <c r="A602" s="38" t="str">
        <f t="shared" si="76"/>
        <v>Ausgrid</v>
      </c>
      <c r="B602" s="38" t="s">
        <v>1197</v>
      </c>
      <c r="C602" s="38" t="str">
        <f t="shared" si="78"/>
        <v>Duplicate-PR3312 - Relay, Protection, Numerical, Attracted Armature, Generic - RELAYS - NUMERICAL</v>
      </c>
      <c r="D602" s="38" t="str">
        <f t="shared" si="79"/>
        <v>Duplicate-</v>
      </c>
      <c r="E602" s="413"/>
      <c r="F602" s="43" t="s">
        <v>430</v>
      </c>
      <c r="G602" s="43" t="s">
        <v>1102</v>
      </c>
      <c r="X602" s="38">
        <v>6</v>
      </c>
      <c r="Y602" s="38">
        <v>0</v>
      </c>
      <c r="AK602" s="45">
        <f t="shared" si="80"/>
        <v>0</v>
      </c>
      <c r="AL602" s="46">
        <f t="shared" si="81"/>
        <v>0</v>
      </c>
      <c r="AM602" s="46">
        <f t="shared" si="82"/>
        <v>0</v>
      </c>
      <c r="AN602" s="46"/>
      <c r="AO602" s="119" t="s">
        <v>1197</v>
      </c>
      <c r="AP602" s="38" t="str">
        <f t="shared" si="77"/>
        <v>Exclude</v>
      </c>
    </row>
    <row r="603" spans="1:42" ht="45" hidden="1">
      <c r="A603" s="38" t="str">
        <f t="shared" si="76"/>
        <v>Ausgrid</v>
      </c>
      <c r="B603" s="38" t="s">
        <v>1197</v>
      </c>
      <c r="C603" s="38" t="str">
        <f t="shared" si="78"/>
        <v>Duplicate-PR3314 - Relay, Protection, Numerical, Underfrequency - RELAYS - NUMERICAL</v>
      </c>
      <c r="D603" s="38" t="str">
        <f t="shared" si="79"/>
        <v>Duplicate-</v>
      </c>
      <c r="E603" s="413"/>
      <c r="F603" s="43" t="s">
        <v>430</v>
      </c>
      <c r="G603" s="43" t="s">
        <v>1103</v>
      </c>
      <c r="X603" s="38">
        <v>12</v>
      </c>
      <c r="Y603" s="38">
        <v>0</v>
      </c>
      <c r="AK603" s="45">
        <f t="shared" si="80"/>
        <v>0</v>
      </c>
      <c r="AL603" s="46">
        <f t="shared" si="81"/>
        <v>0</v>
      </c>
      <c r="AM603" s="46">
        <f t="shared" si="82"/>
        <v>0</v>
      </c>
      <c r="AN603" s="46"/>
      <c r="AO603" s="119" t="s">
        <v>1197</v>
      </c>
      <c r="AP603" s="38" t="str">
        <f t="shared" si="77"/>
        <v>Exclude</v>
      </c>
    </row>
    <row r="604" spans="1:42" ht="60" hidden="1">
      <c r="A604" s="38" t="str">
        <f t="shared" si="76"/>
        <v>Ausgrid</v>
      </c>
      <c r="B604" s="38" t="s">
        <v>1197</v>
      </c>
      <c r="C604" s="38" t="str">
        <f t="shared" si="78"/>
        <v>Duplicate-PR3313 - Relay, Protection, Numerical, Transformer Differential. - RELAYS - NUMERICAL</v>
      </c>
      <c r="D604" s="38" t="str">
        <f t="shared" si="79"/>
        <v>Duplicate-</v>
      </c>
      <c r="E604" s="413"/>
      <c r="F604" s="43" t="s">
        <v>430</v>
      </c>
      <c r="G604" s="43" t="s">
        <v>1104</v>
      </c>
      <c r="X604" s="38">
        <v>6</v>
      </c>
      <c r="Y604" s="38">
        <v>0</v>
      </c>
      <c r="AK604" s="45">
        <f t="shared" si="80"/>
        <v>0</v>
      </c>
      <c r="AL604" s="46">
        <f t="shared" si="81"/>
        <v>0</v>
      </c>
      <c r="AM604" s="46">
        <f t="shared" si="82"/>
        <v>0</v>
      </c>
      <c r="AN604" s="46"/>
      <c r="AO604" s="119" t="s">
        <v>1197</v>
      </c>
      <c r="AP604" s="38" t="str">
        <f t="shared" si="77"/>
        <v>Exclude</v>
      </c>
    </row>
    <row r="605" spans="1:42" ht="30" hidden="1">
      <c r="A605" s="38" t="str">
        <f t="shared" si="76"/>
        <v>Ausgrid</v>
      </c>
      <c r="B605" s="38" t="s">
        <v>1197</v>
      </c>
      <c r="C605" s="38" t="str">
        <f t="shared" si="78"/>
        <v>Duplicate-PROTECTION SYSTEMS - ZONE SUBSTATIONS</v>
      </c>
      <c r="D605" s="38" t="str">
        <f t="shared" si="79"/>
        <v>Duplicate-No. of protection relays ('000s)</v>
      </c>
      <c r="E605" s="413"/>
      <c r="F605" s="43" t="s">
        <v>430</v>
      </c>
      <c r="G605" s="43" t="s">
        <v>1105</v>
      </c>
      <c r="H605" s="43" t="s">
        <v>724</v>
      </c>
      <c r="I605" s="41">
        <v>33.590000000000003</v>
      </c>
      <c r="J605" s="41">
        <v>36.28</v>
      </c>
      <c r="K605" s="41">
        <v>36.549999999999997</v>
      </c>
      <c r="L605" s="41">
        <v>36.04</v>
      </c>
      <c r="M605" s="41">
        <v>36.130000000000003</v>
      </c>
      <c r="N605" s="41">
        <v>0</v>
      </c>
      <c r="O605" s="41">
        <v>0</v>
      </c>
      <c r="P605" s="41">
        <v>0</v>
      </c>
      <c r="Q605" s="41">
        <v>0</v>
      </c>
      <c r="R605" s="41">
        <v>0</v>
      </c>
      <c r="S605" s="41">
        <v>40.32</v>
      </c>
      <c r="T605" s="41">
        <v>38.090000000000003</v>
      </c>
      <c r="U605" s="41">
        <v>38.01</v>
      </c>
      <c r="V605" s="41">
        <v>38.43</v>
      </c>
      <c r="W605" s="41">
        <v>38.4</v>
      </c>
      <c r="X605" s="38">
        <v>0</v>
      </c>
      <c r="Y605" s="38">
        <v>0</v>
      </c>
      <c r="Z605" s="40">
        <v>0</v>
      </c>
      <c r="AA605" s="40">
        <v>0</v>
      </c>
      <c r="AB605" s="40">
        <v>0</v>
      </c>
      <c r="AC605" s="40">
        <v>0</v>
      </c>
      <c r="AD605" s="40">
        <v>0</v>
      </c>
      <c r="AE605" s="40">
        <v>64.180000000000007</v>
      </c>
      <c r="AF605" s="40">
        <v>82.68</v>
      </c>
      <c r="AG605" s="40">
        <v>59.03</v>
      </c>
      <c r="AH605" s="40">
        <v>42.61</v>
      </c>
      <c r="AI605" s="40">
        <v>63.44</v>
      </c>
      <c r="AK605" s="45">
        <f t="shared" si="80"/>
        <v>0</v>
      </c>
      <c r="AL605" s="46">
        <f t="shared" si="81"/>
        <v>0</v>
      </c>
      <c r="AM605" s="46">
        <f t="shared" si="82"/>
        <v>311.94</v>
      </c>
      <c r="AN605" s="46"/>
      <c r="AO605" s="119" t="s">
        <v>1197</v>
      </c>
      <c r="AP605" s="38" t="str">
        <f t="shared" si="77"/>
        <v>Exclude</v>
      </c>
    </row>
    <row r="606" spans="1:42" ht="60" hidden="1">
      <c r="A606" s="38" t="str">
        <f t="shared" si="76"/>
        <v>Ausgrid</v>
      </c>
      <c r="B606" s="38" t="s">
        <v>1197</v>
      </c>
      <c r="C606" s="38" t="str">
        <f t="shared" si="78"/>
        <v>Duplicate-PR3101 - Relay, Electromechanical, Timing. - RELAYS - ELECTROMECHANICAL</v>
      </c>
      <c r="D606" s="38" t="str">
        <f t="shared" si="79"/>
        <v>Duplicate-</v>
      </c>
      <c r="E606" s="413"/>
      <c r="F606" s="43" t="s">
        <v>430</v>
      </c>
      <c r="G606" s="43" t="s">
        <v>1062</v>
      </c>
      <c r="X606" s="38">
        <v>12</v>
      </c>
      <c r="Y606" s="38">
        <v>0</v>
      </c>
      <c r="AK606" s="45">
        <f t="shared" si="80"/>
        <v>0</v>
      </c>
      <c r="AL606" s="46">
        <f t="shared" si="81"/>
        <v>0</v>
      </c>
      <c r="AM606" s="46">
        <f t="shared" si="82"/>
        <v>0</v>
      </c>
      <c r="AN606" s="46"/>
      <c r="AO606" s="119" t="s">
        <v>1197</v>
      </c>
      <c r="AP606" s="38" t="str">
        <f t="shared" si="77"/>
        <v>Exclude</v>
      </c>
    </row>
    <row r="607" spans="1:42" ht="60" hidden="1">
      <c r="A607" s="38" t="str">
        <f t="shared" si="76"/>
        <v>Ausgrid</v>
      </c>
      <c r="B607" s="38" t="s">
        <v>1197</v>
      </c>
      <c r="C607" s="38" t="str">
        <f t="shared" si="78"/>
        <v>Duplicate-PR3102 - Relay, Protection, Electromechanical, Distance - RELAYS - ELECTROMECHANICAL</v>
      </c>
      <c r="D607" s="38" t="str">
        <f t="shared" si="79"/>
        <v>Duplicate-</v>
      </c>
      <c r="E607" s="413"/>
      <c r="F607" s="43" t="s">
        <v>430</v>
      </c>
      <c r="G607" s="43" t="s">
        <v>1063</v>
      </c>
      <c r="X607" s="38">
        <v>1</v>
      </c>
      <c r="Y607" s="38">
        <v>0</v>
      </c>
      <c r="AK607" s="45">
        <f t="shared" si="80"/>
        <v>0</v>
      </c>
      <c r="AL607" s="46">
        <f t="shared" si="81"/>
        <v>0</v>
      </c>
      <c r="AM607" s="46">
        <f t="shared" si="82"/>
        <v>0</v>
      </c>
      <c r="AN607" s="46"/>
      <c r="AO607" s="119" t="s">
        <v>1197</v>
      </c>
      <c r="AP607" s="38" t="str">
        <f t="shared" si="77"/>
        <v>Exclude</v>
      </c>
    </row>
    <row r="608" spans="1:42" ht="75" hidden="1">
      <c r="A608" s="38" t="str">
        <f t="shared" si="76"/>
        <v>Ausgrid</v>
      </c>
      <c r="B608" s="38" t="s">
        <v>1197</v>
      </c>
      <c r="C608" s="38" t="str">
        <f t="shared" si="78"/>
        <v>Duplicate-PR3103 - Relay, Protection, Electromechanical, Distance, Reyrolle H Type &amp; 
SELECTA-MHO - RELAYS - ELECTROMECHANICAL</v>
      </c>
      <c r="D608" s="38" t="str">
        <f t="shared" si="79"/>
        <v>Duplicate-</v>
      </c>
      <c r="E608" s="413"/>
      <c r="F608" s="43" t="s">
        <v>430</v>
      </c>
      <c r="G608" s="43" t="s">
        <v>1064</v>
      </c>
      <c r="X608" s="38">
        <v>6</v>
      </c>
      <c r="Y608" s="38">
        <v>0</v>
      </c>
      <c r="AK608" s="45">
        <f t="shared" si="80"/>
        <v>0</v>
      </c>
      <c r="AL608" s="46">
        <f t="shared" si="81"/>
        <v>0</v>
      </c>
      <c r="AM608" s="46">
        <f t="shared" si="82"/>
        <v>0</v>
      </c>
      <c r="AN608" s="46"/>
      <c r="AO608" s="119" t="s">
        <v>1197</v>
      </c>
      <c r="AP608" s="38" t="str">
        <f t="shared" si="77"/>
        <v>Exclude</v>
      </c>
    </row>
    <row r="609" spans="1:42" ht="60" hidden="1">
      <c r="A609" s="38" t="str">
        <f t="shared" si="76"/>
        <v>Ausgrid</v>
      </c>
      <c r="B609" s="38" t="s">
        <v>1197</v>
      </c>
      <c r="C609" s="38" t="str">
        <f t="shared" si="78"/>
        <v>Duplicate-PR3104 - Relay, Protection, Electromechanical, Voltage, Generic - RELAYS - ELECTROMECHANICAL</v>
      </c>
      <c r="D609" s="38" t="str">
        <f t="shared" si="79"/>
        <v>Duplicate-</v>
      </c>
      <c r="E609" s="413"/>
      <c r="F609" s="43" t="s">
        <v>430</v>
      </c>
      <c r="G609" s="43" t="s">
        <v>1065</v>
      </c>
      <c r="X609" s="38">
        <v>12</v>
      </c>
      <c r="Y609" s="38">
        <v>0</v>
      </c>
      <c r="AK609" s="45">
        <f t="shared" si="80"/>
        <v>0</v>
      </c>
      <c r="AL609" s="46">
        <f t="shared" si="81"/>
        <v>0</v>
      </c>
      <c r="AM609" s="46">
        <f t="shared" si="82"/>
        <v>0</v>
      </c>
      <c r="AN609" s="46"/>
      <c r="AO609" s="119" t="s">
        <v>1197</v>
      </c>
      <c r="AP609" s="38" t="str">
        <f t="shared" si="77"/>
        <v>Exclude</v>
      </c>
    </row>
    <row r="610" spans="1:42" ht="75" hidden="1">
      <c r="A610" s="38" t="str">
        <f t="shared" si="76"/>
        <v>Ausgrid</v>
      </c>
      <c r="B610" s="38" t="s">
        <v>1197</v>
      </c>
      <c r="C610" s="38" t="str">
        <f t="shared" si="78"/>
        <v>Duplicate-PR3105 - Relay, CVT Unbalance, Electromechanical, Generic - RELAYS - ELECTROMECHANICAL</v>
      </c>
      <c r="D610" s="38" t="str">
        <f t="shared" si="79"/>
        <v>Duplicate-</v>
      </c>
      <c r="E610" s="413"/>
      <c r="F610" s="43" t="s">
        <v>430</v>
      </c>
      <c r="G610" s="43" t="s">
        <v>1066</v>
      </c>
      <c r="X610" s="38">
        <v>12</v>
      </c>
      <c r="Y610" s="38">
        <v>0</v>
      </c>
      <c r="AK610" s="45">
        <f t="shared" si="80"/>
        <v>0</v>
      </c>
      <c r="AL610" s="46">
        <f t="shared" si="81"/>
        <v>0</v>
      </c>
      <c r="AM610" s="46">
        <f t="shared" si="82"/>
        <v>0</v>
      </c>
      <c r="AN610" s="46"/>
      <c r="AO610" s="119" t="s">
        <v>1197</v>
      </c>
      <c r="AP610" s="38" t="str">
        <f t="shared" si="77"/>
        <v>Exclude</v>
      </c>
    </row>
    <row r="611" spans="1:42" ht="75" hidden="1">
      <c r="A611" s="38" t="str">
        <f t="shared" si="76"/>
        <v>Ausgrid</v>
      </c>
      <c r="B611" s="38" t="s">
        <v>1197</v>
      </c>
      <c r="C611" s="38" t="str">
        <f t="shared" si="78"/>
        <v>Duplicate-PR3106 - Relay, Protection, Electromechanical, Attracted Armature, Generic - RELAYS - ELECTROMECHANICAL</v>
      </c>
      <c r="D611" s="38" t="str">
        <f t="shared" si="79"/>
        <v>Duplicate-</v>
      </c>
      <c r="E611" s="413"/>
      <c r="F611" s="43" t="s">
        <v>430</v>
      </c>
      <c r="G611" s="43" t="s">
        <v>1067</v>
      </c>
      <c r="X611" s="38">
        <v>6</v>
      </c>
      <c r="Y611" s="38">
        <v>0</v>
      </c>
      <c r="AK611" s="45">
        <f t="shared" si="80"/>
        <v>0</v>
      </c>
      <c r="AL611" s="46">
        <f t="shared" si="81"/>
        <v>0</v>
      </c>
      <c r="AM611" s="46">
        <f t="shared" si="82"/>
        <v>0</v>
      </c>
      <c r="AN611" s="46"/>
      <c r="AO611" s="119" t="s">
        <v>1197</v>
      </c>
      <c r="AP611" s="38" t="str">
        <f t="shared" si="77"/>
        <v>Exclude</v>
      </c>
    </row>
    <row r="612" spans="1:42" ht="75" hidden="1">
      <c r="A612" s="38" t="str">
        <f t="shared" si="76"/>
        <v>Ausgrid</v>
      </c>
      <c r="B612" s="38" t="s">
        <v>1197</v>
      </c>
      <c r="C612" s="38" t="str">
        <f t="shared" si="78"/>
        <v>Duplicate-PR3106 - Relay, Protection, Electromechanical, Attracted Armature, Generic - RELAYS - ELECTROMECHANICAL</v>
      </c>
      <c r="D612" s="38" t="str">
        <f t="shared" si="79"/>
        <v>Duplicate-</v>
      </c>
      <c r="E612" s="413"/>
      <c r="F612" s="43" t="s">
        <v>430</v>
      </c>
      <c r="G612" s="43" t="s">
        <v>1067</v>
      </c>
      <c r="X612" s="38">
        <v>3</v>
      </c>
      <c r="Y612" s="38">
        <v>0</v>
      </c>
      <c r="AK612" s="45">
        <f t="shared" si="80"/>
        <v>0</v>
      </c>
      <c r="AL612" s="46">
        <f t="shared" si="81"/>
        <v>0</v>
      </c>
      <c r="AM612" s="46">
        <f t="shared" si="82"/>
        <v>0</v>
      </c>
      <c r="AN612" s="46"/>
      <c r="AO612" s="119" t="s">
        <v>1197</v>
      </c>
      <c r="AP612" s="38" t="str">
        <f t="shared" si="77"/>
        <v>Exclude</v>
      </c>
    </row>
    <row r="613" spans="1:42" ht="75" hidden="1">
      <c r="A613" s="38" t="str">
        <f t="shared" si="76"/>
        <v>Ausgrid</v>
      </c>
      <c r="B613" s="38" t="s">
        <v>1197</v>
      </c>
      <c r="C613" s="38" t="str">
        <f t="shared" si="78"/>
        <v>Duplicate-PR3107 - Relay, Protection, Electromechanical, Attracted Armature, CM Series - RELAYS - ELECTROMECHANICAL</v>
      </c>
      <c r="D613" s="38" t="str">
        <f t="shared" si="79"/>
        <v>Duplicate-</v>
      </c>
      <c r="E613" s="413"/>
      <c r="F613" s="43" t="s">
        <v>430</v>
      </c>
      <c r="G613" s="43" t="s">
        <v>1068</v>
      </c>
      <c r="X613" s="38">
        <v>6</v>
      </c>
      <c r="Y613" s="38">
        <v>0</v>
      </c>
      <c r="AK613" s="45">
        <f t="shared" si="80"/>
        <v>0</v>
      </c>
      <c r="AL613" s="46">
        <f t="shared" si="81"/>
        <v>0</v>
      </c>
      <c r="AM613" s="46">
        <f t="shared" si="82"/>
        <v>0</v>
      </c>
      <c r="AN613" s="46"/>
      <c r="AO613" s="119" t="s">
        <v>1197</v>
      </c>
      <c r="AP613" s="38" t="str">
        <f t="shared" si="77"/>
        <v>Exclude</v>
      </c>
    </row>
    <row r="614" spans="1:42" ht="60" hidden="1">
      <c r="A614" s="38" t="str">
        <f t="shared" si="76"/>
        <v>Ausgrid</v>
      </c>
      <c r="B614" s="38" t="s">
        <v>1197</v>
      </c>
      <c r="C614" s="38" t="str">
        <f t="shared" si="78"/>
        <v>Duplicate-PR3108 - Relay, Protection, Electromechanical, IDMT - RELAYS - ELECTROMECHANICAL</v>
      </c>
      <c r="D614" s="38" t="str">
        <f t="shared" si="79"/>
        <v>Duplicate-</v>
      </c>
      <c r="E614" s="413"/>
      <c r="F614" s="43" t="s">
        <v>430</v>
      </c>
      <c r="G614" s="43" t="s">
        <v>1069</v>
      </c>
      <c r="X614" s="38">
        <v>2</v>
      </c>
      <c r="Y614" s="38">
        <v>0</v>
      </c>
      <c r="AK614" s="45">
        <f t="shared" si="80"/>
        <v>0</v>
      </c>
      <c r="AL614" s="46">
        <f t="shared" si="81"/>
        <v>0</v>
      </c>
      <c r="AM614" s="46">
        <f t="shared" si="82"/>
        <v>0</v>
      </c>
      <c r="AN614" s="46"/>
      <c r="AO614" s="119" t="s">
        <v>1197</v>
      </c>
      <c r="AP614" s="38" t="str">
        <f t="shared" si="77"/>
        <v>Exclude</v>
      </c>
    </row>
    <row r="615" spans="1:42" ht="60" hidden="1">
      <c r="A615" s="38" t="str">
        <f t="shared" si="76"/>
        <v>Ausgrid</v>
      </c>
      <c r="B615" s="38" t="s">
        <v>1197</v>
      </c>
      <c r="C615" s="38" t="str">
        <f t="shared" si="78"/>
        <v>Duplicate-PR3109 - Relay, Protection, Electromechanical, IDMT - RELAYS - ELECTROMECHANICAL</v>
      </c>
      <c r="D615" s="38" t="str">
        <f t="shared" si="79"/>
        <v>Duplicate-</v>
      </c>
      <c r="E615" s="413"/>
      <c r="F615" s="43" t="s">
        <v>430</v>
      </c>
      <c r="G615" s="43" t="s">
        <v>1070</v>
      </c>
      <c r="X615" s="38">
        <v>6</v>
      </c>
      <c r="Y615" s="38">
        <v>0</v>
      </c>
      <c r="AK615" s="45">
        <f t="shared" si="80"/>
        <v>0</v>
      </c>
      <c r="AL615" s="46">
        <f t="shared" si="81"/>
        <v>0</v>
      </c>
      <c r="AM615" s="46">
        <f t="shared" si="82"/>
        <v>0</v>
      </c>
      <c r="AN615" s="46"/>
      <c r="AO615" s="119" t="s">
        <v>1197</v>
      </c>
      <c r="AP615" s="38" t="str">
        <f t="shared" si="77"/>
        <v>Exclude</v>
      </c>
    </row>
    <row r="616" spans="1:42" ht="60" hidden="1">
      <c r="A616" s="38" t="str">
        <f t="shared" si="76"/>
        <v>Ausgrid</v>
      </c>
      <c r="B616" s="38" t="s">
        <v>1197</v>
      </c>
      <c r="C616" s="38" t="str">
        <f t="shared" si="78"/>
        <v>Duplicate-PR3108 - Relay, Protection, Electromechanical, IDMT - RELAYS - ELECTROMECHANICAL</v>
      </c>
      <c r="D616" s="38" t="str">
        <f t="shared" si="79"/>
        <v>Duplicate-</v>
      </c>
      <c r="E616" s="413"/>
      <c r="F616" s="43" t="s">
        <v>430</v>
      </c>
      <c r="G616" s="43" t="s">
        <v>1069</v>
      </c>
      <c r="X616" s="38">
        <v>1</v>
      </c>
      <c r="Y616" s="38">
        <v>0</v>
      </c>
      <c r="AK616" s="45">
        <f t="shared" si="80"/>
        <v>0</v>
      </c>
      <c r="AL616" s="46">
        <f t="shared" si="81"/>
        <v>0</v>
      </c>
      <c r="AM616" s="46">
        <f t="shared" si="82"/>
        <v>0</v>
      </c>
      <c r="AN616" s="46"/>
      <c r="AO616" s="119" t="s">
        <v>1197</v>
      </c>
      <c r="AP616" s="38" t="str">
        <f t="shared" si="77"/>
        <v>Exclude</v>
      </c>
    </row>
    <row r="617" spans="1:42" ht="60" hidden="1">
      <c r="A617" s="38" t="str">
        <f t="shared" si="76"/>
        <v>Ausgrid</v>
      </c>
      <c r="B617" s="38" t="s">
        <v>1197</v>
      </c>
      <c r="C617" s="38" t="str">
        <f t="shared" si="78"/>
        <v>Duplicate-PR3110 - Relay, Protection, Electromechanical, Pilot wire, Generic - RELAYS - ELECTROMECHANICAL</v>
      </c>
      <c r="D617" s="38" t="str">
        <f t="shared" si="79"/>
        <v>Duplicate-</v>
      </c>
      <c r="E617" s="413"/>
      <c r="F617" s="43" t="s">
        <v>430</v>
      </c>
      <c r="G617" s="43" t="s">
        <v>1071</v>
      </c>
      <c r="X617" s="38">
        <v>2</v>
      </c>
      <c r="Y617" s="38">
        <v>0</v>
      </c>
      <c r="AK617" s="45">
        <f t="shared" si="80"/>
        <v>0</v>
      </c>
      <c r="AL617" s="46">
        <f t="shared" si="81"/>
        <v>0</v>
      </c>
      <c r="AM617" s="46">
        <f t="shared" si="82"/>
        <v>0</v>
      </c>
      <c r="AN617" s="46"/>
      <c r="AO617" s="119" t="s">
        <v>1197</v>
      </c>
      <c r="AP617" s="38" t="str">
        <f t="shared" si="77"/>
        <v>Exclude</v>
      </c>
    </row>
    <row r="618" spans="1:42" ht="60" hidden="1">
      <c r="A618" s="38" t="str">
        <f t="shared" si="76"/>
        <v>Ausgrid</v>
      </c>
      <c r="B618" s="38" t="s">
        <v>1197</v>
      </c>
      <c r="C618" s="38" t="str">
        <f t="shared" si="78"/>
        <v>Duplicate-PR3111 - Relay, Protection, Electromechanical, Pilot wire - RELAYS - ELECTROMECHANICAL</v>
      </c>
      <c r="D618" s="38" t="str">
        <f t="shared" si="79"/>
        <v>Duplicate-</v>
      </c>
      <c r="E618" s="413"/>
      <c r="F618" s="43" t="s">
        <v>430</v>
      </c>
      <c r="G618" s="43" t="s">
        <v>1072</v>
      </c>
      <c r="X618" s="38">
        <v>6</v>
      </c>
      <c r="Y618" s="38">
        <v>0</v>
      </c>
      <c r="AK618" s="45">
        <f t="shared" si="80"/>
        <v>0</v>
      </c>
      <c r="AL618" s="46">
        <f t="shared" si="81"/>
        <v>0</v>
      </c>
      <c r="AM618" s="46">
        <f t="shared" si="82"/>
        <v>0</v>
      </c>
      <c r="AN618" s="46"/>
      <c r="AO618" s="119" t="s">
        <v>1197</v>
      </c>
      <c r="AP618" s="38" t="str">
        <f t="shared" si="77"/>
        <v>Exclude</v>
      </c>
    </row>
    <row r="619" spans="1:42" ht="60" hidden="1">
      <c r="A619" s="38" t="str">
        <f t="shared" si="76"/>
        <v>Ausgrid</v>
      </c>
      <c r="B619" s="38" t="s">
        <v>1197</v>
      </c>
      <c r="C619" s="38" t="str">
        <f t="shared" si="78"/>
        <v>Duplicate-PR3112 - Relay, Protection, Electromechanical, Busbar type FAC &amp; FV2 - RELAYS - ELECTROMECHANICAL</v>
      </c>
      <c r="D619" s="38" t="str">
        <f t="shared" si="79"/>
        <v>Duplicate-</v>
      </c>
      <c r="E619" s="413"/>
      <c r="F619" s="43" t="s">
        <v>430</v>
      </c>
      <c r="G619" s="43" t="s">
        <v>1073</v>
      </c>
      <c r="X619" s="38">
        <v>12</v>
      </c>
      <c r="Y619" s="38">
        <v>0</v>
      </c>
      <c r="AK619" s="45">
        <f t="shared" si="80"/>
        <v>0</v>
      </c>
      <c r="AL619" s="46">
        <f t="shared" si="81"/>
        <v>0</v>
      </c>
      <c r="AM619" s="46">
        <f t="shared" si="82"/>
        <v>0</v>
      </c>
      <c r="AN619" s="46"/>
      <c r="AO619" s="119" t="s">
        <v>1197</v>
      </c>
      <c r="AP619" s="38" t="str">
        <f t="shared" si="77"/>
        <v>Exclude</v>
      </c>
    </row>
    <row r="620" spans="1:42" ht="60" hidden="1">
      <c r="A620" s="38" t="str">
        <f t="shared" si="76"/>
        <v>Ausgrid</v>
      </c>
      <c r="B620" s="38" t="s">
        <v>1197</v>
      </c>
      <c r="C620" s="38" t="str">
        <f t="shared" si="78"/>
        <v>Duplicate-PR3112 - Relay, Protection, Electromechanical, Busbar type FAC &amp; FV2 - RELAYS - ELECTROMECHANICAL</v>
      </c>
      <c r="D620" s="38" t="str">
        <f t="shared" si="79"/>
        <v>Duplicate-</v>
      </c>
      <c r="E620" s="413"/>
      <c r="F620" s="43" t="s">
        <v>430</v>
      </c>
      <c r="G620" s="43" t="s">
        <v>1073</v>
      </c>
      <c r="X620" s="38">
        <v>6</v>
      </c>
      <c r="Y620" s="38">
        <v>0</v>
      </c>
      <c r="AK620" s="45">
        <f t="shared" si="80"/>
        <v>0</v>
      </c>
      <c r="AL620" s="46">
        <f t="shared" si="81"/>
        <v>0</v>
      </c>
      <c r="AM620" s="46">
        <f t="shared" si="82"/>
        <v>0</v>
      </c>
      <c r="AN620" s="46"/>
      <c r="AO620" s="119" t="s">
        <v>1197</v>
      </c>
      <c r="AP620" s="38" t="str">
        <f t="shared" si="77"/>
        <v>Exclude</v>
      </c>
    </row>
    <row r="621" spans="1:42" ht="60" hidden="1">
      <c r="A621" s="38" t="str">
        <f t="shared" si="76"/>
        <v>Ausgrid</v>
      </c>
      <c r="B621" s="38" t="s">
        <v>1197</v>
      </c>
      <c r="C621" s="38" t="str">
        <f t="shared" si="78"/>
        <v>Duplicate-PR3116 - Relay, Protection, Electromechanical, Multi-trip - RELAYS - ELECTROMECHANICAL</v>
      </c>
      <c r="D621" s="38" t="str">
        <f t="shared" si="79"/>
        <v>Duplicate-</v>
      </c>
      <c r="E621" s="413"/>
      <c r="F621" s="43" t="s">
        <v>430</v>
      </c>
      <c r="G621" s="43" t="s">
        <v>1074</v>
      </c>
      <c r="X621" s="38">
        <v>12</v>
      </c>
      <c r="Y621" s="38">
        <v>0</v>
      </c>
      <c r="AK621" s="45">
        <f t="shared" si="80"/>
        <v>0</v>
      </c>
      <c r="AL621" s="46">
        <f t="shared" si="81"/>
        <v>0</v>
      </c>
      <c r="AM621" s="46">
        <f t="shared" si="82"/>
        <v>0</v>
      </c>
      <c r="AN621" s="46"/>
      <c r="AO621" s="119" t="s">
        <v>1197</v>
      </c>
      <c r="AP621" s="38" t="str">
        <f t="shared" si="77"/>
        <v>Exclude</v>
      </c>
    </row>
    <row r="622" spans="1:42" ht="60" hidden="1">
      <c r="A622" s="38" t="str">
        <f t="shared" si="76"/>
        <v>Ausgrid</v>
      </c>
      <c r="B622" s="38" t="s">
        <v>1197</v>
      </c>
      <c r="C622" s="38" t="str">
        <f t="shared" si="78"/>
        <v>Duplicate-PR3113 - Relay, Protection, Electromechanical, Auto-closing, Generic - RELAYS - ELECTROMECHANICAL</v>
      </c>
      <c r="D622" s="38" t="str">
        <f t="shared" si="79"/>
        <v>Duplicate-</v>
      </c>
      <c r="E622" s="413"/>
      <c r="F622" s="43" t="s">
        <v>430</v>
      </c>
      <c r="G622" s="43" t="s">
        <v>1075</v>
      </c>
      <c r="X622" s="38">
        <v>12</v>
      </c>
      <c r="Y622" s="38">
        <v>0</v>
      </c>
      <c r="AK622" s="45">
        <f t="shared" si="80"/>
        <v>0</v>
      </c>
      <c r="AL622" s="46">
        <f t="shared" si="81"/>
        <v>0</v>
      </c>
      <c r="AM622" s="46">
        <f t="shared" si="82"/>
        <v>0</v>
      </c>
      <c r="AN622" s="46"/>
      <c r="AO622" s="119" t="s">
        <v>1197</v>
      </c>
      <c r="AP622" s="38" t="str">
        <f t="shared" si="77"/>
        <v>Exclude</v>
      </c>
    </row>
    <row r="623" spans="1:42" ht="60" hidden="1">
      <c r="A623" s="38" t="str">
        <f t="shared" si="76"/>
        <v>Ausgrid</v>
      </c>
      <c r="B623" s="38" t="s">
        <v>1197</v>
      </c>
      <c r="C623" s="38" t="str">
        <f t="shared" si="78"/>
        <v>Duplicate-PR3114 - Relay, Electromechanical, Buchholz - RELAYS - ELECTROMECHANICAL</v>
      </c>
      <c r="D623" s="38" t="str">
        <f t="shared" si="79"/>
        <v>Duplicate-</v>
      </c>
      <c r="E623" s="413"/>
      <c r="F623" s="43" t="s">
        <v>430</v>
      </c>
      <c r="G623" s="43" t="s">
        <v>1076</v>
      </c>
      <c r="X623" s="38">
        <v>6</v>
      </c>
      <c r="Y623" s="38">
        <v>0</v>
      </c>
      <c r="AK623" s="45">
        <f t="shared" si="80"/>
        <v>0</v>
      </c>
      <c r="AL623" s="46">
        <f t="shared" si="81"/>
        <v>0</v>
      </c>
      <c r="AM623" s="46">
        <f t="shared" si="82"/>
        <v>0</v>
      </c>
      <c r="AN623" s="46"/>
      <c r="AO623" s="119" t="s">
        <v>1197</v>
      </c>
      <c r="AP623" s="38" t="str">
        <f t="shared" si="77"/>
        <v>Exclude</v>
      </c>
    </row>
    <row r="624" spans="1:42" ht="60" hidden="1">
      <c r="A624" s="38" t="str">
        <f t="shared" si="76"/>
        <v>Ausgrid</v>
      </c>
      <c r="B624" s="38" t="s">
        <v>1197</v>
      </c>
      <c r="C624" s="38" t="str">
        <f t="shared" si="78"/>
        <v>Duplicate-PR3115 - Relay, Protection, Electromechanical, Underfrequency - RELAYS - ELECTROMECHANICAL</v>
      </c>
      <c r="D624" s="38" t="str">
        <f t="shared" si="79"/>
        <v>Duplicate-</v>
      </c>
      <c r="E624" s="413"/>
      <c r="F624" s="43" t="s">
        <v>430</v>
      </c>
      <c r="G624" s="43" t="s">
        <v>1077</v>
      </c>
      <c r="X624" s="38">
        <v>12</v>
      </c>
      <c r="Y624" s="38">
        <v>0</v>
      </c>
      <c r="AK624" s="45">
        <f t="shared" si="80"/>
        <v>0</v>
      </c>
      <c r="AL624" s="46">
        <f t="shared" si="81"/>
        <v>0</v>
      </c>
      <c r="AM624" s="46">
        <f t="shared" si="82"/>
        <v>0</v>
      </c>
      <c r="AN624" s="46"/>
      <c r="AO624" s="119" t="s">
        <v>1197</v>
      </c>
      <c r="AP624" s="38" t="str">
        <f t="shared" si="77"/>
        <v>Exclude</v>
      </c>
    </row>
    <row r="625" spans="1:42" ht="75" hidden="1">
      <c r="A625" s="38" t="str">
        <f t="shared" si="76"/>
        <v>Ausgrid</v>
      </c>
      <c r="B625" s="38" t="s">
        <v>1197</v>
      </c>
      <c r="C625" s="38" t="str">
        <f t="shared" si="78"/>
        <v>Duplicate-PR3117 - Relay, Protection, Electromechanical, Transformer Differential. - RELAYS - ELECTROMECHANICAL</v>
      </c>
      <c r="D625" s="38" t="str">
        <f t="shared" si="79"/>
        <v>Duplicate-</v>
      </c>
      <c r="E625" s="413"/>
      <c r="F625" s="43" t="s">
        <v>430</v>
      </c>
      <c r="G625" s="43" t="s">
        <v>1078</v>
      </c>
      <c r="X625" s="38">
        <v>6</v>
      </c>
      <c r="Y625" s="38">
        <v>0</v>
      </c>
      <c r="AK625" s="45">
        <f t="shared" si="80"/>
        <v>0</v>
      </c>
      <c r="AL625" s="46">
        <f t="shared" si="81"/>
        <v>0</v>
      </c>
      <c r="AM625" s="46">
        <f t="shared" si="82"/>
        <v>0</v>
      </c>
      <c r="AN625" s="46"/>
      <c r="AO625" s="119" t="s">
        <v>1197</v>
      </c>
      <c r="AP625" s="38" t="str">
        <f t="shared" si="77"/>
        <v>Exclude</v>
      </c>
    </row>
    <row r="626" spans="1:42" ht="60" hidden="1">
      <c r="A626" s="38" t="str">
        <f t="shared" si="76"/>
        <v>Ausgrid</v>
      </c>
      <c r="B626" s="38" t="s">
        <v>1197</v>
      </c>
      <c r="C626" s="38" t="str">
        <f t="shared" si="78"/>
        <v>Duplicate-PR3118 - Relay, Protection, Electromechanical, Network Protector Relay - RELAYS - ELECTROMECHANICAL</v>
      </c>
      <c r="D626" s="38" t="str">
        <f t="shared" si="79"/>
        <v>Duplicate-</v>
      </c>
      <c r="E626" s="413"/>
      <c r="F626" s="43" t="s">
        <v>430</v>
      </c>
      <c r="G626" s="43" t="s">
        <v>1079</v>
      </c>
      <c r="X626" s="38">
        <v>3</v>
      </c>
      <c r="Y626" s="38">
        <v>0</v>
      </c>
      <c r="AK626" s="45">
        <f t="shared" si="80"/>
        <v>0</v>
      </c>
      <c r="AL626" s="46">
        <f t="shared" si="81"/>
        <v>0</v>
      </c>
      <c r="AM626" s="46">
        <f t="shared" si="82"/>
        <v>0</v>
      </c>
      <c r="AN626" s="46"/>
      <c r="AO626" s="119" t="s">
        <v>1197</v>
      </c>
      <c r="AP626" s="38" t="str">
        <f t="shared" si="77"/>
        <v>Exclude</v>
      </c>
    </row>
    <row r="627" spans="1:42" ht="45" hidden="1">
      <c r="A627" s="38" t="str">
        <f t="shared" ref="A627:A690" si="83">IF(E627&gt;0,E627,A626)</f>
        <v>Ausgrid</v>
      </c>
      <c r="B627" s="38" t="s">
        <v>1197</v>
      </c>
      <c r="C627" s="38" t="str">
        <f t="shared" si="78"/>
        <v>Duplicate-PR3209 - Relay, Electronic, Timing - RELAYS - ELECTRONIC</v>
      </c>
      <c r="D627" s="38" t="str">
        <f t="shared" si="79"/>
        <v>Duplicate-</v>
      </c>
      <c r="E627" s="413"/>
      <c r="F627" s="43" t="s">
        <v>430</v>
      </c>
      <c r="G627" s="43" t="s">
        <v>1080</v>
      </c>
      <c r="X627" s="38">
        <v>12</v>
      </c>
      <c r="Y627" s="38">
        <v>0</v>
      </c>
      <c r="AK627" s="45">
        <f t="shared" si="80"/>
        <v>0</v>
      </c>
      <c r="AL627" s="46">
        <f t="shared" si="81"/>
        <v>0</v>
      </c>
      <c r="AM627" s="46">
        <f t="shared" si="82"/>
        <v>0</v>
      </c>
      <c r="AN627" s="46"/>
      <c r="AO627" s="119" t="s">
        <v>1197</v>
      </c>
      <c r="AP627" s="38" t="str">
        <f t="shared" si="77"/>
        <v>Exclude</v>
      </c>
    </row>
    <row r="628" spans="1:42" ht="45" hidden="1">
      <c r="A628" s="38" t="str">
        <f t="shared" si="83"/>
        <v>Ausgrid</v>
      </c>
      <c r="B628" s="38" t="s">
        <v>1197</v>
      </c>
      <c r="C628" s="38" t="str">
        <f t="shared" si="78"/>
        <v>Duplicate-PR3202 - Relay, Protection, Electronic, Distance - RELAYS - ELECTRONIC</v>
      </c>
      <c r="D628" s="38" t="str">
        <f t="shared" si="79"/>
        <v>Duplicate-</v>
      </c>
      <c r="E628" s="413"/>
      <c r="F628" s="43" t="s">
        <v>430</v>
      </c>
      <c r="G628" s="43" t="s">
        <v>1081</v>
      </c>
      <c r="X628" s="38">
        <v>1</v>
      </c>
      <c r="Y628" s="38">
        <v>0</v>
      </c>
      <c r="AK628" s="45">
        <f t="shared" si="80"/>
        <v>0</v>
      </c>
      <c r="AL628" s="46">
        <f t="shared" si="81"/>
        <v>0</v>
      </c>
      <c r="AM628" s="46">
        <f t="shared" si="82"/>
        <v>0</v>
      </c>
      <c r="AN628" s="46"/>
      <c r="AO628" s="119" t="s">
        <v>1197</v>
      </c>
      <c r="AP628" s="38" t="str">
        <f t="shared" si="77"/>
        <v>Exclude</v>
      </c>
    </row>
    <row r="629" spans="1:42" ht="60" hidden="1">
      <c r="A629" s="38" t="str">
        <f t="shared" si="83"/>
        <v>Ausgrid</v>
      </c>
      <c r="B629" s="38" t="s">
        <v>1197</v>
      </c>
      <c r="C629" s="38" t="str">
        <f t="shared" si="78"/>
        <v>Duplicate-PR3204 - Relay, Protection, Electronic, Distance Protection, Alstom YTG - RELAYS - ELECTRONIC</v>
      </c>
      <c r="D629" s="38" t="str">
        <f t="shared" si="79"/>
        <v>Duplicate-</v>
      </c>
      <c r="E629" s="413"/>
      <c r="F629" s="43" t="s">
        <v>430</v>
      </c>
      <c r="G629" s="43" t="s">
        <v>1082</v>
      </c>
      <c r="X629" s="38">
        <v>6</v>
      </c>
      <c r="Y629" s="38">
        <v>0</v>
      </c>
      <c r="AK629" s="45">
        <f t="shared" si="80"/>
        <v>0</v>
      </c>
      <c r="AL629" s="46">
        <f t="shared" si="81"/>
        <v>0</v>
      </c>
      <c r="AM629" s="46">
        <f t="shared" si="82"/>
        <v>0</v>
      </c>
      <c r="AN629" s="46"/>
      <c r="AO629" s="119" t="s">
        <v>1197</v>
      </c>
      <c r="AP629" s="38" t="str">
        <f t="shared" si="77"/>
        <v>Exclude</v>
      </c>
    </row>
    <row r="630" spans="1:42" ht="75" hidden="1">
      <c r="A630" s="38" t="str">
        <f t="shared" si="83"/>
        <v>Ausgrid</v>
      </c>
      <c r="B630" s="38" t="s">
        <v>1197</v>
      </c>
      <c r="C630" s="38" t="str">
        <f t="shared" si="78"/>
        <v>Duplicate-PR3203 - Relay, Protection, Electronic, Distance Protection, Type THS,TH1A and THR - RELAYS - ELECTRONIC</v>
      </c>
      <c r="D630" s="38" t="str">
        <f t="shared" si="79"/>
        <v>Duplicate-</v>
      </c>
      <c r="E630" s="413"/>
      <c r="F630" s="43" t="s">
        <v>430</v>
      </c>
      <c r="G630" s="43" t="s">
        <v>1083</v>
      </c>
      <c r="X630" s="38">
        <v>6</v>
      </c>
      <c r="Y630" s="38">
        <v>0</v>
      </c>
      <c r="AK630" s="45">
        <f t="shared" si="80"/>
        <v>0</v>
      </c>
      <c r="AL630" s="46">
        <f t="shared" si="81"/>
        <v>0</v>
      </c>
      <c r="AM630" s="46">
        <f t="shared" si="82"/>
        <v>0</v>
      </c>
      <c r="AN630" s="46"/>
      <c r="AO630" s="119" t="s">
        <v>1197</v>
      </c>
      <c r="AP630" s="38" t="str">
        <f t="shared" si="77"/>
        <v>Exclude</v>
      </c>
    </row>
    <row r="631" spans="1:42" ht="45" hidden="1">
      <c r="A631" s="38" t="str">
        <f t="shared" si="83"/>
        <v>Ausgrid</v>
      </c>
      <c r="B631" s="38" t="s">
        <v>1197</v>
      </c>
      <c r="C631" s="38" t="str">
        <f t="shared" si="78"/>
        <v>Duplicate-PR3202 - Relay, Protection, Electronic, Distance - RELAYS - ELECTRONIC</v>
      </c>
      <c r="D631" s="38" t="str">
        <f t="shared" si="79"/>
        <v>Duplicate-</v>
      </c>
      <c r="E631" s="413"/>
      <c r="F631" s="43" t="s">
        <v>430</v>
      </c>
      <c r="G631" s="43" t="s">
        <v>1081</v>
      </c>
      <c r="X631" s="38">
        <v>2</v>
      </c>
      <c r="Y631" s="38">
        <v>0</v>
      </c>
      <c r="AK631" s="45">
        <f t="shared" si="80"/>
        <v>0</v>
      </c>
      <c r="AL631" s="46">
        <f t="shared" si="81"/>
        <v>0</v>
      </c>
      <c r="AM631" s="46">
        <f t="shared" si="82"/>
        <v>0</v>
      </c>
      <c r="AN631" s="46"/>
      <c r="AO631" s="119" t="s">
        <v>1197</v>
      </c>
      <c r="AP631" s="38" t="str">
        <f t="shared" si="77"/>
        <v>Exclude</v>
      </c>
    </row>
    <row r="632" spans="1:42" ht="45" hidden="1">
      <c r="A632" s="38" t="str">
        <f t="shared" si="83"/>
        <v>Ausgrid</v>
      </c>
      <c r="B632" s="38" t="s">
        <v>1197</v>
      </c>
      <c r="C632" s="38" t="str">
        <f t="shared" si="78"/>
        <v>Duplicate-PR3205 - Relay, Protection, Electronic, Distance - RELAYS - ELECTRONIC</v>
      </c>
      <c r="D632" s="38" t="str">
        <f t="shared" si="79"/>
        <v>Duplicate-</v>
      </c>
      <c r="E632" s="413"/>
      <c r="F632" s="43" t="s">
        <v>430</v>
      </c>
      <c r="G632" s="43" t="s">
        <v>1084</v>
      </c>
      <c r="X632" s="38">
        <v>3</v>
      </c>
      <c r="Y632" s="38">
        <v>0</v>
      </c>
      <c r="AK632" s="45">
        <f t="shared" si="80"/>
        <v>0</v>
      </c>
      <c r="AL632" s="46">
        <f t="shared" si="81"/>
        <v>0</v>
      </c>
      <c r="AM632" s="46">
        <f t="shared" si="82"/>
        <v>0</v>
      </c>
      <c r="AN632" s="46"/>
      <c r="AO632" s="119" t="s">
        <v>1197</v>
      </c>
      <c r="AP632" s="38" t="str">
        <f t="shared" si="77"/>
        <v>Exclude</v>
      </c>
    </row>
    <row r="633" spans="1:42" ht="45" hidden="1">
      <c r="A633" s="38" t="str">
        <f t="shared" si="83"/>
        <v>Ausgrid</v>
      </c>
      <c r="B633" s="38" t="s">
        <v>1197</v>
      </c>
      <c r="C633" s="38" t="str">
        <f t="shared" si="78"/>
        <v>Duplicate-PR3206 - Relay, Protection, Electronic, Distance - RELAYS - ELECTRONIC</v>
      </c>
      <c r="D633" s="38" t="str">
        <f t="shared" si="79"/>
        <v>Duplicate-</v>
      </c>
      <c r="E633" s="413"/>
      <c r="F633" s="43" t="s">
        <v>430</v>
      </c>
      <c r="G633" s="43" t="s">
        <v>1085</v>
      </c>
      <c r="X633" s="38">
        <v>12</v>
      </c>
      <c r="Y633" s="38">
        <v>0</v>
      </c>
      <c r="AK633" s="45">
        <f t="shared" si="80"/>
        <v>0</v>
      </c>
      <c r="AL633" s="46">
        <f t="shared" si="81"/>
        <v>0</v>
      </c>
      <c r="AM633" s="46">
        <f t="shared" si="82"/>
        <v>0</v>
      </c>
      <c r="AN633" s="46"/>
      <c r="AO633" s="119" t="s">
        <v>1197</v>
      </c>
      <c r="AP633" s="38" t="str">
        <f t="shared" si="77"/>
        <v>Exclude</v>
      </c>
    </row>
    <row r="634" spans="1:42" ht="45" hidden="1">
      <c r="A634" s="38" t="str">
        <f t="shared" si="83"/>
        <v>Ausgrid</v>
      </c>
      <c r="B634" s="38" t="s">
        <v>1197</v>
      </c>
      <c r="C634" s="38" t="str">
        <f t="shared" si="78"/>
        <v>Duplicate-PR3212 - Relay, Protection, Electronic, Voltage, Generic - RELAYS - ELECTRONIC</v>
      </c>
      <c r="D634" s="38" t="str">
        <f t="shared" si="79"/>
        <v>Duplicate-</v>
      </c>
      <c r="E634" s="413"/>
      <c r="F634" s="43" t="s">
        <v>430</v>
      </c>
      <c r="G634" s="43" t="s">
        <v>1086</v>
      </c>
      <c r="X634" s="38">
        <v>12</v>
      </c>
      <c r="Y634" s="38">
        <v>0</v>
      </c>
      <c r="AK634" s="45">
        <f t="shared" si="80"/>
        <v>0</v>
      </c>
      <c r="AL634" s="46">
        <f t="shared" si="81"/>
        <v>0</v>
      </c>
      <c r="AM634" s="46">
        <f t="shared" si="82"/>
        <v>0</v>
      </c>
      <c r="AN634" s="46"/>
      <c r="AO634" s="119" t="s">
        <v>1197</v>
      </c>
      <c r="AP634" s="38" t="str">
        <f t="shared" si="77"/>
        <v>Exclude</v>
      </c>
    </row>
    <row r="635" spans="1:42" ht="60" hidden="1">
      <c r="A635" s="38" t="str">
        <f t="shared" si="83"/>
        <v>Ausgrid</v>
      </c>
      <c r="B635" s="38" t="s">
        <v>1197</v>
      </c>
      <c r="C635" s="38" t="str">
        <f t="shared" si="78"/>
        <v>Duplicate-PR3210 - Relay, Protection, Electronic, Arttracted Armature, Generic - RELAYS - ELECTRONIC</v>
      </c>
      <c r="D635" s="38" t="str">
        <f t="shared" si="79"/>
        <v>Duplicate-</v>
      </c>
      <c r="E635" s="413"/>
      <c r="F635" s="43" t="s">
        <v>430</v>
      </c>
      <c r="G635" s="43" t="s">
        <v>1087</v>
      </c>
      <c r="X635" s="38">
        <v>6</v>
      </c>
      <c r="Y635" s="38">
        <v>0</v>
      </c>
      <c r="AK635" s="45">
        <f t="shared" si="80"/>
        <v>0</v>
      </c>
      <c r="AL635" s="46">
        <f t="shared" si="81"/>
        <v>0</v>
      </c>
      <c r="AM635" s="46">
        <f t="shared" si="82"/>
        <v>0</v>
      </c>
      <c r="AN635" s="46"/>
      <c r="AO635" s="119" t="s">
        <v>1197</v>
      </c>
      <c r="AP635" s="38" t="str">
        <f t="shared" si="77"/>
        <v>Exclude</v>
      </c>
    </row>
    <row r="636" spans="1:42" ht="45" hidden="1">
      <c r="A636" s="38" t="str">
        <f t="shared" si="83"/>
        <v>Ausgrid</v>
      </c>
      <c r="B636" s="38" t="s">
        <v>1197</v>
      </c>
      <c r="C636" s="38" t="str">
        <f t="shared" si="78"/>
        <v>Duplicate-PR3207 - Relay, Protection, Electronic, IDMT - RELAYS - ELECTRONIC</v>
      </c>
      <c r="D636" s="38" t="str">
        <f t="shared" si="79"/>
        <v>Duplicate-</v>
      </c>
      <c r="E636" s="413"/>
      <c r="F636" s="43" t="s">
        <v>430</v>
      </c>
      <c r="G636" s="43" t="s">
        <v>1088</v>
      </c>
      <c r="X636" s="38">
        <v>3</v>
      </c>
      <c r="Y636" s="38">
        <v>0</v>
      </c>
      <c r="AK636" s="45">
        <f t="shared" si="80"/>
        <v>0</v>
      </c>
      <c r="AL636" s="46">
        <f t="shared" si="81"/>
        <v>0</v>
      </c>
      <c r="AM636" s="46">
        <f t="shared" si="82"/>
        <v>0</v>
      </c>
      <c r="AN636" s="46"/>
      <c r="AO636" s="119" t="s">
        <v>1197</v>
      </c>
      <c r="AP636" s="38" t="str">
        <f t="shared" si="77"/>
        <v>Exclude</v>
      </c>
    </row>
    <row r="637" spans="1:42" ht="45" hidden="1">
      <c r="A637" s="38" t="str">
        <f t="shared" si="83"/>
        <v>Ausgrid</v>
      </c>
      <c r="B637" s="38" t="s">
        <v>1197</v>
      </c>
      <c r="C637" s="38" t="str">
        <f t="shared" si="78"/>
        <v>Duplicate-PR3208 - Relay, Protection, Electronic, IDMT - RELAYS - ELECTRONIC</v>
      </c>
      <c r="D637" s="38" t="str">
        <f t="shared" si="79"/>
        <v>Duplicate-</v>
      </c>
      <c r="E637" s="413"/>
      <c r="F637" s="43" t="s">
        <v>430</v>
      </c>
      <c r="G637" s="43" t="s">
        <v>1089</v>
      </c>
      <c r="X637" s="38">
        <v>12</v>
      </c>
      <c r="Y637" s="38">
        <v>0</v>
      </c>
      <c r="AK637" s="45">
        <f t="shared" si="80"/>
        <v>0</v>
      </c>
      <c r="AL637" s="46">
        <f t="shared" si="81"/>
        <v>0</v>
      </c>
      <c r="AM637" s="46">
        <f t="shared" si="82"/>
        <v>0</v>
      </c>
      <c r="AN637" s="46"/>
      <c r="AO637" s="119" t="s">
        <v>1197</v>
      </c>
      <c r="AP637" s="38" t="str">
        <f t="shared" si="77"/>
        <v>Exclude</v>
      </c>
    </row>
    <row r="638" spans="1:42" ht="45" hidden="1">
      <c r="A638" s="38" t="str">
        <f t="shared" si="83"/>
        <v>Ausgrid</v>
      </c>
      <c r="B638" s="38" t="s">
        <v>1197</v>
      </c>
      <c r="C638" s="38" t="str">
        <f t="shared" si="78"/>
        <v>Duplicate-PR3207 - Relay, Protection, Electronic, IDMT - RELAYS - ELECTRONIC</v>
      </c>
      <c r="D638" s="38" t="str">
        <f t="shared" si="79"/>
        <v>Duplicate-</v>
      </c>
      <c r="E638" s="413"/>
      <c r="F638" s="43" t="s">
        <v>430</v>
      </c>
      <c r="G638" s="43" t="s">
        <v>1088</v>
      </c>
      <c r="X638" s="38">
        <v>1</v>
      </c>
      <c r="Y638" s="38">
        <v>0</v>
      </c>
      <c r="AK638" s="45">
        <f t="shared" si="80"/>
        <v>0</v>
      </c>
      <c r="AL638" s="46">
        <f t="shared" si="81"/>
        <v>0</v>
      </c>
      <c r="AM638" s="46">
        <f t="shared" si="82"/>
        <v>0</v>
      </c>
      <c r="AN638" s="46"/>
      <c r="AO638" s="119" t="s">
        <v>1197</v>
      </c>
      <c r="AP638" s="38" t="str">
        <f t="shared" si="77"/>
        <v>Exclude</v>
      </c>
    </row>
    <row r="639" spans="1:42" ht="45" hidden="1">
      <c r="A639" s="38" t="str">
        <f t="shared" si="83"/>
        <v>Ausgrid</v>
      </c>
      <c r="B639" s="38" t="s">
        <v>1197</v>
      </c>
      <c r="C639" s="38" t="str">
        <f t="shared" si="78"/>
        <v>Duplicate-PR3208 - Relay, Protection, Electronic, IDMT - RELAYS - ELECTRONIC</v>
      </c>
      <c r="D639" s="38" t="str">
        <f t="shared" si="79"/>
        <v>Duplicate-</v>
      </c>
      <c r="E639" s="413"/>
      <c r="F639" s="43" t="s">
        <v>430</v>
      </c>
      <c r="G639" s="43" t="s">
        <v>1089</v>
      </c>
      <c r="X639" s="38">
        <v>6</v>
      </c>
      <c r="Y639" s="38">
        <v>0</v>
      </c>
      <c r="AK639" s="45">
        <f t="shared" si="80"/>
        <v>0</v>
      </c>
      <c r="AL639" s="46">
        <f t="shared" si="81"/>
        <v>0</v>
      </c>
      <c r="AM639" s="46">
        <f t="shared" si="82"/>
        <v>0</v>
      </c>
      <c r="AN639" s="46"/>
      <c r="AO639" s="119" t="s">
        <v>1197</v>
      </c>
      <c r="AP639" s="38" t="str">
        <f t="shared" si="77"/>
        <v>Exclude</v>
      </c>
    </row>
    <row r="640" spans="1:42" ht="45" hidden="1">
      <c r="A640" s="38" t="str">
        <f t="shared" si="83"/>
        <v>Ausgrid</v>
      </c>
      <c r="B640" s="38" t="s">
        <v>1197</v>
      </c>
      <c r="C640" s="38" t="str">
        <f t="shared" si="78"/>
        <v>Duplicate-PR3213 - Relay, Protection, Electronic, Underfrequency - RELAYS - ELECTRONIC</v>
      </c>
      <c r="D640" s="38" t="str">
        <f t="shared" si="79"/>
        <v>Duplicate-</v>
      </c>
      <c r="E640" s="413"/>
      <c r="F640" s="43" t="s">
        <v>430</v>
      </c>
      <c r="G640" s="43" t="s">
        <v>1090</v>
      </c>
      <c r="X640" s="38">
        <v>12</v>
      </c>
      <c r="Y640" s="38">
        <v>0</v>
      </c>
      <c r="AK640" s="45">
        <f t="shared" si="80"/>
        <v>0</v>
      </c>
      <c r="AL640" s="46">
        <f t="shared" si="81"/>
        <v>0</v>
      </c>
      <c r="AM640" s="46">
        <f t="shared" si="82"/>
        <v>0</v>
      </c>
      <c r="AN640" s="46"/>
      <c r="AO640" s="119" t="s">
        <v>1197</v>
      </c>
      <c r="AP640" s="38" t="str">
        <f t="shared" si="77"/>
        <v>Exclude</v>
      </c>
    </row>
    <row r="641" spans="1:42" ht="60" hidden="1">
      <c r="A641" s="38" t="str">
        <f t="shared" si="83"/>
        <v>Ausgrid</v>
      </c>
      <c r="B641" s="38" t="s">
        <v>1197</v>
      </c>
      <c r="C641" s="38" t="str">
        <f t="shared" si="78"/>
        <v>Duplicate-PR3211 - Relay, Protection, Electronic, Transformer Differential. - RELAYS - ELECTRONIC</v>
      </c>
      <c r="D641" s="38" t="str">
        <f t="shared" si="79"/>
        <v>Duplicate-</v>
      </c>
      <c r="E641" s="413"/>
      <c r="F641" s="43" t="s">
        <v>430</v>
      </c>
      <c r="G641" s="43" t="s">
        <v>1091</v>
      </c>
      <c r="X641" s="38">
        <v>6</v>
      </c>
      <c r="Y641" s="38">
        <v>0</v>
      </c>
      <c r="AK641" s="45">
        <f t="shared" si="80"/>
        <v>0</v>
      </c>
      <c r="AL641" s="46">
        <f t="shared" si="81"/>
        <v>0</v>
      </c>
      <c r="AM641" s="46">
        <f t="shared" si="82"/>
        <v>0</v>
      </c>
      <c r="AN641" s="46"/>
      <c r="AO641" s="119" t="s">
        <v>1197</v>
      </c>
      <c r="AP641" s="38" t="str">
        <f t="shared" si="77"/>
        <v>Exclude</v>
      </c>
    </row>
    <row r="642" spans="1:42" ht="45" hidden="1">
      <c r="A642" s="38" t="str">
        <f t="shared" si="83"/>
        <v>Ausgrid</v>
      </c>
      <c r="B642" s="38" t="s">
        <v>1197</v>
      </c>
      <c r="C642" s="38" t="str">
        <f t="shared" si="78"/>
        <v>Duplicate-PR3302 - Relay, Protection, Numeric, Distance - RELAYS - NUMERICAL</v>
      </c>
      <c r="D642" s="38" t="str">
        <f t="shared" si="79"/>
        <v>Duplicate-</v>
      </c>
      <c r="E642" s="413"/>
      <c r="F642" s="43" t="s">
        <v>430</v>
      </c>
      <c r="G642" s="43" t="s">
        <v>1092</v>
      </c>
      <c r="X642" s="38">
        <v>3</v>
      </c>
      <c r="Y642" s="38">
        <v>0</v>
      </c>
      <c r="AK642" s="45">
        <f t="shared" si="80"/>
        <v>0</v>
      </c>
      <c r="AL642" s="46">
        <f t="shared" si="81"/>
        <v>0</v>
      </c>
      <c r="AM642" s="46">
        <f t="shared" si="82"/>
        <v>0</v>
      </c>
      <c r="AN642" s="46"/>
      <c r="AO642" s="119" t="s">
        <v>1197</v>
      </c>
      <c r="AP642" s="38" t="str">
        <f t="shared" si="77"/>
        <v>Exclude</v>
      </c>
    </row>
    <row r="643" spans="1:42" ht="45" hidden="1">
      <c r="A643" s="38" t="str">
        <f t="shared" si="83"/>
        <v>Ausgrid</v>
      </c>
      <c r="B643" s="38" t="s">
        <v>1197</v>
      </c>
      <c r="C643" s="38" t="str">
        <f t="shared" si="78"/>
        <v>Duplicate-PR3303 - Relay, Protection, Numerical, Distance - RELAYS - NUMERICAL</v>
      </c>
      <c r="D643" s="38" t="str">
        <f t="shared" si="79"/>
        <v>Duplicate-</v>
      </c>
      <c r="E643" s="413"/>
      <c r="F643" s="43" t="s">
        <v>430</v>
      </c>
      <c r="G643" s="43" t="s">
        <v>1093</v>
      </c>
      <c r="X643" s="38">
        <v>12</v>
      </c>
      <c r="Y643" s="38">
        <v>0</v>
      </c>
      <c r="AK643" s="45">
        <f t="shared" si="80"/>
        <v>0</v>
      </c>
      <c r="AL643" s="46">
        <f t="shared" si="81"/>
        <v>0</v>
      </c>
      <c r="AM643" s="46">
        <f t="shared" si="82"/>
        <v>0</v>
      </c>
      <c r="AN643" s="46"/>
      <c r="AO643" s="119" t="s">
        <v>1197</v>
      </c>
      <c r="AP643" s="38" t="str">
        <f t="shared" ref="AP643:AP706" si="84">IFERROR(VLOOKUP(C643,$AR:$AS,2,FALSE),"Exclude")</f>
        <v>Exclude</v>
      </c>
    </row>
    <row r="644" spans="1:42" ht="45" hidden="1">
      <c r="A644" s="38" t="str">
        <f t="shared" si="83"/>
        <v>Ausgrid</v>
      </c>
      <c r="B644" s="38" t="s">
        <v>1197</v>
      </c>
      <c r="C644" s="38" t="str">
        <f t="shared" ref="C644:C707" si="85">B644&amp;"-"&amp;G644</f>
        <v>Duplicate-PR3304 - Relay, Protection, Under Voltage - RELAYS - NUMERICAL</v>
      </c>
      <c r="D644" s="38" t="str">
        <f t="shared" ref="D644:D707" si="86">B644&amp;"-"&amp;H644</f>
        <v>Duplicate-</v>
      </c>
      <c r="E644" s="413"/>
      <c r="F644" s="43" t="s">
        <v>430</v>
      </c>
      <c r="G644" s="43" t="s">
        <v>1094</v>
      </c>
      <c r="X644" s="38">
        <v>12</v>
      </c>
      <c r="Y644" s="38">
        <v>0</v>
      </c>
      <c r="AK644" s="45">
        <f t="shared" ref="AK644:AK707" si="87">SUM(N644:R644)</f>
        <v>0</v>
      </c>
      <c r="AL644" s="46">
        <f t="shared" ref="AL644:AL707" si="88">SUM(Z644:AD644)</f>
        <v>0</v>
      </c>
      <c r="AM644" s="46">
        <f t="shared" ref="AM644:AM707" si="89">SUM(AE644:AI644)</f>
        <v>0</v>
      </c>
      <c r="AN644" s="46"/>
      <c r="AO644" s="119" t="s">
        <v>1197</v>
      </c>
      <c r="AP644" s="38" t="str">
        <f t="shared" si="84"/>
        <v>Exclude</v>
      </c>
    </row>
    <row r="645" spans="1:42" ht="45" hidden="1">
      <c r="A645" s="38" t="str">
        <f t="shared" si="83"/>
        <v>Ausgrid</v>
      </c>
      <c r="B645" s="38" t="s">
        <v>1197</v>
      </c>
      <c r="C645" s="38" t="str">
        <f t="shared" si="85"/>
        <v>Duplicate-PR3305 - Relay, Protection, Numerical, Overcurrent - RELAYS - NUMERICAL</v>
      </c>
      <c r="D645" s="38" t="str">
        <f t="shared" si="86"/>
        <v>Duplicate-</v>
      </c>
      <c r="E645" s="413"/>
      <c r="F645" s="43" t="s">
        <v>430</v>
      </c>
      <c r="G645" s="43" t="s">
        <v>1095</v>
      </c>
      <c r="X645" s="38">
        <v>3</v>
      </c>
      <c r="Y645" s="38">
        <v>0</v>
      </c>
      <c r="AK645" s="45">
        <f t="shared" si="87"/>
        <v>0</v>
      </c>
      <c r="AL645" s="46">
        <f t="shared" si="88"/>
        <v>0</v>
      </c>
      <c r="AM645" s="46">
        <f t="shared" si="89"/>
        <v>0</v>
      </c>
      <c r="AN645" s="46"/>
      <c r="AO645" s="119" t="s">
        <v>1197</v>
      </c>
      <c r="AP645" s="38" t="str">
        <f t="shared" si="84"/>
        <v>Exclude</v>
      </c>
    </row>
    <row r="646" spans="1:42" ht="45" hidden="1">
      <c r="A646" s="38" t="str">
        <f t="shared" si="83"/>
        <v>Ausgrid</v>
      </c>
      <c r="B646" s="38" t="s">
        <v>1197</v>
      </c>
      <c r="C646" s="38" t="str">
        <f t="shared" si="85"/>
        <v>Duplicate-PR3306 - Relay, Protection, Generic - RELAYS - NUMERICAL</v>
      </c>
      <c r="D646" s="38" t="str">
        <f t="shared" si="86"/>
        <v>Duplicate-</v>
      </c>
      <c r="E646" s="413"/>
      <c r="F646" s="43" t="s">
        <v>430</v>
      </c>
      <c r="G646" s="43" t="s">
        <v>1096</v>
      </c>
      <c r="X646" s="38">
        <v>12</v>
      </c>
      <c r="Y646" s="38">
        <v>0</v>
      </c>
      <c r="AK646" s="45">
        <f t="shared" si="87"/>
        <v>0</v>
      </c>
      <c r="AL646" s="46">
        <f t="shared" si="88"/>
        <v>0</v>
      </c>
      <c r="AM646" s="46">
        <f t="shared" si="89"/>
        <v>0</v>
      </c>
      <c r="AN646" s="46"/>
      <c r="AO646" s="119" t="s">
        <v>1197</v>
      </c>
      <c r="AP646" s="38" t="str">
        <f t="shared" si="84"/>
        <v>Exclude</v>
      </c>
    </row>
    <row r="647" spans="1:42" ht="45" hidden="1">
      <c r="A647" s="38" t="str">
        <f t="shared" si="83"/>
        <v>Ausgrid</v>
      </c>
      <c r="B647" s="38" t="s">
        <v>1197</v>
      </c>
      <c r="C647" s="38" t="str">
        <f t="shared" si="85"/>
        <v>Duplicate-PR3307 - Relay, Protection, Numerical, ABB SPAJ series - RELAYS - NUMERICAL</v>
      </c>
      <c r="D647" s="38" t="str">
        <f t="shared" si="86"/>
        <v>Duplicate-</v>
      </c>
      <c r="E647" s="413"/>
      <c r="F647" s="43" t="s">
        <v>430</v>
      </c>
      <c r="G647" s="43" t="s">
        <v>1097</v>
      </c>
      <c r="X647" s="38">
        <v>12</v>
      </c>
      <c r="Y647" s="38">
        <v>0</v>
      </c>
      <c r="AK647" s="45">
        <f t="shared" si="87"/>
        <v>0</v>
      </c>
      <c r="AL647" s="46">
        <f t="shared" si="88"/>
        <v>0</v>
      </c>
      <c r="AM647" s="46">
        <f t="shared" si="89"/>
        <v>0</v>
      </c>
      <c r="AN647" s="46"/>
      <c r="AO647" s="119" t="s">
        <v>1197</v>
      </c>
      <c r="AP647" s="38" t="str">
        <f t="shared" si="84"/>
        <v>Exclude</v>
      </c>
    </row>
    <row r="648" spans="1:42" ht="45" hidden="1">
      <c r="A648" s="38" t="str">
        <f t="shared" si="83"/>
        <v>Ausgrid</v>
      </c>
      <c r="B648" s="38" t="s">
        <v>1197</v>
      </c>
      <c r="C648" s="38" t="str">
        <f t="shared" si="85"/>
        <v>Duplicate-PR3308 - Relay, Protection, Numerical, Basler BE1-851 - RELAYS - NUMERICAL</v>
      </c>
      <c r="D648" s="38" t="str">
        <f t="shared" si="86"/>
        <v>Duplicate-</v>
      </c>
      <c r="E648" s="413"/>
      <c r="F648" s="43" t="s">
        <v>430</v>
      </c>
      <c r="G648" s="43" t="s">
        <v>1098</v>
      </c>
      <c r="X648" s="38">
        <v>12</v>
      </c>
      <c r="Y648" s="38">
        <v>0</v>
      </c>
      <c r="AK648" s="45">
        <f t="shared" si="87"/>
        <v>0</v>
      </c>
      <c r="AL648" s="46">
        <f t="shared" si="88"/>
        <v>0</v>
      </c>
      <c r="AM648" s="46">
        <f t="shared" si="89"/>
        <v>0</v>
      </c>
      <c r="AN648" s="46"/>
      <c r="AO648" s="119" t="s">
        <v>1197</v>
      </c>
      <c r="AP648" s="38" t="str">
        <f t="shared" si="84"/>
        <v>Exclude</v>
      </c>
    </row>
    <row r="649" spans="1:42" ht="45" hidden="1">
      <c r="A649" s="38" t="str">
        <f t="shared" si="83"/>
        <v>Ausgrid</v>
      </c>
      <c r="B649" s="38" t="s">
        <v>1197</v>
      </c>
      <c r="C649" s="38" t="str">
        <f t="shared" si="85"/>
        <v>Duplicate-PR3309 - Relay, Protection, Numerical, GEC K series - RELAYS - NUMERICAL</v>
      </c>
      <c r="D649" s="38" t="str">
        <f t="shared" si="86"/>
        <v>Duplicate-</v>
      </c>
      <c r="E649" s="413"/>
      <c r="F649" s="43" t="s">
        <v>430</v>
      </c>
      <c r="G649" s="43" t="s">
        <v>1099</v>
      </c>
      <c r="X649" s="38">
        <v>12</v>
      </c>
      <c r="Y649" s="38">
        <v>0</v>
      </c>
      <c r="AK649" s="45">
        <f t="shared" si="87"/>
        <v>0</v>
      </c>
      <c r="AL649" s="46">
        <f t="shared" si="88"/>
        <v>0</v>
      </c>
      <c r="AM649" s="46">
        <f t="shared" si="89"/>
        <v>0</v>
      </c>
      <c r="AN649" s="46"/>
      <c r="AO649" s="119" t="s">
        <v>1197</v>
      </c>
      <c r="AP649" s="38" t="str">
        <f t="shared" si="84"/>
        <v>Exclude</v>
      </c>
    </row>
    <row r="650" spans="1:42" ht="45" hidden="1">
      <c r="A650" s="38" t="str">
        <f t="shared" si="83"/>
        <v>Ausgrid</v>
      </c>
      <c r="B650" s="38" t="s">
        <v>1197</v>
      </c>
      <c r="C650" s="38" t="str">
        <f t="shared" si="85"/>
        <v>Duplicate-PR3310 - Relay, Protection, Numerical, Alstom 122A - RELAYS - NUMERICAL</v>
      </c>
      <c r="D650" s="38" t="str">
        <f t="shared" si="86"/>
        <v>Duplicate-</v>
      </c>
      <c r="E650" s="413"/>
      <c r="F650" s="43" t="s">
        <v>430</v>
      </c>
      <c r="G650" s="43" t="s">
        <v>1100</v>
      </c>
      <c r="X650" s="38">
        <v>12</v>
      </c>
      <c r="Y650" s="38">
        <v>0</v>
      </c>
      <c r="AK650" s="45">
        <f t="shared" si="87"/>
        <v>0</v>
      </c>
      <c r="AL650" s="46">
        <f t="shared" si="88"/>
        <v>0</v>
      </c>
      <c r="AM650" s="46">
        <f t="shared" si="89"/>
        <v>0</v>
      </c>
      <c r="AN650" s="46"/>
      <c r="AO650" s="119" t="s">
        <v>1197</v>
      </c>
      <c r="AP650" s="38" t="str">
        <f t="shared" si="84"/>
        <v>Exclude</v>
      </c>
    </row>
    <row r="651" spans="1:42" ht="45" hidden="1">
      <c r="A651" s="38" t="str">
        <f t="shared" si="83"/>
        <v>Ausgrid</v>
      </c>
      <c r="B651" s="38" t="s">
        <v>1197</v>
      </c>
      <c r="C651" s="38" t="str">
        <f t="shared" si="85"/>
        <v>Duplicate-PR3311 - Relay, Protection, Numerical, Reyrolle ARGUS1 - RELAYS - NUMERICAL</v>
      </c>
      <c r="D651" s="38" t="str">
        <f t="shared" si="86"/>
        <v>Duplicate-</v>
      </c>
      <c r="E651" s="413"/>
      <c r="F651" s="43" t="s">
        <v>430</v>
      </c>
      <c r="G651" s="43" t="s">
        <v>1101</v>
      </c>
      <c r="X651" s="38">
        <v>12</v>
      </c>
      <c r="Y651" s="38">
        <v>0</v>
      </c>
      <c r="AK651" s="45">
        <f t="shared" si="87"/>
        <v>0</v>
      </c>
      <c r="AL651" s="46">
        <f t="shared" si="88"/>
        <v>0</v>
      </c>
      <c r="AM651" s="46">
        <f t="shared" si="89"/>
        <v>0</v>
      </c>
      <c r="AN651" s="46"/>
      <c r="AO651" s="119" t="s">
        <v>1197</v>
      </c>
      <c r="AP651" s="38" t="str">
        <f t="shared" si="84"/>
        <v>Exclude</v>
      </c>
    </row>
    <row r="652" spans="1:42" ht="60" hidden="1">
      <c r="A652" s="38" t="str">
        <f t="shared" si="83"/>
        <v>Ausgrid</v>
      </c>
      <c r="B652" s="38" t="s">
        <v>1197</v>
      </c>
      <c r="C652" s="38" t="str">
        <f t="shared" si="85"/>
        <v>Duplicate-PR3312 - Relay, Protection, Numerical, Attracted Armature, Generic - RELAYS - NUMERICAL</v>
      </c>
      <c r="D652" s="38" t="str">
        <f t="shared" si="86"/>
        <v>Duplicate-</v>
      </c>
      <c r="E652" s="413"/>
      <c r="F652" s="43" t="s">
        <v>430</v>
      </c>
      <c r="G652" s="43" t="s">
        <v>1102</v>
      </c>
      <c r="X652" s="38">
        <v>6</v>
      </c>
      <c r="Y652" s="38">
        <v>0</v>
      </c>
      <c r="AK652" s="45">
        <f t="shared" si="87"/>
        <v>0</v>
      </c>
      <c r="AL652" s="46">
        <f t="shared" si="88"/>
        <v>0</v>
      </c>
      <c r="AM652" s="46">
        <f t="shared" si="89"/>
        <v>0</v>
      </c>
      <c r="AN652" s="46"/>
      <c r="AO652" s="119" t="s">
        <v>1197</v>
      </c>
      <c r="AP652" s="38" t="str">
        <f t="shared" si="84"/>
        <v>Exclude</v>
      </c>
    </row>
    <row r="653" spans="1:42" ht="45" hidden="1">
      <c r="A653" s="38" t="str">
        <f t="shared" si="83"/>
        <v>Ausgrid</v>
      </c>
      <c r="B653" s="38" t="s">
        <v>1197</v>
      </c>
      <c r="C653" s="38" t="str">
        <f t="shared" si="85"/>
        <v>Duplicate-PR3314 - Relay, Protection, Numerical, Underfrequency - RELAYS - NUMERICAL</v>
      </c>
      <c r="D653" s="38" t="str">
        <f t="shared" si="86"/>
        <v>Duplicate-</v>
      </c>
      <c r="E653" s="413"/>
      <c r="F653" s="43" t="s">
        <v>430</v>
      </c>
      <c r="G653" s="43" t="s">
        <v>1103</v>
      </c>
      <c r="X653" s="38">
        <v>12</v>
      </c>
      <c r="Y653" s="38">
        <v>0</v>
      </c>
      <c r="AK653" s="45">
        <f t="shared" si="87"/>
        <v>0</v>
      </c>
      <c r="AL653" s="46">
        <f t="shared" si="88"/>
        <v>0</v>
      </c>
      <c r="AM653" s="46">
        <f t="shared" si="89"/>
        <v>0</v>
      </c>
      <c r="AN653" s="46"/>
      <c r="AO653" s="119" t="s">
        <v>1197</v>
      </c>
      <c r="AP653" s="38" t="str">
        <f t="shared" si="84"/>
        <v>Exclude</v>
      </c>
    </row>
    <row r="654" spans="1:42" ht="60" hidden="1">
      <c r="A654" s="38" t="str">
        <f t="shared" si="83"/>
        <v>Ausgrid</v>
      </c>
      <c r="B654" s="38" t="s">
        <v>1197</v>
      </c>
      <c r="C654" s="38" t="str">
        <f t="shared" si="85"/>
        <v>Duplicate-PR3313 - Relay, Protection, Numerical, Transformer Differential. - RELAYS - NUMERICAL</v>
      </c>
      <c r="D654" s="38" t="str">
        <f t="shared" si="86"/>
        <v>Duplicate-</v>
      </c>
      <c r="E654" s="413"/>
      <c r="F654" s="43" t="s">
        <v>430</v>
      </c>
      <c r="G654" s="43" t="s">
        <v>1104</v>
      </c>
      <c r="X654" s="38">
        <v>6</v>
      </c>
      <c r="Y654" s="38">
        <v>0</v>
      </c>
      <c r="AK654" s="45">
        <f t="shared" si="87"/>
        <v>0</v>
      </c>
      <c r="AL654" s="46">
        <f t="shared" si="88"/>
        <v>0</v>
      </c>
      <c r="AM654" s="46">
        <f t="shared" si="89"/>
        <v>0</v>
      </c>
      <c r="AN654" s="46"/>
      <c r="AO654" s="119" t="s">
        <v>1197</v>
      </c>
      <c r="AP654" s="38" t="str">
        <f t="shared" si="84"/>
        <v>Exclude</v>
      </c>
    </row>
    <row r="655" spans="1:42" ht="45" hidden="1">
      <c r="A655" s="38" t="str">
        <f t="shared" si="83"/>
        <v>Ausgrid</v>
      </c>
      <c r="B655" s="38" t="s">
        <v>1197</v>
      </c>
      <c r="C655" s="38" t="str">
        <f t="shared" si="85"/>
        <v>Duplicate-PROTECTION SYSTEMS - SUBTRANSMISSION SUBSTATIONS</v>
      </c>
      <c r="D655" s="38" t="str">
        <f t="shared" si="86"/>
        <v>Duplicate-No. of protection relays ('000s)</v>
      </c>
      <c r="E655" s="413"/>
      <c r="F655" s="43" t="s">
        <v>430</v>
      </c>
      <c r="G655" s="43" t="s">
        <v>1106</v>
      </c>
      <c r="H655" s="43" t="s">
        <v>724</v>
      </c>
      <c r="I655" s="41">
        <v>9.16</v>
      </c>
      <c r="J655" s="41">
        <v>9.17</v>
      </c>
      <c r="K655" s="41">
        <v>9.1999999999999993</v>
      </c>
      <c r="L655" s="41">
        <v>8.94</v>
      </c>
      <c r="M655" s="41">
        <v>8.92</v>
      </c>
      <c r="N655" s="41">
        <v>0</v>
      </c>
      <c r="O655" s="41">
        <v>0</v>
      </c>
      <c r="P655" s="41">
        <v>0</v>
      </c>
      <c r="Q655" s="41">
        <v>0</v>
      </c>
      <c r="R655" s="41">
        <v>0</v>
      </c>
      <c r="S655" s="41">
        <v>30.84</v>
      </c>
      <c r="T655" s="41">
        <v>31.7</v>
      </c>
      <c r="U655" s="41">
        <v>32.36</v>
      </c>
      <c r="V655" s="41">
        <v>31.98</v>
      </c>
      <c r="W655" s="41">
        <v>31.47</v>
      </c>
      <c r="X655" s="38">
        <v>0</v>
      </c>
      <c r="Y655" s="38">
        <v>0</v>
      </c>
      <c r="Z655" s="40">
        <v>0</v>
      </c>
      <c r="AA655" s="40">
        <v>0</v>
      </c>
      <c r="AB655" s="40">
        <v>0</v>
      </c>
      <c r="AC655" s="40">
        <v>0</v>
      </c>
      <c r="AD655" s="40">
        <v>0</v>
      </c>
      <c r="AE655" s="40">
        <v>6.08</v>
      </c>
      <c r="AF655" s="40">
        <v>13.07</v>
      </c>
      <c r="AG655" s="40">
        <v>32.450000000000003</v>
      </c>
      <c r="AH655" s="40">
        <v>191.25</v>
      </c>
      <c r="AI655" s="40">
        <v>20.66</v>
      </c>
      <c r="AK655" s="45">
        <f t="shared" si="87"/>
        <v>0</v>
      </c>
      <c r="AL655" s="46">
        <f t="shared" si="88"/>
        <v>0</v>
      </c>
      <c r="AM655" s="46">
        <f t="shared" si="89"/>
        <v>263.51</v>
      </c>
      <c r="AN655" s="46"/>
      <c r="AO655" s="119" t="s">
        <v>1197</v>
      </c>
      <c r="AP655" s="38" t="str">
        <f t="shared" si="84"/>
        <v>Exclude</v>
      </c>
    </row>
    <row r="656" spans="1:42" ht="60" hidden="1">
      <c r="A656" s="38" t="str">
        <f t="shared" si="83"/>
        <v>Ausgrid</v>
      </c>
      <c r="B656" s="38" t="s">
        <v>1197</v>
      </c>
      <c r="C656" s="38" t="str">
        <f t="shared" si="85"/>
        <v>Duplicate-PR3101 - Relay, Electromechanical, Timing. - RELAYS - ELECTROMECHANICAL</v>
      </c>
      <c r="D656" s="38" t="str">
        <f t="shared" si="86"/>
        <v>Duplicate-</v>
      </c>
      <c r="E656" s="413"/>
      <c r="F656" s="43" t="s">
        <v>430</v>
      </c>
      <c r="G656" s="43" t="s">
        <v>1062</v>
      </c>
      <c r="X656" s="38">
        <v>12</v>
      </c>
      <c r="Y656" s="38">
        <v>0</v>
      </c>
      <c r="AK656" s="45">
        <f t="shared" si="87"/>
        <v>0</v>
      </c>
      <c r="AL656" s="46">
        <f t="shared" si="88"/>
        <v>0</v>
      </c>
      <c r="AM656" s="46">
        <f t="shared" si="89"/>
        <v>0</v>
      </c>
      <c r="AN656" s="46"/>
      <c r="AO656" s="119" t="s">
        <v>1197</v>
      </c>
      <c r="AP656" s="38" t="str">
        <f t="shared" si="84"/>
        <v>Exclude</v>
      </c>
    </row>
    <row r="657" spans="1:42" ht="60" hidden="1">
      <c r="A657" s="38" t="str">
        <f t="shared" si="83"/>
        <v>Ausgrid</v>
      </c>
      <c r="B657" s="38" t="s">
        <v>1197</v>
      </c>
      <c r="C657" s="38" t="str">
        <f t="shared" si="85"/>
        <v>Duplicate-PR3102 - Relay, Protection, Electromechanical, Distance - RELAYS - ELECTROMECHANICAL</v>
      </c>
      <c r="D657" s="38" t="str">
        <f t="shared" si="86"/>
        <v>Duplicate-</v>
      </c>
      <c r="E657" s="413"/>
      <c r="F657" s="43" t="s">
        <v>430</v>
      </c>
      <c r="G657" s="43" t="s">
        <v>1063</v>
      </c>
      <c r="X657" s="38">
        <v>1</v>
      </c>
      <c r="Y657" s="38">
        <v>0</v>
      </c>
      <c r="AK657" s="45">
        <f t="shared" si="87"/>
        <v>0</v>
      </c>
      <c r="AL657" s="46">
        <f t="shared" si="88"/>
        <v>0</v>
      </c>
      <c r="AM657" s="46">
        <f t="shared" si="89"/>
        <v>0</v>
      </c>
      <c r="AN657" s="46"/>
      <c r="AO657" s="119" t="s">
        <v>1197</v>
      </c>
      <c r="AP657" s="38" t="str">
        <f t="shared" si="84"/>
        <v>Exclude</v>
      </c>
    </row>
    <row r="658" spans="1:42" ht="75" hidden="1">
      <c r="A658" s="38" t="str">
        <f t="shared" si="83"/>
        <v>Ausgrid</v>
      </c>
      <c r="B658" s="38" t="s">
        <v>1197</v>
      </c>
      <c r="C658" s="38" t="str">
        <f t="shared" si="85"/>
        <v>Duplicate-PR3103 - Relay, Protection, Electromechanical, Distance, Reyrolle H Type &amp; 
SELECTA-MHO - RELAYS - ELECTROMECHANICAL</v>
      </c>
      <c r="D658" s="38" t="str">
        <f t="shared" si="86"/>
        <v>Duplicate-</v>
      </c>
      <c r="E658" s="413"/>
      <c r="F658" s="43" t="s">
        <v>430</v>
      </c>
      <c r="G658" s="43" t="s">
        <v>1064</v>
      </c>
      <c r="X658" s="38">
        <v>6</v>
      </c>
      <c r="Y658" s="38">
        <v>0</v>
      </c>
      <c r="AK658" s="45">
        <f t="shared" si="87"/>
        <v>0</v>
      </c>
      <c r="AL658" s="46">
        <f t="shared" si="88"/>
        <v>0</v>
      </c>
      <c r="AM658" s="46">
        <f t="shared" si="89"/>
        <v>0</v>
      </c>
      <c r="AN658" s="46"/>
      <c r="AO658" s="119" t="s">
        <v>1197</v>
      </c>
      <c r="AP658" s="38" t="str">
        <f t="shared" si="84"/>
        <v>Exclude</v>
      </c>
    </row>
    <row r="659" spans="1:42" ht="60" hidden="1">
      <c r="A659" s="38" t="str">
        <f t="shared" si="83"/>
        <v>Ausgrid</v>
      </c>
      <c r="B659" s="38" t="s">
        <v>1197</v>
      </c>
      <c r="C659" s="38" t="str">
        <f t="shared" si="85"/>
        <v>Duplicate-PR3104 - Relay, Protection, Electromechanical, Voltage, Generic - RELAYS - ELECTROMECHANICAL</v>
      </c>
      <c r="D659" s="38" t="str">
        <f t="shared" si="86"/>
        <v>Duplicate-</v>
      </c>
      <c r="E659" s="413"/>
      <c r="F659" s="43" t="s">
        <v>430</v>
      </c>
      <c r="G659" s="43" t="s">
        <v>1065</v>
      </c>
      <c r="X659" s="38">
        <v>12</v>
      </c>
      <c r="Y659" s="38">
        <v>0</v>
      </c>
      <c r="AK659" s="45">
        <f t="shared" si="87"/>
        <v>0</v>
      </c>
      <c r="AL659" s="46">
        <f t="shared" si="88"/>
        <v>0</v>
      </c>
      <c r="AM659" s="46">
        <f t="shared" si="89"/>
        <v>0</v>
      </c>
      <c r="AN659" s="46"/>
      <c r="AO659" s="119" t="s">
        <v>1197</v>
      </c>
      <c r="AP659" s="38" t="str">
        <f t="shared" si="84"/>
        <v>Exclude</v>
      </c>
    </row>
    <row r="660" spans="1:42" ht="75" hidden="1">
      <c r="A660" s="38" t="str">
        <f t="shared" si="83"/>
        <v>Ausgrid</v>
      </c>
      <c r="B660" s="38" t="s">
        <v>1197</v>
      </c>
      <c r="C660" s="38" t="str">
        <f t="shared" si="85"/>
        <v>Duplicate-PR3105 - Relay, CVT Unbalance, Electromechanical, Generic - RELAYS - ELECTROMECHANICAL</v>
      </c>
      <c r="D660" s="38" t="str">
        <f t="shared" si="86"/>
        <v>Duplicate-</v>
      </c>
      <c r="E660" s="413"/>
      <c r="F660" s="43" t="s">
        <v>430</v>
      </c>
      <c r="G660" s="43" t="s">
        <v>1066</v>
      </c>
      <c r="X660" s="38">
        <v>12</v>
      </c>
      <c r="Y660" s="38">
        <v>0</v>
      </c>
      <c r="AK660" s="45">
        <f t="shared" si="87"/>
        <v>0</v>
      </c>
      <c r="AL660" s="46">
        <f t="shared" si="88"/>
        <v>0</v>
      </c>
      <c r="AM660" s="46">
        <f t="shared" si="89"/>
        <v>0</v>
      </c>
      <c r="AN660" s="46"/>
      <c r="AO660" s="119" t="s">
        <v>1197</v>
      </c>
      <c r="AP660" s="38" t="str">
        <f t="shared" si="84"/>
        <v>Exclude</v>
      </c>
    </row>
    <row r="661" spans="1:42" ht="75" hidden="1">
      <c r="A661" s="38" t="str">
        <f t="shared" si="83"/>
        <v>Ausgrid</v>
      </c>
      <c r="B661" s="38" t="s">
        <v>1197</v>
      </c>
      <c r="C661" s="38" t="str">
        <f t="shared" si="85"/>
        <v>Duplicate-PR3106 - Relay, Protection, Electromechanical, Attracted Armature, Generic - RELAYS - ELECTROMECHANICAL</v>
      </c>
      <c r="D661" s="38" t="str">
        <f t="shared" si="86"/>
        <v>Duplicate-</v>
      </c>
      <c r="E661" s="413"/>
      <c r="F661" s="43" t="s">
        <v>430</v>
      </c>
      <c r="G661" s="43" t="s">
        <v>1067</v>
      </c>
      <c r="X661" s="38">
        <v>6</v>
      </c>
      <c r="Y661" s="38">
        <v>0</v>
      </c>
      <c r="AK661" s="45">
        <f t="shared" si="87"/>
        <v>0</v>
      </c>
      <c r="AL661" s="46">
        <f t="shared" si="88"/>
        <v>0</v>
      </c>
      <c r="AM661" s="46">
        <f t="shared" si="89"/>
        <v>0</v>
      </c>
      <c r="AN661" s="46"/>
      <c r="AO661" s="119" t="s">
        <v>1197</v>
      </c>
      <c r="AP661" s="38" t="str">
        <f t="shared" si="84"/>
        <v>Exclude</v>
      </c>
    </row>
    <row r="662" spans="1:42" ht="75" hidden="1">
      <c r="A662" s="38" t="str">
        <f t="shared" si="83"/>
        <v>Ausgrid</v>
      </c>
      <c r="B662" s="38" t="s">
        <v>1197</v>
      </c>
      <c r="C662" s="38" t="str">
        <f t="shared" si="85"/>
        <v>Duplicate-PR3106 - Relay, Protection, Electromechanical, Attracted Armature, Generic - RELAYS - ELECTROMECHANICAL</v>
      </c>
      <c r="D662" s="38" t="str">
        <f t="shared" si="86"/>
        <v>Duplicate-</v>
      </c>
      <c r="E662" s="413"/>
      <c r="F662" s="43" t="s">
        <v>430</v>
      </c>
      <c r="G662" s="43" t="s">
        <v>1067</v>
      </c>
      <c r="X662" s="38">
        <v>3</v>
      </c>
      <c r="Y662" s="38">
        <v>0</v>
      </c>
      <c r="AK662" s="45">
        <f t="shared" si="87"/>
        <v>0</v>
      </c>
      <c r="AL662" s="46">
        <f t="shared" si="88"/>
        <v>0</v>
      </c>
      <c r="AM662" s="46">
        <f t="shared" si="89"/>
        <v>0</v>
      </c>
      <c r="AN662" s="46"/>
      <c r="AO662" s="119" t="s">
        <v>1197</v>
      </c>
      <c r="AP662" s="38" t="str">
        <f t="shared" si="84"/>
        <v>Exclude</v>
      </c>
    </row>
    <row r="663" spans="1:42" ht="75" hidden="1">
      <c r="A663" s="38" t="str">
        <f t="shared" si="83"/>
        <v>Ausgrid</v>
      </c>
      <c r="B663" s="38" t="s">
        <v>1197</v>
      </c>
      <c r="C663" s="38" t="str">
        <f t="shared" si="85"/>
        <v>Duplicate-PR3107 - Relay, Protection, Electromechanical, Attracted Armature, CM Series - RELAYS - ELECTROMECHANICAL</v>
      </c>
      <c r="D663" s="38" t="str">
        <f t="shared" si="86"/>
        <v>Duplicate-</v>
      </c>
      <c r="E663" s="413"/>
      <c r="F663" s="43" t="s">
        <v>430</v>
      </c>
      <c r="G663" s="43" t="s">
        <v>1068</v>
      </c>
      <c r="X663" s="38">
        <v>6</v>
      </c>
      <c r="Y663" s="38">
        <v>0</v>
      </c>
      <c r="AK663" s="45">
        <f t="shared" si="87"/>
        <v>0</v>
      </c>
      <c r="AL663" s="46">
        <f t="shared" si="88"/>
        <v>0</v>
      </c>
      <c r="AM663" s="46">
        <f t="shared" si="89"/>
        <v>0</v>
      </c>
      <c r="AN663" s="46"/>
      <c r="AO663" s="119" t="s">
        <v>1197</v>
      </c>
      <c r="AP663" s="38" t="str">
        <f t="shared" si="84"/>
        <v>Exclude</v>
      </c>
    </row>
    <row r="664" spans="1:42" ht="60" hidden="1">
      <c r="A664" s="38" t="str">
        <f t="shared" si="83"/>
        <v>Ausgrid</v>
      </c>
      <c r="B664" s="38" t="s">
        <v>1197</v>
      </c>
      <c r="C664" s="38" t="str">
        <f t="shared" si="85"/>
        <v>Duplicate-PR3108 - Relay, Protection, Electromechanical, IDMT - RELAYS - ELECTROMECHANICAL</v>
      </c>
      <c r="D664" s="38" t="str">
        <f t="shared" si="86"/>
        <v>Duplicate-</v>
      </c>
      <c r="E664" s="413"/>
      <c r="F664" s="43" t="s">
        <v>430</v>
      </c>
      <c r="G664" s="43" t="s">
        <v>1069</v>
      </c>
      <c r="X664" s="38">
        <v>2</v>
      </c>
      <c r="Y664" s="38">
        <v>0</v>
      </c>
      <c r="AK664" s="45">
        <f t="shared" si="87"/>
        <v>0</v>
      </c>
      <c r="AL664" s="46">
        <f t="shared" si="88"/>
        <v>0</v>
      </c>
      <c r="AM664" s="46">
        <f t="shared" si="89"/>
        <v>0</v>
      </c>
      <c r="AN664" s="46"/>
      <c r="AO664" s="119" t="s">
        <v>1197</v>
      </c>
      <c r="AP664" s="38" t="str">
        <f t="shared" si="84"/>
        <v>Exclude</v>
      </c>
    </row>
    <row r="665" spans="1:42" ht="60" hidden="1">
      <c r="A665" s="38" t="str">
        <f t="shared" si="83"/>
        <v>Ausgrid</v>
      </c>
      <c r="B665" s="38" t="s">
        <v>1197</v>
      </c>
      <c r="C665" s="38" t="str">
        <f t="shared" si="85"/>
        <v>Duplicate-PR3109 - Relay, Protection, Electromechanical, IDMT - RELAYS - ELECTROMECHANICAL</v>
      </c>
      <c r="D665" s="38" t="str">
        <f t="shared" si="86"/>
        <v>Duplicate-</v>
      </c>
      <c r="E665" s="413"/>
      <c r="F665" s="43" t="s">
        <v>430</v>
      </c>
      <c r="G665" s="43" t="s">
        <v>1070</v>
      </c>
      <c r="X665" s="38">
        <v>6</v>
      </c>
      <c r="Y665" s="38">
        <v>0</v>
      </c>
      <c r="AK665" s="45">
        <f t="shared" si="87"/>
        <v>0</v>
      </c>
      <c r="AL665" s="46">
        <f t="shared" si="88"/>
        <v>0</v>
      </c>
      <c r="AM665" s="46">
        <f t="shared" si="89"/>
        <v>0</v>
      </c>
      <c r="AN665" s="46"/>
      <c r="AO665" s="119" t="s">
        <v>1197</v>
      </c>
      <c r="AP665" s="38" t="str">
        <f t="shared" si="84"/>
        <v>Exclude</v>
      </c>
    </row>
    <row r="666" spans="1:42" ht="60" hidden="1">
      <c r="A666" s="38" t="str">
        <f t="shared" si="83"/>
        <v>Ausgrid</v>
      </c>
      <c r="B666" s="38" t="s">
        <v>1197</v>
      </c>
      <c r="C666" s="38" t="str">
        <f t="shared" si="85"/>
        <v>Duplicate-PR3108 - Relay, Protection, Electromechanical, IDMT - RELAYS - ELECTROMECHANICAL</v>
      </c>
      <c r="D666" s="38" t="str">
        <f t="shared" si="86"/>
        <v>Duplicate-</v>
      </c>
      <c r="E666" s="413"/>
      <c r="F666" s="43" t="s">
        <v>430</v>
      </c>
      <c r="G666" s="43" t="s">
        <v>1069</v>
      </c>
      <c r="X666" s="38">
        <v>1</v>
      </c>
      <c r="Y666" s="38">
        <v>0</v>
      </c>
      <c r="AK666" s="45">
        <f t="shared" si="87"/>
        <v>0</v>
      </c>
      <c r="AL666" s="46">
        <f t="shared" si="88"/>
        <v>0</v>
      </c>
      <c r="AM666" s="46">
        <f t="shared" si="89"/>
        <v>0</v>
      </c>
      <c r="AN666" s="46"/>
      <c r="AO666" s="119" t="s">
        <v>1197</v>
      </c>
      <c r="AP666" s="38" t="str">
        <f t="shared" si="84"/>
        <v>Exclude</v>
      </c>
    </row>
    <row r="667" spans="1:42" ht="60" hidden="1">
      <c r="A667" s="38" t="str">
        <f t="shared" si="83"/>
        <v>Ausgrid</v>
      </c>
      <c r="B667" s="38" t="s">
        <v>1197</v>
      </c>
      <c r="C667" s="38" t="str">
        <f t="shared" si="85"/>
        <v>Duplicate-PR3110 - Relay, Protection, Electromechanical, Pilot wire, Generic - RELAYS - ELECTROMECHANICAL</v>
      </c>
      <c r="D667" s="38" t="str">
        <f t="shared" si="86"/>
        <v>Duplicate-</v>
      </c>
      <c r="E667" s="413"/>
      <c r="F667" s="43" t="s">
        <v>430</v>
      </c>
      <c r="G667" s="43" t="s">
        <v>1071</v>
      </c>
      <c r="X667" s="38">
        <v>2</v>
      </c>
      <c r="Y667" s="38">
        <v>0</v>
      </c>
      <c r="AK667" s="45">
        <f t="shared" si="87"/>
        <v>0</v>
      </c>
      <c r="AL667" s="46">
        <f t="shared" si="88"/>
        <v>0</v>
      </c>
      <c r="AM667" s="46">
        <f t="shared" si="89"/>
        <v>0</v>
      </c>
      <c r="AN667" s="46"/>
      <c r="AO667" s="119" t="s">
        <v>1197</v>
      </c>
      <c r="AP667" s="38" t="str">
        <f t="shared" si="84"/>
        <v>Exclude</v>
      </c>
    </row>
    <row r="668" spans="1:42" ht="60" hidden="1">
      <c r="A668" s="38" t="str">
        <f t="shared" si="83"/>
        <v>Ausgrid</v>
      </c>
      <c r="B668" s="38" t="s">
        <v>1197</v>
      </c>
      <c r="C668" s="38" t="str">
        <f t="shared" si="85"/>
        <v>Duplicate-PR3111 - Relay, Protection, Electromechanical, Pilot wire - RELAYS - ELECTROMECHANICAL</v>
      </c>
      <c r="D668" s="38" t="str">
        <f t="shared" si="86"/>
        <v>Duplicate-</v>
      </c>
      <c r="E668" s="413"/>
      <c r="F668" s="43" t="s">
        <v>430</v>
      </c>
      <c r="G668" s="43" t="s">
        <v>1072</v>
      </c>
      <c r="X668" s="38">
        <v>6</v>
      </c>
      <c r="Y668" s="38">
        <v>0</v>
      </c>
      <c r="AK668" s="45">
        <f t="shared" si="87"/>
        <v>0</v>
      </c>
      <c r="AL668" s="46">
        <f t="shared" si="88"/>
        <v>0</v>
      </c>
      <c r="AM668" s="46">
        <f t="shared" si="89"/>
        <v>0</v>
      </c>
      <c r="AN668" s="46"/>
      <c r="AO668" s="119" t="s">
        <v>1197</v>
      </c>
      <c r="AP668" s="38" t="str">
        <f t="shared" si="84"/>
        <v>Exclude</v>
      </c>
    </row>
    <row r="669" spans="1:42" ht="60" hidden="1">
      <c r="A669" s="38" t="str">
        <f t="shared" si="83"/>
        <v>Ausgrid</v>
      </c>
      <c r="B669" s="38" t="s">
        <v>1197</v>
      </c>
      <c r="C669" s="38" t="str">
        <f t="shared" si="85"/>
        <v>Duplicate-PR3112 - Relay, Protection, Electromechanical, Busbar type FAC &amp; FV2 - RELAYS - ELECTROMECHANICAL</v>
      </c>
      <c r="D669" s="38" t="str">
        <f t="shared" si="86"/>
        <v>Duplicate-</v>
      </c>
      <c r="E669" s="413"/>
      <c r="F669" s="43" t="s">
        <v>430</v>
      </c>
      <c r="G669" s="43" t="s">
        <v>1073</v>
      </c>
      <c r="X669" s="38">
        <v>12</v>
      </c>
      <c r="Y669" s="38">
        <v>0</v>
      </c>
      <c r="AK669" s="45">
        <f t="shared" si="87"/>
        <v>0</v>
      </c>
      <c r="AL669" s="46">
        <f t="shared" si="88"/>
        <v>0</v>
      </c>
      <c r="AM669" s="46">
        <f t="shared" si="89"/>
        <v>0</v>
      </c>
      <c r="AN669" s="46"/>
      <c r="AO669" s="119" t="s">
        <v>1197</v>
      </c>
      <c r="AP669" s="38" t="str">
        <f t="shared" si="84"/>
        <v>Exclude</v>
      </c>
    </row>
    <row r="670" spans="1:42" ht="60" hidden="1">
      <c r="A670" s="38" t="str">
        <f t="shared" si="83"/>
        <v>Ausgrid</v>
      </c>
      <c r="B670" s="38" t="s">
        <v>1197</v>
      </c>
      <c r="C670" s="38" t="str">
        <f t="shared" si="85"/>
        <v>Duplicate-PR3112 - Relay, Protection, Electromechanical, Busbar type FAC &amp; FV2 - RELAYS - ELECTROMECHANICAL</v>
      </c>
      <c r="D670" s="38" t="str">
        <f t="shared" si="86"/>
        <v>Duplicate-</v>
      </c>
      <c r="E670" s="413"/>
      <c r="F670" s="43" t="s">
        <v>430</v>
      </c>
      <c r="G670" s="43" t="s">
        <v>1073</v>
      </c>
      <c r="X670" s="38">
        <v>6</v>
      </c>
      <c r="Y670" s="38">
        <v>0</v>
      </c>
      <c r="AK670" s="45">
        <f t="shared" si="87"/>
        <v>0</v>
      </c>
      <c r="AL670" s="46">
        <f t="shared" si="88"/>
        <v>0</v>
      </c>
      <c r="AM670" s="46">
        <f t="shared" si="89"/>
        <v>0</v>
      </c>
      <c r="AN670" s="46"/>
      <c r="AO670" s="119" t="s">
        <v>1197</v>
      </c>
      <c r="AP670" s="38" t="str">
        <f t="shared" si="84"/>
        <v>Exclude</v>
      </c>
    </row>
    <row r="671" spans="1:42" ht="60" hidden="1">
      <c r="A671" s="38" t="str">
        <f t="shared" si="83"/>
        <v>Ausgrid</v>
      </c>
      <c r="B671" s="38" t="s">
        <v>1197</v>
      </c>
      <c r="C671" s="38" t="str">
        <f t="shared" si="85"/>
        <v>Duplicate-PR3116 - Relay, Protection, Electromechanical, Multi-trip - RELAYS - ELECTROMECHANICAL</v>
      </c>
      <c r="D671" s="38" t="str">
        <f t="shared" si="86"/>
        <v>Duplicate-</v>
      </c>
      <c r="E671" s="413"/>
      <c r="F671" s="43" t="s">
        <v>430</v>
      </c>
      <c r="G671" s="43" t="s">
        <v>1074</v>
      </c>
      <c r="X671" s="38">
        <v>12</v>
      </c>
      <c r="Y671" s="38">
        <v>0</v>
      </c>
      <c r="AK671" s="45">
        <f t="shared" si="87"/>
        <v>0</v>
      </c>
      <c r="AL671" s="46">
        <f t="shared" si="88"/>
        <v>0</v>
      </c>
      <c r="AM671" s="46">
        <f t="shared" si="89"/>
        <v>0</v>
      </c>
      <c r="AN671" s="46"/>
      <c r="AO671" s="119" t="s">
        <v>1197</v>
      </c>
      <c r="AP671" s="38" t="str">
        <f t="shared" si="84"/>
        <v>Exclude</v>
      </c>
    </row>
    <row r="672" spans="1:42" ht="60" hidden="1">
      <c r="A672" s="38" t="str">
        <f t="shared" si="83"/>
        <v>Ausgrid</v>
      </c>
      <c r="B672" s="38" t="s">
        <v>1197</v>
      </c>
      <c r="C672" s="38" t="str">
        <f t="shared" si="85"/>
        <v>Duplicate-PR3113 - Relay, Protection, Electromechanical, Auto-closing, Generic - RELAYS - ELECTROMECHANICAL</v>
      </c>
      <c r="D672" s="38" t="str">
        <f t="shared" si="86"/>
        <v>Duplicate-</v>
      </c>
      <c r="E672" s="413"/>
      <c r="F672" s="43" t="s">
        <v>430</v>
      </c>
      <c r="G672" s="43" t="s">
        <v>1075</v>
      </c>
      <c r="X672" s="38">
        <v>12</v>
      </c>
      <c r="Y672" s="38">
        <v>0</v>
      </c>
      <c r="AK672" s="45">
        <f t="shared" si="87"/>
        <v>0</v>
      </c>
      <c r="AL672" s="46">
        <f t="shared" si="88"/>
        <v>0</v>
      </c>
      <c r="AM672" s="46">
        <f t="shared" si="89"/>
        <v>0</v>
      </c>
      <c r="AN672" s="46"/>
      <c r="AO672" s="119" t="s">
        <v>1197</v>
      </c>
      <c r="AP672" s="38" t="str">
        <f t="shared" si="84"/>
        <v>Exclude</v>
      </c>
    </row>
    <row r="673" spans="1:42" ht="60" hidden="1">
      <c r="A673" s="38" t="str">
        <f t="shared" si="83"/>
        <v>Ausgrid</v>
      </c>
      <c r="B673" s="38" t="s">
        <v>1197</v>
      </c>
      <c r="C673" s="38" t="str">
        <f t="shared" si="85"/>
        <v>Duplicate-PR3114 - Relay, Electromechanical, Buchholz - RELAYS - ELECTROMECHANICAL</v>
      </c>
      <c r="D673" s="38" t="str">
        <f t="shared" si="86"/>
        <v>Duplicate-</v>
      </c>
      <c r="E673" s="413"/>
      <c r="F673" s="43" t="s">
        <v>430</v>
      </c>
      <c r="G673" s="43" t="s">
        <v>1076</v>
      </c>
      <c r="X673" s="38">
        <v>6</v>
      </c>
      <c r="Y673" s="38">
        <v>0</v>
      </c>
      <c r="AK673" s="45">
        <f t="shared" si="87"/>
        <v>0</v>
      </c>
      <c r="AL673" s="46">
        <f t="shared" si="88"/>
        <v>0</v>
      </c>
      <c r="AM673" s="46">
        <f t="shared" si="89"/>
        <v>0</v>
      </c>
      <c r="AN673" s="46"/>
      <c r="AO673" s="119" t="s">
        <v>1197</v>
      </c>
      <c r="AP673" s="38" t="str">
        <f t="shared" si="84"/>
        <v>Exclude</v>
      </c>
    </row>
    <row r="674" spans="1:42" ht="60" hidden="1">
      <c r="A674" s="38" t="str">
        <f t="shared" si="83"/>
        <v>Ausgrid</v>
      </c>
      <c r="B674" s="38" t="s">
        <v>1197</v>
      </c>
      <c r="C674" s="38" t="str">
        <f t="shared" si="85"/>
        <v>Duplicate-PR3115 - Relay, Protection, Electromechanical, Underfrequency - RELAYS - ELECTROMECHANICAL</v>
      </c>
      <c r="D674" s="38" t="str">
        <f t="shared" si="86"/>
        <v>Duplicate-</v>
      </c>
      <c r="E674" s="413"/>
      <c r="F674" s="43" t="s">
        <v>430</v>
      </c>
      <c r="G674" s="43" t="s">
        <v>1077</v>
      </c>
      <c r="X674" s="38">
        <v>12</v>
      </c>
      <c r="Y674" s="38">
        <v>0</v>
      </c>
      <c r="AK674" s="45">
        <f t="shared" si="87"/>
        <v>0</v>
      </c>
      <c r="AL674" s="46">
        <f t="shared" si="88"/>
        <v>0</v>
      </c>
      <c r="AM674" s="46">
        <f t="shared" si="89"/>
        <v>0</v>
      </c>
      <c r="AN674" s="46"/>
      <c r="AO674" s="119" t="s">
        <v>1197</v>
      </c>
      <c r="AP674" s="38" t="str">
        <f t="shared" si="84"/>
        <v>Exclude</v>
      </c>
    </row>
    <row r="675" spans="1:42" ht="75" hidden="1">
      <c r="A675" s="38" t="str">
        <f t="shared" si="83"/>
        <v>Ausgrid</v>
      </c>
      <c r="B675" s="38" t="s">
        <v>1197</v>
      </c>
      <c r="C675" s="38" t="str">
        <f t="shared" si="85"/>
        <v>Duplicate-PR3117 - Relay, Protection, Electromechanical, Transformer Differential. - RELAYS - ELECTROMECHANICAL</v>
      </c>
      <c r="D675" s="38" t="str">
        <f t="shared" si="86"/>
        <v>Duplicate-</v>
      </c>
      <c r="E675" s="413"/>
      <c r="F675" s="43" t="s">
        <v>430</v>
      </c>
      <c r="G675" s="43" t="s">
        <v>1078</v>
      </c>
      <c r="X675" s="38">
        <v>6</v>
      </c>
      <c r="Y675" s="38">
        <v>0</v>
      </c>
      <c r="AK675" s="45">
        <f t="shared" si="87"/>
        <v>0</v>
      </c>
      <c r="AL675" s="46">
        <f t="shared" si="88"/>
        <v>0</v>
      </c>
      <c r="AM675" s="46">
        <f t="shared" si="89"/>
        <v>0</v>
      </c>
      <c r="AN675" s="46"/>
      <c r="AO675" s="119" t="s">
        <v>1197</v>
      </c>
      <c r="AP675" s="38" t="str">
        <f t="shared" si="84"/>
        <v>Exclude</v>
      </c>
    </row>
    <row r="676" spans="1:42" ht="60" hidden="1">
      <c r="A676" s="38" t="str">
        <f t="shared" si="83"/>
        <v>Ausgrid</v>
      </c>
      <c r="B676" s="38" t="s">
        <v>1197</v>
      </c>
      <c r="C676" s="38" t="str">
        <f t="shared" si="85"/>
        <v>Duplicate-PR3118 - Relay, Protection, Electromechanical, Network Protector Relay - RELAYS - ELECTROMECHANICAL</v>
      </c>
      <c r="D676" s="38" t="str">
        <f t="shared" si="86"/>
        <v>Duplicate-</v>
      </c>
      <c r="E676" s="413"/>
      <c r="F676" s="43" t="s">
        <v>430</v>
      </c>
      <c r="G676" s="43" t="s">
        <v>1079</v>
      </c>
      <c r="X676" s="38">
        <v>3</v>
      </c>
      <c r="Y676" s="38">
        <v>0</v>
      </c>
      <c r="AK676" s="45">
        <f t="shared" si="87"/>
        <v>0</v>
      </c>
      <c r="AL676" s="46">
        <f t="shared" si="88"/>
        <v>0</v>
      </c>
      <c r="AM676" s="46">
        <f t="shared" si="89"/>
        <v>0</v>
      </c>
      <c r="AN676" s="46"/>
      <c r="AO676" s="119" t="s">
        <v>1197</v>
      </c>
      <c r="AP676" s="38" t="str">
        <f t="shared" si="84"/>
        <v>Exclude</v>
      </c>
    </row>
    <row r="677" spans="1:42" ht="45" hidden="1">
      <c r="A677" s="38" t="str">
        <f t="shared" si="83"/>
        <v>Ausgrid</v>
      </c>
      <c r="B677" s="38" t="s">
        <v>1197</v>
      </c>
      <c r="C677" s="38" t="str">
        <f t="shared" si="85"/>
        <v>Duplicate-PR3209 - Relay, Electronic, Timing - RELAYS - ELECTRONIC</v>
      </c>
      <c r="D677" s="38" t="str">
        <f t="shared" si="86"/>
        <v>Duplicate-</v>
      </c>
      <c r="E677" s="413"/>
      <c r="F677" s="43" t="s">
        <v>430</v>
      </c>
      <c r="G677" s="43" t="s">
        <v>1080</v>
      </c>
      <c r="X677" s="38">
        <v>12</v>
      </c>
      <c r="Y677" s="38">
        <v>0</v>
      </c>
      <c r="AK677" s="45">
        <f t="shared" si="87"/>
        <v>0</v>
      </c>
      <c r="AL677" s="46">
        <f t="shared" si="88"/>
        <v>0</v>
      </c>
      <c r="AM677" s="46">
        <f t="shared" si="89"/>
        <v>0</v>
      </c>
      <c r="AN677" s="46"/>
      <c r="AO677" s="119" t="s">
        <v>1197</v>
      </c>
      <c r="AP677" s="38" t="str">
        <f t="shared" si="84"/>
        <v>Exclude</v>
      </c>
    </row>
    <row r="678" spans="1:42" ht="45" hidden="1">
      <c r="A678" s="38" t="str">
        <f t="shared" si="83"/>
        <v>Ausgrid</v>
      </c>
      <c r="B678" s="38" t="s">
        <v>1197</v>
      </c>
      <c r="C678" s="38" t="str">
        <f t="shared" si="85"/>
        <v>Duplicate-PR3202 - Relay, Protection, Electronic, Distance - RELAYS - ELECTRONIC</v>
      </c>
      <c r="D678" s="38" t="str">
        <f t="shared" si="86"/>
        <v>Duplicate-</v>
      </c>
      <c r="E678" s="413"/>
      <c r="F678" s="43" t="s">
        <v>430</v>
      </c>
      <c r="G678" s="43" t="s">
        <v>1081</v>
      </c>
      <c r="X678" s="38">
        <v>1</v>
      </c>
      <c r="Y678" s="38">
        <v>0</v>
      </c>
      <c r="AK678" s="45">
        <f t="shared" si="87"/>
        <v>0</v>
      </c>
      <c r="AL678" s="46">
        <f t="shared" si="88"/>
        <v>0</v>
      </c>
      <c r="AM678" s="46">
        <f t="shared" si="89"/>
        <v>0</v>
      </c>
      <c r="AN678" s="46"/>
      <c r="AO678" s="119" t="s">
        <v>1197</v>
      </c>
      <c r="AP678" s="38" t="str">
        <f t="shared" si="84"/>
        <v>Exclude</v>
      </c>
    </row>
    <row r="679" spans="1:42" ht="60" hidden="1">
      <c r="A679" s="38" t="str">
        <f t="shared" si="83"/>
        <v>Ausgrid</v>
      </c>
      <c r="B679" s="38" t="s">
        <v>1197</v>
      </c>
      <c r="C679" s="38" t="str">
        <f t="shared" si="85"/>
        <v>Duplicate-PR3204 - Relay, Protection, Electronic, Distance Protection, Alstom YTG - RELAYS - ELECTRONIC</v>
      </c>
      <c r="D679" s="38" t="str">
        <f t="shared" si="86"/>
        <v>Duplicate-</v>
      </c>
      <c r="E679" s="413"/>
      <c r="F679" s="43" t="s">
        <v>430</v>
      </c>
      <c r="G679" s="43" t="s">
        <v>1082</v>
      </c>
      <c r="X679" s="38">
        <v>6</v>
      </c>
      <c r="Y679" s="38">
        <v>0</v>
      </c>
      <c r="AK679" s="45">
        <f t="shared" si="87"/>
        <v>0</v>
      </c>
      <c r="AL679" s="46">
        <f t="shared" si="88"/>
        <v>0</v>
      </c>
      <c r="AM679" s="46">
        <f t="shared" si="89"/>
        <v>0</v>
      </c>
      <c r="AN679" s="46"/>
      <c r="AO679" s="119" t="s">
        <v>1197</v>
      </c>
      <c r="AP679" s="38" t="str">
        <f t="shared" si="84"/>
        <v>Exclude</v>
      </c>
    </row>
    <row r="680" spans="1:42" ht="75" hidden="1">
      <c r="A680" s="38" t="str">
        <f t="shared" si="83"/>
        <v>Ausgrid</v>
      </c>
      <c r="B680" s="38" t="s">
        <v>1197</v>
      </c>
      <c r="C680" s="38" t="str">
        <f t="shared" si="85"/>
        <v>Duplicate-PR3203 - Relay, Protection, Electronic, Distance Protection, Type THS,TH1A and THR - RELAYS - ELECTRONIC</v>
      </c>
      <c r="D680" s="38" t="str">
        <f t="shared" si="86"/>
        <v>Duplicate-</v>
      </c>
      <c r="E680" s="413"/>
      <c r="F680" s="43" t="s">
        <v>430</v>
      </c>
      <c r="G680" s="43" t="s">
        <v>1083</v>
      </c>
      <c r="X680" s="38">
        <v>6</v>
      </c>
      <c r="Y680" s="38">
        <v>0</v>
      </c>
      <c r="AK680" s="45">
        <f t="shared" si="87"/>
        <v>0</v>
      </c>
      <c r="AL680" s="46">
        <f t="shared" si="88"/>
        <v>0</v>
      </c>
      <c r="AM680" s="46">
        <f t="shared" si="89"/>
        <v>0</v>
      </c>
      <c r="AN680" s="46"/>
      <c r="AO680" s="119" t="s">
        <v>1197</v>
      </c>
      <c r="AP680" s="38" t="str">
        <f t="shared" si="84"/>
        <v>Exclude</v>
      </c>
    </row>
    <row r="681" spans="1:42" ht="45" hidden="1">
      <c r="A681" s="38" t="str">
        <f t="shared" si="83"/>
        <v>Ausgrid</v>
      </c>
      <c r="B681" s="38" t="s">
        <v>1197</v>
      </c>
      <c r="C681" s="38" t="str">
        <f t="shared" si="85"/>
        <v>Duplicate-PR3202 - Relay, Protection, Electronic, Distance - RELAYS - ELECTRONIC</v>
      </c>
      <c r="D681" s="38" t="str">
        <f t="shared" si="86"/>
        <v>Duplicate-</v>
      </c>
      <c r="E681" s="413"/>
      <c r="F681" s="43" t="s">
        <v>430</v>
      </c>
      <c r="G681" s="43" t="s">
        <v>1081</v>
      </c>
      <c r="X681" s="38">
        <v>2</v>
      </c>
      <c r="Y681" s="38">
        <v>0</v>
      </c>
      <c r="AK681" s="45">
        <f t="shared" si="87"/>
        <v>0</v>
      </c>
      <c r="AL681" s="46">
        <f t="shared" si="88"/>
        <v>0</v>
      </c>
      <c r="AM681" s="46">
        <f t="shared" si="89"/>
        <v>0</v>
      </c>
      <c r="AN681" s="46"/>
      <c r="AO681" s="119" t="s">
        <v>1197</v>
      </c>
      <c r="AP681" s="38" t="str">
        <f t="shared" si="84"/>
        <v>Exclude</v>
      </c>
    </row>
    <row r="682" spans="1:42" ht="45" hidden="1">
      <c r="A682" s="38" t="str">
        <f t="shared" si="83"/>
        <v>Ausgrid</v>
      </c>
      <c r="B682" s="38" t="s">
        <v>1197</v>
      </c>
      <c r="C682" s="38" t="str">
        <f t="shared" si="85"/>
        <v>Duplicate-PR3205 - Relay, Protection, Electronic, Distance - RELAYS - ELECTRONIC</v>
      </c>
      <c r="D682" s="38" t="str">
        <f t="shared" si="86"/>
        <v>Duplicate-</v>
      </c>
      <c r="E682" s="413"/>
      <c r="F682" s="43" t="s">
        <v>430</v>
      </c>
      <c r="G682" s="43" t="s">
        <v>1084</v>
      </c>
      <c r="X682" s="38">
        <v>3</v>
      </c>
      <c r="Y682" s="38">
        <v>0</v>
      </c>
      <c r="AK682" s="45">
        <f t="shared" si="87"/>
        <v>0</v>
      </c>
      <c r="AL682" s="46">
        <f t="shared" si="88"/>
        <v>0</v>
      </c>
      <c r="AM682" s="46">
        <f t="shared" si="89"/>
        <v>0</v>
      </c>
      <c r="AN682" s="46"/>
      <c r="AO682" s="119" t="s">
        <v>1197</v>
      </c>
      <c r="AP682" s="38" t="str">
        <f t="shared" si="84"/>
        <v>Exclude</v>
      </c>
    </row>
    <row r="683" spans="1:42" ht="45" hidden="1">
      <c r="A683" s="38" t="str">
        <f t="shared" si="83"/>
        <v>Ausgrid</v>
      </c>
      <c r="B683" s="38" t="s">
        <v>1197</v>
      </c>
      <c r="C683" s="38" t="str">
        <f t="shared" si="85"/>
        <v>Duplicate-PR3206 - Relay, Protection, Electronic, Distance - RELAYS - ELECTRONIC</v>
      </c>
      <c r="D683" s="38" t="str">
        <f t="shared" si="86"/>
        <v>Duplicate-</v>
      </c>
      <c r="E683" s="413"/>
      <c r="F683" s="43" t="s">
        <v>430</v>
      </c>
      <c r="G683" s="43" t="s">
        <v>1085</v>
      </c>
      <c r="X683" s="38">
        <v>12</v>
      </c>
      <c r="Y683" s="38">
        <v>0</v>
      </c>
      <c r="AK683" s="45">
        <f t="shared" si="87"/>
        <v>0</v>
      </c>
      <c r="AL683" s="46">
        <f t="shared" si="88"/>
        <v>0</v>
      </c>
      <c r="AM683" s="46">
        <f t="shared" si="89"/>
        <v>0</v>
      </c>
      <c r="AN683" s="46"/>
      <c r="AO683" s="119" t="s">
        <v>1197</v>
      </c>
      <c r="AP683" s="38" t="str">
        <f t="shared" si="84"/>
        <v>Exclude</v>
      </c>
    </row>
    <row r="684" spans="1:42" ht="45" hidden="1">
      <c r="A684" s="38" t="str">
        <f t="shared" si="83"/>
        <v>Ausgrid</v>
      </c>
      <c r="B684" s="38" t="s">
        <v>1197</v>
      </c>
      <c r="C684" s="38" t="str">
        <f t="shared" si="85"/>
        <v>Duplicate-PR3212 - Relay, Protection, Electronic, Voltage, Generic - RELAYS - ELECTRONIC</v>
      </c>
      <c r="D684" s="38" t="str">
        <f t="shared" si="86"/>
        <v>Duplicate-</v>
      </c>
      <c r="E684" s="413"/>
      <c r="F684" s="43" t="s">
        <v>430</v>
      </c>
      <c r="G684" s="43" t="s">
        <v>1086</v>
      </c>
      <c r="X684" s="38">
        <v>12</v>
      </c>
      <c r="Y684" s="38">
        <v>0</v>
      </c>
      <c r="AK684" s="45">
        <f t="shared" si="87"/>
        <v>0</v>
      </c>
      <c r="AL684" s="46">
        <f t="shared" si="88"/>
        <v>0</v>
      </c>
      <c r="AM684" s="46">
        <f t="shared" si="89"/>
        <v>0</v>
      </c>
      <c r="AN684" s="46"/>
      <c r="AO684" s="119" t="s">
        <v>1197</v>
      </c>
      <c r="AP684" s="38" t="str">
        <f t="shared" si="84"/>
        <v>Exclude</v>
      </c>
    </row>
    <row r="685" spans="1:42" ht="60" hidden="1">
      <c r="A685" s="38" t="str">
        <f t="shared" si="83"/>
        <v>Ausgrid</v>
      </c>
      <c r="B685" s="38" t="s">
        <v>1197</v>
      </c>
      <c r="C685" s="38" t="str">
        <f t="shared" si="85"/>
        <v>Duplicate-PR3210 - Relay, Protection, Electronic, Arttracted Armature, Generic - RELAYS - ELECTRONIC</v>
      </c>
      <c r="D685" s="38" t="str">
        <f t="shared" si="86"/>
        <v>Duplicate-</v>
      </c>
      <c r="E685" s="413"/>
      <c r="F685" s="43" t="s">
        <v>430</v>
      </c>
      <c r="G685" s="43" t="s">
        <v>1087</v>
      </c>
      <c r="X685" s="38">
        <v>6</v>
      </c>
      <c r="Y685" s="38">
        <v>0</v>
      </c>
      <c r="AK685" s="45">
        <f t="shared" si="87"/>
        <v>0</v>
      </c>
      <c r="AL685" s="46">
        <f t="shared" si="88"/>
        <v>0</v>
      </c>
      <c r="AM685" s="46">
        <f t="shared" si="89"/>
        <v>0</v>
      </c>
      <c r="AN685" s="46"/>
      <c r="AO685" s="119" t="s">
        <v>1197</v>
      </c>
      <c r="AP685" s="38" t="str">
        <f t="shared" si="84"/>
        <v>Exclude</v>
      </c>
    </row>
    <row r="686" spans="1:42" ht="45" hidden="1">
      <c r="A686" s="38" t="str">
        <f t="shared" si="83"/>
        <v>Ausgrid</v>
      </c>
      <c r="B686" s="38" t="s">
        <v>1197</v>
      </c>
      <c r="C686" s="38" t="str">
        <f t="shared" si="85"/>
        <v>Duplicate-PR3207 - Relay, Protection, Electronic, IDMT - RELAYS - ELECTRONIC</v>
      </c>
      <c r="D686" s="38" t="str">
        <f t="shared" si="86"/>
        <v>Duplicate-</v>
      </c>
      <c r="E686" s="413"/>
      <c r="F686" s="43" t="s">
        <v>430</v>
      </c>
      <c r="G686" s="43" t="s">
        <v>1088</v>
      </c>
      <c r="X686" s="38">
        <v>3</v>
      </c>
      <c r="Y686" s="38">
        <v>0</v>
      </c>
      <c r="AK686" s="45">
        <f t="shared" si="87"/>
        <v>0</v>
      </c>
      <c r="AL686" s="46">
        <f t="shared" si="88"/>
        <v>0</v>
      </c>
      <c r="AM686" s="46">
        <f t="shared" si="89"/>
        <v>0</v>
      </c>
      <c r="AN686" s="46"/>
      <c r="AO686" s="119" t="s">
        <v>1197</v>
      </c>
      <c r="AP686" s="38" t="str">
        <f t="shared" si="84"/>
        <v>Exclude</v>
      </c>
    </row>
    <row r="687" spans="1:42" ht="45" hidden="1">
      <c r="A687" s="38" t="str">
        <f t="shared" si="83"/>
        <v>Ausgrid</v>
      </c>
      <c r="B687" s="38" t="s">
        <v>1197</v>
      </c>
      <c r="C687" s="38" t="str">
        <f t="shared" si="85"/>
        <v>Duplicate-PR3208 - Relay, Protection, Electronic, IDMT - RELAYS - ELECTRONIC</v>
      </c>
      <c r="D687" s="38" t="str">
        <f t="shared" si="86"/>
        <v>Duplicate-</v>
      </c>
      <c r="E687" s="413"/>
      <c r="F687" s="43" t="s">
        <v>430</v>
      </c>
      <c r="G687" s="43" t="s">
        <v>1089</v>
      </c>
      <c r="X687" s="38">
        <v>12</v>
      </c>
      <c r="Y687" s="38">
        <v>0</v>
      </c>
      <c r="AK687" s="45">
        <f t="shared" si="87"/>
        <v>0</v>
      </c>
      <c r="AL687" s="46">
        <f t="shared" si="88"/>
        <v>0</v>
      </c>
      <c r="AM687" s="46">
        <f t="shared" si="89"/>
        <v>0</v>
      </c>
      <c r="AN687" s="46"/>
      <c r="AO687" s="119" t="s">
        <v>1197</v>
      </c>
      <c r="AP687" s="38" t="str">
        <f t="shared" si="84"/>
        <v>Exclude</v>
      </c>
    </row>
    <row r="688" spans="1:42" ht="45" hidden="1">
      <c r="A688" s="38" t="str">
        <f t="shared" si="83"/>
        <v>Ausgrid</v>
      </c>
      <c r="B688" s="38" t="s">
        <v>1197</v>
      </c>
      <c r="C688" s="38" t="str">
        <f t="shared" si="85"/>
        <v>Duplicate-PR3207 - Relay, Protection, Electronic, IDMT - RELAYS - ELECTRONIC</v>
      </c>
      <c r="D688" s="38" t="str">
        <f t="shared" si="86"/>
        <v>Duplicate-</v>
      </c>
      <c r="E688" s="413"/>
      <c r="F688" s="43" t="s">
        <v>430</v>
      </c>
      <c r="G688" s="43" t="s">
        <v>1088</v>
      </c>
      <c r="X688" s="38">
        <v>1</v>
      </c>
      <c r="Y688" s="38">
        <v>0</v>
      </c>
      <c r="AK688" s="45">
        <f t="shared" si="87"/>
        <v>0</v>
      </c>
      <c r="AL688" s="46">
        <f t="shared" si="88"/>
        <v>0</v>
      </c>
      <c r="AM688" s="46">
        <f t="shared" si="89"/>
        <v>0</v>
      </c>
      <c r="AN688" s="46"/>
      <c r="AO688" s="119" t="s">
        <v>1197</v>
      </c>
      <c r="AP688" s="38" t="str">
        <f t="shared" si="84"/>
        <v>Exclude</v>
      </c>
    </row>
    <row r="689" spans="1:42" ht="45" hidden="1">
      <c r="A689" s="38" t="str">
        <f t="shared" si="83"/>
        <v>Ausgrid</v>
      </c>
      <c r="B689" s="38" t="s">
        <v>1197</v>
      </c>
      <c r="C689" s="38" t="str">
        <f t="shared" si="85"/>
        <v>Duplicate-PR3208 - Relay, Protection, Electronic, IDMT - RELAYS - ELECTRONIC</v>
      </c>
      <c r="D689" s="38" t="str">
        <f t="shared" si="86"/>
        <v>Duplicate-</v>
      </c>
      <c r="E689" s="413"/>
      <c r="F689" s="43" t="s">
        <v>430</v>
      </c>
      <c r="G689" s="43" t="s">
        <v>1089</v>
      </c>
      <c r="X689" s="38">
        <v>6</v>
      </c>
      <c r="Y689" s="38">
        <v>0</v>
      </c>
      <c r="AK689" s="45">
        <f t="shared" si="87"/>
        <v>0</v>
      </c>
      <c r="AL689" s="46">
        <f t="shared" si="88"/>
        <v>0</v>
      </c>
      <c r="AM689" s="46">
        <f t="shared" si="89"/>
        <v>0</v>
      </c>
      <c r="AN689" s="46"/>
      <c r="AO689" s="119" t="s">
        <v>1197</v>
      </c>
      <c r="AP689" s="38" t="str">
        <f t="shared" si="84"/>
        <v>Exclude</v>
      </c>
    </row>
    <row r="690" spans="1:42" ht="45" hidden="1">
      <c r="A690" s="38" t="str">
        <f t="shared" si="83"/>
        <v>Ausgrid</v>
      </c>
      <c r="B690" s="38" t="s">
        <v>1197</v>
      </c>
      <c r="C690" s="38" t="str">
        <f t="shared" si="85"/>
        <v>Duplicate-PR3213 - Relay, Protection, Electronic, Underfrequency - RELAYS - ELECTRONIC</v>
      </c>
      <c r="D690" s="38" t="str">
        <f t="shared" si="86"/>
        <v>Duplicate-</v>
      </c>
      <c r="E690" s="413"/>
      <c r="F690" s="43" t="s">
        <v>430</v>
      </c>
      <c r="G690" s="43" t="s">
        <v>1090</v>
      </c>
      <c r="X690" s="38">
        <v>12</v>
      </c>
      <c r="Y690" s="38">
        <v>0</v>
      </c>
      <c r="AK690" s="45">
        <f t="shared" si="87"/>
        <v>0</v>
      </c>
      <c r="AL690" s="46">
        <f t="shared" si="88"/>
        <v>0</v>
      </c>
      <c r="AM690" s="46">
        <f t="shared" si="89"/>
        <v>0</v>
      </c>
      <c r="AN690" s="46"/>
      <c r="AO690" s="119" t="s">
        <v>1197</v>
      </c>
      <c r="AP690" s="38" t="str">
        <f t="shared" si="84"/>
        <v>Exclude</v>
      </c>
    </row>
    <row r="691" spans="1:42" ht="60" hidden="1">
      <c r="A691" s="38" t="str">
        <f t="shared" ref="A691:A754" si="90">IF(E691&gt;0,E691,A690)</f>
        <v>Ausgrid</v>
      </c>
      <c r="B691" s="38" t="s">
        <v>1197</v>
      </c>
      <c r="C691" s="38" t="str">
        <f t="shared" si="85"/>
        <v>Duplicate-PR3211 - Relay, Protection, Electronic, Transformer Differential. - RELAYS - ELECTRONIC</v>
      </c>
      <c r="D691" s="38" t="str">
        <f t="shared" si="86"/>
        <v>Duplicate-</v>
      </c>
      <c r="E691" s="413"/>
      <c r="F691" s="43" t="s">
        <v>430</v>
      </c>
      <c r="G691" s="43" t="s">
        <v>1091</v>
      </c>
      <c r="X691" s="38">
        <v>6</v>
      </c>
      <c r="Y691" s="38">
        <v>0</v>
      </c>
      <c r="AK691" s="45">
        <f t="shared" si="87"/>
        <v>0</v>
      </c>
      <c r="AL691" s="46">
        <f t="shared" si="88"/>
        <v>0</v>
      </c>
      <c r="AM691" s="46">
        <f t="shared" si="89"/>
        <v>0</v>
      </c>
      <c r="AN691" s="46"/>
      <c r="AO691" s="119" t="s">
        <v>1197</v>
      </c>
      <c r="AP691" s="38" t="str">
        <f t="shared" si="84"/>
        <v>Exclude</v>
      </c>
    </row>
    <row r="692" spans="1:42" ht="45" hidden="1">
      <c r="A692" s="38" t="str">
        <f t="shared" si="90"/>
        <v>Ausgrid</v>
      </c>
      <c r="B692" s="38" t="s">
        <v>1197</v>
      </c>
      <c r="C692" s="38" t="str">
        <f t="shared" si="85"/>
        <v>Duplicate-PR3302 - Relay, Protection, Numeric, Distance - RELAYS - NUMERICAL</v>
      </c>
      <c r="D692" s="38" t="str">
        <f t="shared" si="86"/>
        <v>Duplicate-</v>
      </c>
      <c r="E692" s="413"/>
      <c r="F692" s="43" t="s">
        <v>430</v>
      </c>
      <c r="G692" s="43" t="s">
        <v>1092</v>
      </c>
      <c r="X692" s="38">
        <v>3</v>
      </c>
      <c r="Y692" s="38">
        <v>0</v>
      </c>
      <c r="AK692" s="45">
        <f t="shared" si="87"/>
        <v>0</v>
      </c>
      <c r="AL692" s="46">
        <f t="shared" si="88"/>
        <v>0</v>
      </c>
      <c r="AM692" s="46">
        <f t="shared" si="89"/>
        <v>0</v>
      </c>
      <c r="AN692" s="46"/>
      <c r="AO692" s="119" t="s">
        <v>1197</v>
      </c>
      <c r="AP692" s="38" t="str">
        <f t="shared" si="84"/>
        <v>Exclude</v>
      </c>
    </row>
    <row r="693" spans="1:42" ht="45" hidden="1">
      <c r="A693" s="38" t="str">
        <f t="shared" si="90"/>
        <v>Ausgrid</v>
      </c>
      <c r="B693" s="38" t="s">
        <v>1197</v>
      </c>
      <c r="C693" s="38" t="str">
        <f t="shared" si="85"/>
        <v>Duplicate-PR3303 - Relay, Protection, Numerical, Distance - RELAYS - NUMERICAL</v>
      </c>
      <c r="D693" s="38" t="str">
        <f t="shared" si="86"/>
        <v>Duplicate-</v>
      </c>
      <c r="E693" s="413"/>
      <c r="F693" s="43" t="s">
        <v>430</v>
      </c>
      <c r="G693" s="43" t="s">
        <v>1093</v>
      </c>
      <c r="X693" s="38">
        <v>12</v>
      </c>
      <c r="Y693" s="38">
        <v>0</v>
      </c>
      <c r="AK693" s="45">
        <f t="shared" si="87"/>
        <v>0</v>
      </c>
      <c r="AL693" s="46">
        <f t="shared" si="88"/>
        <v>0</v>
      </c>
      <c r="AM693" s="46">
        <f t="shared" si="89"/>
        <v>0</v>
      </c>
      <c r="AN693" s="46"/>
      <c r="AO693" s="119" t="s">
        <v>1197</v>
      </c>
      <c r="AP693" s="38" t="str">
        <f t="shared" si="84"/>
        <v>Exclude</v>
      </c>
    </row>
    <row r="694" spans="1:42" ht="45" hidden="1">
      <c r="A694" s="38" t="str">
        <f t="shared" si="90"/>
        <v>Ausgrid</v>
      </c>
      <c r="B694" s="38" t="s">
        <v>1197</v>
      </c>
      <c r="C694" s="38" t="str">
        <f t="shared" si="85"/>
        <v>Duplicate-PR3304 - Relay, Protection, Under Voltage - RELAYS - NUMERICAL</v>
      </c>
      <c r="D694" s="38" t="str">
        <f t="shared" si="86"/>
        <v>Duplicate-</v>
      </c>
      <c r="E694" s="413"/>
      <c r="F694" s="43" t="s">
        <v>430</v>
      </c>
      <c r="G694" s="43" t="s">
        <v>1094</v>
      </c>
      <c r="X694" s="38">
        <v>12</v>
      </c>
      <c r="Y694" s="38">
        <v>0</v>
      </c>
      <c r="AK694" s="45">
        <f t="shared" si="87"/>
        <v>0</v>
      </c>
      <c r="AL694" s="46">
        <f t="shared" si="88"/>
        <v>0</v>
      </c>
      <c r="AM694" s="46">
        <f t="shared" si="89"/>
        <v>0</v>
      </c>
      <c r="AN694" s="46"/>
      <c r="AO694" s="119" t="s">
        <v>1197</v>
      </c>
      <c r="AP694" s="38" t="str">
        <f t="shared" si="84"/>
        <v>Exclude</v>
      </c>
    </row>
    <row r="695" spans="1:42" ht="45" hidden="1">
      <c r="A695" s="38" t="str">
        <f t="shared" si="90"/>
        <v>Ausgrid</v>
      </c>
      <c r="B695" s="38" t="s">
        <v>1197</v>
      </c>
      <c r="C695" s="38" t="str">
        <f t="shared" si="85"/>
        <v>Duplicate-PR3305 - Relay, Protection, Numerical, Overcurrent - RELAYS - NUMERICAL</v>
      </c>
      <c r="D695" s="38" t="str">
        <f t="shared" si="86"/>
        <v>Duplicate-</v>
      </c>
      <c r="E695" s="413"/>
      <c r="F695" s="43" t="s">
        <v>430</v>
      </c>
      <c r="G695" s="43" t="s">
        <v>1095</v>
      </c>
      <c r="X695" s="38">
        <v>3</v>
      </c>
      <c r="Y695" s="38">
        <v>0</v>
      </c>
      <c r="AK695" s="45">
        <f t="shared" si="87"/>
        <v>0</v>
      </c>
      <c r="AL695" s="46">
        <f t="shared" si="88"/>
        <v>0</v>
      </c>
      <c r="AM695" s="46">
        <f t="shared" si="89"/>
        <v>0</v>
      </c>
      <c r="AN695" s="46"/>
      <c r="AO695" s="119" t="s">
        <v>1197</v>
      </c>
      <c r="AP695" s="38" t="str">
        <f t="shared" si="84"/>
        <v>Exclude</v>
      </c>
    </row>
    <row r="696" spans="1:42" ht="45" hidden="1">
      <c r="A696" s="38" t="str">
        <f t="shared" si="90"/>
        <v>Ausgrid</v>
      </c>
      <c r="B696" s="38" t="s">
        <v>1197</v>
      </c>
      <c r="C696" s="38" t="str">
        <f t="shared" si="85"/>
        <v>Duplicate-PR3306 - Relay, Protection, Generic - RELAYS - NUMERICAL</v>
      </c>
      <c r="D696" s="38" t="str">
        <f t="shared" si="86"/>
        <v>Duplicate-</v>
      </c>
      <c r="E696" s="413"/>
      <c r="F696" s="43" t="s">
        <v>430</v>
      </c>
      <c r="G696" s="43" t="s">
        <v>1096</v>
      </c>
      <c r="X696" s="38">
        <v>12</v>
      </c>
      <c r="Y696" s="38">
        <v>0</v>
      </c>
      <c r="AK696" s="45">
        <f t="shared" si="87"/>
        <v>0</v>
      </c>
      <c r="AL696" s="46">
        <f t="shared" si="88"/>
        <v>0</v>
      </c>
      <c r="AM696" s="46">
        <f t="shared" si="89"/>
        <v>0</v>
      </c>
      <c r="AN696" s="46"/>
      <c r="AO696" s="119" t="s">
        <v>1197</v>
      </c>
      <c r="AP696" s="38" t="str">
        <f t="shared" si="84"/>
        <v>Exclude</v>
      </c>
    </row>
    <row r="697" spans="1:42" ht="45" hidden="1">
      <c r="A697" s="38" t="str">
        <f t="shared" si="90"/>
        <v>Ausgrid</v>
      </c>
      <c r="B697" s="38" t="s">
        <v>1197</v>
      </c>
      <c r="C697" s="38" t="str">
        <f t="shared" si="85"/>
        <v>Duplicate-PR3307 - Relay, Protection, Numerical, ABB SPAJ series - RELAYS - NUMERICAL</v>
      </c>
      <c r="D697" s="38" t="str">
        <f t="shared" si="86"/>
        <v>Duplicate-</v>
      </c>
      <c r="E697" s="413"/>
      <c r="F697" s="43" t="s">
        <v>430</v>
      </c>
      <c r="G697" s="43" t="s">
        <v>1097</v>
      </c>
      <c r="X697" s="38">
        <v>12</v>
      </c>
      <c r="Y697" s="38">
        <v>0</v>
      </c>
      <c r="AK697" s="45">
        <f t="shared" si="87"/>
        <v>0</v>
      </c>
      <c r="AL697" s="46">
        <f t="shared" si="88"/>
        <v>0</v>
      </c>
      <c r="AM697" s="46">
        <f t="shared" si="89"/>
        <v>0</v>
      </c>
      <c r="AN697" s="46"/>
      <c r="AO697" s="119" t="s">
        <v>1197</v>
      </c>
      <c r="AP697" s="38" t="str">
        <f t="shared" si="84"/>
        <v>Exclude</v>
      </c>
    </row>
    <row r="698" spans="1:42" ht="45" hidden="1">
      <c r="A698" s="38" t="str">
        <f t="shared" si="90"/>
        <v>Ausgrid</v>
      </c>
      <c r="B698" s="38" t="s">
        <v>1197</v>
      </c>
      <c r="C698" s="38" t="str">
        <f t="shared" si="85"/>
        <v>Duplicate-PR3308 - Relay, Protection, Numerical, Basler BE1-851 - RELAYS - NUMERICAL</v>
      </c>
      <c r="D698" s="38" t="str">
        <f t="shared" si="86"/>
        <v>Duplicate-</v>
      </c>
      <c r="E698" s="413"/>
      <c r="F698" s="43" t="s">
        <v>430</v>
      </c>
      <c r="G698" s="43" t="s">
        <v>1098</v>
      </c>
      <c r="X698" s="38">
        <v>12</v>
      </c>
      <c r="Y698" s="38">
        <v>0</v>
      </c>
      <c r="AK698" s="45">
        <f t="shared" si="87"/>
        <v>0</v>
      </c>
      <c r="AL698" s="46">
        <f t="shared" si="88"/>
        <v>0</v>
      </c>
      <c r="AM698" s="46">
        <f t="shared" si="89"/>
        <v>0</v>
      </c>
      <c r="AN698" s="46"/>
      <c r="AO698" s="119" t="s">
        <v>1197</v>
      </c>
      <c r="AP698" s="38" t="str">
        <f t="shared" si="84"/>
        <v>Exclude</v>
      </c>
    </row>
    <row r="699" spans="1:42" ht="45" hidden="1">
      <c r="A699" s="38" t="str">
        <f t="shared" si="90"/>
        <v>Ausgrid</v>
      </c>
      <c r="B699" s="38" t="s">
        <v>1197</v>
      </c>
      <c r="C699" s="38" t="str">
        <f t="shared" si="85"/>
        <v>Duplicate-PR3309 - Relay, Protection, Numerical, GEC K series - RELAYS - NUMERICAL</v>
      </c>
      <c r="D699" s="38" t="str">
        <f t="shared" si="86"/>
        <v>Duplicate-</v>
      </c>
      <c r="E699" s="413"/>
      <c r="F699" s="43" t="s">
        <v>430</v>
      </c>
      <c r="G699" s="43" t="s">
        <v>1099</v>
      </c>
      <c r="X699" s="38">
        <v>12</v>
      </c>
      <c r="Y699" s="38">
        <v>0</v>
      </c>
      <c r="AK699" s="45">
        <f t="shared" si="87"/>
        <v>0</v>
      </c>
      <c r="AL699" s="46">
        <f t="shared" si="88"/>
        <v>0</v>
      </c>
      <c r="AM699" s="46">
        <f t="shared" si="89"/>
        <v>0</v>
      </c>
      <c r="AN699" s="46"/>
      <c r="AO699" s="119" t="s">
        <v>1197</v>
      </c>
      <c r="AP699" s="38" t="str">
        <f t="shared" si="84"/>
        <v>Exclude</v>
      </c>
    </row>
    <row r="700" spans="1:42" ht="45" hidden="1">
      <c r="A700" s="38" t="str">
        <f t="shared" si="90"/>
        <v>Ausgrid</v>
      </c>
      <c r="B700" s="38" t="s">
        <v>1197</v>
      </c>
      <c r="C700" s="38" t="str">
        <f t="shared" si="85"/>
        <v>Duplicate-PR3310 - Relay, Protection, Numerical, Alstom 122A - RELAYS - NUMERICAL</v>
      </c>
      <c r="D700" s="38" t="str">
        <f t="shared" si="86"/>
        <v>Duplicate-</v>
      </c>
      <c r="E700" s="413"/>
      <c r="F700" s="43" t="s">
        <v>430</v>
      </c>
      <c r="G700" s="43" t="s">
        <v>1100</v>
      </c>
      <c r="X700" s="38">
        <v>12</v>
      </c>
      <c r="Y700" s="38">
        <v>0</v>
      </c>
      <c r="AK700" s="45">
        <f t="shared" si="87"/>
        <v>0</v>
      </c>
      <c r="AL700" s="46">
        <f t="shared" si="88"/>
        <v>0</v>
      </c>
      <c r="AM700" s="46">
        <f t="shared" si="89"/>
        <v>0</v>
      </c>
      <c r="AN700" s="46"/>
      <c r="AO700" s="119" t="s">
        <v>1197</v>
      </c>
      <c r="AP700" s="38" t="str">
        <f t="shared" si="84"/>
        <v>Exclude</v>
      </c>
    </row>
    <row r="701" spans="1:42" ht="45" hidden="1">
      <c r="A701" s="38" t="str">
        <f t="shared" si="90"/>
        <v>Ausgrid</v>
      </c>
      <c r="B701" s="38" t="s">
        <v>1197</v>
      </c>
      <c r="C701" s="38" t="str">
        <f t="shared" si="85"/>
        <v>Duplicate-PR3311 - Relay, Protection, Numerical, Reyrolle ARGUS1 - RELAYS - NUMERICAL</v>
      </c>
      <c r="D701" s="38" t="str">
        <f t="shared" si="86"/>
        <v>Duplicate-</v>
      </c>
      <c r="E701" s="413"/>
      <c r="F701" s="43" t="s">
        <v>430</v>
      </c>
      <c r="G701" s="43" t="s">
        <v>1101</v>
      </c>
      <c r="X701" s="38">
        <v>12</v>
      </c>
      <c r="Y701" s="38">
        <v>0</v>
      </c>
      <c r="AK701" s="45">
        <f t="shared" si="87"/>
        <v>0</v>
      </c>
      <c r="AL701" s="46">
        <f t="shared" si="88"/>
        <v>0</v>
      </c>
      <c r="AM701" s="46">
        <f t="shared" si="89"/>
        <v>0</v>
      </c>
      <c r="AN701" s="46"/>
      <c r="AO701" s="119" t="s">
        <v>1197</v>
      </c>
      <c r="AP701" s="38" t="str">
        <f t="shared" si="84"/>
        <v>Exclude</v>
      </c>
    </row>
    <row r="702" spans="1:42" ht="60" hidden="1">
      <c r="A702" s="38" t="str">
        <f t="shared" si="90"/>
        <v>Ausgrid</v>
      </c>
      <c r="B702" s="38" t="s">
        <v>1197</v>
      </c>
      <c r="C702" s="38" t="str">
        <f t="shared" si="85"/>
        <v>Duplicate-PR3312 - Relay, Protection, Numerical, Attracted Armature, Generic - RELAYS - NUMERICAL</v>
      </c>
      <c r="D702" s="38" t="str">
        <f t="shared" si="86"/>
        <v>Duplicate-</v>
      </c>
      <c r="E702" s="413"/>
      <c r="F702" s="43" t="s">
        <v>430</v>
      </c>
      <c r="G702" s="43" t="s">
        <v>1102</v>
      </c>
      <c r="X702" s="38">
        <v>6</v>
      </c>
      <c r="Y702" s="38">
        <v>0</v>
      </c>
      <c r="AK702" s="45">
        <f t="shared" si="87"/>
        <v>0</v>
      </c>
      <c r="AL702" s="46">
        <f t="shared" si="88"/>
        <v>0</v>
      </c>
      <c r="AM702" s="46">
        <f t="shared" si="89"/>
        <v>0</v>
      </c>
      <c r="AN702" s="46"/>
      <c r="AO702" s="119" t="s">
        <v>1197</v>
      </c>
      <c r="AP702" s="38" t="str">
        <f t="shared" si="84"/>
        <v>Exclude</v>
      </c>
    </row>
    <row r="703" spans="1:42" ht="45" hidden="1">
      <c r="A703" s="38" t="str">
        <f t="shared" si="90"/>
        <v>Ausgrid</v>
      </c>
      <c r="B703" s="38" t="s">
        <v>1197</v>
      </c>
      <c r="C703" s="38" t="str">
        <f t="shared" si="85"/>
        <v>Duplicate-PR3314 - Relay, Protection, Numerical, Underfrequency - RELAYS - NUMERICAL</v>
      </c>
      <c r="D703" s="38" t="str">
        <f t="shared" si="86"/>
        <v>Duplicate-</v>
      </c>
      <c r="E703" s="413"/>
      <c r="F703" s="43" t="s">
        <v>430</v>
      </c>
      <c r="G703" s="43" t="s">
        <v>1103</v>
      </c>
      <c r="X703" s="38">
        <v>12</v>
      </c>
      <c r="Y703" s="38">
        <v>0</v>
      </c>
      <c r="AK703" s="45">
        <f t="shared" si="87"/>
        <v>0</v>
      </c>
      <c r="AL703" s="46">
        <f t="shared" si="88"/>
        <v>0</v>
      </c>
      <c r="AM703" s="46">
        <f t="shared" si="89"/>
        <v>0</v>
      </c>
      <c r="AN703" s="46"/>
      <c r="AO703" s="119" t="s">
        <v>1197</v>
      </c>
      <c r="AP703" s="38" t="str">
        <f t="shared" si="84"/>
        <v>Exclude</v>
      </c>
    </row>
    <row r="704" spans="1:42" ht="60" hidden="1">
      <c r="A704" s="38" t="str">
        <f t="shared" si="90"/>
        <v>Ausgrid</v>
      </c>
      <c r="B704" s="38" t="s">
        <v>1197</v>
      </c>
      <c r="C704" s="38" t="str">
        <f t="shared" si="85"/>
        <v>Duplicate-PR3313 - Relay, Protection, Numerical, Transformer Differential. - RELAYS - NUMERICAL</v>
      </c>
      <c r="D704" s="38" t="str">
        <f t="shared" si="86"/>
        <v>Duplicate-</v>
      </c>
      <c r="E704" s="413"/>
      <c r="F704" s="43" t="s">
        <v>430</v>
      </c>
      <c r="G704" s="43" t="s">
        <v>1104</v>
      </c>
      <c r="X704" s="38">
        <v>6</v>
      </c>
      <c r="Y704" s="38">
        <v>0</v>
      </c>
      <c r="AK704" s="45">
        <f t="shared" si="87"/>
        <v>0</v>
      </c>
      <c r="AL704" s="46">
        <f t="shared" si="88"/>
        <v>0</v>
      </c>
      <c r="AM704" s="46">
        <f t="shared" si="89"/>
        <v>0</v>
      </c>
      <c r="AN704" s="46"/>
      <c r="AO704" s="119" t="s">
        <v>1197</v>
      </c>
      <c r="AP704" s="38" t="str">
        <f t="shared" si="84"/>
        <v>Exclude</v>
      </c>
    </row>
    <row r="705" spans="1:42" ht="45" hidden="1">
      <c r="A705" s="38" t="str">
        <f t="shared" si="90"/>
        <v>Ausgrid</v>
      </c>
      <c r="B705" s="38" t="s">
        <v>1197</v>
      </c>
      <c r="C705" s="38" t="str">
        <f t="shared" si="85"/>
        <v>Duplicate-TRANSFORMERS - SUBTRANSMISSION SUBSTATION</v>
      </c>
      <c r="D705" s="38" t="str">
        <f t="shared" si="86"/>
        <v>Duplicate-No. of subtranmssion substation transformers ('000s)</v>
      </c>
      <c r="E705" s="413"/>
      <c r="F705" s="43" t="s">
        <v>431</v>
      </c>
      <c r="G705" s="43" t="s">
        <v>1107</v>
      </c>
      <c r="H705" s="43" t="s">
        <v>1108</v>
      </c>
      <c r="I705" s="41">
        <v>0.08</v>
      </c>
      <c r="J705" s="41">
        <v>7.0000000000000007E-2</v>
      </c>
      <c r="K705" s="41">
        <v>7.0000000000000007E-2</v>
      </c>
      <c r="L705" s="41">
        <v>0.06</v>
      </c>
      <c r="M705" s="41">
        <v>0.06</v>
      </c>
      <c r="N705" s="41">
        <v>0.73</v>
      </c>
      <c r="O705" s="41">
        <v>0.64</v>
      </c>
      <c r="P705" s="41">
        <v>0.6</v>
      </c>
      <c r="Q705" s="41">
        <v>0.49</v>
      </c>
      <c r="R705" s="41">
        <v>0.4</v>
      </c>
      <c r="S705" s="41">
        <v>23.22</v>
      </c>
      <c r="T705" s="41">
        <v>22.26</v>
      </c>
      <c r="U705" s="41">
        <v>20.76</v>
      </c>
      <c r="V705" s="41">
        <v>19.89</v>
      </c>
      <c r="W705" s="41">
        <v>20.56</v>
      </c>
      <c r="X705" s="38">
        <v>0</v>
      </c>
      <c r="Y705" s="38">
        <v>0</v>
      </c>
      <c r="Z705" s="40">
        <v>171.5</v>
      </c>
      <c r="AA705" s="40">
        <v>283.27999999999997</v>
      </c>
      <c r="AB705" s="40">
        <v>229.01</v>
      </c>
      <c r="AC705" s="40">
        <v>117.27</v>
      </c>
      <c r="AD705" s="40">
        <v>168.63</v>
      </c>
      <c r="AE705" s="40">
        <v>144.33000000000001</v>
      </c>
      <c r="AF705" s="40">
        <v>163.62</v>
      </c>
      <c r="AG705" s="40">
        <v>125.33</v>
      </c>
      <c r="AH705" s="40">
        <v>126.47</v>
      </c>
      <c r="AI705" s="40">
        <v>165.85</v>
      </c>
      <c r="AK705" s="45">
        <f t="shared" si="87"/>
        <v>2.86</v>
      </c>
      <c r="AL705" s="46">
        <f t="shared" si="88"/>
        <v>969.68999999999994</v>
      </c>
      <c r="AM705" s="46">
        <f t="shared" si="89"/>
        <v>725.6</v>
      </c>
      <c r="AN705" s="46"/>
      <c r="AO705" s="119" t="s">
        <v>1197</v>
      </c>
      <c r="AP705" s="38" t="str">
        <f t="shared" si="84"/>
        <v>Exclude</v>
      </c>
    </row>
    <row r="706" spans="1:42" ht="60" hidden="1">
      <c r="A706" s="38" t="str">
        <f t="shared" si="90"/>
        <v>Ausgrid</v>
      </c>
      <c r="B706" s="38" t="s">
        <v>1197</v>
      </c>
      <c r="C706" s="38" t="str">
        <f t="shared" si="85"/>
        <v xml:space="preserve">Duplicate-TX0101 - Transformer (energised) - Generic (excludes Earthing / Auxilliary TX's) </v>
      </c>
      <c r="D706" s="38" t="str">
        <f t="shared" si="86"/>
        <v>Duplicate-</v>
      </c>
      <c r="E706" s="413"/>
      <c r="F706" s="43" t="s">
        <v>431</v>
      </c>
      <c r="G706" s="43" t="s">
        <v>866</v>
      </c>
      <c r="X706" s="38">
        <v>0.25</v>
      </c>
      <c r="Y706" s="38">
        <v>0</v>
      </c>
      <c r="AK706" s="45">
        <f t="shared" si="87"/>
        <v>0</v>
      </c>
      <c r="AL706" s="46">
        <f t="shared" si="88"/>
        <v>0</v>
      </c>
      <c r="AM706" s="46">
        <f t="shared" si="89"/>
        <v>0</v>
      </c>
      <c r="AN706" s="46"/>
      <c r="AO706" s="119" t="s">
        <v>1197</v>
      </c>
      <c r="AP706" s="38" t="str">
        <f t="shared" si="84"/>
        <v>Exclude</v>
      </c>
    </row>
    <row r="707" spans="1:42" ht="30" hidden="1">
      <c r="A707" s="38" t="str">
        <f t="shared" si="90"/>
        <v>Ausgrid</v>
      </c>
      <c r="B707" s="38" t="s">
        <v>1197</v>
      </c>
      <c r="C707" s="38" t="str">
        <f t="shared" si="85"/>
        <v>Duplicate-TX0102 - Transformer (energised) - Generic</v>
      </c>
      <c r="D707" s="38" t="str">
        <f t="shared" si="86"/>
        <v>Duplicate-</v>
      </c>
      <c r="E707" s="413"/>
      <c r="F707" s="43" t="s">
        <v>431</v>
      </c>
      <c r="G707" s="43" t="s">
        <v>867</v>
      </c>
      <c r="X707" s="38">
        <v>0.5</v>
      </c>
      <c r="Y707" s="38">
        <v>0</v>
      </c>
      <c r="AK707" s="45">
        <f t="shared" si="87"/>
        <v>0</v>
      </c>
      <c r="AL707" s="46">
        <f t="shared" si="88"/>
        <v>0</v>
      </c>
      <c r="AM707" s="46">
        <f t="shared" si="89"/>
        <v>0</v>
      </c>
      <c r="AN707" s="46"/>
      <c r="AO707" s="119" t="s">
        <v>1197</v>
      </c>
      <c r="AP707" s="38" t="str">
        <f t="shared" ref="AP707:AP770" si="91">IFERROR(VLOOKUP(C707,$AR:$AS,2,FALSE),"Exclude")</f>
        <v>Exclude</v>
      </c>
    </row>
    <row r="708" spans="1:42" ht="60" hidden="1">
      <c r="A708" s="38" t="str">
        <f t="shared" si="90"/>
        <v>Ausgrid</v>
      </c>
      <c r="B708" s="38" t="s">
        <v>1197</v>
      </c>
      <c r="C708" s="38" t="str">
        <f t="shared" ref="C708:C771" si="92">B708&amp;"-"&amp;G708</f>
        <v xml:space="preserve">Duplicate-TX0103 - Transformer (energised) - Generic (includes Earthing / Auxilliary TX's) </v>
      </c>
      <c r="D708" s="38" t="str">
        <f t="shared" ref="D708:D771" si="93">B708&amp;"-"&amp;H708</f>
        <v>Duplicate-</v>
      </c>
      <c r="E708" s="413"/>
      <c r="F708" s="43" t="s">
        <v>431</v>
      </c>
      <c r="G708" s="43" t="s">
        <v>868</v>
      </c>
      <c r="X708" s="38">
        <v>3</v>
      </c>
      <c r="Y708" s="38">
        <v>0</v>
      </c>
      <c r="AK708" s="45">
        <f t="shared" ref="AK708:AK771" si="94">SUM(N708:R708)</f>
        <v>0</v>
      </c>
      <c r="AL708" s="46">
        <f t="shared" ref="AL708:AL771" si="95">SUM(Z708:AD708)</f>
        <v>0</v>
      </c>
      <c r="AM708" s="46">
        <f t="shared" ref="AM708:AM771" si="96">SUM(AE708:AI708)</f>
        <v>0</v>
      </c>
      <c r="AN708" s="46"/>
      <c r="AO708" s="119" t="s">
        <v>1197</v>
      </c>
      <c r="AP708" s="38" t="str">
        <f t="shared" si="91"/>
        <v>Exclude</v>
      </c>
    </row>
    <row r="709" spans="1:42" ht="60" hidden="1">
      <c r="A709" s="38" t="str">
        <f t="shared" si="90"/>
        <v>Ausgrid</v>
      </c>
      <c r="B709" s="38" t="s">
        <v>1197</v>
      </c>
      <c r="C709" s="38" t="str">
        <f t="shared" si="92"/>
        <v>Duplicate-TX0109 - Transformer  - Bushing testing - Oil impregnated capacitively graded bushings</v>
      </c>
      <c r="D709" s="38" t="str">
        <f t="shared" si="93"/>
        <v>Duplicate-</v>
      </c>
      <c r="E709" s="413"/>
      <c r="F709" s="43" t="s">
        <v>431</v>
      </c>
      <c r="G709" s="43" t="s">
        <v>869</v>
      </c>
      <c r="X709" s="38">
        <v>6</v>
      </c>
      <c r="Y709" s="38">
        <v>0</v>
      </c>
      <c r="AK709" s="45">
        <f t="shared" si="94"/>
        <v>0</v>
      </c>
      <c r="AL709" s="46">
        <f t="shared" si="95"/>
        <v>0</v>
      </c>
      <c r="AM709" s="46">
        <f t="shared" si="96"/>
        <v>0</v>
      </c>
      <c r="AN709" s="46"/>
      <c r="AO709" s="119" t="s">
        <v>1197</v>
      </c>
      <c r="AP709" s="38" t="str">
        <f t="shared" si="91"/>
        <v>Exclude</v>
      </c>
    </row>
    <row r="710" spans="1:42" ht="30" hidden="1">
      <c r="A710" s="38" t="str">
        <f t="shared" si="90"/>
        <v>Ausgrid</v>
      </c>
      <c r="B710" s="38" t="s">
        <v>1197</v>
      </c>
      <c r="C710" s="38" t="str">
        <f t="shared" si="92"/>
        <v xml:space="preserve">Duplicate-TX0104 - Transformer  (De-energised)- Generic </v>
      </c>
      <c r="D710" s="38" t="str">
        <f t="shared" si="93"/>
        <v>Duplicate-</v>
      </c>
      <c r="E710" s="413"/>
      <c r="F710" s="43" t="s">
        <v>431</v>
      </c>
      <c r="G710" s="43" t="s">
        <v>870</v>
      </c>
      <c r="X710" s="38">
        <v>6</v>
      </c>
      <c r="Y710" s="38">
        <v>0</v>
      </c>
      <c r="AK710" s="45">
        <f t="shared" si="94"/>
        <v>0</v>
      </c>
      <c r="AL710" s="46">
        <f t="shared" si="95"/>
        <v>0</v>
      </c>
      <c r="AM710" s="46">
        <f t="shared" si="96"/>
        <v>0</v>
      </c>
      <c r="AN710" s="46"/>
      <c r="AO710" s="119" t="s">
        <v>1197</v>
      </c>
      <c r="AP710" s="38" t="str">
        <f t="shared" si="91"/>
        <v>Exclude</v>
      </c>
    </row>
    <row r="711" spans="1:42" ht="45" hidden="1">
      <c r="A711" s="38" t="str">
        <f t="shared" si="90"/>
        <v>Ausgrid</v>
      </c>
      <c r="B711" s="38" t="s">
        <v>1197</v>
      </c>
      <c r="C711" s="38" t="str">
        <f t="shared" si="92"/>
        <v>Duplicate-TX0111 - Oil Filled Series Reactor (energised) - Generic</v>
      </c>
      <c r="D711" s="38" t="str">
        <f t="shared" si="93"/>
        <v>Duplicate-</v>
      </c>
      <c r="E711" s="413"/>
      <c r="F711" s="43" t="s">
        <v>431</v>
      </c>
      <c r="G711" s="43" t="s">
        <v>871</v>
      </c>
      <c r="X711" s="38">
        <v>0.5</v>
      </c>
      <c r="Y711" s="38">
        <v>0</v>
      </c>
      <c r="AK711" s="45">
        <f t="shared" si="94"/>
        <v>0</v>
      </c>
      <c r="AL711" s="46">
        <f t="shared" si="95"/>
        <v>0</v>
      </c>
      <c r="AM711" s="46">
        <f t="shared" si="96"/>
        <v>0</v>
      </c>
      <c r="AN711" s="46"/>
      <c r="AO711" s="119" t="s">
        <v>1197</v>
      </c>
      <c r="AP711" s="38" t="str">
        <f t="shared" si="91"/>
        <v>Exclude</v>
      </c>
    </row>
    <row r="712" spans="1:42" ht="45" hidden="1">
      <c r="A712" s="38" t="str">
        <f t="shared" si="90"/>
        <v>Ausgrid</v>
      </c>
      <c r="B712" s="38" t="s">
        <v>1197</v>
      </c>
      <c r="C712" s="38" t="str">
        <f t="shared" si="92"/>
        <v>Duplicate-TX0112 - Oil Filled Series Reactor (energised) - Generic</v>
      </c>
      <c r="D712" s="38" t="str">
        <f t="shared" si="93"/>
        <v>Duplicate-</v>
      </c>
      <c r="E712" s="413"/>
      <c r="F712" s="43" t="s">
        <v>431</v>
      </c>
      <c r="G712" s="43" t="s">
        <v>872</v>
      </c>
      <c r="X712" s="38">
        <v>1</v>
      </c>
      <c r="Y712" s="38">
        <v>0</v>
      </c>
      <c r="AK712" s="45">
        <f t="shared" si="94"/>
        <v>0</v>
      </c>
      <c r="AL712" s="46">
        <f t="shared" si="95"/>
        <v>0</v>
      </c>
      <c r="AM712" s="46">
        <f t="shared" si="96"/>
        <v>0</v>
      </c>
      <c r="AN712" s="46"/>
      <c r="AO712" s="119" t="s">
        <v>1197</v>
      </c>
      <c r="AP712" s="38" t="str">
        <f t="shared" si="91"/>
        <v>Exclude</v>
      </c>
    </row>
    <row r="713" spans="1:42" ht="45" hidden="1">
      <c r="A713" s="38" t="str">
        <f t="shared" si="90"/>
        <v>Ausgrid</v>
      </c>
      <c r="B713" s="38" t="s">
        <v>1197</v>
      </c>
      <c r="C713" s="38" t="str">
        <f t="shared" si="92"/>
        <v>Duplicate-TX0113 - Oil Filled Series Reactor (energised) - Generic</v>
      </c>
      <c r="D713" s="38" t="str">
        <f t="shared" si="93"/>
        <v>Duplicate-</v>
      </c>
      <c r="E713" s="413"/>
      <c r="F713" s="43" t="s">
        <v>431</v>
      </c>
      <c r="G713" s="43" t="s">
        <v>873</v>
      </c>
      <c r="X713" s="38">
        <v>2</v>
      </c>
      <c r="Y713" s="38">
        <v>0</v>
      </c>
      <c r="AK713" s="45">
        <f t="shared" si="94"/>
        <v>0</v>
      </c>
      <c r="AL713" s="46">
        <f t="shared" si="95"/>
        <v>0</v>
      </c>
      <c r="AM713" s="46">
        <f t="shared" si="96"/>
        <v>0</v>
      </c>
      <c r="AN713" s="46"/>
      <c r="AO713" s="119" t="s">
        <v>1197</v>
      </c>
      <c r="AP713" s="38" t="str">
        <f t="shared" si="91"/>
        <v>Exclude</v>
      </c>
    </row>
    <row r="714" spans="1:42" ht="30" hidden="1">
      <c r="A714" s="38" t="str">
        <f t="shared" si="90"/>
        <v>Ausgrid</v>
      </c>
      <c r="B714" s="38" t="s">
        <v>1197</v>
      </c>
      <c r="C714" s="38" t="str">
        <f t="shared" si="92"/>
        <v>Duplicate-TX0114 - Oil Filled Series Reactor - Generic</v>
      </c>
      <c r="D714" s="38" t="str">
        <f t="shared" si="93"/>
        <v>Duplicate-</v>
      </c>
      <c r="E714" s="413"/>
      <c r="F714" s="43" t="s">
        <v>431</v>
      </c>
      <c r="G714" s="43" t="s">
        <v>874</v>
      </c>
      <c r="X714" s="38">
        <v>6</v>
      </c>
      <c r="Y714" s="38">
        <v>0</v>
      </c>
      <c r="AK714" s="45">
        <f t="shared" si="94"/>
        <v>0</v>
      </c>
      <c r="AL714" s="46">
        <f t="shared" si="95"/>
        <v>0</v>
      </c>
      <c r="AM714" s="46">
        <f t="shared" si="96"/>
        <v>0</v>
      </c>
      <c r="AN714" s="46"/>
      <c r="AO714" s="119" t="s">
        <v>1197</v>
      </c>
      <c r="AP714" s="38" t="str">
        <f t="shared" si="91"/>
        <v>Exclude</v>
      </c>
    </row>
    <row r="715" spans="1:42" ht="30" hidden="1">
      <c r="A715" s="38" t="str">
        <f t="shared" si="90"/>
        <v>Ausgrid</v>
      </c>
      <c r="B715" s="38" t="s">
        <v>1197</v>
      </c>
      <c r="C715" s="38" t="str">
        <f t="shared" si="92"/>
        <v>Duplicate-TX0301 - Series Reactor - Dry Type - REACTORS - DRY TYPE</v>
      </c>
      <c r="D715" s="38" t="str">
        <f t="shared" si="93"/>
        <v>Duplicate-</v>
      </c>
      <c r="E715" s="413"/>
      <c r="F715" s="43" t="s">
        <v>431</v>
      </c>
      <c r="G715" s="43" t="s">
        <v>876</v>
      </c>
      <c r="X715" s="38">
        <v>12</v>
      </c>
      <c r="Y715" s="38">
        <v>0</v>
      </c>
      <c r="AK715" s="45">
        <f t="shared" si="94"/>
        <v>0</v>
      </c>
      <c r="AL715" s="46">
        <f t="shared" si="95"/>
        <v>0</v>
      </c>
      <c r="AM715" s="46">
        <f t="shared" si="96"/>
        <v>0</v>
      </c>
      <c r="AN715" s="46"/>
      <c r="AO715" s="119" t="s">
        <v>1197</v>
      </c>
      <c r="AP715" s="38" t="str">
        <f t="shared" si="91"/>
        <v>Exclude</v>
      </c>
    </row>
    <row r="716" spans="1:42" ht="120" hidden="1">
      <c r="A716" s="38" t="str">
        <f t="shared" si="90"/>
        <v>Ausgrid</v>
      </c>
      <c r="B716" s="38" t="s">
        <v>1197</v>
      </c>
      <c r="C716" s="38" t="str">
        <f t="shared" si="92"/>
        <v>Duplicate-TX0501 - Transformers, Reactors and switchgear with compound filled endboxes (greater then 11kV) - ZONE AND SUBTRANSMISSION TRANSFORMERS / OIL FILLED REACTORS</v>
      </c>
      <c r="D716" s="38" t="str">
        <f t="shared" si="93"/>
        <v>Duplicate-</v>
      </c>
      <c r="E716" s="413"/>
      <c r="F716" s="43" t="s">
        <v>431</v>
      </c>
      <c r="G716" s="43" t="s">
        <v>877</v>
      </c>
      <c r="X716" s="38">
        <v>0</v>
      </c>
      <c r="Y716" s="38">
        <v>6</v>
      </c>
      <c r="AK716" s="45">
        <f t="shared" si="94"/>
        <v>0</v>
      </c>
      <c r="AL716" s="46">
        <f t="shared" si="95"/>
        <v>0</v>
      </c>
      <c r="AM716" s="46">
        <f t="shared" si="96"/>
        <v>0</v>
      </c>
      <c r="AN716" s="46"/>
      <c r="AO716" s="119" t="s">
        <v>1197</v>
      </c>
      <c r="AP716" s="38" t="str">
        <f t="shared" si="91"/>
        <v>Exclude</v>
      </c>
    </row>
    <row r="717" spans="1:42" ht="120" hidden="1">
      <c r="A717" s="38" t="str">
        <f t="shared" si="90"/>
        <v>Ausgrid</v>
      </c>
      <c r="B717" s="38" t="s">
        <v>1197</v>
      </c>
      <c r="C717" s="38" t="str">
        <f t="shared" si="92"/>
        <v>Duplicate-TX0501 - Transformers, Reactors and switchgear with compound filled endboxes (greater then 11kV) - ZONE AND SUBTRANSMISSION TRANSFORMERS / OIL FILLED REACTORS</v>
      </c>
      <c r="D717" s="38" t="str">
        <f t="shared" si="93"/>
        <v>Duplicate-</v>
      </c>
      <c r="E717" s="413"/>
      <c r="F717" s="43" t="s">
        <v>431</v>
      </c>
      <c r="G717" s="43" t="s">
        <v>877</v>
      </c>
      <c r="X717" s="38">
        <v>0</v>
      </c>
      <c r="Y717" s="38">
        <v>12</v>
      </c>
      <c r="AK717" s="45">
        <f t="shared" si="94"/>
        <v>0</v>
      </c>
      <c r="AL717" s="46">
        <f t="shared" si="95"/>
        <v>0</v>
      </c>
      <c r="AM717" s="46">
        <f t="shared" si="96"/>
        <v>0</v>
      </c>
      <c r="AN717" s="46"/>
      <c r="AO717" s="119" t="s">
        <v>1197</v>
      </c>
      <c r="AP717" s="38" t="str">
        <f t="shared" si="91"/>
        <v>Exclude</v>
      </c>
    </row>
    <row r="718" spans="1:42" ht="45" hidden="1">
      <c r="A718" s="38" t="str">
        <f t="shared" si="90"/>
        <v>Ausgrid</v>
      </c>
      <c r="B718" s="38" t="s">
        <v>1197</v>
      </c>
      <c r="C718" s="38" t="str">
        <f t="shared" si="92"/>
        <v>Duplicate-TX8101 - Tapchanger - All types. - TRANSFORMER REGULATORS</v>
      </c>
      <c r="D718" s="38" t="str">
        <f t="shared" si="93"/>
        <v>Duplicate-</v>
      </c>
      <c r="E718" s="413"/>
      <c r="F718" s="43" t="s">
        <v>431</v>
      </c>
      <c r="G718" s="43" t="s">
        <v>883</v>
      </c>
      <c r="X718" s="38">
        <v>0.25</v>
      </c>
      <c r="Y718" s="38">
        <v>0</v>
      </c>
      <c r="AK718" s="45">
        <f t="shared" si="94"/>
        <v>0</v>
      </c>
      <c r="AL718" s="46">
        <f t="shared" si="95"/>
        <v>0</v>
      </c>
      <c r="AM718" s="46">
        <f t="shared" si="96"/>
        <v>0</v>
      </c>
      <c r="AN718" s="46"/>
      <c r="AO718" s="119" t="s">
        <v>1197</v>
      </c>
      <c r="AP718" s="38" t="str">
        <f t="shared" si="91"/>
        <v>Exclude</v>
      </c>
    </row>
    <row r="719" spans="1:42" ht="45" hidden="1">
      <c r="A719" s="38" t="str">
        <f t="shared" si="90"/>
        <v>Ausgrid</v>
      </c>
      <c r="B719" s="38" t="s">
        <v>1197</v>
      </c>
      <c r="C719" s="38" t="str">
        <f t="shared" si="92"/>
        <v>Duplicate-TX8104 - Tapchanger, Motorbox - Reinhausen MA Type</v>
      </c>
      <c r="D719" s="38" t="str">
        <f t="shared" si="93"/>
        <v>Duplicate-</v>
      </c>
      <c r="E719" s="413"/>
      <c r="F719" s="43" t="s">
        <v>431</v>
      </c>
      <c r="G719" s="43" t="s">
        <v>884</v>
      </c>
      <c r="X719" s="38">
        <v>6</v>
      </c>
      <c r="Y719" s="38">
        <v>0</v>
      </c>
      <c r="AK719" s="45">
        <f t="shared" si="94"/>
        <v>0</v>
      </c>
      <c r="AL719" s="46">
        <f t="shared" si="95"/>
        <v>0</v>
      </c>
      <c r="AM719" s="46">
        <f t="shared" si="96"/>
        <v>0</v>
      </c>
      <c r="AN719" s="46"/>
      <c r="AO719" s="119" t="s">
        <v>1197</v>
      </c>
      <c r="AP719" s="38" t="str">
        <f t="shared" si="91"/>
        <v>Exclude</v>
      </c>
    </row>
    <row r="720" spans="1:42" ht="60" hidden="1">
      <c r="A720" s="38" t="str">
        <f t="shared" si="90"/>
        <v>Ausgrid</v>
      </c>
      <c r="B720" s="38" t="s">
        <v>1197</v>
      </c>
      <c r="C720" s="38" t="str">
        <f t="shared" si="92"/>
        <v>Duplicate-TX8102 - Tapchanger - Reinhausen C types - AUTO TAP CHANGERS - REINHAUSEN</v>
      </c>
      <c r="D720" s="38" t="str">
        <f t="shared" si="93"/>
        <v>Duplicate-</v>
      </c>
      <c r="E720" s="413"/>
      <c r="F720" s="43" t="s">
        <v>431</v>
      </c>
      <c r="G720" s="43" t="s">
        <v>885</v>
      </c>
      <c r="X720" s="38">
        <v>0</v>
      </c>
      <c r="Y720" s="38">
        <v>6</v>
      </c>
      <c r="AK720" s="45">
        <f t="shared" si="94"/>
        <v>0</v>
      </c>
      <c r="AL720" s="46">
        <f t="shared" si="95"/>
        <v>0</v>
      </c>
      <c r="AM720" s="46">
        <f t="shared" si="96"/>
        <v>0</v>
      </c>
      <c r="AN720" s="46"/>
      <c r="AO720" s="119" t="s">
        <v>1197</v>
      </c>
      <c r="AP720" s="38" t="str">
        <f t="shared" si="91"/>
        <v>Exclude</v>
      </c>
    </row>
    <row r="721" spans="1:42" ht="60" hidden="1">
      <c r="A721" s="38" t="str">
        <f t="shared" si="90"/>
        <v>Ausgrid</v>
      </c>
      <c r="B721" s="38" t="s">
        <v>1197</v>
      </c>
      <c r="C721" s="38" t="str">
        <f t="shared" si="92"/>
        <v>Duplicate-TX8105 - Tapchanger, Motorbox - Reinhausen MA Type - AUTO TAP CHANGERS - REINHAUSEN</v>
      </c>
      <c r="D721" s="38" t="str">
        <f t="shared" si="93"/>
        <v>Duplicate-</v>
      </c>
      <c r="E721" s="413"/>
      <c r="F721" s="43" t="s">
        <v>431</v>
      </c>
      <c r="G721" s="43" t="s">
        <v>886</v>
      </c>
      <c r="X721" s="38">
        <v>0</v>
      </c>
      <c r="Y721" s="38">
        <v>12</v>
      </c>
      <c r="AK721" s="45">
        <f t="shared" si="94"/>
        <v>0</v>
      </c>
      <c r="AL721" s="46">
        <f t="shared" si="95"/>
        <v>0</v>
      </c>
      <c r="AM721" s="46">
        <f t="shared" si="96"/>
        <v>0</v>
      </c>
      <c r="AN721" s="46"/>
      <c r="AO721" s="119" t="s">
        <v>1197</v>
      </c>
      <c r="AP721" s="38" t="str">
        <f t="shared" si="91"/>
        <v>Exclude</v>
      </c>
    </row>
    <row r="722" spans="1:42" ht="60" hidden="1">
      <c r="A722" s="38" t="str">
        <f t="shared" si="90"/>
        <v>Ausgrid</v>
      </c>
      <c r="B722" s="38" t="s">
        <v>1197</v>
      </c>
      <c r="C722" s="38" t="str">
        <f t="shared" si="92"/>
        <v>Duplicate-TX8106 - Tapchanger, Motorbox - Reinhausen MA4 Type only - AUTO TAP CHANGERS - REINHAUSEN</v>
      </c>
      <c r="D722" s="38" t="str">
        <f t="shared" si="93"/>
        <v>Duplicate-</v>
      </c>
      <c r="E722" s="413"/>
      <c r="F722" s="43" t="s">
        <v>431</v>
      </c>
      <c r="G722" s="43" t="s">
        <v>887</v>
      </c>
      <c r="X722" s="38">
        <v>0</v>
      </c>
      <c r="Y722" s="38">
        <v>24</v>
      </c>
      <c r="AK722" s="45">
        <f t="shared" si="94"/>
        <v>0</v>
      </c>
      <c r="AL722" s="46">
        <f t="shared" si="95"/>
        <v>0</v>
      </c>
      <c r="AM722" s="46">
        <f t="shared" si="96"/>
        <v>0</v>
      </c>
      <c r="AN722" s="46"/>
      <c r="AO722" s="119" t="s">
        <v>1197</v>
      </c>
      <c r="AP722" s="38" t="str">
        <f t="shared" si="91"/>
        <v>Exclude</v>
      </c>
    </row>
    <row r="723" spans="1:42" ht="60" hidden="1">
      <c r="A723" s="38" t="str">
        <f t="shared" si="90"/>
        <v>Ausgrid</v>
      </c>
      <c r="B723" s="38" t="s">
        <v>1197</v>
      </c>
      <c r="C723" s="38" t="str">
        <f t="shared" si="92"/>
        <v>Duplicate-TX8117 - Transformer  - Reinhausen V type tap changer - AUTO TAP CHANGERS - REINHAUSEN</v>
      </c>
      <c r="D723" s="38" t="str">
        <f t="shared" si="93"/>
        <v>Duplicate-</v>
      </c>
      <c r="E723" s="413"/>
      <c r="F723" s="43" t="s">
        <v>431</v>
      </c>
      <c r="G723" s="43" t="s">
        <v>888</v>
      </c>
      <c r="X723" s="38">
        <v>0</v>
      </c>
      <c r="Y723" s="38">
        <v>6</v>
      </c>
      <c r="AK723" s="45">
        <f t="shared" si="94"/>
        <v>0</v>
      </c>
      <c r="AL723" s="46">
        <f t="shared" si="95"/>
        <v>0</v>
      </c>
      <c r="AM723" s="46">
        <f t="shared" si="96"/>
        <v>0</v>
      </c>
      <c r="AN723" s="46"/>
      <c r="AO723" s="119" t="s">
        <v>1197</v>
      </c>
      <c r="AP723" s="38" t="str">
        <f t="shared" si="91"/>
        <v>Exclude</v>
      </c>
    </row>
    <row r="724" spans="1:42" ht="60" hidden="1">
      <c r="A724" s="38" t="str">
        <f t="shared" si="90"/>
        <v>Ausgrid</v>
      </c>
      <c r="B724" s="38" t="s">
        <v>1197</v>
      </c>
      <c r="C724" s="38" t="str">
        <f t="shared" si="92"/>
        <v>Duplicate-TX8107 - Transformer  - Reinhausen D type tap changer - AUTO TAP CHANGERS - REINHAUSEN</v>
      </c>
      <c r="D724" s="38" t="str">
        <f t="shared" si="93"/>
        <v>Duplicate-</v>
      </c>
      <c r="E724" s="413"/>
      <c r="F724" s="43" t="s">
        <v>431</v>
      </c>
      <c r="G724" s="43" t="s">
        <v>889</v>
      </c>
      <c r="X724" s="38">
        <v>0</v>
      </c>
      <c r="Y724" s="38">
        <v>6</v>
      </c>
      <c r="AK724" s="45">
        <f t="shared" si="94"/>
        <v>0</v>
      </c>
      <c r="AL724" s="46">
        <f t="shared" si="95"/>
        <v>0</v>
      </c>
      <c r="AM724" s="46">
        <f t="shared" si="96"/>
        <v>0</v>
      </c>
      <c r="AN724" s="46"/>
      <c r="AO724" s="119" t="s">
        <v>1197</v>
      </c>
      <c r="AP724" s="38" t="str">
        <f t="shared" si="91"/>
        <v>Exclude</v>
      </c>
    </row>
    <row r="725" spans="1:42" ht="60" hidden="1">
      <c r="A725" s="38" t="str">
        <f t="shared" si="90"/>
        <v>Ausgrid</v>
      </c>
      <c r="B725" s="38" t="s">
        <v>1197</v>
      </c>
      <c r="C725" s="38" t="str">
        <f t="shared" si="92"/>
        <v>Duplicate-TX8108 - Transformer  - Reinhausen D type tap changer - AUTO TAP CHANGERS - REINHAUSEN</v>
      </c>
      <c r="D725" s="38" t="str">
        <f t="shared" si="93"/>
        <v>Duplicate-</v>
      </c>
      <c r="E725" s="413"/>
      <c r="F725" s="43" t="s">
        <v>431</v>
      </c>
      <c r="G725" s="43" t="s">
        <v>890</v>
      </c>
      <c r="X725" s="38">
        <v>0</v>
      </c>
      <c r="Y725" s="38">
        <v>12</v>
      </c>
      <c r="AK725" s="45">
        <f t="shared" si="94"/>
        <v>0</v>
      </c>
      <c r="AL725" s="46">
        <f t="shared" si="95"/>
        <v>0</v>
      </c>
      <c r="AM725" s="46">
        <f t="shared" si="96"/>
        <v>0</v>
      </c>
      <c r="AN725" s="46"/>
      <c r="AO725" s="119" t="s">
        <v>1197</v>
      </c>
      <c r="AP725" s="38" t="str">
        <f t="shared" si="91"/>
        <v>Exclude</v>
      </c>
    </row>
    <row r="726" spans="1:42" ht="45" hidden="1">
      <c r="A726" s="38" t="str">
        <f t="shared" si="90"/>
        <v>Ausgrid</v>
      </c>
      <c r="B726" s="38" t="s">
        <v>1197</v>
      </c>
      <c r="C726" s="38" t="str">
        <f t="shared" si="92"/>
        <v>Duplicate-TX8101 - Tapchanger - All types. - AUTO TAP CHANGERS - REINHAUSEN</v>
      </c>
      <c r="D726" s="38" t="str">
        <f t="shared" si="93"/>
        <v>Duplicate-</v>
      </c>
      <c r="E726" s="413"/>
      <c r="F726" s="43" t="s">
        <v>431</v>
      </c>
      <c r="G726" s="43" t="s">
        <v>891</v>
      </c>
      <c r="X726" s="38">
        <v>0.25</v>
      </c>
      <c r="Y726" s="38">
        <v>0</v>
      </c>
      <c r="AK726" s="45">
        <f t="shared" si="94"/>
        <v>0</v>
      </c>
      <c r="AL726" s="46">
        <f t="shared" si="95"/>
        <v>0</v>
      </c>
      <c r="AM726" s="46">
        <f t="shared" si="96"/>
        <v>0</v>
      </c>
      <c r="AN726" s="46"/>
      <c r="AO726" s="119" t="s">
        <v>1197</v>
      </c>
      <c r="AP726" s="38" t="str">
        <f t="shared" si="91"/>
        <v>Exclude</v>
      </c>
    </row>
    <row r="727" spans="1:42" ht="60" hidden="1">
      <c r="A727" s="38" t="str">
        <f t="shared" si="90"/>
        <v>Ausgrid</v>
      </c>
      <c r="B727" s="38" t="s">
        <v>1197</v>
      </c>
      <c r="C727" s="38" t="str">
        <f t="shared" si="92"/>
        <v>Duplicate-TX8110 - Transformer  - Reinhausen M type tap changer - AUTO TAP CHANGERS - REINHAUSEN</v>
      </c>
      <c r="D727" s="38" t="str">
        <f t="shared" si="93"/>
        <v>Duplicate-</v>
      </c>
      <c r="E727" s="413"/>
      <c r="F727" s="43" t="s">
        <v>431</v>
      </c>
      <c r="G727" s="43" t="s">
        <v>892</v>
      </c>
      <c r="X727" s="38">
        <v>0</v>
      </c>
      <c r="Y727" s="38">
        <v>6</v>
      </c>
      <c r="AK727" s="45">
        <f t="shared" si="94"/>
        <v>0</v>
      </c>
      <c r="AL727" s="46">
        <f t="shared" si="95"/>
        <v>0</v>
      </c>
      <c r="AM727" s="46">
        <f t="shared" si="96"/>
        <v>0</v>
      </c>
      <c r="AN727" s="46"/>
      <c r="AO727" s="119" t="s">
        <v>1197</v>
      </c>
      <c r="AP727" s="38" t="str">
        <f t="shared" si="91"/>
        <v>Exclude</v>
      </c>
    </row>
    <row r="728" spans="1:42" ht="60" hidden="1">
      <c r="A728" s="38" t="str">
        <f t="shared" si="90"/>
        <v>Ausgrid</v>
      </c>
      <c r="B728" s="38" t="s">
        <v>1197</v>
      </c>
      <c r="C728" s="38" t="str">
        <f t="shared" si="92"/>
        <v>Duplicate-TX8118 - Transformer  - Reinhausen R &amp; T type tap changer - AUTO TAP CHANGERS - REINHAUSEN</v>
      </c>
      <c r="D728" s="38" t="str">
        <f t="shared" si="93"/>
        <v>Duplicate-</v>
      </c>
      <c r="E728" s="413"/>
      <c r="F728" s="43" t="s">
        <v>431</v>
      </c>
      <c r="G728" s="43" t="s">
        <v>893</v>
      </c>
      <c r="X728" s="38">
        <v>0</v>
      </c>
      <c r="Y728" s="38">
        <v>6</v>
      </c>
      <c r="AK728" s="45">
        <f t="shared" si="94"/>
        <v>0</v>
      </c>
      <c r="AL728" s="46">
        <f t="shared" si="95"/>
        <v>0</v>
      </c>
      <c r="AM728" s="46">
        <f t="shared" si="96"/>
        <v>0</v>
      </c>
      <c r="AN728" s="46"/>
      <c r="AO728" s="119" t="s">
        <v>1197</v>
      </c>
      <c r="AP728" s="38" t="str">
        <f t="shared" si="91"/>
        <v>Exclude</v>
      </c>
    </row>
    <row r="729" spans="1:42" ht="60" hidden="1">
      <c r="A729" s="38" t="str">
        <f t="shared" si="90"/>
        <v>Ausgrid</v>
      </c>
      <c r="B729" s="38" t="s">
        <v>1197</v>
      </c>
      <c r="C729" s="38" t="str">
        <f t="shared" si="92"/>
        <v>Duplicate-TX8119 - Transformer  - Reinhausen R &amp; T type tap changer - AUTO TAP CHANGERS - REINHAUSEN</v>
      </c>
      <c r="D729" s="38" t="str">
        <f t="shared" si="93"/>
        <v>Duplicate-</v>
      </c>
      <c r="E729" s="413"/>
      <c r="F729" s="43" t="s">
        <v>431</v>
      </c>
      <c r="G729" s="43" t="s">
        <v>894</v>
      </c>
      <c r="X729" s="38">
        <v>0</v>
      </c>
      <c r="Y729" s="38">
        <v>48</v>
      </c>
      <c r="AK729" s="45">
        <f t="shared" si="94"/>
        <v>0</v>
      </c>
      <c r="AL729" s="46">
        <f t="shared" si="95"/>
        <v>0</v>
      </c>
      <c r="AM729" s="46">
        <f t="shared" si="96"/>
        <v>0</v>
      </c>
      <c r="AN729" s="46"/>
      <c r="AO729" s="119" t="s">
        <v>1197</v>
      </c>
      <c r="AP729" s="38" t="str">
        <f t="shared" si="91"/>
        <v>Exclude</v>
      </c>
    </row>
    <row r="730" spans="1:42" ht="60" hidden="1">
      <c r="A730" s="38" t="str">
        <f t="shared" si="90"/>
        <v>Ausgrid</v>
      </c>
      <c r="B730" s="38" t="s">
        <v>1197</v>
      </c>
      <c r="C730" s="38" t="str">
        <f t="shared" si="92"/>
        <v>Duplicate-TX8114 - Transformer  - Reinhausen F type tap changer - AUTO TAP CHANGERS - REINHAUSEN</v>
      </c>
      <c r="D730" s="38" t="str">
        <f t="shared" si="93"/>
        <v>Duplicate-</v>
      </c>
      <c r="E730" s="413"/>
      <c r="F730" s="43" t="s">
        <v>431</v>
      </c>
      <c r="G730" s="43" t="s">
        <v>895</v>
      </c>
      <c r="X730" s="38">
        <v>0</v>
      </c>
      <c r="Y730" s="38">
        <v>6</v>
      </c>
      <c r="AK730" s="45">
        <f t="shared" si="94"/>
        <v>0</v>
      </c>
      <c r="AL730" s="46">
        <f t="shared" si="95"/>
        <v>0</v>
      </c>
      <c r="AM730" s="46">
        <f t="shared" si="96"/>
        <v>0</v>
      </c>
      <c r="AN730" s="46"/>
      <c r="AO730" s="119" t="s">
        <v>1197</v>
      </c>
      <c r="AP730" s="38" t="str">
        <f t="shared" si="91"/>
        <v>Exclude</v>
      </c>
    </row>
    <row r="731" spans="1:42" ht="60" hidden="1">
      <c r="A731" s="38" t="str">
        <f t="shared" si="90"/>
        <v>Ausgrid</v>
      </c>
      <c r="B731" s="38" t="s">
        <v>1197</v>
      </c>
      <c r="C731" s="38" t="str">
        <f t="shared" si="92"/>
        <v>Duplicate-TX8115 - Transformer  - Reinhausen F type tap changer - AUTO TAP CHANGERS - REINHAUSEN</v>
      </c>
      <c r="D731" s="38" t="str">
        <f t="shared" si="93"/>
        <v>Duplicate-</v>
      </c>
      <c r="E731" s="413"/>
      <c r="F731" s="43" t="s">
        <v>431</v>
      </c>
      <c r="G731" s="43" t="s">
        <v>896</v>
      </c>
      <c r="X731" s="38">
        <v>0</v>
      </c>
      <c r="Y731" s="38">
        <v>12</v>
      </c>
      <c r="AK731" s="45">
        <f t="shared" si="94"/>
        <v>0</v>
      </c>
      <c r="AL731" s="46">
        <f t="shared" si="95"/>
        <v>0</v>
      </c>
      <c r="AM731" s="46">
        <f t="shared" si="96"/>
        <v>0</v>
      </c>
      <c r="AN731" s="46"/>
      <c r="AO731" s="119" t="s">
        <v>1197</v>
      </c>
      <c r="AP731" s="38" t="str">
        <f t="shared" si="91"/>
        <v>Exclude</v>
      </c>
    </row>
    <row r="732" spans="1:42" ht="60" hidden="1">
      <c r="A732" s="38" t="str">
        <f t="shared" si="90"/>
        <v>Ausgrid</v>
      </c>
      <c r="B732" s="38" t="s">
        <v>1197</v>
      </c>
      <c r="C732" s="38" t="str">
        <f t="shared" si="92"/>
        <v>Duplicate-TX8116 - Transformer  - Reinhausen F type tap changer - AUTO TAP CHANGERS - REINHAUSEN</v>
      </c>
      <c r="D732" s="38" t="str">
        <f t="shared" si="93"/>
        <v>Duplicate-</v>
      </c>
      <c r="E732" s="413"/>
      <c r="F732" s="43" t="s">
        <v>431</v>
      </c>
      <c r="G732" s="43" t="s">
        <v>897</v>
      </c>
      <c r="X732" s="38">
        <v>0</v>
      </c>
      <c r="Y732" s="38">
        <v>36</v>
      </c>
      <c r="AK732" s="45">
        <f t="shared" si="94"/>
        <v>0</v>
      </c>
      <c r="AL732" s="46">
        <f t="shared" si="95"/>
        <v>0</v>
      </c>
      <c r="AM732" s="46">
        <f t="shared" si="96"/>
        <v>0</v>
      </c>
      <c r="AN732" s="46"/>
      <c r="AO732" s="119" t="s">
        <v>1197</v>
      </c>
      <c r="AP732" s="38" t="str">
        <f t="shared" si="91"/>
        <v>Exclude</v>
      </c>
    </row>
    <row r="733" spans="1:42" ht="60" hidden="1">
      <c r="A733" s="38" t="str">
        <f t="shared" si="90"/>
        <v>Ausgrid</v>
      </c>
      <c r="B733" s="38" t="s">
        <v>1197</v>
      </c>
      <c r="C733" s="38" t="str">
        <f t="shared" si="92"/>
        <v>Duplicate-TX8116 - Transformer  - Reinhausen F type tap changer - AUTO TAP CHANGERS - REINHAUSEN</v>
      </c>
      <c r="D733" s="38" t="str">
        <f t="shared" si="93"/>
        <v>Duplicate-</v>
      </c>
      <c r="E733" s="413"/>
      <c r="F733" s="43" t="s">
        <v>431</v>
      </c>
      <c r="G733" s="43" t="s">
        <v>897</v>
      </c>
      <c r="X733" s="38">
        <v>0</v>
      </c>
      <c r="Y733" s="38">
        <v>48</v>
      </c>
      <c r="AK733" s="45">
        <f t="shared" si="94"/>
        <v>0</v>
      </c>
      <c r="AL733" s="46">
        <f t="shared" si="95"/>
        <v>0</v>
      </c>
      <c r="AM733" s="46">
        <f t="shared" si="96"/>
        <v>0</v>
      </c>
      <c r="AN733" s="46"/>
      <c r="AO733" s="119" t="s">
        <v>1197</v>
      </c>
      <c r="AP733" s="38" t="str">
        <f t="shared" si="91"/>
        <v>Exclude</v>
      </c>
    </row>
    <row r="734" spans="1:42" ht="60" hidden="1">
      <c r="A734" s="38" t="str">
        <f t="shared" si="90"/>
        <v>Ausgrid</v>
      </c>
      <c r="B734" s="38" t="s">
        <v>1197</v>
      </c>
      <c r="C734" s="38" t="str">
        <f t="shared" si="92"/>
        <v>Duplicate-TX8120 - Tapchanger - Reinhausen Vacutap - AUTO TAP CHANGERS - REINHAUSEN</v>
      </c>
      <c r="D734" s="38" t="str">
        <f t="shared" si="93"/>
        <v>Duplicate-</v>
      </c>
      <c r="E734" s="413"/>
      <c r="F734" s="43" t="s">
        <v>431</v>
      </c>
      <c r="G734" s="43" t="s">
        <v>898</v>
      </c>
      <c r="X734" s="38">
        <v>0</v>
      </c>
      <c r="Y734" s="38">
        <v>0.5</v>
      </c>
      <c r="AK734" s="45">
        <f t="shared" si="94"/>
        <v>0</v>
      </c>
      <c r="AL734" s="46">
        <f t="shared" si="95"/>
        <v>0</v>
      </c>
      <c r="AM734" s="46">
        <f t="shared" si="96"/>
        <v>0</v>
      </c>
      <c r="AN734" s="46"/>
      <c r="AO734" s="119" t="s">
        <v>1197</v>
      </c>
      <c r="AP734" s="38" t="str">
        <f t="shared" si="91"/>
        <v>Exclude</v>
      </c>
    </row>
    <row r="735" spans="1:42" ht="60" hidden="1">
      <c r="A735" s="38" t="str">
        <f t="shared" si="90"/>
        <v>Ausgrid</v>
      </c>
      <c r="B735" s="38" t="s">
        <v>1197</v>
      </c>
      <c r="C735" s="38" t="str">
        <f t="shared" si="92"/>
        <v>Duplicate-TX8124 - Tapchanger, Motorbox - Reinhausen ED 100 / 200 Types - AUTO TAP CHANGERS - REINHAUSEN</v>
      </c>
      <c r="D735" s="38" t="str">
        <f t="shared" si="93"/>
        <v>Duplicate-</v>
      </c>
      <c r="E735" s="413"/>
      <c r="F735" s="43" t="s">
        <v>431</v>
      </c>
      <c r="G735" s="43" t="s">
        <v>899</v>
      </c>
      <c r="X735" s="38">
        <v>0</v>
      </c>
      <c r="Y735" s="38">
        <v>6</v>
      </c>
      <c r="AK735" s="45">
        <f t="shared" si="94"/>
        <v>0</v>
      </c>
      <c r="AL735" s="46">
        <f t="shared" si="95"/>
        <v>0</v>
      </c>
      <c r="AM735" s="46">
        <f t="shared" si="96"/>
        <v>0</v>
      </c>
      <c r="AN735" s="46"/>
      <c r="AO735" s="119" t="s">
        <v>1197</v>
      </c>
      <c r="AP735" s="38" t="str">
        <f t="shared" si="91"/>
        <v>Exclude</v>
      </c>
    </row>
    <row r="736" spans="1:42" ht="60" hidden="1">
      <c r="A736" s="38" t="str">
        <f t="shared" si="90"/>
        <v>Ausgrid</v>
      </c>
      <c r="B736" s="38" t="s">
        <v>1197</v>
      </c>
      <c r="C736" s="38" t="str">
        <f t="shared" si="92"/>
        <v>Duplicate-TX8205 - Transformer  - AEI / MV  M21, M23 and M52 Type Tapchanger  - AUTO TAP CHANGERS - AEI</v>
      </c>
      <c r="D736" s="38" t="str">
        <f t="shared" si="93"/>
        <v>Duplicate-</v>
      </c>
      <c r="E736" s="413"/>
      <c r="F736" s="43" t="s">
        <v>431</v>
      </c>
      <c r="G736" s="43" t="s">
        <v>900</v>
      </c>
      <c r="X736" s="38">
        <v>0</v>
      </c>
      <c r="Y736" s="38">
        <v>2</v>
      </c>
      <c r="AK736" s="45">
        <f t="shared" si="94"/>
        <v>0</v>
      </c>
      <c r="AL736" s="46">
        <f t="shared" si="95"/>
        <v>0</v>
      </c>
      <c r="AM736" s="46">
        <f t="shared" si="96"/>
        <v>0</v>
      </c>
      <c r="AN736" s="46"/>
      <c r="AO736" s="119" t="s">
        <v>1197</v>
      </c>
      <c r="AP736" s="38" t="str">
        <f t="shared" si="91"/>
        <v>Exclude</v>
      </c>
    </row>
    <row r="737" spans="1:42" ht="60" hidden="1">
      <c r="A737" s="38" t="str">
        <f t="shared" si="90"/>
        <v>Ausgrid</v>
      </c>
      <c r="B737" s="38" t="s">
        <v>1197</v>
      </c>
      <c r="C737" s="38" t="str">
        <f t="shared" si="92"/>
        <v>Duplicate-TX8206 - Transformer  - AEI / MV  M21, M23 and M52 Type Tapchanger  - AUTO TAP CHANGERS - AEI</v>
      </c>
      <c r="D737" s="38" t="str">
        <f t="shared" si="93"/>
        <v>Duplicate-</v>
      </c>
      <c r="E737" s="413"/>
      <c r="F737" s="43" t="s">
        <v>431</v>
      </c>
      <c r="G737" s="43" t="s">
        <v>901</v>
      </c>
      <c r="X737" s="38">
        <v>0</v>
      </c>
      <c r="Y737" s="38">
        <v>6</v>
      </c>
      <c r="AK737" s="45">
        <f t="shared" si="94"/>
        <v>0</v>
      </c>
      <c r="AL737" s="46">
        <f t="shared" si="95"/>
        <v>0</v>
      </c>
      <c r="AM737" s="46">
        <f t="shared" si="96"/>
        <v>0</v>
      </c>
      <c r="AN737" s="46"/>
      <c r="AO737" s="119" t="s">
        <v>1197</v>
      </c>
      <c r="AP737" s="38" t="str">
        <f t="shared" si="91"/>
        <v>Exclude</v>
      </c>
    </row>
    <row r="738" spans="1:42" ht="45" hidden="1">
      <c r="A738" s="38" t="str">
        <f t="shared" si="90"/>
        <v>Ausgrid</v>
      </c>
      <c r="B738" s="38" t="s">
        <v>1197</v>
      </c>
      <c r="C738" s="38" t="str">
        <f t="shared" si="92"/>
        <v>Duplicate-TX8301 - Transformer, Tapchanger, Ferranti DS2/ES3</v>
      </c>
      <c r="D738" s="38" t="str">
        <f t="shared" si="93"/>
        <v>Duplicate-</v>
      </c>
      <c r="E738" s="413"/>
      <c r="F738" s="43" t="s">
        <v>431</v>
      </c>
      <c r="G738" s="43" t="s">
        <v>902</v>
      </c>
      <c r="X738" s="38">
        <v>3</v>
      </c>
      <c r="Y738" s="38">
        <v>3</v>
      </c>
      <c r="AK738" s="45">
        <f t="shared" si="94"/>
        <v>0</v>
      </c>
      <c r="AL738" s="46">
        <f t="shared" si="95"/>
        <v>0</v>
      </c>
      <c r="AM738" s="46">
        <f t="shared" si="96"/>
        <v>0</v>
      </c>
      <c r="AN738" s="46"/>
      <c r="AO738" s="119" t="s">
        <v>1197</v>
      </c>
      <c r="AP738" s="38" t="str">
        <f t="shared" si="91"/>
        <v>Exclude</v>
      </c>
    </row>
    <row r="739" spans="1:42" ht="45" hidden="1">
      <c r="A739" s="38" t="str">
        <f t="shared" si="90"/>
        <v>Ausgrid</v>
      </c>
      <c r="B739" s="38" t="s">
        <v>1197</v>
      </c>
      <c r="C739" s="38" t="str">
        <f t="shared" si="92"/>
        <v xml:space="preserve">Duplicate-TX8302 - Transformer  - Ferranti Rotary, FRT and FC4 Type Tapchanger </v>
      </c>
      <c r="D739" s="38" t="str">
        <f t="shared" si="93"/>
        <v>Duplicate-</v>
      </c>
      <c r="E739" s="413"/>
      <c r="F739" s="43" t="s">
        <v>431</v>
      </c>
      <c r="G739" s="43" t="s">
        <v>903</v>
      </c>
      <c r="X739" s="38">
        <v>1</v>
      </c>
      <c r="Y739" s="38">
        <v>1</v>
      </c>
      <c r="AK739" s="45">
        <f t="shared" si="94"/>
        <v>0</v>
      </c>
      <c r="AL739" s="46">
        <f t="shared" si="95"/>
        <v>0</v>
      </c>
      <c r="AM739" s="46">
        <f t="shared" si="96"/>
        <v>0</v>
      </c>
      <c r="AN739" s="46"/>
      <c r="AO739" s="119" t="s">
        <v>1197</v>
      </c>
      <c r="AP739" s="38" t="str">
        <f t="shared" si="91"/>
        <v>Exclude</v>
      </c>
    </row>
    <row r="740" spans="1:42" ht="45" hidden="1">
      <c r="A740" s="38" t="str">
        <f t="shared" si="90"/>
        <v>Ausgrid</v>
      </c>
      <c r="B740" s="38" t="s">
        <v>1197</v>
      </c>
      <c r="C740" s="38" t="str">
        <f t="shared" si="92"/>
        <v xml:space="preserve">Duplicate-TX8303- Transformer  - Ferranti Rotary, FRT and FC4 Type Tapchanger </v>
      </c>
      <c r="D740" s="38" t="str">
        <f t="shared" si="93"/>
        <v>Duplicate-</v>
      </c>
      <c r="E740" s="413"/>
      <c r="F740" s="43" t="s">
        <v>431</v>
      </c>
      <c r="G740" s="43" t="s">
        <v>904</v>
      </c>
      <c r="X740" s="38">
        <v>6</v>
      </c>
      <c r="Y740" s="38">
        <v>6</v>
      </c>
      <c r="AK740" s="45">
        <f t="shared" si="94"/>
        <v>0</v>
      </c>
      <c r="AL740" s="46">
        <f t="shared" si="95"/>
        <v>0</v>
      </c>
      <c r="AM740" s="46">
        <f t="shared" si="96"/>
        <v>0</v>
      </c>
      <c r="AN740" s="46"/>
      <c r="AO740" s="119" t="s">
        <v>1197</v>
      </c>
      <c r="AP740" s="38" t="str">
        <f t="shared" si="91"/>
        <v>Exclude</v>
      </c>
    </row>
    <row r="741" spans="1:42" ht="45" hidden="1">
      <c r="A741" s="38" t="str">
        <f t="shared" si="90"/>
        <v>Ausgrid</v>
      </c>
      <c r="B741" s="38" t="s">
        <v>1197</v>
      </c>
      <c r="C741" s="38" t="str">
        <f t="shared" si="92"/>
        <v xml:space="preserve">Duplicate-TX8304 - Transformer  - Ferranti Rotary, FRT and FC4 Type Tapchanger </v>
      </c>
      <c r="D741" s="38" t="str">
        <f t="shared" si="93"/>
        <v>Duplicate-</v>
      </c>
      <c r="E741" s="413"/>
      <c r="F741" s="43" t="s">
        <v>431</v>
      </c>
      <c r="G741" s="43" t="s">
        <v>905</v>
      </c>
      <c r="X741" s="38">
        <v>12</v>
      </c>
      <c r="Y741" s="38">
        <v>12</v>
      </c>
      <c r="AK741" s="45">
        <f t="shared" si="94"/>
        <v>0</v>
      </c>
      <c r="AL741" s="46">
        <f t="shared" si="95"/>
        <v>0</v>
      </c>
      <c r="AM741" s="46">
        <f t="shared" si="96"/>
        <v>0</v>
      </c>
      <c r="AN741" s="46"/>
      <c r="AO741" s="119" t="s">
        <v>1197</v>
      </c>
      <c r="AP741" s="38" t="str">
        <f t="shared" si="91"/>
        <v>Exclude</v>
      </c>
    </row>
    <row r="742" spans="1:42" ht="30" hidden="1">
      <c r="A742" s="38" t="str">
        <f t="shared" si="90"/>
        <v>Ausgrid</v>
      </c>
      <c r="B742" s="38" t="s">
        <v>1197</v>
      </c>
      <c r="C742" s="38" t="str">
        <f t="shared" si="92"/>
        <v>Duplicate-TX8401 - Transformer  - ABB Type UZE/UZF tap changers</v>
      </c>
      <c r="D742" s="38" t="str">
        <f t="shared" si="93"/>
        <v>Duplicate-</v>
      </c>
      <c r="E742" s="413"/>
      <c r="F742" s="43" t="s">
        <v>431</v>
      </c>
      <c r="G742" s="43" t="s">
        <v>906</v>
      </c>
      <c r="X742" s="38">
        <v>6</v>
      </c>
      <c r="Y742" s="38">
        <v>6</v>
      </c>
      <c r="AK742" s="45">
        <f t="shared" si="94"/>
        <v>0</v>
      </c>
      <c r="AL742" s="46">
        <f t="shared" si="95"/>
        <v>0</v>
      </c>
      <c r="AM742" s="46">
        <f t="shared" si="96"/>
        <v>0</v>
      </c>
      <c r="AN742" s="46"/>
      <c r="AO742" s="119" t="s">
        <v>1197</v>
      </c>
      <c r="AP742" s="38" t="str">
        <f t="shared" si="91"/>
        <v>Exclude</v>
      </c>
    </row>
    <row r="743" spans="1:42" ht="30" hidden="1">
      <c r="A743" s="38" t="str">
        <f t="shared" si="90"/>
        <v>Ausgrid</v>
      </c>
      <c r="B743" s="38" t="s">
        <v>1197</v>
      </c>
      <c r="C743" s="38" t="str">
        <f t="shared" si="92"/>
        <v>Duplicate-TX8402 - Transformer  - ABB Type UZE/UZF tap changers</v>
      </c>
      <c r="D743" s="38" t="str">
        <f t="shared" si="93"/>
        <v>Duplicate-</v>
      </c>
      <c r="E743" s="413"/>
      <c r="F743" s="43" t="s">
        <v>431</v>
      </c>
      <c r="G743" s="43" t="s">
        <v>907</v>
      </c>
      <c r="X743" s="38">
        <v>60</v>
      </c>
      <c r="Y743" s="38">
        <v>60</v>
      </c>
      <c r="AK743" s="45">
        <f t="shared" si="94"/>
        <v>0</v>
      </c>
      <c r="AL743" s="46">
        <f t="shared" si="95"/>
        <v>0</v>
      </c>
      <c r="AM743" s="46">
        <f t="shared" si="96"/>
        <v>0</v>
      </c>
      <c r="AN743" s="46"/>
      <c r="AO743" s="119" t="s">
        <v>1197</v>
      </c>
      <c r="AP743" s="38" t="str">
        <f t="shared" si="91"/>
        <v>Exclude</v>
      </c>
    </row>
    <row r="744" spans="1:42" ht="30" hidden="1">
      <c r="A744" s="38" t="str">
        <f t="shared" si="90"/>
        <v>Ausgrid</v>
      </c>
      <c r="B744" s="38" t="s">
        <v>1197</v>
      </c>
      <c r="C744" s="38" t="str">
        <f t="shared" si="92"/>
        <v>Duplicate-TX8403 - Transformer  - ABB Type UZC tap changers</v>
      </c>
      <c r="D744" s="38" t="str">
        <f t="shared" si="93"/>
        <v>Duplicate-</v>
      </c>
      <c r="E744" s="413"/>
      <c r="F744" s="43" t="s">
        <v>431</v>
      </c>
      <c r="G744" s="43" t="s">
        <v>908</v>
      </c>
      <c r="X744" s="38">
        <v>6</v>
      </c>
      <c r="Y744" s="38">
        <v>6</v>
      </c>
      <c r="AK744" s="45">
        <f t="shared" si="94"/>
        <v>0</v>
      </c>
      <c r="AL744" s="46">
        <f t="shared" si="95"/>
        <v>0</v>
      </c>
      <c r="AM744" s="46">
        <f t="shared" si="96"/>
        <v>0</v>
      </c>
      <c r="AN744" s="46"/>
      <c r="AO744" s="119" t="s">
        <v>1197</v>
      </c>
      <c r="AP744" s="38" t="str">
        <f t="shared" si="91"/>
        <v>Exclude</v>
      </c>
    </row>
    <row r="745" spans="1:42" ht="30" hidden="1">
      <c r="A745" s="38" t="str">
        <f t="shared" si="90"/>
        <v>Ausgrid</v>
      </c>
      <c r="B745" s="38" t="s">
        <v>1197</v>
      </c>
      <c r="C745" s="38" t="str">
        <f t="shared" si="92"/>
        <v>Duplicate-TX8404 - Transformer  - ABB Type UZC tap changers</v>
      </c>
      <c r="D745" s="38" t="str">
        <f t="shared" si="93"/>
        <v>Duplicate-</v>
      </c>
      <c r="E745" s="413"/>
      <c r="F745" s="43" t="s">
        <v>431</v>
      </c>
      <c r="G745" s="43" t="s">
        <v>1109</v>
      </c>
      <c r="X745" s="38">
        <v>24</v>
      </c>
      <c r="Y745" s="38">
        <v>24</v>
      </c>
      <c r="AK745" s="45">
        <f t="shared" si="94"/>
        <v>0</v>
      </c>
      <c r="AL745" s="46">
        <f t="shared" si="95"/>
        <v>0</v>
      </c>
      <c r="AM745" s="46">
        <f t="shared" si="96"/>
        <v>0</v>
      </c>
      <c r="AN745" s="46"/>
      <c r="AO745" s="119" t="s">
        <v>1197</v>
      </c>
      <c r="AP745" s="38" t="str">
        <f t="shared" si="91"/>
        <v>Exclude</v>
      </c>
    </row>
    <row r="746" spans="1:42" ht="45" hidden="1">
      <c r="A746" s="38" t="str">
        <f t="shared" si="90"/>
        <v>Ausgrid</v>
      </c>
      <c r="B746" s="38" t="s">
        <v>1197</v>
      </c>
      <c r="C746" s="38" t="str">
        <f t="shared" si="92"/>
        <v>Duplicate-TX8501 - Transformer (energised) - BGE / EPM  M Type Tapchanger</v>
      </c>
      <c r="D746" s="38" t="str">
        <f t="shared" si="93"/>
        <v>Duplicate-</v>
      </c>
      <c r="E746" s="413"/>
      <c r="F746" s="43" t="s">
        <v>431</v>
      </c>
      <c r="G746" s="43" t="s">
        <v>910</v>
      </c>
      <c r="X746" s="38">
        <v>1</v>
      </c>
      <c r="Y746" s="38">
        <v>1</v>
      </c>
      <c r="AK746" s="45">
        <f t="shared" si="94"/>
        <v>0</v>
      </c>
      <c r="AL746" s="46">
        <f t="shared" si="95"/>
        <v>0</v>
      </c>
      <c r="AM746" s="46">
        <f t="shared" si="96"/>
        <v>0</v>
      </c>
      <c r="AN746" s="46"/>
      <c r="AO746" s="119" t="s">
        <v>1197</v>
      </c>
      <c r="AP746" s="38" t="str">
        <f t="shared" si="91"/>
        <v>Exclude</v>
      </c>
    </row>
    <row r="747" spans="1:42" ht="30" hidden="1">
      <c r="A747" s="38" t="str">
        <f t="shared" si="90"/>
        <v>Ausgrid</v>
      </c>
      <c r="B747" s="38" t="s">
        <v>1197</v>
      </c>
      <c r="C747" s="38" t="str">
        <f t="shared" si="92"/>
        <v xml:space="preserve">Duplicate-TX8502 - Transformer  - BGE / EPM  M Type Tapchanger </v>
      </c>
      <c r="D747" s="38" t="str">
        <f t="shared" si="93"/>
        <v>Duplicate-</v>
      </c>
      <c r="E747" s="413"/>
      <c r="F747" s="43" t="s">
        <v>431</v>
      </c>
      <c r="G747" s="43" t="s">
        <v>911</v>
      </c>
      <c r="X747" s="38">
        <v>2</v>
      </c>
      <c r="Y747" s="38">
        <v>2</v>
      </c>
      <c r="AK747" s="45">
        <f t="shared" si="94"/>
        <v>0</v>
      </c>
      <c r="AL747" s="46">
        <f t="shared" si="95"/>
        <v>0</v>
      </c>
      <c r="AM747" s="46">
        <f t="shared" si="96"/>
        <v>0</v>
      </c>
      <c r="AN747" s="46"/>
      <c r="AO747" s="119" t="s">
        <v>1197</v>
      </c>
      <c r="AP747" s="38" t="str">
        <f t="shared" si="91"/>
        <v>Exclude</v>
      </c>
    </row>
    <row r="748" spans="1:42" ht="30" hidden="1">
      <c r="A748" s="38" t="str">
        <f t="shared" si="90"/>
        <v>Ausgrid</v>
      </c>
      <c r="B748" s="38" t="s">
        <v>1197</v>
      </c>
      <c r="C748" s="38" t="str">
        <f t="shared" si="92"/>
        <v>Duplicate-TX8503 - Transformer  - BGE / EPM  M Type Tapchanger</v>
      </c>
      <c r="D748" s="38" t="str">
        <f t="shared" si="93"/>
        <v>Duplicate-</v>
      </c>
      <c r="E748" s="413"/>
      <c r="F748" s="43" t="s">
        <v>431</v>
      </c>
      <c r="G748" s="43" t="s">
        <v>912</v>
      </c>
      <c r="X748" s="38">
        <v>6</v>
      </c>
      <c r="Y748" s="38">
        <v>6</v>
      </c>
      <c r="AK748" s="45">
        <f t="shared" si="94"/>
        <v>0</v>
      </c>
      <c r="AL748" s="46">
        <f t="shared" si="95"/>
        <v>0</v>
      </c>
      <c r="AM748" s="46">
        <f t="shared" si="96"/>
        <v>0</v>
      </c>
      <c r="AN748" s="46"/>
      <c r="AO748" s="119" t="s">
        <v>1197</v>
      </c>
      <c r="AP748" s="38" t="str">
        <f t="shared" si="91"/>
        <v>Exclude</v>
      </c>
    </row>
    <row r="749" spans="1:42" ht="45" hidden="1">
      <c r="A749" s="38" t="str">
        <f t="shared" si="90"/>
        <v>Ausgrid</v>
      </c>
      <c r="B749" s="38" t="s">
        <v>1197</v>
      </c>
      <c r="C749" s="38" t="str">
        <f t="shared" si="92"/>
        <v>Duplicate-TX8601 - Transformer (energised) - Fuller 317 tap changer</v>
      </c>
      <c r="D749" s="38" t="str">
        <f t="shared" si="93"/>
        <v>Duplicate-</v>
      </c>
      <c r="E749" s="413"/>
      <c r="F749" s="43" t="s">
        <v>431</v>
      </c>
      <c r="G749" s="43" t="s">
        <v>913</v>
      </c>
      <c r="X749" s="38">
        <v>1</v>
      </c>
      <c r="Y749" s="38">
        <v>0</v>
      </c>
      <c r="AK749" s="45">
        <f t="shared" si="94"/>
        <v>0</v>
      </c>
      <c r="AL749" s="46">
        <f t="shared" si="95"/>
        <v>0</v>
      </c>
      <c r="AM749" s="46">
        <f t="shared" si="96"/>
        <v>0</v>
      </c>
      <c r="AN749" s="46"/>
      <c r="AO749" s="119" t="s">
        <v>1197</v>
      </c>
      <c r="AP749" s="38" t="str">
        <f t="shared" si="91"/>
        <v>Exclude</v>
      </c>
    </row>
    <row r="750" spans="1:42" ht="30" hidden="1">
      <c r="A750" s="38" t="str">
        <f t="shared" si="90"/>
        <v>Ausgrid</v>
      </c>
      <c r="B750" s="38" t="s">
        <v>1197</v>
      </c>
      <c r="C750" s="38" t="str">
        <f t="shared" si="92"/>
        <v>Duplicate-TX8602 - Transformer  - Fuller 317 tap changer</v>
      </c>
      <c r="D750" s="38" t="str">
        <f t="shared" si="93"/>
        <v>Duplicate-</v>
      </c>
      <c r="E750" s="413"/>
      <c r="F750" s="43" t="s">
        <v>431</v>
      </c>
      <c r="G750" s="43" t="s">
        <v>914</v>
      </c>
      <c r="X750" s="38">
        <v>3</v>
      </c>
      <c r="Y750" s="38">
        <v>3</v>
      </c>
      <c r="AK750" s="45">
        <f t="shared" si="94"/>
        <v>0</v>
      </c>
      <c r="AL750" s="46">
        <f t="shared" si="95"/>
        <v>0</v>
      </c>
      <c r="AM750" s="46">
        <f t="shared" si="96"/>
        <v>0</v>
      </c>
      <c r="AN750" s="46"/>
      <c r="AO750" s="119" t="s">
        <v>1197</v>
      </c>
      <c r="AP750" s="38" t="str">
        <f t="shared" si="91"/>
        <v>Exclude</v>
      </c>
    </row>
    <row r="751" spans="1:42" ht="45" hidden="1">
      <c r="A751" s="38" t="str">
        <f t="shared" si="90"/>
        <v>Ausgrid</v>
      </c>
      <c r="B751" s="38" t="s">
        <v>1197</v>
      </c>
      <c r="C751" s="38" t="str">
        <f t="shared" si="92"/>
        <v>Duplicate-TX8702 - Transformer, Tapchanger, Cromptom Parkinson HDA/MDA</v>
      </c>
      <c r="D751" s="38" t="str">
        <f t="shared" si="93"/>
        <v>Duplicate-</v>
      </c>
      <c r="E751" s="413"/>
      <c r="F751" s="43" t="s">
        <v>431</v>
      </c>
      <c r="G751" s="43" t="s">
        <v>915</v>
      </c>
      <c r="X751" s="38">
        <v>3</v>
      </c>
      <c r="Y751" s="38">
        <v>3</v>
      </c>
      <c r="AK751" s="45">
        <f t="shared" si="94"/>
        <v>0</v>
      </c>
      <c r="AL751" s="46">
        <f t="shared" si="95"/>
        <v>0</v>
      </c>
      <c r="AM751" s="46">
        <f t="shared" si="96"/>
        <v>0</v>
      </c>
      <c r="AN751" s="46"/>
      <c r="AO751" s="119" t="s">
        <v>1197</v>
      </c>
      <c r="AP751" s="38" t="str">
        <f t="shared" si="91"/>
        <v>Exclude</v>
      </c>
    </row>
    <row r="752" spans="1:42" ht="45" hidden="1">
      <c r="A752" s="38" t="str">
        <f t="shared" si="90"/>
        <v>Ausgrid</v>
      </c>
      <c r="B752" s="38" t="s">
        <v>1197</v>
      </c>
      <c r="C752" s="38" t="str">
        <f t="shared" si="92"/>
        <v>Duplicate-TX8703 - Transformer, Tapchanger, Cromptom Parkinson HDA/MDA</v>
      </c>
      <c r="D752" s="38" t="str">
        <f t="shared" si="93"/>
        <v>Duplicate-</v>
      </c>
      <c r="E752" s="413"/>
      <c r="F752" s="43" t="s">
        <v>431</v>
      </c>
      <c r="G752" s="43" t="s">
        <v>916</v>
      </c>
      <c r="X752" s="38">
        <v>12</v>
      </c>
      <c r="Y752" s="38">
        <v>12</v>
      </c>
      <c r="AK752" s="45">
        <f t="shared" si="94"/>
        <v>0</v>
      </c>
      <c r="AL752" s="46">
        <f t="shared" si="95"/>
        <v>0</v>
      </c>
      <c r="AM752" s="46">
        <f t="shared" si="96"/>
        <v>0</v>
      </c>
      <c r="AN752" s="46"/>
      <c r="AO752" s="119" t="s">
        <v>1197</v>
      </c>
      <c r="AP752" s="38" t="str">
        <f t="shared" si="91"/>
        <v>Exclude</v>
      </c>
    </row>
    <row r="753" spans="1:42" ht="45" hidden="1">
      <c r="A753" s="38" t="str">
        <f t="shared" si="90"/>
        <v>Ausgrid</v>
      </c>
      <c r="B753" s="38" t="s">
        <v>1197</v>
      </c>
      <c r="C753" s="38" t="str">
        <f t="shared" si="92"/>
        <v>Duplicate-TX8801 - Transformer (energised) - English Electric AF series tap changers</v>
      </c>
      <c r="D753" s="38" t="str">
        <f t="shared" si="93"/>
        <v>Duplicate-</v>
      </c>
      <c r="E753" s="413"/>
      <c r="F753" s="43" t="s">
        <v>431</v>
      </c>
      <c r="G753" s="43" t="s">
        <v>917</v>
      </c>
      <c r="X753" s="38">
        <v>1</v>
      </c>
      <c r="Y753" s="38">
        <v>1</v>
      </c>
      <c r="AK753" s="45">
        <f t="shared" si="94"/>
        <v>0</v>
      </c>
      <c r="AL753" s="46">
        <f t="shared" si="95"/>
        <v>0</v>
      </c>
      <c r="AM753" s="46">
        <f t="shared" si="96"/>
        <v>0</v>
      </c>
      <c r="AN753" s="46"/>
      <c r="AO753" s="119" t="s">
        <v>1197</v>
      </c>
      <c r="AP753" s="38" t="str">
        <f t="shared" si="91"/>
        <v>Exclude</v>
      </c>
    </row>
    <row r="754" spans="1:42" ht="45" hidden="1">
      <c r="A754" s="38" t="str">
        <f t="shared" si="90"/>
        <v>Ausgrid</v>
      </c>
      <c r="B754" s="38" t="s">
        <v>1197</v>
      </c>
      <c r="C754" s="38" t="str">
        <f t="shared" si="92"/>
        <v>Duplicate-TX8802 - Transformer  - English Electric AF series tap changers</v>
      </c>
      <c r="D754" s="38" t="str">
        <f t="shared" si="93"/>
        <v>Duplicate-</v>
      </c>
      <c r="E754" s="413"/>
      <c r="F754" s="43" t="s">
        <v>431</v>
      </c>
      <c r="G754" s="43" t="s">
        <v>918</v>
      </c>
      <c r="X754" s="38">
        <v>2</v>
      </c>
      <c r="Y754" s="38">
        <v>2</v>
      </c>
      <c r="AK754" s="45">
        <f t="shared" si="94"/>
        <v>0</v>
      </c>
      <c r="AL754" s="46">
        <f t="shared" si="95"/>
        <v>0</v>
      </c>
      <c r="AM754" s="46">
        <f t="shared" si="96"/>
        <v>0</v>
      </c>
      <c r="AN754" s="46"/>
      <c r="AO754" s="119" t="s">
        <v>1197</v>
      </c>
      <c r="AP754" s="38" t="str">
        <f t="shared" si="91"/>
        <v>Exclude</v>
      </c>
    </row>
    <row r="755" spans="1:42" ht="45" hidden="1">
      <c r="A755" s="38" t="str">
        <f t="shared" ref="A755:A818" si="97">IF(E755&gt;0,E755,A754)</f>
        <v>Ausgrid</v>
      </c>
      <c r="B755" s="38" t="s">
        <v>1197</v>
      </c>
      <c r="C755" s="38" t="str">
        <f t="shared" si="92"/>
        <v>Duplicate-TX8803 - Transformer  - English Electric AF series tap changers</v>
      </c>
      <c r="D755" s="38" t="str">
        <f t="shared" si="93"/>
        <v>Duplicate-</v>
      </c>
      <c r="E755" s="413"/>
      <c r="F755" s="43" t="s">
        <v>431</v>
      </c>
      <c r="G755" s="43" t="s">
        <v>919</v>
      </c>
      <c r="X755" s="38">
        <v>6</v>
      </c>
      <c r="Y755" s="38">
        <v>6</v>
      </c>
      <c r="AK755" s="45">
        <f t="shared" si="94"/>
        <v>0</v>
      </c>
      <c r="AL755" s="46">
        <f t="shared" si="95"/>
        <v>0</v>
      </c>
      <c r="AM755" s="46">
        <f t="shared" si="96"/>
        <v>0</v>
      </c>
      <c r="AN755" s="46"/>
      <c r="AO755" s="119" t="s">
        <v>1197</v>
      </c>
      <c r="AP755" s="38" t="str">
        <f t="shared" si="91"/>
        <v>Exclude</v>
      </c>
    </row>
    <row r="756" spans="1:42" ht="45" hidden="1">
      <c r="A756" s="38" t="str">
        <f t="shared" si="97"/>
        <v>Ausgrid</v>
      </c>
      <c r="B756" s="38" t="s">
        <v>1197</v>
      </c>
      <c r="C756" s="38" t="str">
        <f t="shared" si="92"/>
        <v xml:space="preserve">Duplicate-TX8901 - Transformer  - ASEA Fuller H315PB and Hackbridge Type Tapchanger </v>
      </c>
      <c r="D756" s="38" t="str">
        <f t="shared" si="93"/>
        <v>Duplicate-</v>
      </c>
      <c r="E756" s="413"/>
      <c r="F756" s="43" t="s">
        <v>431</v>
      </c>
      <c r="G756" s="43" t="s">
        <v>920</v>
      </c>
      <c r="X756" s="38">
        <v>1</v>
      </c>
      <c r="Y756" s="38">
        <v>1</v>
      </c>
      <c r="AK756" s="45">
        <f t="shared" si="94"/>
        <v>0</v>
      </c>
      <c r="AL756" s="46">
        <f t="shared" si="95"/>
        <v>0</v>
      </c>
      <c r="AM756" s="46">
        <f t="shared" si="96"/>
        <v>0</v>
      </c>
      <c r="AN756" s="46"/>
      <c r="AO756" s="119" t="s">
        <v>1197</v>
      </c>
      <c r="AP756" s="38" t="str">
        <f t="shared" si="91"/>
        <v>Exclude</v>
      </c>
    </row>
    <row r="757" spans="1:42" ht="60" hidden="1">
      <c r="A757" s="38" t="str">
        <f t="shared" si="97"/>
        <v>Ausgrid</v>
      </c>
      <c r="B757" s="38" t="s">
        <v>1197</v>
      </c>
      <c r="C757" s="38" t="str">
        <f t="shared" si="92"/>
        <v xml:space="preserve">Duplicate-TX8902 - Transformer  - ASEA Fuller H315PB / H315B / H310B and Hackbridge Type Tapchanger </v>
      </c>
      <c r="D757" s="38" t="str">
        <f t="shared" si="93"/>
        <v>Duplicate-</v>
      </c>
      <c r="E757" s="413"/>
      <c r="F757" s="43" t="s">
        <v>431</v>
      </c>
      <c r="G757" s="43" t="s">
        <v>921</v>
      </c>
      <c r="X757" s="38">
        <v>6</v>
      </c>
      <c r="Y757" s="38">
        <v>6</v>
      </c>
      <c r="AK757" s="45">
        <f t="shared" si="94"/>
        <v>0</v>
      </c>
      <c r="AL757" s="46">
        <f t="shared" si="95"/>
        <v>0</v>
      </c>
      <c r="AM757" s="46">
        <f t="shared" si="96"/>
        <v>0</v>
      </c>
      <c r="AN757" s="46"/>
      <c r="AO757" s="119" t="s">
        <v>1197</v>
      </c>
      <c r="AP757" s="38" t="str">
        <f t="shared" si="91"/>
        <v>Exclude</v>
      </c>
    </row>
    <row r="758" spans="1:42" ht="30" hidden="1">
      <c r="A758" s="38" t="str">
        <f t="shared" si="97"/>
        <v>Ausgrid</v>
      </c>
      <c r="B758" s="38" t="s">
        <v>1197</v>
      </c>
      <c r="C758" s="38" t="str">
        <f t="shared" si="92"/>
        <v xml:space="preserve">Duplicate-TX8907 - Transformer  - ASEA UFNR Type Tapchanger </v>
      </c>
      <c r="D758" s="38" t="str">
        <f t="shared" si="93"/>
        <v>Duplicate-</v>
      </c>
      <c r="E758" s="413"/>
      <c r="F758" s="43" t="s">
        <v>431</v>
      </c>
      <c r="G758" s="43" t="s">
        <v>923</v>
      </c>
      <c r="X758" s="38">
        <v>2</v>
      </c>
      <c r="Y758" s="38">
        <v>2</v>
      </c>
      <c r="AK758" s="45">
        <f t="shared" si="94"/>
        <v>0</v>
      </c>
      <c r="AL758" s="46">
        <f t="shared" si="95"/>
        <v>0</v>
      </c>
      <c r="AM758" s="46">
        <f t="shared" si="96"/>
        <v>0</v>
      </c>
      <c r="AN758" s="46"/>
      <c r="AO758" s="119" t="s">
        <v>1197</v>
      </c>
      <c r="AP758" s="38" t="str">
        <f t="shared" si="91"/>
        <v>Exclude</v>
      </c>
    </row>
    <row r="759" spans="1:42" ht="30" hidden="1">
      <c r="A759" s="38" t="str">
        <f t="shared" si="97"/>
        <v>Ausgrid</v>
      </c>
      <c r="B759" s="38" t="s">
        <v>1197</v>
      </c>
      <c r="C759" s="38" t="str">
        <f t="shared" si="92"/>
        <v>Duplicate-TX8904 - Transformer  - ASEA UCB type tap changers</v>
      </c>
      <c r="D759" s="38" t="str">
        <f t="shared" si="93"/>
        <v>Duplicate-</v>
      </c>
      <c r="E759" s="413"/>
      <c r="F759" s="43" t="s">
        <v>431</v>
      </c>
      <c r="G759" s="43" t="s">
        <v>924</v>
      </c>
      <c r="X759" s="38">
        <v>6</v>
      </c>
      <c r="Y759" s="38">
        <v>6</v>
      </c>
      <c r="AK759" s="45">
        <f t="shared" si="94"/>
        <v>0</v>
      </c>
      <c r="AL759" s="46">
        <f t="shared" si="95"/>
        <v>0</v>
      </c>
      <c r="AM759" s="46">
        <f t="shared" si="96"/>
        <v>0</v>
      </c>
      <c r="AN759" s="46"/>
      <c r="AO759" s="119" t="s">
        <v>1197</v>
      </c>
      <c r="AP759" s="38" t="str">
        <f t="shared" si="91"/>
        <v>Exclude</v>
      </c>
    </row>
    <row r="760" spans="1:42" ht="45" hidden="1">
      <c r="A760" s="38" t="str">
        <f t="shared" si="97"/>
        <v>Ausgrid</v>
      </c>
      <c r="B760" s="38" t="s">
        <v>1197</v>
      </c>
      <c r="C760" s="38" t="str">
        <f t="shared" si="92"/>
        <v xml:space="preserve">Duplicate-TX8901 - Transformer  - ASEA Fuller H315PB and Hackbridge Type Tapchanger </v>
      </c>
      <c r="D760" s="38" t="str">
        <f t="shared" si="93"/>
        <v>Duplicate-</v>
      </c>
      <c r="E760" s="413"/>
      <c r="F760" s="43" t="s">
        <v>431</v>
      </c>
      <c r="G760" s="43" t="s">
        <v>920</v>
      </c>
      <c r="X760" s="38">
        <v>0.5</v>
      </c>
      <c r="Y760" s="38">
        <v>0.5</v>
      </c>
      <c r="AK760" s="45">
        <f t="shared" si="94"/>
        <v>0</v>
      </c>
      <c r="AL760" s="46">
        <f t="shared" si="95"/>
        <v>0</v>
      </c>
      <c r="AM760" s="46">
        <f t="shared" si="96"/>
        <v>0</v>
      </c>
      <c r="AN760" s="46"/>
      <c r="AO760" s="119" t="s">
        <v>1197</v>
      </c>
      <c r="AP760" s="38" t="str">
        <f t="shared" si="91"/>
        <v>Exclude</v>
      </c>
    </row>
    <row r="761" spans="1:42" ht="30" hidden="1">
      <c r="A761" s="38" t="str">
        <f t="shared" si="97"/>
        <v>Ausgrid</v>
      </c>
      <c r="B761" s="38" t="s">
        <v>1197</v>
      </c>
      <c r="C761" s="38" t="str">
        <f t="shared" si="92"/>
        <v xml:space="preserve">Duplicate-TX9001 - Transformer  - ATL HS/AMD Type Tapchanger </v>
      </c>
      <c r="D761" s="38" t="str">
        <f t="shared" si="93"/>
        <v>Duplicate-</v>
      </c>
      <c r="E761" s="413"/>
      <c r="F761" s="43" t="s">
        <v>431</v>
      </c>
      <c r="G761" s="43" t="s">
        <v>925</v>
      </c>
      <c r="X761" s="38">
        <v>1</v>
      </c>
      <c r="Y761" s="38">
        <v>1</v>
      </c>
      <c r="AK761" s="45">
        <f t="shared" si="94"/>
        <v>0</v>
      </c>
      <c r="AL761" s="46">
        <f t="shared" si="95"/>
        <v>0</v>
      </c>
      <c r="AM761" s="46">
        <f t="shared" si="96"/>
        <v>0</v>
      </c>
      <c r="AN761" s="46"/>
      <c r="AO761" s="119" t="s">
        <v>1197</v>
      </c>
      <c r="AP761" s="38" t="str">
        <f t="shared" si="91"/>
        <v>Exclude</v>
      </c>
    </row>
    <row r="762" spans="1:42" ht="30" hidden="1">
      <c r="A762" s="38" t="str">
        <f t="shared" si="97"/>
        <v>Ausgrid</v>
      </c>
      <c r="B762" s="38" t="s">
        <v>1197</v>
      </c>
      <c r="C762" s="38" t="str">
        <f t="shared" si="92"/>
        <v xml:space="preserve">Duplicate-TX9002 - Transformer  - ATL HS/AMD Type Tapchanger </v>
      </c>
      <c r="D762" s="38" t="str">
        <f t="shared" si="93"/>
        <v>Duplicate-</v>
      </c>
      <c r="E762" s="413"/>
      <c r="F762" s="43" t="s">
        <v>431</v>
      </c>
      <c r="G762" s="43" t="s">
        <v>926</v>
      </c>
      <c r="X762" s="38">
        <v>6</v>
      </c>
      <c r="Y762" s="38">
        <v>6</v>
      </c>
      <c r="AK762" s="45">
        <f t="shared" si="94"/>
        <v>0</v>
      </c>
      <c r="AL762" s="46">
        <f t="shared" si="95"/>
        <v>0</v>
      </c>
      <c r="AM762" s="46">
        <f t="shared" si="96"/>
        <v>0</v>
      </c>
      <c r="AN762" s="46"/>
      <c r="AO762" s="119" t="s">
        <v>1197</v>
      </c>
      <c r="AP762" s="38" t="str">
        <f t="shared" si="91"/>
        <v>Exclude</v>
      </c>
    </row>
    <row r="763" spans="1:42" ht="45" hidden="1">
      <c r="A763" s="38" t="str">
        <f t="shared" si="97"/>
        <v>Ausgrid</v>
      </c>
      <c r="B763" s="38" t="s">
        <v>1197</v>
      </c>
      <c r="C763" s="38" t="str">
        <f t="shared" si="92"/>
        <v>Duplicate-TX9003 - Transformer  - ATL type AT tap changer - AUTO TAP CHANGERS - ATL</v>
      </c>
      <c r="D763" s="38" t="str">
        <f t="shared" si="93"/>
        <v>Duplicate-</v>
      </c>
      <c r="E763" s="413"/>
      <c r="F763" s="43" t="s">
        <v>431</v>
      </c>
      <c r="G763" s="43" t="s">
        <v>922</v>
      </c>
      <c r="X763" s="38">
        <v>3</v>
      </c>
      <c r="Y763" s="38">
        <v>3</v>
      </c>
      <c r="AK763" s="45">
        <f t="shared" si="94"/>
        <v>0</v>
      </c>
      <c r="AL763" s="46">
        <f t="shared" si="95"/>
        <v>0</v>
      </c>
      <c r="AM763" s="46">
        <f t="shared" si="96"/>
        <v>0</v>
      </c>
      <c r="AN763" s="46"/>
      <c r="AO763" s="119" t="s">
        <v>1197</v>
      </c>
      <c r="AP763" s="38" t="str">
        <f t="shared" si="91"/>
        <v>Exclude</v>
      </c>
    </row>
    <row r="764" spans="1:42" ht="30" hidden="1">
      <c r="A764" s="38" t="str">
        <f t="shared" si="97"/>
        <v>Ausgrid</v>
      </c>
      <c r="B764" s="38" t="s">
        <v>1197</v>
      </c>
      <c r="C764" s="38" t="str">
        <f t="shared" si="92"/>
        <v xml:space="preserve">Duplicate-TX9004 - Transformer  - AGE LBTA Type Tapchanger </v>
      </c>
      <c r="D764" s="38" t="str">
        <f t="shared" si="93"/>
        <v>Duplicate-</v>
      </c>
      <c r="E764" s="413"/>
      <c r="F764" s="43" t="s">
        <v>431</v>
      </c>
      <c r="G764" s="43" t="s">
        <v>927</v>
      </c>
      <c r="X764" s="38">
        <v>1</v>
      </c>
      <c r="Y764" s="38">
        <v>1</v>
      </c>
      <c r="AK764" s="45">
        <f t="shared" si="94"/>
        <v>0</v>
      </c>
      <c r="AL764" s="46">
        <f t="shared" si="95"/>
        <v>0</v>
      </c>
      <c r="AM764" s="46">
        <f t="shared" si="96"/>
        <v>0</v>
      </c>
      <c r="AN764" s="46"/>
      <c r="AO764" s="119" t="s">
        <v>1197</v>
      </c>
      <c r="AP764" s="38" t="str">
        <f t="shared" si="91"/>
        <v>Exclude</v>
      </c>
    </row>
    <row r="765" spans="1:42" ht="30" hidden="1">
      <c r="A765" s="38" t="str">
        <f t="shared" si="97"/>
        <v>Ausgrid</v>
      </c>
      <c r="B765" s="38" t="s">
        <v>1197</v>
      </c>
      <c r="C765" s="38" t="str">
        <f t="shared" si="92"/>
        <v xml:space="preserve">Duplicate-TX9005 - Transformer  - AGE LBTA Type Tapchanger </v>
      </c>
      <c r="D765" s="38" t="str">
        <f t="shared" si="93"/>
        <v>Duplicate-</v>
      </c>
      <c r="E765" s="413"/>
      <c r="F765" s="43" t="s">
        <v>431</v>
      </c>
      <c r="G765" s="43" t="s">
        <v>928</v>
      </c>
      <c r="X765" s="38">
        <v>6</v>
      </c>
      <c r="Y765" s="38">
        <v>6</v>
      </c>
      <c r="AK765" s="45">
        <f t="shared" si="94"/>
        <v>0</v>
      </c>
      <c r="AL765" s="46">
        <f t="shared" si="95"/>
        <v>0</v>
      </c>
      <c r="AM765" s="46">
        <f t="shared" si="96"/>
        <v>0</v>
      </c>
      <c r="AN765" s="46"/>
      <c r="AO765" s="119" t="s">
        <v>1197</v>
      </c>
      <c r="AP765" s="38" t="str">
        <f t="shared" si="91"/>
        <v>Exclude</v>
      </c>
    </row>
    <row r="766" spans="1:42" ht="30" hidden="1">
      <c r="A766" s="38" t="str">
        <f t="shared" si="97"/>
        <v>Ausgrid</v>
      </c>
      <c r="B766" s="38" t="s">
        <v>1197</v>
      </c>
      <c r="C766" s="38" t="str">
        <f t="shared" si="92"/>
        <v xml:space="preserve">Duplicate-TX9006 - Transformer  - IEL H9D33 Type Tapchanger </v>
      </c>
      <c r="D766" s="38" t="str">
        <f t="shared" si="93"/>
        <v>Duplicate-</v>
      </c>
      <c r="E766" s="413"/>
      <c r="F766" s="43" t="s">
        <v>431</v>
      </c>
      <c r="G766" s="43" t="s">
        <v>929</v>
      </c>
      <c r="X766" s="38">
        <v>1</v>
      </c>
      <c r="Y766" s="38">
        <v>1</v>
      </c>
      <c r="AK766" s="45">
        <f t="shared" si="94"/>
        <v>0</v>
      </c>
      <c r="AL766" s="46">
        <f t="shared" si="95"/>
        <v>0</v>
      </c>
      <c r="AM766" s="46">
        <f t="shared" si="96"/>
        <v>0</v>
      </c>
      <c r="AN766" s="46"/>
      <c r="AO766" s="119" t="s">
        <v>1197</v>
      </c>
      <c r="AP766" s="38" t="str">
        <f t="shared" si="91"/>
        <v>Exclude</v>
      </c>
    </row>
    <row r="767" spans="1:42" ht="30" hidden="1">
      <c r="A767" s="38" t="str">
        <f t="shared" si="97"/>
        <v>Ausgrid</v>
      </c>
      <c r="B767" s="38" t="s">
        <v>1197</v>
      </c>
      <c r="C767" s="38" t="str">
        <f t="shared" si="92"/>
        <v>Duplicate-TX9007 - Transformer  - CGE tap changer</v>
      </c>
      <c r="D767" s="38" t="str">
        <f t="shared" si="93"/>
        <v>Duplicate-</v>
      </c>
      <c r="E767" s="413"/>
      <c r="F767" s="43" t="s">
        <v>431</v>
      </c>
      <c r="G767" s="43" t="s">
        <v>930</v>
      </c>
      <c r="X767" s="38">
        <v>1</v>
      </c>
      <c r="Y767" s="38">
        <v>1</v>
      </c>
      <c r="AK767" s="45">
        <f t="shared" si="94"/>
        <v>0</v>
      </c>
      <c r="AL767" s="46">
        <f t="shared" si="95"/>
        <v>0</v>
      </c>
      <c r="AM767" s="46">
        <f t="shared" si="96"/>
        <v>0</v>
      </c>
      <c r="AN767" s="46"/>
      <c r="AO767" s="119" t="s">
        <v>1197</v>
      </c>
      <c r="AP767" s="38" t="str">
        <f t="shared" si="91"/>
        <v>Exclude</v>
      </c>
    </row>
    <row r="768" spans="1:42" ht="45" hidden="1">
      <c r="A768" s="38" t="str">
        <f t="shared" si="97"/>
        <v>Ausgrid</v>
      </c>
      <c r="B768" s="38" t="s">
        <v>1197</v>
      </c>
      <c r="C768" s="38" t="str">
        <f t="shared" si="92"/>
        <v>Duplicate-TX9008 - Transformer  - ACEC TSVR type tap changer - AUTO TAP CHANGERS - ACEC</v>
      </c>
      <c r="D768" s="38" t="str">
        <f t="shared" si="93"/>
        <v>Duplicate-</v>
      </c>
      <c r="E768" s="413"/>
      <c r="F768" s="43" t="s">
        <v>431</v>
      </c>
      <c r="G768" s="43" t="s">
        <v>932</v>
      </c>
      <c r="X768" s="38">
        <v>6</v>
      </c>
      <c r="Y768" s="38">
        <v>6</v>
      </c>
      <c r="AK768" s="45">
        <f t="shared" si="94"/>
        <v>0</v>
      </c>
      <c r="AL768" s="46">
        <f t="shared" si="95"/>
        <v>0</v>
      </c>
      <c r="AM768" s="46">
        <f t="shared" si="96"/>
        <v>0</v>
      </c>
      <c r="AN768" s="46"/>
      <c r="AO768" s="119" t="s">
        <v>1197</v>
      </c>
      <c r="AP768" s="38" t="str">
        <f t="shared" si="91"/>
        <v>Exclude</v>
      </c>
    </row>
    <row r="769" spans="1:42" ht="60" hidden="1">
      <c r="A769" s="38" t="str">
        <f t="shared" si="97"/>
        <v>Ausgrid</v>
      </c>
      <c r="B769" s="38" t="s">
        <v>1197</v>
      </c>
      <c r="C769" s="38" t="str">
        <f t="shared" si="92"/>
        <v>Duplicate-TX9601 - On Load Tapchanger, Mistubishi Electric Corporation, Type VSG 550/600</v>
      </c>
      <c r="D769" s="38" t="str">
        <f t="shared" si="93"/>
        <v>Duplicate-</v>
      </c>
      <c r="E769" s="413"/>
      <c r="F769" s="43" t="s">
        <v>431</v>
      </c>
      <c r="G769" s="43" t="s">
        <v>931</v>
      </c>
      <c r="X769" s="38">
        <v>10</v>
      </c>
      <c r="Y769" s="38">
        <v>10</v>
      </c>
      <c r="AK769" s="45">
        <f t="shared" si="94"/>
        <v>0</v>
      </c>
      <c r="AL769" s="46">
        <f t="shared" si="95"/>
        <v>0</v>
      </c>
      <c r="AM769" s="46">
        <f t="shared" si="96"/>
        <v>0</v>
      </c>
      <c r="AN769" s="46"/>
      <c r="AO769" s="119" t="s">
        <v>1197</v>
      </c>
      <c r="AP769" s="38" t="str">
        <f t="shared" si="91"/>
        <v>Exclude</v>
      </c>
    </row>
    <row r="770" spans="1:42" ht="30" hidden="1">
      <c r="A770" s="38" t="str">
        <f t="shared" si="97"/>
        <v>Ausgrid</v>
      </c>
      <c r="B770" s="38" t="s">
        <v>1197</v>
      </c>
      <c r="C770" s="38" t="str">
        <f t="shared" si="92"/>
        <v>Duplicate-SUBTRANSMISSION SUBSTATION - SWITCHGEAR</v>
      </c>
      <c r="D770" s="38" t="str">
        <f t="shared" si="93"/>
        <v>Duplicate-No. of switches   ('000s)</v>
      </c>
      <c r="E770" s="413"/>
      <c r="F770" s="43" t="s">
        <v>431</v>
      </c>
      <c r="G770" s="43" t="s">
        <v>1110</v>
      </c>
      <c r="H770" s="43" t="s">
        <v>767</v>
      </c>
      <c r="I770" s="41">
        <v>0.7</v>
      </c>
      <c r="J770" s="41">
        <v>0.71</v>
      </c>
      <c r="K770" s="41">
        <v>0.73</v>
      </c>
      <c r="L770" s="41">
        <v>0.72</v>
      </c>
      <c r="M770" s="41">
        <v>0.72</v>
      </c>
      <c r="N770" s="41">
        <v>0.59</v>
      </c>
      <c r="O770" s="41">
        <v>0.44</v>
      </c>
      <c r="P770" s="41">
        <v>0.46</v>
      </c>
      <c r="Q770" s="41">
        <v>0.28000000000000003</v>
      </c>
      <c r="R770" s="41">
        <v>0.37</v>
      </c>
      <c r="S770" s="41">
        <v>20.87</v>
      </c>
      <c r="T770" s="41">
        <v>21.4</v>
      </c>
      <c r="U770" s="41">
        <v>20.53</v>
      </c>
      <c r="V770" s="41">
        <v>19.11</v>
      </c>
      <c r="W770" s="41">
        <v>18.68</v>
      </c>
      <c r="X770" s="38">
        <v>0</v>
      </c>
      <c r="Y770" s="38">
        <v>0</v>
      </c>
      <c r="Z770" s="40">
        <v>223.73</v>
      </c>
      <c r="AA770" s="40">
        <v>291.99</v>
      </c>
      <c r="AB770" s="40">
        <v>280.95999999999998</v>
      </c>
      <c r="AC770" s="40">
        <v>251.18</v>
      </c>
      <c r="AD770" s="40">
        <v>230.3</v>
      </c>
      <c r="AE770" s="40">
        <v>61.3</v>
      </c>
      <c r="AF770" s="40">
        <v>50.48</v>
      </c>
      <c r="AG770" s="40">
        <v>59.82</v>
      </c>
      <c r="AH770" s="40">
        <v>45.62</v>
      </c>
      <c r="AI770" s="40">
        <v>30.61</v>
      </c>
      <c r="AK770" s="45">
        <f t="shared" si="94"/>
        <v>2.14</v>
      </c>
      <c r="AL770" s="46">
        <f t="shared" si="95"/>
        <v>1278.1600000000001</v>
      </c>
      <c r="AM770" s="46">
        <f t="shared" si="96"/>
        <v>247.82999999999998</v>
      </c>
      <c r="AN770" s="46"/>
      <c r="AO770" s="119" t="s">
        <v>1197</v>
      </c>
      <c r="AP770" s="38" t="str">
        <f t="shared" si="91"/>
        <v>Exclude</v>
      </c>
    </row>
    <row r="771" spans="1:42" ht="60" hidden="1">
      <c r="A771" s="38" t="str">
        <f t="shared" si="97"/>
        <v>Ausgrid</v>
      </c>
      <c r="B771" s="38" t="s">
        <v>1197</v>
      </c>
      <c r="C771" s="38" t="str">
        <f t="shared" si="92"/>
        <v>Duplicate-SW0111 - Circuit Breaker, Bulk Oil, Outdoor AEI / Bharat 33kV LGIC/44 - ACCB, BULK OIL, OUTDOOR</v>
      </c>
      <c r="D771" s="38" t="str">
        <f t="shared" si="93"/>
        <v>Duplicate-</v>
      </c>
      <c r="E771" s="413"/>
      <c r="F771" s="43" t="s">
        <v>431</v>
      </c>
      <c r="G771" s="43" t="s">
        <v>943</v>
      </c>
      <c r="X771" s="38">
        <v>2</v>
      </c>
      <c r="Y771" s="38">
        <v>0</v>
      </c>
      <c r="AK771" s="45">
        <f t="shared" si="94"/>
        <v>0</v>
      </c>
      <c r="AL771" s="46">
        <f t="shared" si="95"/>
        <v>0</v>
      </c>
      <c r="AM771" s="46">
        <f t="shared" si="96"/>
        <v>0</v>
      </c>
      <c r="AN771" s="46"/>
      <c r="AO771" s="119" t="s">
        <v>1197</v>
      </c>
      <c r="AP771" s="38" t="str">
        <f t="shared" ref="AP771:AP834" si="98">IFERROR(VLOOKUP(C771,$AR:$AS,2,FALSE),"Exclude")</f>
        <v>Exclude</v>
      </c>
    </row>
    <row r="772" spans="1:42" ht="60" hidden="1">
      <c r="A772" s="38" t="str">
        <f t="shared" si="97"/>
        <v>Ausgrid</v>
      </c>
      <c r="B772" s="38" t="s">
        <v>1197</v>
      </c>
      <c r="C772" s="38" t="str">
        <f t="shared" ref="C772:C835" si="99">B772&amp;"-"&amp;G772</f>
        <v>Duplicate-SW0112 - Circuit Breaker, Bulk Oil, Outdoor AEI / Bharat 33kV LGIC/44 - ACCB, BULK OIL, OUTDOOR</v>
      </c>
      <c r="D772" s="38" t="str">
        <f t="shared" ref="D772:D835" si="100">B772&amp;"-"&amp;H772</f>
        <v>Duplicate-</v>
      </c>
      <c r="E772" s="413"/>
      <c r="F772" s="43" t="s">
        <v>431</v>
      </c>
      <c r="G772" s="43" t="s">
        <v>944</v>
      </c>
      <c r="X772" s="38">
        <v>6</v>
      </c>
      <c r="Y772" s="38">
        <v>6</v>
      </c>
      <c r="AK772" s="45">
        <f t="shared" ref="AK772:AK835" si="101">SUM(N772:R772)</f>
        <v>0</v>
      </c>
      <c r="AL772" s="46">
        <f t="shared" ref="AL772:AL835" si="102">SUM(Z772:AD772)</f>
        <v>0</v>
      </c>
      <c r="AM772" s="46">
        <f t="shared" ref="AM772:AM835" si="103">SUM(AE772:AI772)</f>
        <v>0</v>
      </c>
      <c r="AN772" s="46"/>
      <c r="AO772" s="119" t="s">
        <v>1197</v>
      </c>
      <c r="AP772" s="38" t="str">
        <f t="shared" si="98"/>
        <v>Exclude</v>
      </c>
    </row>
    <row r="773" spans="1:42" ht="60" hidden="1">
      <c r="A773" s="38" t="str">
        <f t="shared" si="97"/>
        <v>Ausgrid</v>
      </c>
      <c r="B773" s="38" t="s">
        <v>1197</v>
      </c>
      <c r="C773" s="38" t="str">
        <f t="shared" si="99"/>
        <v>Duplicate-SW0113 - Circuit Breaker, Bulk Oil, Outdoor AEI / Bharat 33kV LGIC/44 - ACCB, BULK OIL, OUTDOOR</v>
      </c>
      <c r="D773" s="38" t="str">
        <f t="shared" si="100"/>
        <v>Duplicate-</v>
      </c>
      <c r="E773" s="413"/>
      <c r="F773" s="43" t="s">
        <v>431</v>
      </c>
      <c r="G773" s="43" t="s">
        <v>945</v>
      </c>
      <c r="X773" s="38">
        <v>12</v>
      </c>
      <c r="Y773" s="38">
        <v>12</v>
      </c>
      <c r="AK773" s="45">
        <f t="shared" si="101"/>
        <v>0</v>
      </c>
      <c r="AL773" s="46">
        <f t="shared" si="102"/>
        <v>0</v>
      </c>
      <c r="AM773" s="46">
        <f t="shared" si="103"/>
        <v>0</v>
      </c>
      <c r="AN773" s="46"/>
      <c r="AO773" s="119" t="s">
        <v>1197</v>
      </c>
      <c r="AP773" s="38" t="str">
        <f t="shared" si="98"/>
        <v>Exclude</v>
      </c>
    </row>
    <row r="774" spans="1:42" ht="75" hidden="1">
      <c r="A774" s="38" t="str">
        <f t="shared" si="97"/>
        <v>Ausgrid</v>
      </c>
      <c r="B774" s="38" t="s">
        <v>1197</v>
      </c>
      <c r="C774" s="38" t="str">
        <f t="shared" si="99"/>
        <v>Duplicate-SW0102 - Circuit Breaker, Bulk oil, outdoor, Westinghouse 33kV 345 - GCN - ACCB, BULK OIL, OUTDOOR</v>
      </c>
      <c r="D774" s="38" t="str">
        <f t="shared" si="100"/>
        <v>Duplicate-</v>
      </c>
      <c r="E774" s="413"/>
      <c r="F774" s="43" t="s">
        <v>431</v>
      </c>
      <c r="G774" s="43" t="s">
        <v>946</v>
      </c>
      <c r="X774" s="38">
        <v>3</v>
      </c>
      <c r="Y774" s="38">
        <v>0</v>
      </c>
      <c r="AK774" s="45">
        <f t="shared" si="101"/>
        <v>0</v>
      </c>
      <c r="AL774" s="46">
        <f t="shared" si="102"/>
        <v>0</v>
      </c>
      <c r="AM774" s="46">
        <f t="shared" si="103"/>
        <v>0</v>
      </c>
      <c r="AN774" s="46"/>
      <c r="AO774" s="119" t="s">
        <v>1197</v>
      </c>
      <c r="AP774" s="38" t="str">
        <f t="shared" si="98"/>
        <v>Exclude</v>
      </c>
    </row>
    <row r="775" spans="1:42" ht="75" hidden="1">
      <c r="A775" s="38" t="str">
        <f t="shared" si="97"/>
        <v>Ausgrid</v>
      </c>
      <c r="B775" s="38" t="s">
        <v>1197</v>
      </c>
      <c r="C775" s="38" t="str">
        <f t="shared" si="99"/>
        <v>Duplicate-SW0103 - Circuit Breaker, Bulk oil, outdoor, Westinghouse 33kV 345 - GCN - ACCB, BULK OIL, OUTDOOR</v>
      </c>
      <c r="D775" s="38" t="str">
        <f t="shared" si="100"/>
        <v>Duplicate-</v>
      </c>
      <c r="E775" s="413"/>
      <c r="F775" s="43" t="s">
        <v>431</v>
      </c>
      <c r="G775" s="43" t="s">
        <v>947</v>
      </c>
      <c r="X775" s="38">
        <v>6</v>
      </c>
      <c r="Y775" s="38">
        <v>6</v>
      </c>
      <c r="AK775" s="45">
        <f t="shared" si="101"/>
        <v>0</v>
      </c>
      <c r="AL775" s="46">
        <f t="shared" si="102"/>
        <v>0</v>
      </c>
      <c r="AM775" s="46">
        <f t="shared" si="103"/>
        <v>0</v>
      </c>
      <c r="AN775" s="46"/>
      <c r="AO775" s="119" t="s">
        <v>1197</v>
      </c>
      <c r="AP775" s="38" t="str">
        <f t="shared" si="98"/>
        <v>Exclude</v>
      </c>
    </row>
    <row r="776" spans="1:42" ht="75" hidden="1">
      <c r="A776" s="38" t="str">
        <f t="shared" si="97"/>
        <v>Ausgrid</v>
      </c>
      <c r="B776" s="38" t="s">
        <v>1197</v>
      </c>
      <c r="C776" s="38" t="str">
        <f t="shared" si="99"/>
        <v>Duplicate-SW0104 - Circuit Breaker, Bulk oil, outdoor, Westinghouse 33kV 345 - GCN - ACCB, BULK OIL, OUTDOOR</v>
      </c>
      <c r="D776" s="38" t="str">
        <f t="shared" si="100"/>
        <v>Duplicate-</v>
      </c>
      <c r="E776" s="413"/>
      <c r="F776" s="43" t="s">
        <v>431</v>
      </c>
      <c r="G776" s="43" t="s">
        <v>948</v>
      </c>
      <c r="X776" s="38">
        <v>12</v>
      </c>
      <c r="Y776" s="38">
        <v>12</v>
      </c>
      <c r="AK776" s="45">
        <f t="shared" si="101"/>
        <v>0</v>
      </c>
      <c r="AL776" s="46">
        <f t="shared" si="102"/>
        <v>0</v>
      </c>
      <c r="AM776" s="46">
        <f t="shared" si="103"/>
        <v>0</v>
      </c>
      <c r="AN776" s="46"/>
      <c r="AO776" s="119" t="s">
        <v>1197</v>
      </c>
      <c r="AP776" s="38" t="str">
        <f t="shared" si="98"/>
        <v>Exclude</v>
      </c>
    </row>
    <row r="777" spans="1:42" ht="90" hidden="1">
      <c r="A777" s="38" t="str">
        <f t="shared" si="97"/>
        <v>Ausgrid</v>
      </c>
      <c r="B777" s="38" t="s">
        <v>1197</v>
      </c>
      <c r="C777" s="38" t="str">
        <f t="shared" si="99"/>
        <v>Duplicate-SW0105 - Circuit Breaker, Bulk oil, outdoor, Westinghouse 33kV 345 - GCS/GCNS 
(used as capacitor CB) - ACCB, BULK OIL, OUTDOOR</v>
      </c>
      <c r="D777" s="38" t="str">
        <f t="shared" si="100"/>
        <v>Duplicate-</v>
      </c>
      <c r="E777" s="413"/>
      <c r="F777" s="43" t="s">
        <v>431</v>
      </c>
      <c r="G777" s="43" t="s">
        <v>949</v>
      </c>
      <c r="X777" s="38">
        <v>0.5</v>
      </c>
      <c r="Y777" s="38">
        <v>0</v>
      </c>
      <c r="AK777" s="45">
        <f t="shared" si="101"/>
        <v>0</v>
      </c>
      <c r="AL777" s="46">
        <f t="shared" si="102"/>
        <v>0</v>
      </c>
      <c r="AM777" s="46">
        <f t="shared" si="103"/>
        <v>0</v>
      </c>
      <c r="AN777" s="46"/>
      <c r="AO777" s="119" t="s">
        <v>1197</v>
      </c>
      <c r="AP777" s="38" t="str">
        <f t="shared" si="98"/>
        <v>Exclude</v>
      </c>
    </row>
    <row r="778" spans="1:42" ht="90" hidden="1">
      <c r="A778" s="38" t="str">
        <f t="shared" si="97"/>
        <v>Ausgrid</v>
      </c>
      <c r="B778" s="38" t="s">
        <v>1197</v>
      </c>
      <c r="C778" s="38" t="str">
        <f t="shared" si="99"/>
        <v>Duplicate-SW0108 - Circuit Breaker, Bulk oil, outdoor, Westinghouse 33kV 345 - GCS/GCNS 
(used as capacitor CB) - ACCB, BULK OIL, OUTDOOR</v>
      </c>
      <c r="D778" s="38" t="str">
        <f t="shared" si="100"/>
        <v>Duplicate-</v>
      </c>
      <c r="E778" s="413"/>
      <c r="F778" s="43" t="s">
        <v>431</v>
      </c>
      <c r="G778" s="43" t="s">
        <v>950</v>
      </c>
      <c r="X778" s="38">
        <v>6</v>
      </c>
      <c r="Y778" s="38">
        <v>6</v>
      </c>
      <c r="AK778" s="45">
        <f t="shared" si="101"/>
        <v>0</v>
      </c>
      <c r="AL778" s="46">
        <f t="shared" si="102"/>
        <v>0</v>
      </c>
      <c r="AM778" s="46">
        <f t="shared" si="103"/>
        <v>0</v>
      </c>
      <c r="AN778" s="46"/>
      <c r="AO778" s="119" t="s">
        <v>1197</v>
      </c>
      <c r="AP778" s="38" t="str">
        <f t="shared" si="98"/>
        <v>Exclude</v>
      </c>
    </row>
    <row r="779" spans="1:42" ht="45" hidden="1">
      <c r="A779" s="38" t="str">
        <f t="shared" si="97"/>
        <v>Ausgrid</v>
      </c>
      <c r="B779" s="38" t="s">
        <v>1197</v>
      </c>
      <c r="C779" s="38" t="str">
        <f t="shared" si="99"/>
        <v>Duplicate-SW0114 - Circuit Breaker, English Electric, 33kV, OKH4 - ACCB, BULK OIL, OUTDOOR</v>
      </c>
      <c r="D779" s="38" t="str">
        <f t="shared" si="100"/>
        <v>Duplicate-</v>
      </c>
      <c r="E779" s="413"/>
      <c r="F779" s="43" t="s">
        <v>431</v>
      </c>
      <c r="G779" s="43" t="s">
        <v>951</v>
      </c>
      <c r="X779" s="38">
        <v>6</v>
      </c>
      <c r="Y779" s="38">
        <v>6</v>
      </c>
      <c r="AK779" s="45">
        <f t="shared" si="101"/>
        <v>0</v>
      </c>
      <c r="AL779" s="46">
        <f t="shared" si="102"/>
        <v>0</v>
      </c>
      <c r="AM779" s="46">
        <f t="shared" si="103"/>
        <v>0</v>
      </c>
      <c r="AN779" s="46"/>
      <c r="AO779" s="119" t="s">
        <v>1197</v>
      </c>
      <c r="AP779" s="38" t="str">
        <f t="shared" si="98"/>
        <v>Exclude</v>
      </c>
    </row>
    <row r="780" spans="1:42" ht="45" hidden="1">
      <c r="A780" s="38" t="str">
        <f t="shared" si="97"/>
        <v>Ausgrid</v>
      </c>
      <c r="B780" s="38" t="s">
        <v>1197</v>
      </c>
      <c r="C780" s="38" t="str">
        <f t="shared" si="99"/>
        <v>Duplicate-SW0115 - Circuit Breaker, English Electric, 33kV, OKH4 - ACCB, BULK OIL, OUTDOOR</v>
      </c>
      <c r="D780" s="38" t="str">
        <f t="shared" si="100"/>
        <v>Duplicate-</v>
      </c>
      <c r="E780" s="413"/>
      <c r="F780" s="43" t="s">
        <v>431</v>
      </c>
      <c r="G780" s="43" t="s">
        <v>952</v>
      </c>
      <c r="X780" s="38">
        <v>12</v>
      </c>
      <c r="Y780" s="38">
        <v>12</v>
      </c>
      <c r="AK780" s="45">
        <f t="shared" si="101"/>
        <v>0</v>
      </c>
      <c r="AL780" s="46">
        <f t="shared" si="102"/>
        <v>0</v>
      </c>
      <c r="AM780" s="46">
        <f t="shared" si="103"/>
        <v>0</v>
      </c>
      <c r="AN780" s="46"/>
      <c r="AO780" s="119" t="s">
        <v>1197</v>
      </c>
      <c r="AP780" s="38" t="str">
        <f t="shared" si="98"/>
        <v>Exclude</v>
      </c>
    </row>
    <row r="781" spans="1:42" ht="75" hidden="1">
      <c r="A781" s="38" t="str">
        <f t="shared" si="97"/>
        <v>Ausgrid</v>
      </c>
      <c r="B781" s="38" t="s">
        <v>1197</v>
      </c>
      <c r="C781" s="38" t="str">
        <f t="shared" si="99"/>
        <v>Duplicate-SW0201 - Circuit Breaker, Minimim Oil, Generic (Gas and Non-gas pressure) - ACCB, MINIMUM OIL, OUTDOOR</v>
      </c>
      <c r="D781" s="38" t="str">
        <f t="shared" si="100"/>
        <v>Duplicate-</v>
      </c>
      <c r="E781" s="413"/>
      <c r="F781" s="43" t="s">
        <v>431</v>
      </c>
      <c r="G781" s="43" t="s">
        <v>953</v>
      </c>
      <c r="X781" s="38">
        <v>1</v>
      </c>
      <c r="Y781" s="38">
        <v>0</v>
      </c>
      <c r="AK781" s="45">
        <f t="shared" si="101"/>
        <v>0</v>
      </c>
      <c r="AL781" s="46">
        <f t="shared" si="102"/>
        <v>0</v>
      </c>
      <c r="AM781" s="46">
        <f t="shared" si="103"/>
        <v>0</v>
      </c>
      <c r="AN781" s="46"/>
      <c r="AO781" s="119" t="s">
        <v>1197</v>
      </c>
      <c r="AP781" s="38" t="str">
        <f t="shared" si="98"/>
        <v>Exclude</v>
      </c>
    </row>
    <row r="782" spans="1:42" ht="60" hidden="1">
      <c r="A782" s="38" t="str">
        <f t="shared" si="97"/>
        <v>Ausgrid</v>
      </c>
      <c r="B782" s="38" t="s">
        <v>1197</v>
      </c>
      <c r="C782" s="38" t="str">
        <f t="shared" si="99"/>
        <v>Duplicate-SW0231 - Circuit Breaker, Minimum Oil, Outdoor, Generic - ACCB, MINIMUM OIL, OUTDOOR</v>
      </c>
      <c r="D782" s="38" t="str">
        <f t="shared" si="100"/>
        <v>Duplicate-</v>
      </c>
      <c r="E782" s="413"/>
      <c r="F782" s="43" t="s">
        <v>431</v>
      </c>
      <c r="G782" s="43" t="s">
        <v>954</v>
      </c>
      <c r="X782" s="38">
        <v>6</v>
      </c>
      <c r="Y782" s="38">
        <v>6</v>
      </c>
      <c r="AK782" s="45">
        <f t="shared" si="101"/>
        <v>0</v>
      </c>
      <c r="AL782" s="46">
        <f t="shared" si="102"/>
        <v>0</v>
      </c>
      <c r="AM782" s="46">
        <f t="shared" si="103"/>
        <v>0</v>
      </c>
      <c r="AN782" s="46"/>
      <c r="AO782" s="119" t="s">
        <v>1197</v>
      </c>
      <c r="AP782" s="38" t="str">
        <f t="shared" si="98"/>
        <v>Exclude</v>
      </c>
    </row>
    <row r="783" spans="1:42" ht="75" hidden="1">
      <c r="A783" s="38" t="str">
        <f t="shared" si="97"/>
        <v>Ausgrid</v>
      </c>
      <c r="B783" s="38" t="s">
        <v>1197</v>
      </c>
      <c r="C783" s="38" t="str">
        <f t="shared" si="99"/>
        <v>Duplicate-SW0201 - Circuit Breaker, Minimim Oil, Generic (Gas and Non-gas pressure) - ACCB, MINIMUM OIL, OUTDOOR</v>
      </c>
      <c r="D783" s="38" t="str">
        <f t="shared" si="100"/>
        <v>Duplicate-</v>
      </c>
      <c r="E783" s="413"/>
      <c r="F783" s="43" t="s">
        <v>431</v>
      </c>
      <c r="G783" s="43" t="s">
        <v>953</v>
      </c>
      <c r="X783" s="38">
        <v>2</v>
      </c>
      <c r="Y783" s="38">
        <v>0</v>
      </c>
      <c r="AK783" s="45">
        <f t="shared" si="101"/>
        <v>0</v>
      </c>
      <c r="AL783" s="46">
        <f t="shared" si="102"/>
        <v>0</v>
      </c>
      <c r="AM783" s="46">
        <f t="shared" si="103"/>
        <v>0</v>
      </c>
      <c r="AN783" s="46"/>
      <c r="AO783" s="119" t="s">
        <v>1197</v>
      </c>
      <c r="AP783" s="38" t="str">
        <f t="shared" si="98"/>
        <v>Exclude</v>
      </c>
    </row>
    <row r="784" spans="1:42" ht="75" hidden="1">
      <c r="A784" s="38" t="str">
        <f t="shared" si="97"/>
        <v>Ausgrid</v>
      </c>
      <c r="B784" s="38" t="s">
        <v>1197</v>
      </c>
      <c r="C784" s="38" t="str">
        <f t="shared" si="99"/>
        <v>Duplicate-SW0202 - Circuit Breaker, Minimum Oil, Outdoor, Sprecher &amp; Schuh HPF512, HPF509 and HPFA409 - ACCB, MINIMUM OIL, OUTDOOR</v>
      </c>
      <c r="D784" s="38" t="str">
        <f t="shared" si="100"/>
        <v>Duplicate-</v>
      </c>
      <c r="E784" s="413"/>
      <c r="F784" s="43" t="s">
        <v>431</v>
      </c>
      <c r="G784" s="43" t="s">
        <v>955</v>
      </c>
      <c r="X784" s="38">
        <v>6</v>
      </c>
      <c r="Y784" s="38">
        <v>6</v>
      </c>
      <c r="AK784" s="45">
        <f t="shared" si="101"/>
        <v>0</v>
      </c>
      <c r="AL784" s="46">
        <f t="shared" si="102"/>
        <v>0</v>
      </c>
      <c r="AM784" s="46">
        <f t="shared" si="103"/>
        <v>0</v>
      </c>
      <c r="AN784" s="46"/>
      <c r="AO784" s="119" t="s">
        <v>1197</v>
      </c>
      <c r="AP784" s="38" t="str">
        <f t="shared" si="98"/>
        <v>Exclude</v>
      </c>
    </row>
    <row r="785" spans="1:42" ht="75" hidden="1">
      <c r="A785" s="38" t="str">
        <f t="shared" si="97"/>
        <v>Ausgrid</v>
      </c>
      <c r="B785" s="38" t="s">
        <v>1197</v>
      </c>
      <c r="C785" s="38" t="str">
        <f t="shared" si="99"/>
        <v>Duplicate-SW0203 - Circuit Breaker, Minimum Oil, Outdoor, Sprecher &amp; Schuh HPF512, HPF509 and HPFA409 - ACCB, MINIMUM OIL, OUTDOOR</v>
      </c>
      <c r="D785" s="38" t="str">
        <f t="shared" si="100"/>
        <v>Duplicate-</v>
      </c>
      <c r="E785" s="413"/>
      <c r="F785" s="43" t="s">
        <v>431</v>
      </c>
      <c r="G785" s="43" t="s">
        <v>956</v>
      </c>
      <c r="X785" s="38">
        <v>12</v>
      </c>
      <c r="Y785" s="38">
        <v>12</v>
      </c>
      <c r="AK785" s="45">
        <f t="shared" si="101"/>
        <v>0</v>
      </c>
      <c r="AL785" s="46">
        <f t="shared" si="102"/>
        <v>0</v>
      </c>
      <c r="AM785" s="46">
        <f t="shared" si="103"/>
        <v>0</v>
      </c>
      <c r="AN785" s="46"/>
      <c r="AO785" s="119" t="s">
        <v>1197</v>
      </c>
      <c r="AP785" s="38" t="str">
        <f t="shared" si="98"/>
        <v>Exclude</v>
      </c>
    </row>
    <row r="786" spans="1:42" ht="60" hidden="1">
      <c r="A786" s="38" t="str">
        <f t="shared" si="97"/>
        <v>Ausgrid</v>
      </c>
      <c r="B786" s="38" t="s">
        <v>1197</v>
      </c>
      <c r="C786" s="38" t="str">
        <f t="shared" si="99"/>
        <v>Duplicate-SW0230 - Circuit Breaker, Minimum Oil, Outdoor, Generic - ACCB, MINIMUM OIL, OUTDOOR</v>
      </c>
      <c r="D786" s="38" t="str">
        <f t="shared" si="100"/>
        <v>Duplicate-</v>
      </c>
      <c r="E786" s="413"/>
      <c r="F786" s="43" t="s">
        <v>431</v>
      </c>
      <c r="G786" s="43" t="s">
        <v>957</v>
      </c>
      <c r="X786" s="38">
        <v>6</v>
      </c>
      <c r="Y786" s="38">
        <v>6</v>
      </c>
      <c r="AK786" s="45">
        <f t="shared" si="101"/>
        <v>0</v>
      </c>
      <c r="AL786" s="46">
        <f t="shared" si="102"/>
        <v>0</v>
      </c>
      <c r="AM786" s="46">
        <f t="shared" si="103"/>
        <v>0</v>
      </c>
      <c r="AN786" s="46"/>
      <c r="AO786" s="119" t="s">
        <v>1197</v>
      </c>
      <c r="AP786" s="38" t="str">
        <f t="shared" si="98"/>
        <v>Exclude</v>
      </c>
    </row>
    <row r="787" spans="1:42" ht="60" hidden="1">
      <c r="A787" s="38" t="str">
        <f t="shared" si="97"/>
        <v>Ausgrid</v>
      </c>
      <c r="B787" s="38" t="s">
        <v>1197</v>
      </c>
      <c r="C787" s="38" t="str">
        <f t="shared" si="99"/>
        <v>Duplicate-SW0231 - Circuit Breaker, Minimum Oil, Outdoor, Generic - ACCB, MINIMUM OIL, OUTDOOR</v>
      </c>
      <c r="D787" s="38" t="str">
        <f t="shared" si="100"/>
        <v>Duplicate-</v>
      </c>
      <c r="E787" s="413"/>
      <c r="F787" s="43" t="s">
        <v>431</v>
      </c>
      <c r="G787" s="43" t="s">
        <v>954</v>
      </c>
      <c r="X787" s="38">
        <v>12</v>
      </c>
      <c r="Y787" s="38">
        <v>12</v>
      </c>
      <c r="AK787" s="45">
        <f t="shared" si="101"/>
        <v>0</v>
      </c>
      <c r="AL787" s="46">
        <f t="shared" si="102"/>
        <v>0</v>
      </c>
      <c r="AM787" s="46">
        <f t="shared" si="103"/>
        <v>0</v>
      </c>
      <c r="AN787" s="46"/>
      <c r="AO787" s="119" t="s">
        <v>1197</v>
      </c>
      <c r="AP787" s="38" t="str">
        <f t="shared" si="98"/>
        <v>Exclude</v>
      </c>
    </row>
    <row r="788" spans="1:42" ht="60" hidden="1">
      <c r="A788" s="38" t="str">
        <f t="shared" si="97"/>
        <v>Ausgrid</v>
      </c>
      <c r="B788" s="38" t="s">
        <v>1197</v>
      </c>
      <c r="C788" s="38" t="str">
        <f t="shared" si="99"/>
        <v>Duplicate-SW0204 - Circuit Breaker, Minimum Oil, Outdoor, Asea Type HLD145 - ACCB, MINIMUM OIL, OUTDOOR</v>
      </c>
      <c r="D788" s="38" t="str">
        <f t="shared" si="100"/>
        <v>Duplicate-</v>
      </c>
      <c r="E788" s="413"/>
      <c r="F788" s="43" t="s">
        <v>431</v>
      </c>
      <c r="G788" s="43" t="s">
        <v>958</v>
      </c>
      <c r="X788" s="38">
        <v>6</v>
      </c>
      <c r="Y788" s="38">
        <v>6</v>
      </c>
      <c r="AK788" s="45">
        <f t="shared" si="101"/>
        <v>0</v>
      </c>
      <c r="AL788" s="46">
        <f t="shared" si="102"/>
        <v>0</v>
      </c>
      <c r="AM788" s="46">
        <f t="shared" si="103"/>
        <v>0</v>
      </c>
      <c r="AN788" s="46"/>
      <c r="AO788" s="119" t="s">
        <v>1197</v>
      </c>
      <c r="AP788" s="38" t="str">
        <f t="shared" si="98"/>
        <v>Exclude</v>
      </c>
    </row>
    <row r="789" spans="1:42" ht="60" hidden="1">
      <c r="A789" s="38" t="str">
        <f t="shared" si="97"/>
        <v>Ausgrid</v>
      </c>
      <c r="B789" s="38" t="s">
        <v>1197</v>
      </c>
      <c r="C789" s="38" t="str">
        <f t="shared" si="99"/>
        <v>Duplicate-SW0205 - Circuit Breaker, Minimum Oil, Outdoor, Asea Type HLD145 - ACCB, MINIMUM OIL, OUTDOOR</v>
      </c>
      <c r="D789" s="38" t="str">
        <f t="shared" si="100"/>
        <v>Duplicate-</v>
      </c>
      <c r="E789" s="413"/>
      <c r="F789" s="43" t="s">
        <v>431</v>
      </c>
      <c r="G789" s="43" t="s">
        <v>959</v>
      </c>
      <c r="X789" s="38">
        <v>12</v>
      </c>
      <c r="Y789" s="38">
        <v>12</v>
      </c>
      <c r="AK789" s="45">
        <f t="shared" si="101"/>
        <v>0</v>
      </c>
      <c r="AL789" s="46">
        <f t="shared" si="102"/>
        <v>0</v>
      </c>
      <c r="AM789" s="46">
        <f t="shared" si="103"/>
        <v>0</v>
      </c>
      <c r="AN789" s="46"/>
      <c r="AO789" s="119" t="s">
        <v>1197</v>
      </c>
      <c r="AP789" s="38" t="str">
        <f t="shared" si="98"/>
        <v>Exclude</v>
      </c>
    </row>
    <row r="790" spans="1:42" ht="60" hidden="1">
      <c r="A790" s="38" t="str">
        <f t="shared" si="97"/>
        <v>Ausgrid</v>
      </c>
      <c r="B790" s="38" t="s">
        <v>1197</v>
      </c>
      <c r="C790" s="38" t="str">
        <f t="shared" si="99"/>
        <v>Duplicate-SW0215 - Circuit Breaker, Minimim Oil, Generic - ACCB, MINIMUM OIL, OUTDOOR</v>
      </c>
      <c r="D790" s="38" t="str">
        <f t="shared" si="100"/>
        <v>Duplicate-</v>
      </c>
      <c r="E790" s="413"/>
      <c r="F790" s="43" t="s">
        <v>431</v>
      </c>
      <c r="G790" s="43" t="s">
        <v>960</v>
      </c>
      <c r="X790" s="38">
        <v>0.25</v>
      </c>
      <c r="Y790" s="38">
        <v>0</v>
      </c>
      <c r="AK790" s="45">
        <f t="shared" si="101"/>
        <v>0</v>
      </c>
      <c r="AL790" s="46">
        <f t="shared" si="102"/>
        <v>0</v>
      </c>
      <c r="AM790" s="46">
        <f t="shared" si="103"/>
        <v>0</v>
      </c>
      <c r="AN790" s="46"/>
      <c r="AO790" s="119" t="s">
        <v>1197</v>
      </c>
      <c r="AP790" s="38" t="str">
        <f t="shared" si="98"/>
        <v>Exclude</v>
      </c>
    </row>
    <row r="791" spans="1:42" ht="60" hidden="1">
      <c r="A791" s="38" t="str">
        <f t="shared" si="97"/>
        <v>Ausgrid</v>
      </c>
      <c r="B791" s="38" t="s">
        <v>1197</v>
      </c>
      <c r="C791" s="38" t="str">
        <f t="shared" si="99"/>
        <v>Duplicate-SW0206 - Circuit Breaker, Minimum Oil, Outdoor, ASEA Type HLR145 - ACCB, MINIMUM OIL, OUTDOOR</v>
      </c>
      <c r="D791" s="38" t="str">
        <f t="shared" si="100"/>
        <v>Duplicate-</v>
      </c>
      <c r="E791" s="413"/>
      <c r="F791" s="43" t="s">
        <v>431</v>
      </c>
      <c r="G791" s="43" t="s">
        <v>961</v>
      </c>
      <c r="X791" s="38">
        <v>6</v>
      </c>
      <c r="Y791" s="38">
        <v>6</v>
      </c>
      <c r="AK791" s="45">
        <f t="shared" si="101"/>
        <v>0</v>
      </c>
      <c r="AL791" s="46">
        <f t="shared" si="102"/>
        <v>0</v>
      </c>
      <c r="AM791" s="46">
        <f t="shared" si="103"/>
        <v>0</v>
      </c>
      <c r="AN791" s="46"/>
      <c r="AO791" s="119" t="s">
        <v>1197</v>
      </c>
      <c r="AP791" s="38" t="str">
        <f t="shared" si="98"/>
        <v>Exclude</v>
      </c>
    </row>
    <row r="792" spans="1:42" ht="60" hidden="1">
      <c r="A792" s="38" t="str">
        <f t="shared" si="97"/>
        <v>Ausgrid</v>
      </c>
      <c r="B792" s="38" t="s">
        <v>1197</v>
      </c>
      <c r="C792" s="38" t="str">
        <f t="shared" si="99"/>
        <v>Duplicate-SW0207 - Circuit Breaker, Minimum Oil, Outdoor, ASEA Type HLR145 - ACCB, MINIMUM OIL, OUTDOOR</v>
      </c>
      <c r="D792" s="38" t="str">
        <f t="shared" si="100"/>
        <v>Duplicate-</v>
      </c>
      <c r="E792" s="413"/>
      <c r="F792" s="43" t="s">
        <v>431</v>
      </c>
      <c r="G792" s="43" t="s">
        <v>962</v>
      </c>
      <c r="X792" s="38">
        <v>12</v>
      </c>
      <c r="Y792" s="38">
        <v>12</v>
      </c>
      <c r="AK792" s="45">
        <f t="shared" si="101"/>
        <v>0</v>
      </c>
      <c r="AL792" s="46">
        <f t="shared" si="102"/>
        <v>0</v>
      </c>
      <c r="AM792" s="46">
        <f t="shared" si="103"/>
        <v>0</v>
      </c>
      <c r="AN792" s="46"/>
      <c r="AO792" s="119" t="s">
        <v>1197</v>
      </c>
      <c r="AP792" s="38" t="str">
        <f t="shared" si="98"/>
        <v>Exclude</v>
      </c>
    </row>
    <row r="793" spans="1:42" ht="60" hidden="1">
      <c r="A793" s="38" t="str">
        <f t="shared" si="97"/>
        <v>Ausgrid</v>
      </c>
      <c r="B793" s="38" t="s">
        <v>1197</v>
      </c>
      <c r="C793" s="38" t="str">
        <f t="shared" si="99"/>
        <v>Duplicate-SW0216 - Circuit Breaker, Minimim Oil, ASEA, 66kV, Type HLC72.5 - ACCB, MINIMUM OIL, OUTDOOR</v>
      </c>
      <c r="D793" s="38" t="str">
        <f t="shared" si="100"/>
        <v>Duplicate-</v>
      </c>
      <c r="E793" s="413"/>
      <c r="F793" s="43" t="s">
        <v>431</v>
      </c>
      <c r="G793" s="43" t="s">
        <v>963</v>
      </c>
      <c r="X793" s="38">
        <v>6</v>
      </c>
      <c r="Y793" s="38">
        <v>6</v>
      </c>
      <c r="AK793" s="45">
        <f t="shared" si="101"/>
        <v>0</v>
      </c>
      <c r="AL793" s="46">
        <f t="shared" si="102"/>
        <v>0</v>
      </c>
      <c r="AM793" s="46">
        <f t="shared" si="103"/>
        <v>0</v>
      </c>
      <c r="AN793" s="46"/>
      <c r="AO793" s="119" t="s">
        <v>1197</v>
      </c>
      <c r="AP793" s="38" t="str">
        <f t="shared" si="98"/>
        <v>Exclude</v>
      </c>
    </row>
    <row r="794" spans="1:42" ht="60" hidden="1">
      <c r="A794" s="38" t="str">
        <f t="shared" si="97"/>
        <v>Ausgrid</v>
      </c>
      <c r="B794" s="38" t="s">
        <v>1197</v>
      </c>
      <c r="C794" s="38" t="str">
        <f t="shared" si="99"/>
        <v>Duplicate-SW0217 - Circuit Breaker, Minimim Oil, ASEA, 66kV, Type HLC72.5 - ACCB, MINIMUM OIL, OUTDOOR</v>
      </c>
      <c r="D794" s="38" t="str">
        <f t="shared" si="100"/>
        <v>Duplicate-</v>
      </c>
      <c r="E794" s="413"/>
      <c r="F794" s="43" t="s">
        <v>431</v>
      </c>
      <c r="G794" s="43" t="s">
        <v>964</v>
      </c>
      <c r="X794" s="38">
        <v>12</v>
      </c>
      <c r="Y794" s="38">
        <v>12</v>
      </c>
      <c r="AK794" s="45">
        <f t="shared" si="101"/>
        <v>0</v>
      </c>
      <c r="AL794" s="46">
        <f t="shared" si="102"/>
        <v>0</v>
      </c>
      <c r="AM794" s="46">
        <f t="shared" si="103"/>
        <v>0</v>
      </c>
      <c r="AN794" s="46"/>
      <c r="AO794" s="119" t="s">
        <v>1197</v>
      </c>
      <c r="AP794" s="38" t="str">
        <f t="shared" si="98"/>
        <v>Exclude</v>
      </c>
    </row>
    <row r="795" spans="1:42" ht="60" hidden="1">
      <c r="A795" s="38" t="str">
        <f t="shared" si="97"/>
        <v>Ausgrid</v>
      </c>
      <c r="B795" s="38" t="s">
        <v>1197</v>
      </c>
      <c r="C795" s="38" t="str">
        <f t="shared" si="99"/>
        <v>Duplicate-SW0220 - Circuit Breaker, Minimim Oil, 66kV, HKEY - ACCB, MINIMUM OIL, OUTDOOR</v>
      </c>
      <c r="D795" s="38" t="str">
        <f t="shared" si="100"/>
        <v>Duplicate-</v>
      </c>
      <c r="E795" s="413"/>
      <c r="F795" s="43" t="s">
        <v>431</v>
      </c>
      <c r="G795" s="43" t="s">
        <v>965</v>
      </c>
      <c r="X795" s="38">
        <v>6</v>
      </c>
      <c r="Y795" s="38">
        <v>6</v>
      </c>
      <c r="AK795" s="45">
        <f t="shared" si="101"/>
        <v>0</v>
      </c>
      <c r="AL795" s="46">
        <f t="shared" si="102"/>
        <v>0</v>
      </c>
      <c r="AM795" s="46">
        <f t="shared" si="103"/>
        <v>0</v>
      </c>
      <c r="AN795" s="46"/>
      <c r="AO795" s="119" t="s">
        <v>1197</v>
      </c>
      <c r="AP795" s="38" t="str">
        <f t="shared" si="98"/>
        <v>Exclude</v>
      </c>
    </row>
    <row r="796" spans="1:42" ht="60" hidden="1">
      <c r="A796" s="38" t="str">
        <f t="shared" si="97"/>
        <v>Ausgrid</v>
      </c>
      <c r="B796" s="38" t="s">
        <v>1197</v>
      </c>
      <c r="C796" s="38" t="str">
        <f t="shared" si="99"/>
        <v>Duplicate-SW0221 - Circuit Breaker, Minimim Oil, 66kV, HKEY - ACCB, MINIMUM OIL, OUTDOOR</v>
      </c>
      <c r="D796" s="38" t="str">
        <f t="shared" si="100"/>
        <v>Duplicate-</v>
      </c>
      <c r="E796" s="413"/>
      <c r="F796" s="43" t="s">
        <v>431</v>
      </c>
      <c r="G796" s="43" t="s">
        <v>966</v>
      </c>
      <c r="X796" s="38">
        <v>12</v>
      </c>
      <c r="Y796" s="38">
        <v>12</v>
      </c>
      <c r="AK796" s="45">
        <f t="shared" si="101"/>
        <v>0</v>
      </c>
      <c r="AL796" s="46">
        <f t="shared" si="102"/>
        <v>0</v>
      </c>
      <c r="AM796" s="46">
        <f t="shared" si="103"/>
        <v>0</v>
      </c>
      <c r="AN796" s="46"/>
      <c r="AO796" s="119" t="s">
        <v>1197</v>
      </c>
      <c r="AP796" s="38" t="str">
        <f t="shared" si="98"/>
        <v>Exclude</v>
      </c>
    </row>
    <row r="797" spans="1:42" ht="75" hidden="1">
      <c r="A797" s="38" t="str">
        <f t="shared" si="97"/>
        <v>Ausgrid</v>
      </c>
      <c r="B797" s="38" t="s">
        <v>1197</v>
      </c>
      <c r="C797" s="38" t="str">
        <f t="shared" si="99"/>
        <v>Duplicate-SW0213 - Circuit Breaker, 33kV, Minimim Oil, Magrini Galileo 33kV, 38 MGE - ACCB, MINIMUM OIL, OUTDOOR</v>
      </c>
      <c r="D797" s="38" t="str">
        <f t="shared" si="100"/>
        <v>Duplicate-</v>
      </c>
      <c r="E797" s="413"/>
      <c r="F797" s="43" t="s">
        <v>431</v>
      </c>
      <c r="G797" s="43" t="s">
        <v>967</v>
      </c>
      <c r="X797" s="38">
        <v>6</v>
      </c>
      <c r="Y797" s="38">
        <v>6</v>
      </c>
      <c r="AK797" s="45">
        <f t="shared" si="101"/>
        <v>0</v>
      </c>
      <c r="AL797" s="46">
        <f t="shared" si="102"/>
        <v>0</v>
      </c>
      <c r="AM797" s="46">
        <f t="shared" si="103"/>
        <v>0</v>
      </c>
      <c r="AN797" s="46"/>
      <c r="AO797" s="119" t="s">
        <v>1197</v>
      </c>
      <c r="AP797" s="38" t="str">
        <f t="shared" si="98"/>
        <v>Exclude</v>
      </c>
    </row>
    <row r="798" spans="1:42" ht="75" hidden="1">
      <c r="A798" s="38" t="str">
        <f t="shared" si="97"/>
        <v>Ausgrid</v>
      </c>
      <c r="B798" s="38" t="s">
        <v>1197</v>
      </c>
      <c r="C798" s="38" t="str">
        <f t="shared" si="99"/>
        <v>Duplicate-SW0214 - Circuit Breaker, 33kV, Minimim Oil, Magrini Galileo 33kV, 38 MGE - ACCB, MINIMUM OIL, OUTDOOR</v>
      </c>
      <c r="D798" s="38" t="str">
        <f t="shared" si="100"/>
        <v>Duplicate-</v>
      </c>
      <c r="E798" s="413"/>
      <c r="F798" s="43" t="s">
        <v>431</v>
      </c>
      <c r="G798" s="43" t="s">
        <v>968</v>
      </c>
      <c r="X798" s="38">
        <v>12</v>
      </c>
      <c r="Y798" s="38">
        <v>12</v>
      </c>
      <c r="AK798" s="45">
        <f t="shared" si="101"/>
        <v>0</v>
      </c>
      <c r="AL798" s="46">
        <f t="shared" si="102"/>
        <v>0</v>
      </c>
      <c r="AM798" s="46">
        <f t="shared" si="103"/>
        <v>0</v>
      </c>
      <c r="AN798" s="46"/>
      <c r="AO798" s="119" t="s">
        <v>1197</v>
      </c>
      <c r="AP798" s="38" t="str">
        <f t="shared" si="98"/>
        <v>Exclude</v>
      </c>
    </row>
    <row r="799" spans="1:42" ht="45" hidden="1">
      <c r="A799" s="38" t="str">
        <f t="shared" si="97"/>
        <v>Ausgrid</v>
      </c>
      <c r="B799" s="38" t="s">
        <v>1197</v>
      </c>
      <c r="C799" s="38" t="str">
        <f t="shared" si="99"/>
        <v>Duplicate-SW0301 - Circuit Breaker, Gas Indoor, Generic - ACCB, GAS, INDOOR</v>
      </c>
      <c r="D799" s="38" t="str">
        <f t="shared" si="100"/>
        <v>Duplicate-</v>
      </c>
      <c r="E799" s="413"/>
      <c r="F799" s="43" t="s">
        <v>431</v>
      </c>
      <c r="G799" s="43" t="s">
        <v>969</v>
      </c>
      <c r="X799" s="38">
        <v>2</v>
      </c>
      <c r="Y799" s="38">
        <v>0</v>
      </c>
      <c r="AK799" s="45">
        <f t="shared" si="101"/>
        <v>0</v>
      </c>
      <c r="AL799" s="46">
        <f t="shared" si="102"/>
        <v>0</v>
      </c>
      <c r="AM799" s="46">
        <f t="shared" si="103"/>
        <v>0</v>
      </c>
      <c r="AN799" s="46"/>
      <c r="AO799" s="119" t="s">
        <v>1197</v>
      </c>
      <c r="AP799" s="38" t="str">
        <f t="shared" si="98"/>
        <v>Exclude</v>
      </c>
    </row>
    <row r="800" spans="1:42" ht="60" hidden="1">
      <c r="A800" s="38" t="str">
        <f t="shared" si="97"/>
        <v>Ausgrid</v>
      </c>
      <c r="B800" s="38" t="s">
        <v>1197</v>
      </c>
      <c r="C800" s="38" t="str">
        <f t="shared" si="99"/>
        <v>Duplicate-SW0302 - Circuit Breaker,Gas Indoor, Brown Boveri, 132kV, Type ELKSN - ACCB, GAS, INDOOR</v>
      </c>
      <c r="D800" s="38" t="str">
        <f t="shared" si="100"/>
        <v>Duplicate-</v>
      </c>
      <c r="E800" s="413"/>
      <c r="F800" s="43" t="s">
        <v>431</v>
      </c>
      <c r="G800" s="43" t="s">
        <v>970</v>
      </c>
      <c r="X800" s="38">
        <v>12</v>
      </c>
      <c r="Y800" s="38">
        <v>0</v>
      </c>
      <c r="AK800" s="45">
        <f t="shared" si="101"/>
        <v>0</v>
      </c>
      <c r="AL800" s="46">
        <f t="shared" si="102"/>
        <v>0</v>
      </c>
      <c r="AM800" s="46">
        <f t="shared" si="103"/>
        <v>0</v>
      </c>
      <c r="AN800" s="46"/>
      <c r="AO800" s="119" t="s">
        <v>1197</v>
      </c>
      <c r="AP800" s="38" t="str">
        <f t="shared" si="98"/>
        <v>Exclude</v>
      </c>
    </row>
    <row r="801" spans="1:42" ht="60" hidden="1">
      <c r="A801" s="38" t="str">
        <f t="shared" si="97"/>
        <v>Ausgrid</v>
      </c>
      <c r="B801" s="38" t="s">
        <v>1197</v>
      </c>
      <c r="C801" s="38" t="str">
        <f t="shared" si="99"/>
        <v>Duplicate-SW0303 - Circuit Breaker,Gas Indoor, Hitachi, 132kV, Type CFPT-120-40L - ACCB, GAS, INDOOR</v>
      </c>
      <c r="D801" s="38" t="str">
        <f t="shared" si="100"/>
        <v>Duplicate-</v>
      </c>
      <c r="E801" s="413"/>
      <c r="F801" s="43" t="s">
        <v>431</v>
      </c>
      <c r="G801" s="43" t="s">
        <v>971</v>
      </c>
      <c r="X801" s="38">
        <v>12</v>
      </c>
      <c r="Y801" s="38">
        <v>0</v>
      </c>
      <c r="AK801" s="45">
        <f t="shared" si="101"/>
        <v>0</v>
      </c>
      <c r="AL801" s="46">
        <f t="shared" si="102"/>
        <v>0</v>
      </c>
      <c r="AM801" s="46">
        <f t="shared" si="103"/>
        <v>0</v>
      </c>
      <c r="AN801" s="46"/>
      <c r="AO801" s="119" t="s">
        <v>1197</v>
      </c>
      <c r="AP801" s="38" t="str">
        <f t="shared" si="98"/>
        <v>Exclude</v>
      </c>
    </row>
    <row r="802" spans="1:42" ht="60" hidden="1">
      <c r="A802" s="38" t="str">
        <f t="shared" si="97"/>
        <v>Ausgrid</v>
      </c>
      <c r="B802" s="38" t="s">
        <v>1197</v>
      </c>
      <c r="C802" s="38" t="str">
        <f t="shared" si="99"/>
        <v>Duplicate-SW0304 - Circuit Breaker,Gas Indoor, Fuji Electric Co, 132kV, Type BAK314NN - ACCB, GAS, INDOOR</v>
      </c>
      <c r="D802" s="38" t="str">
        <f t="shared" si="100"/>
        <v>Duplicate-</v>
      </c>
      <c r="E802" s="413"/>
      <c r="F802" s="43" t="s">
        <v>431</v>
      </c>
      <c r="G802" s="43" t="s">
        <v>972</v>
      </c>
      <c r="X802" s="38">
        <v>12</v>
      </c>
      <c r="Y802" s="38">
        <v>0</v>
      </c>
      <c r="AK802" s="45">
        <f t="shared" si="101"/>
        <v>0</v>
      </c>
      <c r="AL802" s="46">
        <f t="shared" si="102"/>
        <v>0</v>
      </c>
      <c r="AM802" s="46">
        <f t="shared" si="103"/>
        <v>0</v>
      </c>
      <c r="AN802" s="46"/>
      <c r="AO802" s="119" t="s">
        <v>1197</v>
      </c>
      <c r="AP802" s="38" t="str">
        <f t="shared" si="98"/>
        <v>Exclude</v>
      </c>
    </row>
    <row r="803" spans="1:42" ht="45" hidden="1">
      <c r="A803" s="38" t="str">
        <f t="shared" si="97"/>
        <v>Ausgrid</v>
      </c>
      <c r="B803" s="38" t="s">
        <v>1197</v>
      </c>
      <c r="C803" s="38" t="str">
        <f t="shared" si="99"/>
        <v>Duplicate-SW0301 - Circuit Breaker, Gas Indoor, Generic - ACCB, GAS, INDOOR</v>
      </c>
      <c r="D803" s="38" t="str">
        <f t="shared" si="100"/>
        <v>Duplicate-</v>
      </c>
      <c r="E803" s="413"/>
      <c r="F803" s="43" t="s">
        <v>431</v>
      </c>
      <c r="G803" s="43" t="s">
        <v>969</v>
      </c>
      <c r="X803" s="38">
        <v>6</v>
      </c>
      <c r="Y803" s="38">
        <v>0</v>
      </c>
      <c r="AK803" s="45">
        <f t="shared" si="101"/>
        <v>0</v>
      </c>
      <c r="AL803" s="46">
        <f t="shared" si="102"/>
        <v>0</v>
      </c>
      <c r="AM803" s="46">
        <f t="shared" si="103"/>
        <v>0</v>
      </c>
      <c r="AN803" s="46"/>
      <c r="AO803" s="119" t="s">
        <v>1197</v>
      </c>
      <c r="AP803" s="38" t="str">
        <f t="shared" si="98"/>
        <v>Exclude</v>
      </c>
    </row>
    <row r="804" spans="1:42" ht="60" hidden="1">
      <c r="A804" s="38" t="str">
        <f t="shared" si="97"/>
        <v>Ausgrid</v>
      </c>
      <c r="B804" s="38" t="s">
        <v>1197</v>
      </c>
      <c r="C804" s="38" t="str">
        <f t="shared" si="99"/>
        <v>Duplicate-SW0306 - Circuit Breaker,Gas Indoor, Siemens, 132kV, Type 8DN8 - ACCB, GAS, INDOOR</v>
      </c>
      <c r="D804" s="38" t="str">
        <f t="shared" si="100"/>
        <v>Duplicate-</v>
      </c>
      <c r="E804" s="413"/>
      <c r="F804" s="43" t="s">
        <v>431</v>
      </c>
      <c r="G804" s="43" t="s">
        <v>973</v>
      </c>
      <c r="X804" s="38">
        <v>12</v>
      </c>
      <c r="Y804" s="38">
        <v>0</v>
      </c>
      <c r="AK804" s="45">
        <f t="shared" si="101"/>
        <v>0</v>
      </c>
      <c r="AL804" s="46">
        <f t="shared" si="102"/>
        <v>0</v>
      </c>
      <c r="AM804" s="46">
        <f t="shared" si="103"/>
        <v>0</v>
      </c>
      <c r="AN804" s="46"/>
      <c r="AO804" s="119" t="s">
        <v>1197</v>
      </c>
      <c r="AP804" s="38" t="str">
        <f t="shared" si="98"/>
        <v>Exclude</v>
      </c>
    </row>
    <row r="805" spans="1:42" ht="60" hidden="1">
      <c r="A805" s="38" t="str">
        <f t="shared" si="97"/>
        <v>Ausgrid</v>
      </c>
      <c r="B805" s="38" t="s">
        <v>1197</v>
      </c>
      <c r="C805" s="38" t="str">
        <f t="shared" si="99"/>
        <v>Duplicate-SW0307 - Circuit Breaker,Gas Indoor, Mitsubishi, 132kV, Type 120-SFMT-40CJ - ACCB, GAS, INDOOR</v>
      </c>
      <c r="D805" s="38" t="str">
        <f t="shared" si="100"/>
        <v>Duplicate-</v>
      </c>
      <c r="E805" s="413"/>
      <c r="F805" s="43" t="s">
        <v>431</v>
      </c>
      <c r="G805" s="43" t="s">
        <v>974</v>
      </c>
      <c r="X805" s="38">
        <v>12</v>
      </c>
      <c r="Y805" s="38">
        <v>0</v>
      </c>
      <c r="AK805" s="45">
        <f t="shared" si="101"/>
        <v>0</v>
      </c>
      <c r="AL805" s="46">
        <f t="shared" si="102"/>
        <v>0</v>
      </c>
      <c r="AM805" s="46">
        <f t="shared" si="103"/>
        <v>0</v>
      </c>
      <c r="AN805" s="46"/>
      <c r="AO805" s="119" t="s">
        <v>1197</v>
      </c>
      <c r="AP805" s="38" t="str">
        <f t="shared" si="98"/>
        <v>Exclude</v>
      </c>
    </row>
    <row r="806" spans="1:42" ht="60" hidden="1">
      <c r="A806" s="38" t="str">
        <f t="shared" si="97"/>
        <v>Ausgrid</v>
      </c>
      <c r="B806" s="38" t="s">
        <v>1197</v>
      </c>
      <c r="C806" s="38" t="str">
        <f t="shared" si="99"/>
        <v>Duplicate-SW0305 - Circuit Breaker,Gas Indoor, ABB, 132kV, Type HDG (ELK-0) - ACCB, GAS, INDOOR</v>
      </c>
      <c r="D806" s="38" t="str">
        <f t="shared" si="100"/>
        <v>Duplicate-</v>
      </c>
      <c r="E806" s="413"/>
      <c r="F806" s="43" t="s">
        <v>431</v>
      </c>
      <c r="G806" s="43" t="s">
        <v>975</v>
      </c>
      <c r="X806" s="38">
        <v>12</v>
      </c>
      <c r="Y806" s="38">
        <v>0</v>
      </c>
      <c r="AK806" s="45">
        <f t="shared" si="101"/>
        <v>0</v>
      </c>
      <c r="AL806" s="46">
        <f t="shared" si="102"/>
        <v>0</v>
      </c>
      <c r="AM806" s="46">
        <f t="shared" si="103"/>
        <v>0</v>
      </c>
      <c r="AN806" s="46"/>
      <c r="AO806" s="119" t="s">
        <v>1197</v>
      </c>
      <c r="AP806" s="38" t="str">
        <f t="shared" si="98"/>
        <v>Exclude</v>
      </c>
    </row>
    <row r="807" spans="1:42" ht="45" hidden="1">
      <c r="A807" s="38" t="str">
        <f t="shared" si="97"/>
        <v>Ausgrid</v>
      </c>
      <c r="B807" s="38" t="s">
        <v>1197</v>
      </c>
      <c r="C807" s="38" t="str">
        <f t="shared" si="99"/>
        <v>Duplicate-SW0311 - Circuit Breaker,Gas Indoor, ABB, 33kV, Type HB / HC - ACCB, GAS, INDOOR</v>
      </c>
      <c r="D807" s="38" t="str">
        <f t="shared" si="100"/>
        <v>Duplicate-</v>
      </c>
      <c r="E807" s="413"/>
      <c r="F807" s="43" t="s">
        <v>431</v>
      </c>
      <c r="G807" s="43" t="s">
        <v>976</v>
      </c>
      <c r="X807" s="38">
        <v>12</v>
      </c>
      <c r="Y807" s="38">
        <v>0</v>
      </c>
      <c r="AK807" s="45">
        <f t="shared" si="101"/>
        <v>0</v>
      </c>
      <c r="AL807" s="46">
        <f t="shared" si="102"/>
        <v>0</v>
      </c>
      <c r="AM807" s="46">
        <f t="shared" si="103"/>
        <v>0</v>
      </c>
      <c r="AN807" s="46"/>
      <c r="AO807" s="119" t="s">
        <v>1197</v>
      </c>
      <c r="AP807" s="38" t="str">
        <f t="shared" si="98"/>
        <v>Exclude</v>
      </c>
    </row>
    <row r="808" spans="1:42" ht="60" hidden="1">
      <c r="A808" s="38" t="str">
        <f t="shared" si="97"/>
        <v>Ausgrid</v>
      </c>
      <c r="B808" s="38" t="s">
        <v>1197</v>
      </c>
      <c r="C808" s="38" t="str">
        <f t="shared" si="99"/>
        <v>Duplicate-SW0312 - Circuit Breaker,Gas Indoor, Merlin Gerin, 33kV, Type SFI-G - ACCB, GAS, INDOOR</v>
      </c>
      <c r="D808" s="38" t="str">
        <f t="shared" si="100"/>
        <v>Duplicate-</v>
      </c>
      <c r="E808" s="413"/>
      <c r="F808" s="43" t="s">
        <v>431</v>
      </c>
      <c r="G808" s="43" t="s">
        <v>977</v>
      </c>
      <c r="X808" s="38">
        <v>12</v>
      </c>
      <c r="Y808" s="38">
        <v>0</v>
      </c>
      <c r="AK808" s="45">
        <f t="shared" si="101"/>
        <v>0</v>
      </c>
      <c r="AL808" s="46">
        <f t="shared" si="102"/>
        <v>0</v>
      </c>
      <c r="AM808" s="46">
        <f t="shared" si="103"/>
        <v>0</v>
      </c>
      <c r="AN808" s="46"/>
      <c r="AO808" s="119" t="s">
        <v>1197</v>
      </c>
      <c r="AP808" s="38" t="str">
        <f t="shared" si="98"/>
        <v>Exclude</v>
      </c>
    </row>
    <row r="809" spans="1:42" ht="45" hidden="1">
      <c r="A809" s="38" t="str">
        <f t="shared" si="97"/>
        <v>Ausgrid</v>
      </c>
      <c r="B809" s="38" t="s">
        <v>1197</v>
      </c>
      <c r="C809" s="38" t="str">
        <f t="shared" si="99"/>
        <v>Duplicate-SW0301 - Circuit Breaker, Gas Indoor, Generic - ACCB, GAS, INDOOR</v>
      </c>
      <c r="D809" s="38" t="str">
        <f t="shared" si="100"/>
        <v>Duplicate-</v>
      </c>
      <c r="E809" s="413"/>
      <c r="F809" s="43" t="s">
        <v>431</v>
      </c>
      <c r="G809" s="43" t="s">
        <v>969</v>
      </c>
      <c r="X809" s="38">
        <v>3</v>
      </c>
      <c r="Y809" s="38">
        <v>0</v>
      </c>
      <c r="AK809" s="45">
        <f t="shared" si="101"/>
        <v>0</v>
      </c>
      <c r="AL809" s="46">
        <f t="shared" si="102"/>
        <v>0</v>
      </c>
      <c r="AM809" s="46">
        <f t="shared" si="103"/>
        <v>0</v>
      </c>
      <c r="AN809" s="46"/>
      <c r="AO809" s="119" t="s">
        <v>1197</v>
      </c>
      <c r="AP809" s="38" t="str">
        <f t="shared" si="98"/>
        <v>Exclude</v>
      </c>
    </row>
    <row r="810" spans="1:42" ht="60" hidden="1">
      <c r="A810" s="38" t="str">
        <f t="shared" si="97"/>
        <v>Ausgrid</v>
      </c>
      <c r="B810" s="38" t="s">
        <v>1197</v>
      </c>
      <c r="C810" s="38" t="str">
        <f t="shared" si="99"/>
        <v>Duplicate-SW0314 - Circuit Breaker,Gas Indoor, Merlin Gerin, 33kV, Type Fluarc / FCSF6 - ACCB, GAS, INDOOR</v>
      </c>
      <c r="D810" s="38" t="str">
        <f t="shared" si="100"/>
        <v>Duplicate-</v>
      </c>
      <c r="E810" s="413"/>
      <c r="F810" s="43" t="s">
        <v>431</v>
      </c>
      <c r="G810" s="43" t="s">
        <v>978</v>
      </c>
      <c r="X810" s="38">
        <v>12</v>
      </c>
      <c r="Y810" s="38">
        <v>12</v>
      </c>
      <c r="AK810" s="45">
        <f t="shared" si="101"/>
        <v>0</v>
      </c>
      <c r="AL810" s="46">
        <f t="shared" si="102"/>
        <v>0</v>
      </c>
      <c r="AM810" s="46">
        <f t="shared" si="103"/>
        <v>0</v>
      </c>
      <c r="AN810" s="46"/>
      <c r="AO810" s="119" t="s">
        <v>1197</v>
      </c>
      <c r="AP810" s="38" t="str">
        <f t="shared" si="98"/>
        <v>Exclude</v>
      </c>
    </row>
    <row r="811" spans="1:42" ht="60" hidden="1">
      <c r="A811" s="38" t="str">
        <f t="shared" si="97"/>
        <v>Ausgrid</v>
      </c>
      <c r="B811" s="38" t="s">
        <v>1197</v>
      </c>
      <c r="C811" s="38" t="str">
        <f t="shared" si="99"/>
        <v>Duplicate-SW0315 - Circuit Breaker,Gas Indoor, Schneider, 33kV, Type SF2 - ACCB, GAS, INDOOR</v>
      </c>
      <c r="D811" s="38" t="str">
        <f t="shared" si="100"/>
        <v>Duplicate-</v>
      </c>
      <c r="E811" s="413"/>
      <c r="F811" s="43" t="s">
        <v>431</v>
      </c>
      <c r="G811" s="43" t="s">
        <v>979</v>
      </c>
      <c r="X811" s="38">
        <v>12</v>
      </c>
      <c r="Y811" s="38">
        <v>12</v>
      </c>
      <c r="AK811" s="45">
        <f t="shared" si="101"/>
        <v>0</v>
      </c>
      <c r="AL811" s="46">
        <f t="shared" si="102"/>
        <v>0</v>
      </c>
      <c r="AM811" s="46">
        <f t="shared" si="103"/>
        <v>0</v>
      </c>
      <c r="AN811" s="46"/>
      <c r="AO811" s="119" t="s">
        <v>1197</v>
      </c>
      <c r="AP811" s="38" t="str">
        <f t="shared" si="98"/>
        <v>Exclude</v>
      </c>
    </row>
    <row r="812" spans="1:42" ht="45" hidden="1">
      <c r="A812" s="38" t="str">
        <f t="shared" si="97"/>
        <v>Ausgrid</v>
      </c>
      <c r="B812" s="38" t="s">
        <v>1197</v>
      </c>
      <c r="C812" s="38" t="str">
        <f t="shared" si="99"/>
        <v>Duplicate-SW0316 - Circuit Breaker, Gas Indoor, HD4 - ACCB, GAS, INDOOR</v>
      </c>
      <c r="D812" s="38" t="str">
        <f t="shared" si="100"/>
        <v>Duplicate-</v>
      </c>
      <c r="E812" s="413"/>
      <c r="F812" s="43" t="s">
        <v>431</v>
      </c>
      <c r="G812" s="43" t="s">
        <v>980</v>
      </c>
      <c r="X812" s="38">
        <v>12</v>
      </c>
      <c r="Y812" s="38">
        <v>12</v>
      </c>
      <c r="AK812" s="45">
        <f t="shared" si="101"/>
        <v>0</v>
      </c>
      <c r="AL812" s="46">
        <f t="shared" si="102"/>
        <v>0</v>
      </c>
      <c r="AM812" s="46">
        <f t="shared" si="103"/>
        <v>0</v>
      </c>
      <c r="AN812" s="46"/>
      <c r="AO812" s="119" t="s">
        <v>1197</v>
      </c>
      <c r="AP812" s="38" t="str">
        <f t="shared" si="98"/>
        <v>Exclude</v>
      </c>
    </row>
    <row r="813" spans="1:42" ht="45" hidden="1">
      <c r="A813" s="38" t="str">
        <f t="shared" si="97"/>
        <v>Ausgrid</v>
      </c>
      <c r="B813" s="38" t="s">
        <v>1197</v>
      </c>
      <c r="C813" s="38" t="str">
        <f t="shared" si="99"/>
        <v>Duplicate-SW0401 - Circuit Breaker, Vacuum, Outdoor, Generic - ACCB, VACUUM, OUTDOOR</v>
      </c>
      <c r="D813" s="38" t="str">
        <f t="shared" si="100"/>
        <v>Duplicate-</v>
      </c>
      <c r="E813" s="413"/>
      <c r="F813" s="43" t="s">
        <v>431</v>
      </c>
      <c r="G813" s="43" t="s">
        <v>981</v>
      </c>
      <c r="X813" s="38">
        <v>6</v>
      </c>
      <c r="Y813" s="38">
        <v>0</v>
      </c>
      <c r="AK813" s="45">
        <f t="shared" si="101"/>
        <v>0</v>
      </c>
      <c r="AL813" s="46">
        <f t="shared" si="102"/>
        <v>0</v>
      </c>
      <c r="AM813" s="46">
        <f t="shared" si="103"/>
        <v>0</v>
      </c>
      <c r="AN813" s="46"/>
      <c r="AO813" s="119" t="s">
        <v>1197</v>
      </c>
      <c r="AP813" s="38" t="str">
        <f t="shared" si="98"/>
        <v>Exclude</v>
      </c>
    </row>
    <row r="814" spans="1:42" ht="60" hidden="1">
      <c r="A814" s="38" t="str">
        <f t="shared" si="97"/>
        <v>Ausgrid</v>
      </c>
      <c r="B814" s="38" t="s">
        <v>1197</v>
      </c>
      <c r="C814" s="38" t="str">
        <f t="shared" si="99"/>
        <v>Duplicate-SW0402 - Circuit Breaker, Vacuum, Outdoor, 33kv, Alstom Type OX36 - ACCB, VACUUM, OUTDOOR</v>
      </c>
      <c r="D814" s="38" t="str">
        <f t="shared" si="100"/>
        <v>Duplicate-</v>
      </c>
      <c r="E814" s="413"/>
      <c r="F814" s="43" t="s">
        <v>431</v>
      </c>
      <c r="G814" s="43" t="s">
        <v>982</v>
      </c>
      <c r="X814" s="38">
        <v>12</v>
      </c>
      <c r="Y814" s="38">
        <v>0</v>
      </c>
      <c r="AK814" s="45">
        <f t="shared" si="101"/>
        <v>0</v>
      </c>
      <c r="AL814" s="46">
        <f t="shared" si="102"/>
        <v>0</v>
      </c>
      <c r="AM814" s="46">
        <f t="shared" si="103"/>
        <v>0</v>
      </c>
      <c r="AN814" s="46"/>
      <c r="AO814" s="119" t="s">
        <v>1197</v>
      </c>
      <c r="AP814" s="38" t="str">
        <f t="shared" si="98"/>
        <v>Exclude</v>
      </c>
    </row>
    <row r="815" spans="1:42" ht="45" hidden="1">
      <c r="A815" s="38" t="str">
        <f t="shared" si="97"/>
        <v>Ausgrid</v>
      </c>
      <c r="B815" s="38" t="s">
        <v>1197</v>
      </c>
      <c r="C815" s="38" t="str">
        <f t="shared" si="99"/>
        <v>Duplicate-SW0403 - Circuit Breaker, Vacuum, Outdoor, Generic,  - ACCB, VACUUM, OUTDOOR</v>
      </c>
      <c r="D815" s="38" t="str">
        <f t="shared" si="100"/>
        <v>Duplicate-</v>
      </c>
      <c r="E815" s="413"/>
      <c r="F815" s="43" t="s">
        <v>431</v>
      </c>
      <c r="G815" s="43" t="s">
        <v>983</v>
      </c>
      <c r="X815" s="38">
        <v>3</v>
      </c>
      <c r="Y815" s="38">
        <v>0</v>
      </c>
      <c r="AK815" s="45">
        <f t="shared" si="101"/>
        <v>0</v>
      </c>
      <c r="AL815" s="46">
        <f t="shared" si="102"/>
        <v>0</v>
      </c>
      <c r="AM815" s="46">
        <f t="shared" si="103"/>
        <v>0</v>
      </c>
      <c r="AN815" s="46"/>
      <c r="AO815" s="119" t="s">
        <v>1197</v>
      </c>
      <c r="AP815" s="38" t="str">
        <f t="shared" si="98"/>
        <v>Exclude</v>
      </c>
    </row>
    <row r="816" spans="1:42" ht="60" hidden="1">
      <c r="A816" s="38" t="str">
        <f t="shared" si="97"/>
        <v>Ausgrid</v>
      </c>
      <c r="B816" s="38" t="s">
        <v>1197</v>
      </c>
      <c r="C816" s="38" t="str">
        <f t="shared" si="99"/>
        <v>Duplicate-SW0404 - Circuit Breaker, Vacuum, Outdoor, ABB R-MAG, 27kV  - ACCB, VACUUM, OUTDOOR</v>
      </c>
      <c r="D816" s="38" t="str">
        <f t="shared" si="100"/>
        <v>Duplicate-</v>
      </c>
      <c r="E816" s="413"/>
      <c r="F816" s="43" t="s">
        <v>431</v>
      </c>
      <c r="G816" s="43" t="s">
        <v>984</v>
      </c>
      <c r="X816" s="38">
        <v>12</v>
      </c>
      <c r="Y816" s="38">
        <v>0</v>
      </c>
      <c r="AK816" s="45">
        <f t="shared" si="101"/>
        <v>0</v>
      </c>
      <c r="AL816" s="46">
        <f t="shared" si="102"/>
        <v>0</v>
      </c>
      <c r="AM816" s="46">
        <f t="shared" si="103"/>
        <v>0</v>
      </c>
      <c r="AN816" s="46"/>
      <c r="AO816" s="119" t="s">
        <v>1197</v>
      </c>
      <c r="AP816" s="38" t="str">
        <f t="shared" si="98"/>
        <v>Exclude</v>
      </c>
    </row>
    <row r="817" spans="1:42" ht="60" hidden="1">
      <c r="A817" s="38" t="str">
        <f t="shared" si="97"/>
        <v>Ausgrid</v>
      </c>
      <c r="B817" s="38" t="s">
        <v>1197</v>
      </c>
      <c r="C817" s="38" t="str">
        <f t="shared" si="99"/>
        <v>Duplicate-SW0405 - Circuit Breaker, Vacuum, Outdoor, ABB R-MAG, 27kV  - ACCB, VACUUM, OUTDOOR</v>
      </c>
      <c r="D817" s="38" t="str">
        <f t="shared" si="100"/>
        <v>Duplicate-</v>
      </c>
      <c r="E817" s="413"/>
      <c r="F817" s="43" t="s">
        <v>431</v>
      </c>
      <c r="G817" s="43" t="s">
        <v>985</v>
      </c>
      <c r="X817" s="38">
        <v>20</v>
      </c>
      <c r="Y817" s="38">
        <v>20</v>
      </c>
      <c r="AK817" s="45">
        <f t="shared" si="101"/>
        <v>0</v>
      </c>
      <c r="AL817" s="46">
        <f t="shared" si="102"/>
        <v>0</v>
      </c>
      <c r="AM817" s="46">
        <f t="shared" si="103"/>
        <v>0</v>
      </c>
      <c r="AN817" s="46"/>
      <c r="AO817" s="119" t="s">
        <v>1197</v>
      </c>
      <c r="AP817" s="38" t="str">
        <f t="shared" si="98"/>
        <v>Exclude</v>
      </c>
    </row>
    <row r="818" spans="1:42" ht="45" hidden="1">
      <c r="A818" s="38" t="str">
        <f t="shared" si="97"/>
        <v>Ausgrid</v>
      </c>
      <c r="B818" s="38" t="s">
        <v>1197</v>
      </c>
      <c r="C818" s="38" t="str">
        <f t="shared" si="99"/>
        <v>Duplicate-SW0501 - Circuit Breaker, Air Indoor, Generic - ACCB, AIR, INDOOR</v>
      </c>
      <c r="D818" s="38" t="str">
        <f t="shared" si="100"/>
        <v>Duplicate-</v>
      </c>
      <c r="E818" s="413"/>
      <c r="F818" s="43" t="s">
        <v>431</v>
      </c>
      <c r="G818" s="43" t="s">
        <v>986</v>
      </c>
      <c r="X818" s="38">
        <v>2</v>
      </c>
      <c r="Y818" s="38">
        <v>0</v>
      </c>
      <c r="AK818" s="45">
        <f t="shared" si="101"/>
        <v>0</v>
      </c>
      <c r="AL818" s="46">
        <f t="shared" si="102"/>
        <v>0</v>
      </c>
      <c r="AM818" s="46">
        <f t="shared" si="103"/>
        <v>0</v>
      </c>
      <c r="AN818" s="46"/>
      <c r="AO818" s="119" t="s">
        <v>1197</v>
      </c>
      <c r="AP818" s="38" t="str">
        <f t="shared" si="98"/>
        <v>Exclude</v>
      </c>
    </row>
    <row r="819" spans="1:42" ht="60" hidden="1">
      <c r="A819" s="38" t="str">
        <f t="shared" ref="A819:A882" si="104">IF(E819&gt;0,E819,A818)</f>
        <v>Ausgrid</v>
      </c>
      <c r="B819" s="38" t="s">
        <v>1197</v>
      </c>
      <c r="C819" s="38" t="str">
        <f t="shared" si="99"/>
        <v>Duplicate-SW0502 - Circuit Breaker, Air, Indoor, Hitachi, 33kV, PBR-150 - ACCB, AIR, INDOOR</v>
      </c>
      <c r="D819" s="38" t="str">
        <f t="shared" si="100"/>
        <v>Duplicate-</v>
      </c>
      <c r="E819" s="413"/>
      <c r="F819" s="43" t="s">
        <v>431</v>
      </c>
      <c r="G819" s="43" t="s">
        <v>987</v>
      </c>
      <c r="X819" s="38">
        <v>6</v>
      </c>
      <c r="Y819" s="38">
        <v>0</v>
      </c>
      <c r="AK819" s="45">
        <f t="shared" si="101"/>
        <v>0</v>
      </c>
      <c r="AL819" s="46">
        <f t="shared" si="102"/>
        <v>0</v>
      </c>
      <c r="AM819" s="46">
        <f t="shared" si="103"/>
        <v>0</v>
      </c>
      <c r="AN819" s="46"/>
      <c r="AO819" s="119" t="s">
        <v>1197</v>
      </c>
      <c r="AP819" s="38" t="str">
        <f t="shared" si="98"/>
        <v>Exclude</v>
      </c>
    </row>
    <row r="820" spans="1:42" ht="60" hidden="1">
      <c r="A820" s="38" t="str">
        <f t="shared" si="104"/>
        <v>Ausgrid</v>
      </c>
      <c r="B820" s="38" t="s">
        <v>1197</v>
      </c>
      <c r="C820" s="38" t="str">
        <f t="shared" si="99"/>
        <v>Duplicate-SW0503 - Circuit Breaker, Air, Indoor, Hitachi, 33kV, PBR-150 - ACCB, AIR, INDOOR</v>
      </c>
      <c r="D820" s="38" t="str">
        <f t="shared" si="100"/>
        <v>Duplicate-</v>
      </c>
      <c r="E820" s="413"/>
      <c r="F820" s="43" t="s">
        <v>431</v>
      </c>
      <c r="G820" s="43" t="s">
        <v>988</v>
      </c>
      <c r="X820" s="38">
        <v>12</v>
      </c>
      <c r="Y820" s="38">
        <v>0</v>
      </c>
      <c r="AK820" s="45">
        <f t="shared" si="101"/>
        <v>0</v>
      </c>
      <c r="AL820" s="46">
        <f t="shared" si="102"/>
        <v>0</v>
      </c>
      <c r="AM820" s="46">
        <f t="shared" si="103"/>
        <v>0</v>
      </c>
      <c r="AN820" s="46"/>
      <c r="AO820" s="119" t="s">
        <v>1197</v>
      </c>
      <c r="AP820" s="38" t="str">
        <f t="shared" si="98"/>
        <v>Exclude</v>
      </c>
    </row>
    <row r="821" spans="1:42" ht="60" hidden="1">
      <c r="A821" s="38" t="str">
        <f t="shared" si="104"/>
        <v>Ausgrid</v>
      </c>
      <c r="B821" s="38" t="s">
        <v>1197</v>
      </c>
      <c r="C821" s="38" t="str">
        <f t="shared" si="99"/>
        <v>Duplicate-SW0601 - Circuit Breaker, 11kV, Indoor Bulk Oil, Email/Westinghouse J18/22 - ACCB, BULK OIL, INDOOR</v>
      </c>
      <c r="D821" s="38" t="str">
        <f t="shared" si="100"/>
        <v>Duplicate-</v>
      </c>
      <c r="E821" s="413"/>
      <c r="F821" s="43" t="s">
        <v>431</v>
      </c>
      <c r="G821" s="43" t="s">
        <v>989</v>
      </c>
      <c r="X821" s="38">
        <v>3</v>
      </c>
      <c r="Y821" s="38">
        <v>0</v>
      </c>
      <c r="AK821" s="45">
        <f t="shared" si="101"/>
        <v>0</v>
      </c>
      <c r="AL821" s="46">
        <f t="shared" si="102"/>
        <v>0</v>
      </c>
      <c r="AM821" s="46">
        <f t="shared" si="103"/>
        <v>0</v>
      </c>
      <c r="AN821" s="46"/>
      <c r="AO821" s="119" t="s">
        <v>1197</v>
      </c>
      <c r="AP821" s="38" t="str">
        <f t="shared" si="98"/>
        <v>Exclude</v>
      </c>
    </row>
    <row r="822" spans="1:42" ht="60" hidden="1">
      <c r="A822" s="38" t="str">
        <f t="shared" si="104"/>
        <v>Ausgrid</v>
      </c>
      <c r="B822" s="38" t="s">
        <v>1197</v>
      </c>
      <c r="C822" s="38" t="str">
        <f t="shared" si="99"/>
        <v>Duplicate-SW0602 - Circuit Breaker, 11kV, Indoor Bulk Oil, Email/Westinghouse J18/J22 - ACCB, BULK OIL, INDOOR</v>
      </c>
      <c r="D822" s="38" t="str">
        <f t="shared" si="100"/>
        <v>Duplicate-</v>
      </c>
      <c r="E822" s="413"/>
      <c r="F822" s="43" t="s">
        <v>431</v>
      </c>
      <c r="G822" s="43" t="s">
        <v>990</v>
      </c>
      <c r="X822" s="38">
        <v>6</v>
      </c>
      <c r="Y822" s="38">
        <v>6</v>
      </c>
      <c r="AK822" s="45">
        <f t="shared" si="101"/>
        <v>0</v>
      </c>
      <c r="AL822" s="46">
        <f t="shared" si="102"/>
        <v>0</v>
      </c>
      <c r="AM822" s="46">
        <f t="shared" si="103"/>
        <v>0</v>
      </c>
      <c r="AN822" s="46"/>
      <c r="AO822" s="119" t="s">
        <v>1197</v>
      </c>
      <c r="AP822" s="38" t="str">
        <f t="shared" si="98"/>
        <v>Exclude</v>
      </c>
    </row>
    <row r="823" spans="1:42" ht="60" hidden="1">
      <c r="A823" s="38" t="str">
        <f t="shared" si="104"/>
        <v>Ausgrid</v>
      </c>
      <c r="B823" s="38" t="s">
        <v>1197</v>
      </c>
      <c r="C823" s="38" t="str">
        <f t="shared" si="99"/>
        <v>Duplicate-SW0603 - Circuit Breaker, 11kV, Indoor Bulk Oil, Email/Westinghouse J18/J22 - ACCB, BULK OIL, INDOOR</v>
      </c>
      <c r="D823" s="38" t="str">
        <f t="shared" si="100"/>
        <v>Duplicate-</v>
      </c>
      <c r="E823" s="413"/>
      <c r="F823" s="43" t="s">
        <v>431</v>
      </c>
      <c r="G823" s="43" t="s">
        <v>991</v>
      </c>
      <c r="X823" s="38">
        <v>12</v>
      </c>
      <c r="Y823" s="38">
        <v>12</v>
      </c>
      <c r="AK823" s="45">
        <f t="shared" si="101"/>
        <v>0</v>
      </c>
      <c r="AL823" s="46">
        <f t="shared" si="102"/>
        <v>0</v>
      </c>
      <c r="AM823" s="46">
        <f t="shared" si="103"/>
        <v>0</v>
      </c>
      <c r="AN823" s="46"/>
      <c r="AO823" s="119" t="s">
        <v>1197</v>
      </c>
      <c r="AP823" s="38" t="str">
        <f t="shared" si="98"/>
        <v>Exclude</v>
      </c>
    </row>
    <row r="824" spans="1:42" ht="60" hidden="1">
      <c r="A824" s="38" t="str">
        <f t="shared" si="104"/>
        <v>Ausgrid</v>
      </c>
      <c r="B824" s="38" t="s">
        <v>1197</v>
      </c>
      <c r="C824" s="38" t="str">
        <f t="shared" si="99"/>
        <v>Duplicate-SW0608 - Circuit Breaker, 33kV &amp; 11kV , Indoor Bulk Oil, Generic - ACCB, BULK OIL, INDOOR</v>
      </c>
      <c r="D824" s="38" t="str">
        <f t="shared" si="100"/>
        <v>Duplicate-</v>
      </c>
      <c r="E824" s="413"/>
      <c r="F824" s="43" t="s">
        <v>431</v>
      </c>
      <c r="G824" s="43" t="s">
        <v>992</v>
      </c>
      <c r="X824" s="38">
        <v>3</v>
      </c>
      <c r="Y824" s="38">
        <v>0</v>
      </c>
      <c r="AK824" s="45">
        <f t="shared" si="101"/>
        <v>0</v>
      </c>
      <c r="AL824" s="46">
        <f t="shared" si="102"/>
        <v>0</v>
      </c>
      <c r="AM824" s="46">
        <f t="shared" si="103"/>
        <v>0</v>
      </c>
      <c r="AN824" s="46"/>
      <c r="AO824" s="119" t="s">
        <v>1197</v>
      </c>
      <c r="AP824" s="38" t="str">
        <f t="shared" si="98"/>
        <v>Exclude</v>
      </c>
    </row>
    <row r="825" spans="1:42" ht="60" hidden="1">
      <c r="A825" s="38" t="str">
        <f t="shared" si="104"/>
        <v>Ausgrid</v>
      </c>
      <c r="B825" s="38" t="s">
        <v>1197</v>
      </c>
      <c r="C825" s="38" t="str">
        <f t="shared" si="99"/>
        <v>Duplicate-SW0630 - Circuit Breaker, 11kV, Bulk Oil, South Wales D &amp; C Series - ACCB, BULK OIL, INDOOR</v>
      </c>
      <c r="D825" s="38" t="str">
        <f t="shared" si="100"/>
        <v>Duplicate-</v>
      </c>
      <c r="E825" s="413"/>
      <c r="F825" s="43" t="s">
        <v>431</v>
      </c>
      <c r="G825" s="43" t="s">
        <v>993</v>
      </c>
      <c r="X825" s="38">
        <v>6</v>
      </c>
      <c r="Y825" s="38">
        <v>6</v>
      </c>
      <c r="AK825" s="45">
        <f t="shared" si="101"/>
        <v>0</v>
      </c>
      <c r="AL825" s="46">
        <f t="shared" si="102"/>
        <v>0</v>
      </c>
      <c r="AM825" s="46">
        <f t="shared" si="103"/>
        <v>0</v>
      </c>
      <c r="AN825" s="46"/>
      <c r="AO825" s="119" t="s">
        <v>1197</v>
      </c>
      <c r="AP825" s="38" t="str">
        <f t="shared" si="98"/>
        <v>Exclude</v>
      </c>
    </row>
    <row r="826" spans="1:42" ht="60" hidden="1">
      <c r="A826" s="38" t="str">
        <f t="shared" si="104"/>
        <v>Ausgrid</v>
      </c>
      <c r="B826" s="38" t="s">
        <v>1197</v>
      </c>
      <c r="C826" s="38" t="str">
        <f t="shared" si="99"/>
        <v>Duplicate-SW0631 - Circuit Breaker, 11kV, Bulk Oil, South Wales D &amp; C Series - ACCB, BULK OIL, INDOOR</v>
      </c>
      <c r="D826" s="38" t="str">
        <f t="shared" si="100"/>
        <v>Duplicate-</v>
      </c>
      <c r="E826" s="413"/>
      <c r="F826" s="43" t="s">
        <v>431</v>
      </c>
      <c r="G826" s="43" t="s">
        <v>994</v>
      </c>
      <c r="X826" s="38">
        <v>12</v>
      </c>
      <c r="Y826" s="38">
        <v>12</v>
      </c>
      <c r="AK826" s="45">
        <f t="shared" si="101"/>
        <v>0</v>
      </c>
      <c r="AL826" s="46">
        <f t="shared" si="102"/>
        <v>0</v>
      </c>
      <c r="AM826" s="46">
        <f t="shared" si="103"/>
        <v>0</v>
      </c>
      <c r="AN826" s="46"/>
      <c r="AO826" s="119" t="s">
        <v>1197</v>
      </c>
      <c r="AP826" s="38" t="str">
        <f t="shared" si="98"/>
        <v>Exclude</v>
      </c>
    </row>
    <row r="827" spans="1:42" ht="60" hidden="1">
      <c r="A827" s="38" t="str">
        <f t="shared" si="104"/>
        <v>Ausgrid</v>
      </c>
      <c r="B827" s="38" t="s">
        <v>1197</v>
      </c>
      <c r="C827" s="38" t="str">
        <f t="shared" si="99"/>
        <v>Duplicate-SW0633 - Circuit Breaker, 11kV, Bulk Oil, Westinghouse F100 / F150 - ACCB, BULK OIL, INDOOR</v>
      </c>
      <c r="D827" s="38" t="str">
        <f t="shared" si="100"/>
        <v>Duplicate-</v>
      </c>
      <c r="E827" s="413"/>
      <c r="F827" s="43" t="s">
        <v>431</v>
      </c>
      <c r="G827" s="43" t="s">
        <v>995</v>
      </c>
      <c r="X827" s="38">
        <v>6</v>
      </c>
      <c r="Y827" s="38">
        <v>6</v>
      </c>
      <c r="AK827" s="45">
        <f t="shared" si="101"/>
        <v>0</v>
      </c>
      <c r="AL827" s="46">
        <f t="shared" si="102"/>
        <v>0</v>
      </c>
      <c r="AM827" s="46">
        <f t="shared" si="103"/>
        <v>0</v>
      </c>
      <c r="AN827" s="46"/>
      <c r="AO827" s="119" t="s">
        <v>1197</v>
      </c>
      <c r="AP827" s="38" t="str">
        <f t="shared" si="98"/>
        <v>Exclude</v>
      </c>
    </row>
    <row r="828" spans="1:42" ht="60" hidden="1">
      <c r="A828" s="38" t="str">
        <f t="shared" si="104"/>
        <v>Ausgrid</v>
      </c>
      <c r="B828" s="38" t="s">
        <v>1197</v>
      </c>
      <c r="C828" s="38" t="str">
        <f t="shared" si="99"/>
        <v>Duplicate-SW0611 - Circuit Breaker, 11kV, Indoor Bulk Oil, Email S15 - ACCB, BULK OIL, INDOOR</v>
      </c>
      <c r="D828" s="38" t="str">
        <f t="shared" si="100"/>
        <v>Duplicate-</v>
      </c>
      <c r="E828" s="413"/>
      <c r="F828" s="43" t="s">
        <v>431</v>
      </c>
      <c r="G828" s="43" t="s">
        <v>996</v>
      </c>
      <c r="X828" s="38">
        <v>6</v>
      </c>
      <c r="Y828" s="38">
        <v>6</v>
      </c>
      <c r="AK828" s="45">
        <f t="shared" si="101"/>
        <v>0</v>
      </c>
      <c r="AL828" s="46">
        <f t="shared" si="102"/>
        <v>0</v>
      </c>
      <c r="AM828" s="46">
        <f t="shared" si="103"/>
        <v>0</v>
      </c>
      <c r="AN828" s="46"/>
      <c r="AO828" s="119" t="s">
        <v>1197</v>
      </c>
      <c r="AP828" s="38" t="str">
        <f t="shared" si="98"/>
        <v>Exclude</v>
      </c>
    </row>
    <row r="829" spans="1:42" ht="60" hidden="1">
      <c r="A829" s="38" t="str">
        <f t="shared" si="104"/>
        <v>Ausgrid</v>
      </c>
      <c r="B829" s="38" t="s">
        <v>1197</v>
      </c>
      <c r="C829" s="38" t="str">
        <f t="shared" si="99"/>
        <v>Duplicate-SW0612 - Circuit Breaker, 11kV, Indoor Bulk Oil, Email S15 - ACCB, BULK OIL, INDOOR</v>
      </c>
      <c r="D829" s="38" t="str">
        <f t="shared" si="100"/>
        <v>Duplicate-</v>
      </c>
      <c r="E829" s="413"/>
      <c r="F829" s="43" t="s">
        <v>431</v>
      </c>
      <c r="G829" s="43" t="s">
        <v>997</v>
      </c>
      <c r="X829" s="38">
        <v>12</v>
      </c>
      <c r="Y829" s="38">
        <v>12</v>
      </c>
      <c r="AK829" s="45">
        <f t="shared" si="101"/>
        <v>0</v>
      </c>
      <c r="AL829" s="46">
        <f t="shared" si="102"/>
        <v>0</v>
      </c>
      <c r="AM829" s="46">
        <f t="shared" si="103"/>
        <v>0</v>
      </c>
      <c r="AN829" s="46"/>
      <c r="AO829" s="119" t="s">
        <v>1197</v>
      </c>
      <c r="AP829" s="38" t="str">
        <f t="shared" si="98"/>
        <v>Exclude</v>
      </c>
    </row>
    <row r="830" spans="1:42" ht="60" hidden="1">
      <c r="A830" s="38" t="str">
        <f t="shared" si="104"/>
        <v>Ausgrid</v>
      </c>
      <c r="B830" s="38" t="s">
        <v>1197</v>
      </c>
      <c r="C830" s="38" t="str">
        <f t="shared" si="99"/>
        <v>Duplicate-SW0608 - Circuit Breaker, 33kV &amp; 11kV , Indoor Bulk Oil, Generic - ACCB, BULK OIL, INDOOR</v>
      </c>
      <c r="D830" s="38" t="str">
        <f t="shared" si="100"/>
        <v>Duplicate-</v>
      </c>
      <c r="E830" s="413"/>
      <c r="F830" s="43" t="s">
        <v>431</v>
      </c>
      <c r="G830" s="43" t="s">
        <v>992</v>
      </c>
      <c r="X830" s="38">
        <v>1</v>
      </c>
      <c r="Y830" s="38">
        <v>0</v>
      </c>
      <c r="AK830" s="45">
        <f t="shared" si="101"/>
        <v>0</v>
      </c>
      <c r="AL830" s="46">
        <f t="shared" si="102"/>
        <v>0</v>
      </c>
      <c r="AM830" s="46">
        <f t="shared" si="103"/>
        <v>0</v>
      </c>
      <c r="AN830" s="46"/>
      <c r="AO830" s="119" t="s">
        <v>1197</v>
      </c>
      <c r="AP830" s="38" t="str">
        <f t="shared" si="98"/>
        <v>Exclude</v>
      </c>
    </row>
    <row r="831" spans="1:42" ht="60" hidden="1">
      <c r="A831" s="38" t="str">
        <f t="shared" si="104"/>
        <v>Ausgrid</v>
      </c>
      <c r="B831" s="38" t="s">
        <v>1197</v>
      </c>
      <c r="C831" s="38" t="str">
        <f t="shared" si="99"/>
        <v>Duplicate-SW0613 - Circuit Breaker, 11kV, Indoor Bulk Oil, P4 Series - ACCB, BULK OIL, INDOOR</v>
      </c>
      <c r="D831" s="38" t="str">
        <f t="shared" si="100"/>
        <v>Duplicate-</v>
      </c>
      <c r="E831" s="413"/>
      <c r="F831" s="43" t="s">
        <v>431</v>
      </c>
      <c r="G831" s="43" t="s">
        <v>998</v>
      </c>
      <c r="X831" s="38">
        <v>6</v>
      </c>
      <c r="Y831" s="38">
        <v>6</v>
      </c>
      <c r="AK831" s="45">
        <f t="shared" si="101"/>
        <v>0</v>
      </c>
      <c r="AL831" s="46">
        <f t="shared" si="102"/>
        <v>0</v>
      </c>
      <c r="AM831" s="46">
        <f t="shared" si="103"/>
        <v>0</v>
      </c>
      <c r="AN831" s="46"/>
      <c r="AO831" s="119" t="s">
        <v>1197</v>
      </c>
      <c r="AP831" s="38" t="str">
        <f t="shared" si="98"/>
        <v>Exclude</v>
      </c>
    </row>
    <row r="832" spans="1:42" ht="60" hidden="1">
      <c r="A832" s="38" t="str">
        <f t="shared" si="104"/>
        <v>Ausgrid</v>
      </c>
      <c r="B832" s="38" t="s">
        <v>1197</v>
      </c>
      <c r="C832" s="38" t="str">
        <f t="shared" si="99"/>
        <v>Duplicate-SW0614 - Circuit Breaker, 11kV, Indoor Bulk Oil, P4 Series - ACCB, BULK OIL, INDOOR</v>
      </c>
      <c r="D832" s="38" t="str">
        <f t="shared" si="100"/>
        <v>Duplicate-</v>
      </c>
      <c r="E832" s="413"/>
      <c r="F832" s="43" t="s">
        <v>431</v>
      </c>
      <c r="G832" s="43" t="s">
        <v>999</v>
      </c>
      <c r="X832" s="38">
        <v>12</v>
      </c>
      <c r="Y832" s="38">
        <v>12</v>
      </c>
      <c r="AK832" s="45">
        <f t="shared" si="101"/>
        <v>0</v>
      </c>
      <c r="AL832" s="46">
        <f t="shared" si="102"/>
        <v>0</v>
      </c>
      <c r="AM832" s="46">
        <f t="shared" si="103"/>
        <v>0</v>
      </c>
      <c r="AN832" s="46"/>
      <c r="AO832" s="119" t="s">
        <v>1197</v>
      </c>
      <c r="AP832" s="38" t="str">
        <f t="shared" si="98"/>
        <v>Exclude</v>
      </c>
    </row>
    <row r="833" spans="1:42" ht="60" hidden="1">
      <c r="A833" s="38" t="str">
        <f t="shared" si="104"/>
        <v>Ausgrid</v>
      </c>
      <c r="B833" s="38" t="s">
        <v>1197</v>
      </c>
      <c r="C833" s="38" t="str">
        <f t="shared" si="99"/>
        <v>Duplicate-SW0608 - Circuit Breaker, 33kV &amp; 11kV , Indoor Bulk Oil, Generic - ACCB, BULK OIL, INDOOR</v>
      </c>
      <c r="D833" s="38" t="str">
        <f t="shared" si="100"/>
        <v>Duplicate-</v>
      </c>
      <c r="E833" s="413"/>
      <c r="F833" s="43" t="s">
        <v>431</v>
      </c>
      <c r="G833" s="43" t="s">
        <v>992</v>
      </c>
      <c r="X833" s="38">
        <v>2</v>
      </c>
      <c r="Y833" s="38">
        <v>0</v>
      </c>
      <c r="AK833" s="45">
        <f t="shared" si="101"/>
        <v>0</v>
      </c>
      <c r="AL833" s="46">
        <f t="shared" si="102"/>
        <v>0</v>
      </c>
      <c r="AM833" s="46">
        <f t="shared" si="103"/>
        <v>0</v>
      </c>
      <c r="AN833" s="46"/>
      <c r="AO833" s="119" t="s">
        <v>1197</v>
      </c>
      <c r="AP833" s="38" t="str">
        <f t="shared" si="98"/>
        <v>Exclude</v>
      </c>
    </row>
    <row r="834" spans="1:42" ht="60" hidden="1">
      <c r="A834" s="38" t="str">
        <f t="shared" si="104"/>
        <v>Ausgrid</v>
      </c>
      <c r="B834" s="38" t="s">
        <v>1197</v>
      </c>
      <c r="C834" s="38" t="str">
        <f t="shared" si="99"/>
        <v>Duplicate-SW0634 - Circuit Breaker, 11kV, Bulk Oil, Reyrolle C5, C6 &amp; C7 - ACCB, BULK OIL, INDOOR</v>
      </c>
      <c r="D834" s="38" t="str">
        <f t="shared" si="100"/>
        <v>Duplicate-</v>
      </c>
      <c r="E834" s="413"/>
      <c r="F834" s="43" t="s">
        <v>431</v>
      </c>
      <c r="G834" s="43" t="s">
        <v>1000</v>
      </c>
      <c r="X834" s="38">
        <v>6</v>
      </c>
      <c r="Y834" s="38">
        <v>6</v>
      </c>
      <c r="AK834" s="45">
        <f t="shared" si="101"/>
        <v>0</v>
      </c>
      <c r="AL834" s="46">
        <f t="shared" si="102"/>
        <v>0</v>
      </c>
      <c r="AM834" s="46">
        <f t="shared" si="103"/>
        <v>0</v>
      </c>
      <c r="AN834" s="46"/>
      <c r="AO834" s="119" t="s">
        <v>1197</v>
      </c>
      <c r="AP834" s="38" t="str">
        <f t="shared" si="98"/>
        <v>Exclude</v>
      </c>
    </row>
    <row r="835" spans="1:42" ht="60" hidden="1">
      <c r="A835" s="38" t="str">
        <f t="shared" si="104"/>
        <v>Ausgrid</v>
      </c>
      <c r="B835" s="38" t="s">
        <v>1197</v>
      </c>
      <c r="C835" s="38" t="str">
        <f t="shared" si="99"/>
        <v>Duplicate-SW0635 - Circuit Breaker, 11kV, Bulk Oil, Reyrolle C5, C6 &amp; C7 - ACCB, BULK OIL, INDOOR</v>
      </c>
      <c r="D835" s="38" t="str">
        <f t="shared" si="100"/>
        <v>Duplicate-</v>
      </c>
      <c r="E835" s="413"/>
      <c r="F835" s="43" t="s">
        <v>431</v>
      </c>
      <c r="G835" s="43" t="s">
        <v>1001</v>
      </c>
      <c r="X835" s="38">
        <v>12</v>
      </c>
      <c r="Y835" s="38">
        <v>12</v>
      </c>
      <c r="AK835" s="45">
        <f t="shared" si="101"/>
        <v>0</v>
      </c>
      <c r="AL835" s="46">
        <f t="shared" si="102"/>
        <v>0</v>
      </c>
      <c r="AM835" s="46">
        <f t="shared" si="103"/>
        <v>0</v>
      </c>
      <c r="AN835" s="46"/>
      <c r="AO835" s="119" t="s">
        <v>1197</v>
      </c>
      <c r="AP835" s="38" t="str">
        <f t="shared" ref="AP835:AP898" si="105">IFERROR(VLOOKUP(C835,$AR:$AS,2,FALSE),"Exclude")</f>
        <v>Exclude</v>
      </c>
    </row>
    <row r="836" spans="1:42" ht="60" hidden="1">
      <c r="A836" s="38" t="str">
        <f t="shared" si="104"/>
        <v>Ausgrid</v>
      </c>
      <c r="B836" s="38" t="s">
        <v>1197</v>
      </c>
      <c r="C836" s="38" t="str">
        <f t="shared" ref="C836:C899" si="106">B836&amp;"-"&amp;G836</f>
        <v>Duplicate-SW0636 - Circuit Breaker, 11kV, Bulk Oil, Reyrolle LA22 / LC22 - ACCB, BULK OIL, INDOOR</v>
      </c>
      <c r="D836" s="38" t="str">
        <f t="shared" ref="D836:D899" si="107">B836&amp;"-"&amp;H836</f>
        <v>Duplicate-</v>
      </c>
      <c r="E836" s="413"/>
      <c r="F836" s="43" t="s">
        <v>431</v>
      </c>
      <c r="G836" s="43" t="s">
        <v>1002</v>
      </c>
      <c r="X836" s="38">
        <v>6</v>
      </c>
      <c r="Y836" s="38">
        <v>6</v>
      </c>
      <c r="AK836" s="45">
        <f t="shared" ref="AK836:AK899" si="108">SUM(N836:R836)</f>
        <v>0</v>
      </c>
      <c r="AL836" s="46">
        <f t="shared" ref="AL836:AL899" si="109">SUM(Z836:AD836)</f>
        <v>0</v>
      </c>
      <c r="AM836" s="46">
        <f t="shared" ref="AM836:AM899" si="110">SUM(AE836:AI836)</f>
        <v>0</v>
      </c>
      <c r="AN836" s="46"/>
      <c r="AO836" s="119" t="s">
        <v>1197</v>
      </c>
      <c r="AP836" s="38" t="str">
        <f t="shared" si="105"/>
        <v>Exclude</v>
      </c>
    </row>
    <row r="837" spans="1:42" ht="60" hidden="1">
      <c r="A837" s="38" t="str">
        <f t="shared" si="104"/>
        <v>Ausgrid</v>
      </c>
      <c r="B837" s="38" t="s">
        <v>1197</v>
      </c>
      <c r="C837" s="38" t="str">
        <f t="shared" si="106"/>
        <v>Duplicate-SW0637 - Circuit Breaker, 11kV, Bulk Oil, Reyrolle LA22 / LC22 - ACCB, BULK OIL, INDOOR</v>
      </c>
      <c r="D837" s="38" t="str">
        <f t="shared" si="107"/>
        <v>Duplicate-</v>
      </c>
      <c r="E837" s="413"/>
      <c r="F837" s="43" t="s">
        <v>431</v>
      </c>
      <c r="G837" s="43" t="s">
        <v>1003</v>
      </c>
      <c r="X837" s="38">
        <v>12</v>
      </c>
      <c r="Y837" s="38">
        <v>12</v>
      </c>
      <c r="AK837" s="45">
        <f t="shared" si="108"/>
        <v>0</v>
      </c>
      <c r="AL837" s="46">
        <f t="shared" si="109"/>
        <v>0</v>
      </c>
      <c r="AM837" s="46">
        <f t="shared" si="110"/>
        <v>0</v>
      </c>
      <c r="AN837" s="46"/>
      <c r="AO837" s="119" t="s">
        <v>1197</v>
      </c>
      <c r="AP837" s="38" t="str">
        <f t="shared" si="105"/>
        <v>Exclude</v>
      </c>
    </row>
    <row r="838" spans="1:42" ht="60" hidden="1">
      <c r="A838" s="38" t="str">
        <f t="shared" si="104"/>
        <v>Ausgrid</v>
      </c>
      <c r="B838" s="38" t="s">
        <v>1197</v>
      </c>
      <c r="C838" s="38" t="str">
        <f t="shared" si="106"/>
        <v>Duplicate-SW0638 - Circuit Breaker, 11kV, Bulk Oil, Westinghouse F250 - ACCB, BULK OIL, INDOOR</v>
      </c>
      <c r="D838" s="38" t="str">
        <f t="shared" si="107"/>
        <v>Duplicate-</v>
      </c>
      <c r="E838" s="413"/>
      <c r="F838" s="43" t="s">
        <v>431</v>
      </c>
      <c r="G838" s="43" t="s">
        <v>1004</v>
      </c>
      <c r="X838" s="38">
        <v>6</v>
      </c>
      <c r="Y838" s="38">
        <v>6</v>
      </c>
      <c r="AK838" s="45">
        <f t="shared" si="108"/>
        <v>0</v>
      </c>
      <c r="AL838" s="46">
        <f t="shared" si="109"/>
        <v>0</v>
      </c>
      <c r="AM838" s="46">
        <f t="shared" si="110"/>
        <v>0</v>
      </c>
      <c r="AN838" s="46"/>
      <c r="AO838" s="119" t="s">
        <v>1197</v>
      </c>
      <c r="AP838" s="38" t="str">
        <f t="shared" si="105"/>
        <v>Exclude</v>
      </c>
    </row>
    <row r="839" spans="1:42" ht="60" hidden="1">
      <c r="A839" s="38" t="str">
        <f t="shared" si="104"/>
        <v>Ausgrid</v>
      </c>
      <c r="B839" s="38" t="s">
        <v>1197</v>
      </c>
      <c r="C839" s="38" t="str">
        <f t="shared" si="106"/>
        <v>Duplicate-SW0639 - Circuit Breaker, 11kV, Bulk Oil, Westinghouse F250 - ACCB, BULK OIL, INDOOR</v>
      </c>
      <c r="D839" s="38" t="str">
        <f t="shared" si="107"/>
        <v>Duplicate-</v>
      </c>
      <c r="E839" s="413"/>
      <c r="F839" s="43" t="s">
        <v>431</v>
      </c>
      <c r="G839" s="43" t="s">
        <v>1005</v>
      </c>
      <c r="X839" s="38">
        <v>12</v>
      </c>
      <c r="Y839" s="38">
        <v>12</v>
      </c>
      <c r="AK839" s="45">
        <f t="shared" si="108"/>
        <v>0</v>
      </c>
      <c r="AL839" s="46">
        <f t="shared" si="109"/>
        <v>0</v>
      </c>
      <c r="AM839" s="46">
        <f t="shared" si="110"/>
        <v>0</v>
      </c>
      <c r="AN839" s="46"/>
      <c r="AO839" s="119" t="s">
        <v>1197</v>
      </c>
      <c r="AP839" s="38" t="str">
        <f t="shared" si="105"/>
        <v>Exclude</v>
      </c>
    </row>
    <row r="840" spans="1:42" ht="60" hidden="1">
      <c r="A840" s="38" t="str">
        <f t="shared" si="104"/>
        <v>Ausgrid</v>
      </c>
      <c r="B840" s="38" t="s">
        <v>1197</v>
      </c>
      <c r="C840" s="38" t="str">
        <f t="shared" si="106"/>
        <v>Duplicate-SW0641 - Circuit Breaker, 11kV, Bulk Oil, Reyrolle LMT / LMI - ACCB, BULK OIL, INDOOR</v>
      </c>
      <c r="D840" s="38" t="str">
        <f t="shared" si="107"/>
        <v>Duplicate-</v>
      </c>
      <c r="E840" s="413"/>
      <c r="F840" s="43" t="s">
        <v>431</v>
      </c>
      <c r="G840" s="43" t="s">
        <v>1006</v>
      </c>
      <c r="X840" s="38">
        <v>6</v>
      </c>
      <c r="Y840" s="38">
        <v>6</v>
      </c>
      <c r="AK840" s="45">
        <f t="shared" si="108"/>
        <v>0</v>
      </c>
      <c r="AL840" s="46">
        <f t="shared" si="109"/>
        <v>0</v>
      </c>
      <c r="AM840" s="46">
        <f t="shared" si="110"/>
        <v>0</v>
      </c>
      <c r="AN840" s="46"/>
      <c r="AO840" s="119" t="s">
        <v>1197</v>
      </c>
      <c r="AP840" s="38" t="str">
        <f t="shared" si="105"/>
        <v>Exclude</v>
      </c>
    </row>
    <row r="841" spans="1:42" ht="75" hidden="1">
      <c r="A841" s="38" t="str">
        <f t="shared" si="104"/>
        <v>Ausgrid</v>
      </c>
      <c r="B841" s="38" t="s">
        <v>1197</v>
      </c>
      <c r="C841" s="38" t="str">
        <f t="shared" si="106"/>
        <v>Duplicate-SW0615 - Circuit Breaker, 11kV, Indoor Bulk Oil, Johnson &amp; Phillips TSB16 Series - ACCB, BULK OIL, INDOOR</v>
      </c>
      <c r="D841" s="38" t="str">
        <f t="shared" si="107"/>
        <v>Duplicate-</v>
      </c>
      <c r="E841" s="413"/>
      <c r="F841" s="43" t="s">
        <v>431</v>
      </c>
      <c r="G841" s="43" t="s">
        <v>1007</v>
      </c>
      <c r="X841" s="38">
        <v>6</v>
      </c>
      <c r="Y841" s="38">
        <v>6</v>
      </c>
      <c r="AK841" s="45">
        <f t="shared" si="108"/>
        <v>0</v>
      </c>
      <c r="AL841" s="46">
        <f t="shared" si="109"/>
        <v>0</v>
      </c>
      <c r="AM841" s="46">
        <f t="shared" si="110"/>
        <v>0</v>
      </c>
      <c r="AN841" s="46"/>
      <c r="AO841" s="119" t="s">
        <v>1197</v>
      </c>
      <c r="AP841" s="38" t="str">
        <f t="shared" si="105"/>
        <v>Exclude</v>
      </c>
    </row>
    <row r="842" spans="1:42" ht="75" hidden="1">
      <c r="A842" s="38" t="str">
        <f t="shared" si="104"/>
        <v>Ausgrid</v>
      </c>
      <c r="B842" s="38" t="s">
        <v>1197</v>
      </c>
      <c r="C842" s="38" t="str">
        <f t="shared" si="106"/>
        <v>Duplicate-SW0609 - Circuit Breaker, 11kV, Indoor Bulk Oil, English Electric / GEC  OLX series - ACCB, BULK OIL, INDOOR</v>
      </c>
      <c r="D842" s="38" t="str">
        <f t="shared" si="107"/>
        <v>Duplicate-</v>
      </c>
      <c r="E842" s="413"/>
      <c r="F842" s="43" t="s">
        <v>431</v>
      </c>
      <c r="G842" s="43" t="s">
        <v>1008</v>
      </c>
      <c r="X842" s="38">
        <v>6</v>
      </c>
      <c r="Y842" s="38">
        <v>6</v>
      </c>
      <c r="AK842" s="45">
        <f t="shared" si="108"/>
        <v>0</v>
      </c>
      <c r="AL842" s="46">
        <f t="shared" si="109"/>
        <v>0</v>
      </c>
      <c r="AM842" s="46">
        <f t="shared" si="110"/>
        <v>0</v>
      </c>
      <c r="AN842" s="46"/>
      <c r="AO842" s="119" t="s">
        <v>1197</v>
      </c>
      <c r="AP842" s="38" t="str">
        <f t="shared" si="105"/>
        <v>Exclude</v>
      </c>
    </row>
    <row r="843" spans="1:42" ht="75" hidden="1">
      <c r="A843" s="38" t="str">
        <f t="shared" si="104"/>
        <v>Ausgrid</v>
      </c>
      <c r="B843" s="38" t="s">
        <v>1197</v>
      </c>
      <c r="C843" s="38" t="str">
        <f t="shared" si="106"/>
        <v>Duplicate-SW0610 - Circuit Breaker, 11kV, Indoor Bulk Oil, English Electric / GEC  OLX series - ACCB, BULK OIL, INDOOR</v>
      </c>
      <c r="D843" s="38" t="str">
        <f t="shared" si="107"/>
        <v>Duplicate-</v>
      </c>
      <c r="E843" s="413"/>
      <c r="F843" s="43" t="s">
        <v>431</v>
      </c>
      <c r="G843" s="43" t="s">
        <v>1009</v>
      </c>
      <c r="X843" s="38">
        <v>12</v>
      </c>
      <c r="Y843" s="38">
        <v>12</v>
      </c>
      <c r="AK843" s="45">
        <f t="shared" si="108"/>
        <v>0</v>
      </c>
      <c r="AL843" s="46">
        <f t="shared" si="109"/>
        <v>0</v>
      </c>
      <c r="AM843" s="46">
        <f t="shared" si="110"/>
        <v>0</v>
      </c>
      <c r="AN843" s="46"/>
      <c r="AO843" s="119" t="s">
        <v>1197</v>
      </c>
      <c r="AP843" s="38" t="str">
        <f t="shared" si="105"/>
        <v>Exclude</v>
      </c>
    </row>
    <row r="844" spans="1:42" ht="60" hidden="1">
      <c r="A844" s="38" t="str">
        <f t="shared" si="104"/>
        <v>Ausgrid</v>
      </c>
      <c r="B844" s="38" t="s">
        <v>1197</v>
      </c>
      <c r="C844" s="38" t="str">
        <f t="shared" si="106"/>
        <v>Duplicate-SW0642 - Circuit Breaker, 11kV, Bulk Oil, Westinghouse B18 / B20 - ACCB, BULK OIL, INDOOR</v>
      </c>
      <c r="D844" s="38" t="str">
        <f t="shared" si="107"/>
        <v>Duplicate-</v>
      </c>
      <c r="E844" s="413"/>
      <c r="F844" s="43" t="s">
        <v>431</v>
      </c>
      <c r="G844" s="43" t="s">
        <v>1010</v>
      </c>
      <c r="X844" s="38">
        <v>6</v>
      </c>
      <c r="Y844" s="38">
        <v>6</v>
      </c>
      <c r="AK844" s="45">
        <f t="shared" si="108"/>
        <v>0</v>
      </c>
      <c r="AL844" s="46">
        <f t="shared" si="109"/>
        <v>0</v>
      </c>
      <c r="AM844" s="46">
        <f t="shared" si="110"/>
        <v>0</v>
      </c>
      <c r="AN844" s="46"/>
      <c r="AO844" s="119" t="s">
        <v>1197</v>
      </c>
      <c r="AP844" s="38" t="str">
        <f t="shared" si="105"/>
        <v>Exclude</v>
      </c>
    </row>
    <row r="845" spans="1:42" ht="60" hidden="1">
      <c r="A845" s="38" t="str">
        <f t="shared" si="104"/>
        <v>Ausgrid</v>
      </c>
      <c r="B845" s="38" t="s">
        <v>1197</v>
      </c>
      <c r="C845" s="38" t="str">
        <f t="shared" si="106"/>
        <v>Duplicate-SW0643 - Circuit Breaker, 11kV, Bulk Oil, Westinghouse B18 / B20 - ACCB, BULK OIL, INDOOR</v>
      </c>
      <c r="D845" s="38" t="str">
        <f t="shared" si="107"/>
        <v>Duplicate-</v>
      </c>
      <c r="E845" s="413"/>
      <c r="F845" s="43" t="s">
        <v>431</v>
      </c>
      <c r="G845" s="43" t="s">
        <v>1011</v>
      </c>
      <c r="X845" s="38">
        <v>12</v>
      </c>
      <c r="Y845" s="38">
        <v>12</v>
      </c>
      <c r="AK845" s="45">
        <f t="shared" si="108"/>
        <v>0</v>
      </c>
      <c r="AL845" s="46">
        <f t="shared" si="109"/>
        <v>0</v>
      </c>
      <c r="AM845" s="46">
        <f t="shared" si="110"/>
        <v>0</v>
      </c>
      <c r="AN845" s="46"/>
      <c r="AO845" s="119" t="s">
        <v>1197</v>
      </c>
      <c r="AP845" s="38" t="str">
        <f t="shared" si="105"/>
        <v>Exclude</v>
      </c>
    </row>
    <row r="846" spans="1:42" ht="60" hidden="1">
      <c r="A846" s="38" t="str">
        <f t="shared" si="104"/>
        <v>Ausgrid</v>
      </c>
      <c r="B846" s="38" t="s">
        <v>1197</v>
      </c>
      <c r="C846" s="38" t="str">
        <f t="shared" si="106"/>
        <v>Duplicate-SW0608 - Circuit Breaker, 33kV &amp; 11kV , Indoor Bulk Oil, Generic - ACCB, BULK OIL, INDOOR</v>
      </c>
      <c r="D846" s="38" t="str">
        <f t="shared" si="107"/>
        <v>Duplicate-</v>
      </c>
      <c r="E846" s="413"/>
      <c r="F846" s="43" t="s">
        <v>431</v>
      </c>
      <c r="G846" s="43" t="s">
        <v>992</v>
      </c>
      <c r="X846" s="38">
        <v>0.25</v>
      </c>
      <c r="Y846" s="38">
        <v>0</v>
      </c>
      <c r="AK846" s="45">
        <f t="shared" si="108"/>
        <v>0</v>
      </c>
      <c r="AL846" s="46">
        <f t="shared" si="109"/>
        <v>0</v>
      </c>
      <c r="AM846" s="46">
        <f t="shared" si="110"/>
        <v>0</v>
      </c>
      <c r="AN846" s="46"/>
      <c r="AO846" s="119" t="s">
        <v>1197</v>
      </c>
      <c r="AP846" s="38" t="str">
        <f t="shared" si="105"/>
        <v>Exclude</v>
      </c>
    </row>
    <row r="847" spans="1:42" ht="60" hidden="1">
      <c r="A847" s="38" t="str">
        <f t="shared" si="104"/>
        <v>Ausgrid</v>
      </c>
      <c r="B847" s="38" t="s">
        <v>1197</v>
      </c>
      <c r="C847" s="38" t="str">
        <f t="shared" si="106"/>
        <v>Duplicate-SW0618 - Circuit Breaker, 11kV, Indoor Bulk Oil, Brush, VTD - ACCB, BULK OIL, INDOOR</v>
      </c>
      <c r="D847" s="38" t="str">
        <f t="shared" si="107"/>
        <v>Duplicate-</v>
      </c>
      <c r="E847" s="413"/>
      <c r="F847" s="43" t="s">
        <v>431</v>
      </c>
      <c r="G847" s="43" t="s">
        <v>1012</v>
      </c>
      <c r="X847" s="38">
        <v>6</v>
      </c>
      <c r="Y847" s="38">
        <v>6</v>
      </c>
      <c r="AK847" s="45">
        <f t="shared" si="108"/>
        <v>0</v>
      </c>
      <c r="AL847" s="46">
        <f t="shared" si="109"/>
        <v>0</v>
      </c>
      <c r="AM847" s="46">
        <f t="shared" si="110"/>
        <v>0</v>
      </c>
      <c r="AN847" s="46"/>
      <c r="AO847" s="119" t="s">
        <v>1197</v>
      </c>
      <c r="AP847" s="38" t="str">
        <f t="shared" si="105"/>
        <v>Exclude</v>
      </c>
    </row>
    <row r="848" spans="1:42" ht="60" hidden="1">
      <c r="A848" s="38" t="str">
        <f t="shared" si="104"/>
        <v>Ausgrid</v>
      </c>
      <c r="B848" s="38" t="s">
        <v>1197</v>
      </c>
      <c r="C848" s="38" t="str">
        <f t="shared" si="106"/>
        <v>Duplicate-SW0648 - Circuit Breaker, 11kV, Indoor Bulk Oil, Brush, VTD - ACCB, BULK OIL, INDOOR</v>
      </c>
      <c r="D848" s="38" t="str">
        <f t="shared" si="107"/>
        <v>Duplicate-</v>
      </c>
      <c r="E848" s="413"/>
      <c r="F848" s="43" t="s">
        <v>431</v>
      </c>
      <c r="G848" s="43" t="s">
        <v>1013</v>
      </c>
      <c r="X848" s="38">
        <v>12</v>
      </c>
      <c r="Y848" s="38">
        <v>12</v>
      </c>
      <c r="AK848" s="45">
        <f t="shared" si="108"/>
        <v>0</v>
      </c>
      <c r="AL848" s="46">
        <f t="shared" si="109"/>
        <v>0</v>
      </c>
      <c r="AM848" s="46">
        <f t="shared" si="110"/>
        <v>0</v>
      </c>
      <c r="AN848" s="46"/>
      <c r="AO848" s="119" t="s">
        <v>1197</v>
      </c>
      <c r="AP848" s="38" t="str">
        <f t="shared" si="105"/>
        <v>Exclude</v>
      </c>
    </row>
    <row r="849" spans="1:42" ht="60" hidden="1">
      <c r="A849" s="38" t="str">
        <f t="shared" si="104"/>
        <v>Ausgrid</v>
      </c>
      <c r="B849" s="38" t="s">
        <v>1197</v>
      </c>
      <c r="C849" s="38" t="str">
        <f t="shared" si="106"/>
        <v>Duplicate-SW0627 - Circuit Breaker, 33kV, Indoor Bulk Oil, MV K4C - ACCB, BULK OIL, INDOOR</v>
      </c>
      <c r="D849" s="38" t="str">
        <f t="shared" si="107"/>
        <v>Duplicate-</v>
      </c>
      <c r="E849" s="413"/>
      <c r="F849" s="43" t="s">
        <v>431</v>
      </c>
      <c r="G849" s="43" t="s">
        <v>1014</v>
      </c>
      <c r="X849" s="38">
        <v>6</v>
      </c>
      <c r="Y849" s="38">
        <v>6</v>
      </c>
      <c r="AK849" s="45">
        <f t="shared" si="108"/>
        <v>0</v>
      </c>
      <c r="AL849" s="46">
        <f t="shared" si="109"/>
        <v>0</v>
      </c>
      <c r="AM849" s="46">
        <f t="shared" si="110"/>
        <v>0</v>
      </c>
      <c r="AN849" s="46"/>
      <c r="AO849" s="119" t="s">
        <v>1197</v>
      </c>
      <c r="AP849" s="38" t="str">
        <f t="shared" si="105"/>
        <v>Exclude</v>
      </c>
    </row>
    <row r="850" spans="1:42" ht="75" hidden="1">
      <c r="A850" s="38" t="str">
        <f t="shared" si="104"/>
        <v>Ausgrid</v>
      </c>
      <c r="B850" s="38" t="s">
        <v>1197</v>
      </c>
      <c r="C850" s="38" t="str">
        <f t="shared" si="106"/>
        <v>Duplicate-SW0201 - Circuit Breaker, Minimim Oil, Generic (Gas and Non-gas pressure) - ACCB, MINIMUM OIL, INDOOR</v>
      </c>
      <c r="D850" s="38" t="str">
        <f t="shared" si="107"/>
        <v>Duplicate-</v>
      </c>
      <c r="E850" s="413"/>
      <c r="F850" s="43" t="s">
        <v>431</v>
      </c>
      <c r="G850" s="43" t="s">
        <v>1015</v>
      </c>
      <c r="X850" s="38">
        <v>1</v>
      </c>
      <c r="Y850" s="38">
        <v>0</v>
      </c>
      <c r="AK850" s="45">
        <f t="shared" si="108"/>
        <v>0</v>
      </c>
      <c r="AL850" s="46">
        <f t="shared" si="109"/>
        <v>0</v>
      </c>
      <c r="AM850" s="46">
        <f t="shared" si="110"/>
        <v>0</v>
      </c>
      <c r="AN850" s="46"/>
      <c r="AO850" s="119" t="s">
        <v>1197</v>
      </c>
      <c r="AP850" s="38" t="str">
        <f t="shared" si="105"/>
        <v>Exclude</v>
      </c>
    </row>
    <row r="851" spans="1:42" ht="60" hidden="1">
      <c r="A851" s="38" t="str">
        <f t="shared" si="104"/>
        <v>Ausgrid</v>
      </c>
      <c r="B851" s="38" t="s">
        <v>1197</v>
      </c>
      <c r="C851" s="38" t="str">
        <f t="shared" si="106"/>
        <v>Duplicate-SW0230 - Circuit Breaker, Minimum Oil, Outdoor, Generic - ACCB, MINIMUM OIL, INDOOR</v>
      </c>
      <c r="D851" s="38" t="str">
        <f t="shared" si="107"/>
        <v>Duplicate-</v>
      </c>
      <c r="E851" s="413"/>
      <c r="F851" s="43" t="s">
        <v>431</v>
      </c>
      <c r="G851" s="43" t="s">
        <v>1016</v>
      </c>
      <c r="X851" s="38">
        <v>6</v>
      </c>
      <c r="Y851" s="38">
        <v>6</v>
      </c>
      <c r="AK851" s="45">
        <f t="shared" si="108"/>
        <v>0</v>
      </c>
      <c r="AL851" s="46">
        <f t="shared" si="109"/>
        <v>0</v>
      </c>
      <c r="AM851" s="46">
        <f t="shared" si="110"/>
        <v>0</v>
      </c>
      <c r="AN851" s="46"/>
      <c r="AO851" s="119" t="s">
        <v>1197</v>
      </c>
      <c r="AP851" s="38" t="str">
        <f t="shared" si="105"/>
        <v>Exclude</v>
      </c>
    </row>
    <row r="852" spans="1:42" ht="60" hidden="1">
      <c r="A852" s="38" t="str">
        <f t="shared" si="104"/>
        <v>Ausgrid</v>
      </c>
      <c r="B852" s="38" t="s">
        <v>1197</v>
      </c>
      <c r="C852" s="38" t="str">
        <f t="shared" si="106"/>
        <v>Duplicate-SW0801 - Circuit Breaker, Vacuum, Indoor, Generic 33kV &amp; 11kV - ACCB, VACUUM, INDOOR</v>
      </c>
      <c r="D852" s="38" t="str">
        <f t="shared" si="107"/>
        <v>Duplicate-</v>
      </c>
      <c r="E852" s="413"/>
      <c r="F852" s="43" t="s">
        <v>431</v>
      </c>
      <c r="G852" s="43" t="s">
        <v>1017</v>
      </c>
      <c r="X852" s="38">
        <v>3</v>
      </c>
      <c r="Y852" s="38">
        <v>0</v>
      </c>
      <c r="AK852" s="45">
        <f t="shared" si="108"/>
        <v>0</v>
      </c>
      <c r="AL852" s="46">
        <f t="shared" si="109"/>
        <v>0</v>
      </c>
      <c r="AM852" s="46">
        <f t="shared" si="110"/>
        <v>0</v>
      </c>
      <c r="AN852" s="46"/>
      <c r="AO852" s="119" t="s">
        <v>1197</v>
      </c>
      <c r="AP852" s="38" t="str">
        <f t="shared" si="105"/>
        <v>Exclude</v>
      </c>
    </row>
    <row r="853" spans="1:42" ht="60" hidden="1">
      <c r="A853" s="38" t="str">
        <f t="shared" si="104"/>
        <v>Ausgrid</v>
      </c>
      <c r="B853" s="38" t="s">
        <v>1197</v>
      </c>
      <c r="C853" s="38" t="str">
        <f t="shared" si="106"/>
        <v>Duplicate-SW0802 - Circuit Breaker, Vacuum, Indoor, GEC, AVAC Circuit Breaker, 11kV - ACCB, VACUUM, INDOOR</v>
      </c>
      <c r="D853" s="38" t="str">
        <f t="shared" si="107"/>
        <v>Duplicate-</v>
      </c>
      <c r="E853" s="413"/>
      <c r="F853" s="43" t="s">
        <v>431</v>
      </c>
      <c r="G853" s="43" t="s">
        <v>1018</v>
      </c>
      <c r="X853" s="38">
        <v>12</v>
      </c>
      <c r="Y853" s="38">
        <v>0</v>
      </c>
      <c r="AK853" s="45">
        <f t="shared" si="108"/>
        <v>0</v>
      </c>
      <c r="AL853" s="46">
        <f t="shared" si="109"/>
        <v>0</v>
      </c>
      <c r="AM853" s="46">
        <f t="shared" si="110"/>
        <v>0</v>
      </c>
      <c r="AN853" s="46"/>
      <c r="AO853" s="119" t="s">
        <v>1197</v>
      </c>
      <c r="AP853" s="38" t="str">
        <f t="shared" si="105"/>
        <v>Exclude</v>
      </c>
    </row>
    <row r="854" spans="1:42" ht="60" hidden="1">
      <c r="A854" s="38" t="str">
        <f t="shared" si="104"/>
        <v>Ausgrid</v>
      </c>
      <c r="B854" s="38" t="s">
        <v>1197</v>
      </c>
      <c r="C854" s="38" t="str">
        <f t="shared" si="106"/>
        <v>Duplicate-SW0803 - Circuit Breaker, Vacuum, Indoor, Hawker Siddley VMH, 11kV - ACCB, VACUUM, INDOOR</v>
      </c>
      <c r="D854" s="38" t="str">
        <f t="shared" si="107"/>
        <v>Duplicate-</v>
      </c>
      <c r="E854" s="413"/>
      <c r="F854" s="43" t="s">
        <v>431</v>
      </c>
      <c r="G854" s="43" t="s">
        <v>1019</v>
      </c>
      <c r="X854" s="38">
        <v>12</v>
      </c>
      <c r="Y854" s="38">
        <v>12</v>
      </c>
      <c r="AK854" s="45">
        <f t="shared" si="108"/>
        <v>0</v>
      </c>
      <c r="AL854" s="46">
        <f t="shared" si="109"/>
        <v>0</v>
      </c>
      <c r="AM854" s="46">
        <f t="shared" si="110"/>
        <v>0</v>
      </c>
      <c r="AN854" s="46"/>
      <c r="AO854" s="119" t="s">
        <v>1197</v>
      </c>
      <c r="AP854" s="38" t="str">
        <f t="shared" si="105"/>
        <v>Exclude</v>
      </c>
    </row>
    <row r="855" spans="1:42" ht="60" hidden="1">
      <c r="A855" s="38" t="str">
        <f t="shared" si="104"/>
        <v>Ausgrid</v>
      </c>
      <c r="B855" s="38" t="s">
        <v>1197</v>
      </c>
      <c r="C855" s="38" t="str">
        <f t="shared" si="106"/>
        <v>Duplicate-SW0804 - Circuit Breaker, Vacuum, Indoor, Hawker Siddley VTD-V, 11kV - ACCB, VACUUM, INDOOR</v>
      </c>
      <c r="D855" s="38" t="str">
        <f t="shared" si="107"/>
        <v>Duplicate-</v>
      </c>
      <c r="E855" s="413"/>
      <c r="F855" s="43" t="s">
        <v>431</v>
      </c>
      <c r="G855" s="43" t="s">
        <v>1020</v>
      </c>
      <c r="X855" s="38">
        <v>12</v>
      </c>
      <c r="Y855" s="38">
        <v>12</v>
      </c>
      <c r="AK855" s="45">
        <f t="shared" si="108"/>
        <v>0</v>
      </c>
      <c r="AL855" s="46">
        <f t="shared" si="109"/>
        <v>0</v>
      </c>
      <c r="AM855" s="46">
        <f t="shared" si="110"/>
        <v>0</v>
      </c>
      <c r="AN855" s="46"/>
      <c r="AO855" s="119" t="s">
        <v>1197</v>
      </c>
      <c r="AP855" s="38" t="str">
        <f t="shared" si="105"/>
        <v>Exclude</v>
      </c>
    </row>
    <row r="856" spans="1:42" ht="60" hidden="1">
      <c r="A856" s="38" t="str">
        <f t="shared" si="104"/>
        <v>Ausgrid</v>
      </c>
      <c r="B856" s="38" t="s">
        <v>1197</v>
      </c>
      <c r="C856" s="38" t="str">
        <f t="shared" si="106"/>
        <v>Duplicate-SW0809 - Circuit Breaker, Vacuum, Indoor, Reyrolle LMVP, 11kV - ACCB, VACUUM, INDOOR</v>
      </c>
      <c r="D856" s="38" t="str">
        <f t="shared" si="107"/>
        <v>Duplicate-</v>
      </c>
      <c r="E856" s="413"/>
      <c r="F856" s="43" t="s">
        <v>431</v>
      </c>
      <c r="G856" s="43" t="s">
        <v>1021</v>
      </c>
      <c r="X856" s="38">
        <v>12</v>
      </c>
      <c r="Y856" s="38">
        <v>12</v>
      </c>
      <c r="AK856" s="45">
        <f t="shared" si="108"/>
        <v>0</v>
      </c>
      <c r="AL856" s="46">
        <f t="shared" si="109"/>
        <v>0</v>
      </c>
      <c r="AM856" s="46">
        <f t="shared" si="110"/>
        <v>0</v>
      </c>
      <c r="AN856" s="46"/>
      <c r="AO856" s="119" t="s">
        <v>1197</v>
      </c>
      <c r="AP856" s="38" t="str">
        <f t="shared" si="105"/>
        <v>Exclude</v>
      </c>
    </row>
    <row r="857" spans="1:42" ht="60" hidden="1">
      <c r="A857" s="38" t="str">
        <f t="shared" si="104"/>
        <v>Ausgrid</v>
      </c>
      <c r="B857" s="38" t="s">
        <v>1197</v>
      </c>
      <c r="C857" s="38" t="str">
        <f t="shared" si="106"/>
        <v>Duplicate-SW0805 - Circuit Breaker, Vacuum, Indoor, GEC / Alstom SBV Series, 11kV - ACCB, VACUUM, INDOOR</v>
      </c>
      <c r="D857" s="38" t="str">
        <f t="shared" si="107"/>
        <v>Duplicate-</v>
      </c>
      <c r="E857" s="413"/>
      <c r="F857" s="43" t="s">
        <v>431</v>
      </c>
      <c r="G857" s="43" t="s">
        <v>1022</v>
      </c>
      <c r="X857" s="38">
        <v>12</v>
      </c>
      <c r="Y857" s="38">
        <v>12</v>
      </c>
      <c r="AK857" s="45">
        <f t="shared" si="108"/>
        <v>0</v>
      </c>
      <c r="AL857" s="46">
        <f t="shared" si="109"/>
        <v>0</v>
      </c>
      <c r="AM857" s="46">
        <f t="shared" si="110"/>
        <v>0</v>
      </c>
      <c r="AN857" s="46"/>
      <c r="AO857" s="119" t="s">
        <v>1197</v>
      </c>
      <c r="AP857" s="38" t="str">
        <f t="shared" si="105"/>
        <v>Exclude</v>
      </c>
    </row>
    <row r="858" spans="1:42" ht="60" hidden="1">
      <c r="A858" s="38" t="str">
        <f t="shared" si="104"/>
        <v>Ausgrid</v>
      </c>
      <c r="B858" s="38" t="s">
        <v>1197</v>
      </c>
      <c r="C858" s="38" t="str">
        <f t="shared" si="106"/>
        <v>Duplicate-SW0806 - Circuit Breaker, Vacuum, Indoor, Mitsubishi / Email 10VPR-25B, 11kV - ACCB, VACUUM, INDOOR</v>
      </c>
      <c r="D858" s="38" t="str">
        <f t="shared" si="107"/>
        <v>Duplicate-</v>
      </c>
      <c r="E858" s="413"/>
      <c r="F858" s="43" t="s">
        <v>431</v>
      </c>
      <c r="G858" s="43" t="s">
        <v>1023</v>
      </c>
      <c r="X858" s="38">
        <v>12</v>
      </c>
      <c r="Y858" s="38">
        <v>12</v>
      </c>
      <c r="AK858" s="45">
        <f t="shared" si="108"/>
        <v>0</v>
      </c>
      <c r="AL858" s="46">
        <f t="shared" si="109"/>
        <v>0</v>
      </c>
      <c r="AM858" s="46">
        <f t="shared" si="110"/>
        <v>0</v>
      </c>
      <c r="AN858" s="46"/>
      <c r="AO858" s="119" t="s">
        <v>1197</v>
      </c>
      <c r="AP858" s="38" t="str">
        <f t="shared" si="105"/>
        <v>Exclude</v>
      </c>
    </row>
    <row r="859" spans="1:42" ht="60" hidden="1">
      <c r="A859" s="38" t="str">
        <f t="shared" si="104"/>
        <v>Ausgrid</v>
      </c>
      <c r="B859" s="38" t="s">
        <v>1197</v>
      </c>
      <c r="C859" s="38" t="str">
        <f t="shared" si="106"/>
        <v>Duplicate-SW0807 - Circuit Breaker, Vacuum, Indoor, Generic VK Series, 11kV - ACCB, VACUUM, INDOOR</v>
      </c>
      <c r="D859" s="38" t="str">
        <f t="shared" si="107"/>
        <v>Duplicate-</v>
      </c>
      <c r="E859" s="413"/>
      <c r="F859" s="43" t="s">
        <v>431</v>
      </c>
      <c r="G859" s="43" t="s">
        <v>1024</v>
      </c>
      <c r="X859" s="38">
        <v>12</v>
      </c>
      <c r="Y859" s="38">
        <v>12</v>
      </c>
      <c r="AK859" s="45">
        <f t="shared" si="108"/>
        <v>0</v>
      </c>
      <c r="AL859" s="46">
        <f t="shared" si="109"/>
        <v>0</v>
      </c>
      <c r="AM859" s="46">
        <f t="shared" si="110"/>
        <v>0</v>
      </c>
      <c r="AN859" s="46"/>
      <c r="AO859" s="119" t="s">
        <v>1197</v>
      </c>
      <c r="AP859" s="38" t="str">
        <f t="shared" si="105"/>
        <v>Exclude</v>
      </c>
    </row>
    <row r="860" spans="1:42" ht="60" hidden="1">
      <c r="A860" s="38" t="str">
        <f t="shared" si="104"/>
        <v>Ausgrid</v>
      </c>
      <c r="B860" s="38" t="s">
        <v>1197</v>
      </c>
      <c r="C860" s="38" t="str">
        <f t="shared" si="106"/>
        <v>Duplicate-SW0808 - Circuit Breaker, Vacuum, Indoor, Alstom HWX, 11kV - ACCB, VACUUM, INDOOR</v>
      </c>
      <c r="D860" s="38" t="str">
        <f t="shared" si="107"/>
        <v>Duplicate-</v>
      </c>
      <c r="E860" s="413"/>
      <c r="F860" s="43" t="s">
        <v>431</v>
      </c>
      <c r="G860" s="43" t="s">
        <v>1025</v>
      </c>
      <c r="X860" s="38">
        <v>12</v>
      </c>
      <c r="Y860" s="38">
        <v>12</v>
      </c>
      <c r="AK860" s="45">
        <f t="shared" si="108"/>
        <v>0</v>
      </c>
      <c r="AL860" s="46">
        <f t="shared" si="109"/>
        <v>0</v>
      </c>
      <c r="AM860" s="46">
        <f t="shared" si="110"/>
        <v>0</v>
      </c>
      <c r="AN860" s="46"/>
      <c r="AO860" s="119" t="s">
        <v>1197</v>
      </c>
      <c r="AP860" s="38" t="str">
        <f t="shared" si="105"/>
        <v>Exclude</v>
      </c>
    </row>
    <row r="861" spans="1:42" ht="60" hidden="1">
      <c r="A861" s="38" t="str">
        <f t="shared" si="104"/>
        <v>Ausgrid</v>
      </c>
      <c r="B861" s="38" t="s">
        <v>1197</v>
      </c>
      <c r="C861" s="38" t="str">
        <f t="shared" si="106"/>
        <v>Duplicate-SW0801 - Circuit Breaker, Vacuum, Indoor, Generic 33kV &amp; 11kV - ACCB, VACUUM, INDOOR</v>
      </c>
      <c r="D861" s="38" t="str">
        <f t="shared" si="107"/>
        <v>Duplicate-</v>
      </c>
      <c r="E861" s="413"/>
      <c r="F861" s="43" t="s">
        <v>431</v>
      </c>
      <c r="G861" s="43" t="s">
        <v>1017</v>
      </c>
      <c r="X861" s="38">
        <v>2</v>
      </c>
      <c r="Y861" s="38">
        <v>0</v>
      </c>
      <c r="AK861" s="45">
        <f t="shared" si="108"/>
        <v>0</v>
      </c>
      <c r="AL861" s="46">
        <f t="shared" si="109"/>
        <v>0</v>
      </c>
      <c r="AM861" s="46">
        <f t="shared" si="110"/>
        <v>0</v>
      </c>
      <c r="AN861" s="46"/>
      <c r="AO861" s="119" t="s">
        <v>1197</v>
      </c>
      <c r="AP861" s="38" t="str">
        <f t="shared" si="105"/>
        <v>Exclude</v>
      </c>
    </row>
    <row r="862" spans="1:42" ht="60" hidden="1">
      <c r="A862" s="38" t="str">
        <f t="shared" si="104"/>
        <v>Ausgrid</v>
      </c>
      <c r="B862" s="38" t="s">
        <v>1197</v>
      </c>
      <c r="C862" s="38" t="str">
        <f t="shared" si="106"/>
        <v>Duplicate-SW0811 - Circuit Breaker, Vacuum, Indoor, Siemens 3AF, 11kV - ACCB, VACUUM, INDOOR</v>
      </c>
      <c r="D862" s="38" t="str">
        <f t="shared" si="107"/>
        <v>Duplicate-</v>
      </c>
      <c r="E862" s="413"/>
      <c r="F862" s="43" t="s">
        <v>431</v>
      </c>
      <c r="G862" s="43" t="s">
        <v>1026</v>
      </c>
      <c r="X862" s="38">
        <v>12</v>
      </c>
      <c r="Y862" s="38">
        <v>12</v>
      </c>
      <c r="AK862" s="45">
        <f t="shared" si="108"/>
        <v>0</v>
      </c>
      <c r="AL862" s="46">
        <f t="shared" si="109"/>
        <v>0</v>
      </c>
      <c r="AM862" s="46">
        <f t="shared" si="110"/>
        <v>0</v>
      </c>
      <c r="AN862" s="46"/>
      <c r="AO862" s="119" t="s">
        <v>1197</v>
      </c>
      <c r="AP862" s="38" t="str">
        <f t="shared" si="105"/>
        <v>Exclude</v>
      </c>
    </row>
    <row r="863" spans="1:42" ht="60" hidden="1">
      <c r="A863" s="38" t="str">
        <f t="shared" si="104"/>
        <v>Ausgrid</v>
      </c>
      <c r="B863" s="38" t="s">
        <v>1197</v>
      </c>
      <c r="C863" s="38" t="str">
        <f t="shared" si="106"/>
        <v>Duplicate-SW0812 - Circuit Breaker, Vacuum, Indoor, GEC, AVAC Circuit Breaker, 11kV - ACCB, VACUUM, INDOOR</v>
      </c>
      <c r="D863" s="38" t="str">
        <f t="shared" si="107"/>
        <v>Duplicate-</v>
      </c>
      <c r="E863" s="413"/>
      <c r="F863" s="43" t="s">
        <v>431</v>
      </c>
      <c r="G863" s="43" t="s">
        <v>1027</v>
      </c>
      <c r="X863" s="38">
        <v>12</v>
      </c>
      <c r="Y863" s="38">
        <v>12</v>
      </c>
      <c r="AK863" s="45">
        <f t="shared" si="108"/>
        <v>0</v>
      </c>
      <c r="AL863" s="46">
        <f t="shared" si="109"/>
        <v>0</v>
      </c>
      <c r="AM863" s="46">
        <f t="shared" si="110"/>
        <v>0</v>
      </c>
      <c r="AN863" s="46"/>
      <c r="AO863" s="119" t="s">
        <v>1197</v>
      </c>
      <c r="AP863" s="38" t="str">
        <f t="shared" si="105"/>
        <v>Exclude</v>
      </c>
    </row>
    <row r="864" spans="1:42" ht="45" hidden="1">
      <c r="A864" s="38" t="str">
        <f t="shared" si="104"/>
        <v>Ausgrid</v>
      </c>
      <c r="B864" s="38" t="s">
        <v>1197</v>
      </c>
      <c r="C864" s="38" t="str">
        <f t="shared" si="106"/>
        <v>Duplicate-SW0813 - Circuit Breaker, 11kV, SF6 Vacuum, MCSET - ACCB, VACUUM, INDOOR</v>
      </c>
      <c r="D864" s="38" t="str">
        <f t="shared" si="107"/>
        <v>Duplicate-</v>
      </c>
      <c r="E864" s="413"/>
      <c r="F864" s="43" t="s">
        <v>431</v>
      </c>
      <c r="G864" s="43" t="s">
        <v>1028</v>
      </c>
      <c r="X864" s="38">
        <v>12</v>
      </c>
      <c r="Y864" s="38">
        <v>12</v>
      </c>
      <c r="AK864" s="45">
        <f t="shared" si="108"/>
        <v>0</v>
      </c>
      <c r="AL864" s="46">
        <f t="shared" si="109"/>
        <v>0</v>
      </c>
      <c r="AM864" s="46">
        <f t="shared" si="110"/>
        <v>0</v>
      </c>
      <c r="AN864" s="46"/>
      <c r="AO864" s="119" t="s">
        <v>1197</v>
      </c>
      <c r="AP864" s="38" t="str">
        <f t="shared" si="105"/>
        <v>Exclude</v>
      </c>
    </row>
    <row r="865" spans="1:42" ht="60" hidden="1">
      <c r="A865" s="38" t="str">
        <f t="shared" si="104"/>
        <v>Ausgrid</v>
      </c>
      <c r="B865" s="38" t="s">
        <v>1197</v>
      </c>
      <c r="C865" s="38" t="str">
        <f t="shared" si="106"/>
        <v>Duplicate-SW0814 - Circuit Breaker, Vacuum, Indoor, ABB, VD4, 36/40.5kV - ACCB, VACUUM, INDOOR</v>
      </c>
      <c r="D865" s="38" t="str">
        <f t="shared" si="107"/>
        <v>Duplicate-</v>
      </c>
      <c r="E865" s="413"/>
      <c r="F865" s="43" t="s">
        <v>431</v>
      </c>
      <c r="G865" s="43" t="s">
        <v>1029</v>
      </c>
      <c r="X865" s="38">
        <v>12</v>
      </c>
      <c r="Y865" s="38">
        <v>12</v>
      </c>
      <c r="AK865" s="45">
        <f t="shared" si="108"/>
        <v>0</v>
      </c>
      <c r="AL865" s="46">
        <f t="shared" si="109"/>
        <v>0</v>
      </c>
      <c r="AM865" s="46">
        <f t="shared" si="110"/>
        <v>0</v>
      </c>
      <c r="AN865" s="46"/>
      <c r="AO865" s="119" t="s">
        <v>1197</v>
      </c>
      <c r="AP865" s="38" t="str">
        <f t="shared" si="105"/>
        <v>Exclude</v>
      </c>
    </row>
    <row r="866" spans="1:42" ht="75" hidden="1">
      <c r="A866" s="38" t="str">
        <f t="shared" si="104"/>
        <v>Ausgrid</v>
      </c>
      <c r="B866" s="38" t="s">
        <v>1197</v>
      </c>
      <c r="C866" s="38" t="str">
        <f t="shared" si="106"/>
        <v>Duplicate-SW0816 - Circuit Breaker, Vacuum, Indoor, 11kV, RPS RPM J18 and J22 Vacuum Replacement - ACCB, VACUUM, INDOOR</v>
      </c>
      <c r="D866" s="38" t="str">
        <f t="shared" si="107"/>
        <v>Duplicate-</v>
      </c>
      <c r="E866" s="413"/>
      <c r="F866" s="43" t="s">
        <v>431</v>
      </c>
      <c r="G866" s="43" t="s">
        <v>1030</v>
      </c>
      <c r="X866" s="38">
        <v>12</v>
      </c>
      <c r="Y866" s="38">
        <v>12</v>
      </c>
      <c r="AK866" s="45">
        <f t="shared" si="108"/>
        <v>0</v>
      </c>
      <c r="AL866" s="46">
        <f t="shared" si="109"/>
        <v>0</v>
      </c>
      <c r="AM866" s="46">
        <f t="shared" si="110"/>
        <v>0</v>
      </c>
      <c r="AN866" s="46"/>
      <c r="AO866" s="119" t="s">
        <v>1197</v>
      </c>
      <c r="AP866" s="38" t="str">
        <f t="shared" si="105"/>
        <v>Exclude</v>
      </c>
    </row>
    <row r="867" spans="1:42" ht="75" hidden="1">
      <c r="A867" s="38" t="str">
        <f t="shared" si="104"/>
        <v>Ausgrid</v>
      </c>
      <c r="B867" s="38" t="s">
        <v>1197</v>
      </c>
      <c r="C867" s="38" t="str">
        <f t="shared" si="106"/>
        <v>Duplicate-SW0816 - Circuit Breaker, Vacuum, Indoor, 11kV, RPS RPM J18 and J22 Vacuum Replacement - ACCB, VACUUM, INDOOR</v>
      </c>
      <c r="D867" s="38" t="str">
        <f t="shared" si="107"/>
        <v>Duplicate-</v>
      </c>
      <c r="E867" s="413"/>
      <c r="F867" s="43" t="s">
        <v>431</v>
      </c>
      <c r="G867" s="43" t="s">
        <v>1030</v>
      </c>
      <c r="X867" s="38">
        <v>2</v>
      </c>
      <c r="Y867" s="38">
        <v>2</v>
      </c>
      <c r="AK867" s="45">
        <f t="shared" si="108"/>
        <v>0</v>
      </c>
      <c r="AL867" s="46">
        <f t="shared" si="109"/>
        <v>0</v>
      </c>
      <c r="AM867" s="46">
        <f t="shared" si="110"/>
        <v>0</v>
      </c>
      <c r="AN867" s="46"/>
      <c r="AO867" s="119" t="s">
        <v>1197</v>
      </c>
      <c r="AP867" s="38" t="str">
        <f t="shared" si="105"/>
        <v>Exclude</v>
      </c>
    </row>
    <row r="868" spans="1:42" ht="45" hidden="1">
      <c r="A868" s="38" t="str">
        <f t="shared" si="104"/>
        <v>Ausgrid</v>
      </c>
      <c r="B868" s="38" t="s">
        <v>1197</v>
      </c>
      <c r="C868" s="38" t="str">
        <f t="shared" si="106"/>
        <v>Duplicate-SW0901 - Circuit Breaker, Gas, Outdoor, Generic - ACCB, GAS, OUTDOOR</v>
      </c>
      <c r="D868" s="38" t="str">
        <f t="shared" si="107"/>
        <v>Duplicate-</v>
      </c>
      <c r="E868" s="413"/>
      <c r="F868" s="43" t="s">
        <v>431</v>
      </c>
      <c r="G868" s="43" t="s">
        <v>1031</v>
      </c>
      <c r="X868" s="38">
        <v>2</v>
      </c>
      <c r="Y868" s="38">
        <v>0</v>
      </c>
      <c r="AK868" s="45">
        <f t="shared" si="108"/>
        <v>0</v>
      </c>
      <c r="AL868" s="46">
        <f t="shared" si="109"/>
        <v>0</v>
      </c>
      <c r="AM868" s="46">
        <f t="shared" si="110"/>
        <v>0</v>
      </c>
      <c r="AN868" s="46"/>
      <c r="AO868" s="119" t="s">
        <v>1197</v>
      </c>
      <c r="AP868" s="38" t="str">
        <f t="shared" si="105"/>
        <v>Exclude</v>
      </c>
    </row>
    <row r="869" spans="1:42" ht="60" hidden="1">
      <c r="A869" s="38" t="str">
        <f t="shared" si="104"/>
        <v>Ausgrid</v>
      </c>
      <c r="B869" s="38" t="s">
        <v>1197</v>
      </c>
      <c r="C869" s="38" t="str">
        <f t="shared" si="106"/>
        <v>Duplicate-SW0902 - Circuit Breaker, Gas Outdoor, ABB type LTB, and ASEA HPL - ACCB, GAS, OUTDOOR</v>
      </c>
      <c r="D869" s="38" t="str">
        <f t="shared" si="107"/>
        <v>Duplicate-</v>
      </c>
      <c r="E869" s="413"/>
      <c r="F869" s="43" t="s">
        <v>431</v>
      </c>
      <c r="G869" s="43" t="s">
        <v>1032</v>
      </c>
      <c r="X869" s="38">
        <v>12</v>
      </c>
      <c r="Y869" s="38">
        <v>0</v>
      </c>
      <c r="AK869" s="45">
        <f t="shared" si="108"/>
        <v>0</v>
      </c>
      <c r="AL869" s="46">
        <f t="shared" si="109"/>
        <v>0</v>
      </c>
      <c r="AM869" s="46">
        <f t="shared" si="110"/>
        <v>0</v>
      </c>
      <c r="AN869" s="46"/>
      <c r="AO869" s="119" t="s">
        <v>1197</v>
      </c>
      <c r="AP869" s="38" t="str">
        <f t="shared" si="105"/>
        <v>Exclude</v>
      </c>
    </row>
    <row r="870" spans="1:42" ht="60" hidden="1">
      <c r="A870" s="38" t="str">
        <f t="shared" si="104"/>
        <v>Ausgrid</v>
      </c>
      <c r="B870" s="38" t="s">
        <v>1197</v>
      </c>
      <c r="C870" s="38" t="str">
        <f t="shared" si="106"/>
        <v>Duplicate-SW0903 - Circuit Breaker, Gas Outdoor, GEC, 132kV, type HGF - ACCB, GAS, OUTDOOR</v>
      </c>
      <c r="D870" s="38" t="str">
        <f t="shared" si="107"/>
        <v>Duplicate-</v>
      </c>
      <c r="E870" s="413"/>
      <c r="F870" s="43" t="s">
        <v>431</v>
      </c>
      <c r="G870" s="43" t="s">
        <v>1033</v>
      </c>
      <c r="X870" s="38">
        <v>12</v>
      </c>
      <c r="Y870" s="38">
        <v>0</v>
      </c>
      <c r="AK870" s="45">
        <f t="shared" si="108"/>
        <v>0</v>
      </c>
      <c r="AL870" s="46">
        <f t="shared" si="109"/>
        <v>0</v>
      </c>
      <c r="AM870" s="46">
        <f t="shared" si="110"/>
        <v>0</v>
      </c>
      <c r="AN870" s="46"/>
      <c r="AO870" s="119" t="s">
        <v>1197</v>
      </c>
      <c r="AP870" s="38" t="str">
        <f t="shared" si="105"/>
        <v>Exclude</v>
      </c>
    </row>
    <row r="871" spans="1:42" ht="60" hidden="1">
      <c r="A871" s="38" t="str">
        <f t="shared" si="104"/>
        <v>Ausgrid</v>
      </c>
      <c r="B871" s="38" t="s">
        <v>1197</v>
      </c>
      <c r="C871" s="38" t="str">
        <f t="shared" si="106"/>
        <v>Duplicate-SW0932 - Circuit Breaker, Gas Outdoor, Mitsubishi, 132kV, type 120SFMTE - ACCB, GAS, OUTDOOR</v>
      </c>
      <c r="D871" s="38" t="str">
        <f t="shared" si="107"/>
        <v>Duplicate-</v>
      </c>
      <c r="E871" s="413"/>
      <c r="F871" s="43" t="s">
        <v>431</v>
      </c>
      <c r="G871" s="43" t="s">
        <v>1034</v>
      </c>
      <c r="X871" s="38">
        <v>12</v>
      </c>
      <c r="Y871" s="38">
        <v>0</v>
      </c>
      <c r="AK871" s="45">
        <f t="shared" si="108"/>
        <v>0</v>
      </c>
      <c r="AL871" s="46">
        <f t="shared" si="109"/>
        <v>0</v>
      </c>
      <c r="AM871" s="46">
        <f t="shared" si="110"/>
        <v>0</v>
      </c>
      <c r="AN871" s="46"/>
      <c r="AO871" s="119" t="s">
        <v>1197</v>
      </c>
      <c r="AP871" s="38" t="str">
        <f t="shared" si="105"/>
        <v>Exclude</v>
      </c>
    </row>
    <row r="872" spans="1:42" ht="45" hidden="1">
      <c r="A872" s="38" t="str">
        <f t="shared" si="104"/>
        <v>Ausgrid</v>
      </c>
      <c r="B872" s="38" t="s">
        <v>1197</v>
      </c>
      <c r="C872" s="38" t="str">
        <f t="shared" si="106"/>
        <v>Duplicate-SW0921 - Circuit Switcher, S &amp; C Electrical Co, 132kV, MK II - ACCB, GAS, OUTDOOR</v>
      </c>
      <c r="D872" s="38" t="str">
        <f t="shared" si="107"/>
        <v>Duplicate-</v>
      </c>
      <c r="E872" s="413"/>
      <c r="F872" s="43" t="s">
        <v>431</v>
      </c>
      <c r="G872" s="43" t="s">
        <v>1035</v>
      </c>
      <c r="X872" s="38">
        <v>2</v>
      </c>
      <c r="Y872" s="38">
        <v>0</v>
      </c>
      <c r="AK872" s="45">
        <f t="shared" si="108"/>
        <v>0</v>
      </c>
      <c r="AL872" s="46">
        <f t="shared" si="109"/>
        <v>0</v>
      </c>
      <c r="AM872" s="46">
        <f t="shared" si="110"/>
        <v>0</v>
      </c>
      <c r="AN872" s="46"/>
      <c r="AO872" s="119" t="s">
        <v>1197</v>
      </c>
      <c r="AP872" s="38" t="str">
        <f t="shared" si="105"/>
        <v>Exclude</v>
      </c>
    </row>
    <row r="873" spans="1:42" ht="45" hidden="1">
      <c r="A873" s="38" t="str">
        <f t="shared" si="104"/>
        <v>Ausgrid</v>
      </c>
      <c r="B873" s="38" t="s">
        <v>1197</v>
      </c>
      <c r="C873" s="38" t="str">
        <f t="shared" si="106"/>
        <v>Duplicate-SW0922 - Circuit Switcher, S &amp; C Electrical Co, 132kV, MK II - ACCB, GAS, OUTDOOR</v>
      </c>
      <c r="D873" s="38" t="str">
        <f t="shared" si="107"/>
        <v>Duplicate-</v>
      </c>
      <c r="E873" s="413"/>
      <c r="F873" s="43" t="s">
        <v>431</v>
      </c>
      <c r="G873" s="43" t="s">
        <v>1036</v>
      </c>
      <c r="X873" s="38">
        <v>12</v>
      </c>
      <c r="Y873" s="38">
        <v>0</v>
      </c>
      <c r="AK873" s="45">
        <f t="shared" si="108"/>
        <v>0</v>
      </c>
      <c r="AL873" s="46">
        <f t="shared" si="109"/>
        <v>0</v>
      </c>
      <c r="AM873" s="46">
        <f t="shared" si="110"/>
        <v>0</v>
      </c>
      <c r="AN873" s="46"/>
      <c r="AO873" s="119" t="s">
        <v>1197</v>
      </c>
      <c r="AP873" s="38" t="str">
        <f t="shared" si="105"/>
        <v>Exclude</v>
      </c>
    </row>
    <row r="874" spans="1:42" ht="45" hidden="1">
      <c r="A874" s="38" t="str">
        <f t="shared" si="104"/>
        <v>Ausgrid</v>
      </c>
      <c r="B874" s="38" t="s">
        <v>1197</v>
      </c>
      <c r="C874" s="38" t="str">
        <f t="shared" si="106"/>
        <v>Duplicate-SW0901 - Circuit Breaker, Gas, Outdoor, Generic - ACCB, GAS, OUTDOOR</v>
      </c>
      <c r="D874" s="38" t="str">
        <f t="shared" si="107"/>
        <v>Duplicate-</v>
      </c>
      <c r="E874" s="413"/>
      <c r="F874" s="43" t="s">
        <v>431</v>
      </c>
      <c r="G874" s="43" t="s">
        <v>1031</v>
      </c>
      <c r="X874" s="38">
        <v>6</v>
      </c>
      <c r="Y874" s="38">
        <v>0</v>
      </c>
      <c r="AK874" s="45">
        <f t="shared" si="108"/>
        <v>0</v>
      </c>
      <c r="AL874" s="46">
        <f t="shared" si="109"/>
        <v>0</v>
      </c>
      <c r="AM874" s="46">
        <f t="shared" si="110"/>
        <v>0</v>
      </c>
      <c r="AN874" s="46"/>
      <c r="AO874" s="119" t="s">
        <v>1197</v>
      </c>
      <c r="AP874" s="38" t="str">
        <f t="shared" si="105"/>
        <v>Exclude</v>
      </c>
    </row>
    <row r="875" spans="1:42" ht="60" hidden="1">
      <c r="A875" s="38" t="str">
        <f t="shared" si="104"/>
        <v>Ausgrid</v>
      </c>
      <c r="B875" s="38" t="s">
        <v>1197</v>
      </c>
      <c r="C875" s="38" t="str">
        <f t="shared" si="106"/>
        <v>Duplicate-SW0962 - Circuit Breaker, Gas Outdoor, Siemens, 66kV, type SPS2-72.5 - ACCB, GAS, OUTDOOR</v>
      </c>
      <c r="D875" s="38" t="str">
        <f t="shared" si="107"/>
        <v>Duplicate-</v>
      </c>
      <c r="E875" s="413"/>
      <c r="F875" s="43" t="s">
        <v>431</v>
      </c>
      <c r="G875" s="43" t="s">
        <v>1037</v>
      </c>
      <c r="X875" s="38">
        <v>12</v>
      </c>
      <c r="Y875" s="38">
        <v>0</v>
      </c>
      <c r="AK875" s="45">
        <f t="shared" si="108"/>
        <v>0</v>
      </c>
      <c r="AL875" s="46">
        <f t="shared" si="109"/>
        <v>0</v>
      </c>
      <c r="AM875" s="46">
        <f t="shared" si="110"/>
        <v>0</v>
      </c>
      <c r="AN875" s="46"/>
      <c r="AO875" s="119" t="s">
        <v>1197</v>
      </c>
      <c r="AP875" s="38" t="str">
        <f t="shared" si="105"/>
        <v>Exclude</v>
      </c>
    </row>
    <row r="876" spans="1:42" ht="75" hidden="1">
      <c r="A876" s="38" t="str">
        <f t="shared" si="104"/>
        <v>Ausgrid</v>
      </c>
      <c r="B876" s="38" t="s">
        <v>1197</v>
      </c>
      <c r="C876" s="38" t="str">
        <f t="shared" si="106"/>
        <v>Duplicate-SW7201 - 12kV Compound Insulated Switchboards and 12kV Oil Circuit Breakers - Vertical Racking - BUSBAR, ENCLOSED (WITH VT'S)</v>
      </c>
      <c r="D876" s="38" t="str">
        <f t="shared" si="107"/>
        <v>Duplicate-</v>
      </c>
      <c r="E876" s="413"/>
      <c r="F876" s="43" t="s">
        <v>431</v>
      </c>
      <c r="G876" s="43" t="s">
        <v>1038</v>
      </c>
      <c r="X876" s="38">
        <v>0.5</v>
      </c>
      <c r="Y876" s="38">
        <v>0.5</v>
      </c>
      <c r="AK876" s="45">
        <f t="shared" si="108"/>
        <v>0</v>
      </c>
      <c r="AL876" s="46">
        <f t="shared" si="109"/>
        <v>0</v>
      </c>
      <c r="AM876" s="46">
        <f t="shared" si="110"/>
        <v>0</v>
      </c>
      <c r="AN876" s="46"/>
      <c r="AO876" s="119" t="s">
        <v>1197</v>
      </c>
      <c r="AP876" s="38" t="str">
        <f t="shared" si="105"/>
        <v>Exclude</v>
      </c>
    </row>
    <row r="877" spans="1:42" ht="75" hidden="1">
      <c r="A877" s="38" t="str">
        <f t="shared" si="104"/>
        <v>Ausgrid</v>
      </c>
      <c r="B877" s="38" t="s">
        <v>1197</v>
      </c>
      <c r="C877" s="38" t="str">
        <f t="shared" si="106"/>
        <v>Duplicate-SW7201 - 12kV Compound Insulated Switchboards and 12kV Oil Circuit Breakers - Vertical Racking - BUSBAR, ENCLOSED (WITH VT'S)</v>
      </c>
      <c r="D877" s="38" t="str">
        <f t="shared" si="107"/>
        <v>Duplicate-</v>
      </c>
      <c r="E877" s="413"/>
      <c r="F877" s="43" t="s">
        <v>431</v>
      </c>
      <c r="G877" s="43" t="s">
        <v>1038</v>
      </c>
      <c r="X877" s="38">
        <v>1</v>
      </c>
      <c r="Y877" s="38">
        <v>1</v>
      </c>
      <c r="AK877" s="45">
        <f t="shared" si="108"/>
        <v>0</v>
      </c>
      <c r="AL877" s="46">
        <f t="shared" si="109"/>
        <v>0</v>
      </c>
      <c r="AM877" s="46">
        <f t="shared" si="110"/>
        <v>0</v>
      </c>
      <c r="AN877" s="46"/>
      <c r="AO877" s="119" t="s">
        <v>1197</v>
      </c>
      <c r="AP877" s="38" t="str">
        <f t="shared" si="105"/>
        <v>Exclude</v>
      </c>
    </row>
    <row r="878" spans="1:42" ht="75" hidden="1">
      <c r="A878" s="38" t="str">
        <f t="shared" si="104"/>
        <v>Ausgrid</v>
      </c>
      <c r="B878" s="38" t="s">
        <v>1197</v>
      </c>
      <c r="C878" s="38" t="str">
        <f t="shared" si="106"/>
        <v>Duplicate-SW7201 - 12kV Compound Insulated Switchboards and 12kV Oil Circuit Breakers - Vertical Racking - BUSBAR, ENCLOSED (WITH VT'S)</v>
      </c>
      <c r="D878" s="38" t="str">
        <f t="shared" si="107"/>
        <v>Duplicate-</v>
      </c>
      <c r="E878" s="413"/>
      <c r="F878" s="43" t="s">
        <v>431</v>
      </c>
      <c r="G878" s="43" t="s">
        <v>1038</v>
      </c>
      <c r="X878" s="38">
        <v>3</v>
      </c>
      <c r="Y878" s="38">
        <v>3</v>
      </c>
      <c r="AK878" s="45">
        <f t="shared" si="108"/>
        <v>0</v>
      </c>
      <c r="AL878" s="46">
        <f t="shared" si="109"/>
        <v>0</v>
      </c>
      <c r="AM878" s="46">
        <f t="shared" si="110"/>
        <v>0</v>
      </c>
      <c r="AN878" s="46"/>
      <c r="AO878" s="119" t="s">
        <v>1197</v>
      </c>
      <c r="AP878" s="38" t="str">
        <f t="shared" si="105"/>
        <v>Exclude</v>
      </c>
    </row>
    <row r="879" spans="1:42" ht="75" hidden="1">
      <c r="A879" s="38" t="str">
        <f t="shared" si="104"/>
        <v>Ausgrid</v>
      </c>
      <c r="B879" s="38" t="s">
        <v>1197</v>
      </c>
      <c r="C879" s="38" t="str">
        <f t="shared" si="106"/>
        <v>Duplicate-SW7201 - 12kV Compound Insulated Switchboards and 12kV Oil Circuit Breakers - Vertical Racking - BUSBAR, ENCLOSED (WITH VT'S)</v>
      </c>
      <c r="D879" s="38" t="str">
        <f t="shared" si="107"/>
        <v>Duplicate-</v>
      </c>
      <c r="E879" s="413"/>
      <c r="F879" s="43" t="s">
        <v>431</v>
      </c>
      <c r="G879" s="43" t="s">
        <v>1038</v>
      </c>
      <c r="X879" s="38">
        <v>6</v>
      </c>
      <c r="Y879" s="38">
        <v>6</v>
      </c>
      <c r="AK879" s="45">
        <f t="shared" si="108"/>
        <v>0</v>
      </c>
      <c r="AL879" s="46">
        <f t="shared" si="109"/>
        <v>0</v>
      </c>
      <c r="AM879" s="46">
        <f t="shared" si="110"/>
        <v>0</v>
      </c>
      <c r="AN879" s="46"/>
      <c r="AO879" s="119" t="s">
        <v>1197</v>
      </c>
      <c r="AP879" s="38" t="str">
        <f t="shared" si="105"/>
        <v>Exclude</v>
      </c>
    </row>
    <row r="880" spans="1:42" ht="75" hidden="1">
      <c r="A880" s="38" t="str">
        <f t="shared" si="104"/>
        <v>Ausgrid</v>
      </c>
      <c r="B880" s="38" t="s">
        <v>1197</v>
      </c>
      <c r="C880" s="38" t="str">
        <f t="shared" si="106"/>
        <v>Duplicate-SW7201 - 12kV Compound Insulated Switchboards and 12kV Oil Circuit Breakers - Vertical Racking - BUSBAR, ENCLOSED (WITH VT'S)</v>
      </c>
      <c r="D880" s="38" t="str">
        <f t="shared" si="107"/>
        <v>Duplicate-</v>
      </c>
      <c r="E880" s="413"/>
      <c r="F880" s="43" t="s">
        <v>431</v>
      </c>
      <c r="G880" s="43" t="s">
        <v>1038</v>
      </c>
      <c r="X880" s="38">
        <v>12</v>
      </c>
      <c r="Y880" s="38">
        <v>12</v>
      </c>
      <c r="AK880" s="45">
        <f t="shared" si="108"/>
        <v>0</v>
      </c>
      <c r="AL880" s="46">
        <f t="shared" si="109"/>
        <v>0</v>
      </c>
      <c r="AM880" s="46">
        <f t="shared" si="110"/>
        <v>0</v>
      </c>
      <c r="AN880" s="46"/>
      <c r="AO880" s="119" t="s">
        <v>1197</v>
      </c>
      <c r="AP880" s="38" t="str">
        <f t="shared" si="105"/>
        <v>Exclude</v>
      </c>
    </row>
    <row r="881" spans="1:42" ht="75" hidden="1">
      <c r="A881" s="38" t="str">
        <f t="shared" si="104"/>
        <v>Ausgrid</v>
      </c>
      <c r="B881" s="38" t="s">
        <v>1197</v>
      </c>
      <c r="C881" s="38" t="str">
        <f t="shared" si="106"/>
        <v>Duplicate-SW7201 - 12kV Compound Insulated Switchboards and 12kV Oil Circuit Breakers - Vertical Racking - BUSBAR, ENCLOSED (WITH VT'S)</v>
      </c>
      <c r="D881" s="38" t="str">
        <f t="shared" si="107"/>
        <v>Duplicate-</v>
      </c>
      <c r="E881" s="413"/>
      <c r="F881" s="43" t="s">
        <v>431</v>
      </c>
      <c r="G881" s="43" t="s">
        <v>1038</v>
      </c>
      <c r="X881" s="38">
        <v>24</v>
      </c>
      <c r="Y881" s="38">
        <v>24</v>
      </c>
      <c r="AK881" s="45">
        <f t="shared" si="108"/>
        <v>0</v>
      </c>
      <c r="AL881" s="46">
        <f t="shared" si="109"/>
        <v>0</v>
      </c>
      <c r="AM881" s="46">
        <f t="shared" si="110"/>
        <v>0</v>
      </c>
      <c r="AN881" s="46"/>
      <c r="AO881" s="119" t="s">
        <v>1197</v>
      </c>
      <c r="AP881" s="38" t="str">
        <f t="shared" si="105"/>
        <v>Exclude</v>
      </c>
    </row>
    <row r="882" spans="1:42" ht="90" hidden="1">
      <c r="A882" s="38" t="str">
        <f t="shared" si="104"/>
        <v>Ausgrid</v>
      </c>
      <c r="B882" s="38" t="s">
        <v>1197</v>
      </c>
      <c r="C882" s="38" t="str">
        <f t="shared" si="106"/>
        <v>Duplicate-SW7202 - 12kV Compound Insulated Switchboards and 12kV Oil Circuit Breakers - Horizontal Racking - BUSBAR, ENCLOSED (WITH VT'S)</v>
      </c>
      <c r="D882" s="38" t="str">
        <f t="shared" si="107"/>
        <v>Duplicate-</v>
      </c>
      <c r="E882" s="413"/>
      <c r="F882" s="43" t="s">
        <v>431</v>
      </c>
      <c r="G882" s="43" t="s">
        <v>1039</v>
      </c>
      <c r="X882" s="38">
        <v>0.5</v>
      </c>
      <c r="Y882" s="38">
        <v>0.5</v>
      </c>
      <c r="AK882" s="45">
        <f t="shared" si="108"/>
        <v>0</v>
      </c>
      <c r="AL882" s="46">
        <f t="shared" si="109"/>
        <v>0</v>
      </c>
      <c r="AM882" s="46">
        <f t="shared" si="110"/>
        <v>0</v>
      </c>
      <c r="AN882" s="46"/>
      <c r="AO882" s="119" t="s">
        <v>1197</v>
      </c>
      <c r="AP882" s="38" t="str">
        <f t="shared" si="105"/>
        <v>Exclude</v>
      </c>
    </row>
    <row r="883" spans="1:42" ht="90" hidden="1">
      <c r="A883" s="38" t="str">
        <f t="shared" ref="A883:A946" si="111">IF(E883&gt;0,E883,A882)</f>
        <v>Ausgrid</v>
      </c>
      <c r="B883" s="38" t="s">
        <v>1197</v>
      </c>
      <c r="C883" s="38" t="str">
        <f t="shared" si="106"/>
        <v>Duplicate-SW7202 - 12kV Compound Insulated Switchboards and 12kV Oil Circuit Breakers - Horizontal Racking - BUSBAR, ENCLOSED (WITH VT'S)</v>
      </c>
      <c r="D883" s="38" t="str">
        <f t="shared" si="107"/>
        <v>Duplicate-</v>
      </c>
      <c r="E883" s="413"/>
      <c r="F883" s="43" t="s">
        <v>431</v>
      </c>
      <c r="G883" s="43" t="s">
        <v>1039</v>
      </c>
      <c r="X883" s="38">
        <v>1</v>
      </c>
      <c r="Y883" s="38">
        <v>1</v>
      </c>
      <c r="AK883" s="45">
        <f t="shared" si="108"/>
        <v>0</v>
      </c>
      <c r="AL883" s="46">
        <f t="shared" si="109"/>
        <v>0</v>
      </c>
      <c r="AM883" s="46">
        <f t="shared" si="110"/>
        <v>0</v>
      </c>
      <c r="AN883" s="46"/>
      <c r="AO883" s="119" t="s">
        <v>1197</v>
      </c>
      <c r="AP883" s="38" t="str">
        <f t="shared" si="105"/>
        <v>Exclude</v>
      </c>
    </row>
    <row r="884" spans="1:42" ht="90" hidden="1">
      <c r="A884" s="38" t="str">
        <f t="shared" si="111"/>
        <v>Ausgrid</v>
      </c>
      <c r="B884" s="38" t="s">
        <v>1197</v>
      </c>
      <c r="C884" s="38" t="str">
        <f t="shared" si="106"/>
        <v>Duplicate-SW7202 - 12kV Compound Insulated Switchboards and 12kV Oil Circuit Breakers - Horizontal Racking - BUSBAR, ENCLOSED (WITH VT'S)</v>
      </c>
      <c r="D884" s="38" t="str">
        <f t="shared" si="107"/>
        <v>Duplicate-</v>
      </c>
      <c r="E884" s="413"/>
      <c r="F884" s="43" t="s">
        <v>431</v>
      </c>
      <c r="G884" s="43" t="s">
        <v>1039</v>
      </c>
      <c r="X884" s="38">
        <v>3</v>
      </c>
      <c r="Y884" s="38">
        <v>3</v>
      </c>
      <c r="AK884" s="45">
        <f t="shared" si="108"/>
        <v>0</v>
      </c>
      <c r="AL884" s="46">
        <f t="shared" si="109"/>
        <v>0</v>
      </c>
      <c r="AM884" s="46">
        <f t="shared" si="110"/>
        <v>0</v>
      </c>
      <c r="AN884" s="46"/>
      <c r="AO884" s="119" t="s">
        <v>1197</v>
      </c>
      <c r="AP884" s="38" t="str">
        <f t="shared" si="105"/>
        <v>Exclude</v>
      </c>
    </row>
    <row r="885" spans="1:42" ht="90" hidden="1">
      <c r="A885" s="38" t="str">
        <f t="shared" si="111"/>
        <v>Ausgrid</v>
      </c>
      <c r="B885" s="38" t="s">
        <v>1197</v>
      </c>
      <c r="C885" s="38" t="str">
        <f t="shared" si="106"/>
        <v>Duplicate-SW7202 - 12kV Compound Insulated Switchboards and 12kV Oil Circuit Breakers - Horizontal Racking - BUSBAR, ENCLOSED (WITH VT'S)</v>
      </c>
      <c r="D885" s="38" t="str">
        <f t="shared" si="107"/>
        <v>Duplicate-</v>
      </c>
      <c r="E885" s="413"/>
      <c r="F885" s="43" t="s">
        <v>431</v>
      </c>
      <c r="G885" s="43" t="s">
        <v>1039</v>
      </c>
      <c r="X885" s="38">
        <v>6</v>
      </c>
      <c r="Y885" s="38">
        <v>6</v>
      </c>
      <c r="AK885" s="45">
        <f t="shared" si="108"/>
        <v>0</v>
      </c>
      <c r="AL885" s="46">
        <f t="shared" si="109"/>
        <v>0</v>
      </c>
      <c r="AM885" s="46">
        <f t="shared" si="110"/>
        <v>0</v>
      </c>
      <c r="AN885" s="46"/>
      <c r="AO885" s="119" t="s">
        <v>1197</v>
      </c>
      <c r="AP885" s="38" t="str">
        <f t="shared" si="105"/>
        <v>Exclude</v>
      </c>
    </row>
    <row r="886" spans="1:42" ht="90" hidden="1">
      <c r="A886" s="38" t="str">
        <f t="shared" si="111"/>
        <v>Ausgrid</v>
      </c>
      <c r="B886" s="38" t="s">
        <v>1197</v>
      </c>
      <c r="C886" s="38" t="str">
        <f t="shared" si="106"/>
        <v>Duplicate-SW7202 - 12kV Compound Insulated Switchboards and 12kV Oil Circuit Breakers - Horizontal Racking - BUSBAR, ENCLOSED (WITH VT'S)</v>
      </c>
      <c r="D886" s="38" t="str">
        <f t="shared" si="107"/>
        <v>Duplicate-</v>
      </c>
      <c r="E886" s="413"/>
      <c r="F886" s="43" t="s">
        <v>431</v>
      </c>
      <c r="G886" s="43" t="s">
        <v>1039</v>
      </c>
      <c r="X886" s="38">
        <v>12</v>
      </c>
      <c r="Y886" s="38">
        <v>12</v>
      </c>
      <c r="AK886" s="45">
        <f t="shared" si="108"/>
        <v>0</v>
      </c>
      <c r="AL886" s="46">
        <f t="shared" si="109"/>
        <v>0</v>
      </c>
      <c r="AM886" s="46">
        <f t="shared" si="110"/>
        <v>0</v>
      </c>
      <c r="AN886" s="46"/>
      <c r="AO886" s="119" t="s">
        <v>1197</v>
      </c>
      <c r="AP886" s="38" t="str">
        <f t="shared" si="105"/>
        <v>Exclude</v>
      </c>
    </row>
    <row r="887" spans="1:42" ht="30" hidden="1">
      <c r="A887" s="38" t="str">
        <f t="shared" si="111"/>
        <v>Ausgrid</v>
      </c>
      <c r="B887" s="38" t="s">
        <v>1197</v>
      </c>
      <c r="C887" s="38" t="str">
        <f t="shared" si="106"/>
        <v>Duplicate-SW8101 - Fault Thrower, Generic</v>
      </c>
      <c r="D887" s="38" t="str">
        <f t="shared" si="107"/>
        <v>Duplicate-</v>
      </c>
      <c r="E887" s="413"/>
      <c r="F887" s="43" t="s">
        <v>431</v>
      </c>
      <c r="G887" s="43" t="s">
        <v>1040</v>
      </c>
      <c r="X887" s="38">
        <v>6</v>
      </c>
      <c r="Y887" s="38">
        <v>6</v>
      </c>
      <c r="AK887" s="45">
        <f t="shared" si="108"/>
        <v>0</v>
      </c>
      <c r="AL887" s="46">
        <f t="shared" si="109"/>
        <v>0</v>
      </c>
      <c r="AM887" s="46">
        <f t="shared" si="110"/>
        <v>0</v>
      </c>
      <c r="AN887" s="46"/>
      <c r="AO887" s="119" t="s">
        <v>1197</v>
      </c>
      <c r="AP887" s="38" t="str">
        <f t="shared" si="105"/>
        <v>Exclude</v>
      </c>
    </row>
    <row r="888" spans="1:42" ht="45" hidden="1">
      <c r="A888" s="38" t="str">
        <f t="shared" si="111"/>
        <v>Ausgrid</v>
      </c>
      <c r="B888" s="38" t="s">
        <v>1197</v>
      </c>
      <c r="C888" s="38" t="str">
        <f t="shared" si="106"/>
        <v>Duplicate-SUBTRANSMISSION SUBSTATION - OTHER EQUIPMENT</v>
      </c>
      <c r="D888" s="38" t="str">
        <f t="shared" si="107"/>
        <v>Duplicate-No. of subtranmssion substation  ('000s)</v>
      </c>
      <c r="E888" s="413"/>
      <c r="F888" s="43" t="s">
        <v>431</v>
      </c>
      <c r="G888" s="43" t="s">
        <v>1111</v>
      </c>
      <c r="H888" s="43" t="s">
        <v>1112</v>
      </c>
      <c r="I888" s="41">
        <v>0.03</v>
      </c>
      <c r="J888" s="41">
        <v>0.03</v>
      </c>
      <c r="K888" s="41">
        <v>0.03</v>
      </c>
      <c r="L888" s="41">
        <v>0.03</v>
      </c>
      <c r="M888" s="41">
        <v>0.03</v>
      </c>
      <c r="N888" s="41">
        <v>0.13</v>
      </c>
      <c r="O888" s="41">
        <v>0.06</v>
      </c>
      <c r="P888" s="41">
        <v>0.06</v>
      </c>
      <c r="Q888" s="41">
        <v>0.06</v>
      </c>
      <c r="R888" s="41">
        <v>0.06</v>
      </c>
      <c r="S888" s="41">
        <v>28.95</v>
      </c>
      <c r="T888" s="41">
        <v>29.94</v>
      </c>
      <c r="U888" s="41">
        <v>30.94</v>
      </c>
      <c r="V888" s="41">
        <v>31.95</v>
      </c>
      <c r="W888" s="41">
        <v>32.950000000000003</v>
      </c>
      <c r="X888" s="38">
        <v>0</v>
      </c>
      <c r="Y888" s="38">
        <v>0</v>
      </c>
      <c r="Z888" s="40">
        <v>31.93</v>
      </c>
      <c r="AA888" s="40">
        <v>48.68</v>
      </c>
      <c r="AB888" s="40">
        <v>27.14</v>
      </c>
      <c r="AC888" s="40">
        <v>87.73</v>
      </c>
      <c r="AD888" s="40">
        <v>62.76</v>
      </c>
      <c r="AE888" s="40">
        <v>129.06</v>
      </c>
      <c r="AF888" s="40">
        <v>208.92</v>
      </c>
      <c r="AG888" s="40">
        <v>369.17</v>
      </c>
      <c r="AH888" s="40">
        <v>209.63</v>
      </c>
      <c r="AI888" s="40">
        <v>422</v>
      </c>
      <c r="AK888" s="45">
        <f t="shared" si="108"/>
        <v>0.37</v>
      </c>
      <c r="AL888" s="46">
        <f t="shared" si="109"/>
        <v>258.24</v>
      </c>
      <c r="AM888" s="46">
        <f t="shared" si="110"/>
        <v>1338.7800000000002</v>
      </c>
      <c r="AN888" s="46"/>
      <c r="AO888" s="119" t="s">
        <v>1197</v>
      </c>
      <c r="AP888" s="38" t="str">
        <f t="shared" si="105"/>
        <v>Exclude</v>
      </c>
    </row>
    <row r="889" spans="1:42" ht="60" hidden="1">
      <c r="A889" s="38" t="str">
        <f t="shared" si="111"/>
        <v>Ausgrid</v>
      </c>
      <c r="B889" s="38" t="s">
        <v>1197</v>
      </c>
      <c r="C889" s="38" t="str">
        <f t="shared" si="106"/>
        <v>Duplicate-SU0101 - Substation, Electrical Inspection - MAJOR SUBSTATIONS (ZONE AND SUBTRANSMISSION)</v>
      </c>
      <c r="D889" s="38" t="str">
        <f t="shared" si="107"/>
        <v>Duplicate-</v>
      </c>
      <c r="E889" s="413"/>
      <c r="F889" s="43" t="s">
        <v>431</v>
      </c>
      <c r="G889" s="43" t="s">
        <v>936</v>
      </c>
      <c r="X889" s="38">
        <v>0.5</v>
      </c>
      <c r="Y889" s="38">
        <v>0</v>
      </c>
      <c r="AK889" s="45">
        <f t="shared" si="108"/>
        <v>0</v>
      </c>
      <c r="AL889" s="46">
        <f t="shared" si="109"/>
        <v>0</v>
      </c>
      <c r="AM889" s="46">
        <f t="shared" si="110"/>
        <v>0</v>
      </c>
      <c r="AN889" s="46"/>
      <c r="AO889" s="119" t="s">
        <v>1197</v>
      </c>
      <c r="AP889" s="38" t="str">
        <f t="shared" si="105"/>
        <v>Exclude</v>
      </c>
    </row>
    <row r="890" spans="1:42" ht="60" hidden="1">
      <c r="A890" s="38" t="str">
        <f t="shared" si="111"/>
        <v>Ausgrid</v>
      </c>
      <c r="B890" s="38" t="s">
        <v>1197</v>
      </c>
      <c r="C890" s="38" t="str">
        <f t="shared" si="106"/>
        <v>Duplicate-SU0121 - Exposed Connection in switchyards - MAJOR SUBSTATIONS (ZONE AND SUBTRANSMISSION)</v>
      </c>
      <c r="D890" s="38" t="str">
        <f t="shared" si="107"/>
        <v>Duplicate-</v>
      </c>
      <c r="E890" s="413"/>
      <c r="F890" s="43" t="s">
        <v>431</v>
      </c>
      <c r="G890" s="43" t="s">
        <v>937</v>
      </c>
      <c r="X890" s="38">
        <v>2</v>
      </c>
      <c r="Y890" s="38">
        <v>0</v>
      </c>
      <c r="AK890" s="45">
        <f t="shared" si="108"/>
        <v>0</v>
      </c>
      <c r="AL890" s="46">
        <f t="shared" si="109"/>
        <v>0</v>
      </c>
      <c r="AM890" s="46">
        <f t="shared" si="110"/>
        <v>0</v>
      </c>
      <c r="AN890" s="46"/>
      <c r="AO890" s="119" t="s">
        <v>1197</v>
      </c>
      <c r="AP890" s="38" t="str">
        <f t="shared" si="105"/>
        <v>Exclude</v>
      </c>
    </row>
    <row r="891" spans="1:42" ht="30" hidden="1">
      <c r="A891" s="38" t="str">
        <f t="shared" si="111"/>
        <v>Ausgrid</v>
      </c>
      <c r="B891" s="38" t="s">
        <v>1197</v>
      </c>
      <c r="C891" s="38" t="str">
        <f t="shared" si="106"/>
        <v>Duplicate-AU0101 - High Voltage Operational Sticks</v>
      </c>
      <c r="D891" s="38" t="str">
        <f t="shared" si="107"/>
        <v>Duplicate-</v>
      </c>
      <c r="E891" s="413"/>
      <c r="F891" s="43" t="s">
        <v>431</v>
      </c>
      <c r="G891" s="43" t="s">
        <v>938</v>
      </c>
      <c r="X891" s="38">
        <v>1</v>
      </c>
      <c r="Y891" s="38">
        <v>0</v>
      </c>
      <c r="AK891" s="45">
        <f t="shared" si="108"/>
        <v>0</v>
      </c>
      <c r="AL891" s="46">
        <f t="shared" si="109"/>
        <v>0</v>
      </c>
      <c r="AM891" s="46">
        <f t="shared" si="110"/>
        <v>0</v>
      </c>
      <c r="AN891" s="46"/>
      <c r="AO891" s="119" t="s">
        <v>1197</v>
      </c>
      <c r="AP891" s="38" t="str">
        <f t="shared" si="105"/>
        <v>Exclude</v>
      </c>
    </row>
    <row r="892" spans="1:42" ht="60" hidden="1">
      <c r="A892" s="38" t="str">
        <f t="shared" si="111"/>
        <v>Ausgrid</v>
      </c>
      <c r="B892" s="38" t="s">
        <v>1197</v>
      </c>
      <c r="C892" s="38" t="str">
        <f t="shared" si="106"/>
        <v>Duplicate-VR0101 - Relay, Voltage Regulation, Generic - VR RELAYS - ELECTROMECHANICAL</v>
      </c>
      <c r="D892" s="38" t="str">
        <f t="shared" si="107"/>
        <v>Duplicate-</v>
      </c>
      <c r="E892" s="413"/>
      <c r="F892" s="43" t="s">
        <v>431</v>
      </c>
      <c r="G892" s="43" t="s">
        <v>830</v>
      </c>
      <c r="X892" s="38">
        <v>6</v>
      </c>
      <c r="Y892" s="38">
        <v>0</v>
      </c>
      <c r="AK892" s="45">
        <f t="shared" si="108"/>
        <v>0</v>
      </c>
      <c r="AL892" s="46">
        <f t="shared" si="109"/>
        <v>0</v>
      </c>
      <c r="AM892" s="46">
        <f t="shared" si="110"/>
        <v>0</v>
      </c>
      <c r="AN892" s="46"/>
      <c r="AO892" s="119" t="s">
        <v>1197</v>
      </c>
      <c r="AP892" s="38" t="str">
        <f t="shared" si="105"/>
        <v>Exclude</v>
      </c>
    </row>
    <row r="893" spans="1:42" ht="45" hidden="1">
      <c r="A893" s="38" t="str">
        <f t="shared" si="111"/>
        <v>Ausgrid</v>
      </c>
      <c r="B893" s="38" t="s">
        <v>1197</v>
      </c>
      <c r="C893" s="38" t="str">
        <f t="shared" si="106"/>
        <v>Duplicate-VR0101 - Relay, Voltage Regulation, Generic - VR RELAYS - ELECTRONIC</v>
      </c>
      <c r="D893" s="38" t="str">
        <f t="shared" si="107"/>
        <v>Duplicate-</v>
      </c>
      <c r="E893" s="413"/>
      <c r="F893" s="43" t="s">
        <v>431</v>
      </c>
      <c r="G893" s="43" t="s">
        <v>831</v>
      </c>
      <c r="X893" s="38">
        <v>6</v>
      </c>
      <c r="Y893" s="38">
        <v>0</v>
      </c>
      <c r="AK893" s="45">
        <f t="shared" si="108"/>
        <v>0</v>
      </c>
      <c r="AL893" s="46">
        <f t="shared" si="109"/>
        <v>0</v>
      </c>
      <c r="AM893" s="46">
        <f t="shared" si="110"/>
        <v>0</v>
      </c>
      <c r="AN893" s="46"/>
      <c r="AO893" s="119" t="s">
        <v>1197</v>
      </c>
      <c r="AP893" s="38" t="str">
        <f t="shared" si="105"/>
        <v>Exclude</v>
      </c>
    </row>
    <row r="894" spans="1:42" ht="45" hidden="1">
      <c r="A894" s="38" t="str">
        <f t="shared" si="111"/>
        <v>Ausgrid</v>
      </c>
      <c r="B894" s="38" t="s">
        <v>1197</v>
      </c>
      <c r="C894" s="38" t="str">
        <f t="shared" si="106"/>
        <v>Duplicate-VR0101 - Relay, Voltage Regulation, Generic - VR RELAYS - NUMERICAL</v>
      </c>
      <c r="D894" s="38" t="str">
        <f t="shared" si="107"/>
        <v>Duplicate-</v>
      </c>
      <c r="E894" s="413"/>
      <c r="F894" s="43" t="s">
        <v>431</v>
      </c>
      <c r="G894" s="43" t="s">
        <v>832</v>
      </c>
      <c r="X894" s="38">
        <v>12</v>
      </c>
      <c r="Y894" s="38">
        <v>0</v>
      </c>
      <c r="AK894" s="45">
        <f t="shared" si="108"/>
        <v>0</v>
      </c>
      <c r="AL894" s="46">
        <f t="shared" si="109"/>
        <v>0</v>
      </c>
      <c r="AM894" s="46">
        <f t="shared" si="110"/>
        <v>0</v>
      </c>
      <c r="AN894" s="46"/>
      <c r="AO894" s="119" t="s">
        <v>1197</v>
      </c>
      <c r="AP894" s="38" t="str">
        <f t="shared" si="105"/>
        <v>Exclude</v>
      </c>
    </row>
    <row r="895" spans="1:42" ht="75" hidden="1">
      <c r="A895" s="38" t="str">
        <f t="shared" si="111"/>
        <v>Ausgrid</v>
      </c>
      <c r="B895" s="38" t="s">
        <v>1197</v>
      </c>
      <c r="C895" s="38" t="str">
        <f t="shared" si="106"/>
        <v>Duplicate-SU0140 - Deluge System - Air detection System Compressors - MAJOR SUBSTATIONS (ZONE AND SUBTRANSMISSION)</v>
      </c>
      <c r="D895" s="38" t="str">
        <f t="shared" si="107"/>
        <v>Duplicate-</v>
      </c>
      <c r="E895" s="413"/>
      <c r="F895" s="43" t="s">
        <v>431</v>
      </c>
      <c r="G895" s="43" t="s">
        <v>939</v>
      </c>
      <c r="X895" s="38">
        <v>0.02</v>
      </c>
      <c r="Y895" s="38">
        <v>0.02</v>
      </c>
      <c r="AK895" s="45">
        <f t="shared" si="108"/>
        <v>0</v>
      </c>
      <c r="AL895" s="46">
        <f t="shared" si="109"/>
        <v>0</v>
      </c>
      <c r="AM895" s="46">
        <f t="shared" si="110"/>
        <v>0</v>
      </c>
      <c r="AN895" s="46"/>
      <c r="AO895" s="119" t="s">
        <v>1197</v>
      </c>
      <c r="AP895" s="38" t="str">
        <f t="shared" si="105"/>
        <v>Exclude</v>
      </c>
    </row>
    <row r="896" spans="1:42" ht="75" hidden="1">
      <c r="A896" s="38" t="str">
        <f t="shared" si="111"/>
        <v>Ausgrid</v>
      </c>
      <c r="B896" s="38" t="s">
        <v>1197</v>
      </c>
      <c r="C896" s="38" t="str">
        <f t="shared" si="106"/>
        <v>Duplicate-SU0141 - Deluge System - Air detection System Compressors - MAJOR SUBSTATIONS (ZONE AND SUBTRANSMISSION)</v>
      </c>
      <c r="D896" s="38" t="str">
        <f t="shared" si="107"/>
        <v>Duplicate-</v>
      </c>
      <c r="E896" s="413"/>
      <c r="F896" s="43" t="s">
        <v>431</v>
      </c>
      <c r="G896" s="43" t="s">
        <v>940</v>
      </c>
      <c r="X896" s="38">
        <v>1</v>
      </c>
      <c r="Y896" s="38">
        <v>1</v>
      </c>
      <c r="AK896" s="45">
        <f t="shared" si="108"/>
        <v>0</v>
      </c>
      <c r="AL896" s="46">
        <f t="shared" si="109"/>
        <v>0</v>
      </c>
      <c r="AM896" s="46">
        <f t="shared" si="110"/>
        <v>0</v>
      </c>
      <c r="AN896" s="46"/>
      <c r="AO896" s="119" t="s">
        <v>1197</v>
      </c>
      <c r="AP896" s="38" t="str">
        <f t="shared" si="105"/>
        <v>Exclude</v>
      </c>
    </row>
    <row r="897" spans="1:42" ht="30" hidden="1">
      <c r="A897" s="38" t="str">
        <f t="shared" si="111"/>
        <v>Ausgrid</v>
      </c>
      <c r="B897" s="38" t="s">
        <v>1197</v>
      </c>
      <c r="C897" s="38" t="str">
        <f t="shared" si="106"/>
        <v>Duplicate-SUBTRANSMISSION SUBSTATION - BATTERIES</v>
      </c>
      <c r="D897" s="38" t="str">
        <f t="shared" si="107"/>
        <v>Duplicate-No. of subtranmssion substation batteries ('000s)</v>
      </c>
      <c r="E897" s="413"/>
      <c r="F897" s="43" t="s">
        <v>431</v>
      </c>
      <c r="G897" s="43" t="s">
        <v>1113</v>
      </c>
      <c r="H897" s="43" t="s">
        <v>1114</v>
      </c>
      <c r="I897" s="41">
        <v>0.08</v>
      </c>
      <c r="J897" s="41">
        <v>0.09</v>
      </c>
      <c r="K897" s="41">
        <v>0.1</v>
      </c>
      <c r="L897" s="41">
        <v>0.1</v>
      </c>
      <c r="M897" s="41">
        <v>0.1</v>
      </c>
      <c r="N897" s="41">
        <v>0.35</v>
      </c>
      <c r="O897" s="41">
        <v>0.3</v>
      </c>
      <c r="P897" s="41">
        <v>0.34</v>
      </c>
      <c r="Q897" s="41">
        <v>0.32</v>
      </c>
      <c r="R897" s="41">
        <v>0.33</v>
      </c>
      <c r="S897" s="41">
        <v>10.69</v>
      </c>
      <c r="T897" s="41">
        <v>9.25</v>
      </c>
      <c r="U897" s="41">
        <v>9.0500000000000007</v>
      </c>
      <c r="V897" s="41">
        <v>8.65</v>
      </c>
      <c r="W897" s="41">
        <v>7.05</v>
      </c>
      <c r="X897" s="38">
        <v>0</v>
      </c>
      <c r="Y897" s="38">
        <v>0</v>
      </c>
      <c r="Z897" s="40">
        <v>68.7</v>
      </c>
      <c r="AA897" s="40">
        <v>96.6</v>
      </c>
      <c r="AB897" s="40">
        <v>82.31</v>
      </c>
      <c r="AC897" s="40">
        <v>77.52</v>
      </c>
      <c r="AD897" s="40">
        <v>87.52</v>
      </c>
      <c r="AE897" s="40">
        <v>2.17</v>
      </c>
      <c r="AF897" s="40">
        <v>13.44</v>
      </c>
      <c r="AG897" s="40">
        <v>8.86</v>
      </c>
      <c r="AH897" s="40">
        <v>13.06</v>
      </c>
      <c r="AI897" s="40">
        <v>16.62</v>
      </c>
      <c r="AK897" s="45">
        <f t="shared" si="108"/>
        <v>1.6400000000000001</v>
      </c>
      <c r="AL897" s="46">
        <f t="shared" si="109"/>
        <v>412.65</v>
      </c>
      <c r="AM897" s="46">
        <f t="shared" si="110"/>
        <v>54.150000000000006</v>
      </c>
      <c r="AN897" s="46"/>
      <c r="AO897" s="119" t="s">
        <v>1197</v>
      </c>
      <c r="AP897" s="38" t="str">
        <f t="shared" si="105"/>
        <v>Exclude</v>
      </c>
    </row>
    <row r="898" spans="1:42" ht="45" hidden="1">
      <c r="A898" s="38" t="str">
        <f t="shared" si="111"/>
        <v>Ausgrid</v>
      </c>
      <c r="B898" s="38" t="s">
        <v>1197</v>
      </c>
      <c r="C898" s="38" t="str">
        <f t="shared" si="106"/>
        <v>Duplicate-DC0211 - Alkaline / Lead Acid - Wet Cell (32 - 130 volt) - BATTERIES</v>
      </c>
      <c r="D898" s="38" t="str">
        <f t="shared" si="107"/>
        <v>Duplicate-</v>
      </c>
      <c r="E898" s="413"/>
      <c r="F898" s="43" t="s">
        <v>431</v>
      </c>
      <c r="G898" s="43" t="s">
        <v>835</v>
      </c>
      <c r="X898" s="38">
        <v>0.25</v>
      </c>
      <c r="Y898" s="38">
        <v>0.25</v>
      </c>
      <c r="AK898" s="45">
        <f t="shared" si="108"/>
        <v>0</v>
      </c>
      <c r="AL898" s="46">
        <f t="shared" si="109"/>
        <v>0</v>
      </c>
      <c r="AM898" s="46">
        <f t="shared" si="110"/>
        <v>0</v>
      </c>
      <c r="AN898" s="46"/>
      <c r="AO898" s="119" t="s">
        <v>1197</v>
      </c>
      <c r="AP898" s="38" t="str">
        <f t="shared" si="105"/>
        <v>Exclude</v>
      </c>
    </row>
    <row r="899" spans="1:42" ht="45" hidden="1">
      <c r="A899" s="38" t="str">
        <f t="shared" si="111"/>
        <v>Ausgrid</v>
      </c>
      <c r="B899" s="38" t="s">
        <v>1197</v>
      </c>
      <c r="C899" s="38" t="str">
        <f t="shared" si="106"/>
        <v>Duplicate-DC0212 - Alkaline / Lead Acid - Wet Cell (32 - 130 volt) - BATTERIES</v>
      </c>
      <c r="D899" s="38" t="str">
        <f t="shared" si="107"/>
        <v>Duplicate-</v>
      </c>
      <c r="E899" s="413"/>
      <c r="F899" s="43" t="s">
        <v>431</v>
      </c>
      <c r="G899" s="43" t="s">
        <v>836</v>
      </c>
      <c r="X899" s="38">
        <v>1</v>
      </c>
      <c r="Y899" s="38">
        <v>1</v>
      </c>
      <c r="AK899" s="45">
        <f t="shared" si="108"/>
        <v>0</v>
      </c>
      <c r="AL899" s="46">
        <f t="shared" si="109"/>
        <v>0</v>
      </c>
      <c r="AM899" s="46">
        <f t="shared" si="110"/>
        <v>0</v>
      </c>
      <c r="AN899" s="46"/>
      <c r="AO899" s="119" t="s">
        <v>1197</v>
      </c>
      <c r="AP899" s="38" t="str">
        <f t="shared" ref="AP899:AP962" si="112">IFERROR(VLOOKUP(C899,$AR:$AS,2,FALSE),"Exclude")</f>
        <v>Exclude</v>
      </c>
    </row>
    <row r="900" spans="1:42" ht="105" hidden="1">
      <c r="A900" s="38" t="str">
        <f t="shared" si="111"/>
        <v>Ausgrid</v>
      </c>
      <c r="B900" s="38" t="s">
        <v>1197</v>
      </c>
      <c r="C900" s="38" t="str">
        <f t="shared" ref="C900:C963" si="113">B900&amp;"-"&amp;G900</f>
        <v>Duplicate-DC0240 - Valve Regulated Lead Acid battery (32 - 130 volt) and associated Intelepower Battery Chargers - without monitoring communications connected. - BATTERIES</v>
      </c>
      <c r="D900" s="38" t="str">
        <f t="shared" ref="D900:D963" si="114">B900&amp;"-"&amp;H900</f>
        <v>Duplicate-</v>
      </c>
      <c r="E900" s="413"/>
      <c r="F900" s="43" t="s">
        <v>431</v>
      </c>
      <c r="G900" s="43" t="s">
        <v>1043</v>
      </c>
      <c r="X900" s="38">
        <v>0.25</v>
      </c>
      <c r="Y900" s="38">
        <v>0</v>
      </c>
      <c r="AK900" s="45">
        <f t="shared" ref="AK900:AK963" si="115">SUM(N900:R900)</f>
        <v>0</v>
      </c>
      <c r="AL900" s="46">
        <f t="shared" ref="AL900:AL963" si="116">SUM(Z900:AD900)</f>
        <v>0</v>
      </c>
      <c r="AM900" s="46">
        <f t="shared" ref="AM900:AM963" si="117">SUM(AE900:AI900)</f>
        <v>0</v>
      </c>
      <c r="AN900" s="46"/>
      <c r="AO900" s="119" t="s">
        <v>1197</v>
      </c>
      <c r="AP900" s="38" t="str">
        <f t="shared" si="112"/>
        <v>Exclude</v>
      </c>
    </row>
    <row r="901" spans="1:42" ht="75" hidden="1">
      <c r="A901" s="38" t="str">
        <f t="shared" si="111"/>
        <v>Ausgrid</v>
      </c>
      <c r="B901" s="38" t="s">
        <v>1197</v>
      </c>
      <c r="C901" s="38" t="str">
        <f t="shared" si="113"/>
        <v>Duplicate-DC0241 - Valve Regulated Lead Acid battery (32 - 130 volt) and associated Intelepower Battery Chargers - BATTERIES</v>
      </c>
      <c r="D901" s="38" t="str">
        <f t="shared" si="114"/>
        <v>Duplicate-</v>
      </c>
      <c r="E901" s="413"/>
      <c r="F901" s="43" t="s">
        <v>431</v>
      </c>
      <c r="G901" s="43" t="s">
        <v>1044</v>
      </c>
      <c r="X901" s="38">
        <v>1</v>
      </c>
      <c r="Y901" s="38">
        <v>0</v>
      </c>
      <c r="AK901" s="45">
        <f t="shared" si="115"/>
        <v>0</v>
      </c>
      <c r="AL901" s="46">
        <f t="shared" si="116"/>
        <v>0</v>
      </c>
      <c r="AM901" s="46">
        <f t="shared" si="117"/>
        <v>0</v>
      </c>
      <c r="AN901" s="46"/>
      <c r="AO901" s="119" t="s">
        <v>1197</v>
      </c>
      <c r="AP901" s="38" t="str">
        <f t="shared" si="112"/>
        <v>Exclude</v>
      </c>
    </row>
    <row r="902" spans="1:42" ht="75" hidden="1">
      <c r="A902" s="38" t="str">
        <f t="shared" si="111"/>
        <v>Ausgrid</v>
      </c>
      <c r="B902" s="38" t="s">
        <v>1197</v>
      </c>
      <c r="C902" s="38" t="str">
        <f t="shared" si="113"/>
        <v>Duplicate-DC0242 - Valve Regulated Lead Acid battery (32 - 130 volt) and associated Intelepower Battery Chargers - BATTERIES</v>
      </c>
      <c r="D902" s="38" t="str">
        <f t="shared" si="114"/>
        <v>Duplicate-</v>
      </c>
      <c r="E902" s="413"/>
      <c r="F902" s="43" t="s">
        <v>431</v>
      </c>
      <c r="G902" s="43" t="s">
        <v>1045</v>
      </c>
      <c r="X902" s="38">
        <v>2</v>
      </c>
      <c r="Y902" s="38">
        <v>0</v>
      </c>
      <c r="AK902" s="45">
        <f t="shared" si="115"/>
        <v>0</v>
      </c>
      <c r="AL902" s="46">
        <f t="shared" si="116"/>
        <v>0</v>
      </c>
      <c r="AM902" s="46">
        <f t="shared" si="117"/>
        <v>0</v>
      </c>
      <c r="AN902" s="46"/>
      <c r="AO902" s="119" t="s">
        <v>1197</v>
      </c>
      <c r="AP902" s="38" t="str">
        <f t="shared" si="112"/>
        <v>Exclude</v>
      </c>
    </row>
    <row r="903" spans="1:42" ht="45" hidden="1">
      <c r="A903" s="38" t="str">
        <f t="shared" si="111"/>
        <v>Ausgrid</v>
      </c>
      <c r="B903" s="38" t="s">
        <v>1197</v>
      </c>
      <c r="C903" s="38" t="str">
        <f t="shared" si="113"/>
        <v>Duplicate-DC0211 - Alkaline / Lead Acid - Wet Cell (32 - 130 volt) - BATTERIES</v>
      </c>
      <c r="D903" s="38" t="str">
        <f t="shared" si="114"/>
        <v>Duplicate-</v>
      </c>
      <c r="E903" s="413"/>
      <c r="F903" s="43" t="s">
        <v>431</v>
      </c>
      <c r="G903" s="43" t="s">
        <v>835</v>
      </c>
      <c r="X903" s="38">
        <v>0.17</v>
      </c>
      <c r="Y903" s="38">
        <v>0.17</v>
      </c>
      <c r="AK903" s="45">
        <f t="shared" si="115"/>
        <v>0</v>
      </c>
      <c r="AL903" s="46">
        <f t="shared" si="116"/>
        <v>0</v>
      </c>
      <c r="AM903" s="46">
        <f t="shared" si="117"/>
        <v>0</v>
      </c>
      <c r="AN903" s="46"/>
      <c r="AO903" s="119" t="s">
        <v>1197</v>
      </c>
      <c r="AP903" s="38" t="str">
        <f t="shared" si="112"/>
        <v>Exclude</v>
      </c>
    </row>
    <row r="904" spans="1:42" ht="30" hidden="1">
      <c r="A904" s="38" t="str">
        <f t="shared" si="111"/>
        <v>Ausgrid</v>
      </c>
      <c r="B904" s="38" t="s">
        <v>1197</v>
      </c>
      <c r="C904" s="38" t="str">
        <f t="shared" si="113"/>
        <v>Duplicate-DC0215 - Wet Cells  (6V-32V) - BATTERIES</v>
      </c>
      <c r="D904" s="38" t="str">
        <f t="shared" si="114"/>
        <v>Duplicate-</v>
      </c>
      <c r="E904" s="413"/>
      <c r="F904" s="43" t="s">
        <v>431</v>
      </c>
      <c r="G904" s="43" t="s">
        <v>837</v>
      </c>
      <c r="X904" s="38">
        <v>0.5</v>
      </c>
      <c r="Y904" s="38">
        <v>0.5</v>
      </c>
      <c r="AK904" s="45">
        <f t="shared" si="115"/>
        <v>0</v>
      </c>
      <c r="AL904" s="46">
        <f t="shared" si="116"/>
        <v>0</v>
      </c>
      <c r="AM904" s="46">
        <f t="shared" si="117"/>
        <v>0</v>
      </c>
      <c r="AN904" s="46"/>
      <c r="AO904" s="119" t="s">
        <v>1197</v>
      </c>
      <c r="AP904" s="38" t="str">
        <f t="shared" si="112"/>
        <v>Exclude</v>
      </c>
    </row>
    <row r="905" spans="1:42" ht="30" hidden="1">
      <c r="A905" s="38" t="str">
        <f t="shared" si="111"/>
        <v>Ausgrid</v>
      </c>
      <c r="B905" s="38" t="s">
        <v>1197</v>
      </c>
      <c r="C905" s="38" t="str">
        <f t="shared" si="113"/>
        <v>Duplicate-DC0215 - Wet Cells  (6V-32V) - BATTERIES</v>
      </c>
      <c r="D905" s="38" t="str">
        <f t="shared" si="114"/>
        <v>Duplicate-</v>
      </c>
      <c r="E905" s="413"/>
      <c r="F905" s="43" t="s">
        <v>431</v>
      </c>
      <c r="G905" s="43" t="s">
        <v>837</v>
      </c>
      <c r="X905" s="38">
        <v>1</v>
      </c>
      <c r="Y905" s="38">
        <v>1</v>
      </c>
      <c r="AK905" s="45">
        <f t="shared" si="115"/>
        <v>0</v>
      </c>
      <c r="AL905" s="46">
        <f t="shared" si="116"/>
        <v>0</v>
      </c>
      <c r="AM905" s="46">
        <f t="shared" si="117"/>
        <v>0</v>
      </c>
      <c r="AN905" s="46"/>
      <c r="AO905" s="119" t="s">
        <v>1197</v>
      </c>
      <c r="AP905" s="38" t="str">
        <f t="shared" si="112"/>
        <v>Exclude</v>
      </c>
    </row>
    <row r="906" spans="1:42" ht="30" hidden="1">
      <c r="A906" s="38" t="str">
        <f t="shared" si="111"/>
        <v>Ausgrid</v>
      </c>
      <c r="B906" s="38" t="s">
        <v>1197</v>
      </c>
      <c r="C906" s="38" t="str">
        <f t="shared" si="113"/>
        <v>Duplicate-DC0216 - Wet Cells  (6V-32V) - BATTERIES</v>
      </c>
      <c r="D906" s="38" t="str">
        <f t="shared" si="114"/>
        <v>Duplicate-</v>
      </c>
      <c r="E906" s="413"/>
      <c r="F906" s="43" t="s">
        <v>431</v>
      </c>
      <c r="G906" s="43" t="s">
        <v>838</v>
      </c>
      <c r="X906" s="38">
        <v>0.5</v>
      </c>
      <c r="Y906" s="38">
        <v>0.5</v>
      </c>
      <c r="AK906" s="45">
        <f t="shared" si="115"/>
        <v>0</v>
      </c>
      <c r="AL906" s="46">
        <f t="shared" si="116"/>
        <v>0</v>
      </c>
      <c r="AM906" s="46">
        <f t="shared" si="117"/>
        <v>0</v>
      </c>
      <c r="AN906" s="46"/>
      <c r="AO906" s="119" t="s">
        <v>1197</v>
      </c>
      <c r="AP906" s="38" t="str">
        <f t="shared" si="112"/>
        <v>Exclude</v>
      </c>
    </row>
    <row r="907" spans="1:42" ht="45" hidden="1">
      <c r="A907" s="38" t="str">
        <f t="shared" si="111"/>
        <v>Ausgrid</v>
      </c>
      <c r="B907" s="38" t="s">
        <v>1197</v>
      </c>
      <c r="C907" s="38" t="str">
        <f t="shared" si="113"/>
        <v>Duplicate-DC0231 - Alkaline / Lead Acid - Wet Cell (48 volt) - COMMUNICATIONS</v>
      </c>
      <c r="D907" s="38" t="str">
        <f t="shared" si="114"/>
        <v>Duplicate-</v>
      </c>
      <c r="E907" s="413"/>
      <c r="F907" s="43" t="s">
        <v>431</v>
      </c>
      <c r="G907" s="43" t="s">
        <v>839</v>
      </c>
      <c r="X907" s="38">
        <v>0.25</v>
      </c>
      <c r="Y907" s="38">
        <v>0.25</v>
      </c>
      <c r="AK907" s="45">
        <f t="shared" si="115"/>
        <v>0</v>
      </c>
      <c r="AL907" s="46">
        <f t="shared" si="116"/>
        <v>0</v>
      </c>
      <c r="AM907" s="46">
        <f t="shared" si="117"/>
        <v>0</v>
      </c>
      <c r="AN907" s="46"/>
      <c r="AO907" s="119" t="s">
        <v>1197</v>
      </c>
      <c r="AP907" s="38" t="str">
        <f t="shared" si="112"/>
        <v>Exclude</v>
      </c>
    </row>
    <row r="908" spans="1:42" ht="45" hidden="1">
      <c r="A908" s="38" t="str">
        <f t="shared" si="111"/>
        <v>Ausgrid</v>
      </c>
      <c r="B908" s="38" t="s">
        <v>1197</v>
      </c>
      <c r="C908" s="38" t="str">
        <f t="shared" si="113"/>
        <v>Duplicate-DC0232 - Alkaline / Lead Acid - Wet Cell (48 volt) - COMMUNICATIONS</v>
      </c>
      <c r="D908" s="38" t="str">
        <f t="shared" si="114"/>
        <v>Duplicate-</v>
      </c>
      <c r="E908" s="413"/>
      <c r="F908" s="43" t="s">
        <v>431</v>
      </c>
      <c r="G908" s="43" t="s">
        <v>840</v>
      </c>
      <c r="X908" s="38">
        <v>1</v>
      </c>
      <c r="Y908" s="38">
        <v>1</v>
      </c>
      <c r="AK908" s="45">
        <f t="shared" si="115"/>
        <v>0</v>
      </c>
      <c r="AL908" s="46">
        <f t="shared" si="116"/>
        <v>0</v>
      </c>
      <c r="AM908" s="46">
        <f t="shared" si="117"/>
        <v>0</v>
      </c>
      <c r="AN908" s="46"/>
      <c r="AO908" s="119" t="s">
        <v>1197</v>
      </c>
      <c r="AP908" s="38" t="str">
        <f t="shared" si="112"/>
        <v>Exclude</v>
      </c>
    </row>
    <row r="909" spans="1:42" ht="30" hidden="1">
      <c r="A909" s="38" t="str">
        <f t="shared" si="111"/>
        <v>Ausgrid</v>
      </c>
      <c r="B909" s="38" t="s">
        <v>1197</v>
      </c>
      <c r="C909" s="38" t="str">
        <f t="shared" si="113"/>
        <v>Duplicate-DC0235 - Sealed Cells  (12V-24V) - BATTERIES</v>
      </c>
      <c r="D909" s="38" t="str">
        <f t="shared" si="114"/>
        <v>Duplicate-</v>
      </c>
      <c r="E909" s="413"/>
      <c r="F909" s="43" t="s">
        <v>431</v>
      </c>
      <c r="G909" s="43" t="s">
        <v>841</v>
      </c>
      <c r="X909" s="38">
        <v>1</v>
      </c>
      <c r="Y909" s="38">
        <v>0</v>
      </c>
      <c r="AK909" s="45">
        <f t="shared" si="115"/>
        <v>0</v>
      </c>
      <c r="AL909" s="46">
        <f t="shared" si="116"/>
        <v>0</v>
      </c>
      <c r="AM909" s="46">
        <f t="shared" si="117"/>
        <v>0</v>
      </c>
      <c r="AN909" s="46"/>
      <c r="AO909" s="119" t="s">
        <v>1197</v>
      </c>
      <c r="AP909" s="38" t="str">
        <f t="shared" si="112"/>
        <v>Exclude</v>
      </c>
    </row>
    <row r="910" spans="1:42" ht="45" hidden="1">
      <c r="A910" s="38" t="str">
        <f t="shared" si="111"/>
        <v>Ausgrid</v>
      </c>
      <c r="B910" s="38" t="s">
        <v>1197</v>
      </c>
      <c r="C910" s="38" t="str">
        <f t="shared" si="113"/>
        <v>Duplicate-DC0251 - Intertrip Battery - Dry Cell (120V/ 240V) - BATTERIES</v>
      </c>
      <c r="D910" s="38" t="str">
        <f t="shared" si="114"/>
        <v>Duplicate-</v>
      </c>
      <c r="E910" s="413"/>
      <c r="F910" s="43" t="s">
        <v>431</v>
      </c>
      <c r="G910" s="43" t="s">
        <v>842</v>
      </c>
      <c r="X910" s="38">
        <v>0.5</v>
      </c>
      <c r="Y910" s="38">
        <v>0</v>
      </c>
      <c r="AK910" s="45">
        <f t="shared" si="115"/>
        <v>0</v>
      </c>
      <c r="AL910" s="46">
        <f t="shared" si="116"/>
        <v>0</v>
      </c>
      <c r="AM910" s="46">
        <f t="shared" si="117"/>
        <v>0</v>
      </c>
      <c r="AN910" s="46"/>
      <c r="AO910" s="119" t="s">
        <v>1197</v>
      </c>
      <c r="AP910" s="38" t="str">
        <f t="shared" si="112"/>
        <v>Exclude</v>
      </c>
    </row>
    <row r="911" spans="1:42" ht="45" hidden="1">
      <c r="A911" s="38" t="str">
        <f t="shared" si="111"/>
        <v>Ausgrid</v>
      </c>
      <c r="B911" s="38" t="s">
        <v>1197</v>
      </c>
      <c r="C911" s="38" t="str">
        <f t="shared" si="113"/>
        <v>Duplicate-DC0252 - Intertrip Battery - Dry Cell (120V/ 240V) - BATTERIES</v>
      </c>
      <c r="D911" s="38" t="str">
        <f t="shared" si="114"/>
        <v>Duplicate-</v>
      </c>
      <c r="E911" s="413"/>
      <c r="F911" s="43" t="s">
        <v>431</v>
      </c>
      <c r="G911" s="43" t="s">
        <v>843</v>
      </c>
      <c r="X911" s="38">
        <v>2</v>
      </c>
      <c r="Y911" s="38">
        <v>0</v>
      </c>
      <c r="AK911" s="45">
        <f t="shared" si="115"/>
        <v>0</v>
      </c>
      <c r="AL911" s="46">
        <f t="shared" si="116"/>
        <v>0</v>
      </c>
      <c r="AM911" s="46">
        <f t="shared" si="117"/>
        <v>0</v>
      </c>
      <c r="AN911" s="46"/>
      <c r="AO911" s="119" t="s">
        <v>1197</v>
      </c>
      <c r="AP911" s="38" t="str">
        <f t="shared" si="112"/>
        <v>Exclude</v>
      </c>
    </row>
    <row r="912" spans="1:42" ht="30" hidden="1">
      <c r="A912" s="38" t="str">
        <f t="shared" si="111"/>
        <v>Ausgrid</v>
      </c>
      <c r="B912" s="38" t="s">
        <v>1197</v>
      </c>
      <c r="C912" s="38" t="str">
        <f t="shared" si="113"/>
        <v>Duplicate-DC0253 - Intertrip Battery - Lithium (245V) - BATTERIES</v>
      </c>
      <c r="D912" s="38" t="str">
        <f t="shared" si="114"/>
        <v>Duplicate-</v>
      </c>
      <c r="E912" s="413"/>
      <c r="F912" s="43" t="s">
        <v>431</v>
      </c>
      <c r="G912" s="43" t="s">
        <v>844</v>
      </c>
      <c r="X912" s="38">
        <v>1</v>
      </c>
      <c r="Y912" s="38">
        <v>0</v>
      </c>
      <c r="AK912" s="45">
        <f t="shared" si="115"/>
        <v>0</v>
      </c>
      <c r="AL912" s="46">
        <f t="shared" si="116"/>
        <v>0</v>
      </c>
      <c r="AM912" s="46">
        <f t="shared" si="117"/>
        <v>0</v>
      </c>
      <c r="AN912" s="46"/>
      <c r="AO912" s="119" t="s">
        <v>1197</v>
      </c>
      <c r="AP912" s="38" t="str">
        <f t="shared" si="112"/>
        <v>Exclude</v>
      </c>
    </row>
    <row r="913" spans="1:42" ht="45" hidden="1">
      <c r="A913" s="38" t="str">
        <f t="shared" si="111"/>
        <v>Ausgrid</v>
      </c>
      <c r="B913" s="38" t="s">
        <v>1197</v>
      </c>
      <c r="C913" s="38" t="str">
        <f t="shared" si="113"/>
        <v>Duplicate-DC0255 - Intertrip Battery -Wet Cells (240V) - BATTERIES</v>
      </c>
      <c r="D913" s="38" t="str">
        <f t="shared" si="114"/>
        <v>Duplicate-</v>
      </c>
      <c r="E913" s="413"/>
      <c r="F913" s="43" t="s">
        <v>431</v>
      </c>
      <c r="G913" s="43" t="s">
        <v>845</v>
      </c>
      <c r="X913" s="38">
        <v>0.5</v>
      </c>
      <c r="Y913" s="38">
        <v>0.5</v>
      </c>
      <c r="AK913" s="45">
        <f t="shared" si="115"/>
        <v>0</v>
      </c>
      <c r="AL913" s="46">
        <f t="shared" si="116"/>
        <v>0</v>
      </c>
      <c r="AM913" s="46">
        <f t="shared" si="117"/>
        <v>0</v>
      </c>
      <c r="AN913" s="46"/>
      <c r="AO913" s="119" t="s">
        <v>1197</v>
      </c>
      <c r="AP913" s="38" t="str">
        <f t="shared" si="112"/>
        <v>Exclude</v>
      </c>
    </row>
    <row r="914" spans="1:42" ht="45" hidden="1">
      <c r="A914" s="38" t="str">
        <f t="shared" si="111"/>
        <v>Ausgrid</v>
      </c>
      <c r="B914" s="38" t="s">
        <v>1197</v>
      </c>
      <c r="C914" s="38" t="str">
        <f t="shared" si="113"/>
        <v>Duplicate-DC0257 - Intertrip Battery - SLA Paste (120V) - BATTERIES</v>
      </c>
      <c r="D914" s="38" t="str">
        <f t="shared" si="114"/>
        <v>Duplicate-</v>
      </c>
      <c r="E914" s="413"/>
      <c r="F914" s="43" t="s">
        <v>431</v>
      </c>
      <c r="G914" s="43" t="s">
        <v>846</v>
      </c>
      <c r="X914" s="38">
        <v>0.5</v>
      </c>
      <c r="Y914" s="38">
        <v>0</v>
      </c>
      <c r="AK914" s="45">
        <f t="shared" si="115"/>
        <v>0</v>
      </c>
      <c r="AL914" s="46">
        <f t="shared" si="116"/>
        <v>0</v>
      </c>
      <c r="AM914" s="46">
        <f t="shared" si="117"/>
        <v>0</v>
      </c>
      <c r="AN914" s="46"/>
      <c r="AO914" s="119" t="s">
        <v>1197</v>
      </c>
      <c r="AP914" s="38" t="str">
        <f t="shared" si="112"/>
        <v>Exclude</v>
      </c>
    </row>
    <row r="915" spans="1:42" ht="45" hidden="1">
      <c r="A915" s="38" t="str">
        <f t="shared" si="111"/>
        <v>Ausgrid</v>
      </c>
      <c r="B915" s="38" t="s">
        <v>1197</v>
      </c>
      <c r="C915" s="38" t="str">
        <f t="shared" si="113"/>
        <v>Duplicate-SUBTRANSMISSION SUBSTATION - SCADA &amp; CUSTOMER LOAD CONTROL</v>
      </c>
      <c r="D915" s="38" t="str">
        <f t="shared" si="114"/>
        <v>Duplicate-No. of subtransmission substation CLC plant</v>
      </c>
      <c r="E915" s="413"/>
      <c r="F915" s="43" t="s">
        <v>431</v>
      </c>
      <c r="G915" s="43" t="s">
        <v>1115</v>
      </c>
      <c r="H915" s="43" t="s">
        <v>1116</v>
      </c>
      <c r="I915" s="41">
        <v>0.02</v>
      </c>
      <c r="J915" s="41">
        <v>0.02</v>
      </c>
      <c r="K915" s="41">
        <v>0.02</v>
      </c>
      <c r="L915" s="41">
        <v>0.02</v>
      </c>
      <c r="M915" s="41">
        <v>0.02</v>
      </c>
      <c r="N915" s="41">
        <v>0</v>
      </c>
      <c r="O915" s="41">
        <v>0</v>
      </c>
      <c r="P915" s="41">
        <v>0</v>
      </c>
      <c r="Q915" s="41">
        <v>0</v>
      </c>
      <c r="R915" s="41">
        <v>0</v>
      </c>
      <c r="S915" s="41">
        <v>17.68</v>
      </c>
      <c r="T915" s="41">
        <v>18.68</v>
      </c>
      <c r="U915" s="41">
        <v>19.68</v>
      </c>
      <c r="V915" s="41">
        <v>20.68</v>
      </c>
      <c r="W915" s="41">
        <v>21.68</v>
      </c>
      <c r="X915" s="38">
        <v>0</v>
      </c>
      <c r="Y915" s="38">
        <v>0</v>
      </c>
      <c r="Z915" s="40">
        <v>3.64</v>
      </c>
      <c r="AA915" s="40">
        <v>20.77</v>
      </c>
      <c r="AB915" s="40">
        <v>14.05</v>
      </c>
      <c r="AC915" s="40">
        <v>11.87</v>
      </c>
      <c r="AD915" s="40">
        <v>21.8</v>
      </c>
      <c r="AE915" s="40">
        <v>21.71</v>
      </c>
      <c r="AF915" s="40">
        <v>24.31</v>
      </c>
      <c r="AG915" s="40">
        <v>6.62</v>
      </c>
      <c r="AH915" s="40">
        <v>10.74</v>
      </c>
      <c r="AI915" s="40">
        <v>50.91</v>
      </c>
      <c r="AK915" s="45">
        <f t="shared" si="115"/>
        <v>0</v>
      </c>
      <c r="AL915" s="46">
        <f t="shared" si="116"/>
        <v>72.13</v>
      </c>
      <c r="AM915" s="46">
        <f t="shared" si="117"/>
        <v>114.28999999999999</v>
      </c>
      <c r="AN915" s="46"/>
      <c r="AO915" s="119" t="s">
        <v>1197</v>
      </c>
      <c r="AP915" s="38" t="str">
        <f t="shared" si="112"/>
        <v>Exclude</v>
      </c>
    </row>
    <row r="916" spans="1:42" ht="30" hidden="1">
      <c r="A916" s="38" t="str">
        <f t="shared" si="111"/>
        <v>Ausgrid</v>
      </c>
      <c r="B916" s="38" t="s">
        <v>1197</v>
      </c>
      <c r="C916" s="38" t="str">
        <f t="shared" si="113"/>
        <v>Duplicate-SUBTRANSMISSION SUBSTATION - EARTHING</v>
      </c>
      <c r="D916" s="38" t="str">
        <f t="shared" si="114"/>
        <v>Duplicate-No. of subtranmssion substations ('000s)</v>
      </c>
      <c r="E916" s="413"/>
      <c r="F916" s="43" t="s">
        <v>431</v>
      </c>
      <c r="G916" s="43" t="s">
        <v>1117</v>
      </c>
      <c r="H916" s="43" t="s">
        <v>1118</v>
      </c>
      <c r="I916" s="41">
        <v>0.03</v>
      </c>
      <c r="J916" s="41">
        <v>0.03</v>
      </c>
      <c r="K916" s="41">
        <v>0.03</v>
      </c>
      <c r="L916" s="41">
        <v>0.03</v>
      </c>
      <c r="M916" s="41">
        <v>0.03</v>
      </c>
      <c r="N916" s="41">
        <v>0.01</v>
      </c>
      <c r="O916" s="41">
        <v>0.02</v>
      </c>
      <c r="P916" s="41">
        <v>0.01</v>
      </c>
      <c r="Q916" s="41">
        <v>0.02</v>
      </c>
      <c r="R916" s="41">
        <v>0.01</v>
      </c>
      <c r="S916" s="41">
        <v>28.95</v>
      </c>
      <c r="T916" s="41">
        <v>29.94</v>
      </c>
      <c r="U916" s="41">
        <v>30.94</v>
      </c>
      <c r="V916" s="41">
        <v>31.95</v>
      </c>
      <c r="W916" s="41">
        <v>32.950000000000003</v>
      </c>
      <c r="X916" s="38">
        <v>0</v>
      </c>
      <c r="Y916" s="38">
        <v>0</v>
      </c>
      <c r="Z916" s="40">
        <v>5.59</v>
      </c>
      <c r="AA916" s="40">
        <v>10.7</v>
      </c>
      <c r="AB916" s="40">
        <v>4.34</v>
      </c>
      <c r="AC916" s="40">
        <v>11.46</v>
      </c>
      <c r="AD916" s="40">
        <v>11.36</v>
      </c>
      <c r="AE916" s="40">
        <v>0</v>
      </c>
      <c r="AF916" s="40">
        <v>0</v>
      </c>
      <c r="AG916" s="40">
        <v>0</v>
      </c>
      <c r="AH916" s="40">
        <v>0</v>
      </c>
      <c r="AI916" s="40">
        <v>0</v>
      </c>
      <c r="AK916" s="45">
        <f t="shared" si="115"/>
        <v>6.9999999999999993E-2</v>
      </c>
      <c r="AL916" s="46">
        <f t="shared" si="116"/>
        <v>43.45</v>
      </c>
      <c r="AM916" s="46">
        <f t="shared" si="117"/>
        <v>0</v>
      </c>
      <c r="AN916" s="46"/>
      <c r="AO916" s="119" t="s">
        <v>1197</v>
      </c>
      <c r="AP916" s="38" t="str">
        <f t="shared" si="112"/>
        <v>Exclude</v>
      </c>
    </row>
    <row r="917" spans="1:42" ht="45" hidden="1">
      <c r="A917" s="38" t="str">
        <f t="shared" si="111"/>
        <v>Ausgrid</v>
      </c>
      <c r="B917" s="38" t="s">
        <v>1197</v>
      </c>
      <c r="C917" s="38" t="str">
        <f t="shared" si="113"/>
        <v>Duplicate-ER0102 - Earthing Examination and Testing - MAJOR SUBSTATIONS</v>
      </c>
      <c r="D917" s="38" t="str">
        <f t="shared" si="114"/>
        <v>Duplicate-</v>
      </c>
      <c r="E917" s="413"/>
      <c r="F917" s="43" t="s">
        <v>431</v>
      </c>
      <c r="G917" s="43" t="s">
        <v>1049</v>
      </c>
      <c r="X917" s="38">
        <v>3</v>
      </c>
      <c r="Y917" s="38">
        <v>0</v>
      </c>
      <c r="AK917" s="45">
        <f t="shared" si="115"/>
        <v>0</v>
      </c>
      <c r="AL917" s="46">
        <f t="shared" si="116"/>
        <v>0</v>
      </c>
      <c r="AM917" s="46">
        <f t="shared" si="117"/>
        <v>0</v>
      </c>
      <c r="AN917" s="46"/>
      <c r="AO917" s="119" t="s">
        <v>1197</v>
      </c>
      <c r="AP917" s="38" t="str">
        <f t="shared" si="112"/>
        <v>Exclude</v>
      </c>
    </row>
    <row r="918" spans="1:42" ht="45" hidden="1">
      <c r="A918" s="38" t="str">
        <f t="shared" si="111"/>
        <v>Ausgrid</v>
      </c>
      <c r="B918" s="38" t="s">
        <v>1197</v>
      </c>
      <c r="C918" s="38" t="str">
        <f t="shared" si="113"/>
        <v>Duplicate-ER0103 - Detailed Earthing Examination and Testing - MAJOR SUBSTATIONS</v>
      </c>
      <c r="D918" s="38" t="str">
        <f t="shared" si="114"/>
        <v>Duplicate-</v>
      </c>
      <c r="E918" s="413"/>
      <c r="F918" s="43" t="s">
        <v>431</v>
      </c>
      <c r="G918" s="43" t="s">
        <v>1050</v>
      </c>
      <c r="X918" s="38">
        <v>12</v>
      </c>
      <c r="Y918" s="38">
        <v>0</v>
      </c>
      <c r="AK918" s="45">
        <f t="shared" si="115"/>
        <v>0</v>
      </c>
      <c r="AL918" s="46">
        <f t="shared" si="116"/>
        <v>0</v>
      </c>
      <c r="AM918" s="46">
        <f t="shared" si="117"/>
        <v>0</v>
      </c>
      <c r="AN918" s="46"/>
      <c r="AO918" s="119" t="s">
        <v>1197</v>
      </c>
      <c r="AP918" s="38" t="str">
        <f t="shared" si="112"/>
        <v>Exclude</v>
      </c>
    </row>
    <row r="919" spans="1:42" ht="45" hidden="1">
      <c r="A919" s="38" t="str">
        <f t="shared" si="111"/>
        <v>Ausgrid</v>
      </c>
      <c r="B919" s="38" t="s">
        <v>1197</v>
      </c>
      <c r="C919" s="38" t="str">
        <f t="shared" si="113"/>
        <v>Duplicate-SUBTRANSMISSION SUBSTATION - OIL CONTAINMENT</v>
      </c>
      <c r="D919" s="38" t="str">
        <f t="shared" si="114"/>
        <v>Duplicate-No. of subtranmssion substations ('000s)</v>
      </c>
      <c r="E919" s="413"/>
      <c r="F919" s="43" t="s">
        <v>431</v>
      </c>
      <c r="G919" s="43" t="s">
        <v>1119</v>
      </c>
      <c r="H919" s="43" t="s">
        <v>1118</v>
      </c>
      <c r="I919" s="41">
        <v>0.03</v>
      </c>
      <c r="J919" s="41">
        <v>0.03</v>
      </c>
      <c r="K919" s="41">
        <v>0.03</v>
      </c>
      <c r="L919" s="41">
        <v>0.03</v>
      </c>
      <c r="M919" s="41">
        <v>0.03</v>
      </c>
      <c r="N919" s="41">
        <v>0.01</v>
      </c>
      <c r="O919" s="41">
        <v>0.04</v>
      </c>
      <c r="P919" s="41">
        <v>0.03</v>
      </c>
      <c r="Q919" s="41">
        <v>0.04</v>
      </c>
      <c r="R919" s="41">
        <v>0.03</v>
      </c>
      <c r="S919" s="41">
        <v>28.95</v>
      </c>
      <c r="T919" s="41">
        <v>29.94</v>
      </c>
      <c r="U919" s="41">
        <v>30.94</v>
      </c>
      <c r="V919" s="41">
        <v>31.95</v>
      </c>
      <c r="W919" s="41">
        <v>32.950000000000003</v>
      </c>
      <c r="X919" s="38">
        <v>0</v>
      </c>
      <c r="Y919" s="38">
        <v>0</v>
      </c>
      <c r="Z919" s="40">
        <v>0</v>
      </c>
      <c r="AA919" s="40">
        <v>7.26</v>
      </c>
      <c r="AB919" s="40">
        <v>9.1199999999999992</v>
      </c>
      <c r="AC919" s="40">
        <v>21.55</v>
      </c>
      <c r="AD919" s="40">
        <v>28.04</v>
      </c>
      <c r="AE919" s="40">
        <v>0</v>
      </c>
      <c r="AF919" s="40">
        <v>13.94</v>
      </c>
      <c r="AG919" s="40">
        <v>37.65</v>
      </c>
      <c r="AH919" s="40">
        <v>33.33</v>
      </c>
      <c r="AI919" s="40">
        <v>17.29</v>
      </c>
      <c r="AK919" s="45">
        <f t="shared" si="115"/>
        <v>0.15</v>
      </c>
      <c r="AL919" s="46">
        <f t="shared" si="116"/>
        <v>65.97</v>
      </c>
      <c r="AM919" s="46">
        <f t="shared" si="117"/>
        <v>102.20999999999998</v>
      </c>
      <c r="AN919" s="46"/>
      <c r="AO919" s="119" t="s">
        <v>1197</v>
      </c>
      <c r="AP919" s="38" t="str">
        <f t="shared" si="112"/>
        <v>Exclude</v>
      </c>
    </row>
    <row r="920" spans="1:42" ht="75" hidden="1">
      <c r="A920" s="38" t="str">
        <f t="shared" si="111"/>
        <v>Ausgrid</v>
      </c>
      <c r="B920" s="38" t="s">
        <v>1197</v>
      </c>
      <c r="C920" s="38" t="str">
        <f t="shared" si="113"/>
        <v>Duplicate-SU0115 - Oil Containment System (1, 2,3  Stage and EGOWS) - MAJOR SUBSTATIONS (ZONE AND SUBTRANSMISSION)</v>
      </c>
      <c r="D920" s="38" t="str">
        <f t="shared" si="114"/>
        <v>Duplicate-</v>
      </c>
      <c r="E920" s="413"/>
      <c r="F920" s="43" t="s">
        <v>431</v>
      </c>
      <c r="G920" s="43" t="s">
        <v>1052</v>
      </c>
      <c r="X920" s="38">
        <v>1</v>
      </c>
      <c r="Y920" s="38">
        <v>1</v>
      </c>
      <c r="AK920" s="45">
        <f t="shared" si="115"/>
        <v>0</v>
      </c>
      <c r="AL920" s="46">
        <f t="shared" si="116"/>
        <v>0</v>
      </c>
      <c r="AM920" s="46">
        <f t="shared" si="117"/>
        <v>0</v>
      </c>
      <c r="AN920" s="46"/>
      <c r="AO920" s="119" t="s">
        <v>1197</v>
      </c>
      <c r="AP920" s="38" t="str">
        <f t="shared" si="112"/>
        <v>Exclude</v>
      </c>
    </row>
    <row r="921" spans="1:42" ht="75" hidden="1">
      <c r="A921" s="38" t="str">
        <f t="shared" si="111"/>
        <v>Ausgrid</v>
      </c>
      <c r="B921" s="38" t="s">
        <v>1197</v>
      </c>
      <c r="C921" s="38" t="str">
        <f t="shared" si="113"/>
        <v>Duplicate-SU0116 - Oil Treatment / Separation System (Baldwin / SEPA) - MAJOR SUBSTATIONS (ZONE AND SUBTRANSMISSION)</v>
      </c>
      <c r="D921" s="38" t="str">
        <f t="shared" si="114"/>
        <v>Duplicate-</v>
      </c>
      <c r="E921" s="413"/>
      <c r="F921" s="43" t="s">
        <v>431</v>
      </c>
      <c r="G921" s="43" t="s">
        <v>1053</v>
      </c>
      <c r="X921" s="38">
        <v>0.25</v>
      </c>
      <c r="Y921" s="38">
        <v>0.25</v>
      </c>
      <c r="AK921" s="45">
        <f t="shared" si="115"/>
        <v>0</v>
      </c>
      <c r="AL921" s="46">
        <f t="shared" si="116"/>
        <v>0</v>
      </c>
      <c r="AM921" s="46">
        <f t="shared" si="117"/>
        <v>0</v>
      </c>
      <c r="AN921" s="46"/>
      <c r="AO921" s="119" t="s">
        <v>1197</v>
      </c>
      <c r="AP921" s="38" t="str">
        <f t="shared" si="112"/>
        <v>Exclude</v>
      </c>
    </row>
    <row r="922" spans="1:42" ht="45" hidden="1">
      <c r="A922" s="38" t="str">
        <f t="shared" si="111"/>
        <v>Ausgrid</v>
      </c>
      <c r="B922" s="38" t="s">
        <v>1197</v>
      </c>
      <c r="C922" s="38" t="str">
        <f t="shared" si="113"/>
        <v>Duplicate-SUBTRANSMISSION SUBSTATION - CT's / VT's (oil type)</v>
      </c>
      <c r="D922" s="38" t="str">
        <f t="shared" si="114"/>
        <v>Duplicate-No. of Sub-trans CT's / VT's (oil type) ('000s)</v>
      </c>
      <c r="E922" s="413"/>
      <c r="F922" s="43" t="s">
        <v>431</v>
      </c>
      <c r="G922" s="43" t="s">
        <v>1120</v>
      </c>
      <c r="H922" s="43" t="s">
        <v>1121</v>
      </c>
      <c r="I922" s="41">
        <v>0.43</v>
      </c>
      <c r="J922" s="41">
        <v>0.41</v>
      </c>
      <c r="K922" s="41">
        <v>0.41</v>
      </c>
      <c r="L922" s="41">
        <v>0.4</v>
      </c>
      <c r="M922" s="41">
        <v>0.38</v>
      </c>
      <c r="N922" s="41">
        <v>0.06</v>
      </c>
      <c r="O922" s="41">
        <v>0.18</v>
      </c>
      <c r="P922" s="41">
        <v>0.09</v>
      </c>
      <c r="Q922" s="41">
        <v>0.08</v>
      </c>
      <c r="R922" s="41">
        <v>0.12</v>
      </c>
      <c r="S922" s="41">
        <v>26.89</v>
      </c>
      <c r="T922" s="41">
        <v>26.36</v>
      </c>
      <c r="U922" s="41">
        <v>27.08</v>
      </c>
      <c r="V922" s="41">
        <v>25.95</v>
      </c>
      <c r="W922" s="41">
        <v>24.55</v>
      </c>
      <c r="X922" s="38">
        <v>0</v>
      </c>
      <c r="Y922" s="38">
        <v>0</v>
      </c>
      <c r="Z922" s="40">
        <v>8.98</v>
      </c>
      <c r="AA922" s="40">
        <v>37.46</v>
      </c>
      <c r="AB922" s="40">
        <v>39.01</v>
      </c>
      <c r="AC922" s="40">
        <v>35.04</v>
      </c>
      <c r="AD922" s="40">
        <v>38.1</v>
      </c>
      <c r="AE922" s="40">
        <v>1.33</v>
      </c>
      <c r="AF922" s="40">
        <v>1.47</v>
      </c>
      <c r="AG922" s="40">
        <v>14.23</v>
      </c>
      <c r="AH922" s="40">
        <v>2.36</v>
      </c>
      <c r="AI922" s="40">
        <v>4.5</v>
      </c>
      <c r="AK922" s="45">
        <f t="shared" si="115"/>
        <v>0.53</v>
      </c>
      <c r="AL922" s="46">
        <f t="shared" si="116"/>
        <v>158.58999999999997</v>
      </c>
      <c r="AM922" s="46">
        <f t="shared" si="117"/>
        <v>23.89</v>
      </c>
      <c r="AN922" s="46"/>
      <c r="AO922" s="119" t="s">
        <v>1197</v>
      </c>
      <c r="AP922" s="38" t="str">
        <f t="shared" si="112"/>
        <v>Exclude</v>
      </c>
    </row>
    <row r="923" spans="1:42" ht="45" hidden="1">
      <c r="A923" s="38" t="str">
        <f t="shared" si="111"/>
        <v>Ausgrid</v>
      </c>
      <c r="B923" s="38" t="s">
        <v>1197</v>
      </c>
      <c r="C923" s="38" t="str">
        <f t="shared" si="113"/>
        <v>Duplicate-PR0101 - Oil Filled CTs - CURRENT TRANSFORMERS POST TYPE</v>
      </c>
      <c r="D923" s="38" t="str">
        <f t="shared" si="114"/>
        <v>Duplicate-</v>
      </c>
      <c r="E923" s="413"/>
      <c r="F923" s="43" t="s">
        <v>431</v>
      </c>
      <c r="G923" s="43" t="s">
        <v>1122</v>
      </c>
      <c r="X923" s="38">
        <v>1</v>
      </c>
      <c r="Y923" s="38">
        <v>1</v>
      </c>
      <c r="AK923" s="45">
        <f t="shared" si="115"/>
        <v>0</v>
      </c>
      <c r="AL923" s="46">
        <f t="shared" si="116"/>
        <v>0</v>
      </c>
      <c r="AM923" s="46">
        <f t="shared" si="117"/>
        <v>0</v>
      </c>
      <c r="AN923" s="46"/>
      <c r="AO923" s="119" t="s">
        <v>1197</v>
      </c>
      <c r="AP923" s="38" t="str">
        <f t="shared" si="112"/>
        <v>Exclude</v>
      </c>
    </row>
    <row r="924" spans="1:42" ht="45" hidden="1">
      <c r="A924" s="38" t="str">
        <f t="shared" si="111"/>
        <v>Ausgrid</v>
      </c>
      <c r="B924" s="38" t="s">
        <v>1197</v>
      </c>
      <c r="C924" s="38" t="str">
        <f t="shared" si="113"/>
        <v>Duplicate-PR0101 - Oil Filled CTs - CURRENT TRANSFORMERS POST TYPE</v>
      </c>
      <c r="D924" s="38" t="str">
        <f t="shared" si="114"/>
        <v>Duplicate-</v>
      </c>
      <c r="E924" s="413"/>
      <c r="F924" s="43" t="s">
        <v>431</v>
      </c>
      <c r="G924" s="43" t="s">
        <v>1122</v>
      </c>
      <c r="X924" s="38">
        <v>6</v>
      </c>
      <c r="Y924" s="38">
        <v>6</v>
      </c>
      <c r="AK924" s="45">
        <f t="shared" si="115"/>
        <v>0</v>
      </c>
      <c r="AL924" s="46">
        <f t="shared" si="116"/>
        <v>0</v>
      </c>
      <c r="AM924" s="46">
        <f t="shared" si="117"/>
        <v>0</v>
      </c>
      <c r="AN924" s="46"/>
      <c r="AO924" s="119" t="s">
        <v>1197</v>
      </c>
      <c r="AP924" s="38" t="str">
        <f t="shared" si="112"/>
        <v>Exclude</v>
      </c>
    </row>
    <row r="925" spans="1:42" ht="45" hidden="1">
      <c r="A925" s="38" t="str">
        <f t="shared" si="111"/>
        <v>Ausgrid</v>
      </c>
      <c r="B925" s="38" t="s">
        <v>1197</v>
      </c>
      <c r="C925" s="38" t="str">
        <f t="shared" si="113"/>
        <v>Duplicate-PR0101 - Oil Filled CTs - CURRENT TRANSFORMERS POST TYPE</v>
      </c>
      <c r="D925" s="38" t="str">
        <f t="shared" si="114"/>
        <v>Duplicate-</v>
      </c>
      <c r="E925" s="413"/>
      <c r="F925" s="43" t="s">
        <v>431</v>
      </c>
      <c r="G925" s="43" t="s">
        <v>1122</v>
      </c>
      <c r="X925" s="38">
        <v>3</v>
      </c>
      <c r="Y925" s="38">
        <v>3</v>
      </c>
      <c r="AK925" s="45">
        <f t="shared" si="115"/>
        <v>0</v>
      </c>
      <c r="AL925" s="46">
        <f t="shared" si="116"/>
        <v>0</v>
      </c>
      <c r="AM925" s="46">
        <f t="shared" si="117"/>
        <v>0</v>
      </c>
      <c r="AN925" s="46"/>
      <c r="AO925" s="119" t="s">
        <v>1197</v>
      </c>
      <c r="AP925" s="38" t="str">
        <f t="shared" si="112"/>
        <v>Exclude</v>
      </c>
    </row>
    <row r="926" spans="1:42" ht="45" hidden="1">
      <c r="A926" s="38" t="str">
        <f t="shared" si="111"/>
        <v>Ausgrid</v>
      </c>
      <c r="B926" s="38" t="s">
        <v>1197</v>
      </c>
      <c r="C926" s="38" t="str">
        <f t="shared" si="113"/>
        <v>Duplicate-PR0201 - Oil Filled VTs - VOLTAGE TRANSFORMERS POST TYPE</v>
      </c>
      <c r="D926" s="38" t="str">
        <f t="shared" si="114"/>
        <v>Duplicate-</v>
      </c>
      <c r="E926" s="413"/>
      <c r="F926" s="43" t="s">
        <v>431</v>
      </c>
      <c r="G926" s="43" t="s">
        <v>1123</v>
      </c>
      <c r="X926" s="38">
        <v>1</v>
      </c>
      <c r="Y926" s="38">
        <v>1</v>
      </c>
      <c r="AK926" s="45">
        <f t="shared" si="115"/>
        <v>0</v>
      </c>
      <c r="AL926" s="46">
        <f t="shared" si="116"/>
        <v>0</v>
      </c>
      <c r="AM926" s="46">
        <f t="shared" si="117"/>
        <v>0</v>
      </c>
      <c r="AN926" s="46"/>
      <c r="AO926" s="119" t="s">
        <v>1197</v>
      </c>
      <c r="AP926" s="38" t="str">
        <f t="shared" si="112"/>
        <v>Exclude</v>
      </c>
    </row>
    <row r="927" spans="1:42" ht="45" hidden="1">
      <c r="A927" s="38" t="str">
        <f t="shared" si="111"/>
        <v>Ausgrid</v>
      </c>
      <c r="B927" s="38" t="s">
        <v>1197</v>
      </c>
      <c r="C927" s="38" t="str">
        <f t="shared" si="113"/>
        <v>Duplicate-PR0201 - Oil Filled VTs - VOLTAGE TRANSFORMERS POST TYPE</v>
      </c>
      <c r="D927" s="38" t="str">
        <f t="shared" si="114"/>
        <v>Duplicate-</v>
      </c>
      <c r="E927" s="413"/>
      <c r="F927" s="43" t="s">
        <v>431</v>
      </c>
      <c r="G927" s="43" t="s">
        <v>1123</v>
      </c>
      <c r="X927" s="38">
        <v>6</v>
      </c>
      <c r="Y927" s="38">
        <v>6</v>
      </c>
      <c r="AK927" s="45">
        <f t="shared" si="115"/>
        <v>0</v>
      </c>
      <c r="AL927" s="46">
        <f t="shared" si="116"/>
        <v>0</v>
      </c>
      <c r="AM927" s="46">
        <f t="shared" si="117"/>
        <v>0</v>
      </c>
      <c r="AN927" s="46"/>
      <c r="AO927" s="119" t="s">
        <v>1197</v>
      </c>
      <c r="AP927" s="38" t="str">
        <f t="shared" si="112"/>
        <v>Exclude</v>
      </c>
    </row>
    <row r="928" spans="1:42" ht="45" hidden="1">
      <c r="A928" s="38" t="str">
        <f t="shared" si="111"/>
        <v>Ausgrid</v>
      </c>
      <c r="B928" s="38" t="s">
        <v>1197</v>
      </c>
      <c r="C928" s="38" t="str">
        <f t="shared" si="113"/>
        <v>Duplicate-PR0201 - Oil Filled VTs - VOLTAGE TRANSFORMERS POST TYPE</v>
      </c>
      <c r="D928" s="38" t="str">
        <f t="shared" si="114"/>
        <v>Duplicate-</v>
      </c>
      <c r="E928" s="413"/>
      <c r="F928" s="43" t="s">
        <v>431</v>
      </c>
      <c r="G928" s="43" t="s">
        <v>1123</v>
      </c>
      <c r="X928" s="38">
        <v>3</v>
      </c>
      <c r="Y928" s="38">
        <v>3</v>
      </c>
      <c r="AK928" s="45">
        <f t="shared" si="115"/>
        <v>0</v>
      </c>
      <c r="AL928" s="46">
        <f t="shared" si="116"/>
        <v>0</v>
      </c>
      <c r="AM928" s="46">
        <f t="shared" si="117"/>
        <v>0</v>
      </c>
      <c r="AN928" s="46"/>
      <c r="AO928" s="119" t="s">
        <v>1197</v>
      </c>
      <c r="AP928" s="38" t="str">
        <f t="shared" si="112"/>
        <v>Exclude</v>
      </c>
    </row>
    <row r="929" spans="1:42" ht="45" hidden="1">
      <c r="A929" s="38" t="str">
        <f t="shared" si="111"/>
        <v>Ausgrid</v>
      </c>
      <c r="B929" s="38" t="s">
        <v>1197</v>
      </c>
      <c r="C929" s="38" t="str">
        <f t="shared" si="113"/>
        <v>Duplicate-SUBTRANSMISSION OVERHEAD - POLE TOP &amp; OVERHEAD LINE</v>
      </c>
      <c r="D929" s="38" t="str">
        <f t="shared" si="114"/>
        <v>Duplicate-No. of subtransmission poles ('000s)</v>
      </c>
      <c r="E929" s="413"/>
      <c r="F929" s="43" t="s">
        <v>431</v>
      </c>
      <c r="G929" s="43" t="s">
        <v>1124</v>
      </c>
      <c r="H929" s="43" t="s">
        <v>1125</v>
      </c>
      <c r="I929" s="41">
        <v>5.14</v>
      </c>
      <c r="J929" s="41">
        <v>4.63</v>
      </c>
      <c r="K929" s="41">
        <v>4.08</v>
      </c>
      <c r="L929" s="41">
        <v>3.91</v>
      </c>
      <c r="M929" s="41">
        <v>3.84</v>
      </c>
      <c r="N929" s="41">
        <v>0.88</v>
      </c>
      <c r="O929" s="41">
        <v>1.06</v>
      </c>
      <c r="P929" s="41">
        <v>1.02</v>
      </c>
      <c r="Q929" s="41">
        <v>1.44</v>
      </c>
      <c r="R929" s="41">
        <v>0.77</v>
      </c>
      <c r="S929" s="41">
        <v>30.42</v>
      </c>
      <c r="T929" s="41">
        <v>29.35</v>
      </c>
      <c r="U929" s="41">
        <v>28.22</v>
      </c>
      <c r="V929" s="41">
        <v>27.93</v>
      </c>
      <c r="W929" s="41">
        <v>28.26</v>
      </c>
      <c r="X929" s="38">
        <v>0</v>
      </c>
      <c r="Y929" s="38">
        <v>0</v>
      </c>
      <c r="Z929" s="40">
        <v>52.49</v>
      </c>
      <c r="AA929" s="40">
        <v>6.83</v>
      </c>
      <c r="AB929" s="40">
        <v>4.5599999999999996</v>
      </c>
      <c r="AC929" s="40">
        <v>4.41</v>
      </c>
      <c r="AD929" s="40">
        <v>0</v>
      </c>
      <c r="AE929" s="40">
        <v>329.85</v>
      </c>
      <c r="AF929" s="40">
        <v>830.93</v>
      </c>
      <c r="AG929" s="40">
        <v>831.31</v>
      </c>
      <c r="AH929" s="40">
        <v>1108.72</v>
      </c>
      <c r="AI929" s="40">
        <v>604.79</v>
      </c>
      <c r="AK929" s="45">
        <f t="shared" si="115"/>
        <v>5.17</v>
      </c>
      <c r="AL929" s="46">
        <f t="shared" si="116"/>
        <v>68.290000000000006</v>
      </c>
      <c r="AM929" s="46">
        <f t="shared" si="117"/>
        <v>3705.6</v>
      </c>
      <c r="AN929" s="46"/>
      <c r="AO929" s="119" t="s">
        <v>1197</v>
      </c>
      <c r="AP929" s="38" t="str">
        <f t="shared" si="112"/>
        <v>Exclude</v>
      </c>
    </row>
    <row r="930" spans="1:42" ht="60" hidden="1">
      <c r="A930" s="38" t="str">
        <f t="shared" si="111"/>
        <v>Ausgrid</v>
      </c>
      <c r="B930" s="38" t="s">
        <v>1197</v>
      </c>
      <c r="C930" s="38" t="str">
        <f t="shared" si="113"/>
        <v>Duplicate-OH0112 - Patrol - Subtransmisison Concrete, wood and steel pole lines  - OVERHEAD LINES</v>
      </c>
      <c r="D930" s="38" t="str">
        <f t="shared" si="114"/>
        <v>Duplicate-</v>
      </c>
      <c r="E930" s="413"/>
      <c r="F930" s="43" t="s">
        <v>431</v>
      </c>
      <c r="G930" s="43" t="s">
        <v>731</v>
      </c>
      <c r="X930" s="38">
        <v>5</v>
      </c>
      <c r="Y930" s="38">
        <v>0</v>
      </c>
      <c r="AK930" s="45">
        <f t="shared" si="115"/>
        <v>0</v>
      </c>
      <c r="AL930" s="46">
        <f t="shared" si="116"/>
        <v>0</v>
      </c>
      <c r="AM930" s="46">
        <f t="shared" si="117"/>
        <v>0</v>
      </c>
      <c r="AN930" s="46"/>
      <c r="AO930" s="119" t="s">
        <v>1197</v>
      </c>
      <c r="AP930" s="38" t="str">
        <f t="shared" si="112"/>
        <v>Exclude</v>
      </c>
    </row>
    <row r="931" spans="1:42" ht="30" hidden="1">
      <c r="A931" s="38" t="str">
        <f t="shared" si="111"/>
        <v>Ausgrid</v>
      </c>
      <c r="B931" s="38" t="s">
        <v>1197</v>
      </c>
      <c r="C931" s="38" t="str">
        <f t="shared" si="113"/>
        <v>Duplicate-SUBTRANSMISSION OVERHEAD - TOWER LINES</v>
      </c>
      <c r="D931" s="38" t="str">
        <f t="shared" si="114"/>
        <v>Duplicate-No. of subtransmission towers ('000s)</v>
      </c>
      <c r="E931" s="413"/>
      <c r="F931" s="43" t="s">
        <v>431</v>
      </c>
      <c r="G931" s="43" t="s">
        <v>1126</v>
      </c>
      <c r="H931" s="43" t="s">
        <v>1127</v>
      </c>
      <c r="I931" s="41">
        <v>0.34</v>
      </c>
      <c r="J931" s="41">
        <v>0.34</v>
      </c>
      <c r="K931" s="41">
        <v>0.34</v>
      </c>
      <c r="L931" s="41">
        <v>0.34</v>
      </c>
      <c r="M931" s="41">
        <v>0.34</v>
      </c>
      <c r="N931" s="41">
        <v>0.12</v>
      </c>
      <c r="O931" s="41">
        <v>7.0000000000000007E-2</v>
      </c>
      <c r="P931" s="41">
        <v>0.02</v>
      </c>
      <c r="Q931" s="41">
        <v>0.08</v>
      </c>
      <c r="R931" s="41">
        <v>0.12</v>
      </c>
      <c r="S931" s="41">
        <v>43.34</v>
      </c>
      <c r="T931" s="41">
        <v>44.35</v>
      </c>
      <c r="U931" s="41">
        <v>45.26</v>
      </c>
      <c r="V931" s="41">
        <v>46.26</v>
      </c>
      <c r="W931" s="41">
        <v>47.25</v>
      </c>
      <c r="X931" s="38">
        <v>0</v>
      </c>
      <c r="Y931" s="38">
        <v>0</v>
      </c>
      <c r="Z931" s="40">
        <v>22.14</v>
      </c>
      <c r="AA931" s="40">
        <v>0</v>
      </c>
      <c r="AB931" s="40">
        <v>0</v>
      </c>
      <c r="AC931" s="40">
        <v>4.28</v>
      </c>
      <c r="AD931" s="40">
        <v>0</v>
      </c>
      <c r="AE931" s="40">
        <v>30.97</v>
      </c>
      <c r="AF931" s="40">
        <v>23.29</v>
      </c>
      <c r="AG931" s="40">
        <v>67.06</v>
      </c>
      <c r="AH931" s="40">
        <v>158.32</v>
      </c>
      <c r="AI931" s="40">
        <v>290.51</v>
      </c>
      <c r="AK931" s="45">
        <f t="shared" si="115"/>
        <v>0.41</v>
      </c>
      <c r="AL931" s="46">
        <f t="shared" si="116"/>
        <v>26.42</v>
      </c>
      <c r="AM931" s="46">
        <f t="shared" si="117"/>
        <v>570.15</v>
      </c>
      <c r="AN931" s="46"/>
      <c r="AO931" s="119" t="s">
        <v>1197</v>
      </c>
      <c r="AP931" s="38" t="str">
        <f t="shared" si="112"/>
        <v>Exclude</v>
      </c>
    </row>
    <row r="932" spans="1:42" ht="45" hidden="1">
      <c r="A932" s="38" t="str">
        <f t="shared" si="111"/>
        <v>Ausgrid</v>
      </c>
      <c r="B932" s="38" t="s">
        <v>1197</v>
      </c>
      <c r="C932" s="38" t="str">
        <f t="shared" si="113"/>
        <v>Duplicate-OH0103 - Patrol  - Subtransmission, Steel Towers - OVERHEAD LINES</v>
      </c>
      <c r="D932" s="38" t="str">
        <f t="shared" si="114"/>
        <v>Duplicate-</v>
      </c>
      <c r="E932" s="413"/>
      <c r="F932" s="43" t="s">
        <v>431</v>
      </c>
      <c r="G932" s="43" t="s">
        <v>733</v>
      </c>
      <c r="X932" s="38">
        <v>5</v>
      </c>
      <c r="Y932" s="38">
        <v>0</v>
      </c>
      <c r="AK932" s="45">
        <f t="shared" si="115"/>
        <v>0</v>
      </c>
      <c r="AL932" s="46">
        <f t="shared" si="116"/>
        <v>0</v>
      </c>
      <c r="AM932" s="46">
        <f t="shared" si="117"/>
        <v>0</v>
      </c>
      <c r="AN932" s="46"/>
      <c r="AO932" s="119" t="s">
        <v>1197</v>
      </c>
      <c r="AP932" s="38" t="str">
        <f t="shared" si="112"/>
        <v>Exclude</v>
      </c>
    </row>
    <row r="933" spans="1:42" ht="45" hidden="1">
      <c r="A933" s="38" t="str">
        <f t="shared" si="111"/>
        <v>Ausgrid</v>
      </c>
      <c r="B933" s="38" t="s">
        <v>1197</v>
      </c>
      <c r="C933" s="38" t="str">
        <f t="shared" si="113"/>
        <v>Duplicate-SUBTRANSMISSION UNDERGROUND CABLE MAINTENANCE</v>
      </c>
      <c r="D933" s="38" t="str">
        <f t="shared" si="114"/>
        <v>Duplicate-Length (km)  (inspected qty in  '000s tasks)</v>
      </c>
      <c r="E933" s="413"/>
      <c r="F933" s="43" t="s">
        <v>431</v>
      </c>
      <c r="G933" s="43" t="s">
        <v>1128</v>
      </c>
      <c r="H933" s="43" t="s">
        <v>764</v>
      </c>
      <c r="I933" s="41">
        <v>934.7</v>
      </c>
      <c r="J933" s="41">
        <v>947.42</v>
      </c>
      <c r="K933" s="41">
        <v>945.41</v>
      </c>
      <c r="L933" s="41">
        <v>946.75</v>
      </c>
      <c r="M933" s="41">
        <v>956.12</v>
      </c>
      <c r="N933" s="41">
        <v>0.25</v>
      </c>
      <c r="O933" s="41">
        <v>0.28999999999999998</v>
      </c>
      <c r="P933" s="41">
        <v>0.3</v>
      </c>
      <c r="Q933" s="41">
        <v>0.27</v>
      </c>
      <c r="R933" s="41">
        <v>0.43</v>
      </c>
      <c r="S933" s="41">
        <v>42.38</v>
      </c>
      <c r="T933" s="41">
        <v>41.8</v>
      </c>
      <c r="U933" s="41">
        <v>39.61</v>
      </c>
      <c r="V933" s="41">
        <v>38.229999999999997</v>
      </c>
      <c r="W933" s="41">
        <v>38.11</v>
      </c>
      <c r="X933" s="38">
        <v>0</v>
      </c>
      <c r="Y933" s="38">
        <v>0</v>
      </c>
      <c r="Z933" s="40">
        <v>661.63</v>
      </c>
      <c r="AA933" s="40">
        <v>851.61</v>
      </c>
      <c r="AB933" s="40">
        <v>863.58</v>
      </c>
      <c r="AC933" s="40">
        <v>626.74</v>
      </c>
      <c r="AD933" s="40">
        <v>737.55</v>
      </c>
      <c r="AE933" s="40">
        <v>1805.91</v>
      </c>
      <c r="AF933" s="40">
        <v>2170.11</v>
      </c>
      <c r="AG933" s="40">
        <v>2438.4699999999998</v>
      </c>
      <c r="AH933" s="40">
        <v>3018.09</v>
      </c>
      <c r="AI933" s="40">
        <v>2339.12</v>
      </c>
      <c r="AK933" s="45">
        <f t="shared" si="115"/>
        <v>1.54</v>
      </c>
      <c r="AL933" s="46">
        <f t="shared" si="116"/>
        <v>3741.1100000000006</v>
      </c>
      <c r="AM933" s="46">
        <f t="shared" si="117"/>
        <v>11771.7</v>
      </c>
      <c r="AN933" s="46"/>
      <c r="AO933" s="119" t="s">
        <v>1197</v>
      </c>
      <c r="AP933" s="38" t="str">
        <f t="shared" si="112"/>
        <v>Exclude</v>
      </c>
    </row>
    <row r="934" spans="1:42" ht="45" hidden="1">
      <c r="A934" s="38" t="str">
        <f t="shared" si="111"/>
        <v>Ausgrid</v>
      </c>
      <c r="B934" s="38" t="s">
        <v>1197</v>
      </c>
      <c r="C934" s="38" t="str">
        <f t="shared" si="113"/>
        <v>Duplicate-UG0104 - Oil Filled Cables, 132 and 33kV - 132KV CABLES</v>
      </c>
      <c r="D934" s="38" t="str">
        <f t="shared" si="114"/>
        <v>Duplicate-</v>
      </c>
      <c r="E934" s="413"/>
      <c r="F934" s="43" t="s">
        <v>431</v>
      </c>
      <c r="G934" s="43" t="s">
        <v>741</v>
      </c>
      <c r="X934" s="38">
        <v>5</v>
      </c>
      <c r="Y934" s="38">
        <v>0</v>
      </c>
      <c r="AK934" s="45">
        <f t="shared" si="115"/>
        <v>0</v>
      </c>
      <c r="AL934" s="46">
        <f t="shared" si="116"/>
        <v>0</v>
      </c>
      <c r="AM934" s="46">
        <f t="shared" si="117"/>
        <v>0</v>
      </c>
      <c r="AN934" s="46"/>
      <c r="AO934" s="119" t="s">
        <v>1197</v>
      </c>
      <c r="AP934" s="38" t="str">
        <f t="shared" si="112"/>
        <v>Exclude</v>
      </c>
    </row>
    <row r="935" spans="1:42" ht="45" hidden="1">
      <c r="A935" s="38" t="str">
        <f t="shared" si="111"/>
        <v>Ausgrid</v>
      </c>
      <c r="B935" s="38" t="s">
        <v>1197</v>
      </c>
      <c r="C935" s="38" t="str">
        <f t="shared" si="113"/>
        <v>Duplicate-UG0102 - Oil Filled Cables, 132 and 33kV - 132KV CABLES</v>
      </c>
      <c r="D935" s="38" t="str">
        <f t="shared" si="114"/>
        <v>Duplicate-</v>
      </c>
      <c r="E935" s="413"/>
      <c r="F935" s="43" t="s">
        <v>431</v>
      </c>
      <c r="G935" s="43" t="s">
        <v>742</v>
      </c>
      <c r="X935" s="38">
        <v>0.25</v>
      </c>
      <c r="Y935" s="38">
        <v>0</v>
      </c>
      <c r="AK935" s="45">
        <f t="shared" si="115"/>
        <v>0</v>
      </c>
      <c r="AL935" s="46">
        <f t="shared" si="116"/>
        <v>0</v>
      </c>
      <c r="AM935" s="46">
        <f t="shared" si="117"/>
        <v>0</v>
      </c>
      <c r="AN935" s="46"/>
      <c r="AO935" s="119" t="s">
        <v>1197</v>
      </c>
      <c r="AP935" s="38" t="str">
        <f t="shared" si="112"/>
        <v>Exclude</v>
      </c>
    </row>
    <row r="936" spans="1:42" ht="45" hidden="1">
      <c r="A936" s="38" t="str">
        <f t="shared" si="111"/>
        <v>Ausgrid</v>
      </c>
      <c r="B936" s="38" t="s">
        <v>1197</v>
      </c>
      <c r="C936" s="38" t="str">
        <f t="shared" si="113"/>
        <v>Duplicate-UG0103 - Oil Filled Cables, 132 and 33kV - 132KV CABLES</v>
      </c>
      <c r="D936" s="38" t="str">
        <f t="shared" si="114"/>
        <v>Duplicate-</v>
      </c>
      <c r="E936" s="413"/>
      <c r="F936" s="43" t="s">
        <v>431</v>
      </c>
      <c r="G936" s="43" t="s">
        <v>743</v>
      </c>
      <c r="X936" s="38">
        <v>0.5</v>
      </c>
      <c r="Y936" s="38">
        <v>0</v>
      </c>
      <c r="AK936" s="45">
        <f t="shared" si="115"/>
        <v>0</v>
      </c>
      <c r="AL936" s="46">
        <f t="shared" si="116"/>
        <v>0</v>
      </c>
      <c r="AM936" s="46">
        <f t="shared" si="117"/>
        <v>0</v>
      </c>
      <c r="AN936" s="46"/>
      <c r="AO936" s="119" t="s">
        <v>1197</v>
      </c>
      <c r="AP936" s="38" t="str">
        <f t="shared" si="112"/>
        <v>Exclude</v>
      </c>
    </row>
    <row r="937" spans="1:42" ht="45" hidden="1">
      <c r="A937" s="38" t="str">
        <f t="shared" si="111"/>
        <v>Ausgrid</v>
      </c>
      <c r="B937" s="38" t="s">
        <v>1197</v>
      </c>
      <c r="C937" s="38" t="str">
        <f t="shared" si="113"/>
        <v>Duplicate-UG0102 - Oil Filled Cables, 132 and 33kV - 132KV CABLES</v>
      </c>
      <c r="D937" s="38" t="str">
        <f t="shared" si="114"/>
        <v>Duplicate-</v>
      </c>
      <c r="E937" s="413"/>
      <c r="F937" s="43" t="s">
        <v>431</v>
      </c>
      <c r="G937" s="43" t="s">
        <v>742</v>
      </c>
      <c r="X937" s="38">
        <v>0.5</v>
      </c>
      <c r="Y937" s="38">
        <v>0</v>
      </c>
      <c r="AK937" s="45">
        <f t="shared" si="115"/>
        <v>0</v>
      </c>
      <c r="AL937" s="46">
        <f t="shared" si="116"/>
        <v>0</v>
      </c>
      <c r="AM937" s="46">
        <f t="shared" si="117"/>
        <v>0</v>
      </c>
      <c r="AN937" s="46"/>
      <c r="AO937" s="119" t="s">
        <v>1197</v>
      </c>
      <c r="AP937" s="38" t="str">
        <f t="shared" si="112"/>
        <v>Exclude</v>
      </c>
    </row>
    <row r="938" spans="1:42" ht="45" hidden="1">
      <c r="A938" s="38" t="str">
        <f t="shared" si="111"/>
        <v>Ausgrid</v>
      </c>
      <c r="B938" s="38" t="s">
        <v>1197</v>
      </c>
      <c r="C938" s="38" t="str">
        <f t="shared" si="113"/>
        <v>Duplicate-UG0103 - Oil Filled Cables, 132 and 33kV - 132KV CABLES</v>
      </c>
      <c r="D938" s="38" t="str">
        <f t="shared" si="114"/>
        <v>Duplicate-</v>
      </c>
      <c r="E938" s="413"/>
      <c r="F938" s="43" t="s">
        <v>431</v>
      </c>
      <c r="G938" s="43" t="s">
        <v>743</v>
      </c>
      <c r="X938" s="38">
        <v>1</v>
      </c>
      <c r="Y938" s="38">
        <v>0</v>
      </c>
      <c r="AK938" s="45">
        <f t="shared" si="115"/>
        <v>0</v>
      </c>
      <c r="AL938" s="46">
        <f t="shared" si="116"/>
        <v>0</v>
      </c>
      <c r="AM938" s="46">
        <f t="shared" si="117"/>
        <v>0</v>
      </c>
      <c r="AN938" s="46"/>
      <c r="AO938" s="119" t="s">
        <v>1197</v>
      </c>
      <c r="AP938" s="38" t="str">
        <f t="shared" si="112"/>
        <v>Exclude</v>
      </c>
    </row>
    <row r="939" spans="1:42" ht="45" hidden="1">
      <c r="A939" s="38" t="str">
        <f t="shared" si="111"/>
        <v>Ausgrid</v>
      </c>
      <c r="B939" s="38" t="s">
        <v>1197</v>
      </c>
      <c r="C939" s="38" t="str">
        <f t="shared" si="113"/>
        <v>Duplicate-UG0105 - Oil Filled Cables, 132 and 33kV - 132KV CABLES</v>
      </c>
      <c r="D939" s="38" t="str">
        <f t="shared" si="114"/>
        <v>Duplicate-</v>
      </c>
      <c r="E939" s="413"/>
      <c r="F939" s="43" t="s">
        <v>431</v>
      </c>
      <c r="G939" s="43" t="s">
        <v>744</v>
      </c>
      <c r="X939" s="38">
        <v>5</v>
      </c>
      <c r="Y939" s="38">
        <v>0</v>
      </c>
      <c r="AK939" s="45">
        <f t="shared" si="115"/>
        <v>0</v>
      </c>
      <c r="AL939" s="46">
        <f t="shared" si="116"/>
        <v>0</v>
      </c>
      <c r="AM939" s="46">
        <f t="shared" si="117"/>
        <v>0</v>
      </c>
      <c r="AN939" s="46"/>
      <c r="AO939" s="119" t="s">
        <v>1197</v>
      </c>
      <c r="AP939" s="38" t="str">
        <f t="shared" si="112"/>
        <v>Exclude</v>
      </c>
    </row>
    <row r="940" spans="1:42" ht="45" hidden="1">
      <c r="A940" s="38" t="str">
        <f t="shared" si="111"/>
        <v>Ausgrid</v>
      </c>
      <c r="B940" s="38" t="s">
        <v>1197</v>
      </c>
      <c r="C940" s="38" t="str">
        <f t="shared" si="113"/>
        <v>Duplicate-UG0105 - Oil Filled Cables, 132 and 33kV - 132KV CABLES</v>
      </c>
      <c r="D940" s="38" t="str">
        <f t="shared" si="114"/>
        <v>Duplicate-</v>
      </c>
      <c r="E940" s="413"/>
      <c r="F940" s="43" t="s">
        <v>431</v>
      </c>
      <c r="G940" s="43" t="s">
        <v>744</v>
      </c>
      <c r="X940" s="38">
        <v>10</v>
      </c>
      <c r="Y940" s="38">
        <v>0</v>
      </c>
      <c r="AK940" s="45">
        <f t="shared" si="115"/>
        <v>0</v>
      </c>
      <c r="AL940" s="46">
        <f t="shared" si="116"/>
        <v>0</v>
      </c>
      <c r="AM940" s="46">
        <f t="shared" si="117"/>
        <v>0</v>
      </c>
      <c r="AN940" s="46"/>
      <c r="AO940" s="119" t="s">
        <v>1197</v>
      </c>
      <c r="AP940" s="38" t="str">
        <f t="shared" si="112"/>
        <v>Exclude</v>
      </c>
    </row>
    <row r="941" spans="1:42" ht="30" hidden="1">
      <c r="A941" s="38" t="str">
        <f t="shared" si="111"/>
        <v>Ausgrid</v>
      </c>
      <c r="B941" s="38" t="s">
        <v>1197</v>
      </c>
      <c r="C941" s="38" t="str">
        <f t="shared" si="113"/>
        <v>Duplicate-UG0104 - Oil Filled Cables, 132 and 33kV - 66KV CABLES</v>
      </c>
      <c r="D941" s="38" t="str">
        <f t="shared" si="114"/>
        <v>Duplicate-</v>
      </c>
      <c r="E941" s="413"/>
      <c r="F941" s="43" t="s">
        <v>431</v>
      </c>
      <c r="G941" s="43" t="s">
        <v>745</v>
      </c>
      <c r="X941" s="38">
        <v>5</v>
      </c>
      <c r="Y941" s="38">
        <v>0</v>
      </c>
      <c r="AK941" s="45">
        <f t="shared" si="115"/>
        <v>0</v>
      </c>
      <c r="AL941" s="46">
        <f t="shared" si="116"/>
        <v>0</v>
      </c>
      <c r="AM941" s="46">
        <f t="shared" si="117"/>
        <v>0</v>
      </c>
      <c r="AN941" s="46"/>
      <c r="AO941" s="119" t="s">
        <v>1197</v>
      </c>
      <c r="AP941" s="38" t="str">
        <f t="shared" si="112"/>
        <v>Exclude</v>
      </c>
    </row>
    <row r="942" spans="1:42" ht="30" hidden="1">
      <c r="A942" s="38" t="str">
        <f t="shared" si="111"/>
        <v>Ausgrid</v>
      </c>
      <c r="B942" s="38" t="s">
        <v>1197</v>
      </c>
      <c r="C942" s="38" t="str">
        <f t="shared" si="113"/>
        <v>Duplicate-UG0103 - Oil Filled Cables, 132 and 33kV - 66KV CABLES</v>
      </c>
      <c r="D942" s="38" t="str">
        <f t="shared" si="114"/>
        <v>Duplicate-</v>
      </c>
      <c r="E942" s="413"/>
      <c r="F942" s="43" t="s">
        <v>431</v>
      </c>
      <c r="G942" s="43" t="s">
        <v>746</v>
      </c>
      <c r="X942" s="38">
        <v>1</v>
      </c>
      <c r="Y942" s="38">
        <v>0</v>
      </c>
      <c r="AK942" s="45">
        <f t="shared" si="115"/>
        <v>0</v>
      </c>
      <c r="AL942" s="46">
        <f t="shared" si="116"/>
        <v>0</v>
      </c>
      <c r="AM942" s="46">
        <f t="shared" si="117"/>
        <v>0</v>
      </c>
      <c r="AN942" s="46"/>
      <c r="AO942" s="119" t="s">
        <v>1197</v>
      </c>
      <c r="AP942" s="38" t="str">
        <f t="shared" si="112"/>
        <v>Exclude</v>
      </c>
    </row>
    <row r="943" spans="1:42" ht="30" hidden="1">
      <c r="A943" s="38" t="str">
        <f t="shared" si="111"/>
        <v>Ausgrid</v>
      </c>
      <c r="B943" s="38" t="s">
        <v>1197</v>
      </c>
      <c r="C943" s="38" t="str">
        <f t="shared" si="113"/>
        <v>Duplicate-UG0102 - Oil Filled Cables, 132 and 33kV - 33KV CABLES</v>
      </c>
      <c r="D943" s="38" t="str">
        <f t="shared" si="114"/>
        <v>Duplicate-</v>
      </c>
      <c r="E943" s="413"/>
      <c r="F943" s="43" t="s">
        <v>431</v>
      </c>
      <c r="G943" s="43" t="s">
        <v>747</v>
      </c>
      <c r="X943" s="38">
        <v>0.25</v>
      </c>
      <c r="Y943" s="38">
        <v>0</v>
      </c>
      <c r="AK943" s="45">
        <f t="shared" si="115"/>
        <v>0</v>
      </c>
      <c r="AL943" s="46">
        <f t="shared" si="116"/>
        <v>0</v>
      </c>
      <c r="AM943" s="46">
        <f t="shared" si="117"/>
        <v>0</v>
      </c>
      <c r="AN943" s="46"/>
      <c r="AO943" s="119" t="s">
        <v>1197</v>
      </c>
      <c r="AP943" s="38" t="str">
        <f t="shared" si="112"/>
        <v>Exclude</v>
      </c>
    </row>
    <row r="944" spans="1:42" ht="30" hidden="1">
      <c r="A944" s="38" t="str">
        <f t="shared" si="111"/>
        <v>Ausgrid</v>
      </c>
      <c r="B944" s="38" t="s">
        <v>1197</v>
      </c>
      <c r="C944" s="38" t="str">
        <f t="shared" si="113"/>
        <v>Duplicate-UG0103 - Oil Filled Cables, 132 and 33kV - 33KV CABLES</v>
      </c>
      <c r="D944" s="38" t="str">
        <f t="shared" si="114"/>
        <v>Duplicate-</v>
      </c>
      <c r="E944" s="413"/>
      <c r="F944" s="43" t="s">
        <v>431</v>
      </c>
      <c r="G944" s="43" t="s">
        <v>748</v>
      </c>
      <c r="X944" s="38">
        <v>1</v>
      </c>
      <c r="Y944" s="38">
        <v>0</v>
      </c>
      <c r="AK944" s="45">
        <f t="shared" si="115"/>
        <v>0</v>
      </c>
      <c r="AL944" s="46">
        <f t="shared" si="116"/>
        <v>0</v>
      </c>
      <c r="AM944" s="46">
        <f t="shared" si="117"/>
        <v>0</v>
      </c>
      <c r="AN944" s="46"/>
      <c r="AO944" s="119" t="s">
        <v>1197</v>
      </c>
      <c r="AP944" s="38" t="str">
        <f t="shared" si="112"/>
        <v>Exclude</v>
      </c>
    </row>
    <row r="945" spans="1:42" ht="30" hidden="1">
      <c r="A945" s="38" t="str">
        <f t="shared" si="111"/>
        <v>Ausgrid</v>
      </c>
      <c r="B945" s="38" t="s">
        <v>1197</v>
      </c>
      <c r="C945" s="38" t="str">
        <f t="shared" si="113"/>
        <v>Duplicate-UG0301 - Gas Pressure Cables, 33kV</v>
      </c>
      <c r="D945" s="38" t="str">
        <f t="shared" si="114"/>
        <v>Duplicate-</v>
      </c>
      <c r="E945" s="413"/>
      <c r="F945" s="43" t="s">
        <v>431</v>
      </c>
      <c r="G945" s="43" t="s">
        <v>749</v>
      </c>
      <c r="X945" s="38">
        <v>0.5</v>
      </c>
      <c r="Y945" s="38">
        <v>0</v>
      </c>
      <c r="AK945" s="45">
        <f t="shared" si="115"/>
        <v>0</v>
      </c>
      <c r="AL945" s="46">
        <f t="shared" si="116"/>
        <v>0</v>
      </c>
      <c r="AM945" s="46">
        <f t="shared" si="117"/>
        <v>0</v>
      </c>
      <c r="AN945" s="46"/>
      <c r="AO945" s="119" t="s">
        <v>1197</v>
      </c>
      <c r="AP945" s="38" t="str">
        <f t="shared" si="112"/>
        <v>Exclude</v>
      </c>
    </row>
    <row r="946" spans="1:42" ht="30" hidden="1">
      <c r="A946" s="38" t="str">
        <f t="shared" si="111"/>
        <v>Ausgrid</v>
      </c>
      <c r="B946" s="38" t="s">
        <v>1197</v>
      </c>
      <c r="C946" s="38" t="str">
        <f t="shared" si="113"/>
        <v>Duplicate-UG0301 - Gas Pressure Cables, 33kV</v>
      </c>
      <c r="D946" s="38" t="str">
        <f t="shared" si="114"/>
        <v>Duplicate-</v>
      </c>
      <c r="E946" s="413"/>
      <c r="F946" s="43" t="s">
        <v>431</v>
      </c>
      <c r="G946" s="43" t="s">
        <v>749</v>
      </c>
      <c r="X946" s="38">
        <v>1</v>
      </c>
      <c r="Y946" s="38">
        <v>0</v>
      </c>
      <c r="AK946" s="45">
        <f t="shared" si="115"/>
        <v>0</v>
      </c>
      <c r="AL946" s="46">
        <f t="shared" si="116"/>
        <v>0</v>
      </c>
      <c r="AM946" s="46">
        <f t="shared" si="117"/>
        <v>0</v>
      </c>
      <c r="AN946" s="46"/>
      <c r="AO946" s="119" t="s">
        <v>1197</v>
      </c>
      <c r="AP946" s="38" t="str">
        <f t="shared" si="112"/>
        <v>Exclude</v>
      </c>
    </row>
    <row r="947" spans="1:42" ht="30" hidden="1">
      <c r="A947" s="38" t="str">
        <f t="shared" ref="A947:A992" si="118">IF(E947&gt;0,E947,A946)</f>
        <v>Ausgrid</v>
      </c>
      <c r="B947" s="38" t="s">
        <v>1197</v>
      </c>
      <c r="C947" s="38" t="str">
        <f t="shared" si="113"/>
        <v>Duplicate-UG0401 - Tunnel Examination</v>
      </c>
      <c r="D947" s="38" t="str">
        <f t="shared" si="114"/>
        <v>Duplicate-</v>
      </c>
      <c r="E947" s="413"/>
      <c r="F947" s="43" t="s">
        <v>431</v>
      </c>
      <c r="G947" s="43" t="s">
        <v>750</v>
      </c>
      <c r="X947" s="38">
        <v>1</v>
      </c>
      <c r="Y947" s="38">
        <v>0</v>
      </c>
      <c r="AK947" s="45">
        <f t="shared" si="115"/>
        <v>0</v>
      </c>
      <c r="AL947" s="46">
        <f t="shared" si="116"/>
        <v>0</v>
      </c>
      <c r="AM947" s="46">
        <f t="shared" si="117"/>
        <v>0</v>
      </c>
      <c r="AN947" s="46"/>
      <c r="AO947" s="119" t="s">
        <v>1197</v>
      </c>
      <c r="AP947" s="38" t="str">
        <f t="shared" si="112"/>
        <v>Exclude</v>
      </c>
    </row>
    <row r="948" spans="1:42" ht="30" hidden="1">
      <c r="A948" s="38" t="str">
        <f t="shared" si="118"/>
        <v>Ausgrid</v>
      </c>
      <c r="B948" s="38" t="s">
        <v>1197</v>
      </c>
      <c r="C948" s="38" t="str">
        <f t="shared" si="113"/>
        <v>Duplicate-UG0441 - Tunnel Sumps and Pumps</v>
      </c>
      <c r="D948" s="38" t="str">
        <f t="shared" si="114"/>
        <v>Duplicate-</v>
      </c>
      <c r="E948" s="413"/>
      <c r="F948" s="43" t="s">
        <v>431</v>
      </c>
      <c r="G948" s="43" t="s">
        <v>751</v>
      </c>
      <c r="X948" s="38">
        <v>0.5</v>
      </c>
      <c r="Y948" s="38">
        <v>0</v>
      </c>
      <c r="AK948" s="45">
        <f t="shared" si="115"/>
        <v>0</v>
      </c>
      <c r="AL948" s="46">
        <f t="shared" si="116"/>
        <v>0</v>
      </c>
      <c r="AM948" s="46">
        <f t="shared" si="117"/>
        <v>0</v>
      </c>
      <c r="AN948" s="46"/>
      <c r="AO948" s="119" t="s">
        <v>1197</v>
      </c>
      <c r="AP948" s="38" t="str">
        <f t="shared" si="112"/>
        <v>Exclude</v>
      </c>
    </row>
    <row r="949" spans="1:42" ht="30" hidden="1">
      <c r="A949" s="38" t="str">
        <f t="shared" si="118"/>
        <v>Ausgrid</v>
      </c>
      <c r="B949" s="38" t="s">
        <v>1197</v>
      </c>
      <c r="C949" s="38" t="str">
        <f t="shared" si="113"/>
        <v>Duplicate-UG0442 - Tunnel Sumps and Pumps</v>
      </c>
      <c r="D949" s="38" t="str">
        <f t="shared" si="114"/>
        <v>Duplicate-</v>
      </c>
      <c r="E949" s="413"/>
      <c r="F949" s="43" t="s">
        <v>431</v>
      </c>
      <c r="G949" s="43" t="s">
        <v>752</v>
      </c>
      <c r="X949" s="38">
        <v>1</v>
      </c>
      <c r="Y949" s="38">
        <v>1</v>
      </c>
      <c r="AK949" s="45">
        <f t="shared" si="115"/>
        <v>0</v>
      </c>
      <c r="AL949" s="46">
        <f t="shared" si="116"/>
        <v>0</v>
      </c>
      <c r="AM949" s="46">
        <f t="shared" si="117"/>
        <v>0</v>
      </c>
      <c r="AN949" s="46"/>
      <c r="AO949" s="119" t="s">
        <v>1197</v>
      </c>
      <c r="AP949" s="38" t="str">
        <f t="shared" si="112"/>
        <v>Exclude</v>
      </c>
    </row>
    <row r="950" spans="1:42" ht="45" hidden="1">
      <c r="A950" s="38" t="str">
        <f t="shared" si="118"/>
        <v>Ausgrid</v>
      </c>
      <c r="B950" s="38" t="s">
        <v>1197</v>
      </c>
      <c r="C950" s="38" t="str">
        <f t="shared" si="113"/>
        <v>Duplicate-UG0444 - Sump Pumps - 10,000 hrs - CITY SOUTH 132KV CABLE TUNNEL</v>
      </c>
      <c r="D950" s="38" t="str">
        <f t="shared" si="114"/>
        <v>Duplicate-</v>
      </c>
      <c r="E950" s="413"/>
      <c r="F950" s="43" t="s">
        <v>431</v>
      </c>
      <c r="G950" s="43" t="s">
        <v>753</v>
      </c>
      <c r="X950" s="38">
        <v>0</v>
      </c>
      <c r="Y950" s="38">
        <v>2</v>
      </c>
      <c r="AK950" s="45">
        <f t="shared" si="115"/>
        <v>0</v>
      </c>
      <c r="AL950" s="46">
        <f t="shared" si="116"/>
        <v>0</v>
      </c>
      <c r="AM950" s="46">
        <f t="shared" si="117"/>
        <v>0</v>
      </c>
      <c r="AN950" s="46"/>
      <c r="AO950" s="119" t="s">
        <v>1197</v>
      </c>
      <c r="AP950" s="38" t="str">
        <f t="shared" si="112"/>
        <v>Exclude</v>
      </c>
    </row>
    <row r="951" spans="1:42" ht="45" hidden="1">
      <c r="A951" s="38" t="str">
        <f t="shared" si="118"/>
        <v>Ausgrid</v>
      </c>
      <c r="B951" s="38" t="s">
        <v>1197</v>
      </c>
      <c r="C951" s="38" t="str">
        <f t="shared" si="113"/>
        <v>Duplicate-UG0445 - Tunnel drainage channels - CITY SOUTH 132KV CABLE TUNNEL</v>
      </c>
      <c r="D951" s="38" t="str">
        <f t="shared" si="114"/>
        <v>Duplicate-</v>
      </c>
      <c r="E951" s="413"/>
      <c r="F951" s="43" t="s">
        <v>431</v>
      </c>
      <c r="G951" s="43" t="s">
        <v>754</v>
      </c>
      <c r="X951" s="38">
        <v>0</v>
      </c>
      <c r="Y951" s="38">
        <v>0.04</v>
      </c>
      <c r="AK951" s="45">
        <f t="shared" si="115"/>
        <v>0</v>
      </c>
      <c r="AL951" s="46">
        <f t="shared" si="116"/>
        <v>0</v>
      </c>
      <c r="AM951" s="46">
        <f t="shared" si="117"/>
        <v>0</v>
      </c>
      <c r="AN951" s="46"/>
      <c r="AO951" s="119" t="s">
        <v>1197</v>
      </c>
      <c r="AP951" s="38" t="str">
        <f t="shared" si="112"/>
        <v>Exclude</v>
      </c>
    </row>
    <row r="952" spans="1:42" ht="45" hidden="1">
      <c r="A952" s="38" t="str">
        <f t="shared" si="118"/>
        <v>Ausgrid</v>
      </c>
      <c r="B952" s="38" t="s">
        <v>1197</v>
      </c>
      <c r="C952" s="38" t="str">
        <f t="shared" si="113"/>
        <v>Duplicate-UG0445 - Tunnel drainage channels - CITY SOUTH 132KV CABLE TUNNEL</v>
      </c>
      <c r="D952" s="38" t="str">
        <f t="shared" si="114"/>
        <v>Duplicate-</v>
      </c>
      <c r="E952" s="413"/>
      <c r="F952" s="43" t="s">
        <v>431</v>
      </c>
      <c r="G952" s="43" t="s">
        <v>754</v>
      </c>
      <c r="X952" s="38">
        <v>0</v>
      </c>
      <c r="Y952" s="38">
        <v>0.5</v>
      </c>
      <c r="AK952" s="45">
        <f t="shared" si="115"/>
        <v>0</v>
      </c>
      <c r="AL952" s="46">
        <f t="shared" si="116"/>
        <v>0</v>
      </c>
      <c r="AM952" s="46">
        <f t="shared" si="117"/>
        <v>0</v>
      </c>
      <c r="AN952" s="46"/>
      <c r="AO952" s="119" t="s">
        <v>1197</v>
      </c>
      <c r="AP952" s="38" t="str">
        <f t="shared" si="112"/>
        <v>Exclude</v>
      </c>
    </row>
    <row r="953" spans="1:42" ht="30" hidden="1">
      <c r="A953" s="38" t="str">
        <f t="shared" si="118"/>
        <v>Ausgrid</v>
      </c>
      <c r="B953" s="38" t="s">
        <v>1197</v>
      </c>
      <c r="C953" s="38" t="str">
        <f t="shared" si="113"/>
        <v>Duplicate-UG0446 - Rising main - CITY SOUTH 132KV CABLE TUNNEL</v>
      </c>
      <c r="D953" s="38" t="str">
        <f t="shared" si="114"/>
        <v>Duplicate-</v>
      </c>
      <c r="E953" s="413"/>
      <c r="F953" s="43" t="s">
        <v>431</v>
      </c>
      <c r="G953" s="43" t="s">
        <v>755</v>
      </c>
      <c r="X953" s="38">
        <v>0</v>
      </c>
      <c r="Y953" s="38">
        <v>1</v>
      </c>
      <c r="AK953" s="45">
        <f t="shared" si="115"/>
        <v>0</v>
      </c>
      <c r="AL953" s="46">
        <f t="shared" si="116"/>
        <v>0</v>
      </c>
      <c r="AM953" s="46">
        <f t="shared" si="117"/>
        <v>0</v>
      </c>
      <c r="AN953" s="46"/>
      <c r="AO953" s="119" t="s">
        <v>1197</v>
      </c>
      <c r="AP953" s="38" t="str">
        <f t="shared" si="112"/>
        <v>Exclude</v>
      </c>
    </row>
    <row r="954" spans="1:42" ht="30" hidden="1">
      <c r="A954" s="38" t="str">
        <f t="shared" si="118"/>
        <v>Ausgrid</v>
      </c>
      <c r="B954" s="38" t="s">
        <v>1197</v>
      </c>
      <c r="C954" s="38" t="str">
        <f t="shared" si="113"/>
        <v xml:space="preserve">Duplicate-UG0461 - Radio Communications Equipment </v>
      </c>
      <c r="D954" s="38" t="str">
        <f t="shared" si="114"/>
        <v>Duplicate-</v>
      </c>
      <c r="E954" s="413"/>
      <c r="F954" s="43" t="s">
        <v>431</v>
      </c>
      <c r="G954" s="43" t="s">
        <v>756</v>
      </c>
      <c r="X954" s="38">
        <v>1</v>
      </c>
      <c r="Y954" s="38">
        <v>0</v>
      </c>
      <c r="AK954" s="45">
        <f t="shared" si="115"/>
        <v>0</v>
      </c>
      <c r="AL954" s="46">
        <f t="shared" si="116"/>
        <v>0</v>
      </c>
      <c r="AM954" s="46">
        <f t="shared" si="117"/>
        <v>0</v>
      </c>
      <c r="AN954" s="46"/>
      <c r="AO954" s="119" t="s">
        <v>1197</v>
      </c>
      <c r="AP954" s="38" t="str">
        <f t="shared" si="112"/>
        <v>Exclude</v>
      </c>
    </row>
    <row r="955" spans="1:42" ht="60" hidden="1">
      <c r="A955" s="38" t="str">
        <f t="shared" si="118"/>
        <v>Ausgrid</v>
      </c>
      <c r="B955" s="38" t="s">
        <v>1197</v>
      </c>
      <c r="C955" s="38" t="str">
        <f t="shared" si="113"/>
        <v>Duplicate-UG0462 - Radio Communications Equipment  - CITY SOUTH 132KV CABLE TUNNEL</v>
      </c>
      <c r="D955" s="38" t="str">
        <f t="shared" si="114"/>
        <v>Duplicate-</v>
      </c>
      <c r="E955" s="413"/>
      <c r="F955" s="43" t="s">
        <v>431</v>
      </c>
      <c r="G955" s="43" t="s">
        <v>757</v>
      </c>
      <c r="X955" s="38">
        <v>0</v>
      </c>
      <c r="Y955" s="38">
        <v>0.25</v>
      </c>
      <c r="AK955" s="45">
        <f t="shared" si="115"/>
        <v>0</v>
      </c>
      <c r="AL955" s="46">
        <f t="shared" si="116"/>
        <v>0</v>
      </c>
      <c r="AM955" s="46">
        <f t="shared" si="117"/>
        <v>0</v>
      </c>
      <c r="AN955" s="46"/>
      <c r="AO955" s="119" t="s">
        <v>1197</v>
      </c>
      <c r="AP955" s="38" t="str">
        <f t="shared" si="112"/>
        <v>Exclude</v>
      </c>
    </row>
    <row r="956" spans="1:42" ht="60" hidden="1">
      <c r="A956" s="38" t="str">
        <f t="shared" si="118"/>
        <v>Ausgrid</v>
      </c>
      <c r="B956" s="38" t="s">
        <v>1197</v>
      </c>
      <c r="C956" s="38" t="str">
        <f t="shared" si="113"/>
        <v>Duplicate-UG0464 - Tunnel temperature, humidity and airflow detectors. - CITY SOUTH 132KV CABLE TUNNEL</v>
      </c>
      <c r="D956" s="38" t="str">
        <f t="shared" si="114"/>
        <v>Duplicate-</v>
      </c>
      <c r="E956" s="413"/>
      <c r="F956" s="43" t="s">
        <v>431</v>
      </c>
      <c r="G956" s="43" t="s">
        <v>758</v>
      </c>
      <c r="X956" s="38">
        <v>0</v>
      </c>
      <c r="Y956" s="38">
        <v>0.08</v>
      </c>
      <c r="AK956" s="45">
        <f t="shared" si="115"/>
        <v>0</v>
      </c>
      <c r="AL956" s="46">
        <f t="shared" si="116"/>
        <v>0</v>
      </c>
      <c r="AM956" s="46">
        <f t="shared" si="117"/>
        <v>0</v>
      </c>
      <c r="AN956" s="46"/>
      <c r="AO956" s="119" t="s">
        <v>1197</v>
      </c>
      <c r="AP956" s="38" t="str">
        <f t="shared" si="112"/>
        <v>Exclude</v>
      </c>
    </row>
    <row r="957" spans="1:42" ht="30" hidden="1">
      <c r="A957" s="38" t="str">
        <f t="shared" si="118"/>
        <v>Ausgrid</v>
      </c>
      <c r="B957" s="38" t="s">
        <v>1197</v>
      </c>
      <c r="C957" s="38" t="str">
        <f t="shared" si="113"/>
        <v>Duplicate-UG0465 - Tunnel Monitoring and Control System UPS</v>
      </c>
      <c r="D957" s="38" t="str">
        <f t="shared" si="114"/>
        <v>Duplicate-</v>
      </c>
      <c r="E957" s="413"/>
      <c r="F957" s="43" t="s">
        <v>431</v>
      </c>
      <c r="G957" s="43" t="s">
        <v>759</v>
      </c>
      <c r="X957" s="38">
        <v>0.25</v>
      </c>
      <c r="Y957" s="38">
        <v>0</v>
      </c>
      <c r="AK957" s="45">
        <f t="shared" si="115"/>
        <v>0</v>
      </c>
      <c r="AL957" s="46">
        <f t="shared" si="116"/>
        <v>0</v>
      </c>
      <c r="AM957" s="46">
        <f t="shared" si="117"/>
        <v>0</v>
      </c>
      <c r="AN957" s="46"/>
      <c r="AO957" s="119" t="s">
        <v>1197</v>
      </c>
      <c r="AP957" s="38" t="str">
        <f t="shared" si="112"/>
        <v>Exclude</v>
      </c>
    </row>
    <row r="958" spans="1:42" ht="30" hidden="1">
      <c r="A958" s="38" t="str">
        <f t="shared" si="118"/>
        <v>Ausgrid</v>
      </c>
      <c r="B958" s="38" t="s">
        <v>1197</v>
      </c>
      <c r="C958" s="38" t="str">
        <f t="shared" si="113"/>
        <v>Duplicate-UG0463 - Tunnel Monitoring and Control System</v>
      </c>
      <c r="D958" s="38" t="str">
        <f t="shared" si="114"/>
        <v>Duplicate-</v>
      </c>
      <c r="E958" s="413"/>
      <c r="F958" s="43" t="s">
        <v>431</v>
      </c>
      <c r="G958" s="43" t="s">
        <v>760</v>
      </c>
      <c r="X958" s="38">
        <v>1</v>
      </c>
      <c r="Y958" s="38">
        <v>0.25</v>
      </c>
      <c r="AK958" s="45">
        <f t="shared" si="115"/>
        <v>0</v>
      </c>
      <c r="AL958" s="46">
        <f t="shared" si="116"/>
        <v>0</v>
      </c>
      <c r="AM958" s="46">
        <f t="shared" si="117"/>
        <v>0</v>
      </c>
      <c r="AN958" s="46"/>
      <c r="AO958" s="119" t="s">
        <v>1197</v>
      </c>
      <c r="AP958" s="38" t="str">
        <f t="shared" si="112"/>
        <v>Exclude</v>
      </c>
    </row>
    <row r="959" spans="1:42" ht="45" hidden="1">
      <c r="A959" s="38" t="str">
        <f t="shared" si="118"/>
        <v>Ausgrid</v>
      </c>
      <c r="B959" s="38" t="s">
        <v>1197</v>
      </c>
      <c r="C959" s="38" t="str">
        <f t="shared" si="113"/>
        <v>Duplicate-UG0468 - Tunnel emergency and construction/fixed lighting</v>
      </c>
      <c r="D959" s="38" t="str">
        <f t="shared" si="114"/>
        <v>Duplicate-</v>
      </c>
      <c r="E959" s="413"/>
      <c r="F959" s="43" t="s">
        <v>431</v>
      </c>
      <c r="G959" s="43" t="s">
        <v>761</v>
      </c>
      <c r="X959" s="38">
        <v>1</v>
      </c>
      <c r="Y959" s="38">
        <v>0.08</v>
      </c>
      <c r="AK959" s="45">
        <f t="shared" si="115"/>
        <v>0</v>
      </c>
      <c r="AL959" s="46">
        <f t="shared" si="116"/>
        <v>0</v>
      </c>
      <c r="AM959" s="46">
        <f t="shared" si="117"/>
        <v>0</v>
      </c>
      <c r="AN959" s="46"/>
      <c r="AO959" s="119" t="s">
        <v>1197</v>
      </c>
      <c r="AP959" s="38" t="str">
        <f t="shared" si="112"/>
        <v>Exclude</v>
      </c>
    </row>
    <row r="960" spans="1:42" ht="45" hidden="1">
      <c r="A960" s="38" t="str">
        <f t="shared" si="118"/>
        <v>Ausgrid</v>
      </c>
      <c r="B960" s="38" t="s">
        <v>1197</v>
      </c>
      <c r="C960" s="38" t="str">
        <f t="shared" si="113"/>
        <v>Duplicate-UG0468 - Tunnel emergency and construction/fixed lighting</v>
      </c>
      <c r="D960" s="38" t="str">
        <f t="shared" si="114"/>
        <v>Duplicate-</v>
      </c>
      <c r="E960" s="413"/>
      <c r="F960" s="43" t="s">
        <v>431</v>
      </c>
      <c r="G960" s="43" t="s">
        <v>761</v>
      </c>
      <c r="X960" s="38">
        <v>1</v>
      </c>
      <c r="Y960" s="38">
        <v>0.25</v>
      </c>
      <c r="AK960" s="45">
        <f t="shared" si="115"/>
        <v>0</v>
      </c>
      <c r="AL960" s="46">
        <f t="shared" si="116"/>
        <v>0</v>
      </c>
      <c r="AM960" s="46">
        <f t="shared" si="117"/>
        <v>0</v>
      </c>
      <c r="AN960" s="46"/>
      <c r="AO960" s="119" t="s">
        <v>1197</v>
      </c>
      <c r="AP960" s="38" t="str">
        <f t="shared" si="112"/>
        <v>Exclude</v>
      </c>
    </row>
    <row r="961" spans="1:42" ht="45" hidden="1">
      <c r="A961" s="38" t="str">
        <f t="shared" si="118"/>
        <v>Ausgrid</v>
      </c>
      <c r="B961" s="38" t="s">
        <v>1197</v>
      </c>
      <c r="C961" s="38" t="str">
        <f t="shared" si="113"/>
        <v>Duplicate-UG0467 - Tunnel Switchboards and Distribution Boards</v>
      </c>
      <c r="D961" s="38" t="str">
        <f t="shared" si="114"/>
        <v>Duplicate-</v>
      </c>
      <c r="E961" s="413"/>
      <c r="F961" s="43" t="s">
        <v>431</v>
      </c>
      <c r="G961" s="43" t="s">
        <v>762</v>
      </c>
      <c r="X961" s="38">
        <v>1</v>
      </c>
      <c r="Y961" s="38">
        <v>0</v>
      </c>
      <c r="AK961" s="45">
        <f t="shared" si="115"/>
        <v>0</v>
      </c>
      <c r="AL961" s="46">
        <f t="shared" si="116"/>
        <v>0</v>
      </c>
      <c r="AM961" s="46">
        <f t="shared" si="117"/>
        <v>0</v>
      </c>
      <c r="AN961" s="46"/>
      <c r="AO961" s="119" t="s">
        <v>1197</v>
      </c>
      <c r="AP961" s="38" t="str">
        <f t="shared" si="112"/>
        <v>Exclude</v>
      </c>
    </row>
    <row r="962" spans="1:42" ht="45" hidden="1">
      <c r="A962" s="38" t="str">
        <f t="shared" si="118"/>
        <v>Ausgrid</v>
      </c>
      <c r="B962" s="38" t="s">
        <v>1197</v>
      </c>
      <c r="C962" s="38" t="str">
        <f t="shared" si="113"/>
        <v>Duplicate-SUBTRANSMISSION SUBSTATION PROPERTY MAINTENANCE</v>
      </c>
      <c r="D962" s="38" t="str">
        <f t="shared" si="114"/>
        <v>Duplicate-Number of subtransmission properties maintained</v>
      </c>
      <c r="E962" s="413"/>
      <c r="F962" s="43" t="s">
        <v>431</v>
      </c>
      <c r="G962" s="43" t="s">
        <v>1129</v>
      </c>
      <c r="H962" s="43" t="s">
        <v>1130</v>
      </c>
      <c r="I962" s="41">
        <v>0.03</v>
      </c>
      <c r="J962" s="41">
        <v>0.03</v>
      </c>
      <c r="K962" s="41">
        <v>0.03</v>
      </c>
      <c r="L962" s="41">
        <v>0.03</v>
      </c>
      <c r="M962" s="41">
        <v>0.03</v>
      </c>
      <c r="N962" s="41">
        <v>0.31</v>
      </c>
      <c r="O962" s="41">
        <v>0.34</v>
      </c>
      <c r="P962" s="41">
        <v>0.34</v>
      </c>
      <c r="Q962" s="41">
        <v>0.47</v>
      </c>
      <c r="R962" s="41">
        <v>4.58</v>
      </c>
      <c r="S962" s="41">
        <v>28.95</v>
      </c>
      <c r="T962" s="41">
        <v>29.94</v>
      </c>
      <c r="U962" s="41">
        <v>30.94</v>
      </c>
      <c r="V962" s="41">
        <v>31.95</v>
      </c>
      <c r="W962" s="41">
        <v>32.950000000000003</v>
      </c>
      <c r="X962" s="38">
        <v>0</v>
      </c>
      <c r="Y962" s="38">
        <v>0</v>
      </c>
      <c r="Z962" s="40">
        <v>45.8</v>
      </c>
      <c r="AA962" s="40">
        <v>456.72</v>
      </c>
      <c r="AB962" s="40">
        <v>540.13</v>
      </c>
      <c r="AC962" s="40">
        <v>492.19</v>
      </c>
      <c r="AD962" s="40">
        <v>426.57</v>
      </c>
      <c r="AE962" s="40">
        <v>240.96</v>
      </c>
      <c r="AF962" s="40">
        <v>251.44</v>
      </c>
      <c r="AG962" s="40">
        <v>635.84</v>
      </c>
      <c r="AH962" s="40">
        <v>740.27</v>
      </c>
      <c r="AI962" s="40">
        <v>538.55999999999995</v>
      </c>
      <c r="AK962" s="45">
        <f t="shared" si="115"/>
        <v>6.04</v>
      </c>
      <c r="AL962" s="46">
        <f t="shared" si="116"/>
        <v>1961.41</v>
      </c>
      <c r="AM962" s="46">
        <f t="shared" si="117"/>
        <v>2407.0699999999997</v>
      </c>
      <c r="AN962" s="46"/>
      <c r="AO962" s="119" t="s">
        <v>1197</v>
      </c>
      <c r="AP962" s="38" t="str">
        <f t="shared" si="112"/>
        <v>Exclude</v>
      </c>
    </row>
    <row r="963" spans="1:42" ht="60" hidden="1">
      <c r="A963" s="38" t="str">
        <f t="shared" si="118"/>
        <v>Ausgrid</v>
      </c>
      <c r="B963" s="38" t="s">
        <v>1197</v>
      </c>
      <c r="C963" s="38" t="str">
        <f t="shared" si="113"/>
        <v>Duplicate-SU0105 - Substation, Non-Electrical Inspection - MAJOR SUBSTATIONS (ZONE AND SUBTRANSMISSION)</v>
      </c>
      <c r="D963" s="38" t="str">
        <f t="shared" si="114"/>
        <v>Duplicate-</v>
      </c>
      <c r="E963" s="413"/>
      <c r="F963" s="43" t="s">
        <v>431</v>
      </c>
      <c r="G963" s="43" t="s">
        <v>1057</v>
      </c>
      <c r="X963" s="38">
        <v>4</v>
      </c>
      <c r="Y963" s="38">
        <v>0</v>
      </c>
      <c r="AK963" s="45">
        <f t="shared" si="115"/>
        <v>0</v>
      </c>
      <c r="AL963" s="46">
        <f t="shared" si="116"/>
        <v>0</v>
      </c>
      <c r="AM963" s="46">
        <f t="shared" si="117"/>
        <v>0</v>
      </c>
      <c r="AN963" s="46"/>
      <c r="AO963" s="119" t="s">
        <v>1197</v>
      </c>
      <c r="AP963" s="38" t="str">
        <f t="shared" ref="AP963:AP1026" si="119">IFERROR(VLOOKUP(C963,$AR:$AS,2,FALSE),"Exclude")</f>
        <v>Exclude</v>
      </c>
    </row>
    <row r="964" spans="1:42" ht="60" hidden="1">
      <c r="A964" s="38" t="str">
        <f t="shared" si="118"/>
        <v>Ausgrid</v>
      </c>
      <c r="B964" s="38" t="s">
        <v>1197</v>
      </c>
      <c r="C964" s="38" t="str">
        <f t="shared" ref="C964:C1023" si="120">B964&amp;"-"&amp;G964</f>
        <v>Duplicate-SU0106 - Substation, Security Inspection - MAJOR SUBSTATIONS (ZONE AND SUBTRANSMISSION)</v>
      </c>
      <c r="D964" s="38" t="str">
        <f t="shared" ref="D964:D992" si="121">B964&amp;"-"&amp;H964</f>
        <v>Duplicate-</v>
      </c>
      <c r="E964" s="413"/>
      <c r="F964" s="43" t="s">
        <v>431</v>
      </c>
      <c r="G964" s="43" t="s">
        <v>1058</v>
      </c>
      <c r="X964" s="38">
        <v>0.08</v>
      </c>
      <c r="Y964" s="38">
        <v>0</v>
      </c>
      <c r="AK964" s="45">
        <f t="shared" ref="AK964:AK968" si="122">SUM(N964:R964)</f>
        <v>0</v>
      </c>
      <c r="AL964" s="46">
        <f t="shared" ref="AL964:AL968" si="123">SUM(Z964:AD964)</f>
        <v>0</v>
      </c>
      <c r="AM964" s="46">
        <f t="shared" ref="AM964:AM968" si="124">SUM(AE964:AI964)</f>
        <v>0</v>
      </c>
      <c r="AN964" s="46"/>
      <c r="AO964" s="119" t="s">
        <v>1197</v>
      </c>
      <c r="AP964" s="38" t="str">
        <f t="shared" si="119"/>
        <v>Exclude</v>
      </c>
    </row>
    <row r="965" spans="1:42" ht="30" hidden="1">
      <c r="A965" s="38" t="str">
        <f t="shared" si="118"/>
        <v>Ausgrid</v>
      </c>
      <c r="B965" s="38" t="s">
        <v>1197</v>
      </c>
      <c r="C965" s="38" t="str">
        <f t="shared" si="120"/>
        <v>Duplicate-AU1001 - Fire Extinguishers - Portable</v>
      </c>
      <c r="D965" s="38" t="str">
        <f t="shared" si="121"/>
        <v>Duplicate-</v>
      </c>
      <c r="E965" s="413"/>
      <c r="F965" s="43" t="s">
        <v>431</v>
      </c>
      <c r="G965" s="43" t="s">
        <v>862</v>
      </c>
      <c r="X965" s="38">
        <v>0.5</v>
      </c>
      <c r="Y965" s="38">
        <v>0</v>
      </c>
      <c r="AK965" s="45">
        <f t="shared" si="122"/>
        <v>0</v>
      </c>
      <c r="AL965" s="46">
        <f t="shared" si="123"/>
        <v>0</v>
      </c>
      <c r="AM965" s="46">
        <f t="shared" si="124"/>
        <v>0</v>
      </c>
      <c r="AN965" s="46"/>
      <c r="AO965" s="119" t="s">
        <v>1197</v>
      </c>
      <c r="AP965" s="38" t="str">
        <f t="shared" si="119"/>
        <v>Exclude</v>
      </c>
    </row>
    <row r="966" spans="1:42" ht="30" hidden="1">
      <c r="A966" s="38" t="str">
        <f t="shared" si="118"/>
        <v>Ausgrid</v>
      </c>
      <c r="B966" s="38" t="s">
        <v>1197</v>
      </c>
      <c r="C966" s="38" t="str">
        <f t="shared" si="120"/>
        <v>Duplicate-AU1002 - Fire Extinguishers - Portable</v>
      </c>
      <c r="D966" s="38" t="str">
        <f t="shared" si="121"/>
        <v>Duplicate-</v>
      </c>
      <c r="E966" s="413"/>
      <c r="F966" s="43" t="s">
        <v>431</v>
      </c>
      <c r="G966" s="43" t="s">
        <v>863</v>
      </c>
      <c r="X966" s="38">
        <v>1</v>
      </c>
      <c r="Y966" s="38">
        <v>0</v>
      </c>
      <c r="AK966" s="45">
        <f t="shared" si="122"/>
        <v>0</v>
      </c>
      <c r="AL966" s="46">
        <f t="shared" si="123"/>
        <v>0</v>
      </c>
      <c r="AM966" s="46">
        <f t="shared" si="124"/>
        <v>0</v>
      </c>
      <c r="AN966" s="46"/>
      <c r="AO966" s="119" t="s">
        <v>1197</v>
      </c>
      <c r="AP966" s="38" t="str">
        <f t="shared" si="119"/>
        <v>Exclude</v>
      </c>
    </row>
    <row r="967" spans="1:42" ht="30" hidden="1">
      <c r="A967" s="38" t="str">
        <f t="shared" si="118"/>
        <v>Ausgrid</v>
      </c>
      <c r="B967" s="38" t="s">
        <v>1197</v>
      </c>
      <c r="C967" s="38" t="str">
        <f t="shared" si="120"/>
        <v>Duplicate-AU1003 - Fire Extinguishers - Portable</v>
      </c>
      <c r="D967" s="38" t="str">
        <f t="shared" si="121"/>
        <v>Duplicate-</v>
      </c>
      <c r="E967" s="413"/>
      <c r="F967" s="43" t="s">
        <v>431</v>
      </c>
      <c r="G967" s="43" t="s">
        <v>864</v>
      </c>
      <c r="X967" s="38">
        <v>5</v>
      </c>
      <c r="Y967" s="38">
        <v>0</v>
      </c>
      <c r="AK967" s="45">
        <f t="shared" si="122"/>
        <v>0</v>
      </c>
      <c r="AL967" s="46">
        <f t="shared" si="123"/>
        <v>0</v>
      </c>
      <c r="AM967" s="46">
        <f t="shared" si="124"/>
        <v>0</v>
      </c>
      <c r="AN967" s="46"/>
      <c r="AO967" s="119" t="s">
        <v>1197</v>
      </c>
      <c r="AP967" s="38" t="str">
        <f t="shared" si="119"/>
        <v>Exclude</v>
      </c>
    </row>
    <row r="968" spans="1:42" ht="30" hidden="1">
      <c r="A968" s="38" t="str">
        <f t="shared" si="118"/>
        <v>Ausgrid</v>
      </c>
      <c r="B968" s="38" t="s">
        <v>1197</v>
      </c>
      <c r="C968" s="38" t="str">
        <f t="shared" si="120"/>
        <v>Duplicate-AU1003 - Fire Extinguishers - Portable</v>
      </c>
      <c r="D968" s="38" t="str">
        <f t="shared" si="121"/>
        <v>Duplicate-</v>
      </c>
      <c r="E968" s="414"/>
      <c r="F968" s="43" t="s">
        <v>431</v>
      </c>
      <c r="G968" s="43" t="s">
        <v>864</v>
      </c>
      <c r="X968" s="38">
        <v>5</v>
      </c>
      <c r="Y968" s="38">
        <v>0</v>
      </c>
      <c r="AK968" s="45">
        <f t="shared" si="122"/>
        <v>0</v>
      </c>
      <c r="AL968" s="46">
        <f t="shared" si="123"/>
        <v>0</v>
      </c>
      <c r="AM968" s="46">
        <f t="shared" si="124"/>
        <v>0</v>
      </c>
      <c r="AN968" s="46"/>
      <c r="AO968" s="119" t="s">
        <v>1197</v>
      </c>
      <c r="AP968" s="38" t="str">
        <f t="shared" si="119"/>
        <v>Exclude</v>
      </c>
    </row>
    <row r="969" spans="1:42" ht="30">
      <c r="A969" s="38" t="str">
        <f t="shared" si="118"/>
        <v>Ergon</v>
      </c>
      <c r="B969" s="38" t="s">
        <v>1189</v>
      </c>
      <c r="C969" s="38" t="str">
        <f t="shared" si="120"/>
        <v>OH Maintenance-POLE TOPS AND OVERHEAD LINES</v>
      </c>
      <c r="D969" s="38" t="str">
        <f t="shared" si="121"/>
        <v>OH Maintenance-NUMBER OF POLES (000'S)</v>
      </c>
      <c r="E969" s="386" t="s">
        <v>1147</v>
      </c>
      <c r="F969" s="43" t="s">
        <v>388</v>
      </c>
      <c r="G969" s="43" t="s">
        <v>389</v>
      </c>
      <c r="H969" s="43" t="s">
        <v>390</v>
      </c>
      <c r="I969" s="41">
        <v>942.53912060000005</v>
      </c>
      <c r="J969" s="41">
        <v>957.86496</v>
      </c>
      <c r="K969" s="41">
        <v>973.44</v>
      </c>
      <c r="L969" s="41">
        <v>968.81100000000004</v>
      </c>
      <c r="M969" s="41">
        <v>961.36300000000006</v>
      </c>
      <c r="N969" s="41">
        <v>5.2543214540000003</v>
      </c>
      <c r="O969" s="41">
        <v>5.2741942909999997</v>
      </c>
      <c r="P969" s="41">
        <v>7.3326483380000003</v>
      </c>
      <c r="Q969" s="41">
        <v>13.39975123</v>
      </c>
      <c r="R969" s="41">
        <v>15.720800000000001</v>
      </c>
      <c r="S969" s="41">
        <v>17.43919636</v>
      </c>
      <c r="T969" s="41">
        <v>18.43919636</v>
      </c>
      <c r="U969" s="41">
        <v>19.43919636</v>
      </c>
      <c r="V969" s="41">
        <v>24.421466909999999</v>
      </c>
      <c r="W969" s="41">
        <v>28.601079739999999</v>
      </c>
      <c r="X969" s="38">
        <v>4</v>
      </c>
      <c r="Y969" s="38">
        <v>0</v>
      </c>
      <c r="Z969" s="40">
        <v>0</v>
      </c>
      <c r="AA969" s="40">
        <v>1302.4734040000001</v>
      </c>
      <c r="AB969" s="40">
        <v>1810.8129719999999</v>
      </c>
      <c r="AC969" s="40">
        <v>2501.3380950000001</v>
      </c>
      <c r="AD969" s="40">
        <v>3174.1378020000002</v>
      </c>
      <c r="AE969" s="40">
        <v>10264.8649</v>
      </c>
      <c r="AF969" s="40">
        <v>10303.688560000001</v>
      </c>
      <c r="AG969" s="40">
        <v>10417.88464</v>
      </c>
      <c r="AH969" s="40">
        <v>12502.58142</v>
      </c>
      <c r="AI969" s="40">
        <v>13129.783670000001</v>
      </c>
      <c r="AK969" s="53">
        <f t="shared" ref="AK969:AK1020" si="125">IF($B969="Duplicate","",SUM(N969:R969))</f>
        <v>46.981715312999995</v>
      </c>
      <c r="AL969" s="54">
        <f t="shared" ref="AL969:AL1020" si="126">IF($B969="Duplicate","",SUM(Z969:AD969))</f>
        <v>8788.7622730000003</v>
      </c>
      <c r="AM969" s="54">
        <f t="shared" ref="AM969:AM1020" si="127">IF($B969="Duplicate","",SUM(AE969:AI969))</f>
        <v>56618.803190000006</v>
      </c>
      <c r="AN969" s="123">
        <f t="shared" ref="AN969:AN974" si="128">AL969+AM969</f>
        <v>65407.565463000006</v>
      </c>
      <c r="AO969" s="44" t="s">
        <v>1389</v>
      </c>
      <c r="AP969" s="38" t="str">
        <f t="shared" si="119"/>
        <v>OH</v>
      </c>
    </row>
    <row r="970" spans="1:42" ht="30">
      <c r="A970" s="38" t="str">
        <f t="shared" si="118"/>
        <v>Ergon</v>
      </c>
      <c r="B970" s="38" t="s">
        <v>1189</v>
      </c>
      <c r="C970" s="38" t="str">
        <f t="shared" si="120"/>
        <v>OH Maintenance-SERVICE LINES</v>
      </c>
      <c r="D970" s="38" t="str">
        <f t="shared" si="121"/>
        <v>OH Maintenance-NUMBER OF CUSTOMERS (000'S)</v>
      </c>
      <c r="E970" s="387"/>
      <c r="F970" s="43" t="s">
        <v>388</v>
      </c>
      <c r="G970" s="43" t="s">
        <v>391</v>
      </c>
      <c r="H970" s="43" t="s">
        <v>392</v>
      </c>
      <c r="I970" s="41">
        <v>307.27797809999998</v>
      </c>
      <c r="J970" s="41">
        <v>312.27436799999998</v>
      </c>
      <c r="K970" s="41">
        <v>317.35199999999998</v>
      </c>
      <c r="L970" s="41">
        <v>317.35199999999998</v>
      </c>
      <c r="M970" s="41">
        <v>462.529</v>
      </c>
      <c r="N970" s="41">
        <v>0.26271607299999999</v>
      </c>
      <c r="O970" s="41">
        <v>0.26370971500000001</v>
      </c>
      <c r="P970" s="41">
        <v>0.26663241700000001</v>
      </c>
      <c r="Q970" s="41">
        <v>0.31998756099999998</v>
      </c>
      <c r="R970" s="41">
        <v>0.33604000000000001</v>
      </c>
      <c r="S970" s="41">
        <v>7.2726077719999997</v>
      </c>
      <c r="T970" s="41">
        <v>8.2726077720000006</v>
      </c>
      <c r="U970" s="41">
        <v>9.2726077720000006</v>
      </c>
      <c r="V970" s="41">
        <v>10.27260777</v>
      </c>
      <c r="W970" s="41">
        <v>11.27260777</v>
      </c>
      <c r="X970" s="38">
        <v>4</v>
      </c>
      <c r="Y970" s="38">
        <v>0</v>
      </c>
      <c r="Z970" s="40">
        <v>0</v>
      </c>
      <c r="AA970" s="40">
        <v>0</v>
      </c>
      <c r="AB970" s="40">
        <v>0</v>
      </c>
      <c r="AC970" s="40">
        <v>0</v>
      </c>
      <c r="AD970" s="40">
        <v>0</v>
      </c>
      <c r="AE970" s="40">
        <v>513.24324509999997</v>
      </c>
      <c r="AF970" s="40">
        <v>515.18442809999999</v>
      </c>
      <c r="AG970" s="40">
        <v>520.89423190000002</v>
      </c>
      <c r="AH970" s="40">
        <v>625.12907080000002</v>
      </c>
      <c r="AI970" s="40">
        <v>656.48918370000001</v>
      </c>
      <c r="AK970" s="53">
        <f t="shared" si="125"/>
        <v>1.4490857660000001</v>
      </c>
      <c r="AL970" s="54">
        <f t="shared" si="126"/>
        <v>0</v>
      </c>
      <c r="AM970" s="54">
        <f t="shared" si="127"/>
        <v>2830.9401595999998</v>
      </c>
      <c r="AN970" s="123">
        <f t="shared" si="128"/>
        <v>2830.9401595999998</v>
      </c>
      <c r="AO970" s="44" t="s">
        <v>1389</v>
      </c>
      <c r="AP970" s="38" t="str">
        <f t="shared" si="119"/>
        <v>Service Lines</v>
      </c>
    </row>
    <row r="971" spans="1:42">
      <c r="A971" s="38" t="str">
        <f t="shared" si="118"/>
        <v>Ergon</v>
      </c>
      <c r="B971" s="38" t="s">
        <v>1190</v>
      </c>
      <c r="C971" s="38" t="str">
        <f t="shared" si="120"/>
        <v>Pole Inspection-ALL POLES</v>
      </c>
      <c r="D971" s="38" t="str">
        <f t="shared" si="121"/>
        <v>Pole Inspection-NUMBER OF POLES (000'S)</v>
      </c>
      <c r="E971" s="387"/>
      <c r="F971" s="43" t="s">
        <v>393</v>
      </c>
      <c r="G971" s="43" t="s">
        <v>394</v>
      </c>
      <c r="H971" s="43" t="s">
        <v>390</v>
      </c>
      <c r="I971" s="41">
        <v>942.53912060000005</v>
      </c>
      <c r="J971" s="41">
        <v>957.86496</v>
      </c>
      <c r="K971" s="41">
        <v>973.44</v>
      </c>
      <c r="L971" s="41">
        <v>968.81100000000004</v>
      </c>
      <c r="M971" s="41">
        <v>961.36300000000006</v>
      </c>
      <c r="N971" s="41">
        <v>262.00335799999999</v>
      </c>
      <c r="O971" s="41">
        <v>247.13985489999999</v>
      </c>
      <c r="P971" s="41">
        <v>243.66631620000001</v>
      </c>
      <c r="Q971" s="41">
        <v>300.1599938</v>
      </c>
      <c r="R971" s="41">
        <v>259.69801999999999</v>
      </c>
      <c r="S971" s="41">
        <v>17.99866042</v>
      </c>
      <c r="T971" s="41">
        <v>18.99866042</v>
      </c>
      <c r="U971" s="41">
        <v>19.99866042</v>
      </c>
      <c r="V971" s="41">
        <v>25.53004061</v>
      </c>
      <c r="W971" s="41">
        <v>27.289115559999999</v>
      </c>
      <c r="X971" s="38">
        <v>4</v>
      </c>
      <c r="Y971" s="38">
        <v>0</v>
      </c>
      <c r="Z971" s="40">
        <v>21647.49984</v>
      </c>
      <c r="AA971" s="40">
        <v>20419.432820000002</v>
      </c>
      <c r="AB971" s="40">
        <v>20132.438689999999</v>
      </c>
      <c r="AC971" s="40">
        <v>27809.63335</v>
      </c>
      <c r="AD971" s="40">
        <v>26835.631119999998</v>
      </c>
      <c r="AE971" s="40">
        <v>256.62162260000002</v>
      </c>
      <c r="AF971" s="40">
        <v>257.59221400000001</v>
      </c>
      <c r="AG971" s="40">
        <v>260.44711599999999</v>
      </c>
      <c r="AH971" s="40">
        <v>312.56453540000001</v>
      </c>
      <c r="AI971" s="40">
        <v>328.24459180000002</v>
      </c>
      <c r="AK971" s="53">
        <f t="shared" si="125"/>
        <v>1312.6675428999999</v>
      </c>
      <c r="AL971" s="54">
        <f t="shared" si="126"/>
        <v>116844.63582</v>
      </c>
      <c r="AM971" s="54">
        <f t="shared" si="127"/>
        <v>1415.4700798000001</v>
      </c>
      <c r="AN971" s="123">
        <f t="shared" si="128"/>
        <v>118260.10589979999</v>
      </c>
      <c r="AO971" s="44" t="s">
        <v>1389</v>
      </c>
      <c r="AP971" s="38" t="str">
        <f t="shared" si="119"/>
        <v>OH</v>
      </c>
    </row>
    <row r="972" spans="1:42" ht="30">
      <c r="A972" s="38" t="str">
        <f t="shared" si="118"/>
        <v>Ergon</v>
      </c>
      <c r="B972" s="38" t="s">
        <v>1191</v>
      </c>
      <c r="C972" s="38" t="str">
        <f t="shared" si="120"/>
        <v>OH Asset Inspection-ALL OVERHEAD ASSETS</v>
      </c>
      <c r="D972" s="38" t="str">
        <f t="shared" si="121"/>
        <v>OH Asset Inspection-LINE PATROLLED (ROUTE KM) (000'S)</v>
      </c>
      <c r="E972" s="387"/>
      <c r="F972" s="43" t="s">
        <v>395</v>
      </c>
      <c r="G972" s="43" t="s">
        <v>396</v>
      </c>
      <c r="H972" s="43" t="s">
        <v>397</v>
      </c>
      <c r="I972" s="41">
        <v>158.99054000000001</v>
      </c>
      <c r="J972" s="41">
        <v>161.57575199999999</v>
      </c>
      <c r="K972" s="41">
        <v>164.203</v>
      </c>
      <c r="L972" s="41">
        <v>155.57300000000001</v>
      </c>
      <c r="M972" s="41">
        <v>154.471</v>
      </c>
      <c r="N972" s="41">
        <v>26.69935804</v>
      </c>
      <c r="O972" s="41">
        <v>27.131854860000001</v>
      </c>
      <c r="P972" s="41">
        <v>33.383316209999997</v>
      </c>
      <c r="Q972" s="41">
        <v>29.409993780000001</v>
      </c>
      <c r="R972" s="41">
        <v>38.175020000000004</v>
      </c>
      <c r="S972" s="41">
        <v>19.304708170000001</v>
      </c>
      <c r="T972" s="41">
        <v>20.304708170000001</v>
      </c>
      <c r="U972" s="41">
        <v>21.304708170000001</v>
      </c>
      <c r="V972" s="41">
        <v>26.6004687</v>
      </c>
      <c r="W972" s="41">
        <v>27.6004687</v>
      </c>
      <c r="X972" s="38">
        <v>1</v>
      </c>
      <c r="Y972" s="38">
        <v>0</v>
      </c>
      <c r="Z972" s="40">
        <v>956.17112980000002</v>
      </c>
      <c r="AA972" s="40">
        <v>971.6599281</v>
      </c>
      <c r="AB972" s="40">
        <v>1195.5404739999999</v>
      </c>
      <c r="AC972" s="40">
        <v>1651.437445</v>
      </c>
      <c r="AD972" s="40">
        <v>691.41446810000002</v>
      </c>
      <c r="AE972" s="40">
        <v>256.62162260000002</v>
      </c>
      <c r="AF972" s="40">
        <v>257.59221400000001</v>
      </c>
      <c r="AG972" s="40">
        <v>260.44711599999999</v>
      </c>
      <c r="AH972" s="40">
        <v>312.56453540000001</v>
      </c>
      <c r="AI972" s="40">
        <v>328.24459180000002</v>
      </c>
      <c r="AK972" s="53">
        <f t="shared" si="125"/>
        <v>154.79954289</v>
      </c>
      <c r="AL972" s="54">
        <f t="shared" si="126"/>
        <v>5466.2234449999996</v>
      </c>
      <c r="AM972" s="54">
        <f t="shared" si="127"/>
        <v>1415.4700798000001</v>
      </c>
      <c r="AN972" s="123">
        <f t="shared" si="128"/>
        <v>6881.6935248</v>
      </c>
      <c r="AO972" s="44" t="s">
        <v>1389</v>
      </c>
      <c r="AP972" s="38" t="str">
        <f t="shared" si="119"/>
        <v>OH</v>
      </c>
    </row>
    <row r="973" spans="1:42" ht="30" hidden="1">
      <c r="A973" s="38" t="str">
        <f t="shared" si="118"/>
        <v>Ergon</v>
      </c>
      <c r="B973" s="38" t="s">
        <v>1192</v>
      </c>
      <c r="C973" s="38" t="str">
        <f t="shared" si="120"/>
        <v>UG Cable Maintenance-LV - 11 TO 22 KV</v>
      </c>
      <c r="D973" s="38" t="str">
        <f t="shared" si="121"/>
        <v>UG Cable Maintenance-LENGTH (KM) (000'S)</v>
      </c>
      <c r="E973" s="409"/>
      <c r="F973" s="43" t="s">
        <v>398</v>
      </c>
      <c r="G973" s="43" t="s">
        <v>399</v>
      </c>
      <c r="H973" s="43" t="s">
        <v>400</v>
      </c>
      <c r="I973" s="41">
        <v>5.2135240830000003</v>
      </c>
      <c r="J973" s="41">
        <v>5.2982968320000001</v>
      </c>
      <c r="K973" s="41">
        <v>5.3844479999999999</v>
      </c>
      <c r="L973" s="41">
        <v>5.4720000000000004</v>
      </c>
      <c r="M973" s="41">
        <v>5.8040000000000003</v>
      </c>
      <c r="N973" s="41">
        <v>0.13135803600000001</v>
      </c>
      <c r="O973" s="41">
        <v>0.13185485699999999</v>
      </c>
      <c r="P973" s="41">
        <v>0.13331620799999999</v>
      </c>
      <c r="Q973" s="41">
        <v>0.159993781</v>
      </c>
      <c r="R973" s="41">
        <v>0.16802</v>
      </c>
      <c r="S973" s="41">
        <v>7.2511775519999997</v>
      </c>
      <c r="T973" s="41">
        <v>8.2511775519999997</v>
      </c>
      <c r="U973" s="41">
        <v>9.2511775519999997</v>
      </c>
      <c r="V973" s="41">
        <v>10.25117755</v>
      </c>
      <c r="W973" s="41">
        <v>11.25117755</v>
      </c>
      <c r="X973" s="38">
        <v>0</v>
      </c>
      <c r="Y973" s="38">
        <v>0</v>
      </c>
      <c r="Z973" s="40">
        <v>0</v>
      </c>
      <c r="AA973" s="40">
        <v>0</v>
      </c>
      <c r="AB973" s="40">
        <v>0</v>
      </c>
      <c r="AC973" s="40">
        <v>0</v>
      </c>
      <c r="AD973" s="40">
        <v>0</v>
      </c>
      <c r="AE973" s="40">
        <v>256.62162260000002</v>
      </c>
      <c r="AF973" s="40">
        <v>257.59221400000001</v>
      </c>
      <c r="AG973" s="40">
        <v>260.44711599999999</v>
      </c>
      <c r="AH973" s="40">
        <v>312.56453540000001</v>
      </c>
      <c r="AI973" s="40">
        <v>328.24459180000002</v>
      </c>
      <c r="AK973" s="53">
        <f t="shared" si="125"/>
        <v>0.72454288199999994</v>
      </c>
      <c r="AL973" s="54">
        <f t="shared" si="126"/>
        <v>0</v>
      </c>
      <c r="AM973" s="54">
        <f t="shared" si="127"/>
        <v>1415.4700798000001</v>
      </c>
      <c r="AN973" s="123">
        <f t="shared" si="128"/>
        <v>1415.4700798000001</v>
      </c>
      <c r="AO973" s="44" t="s">
        <v>1389</v>
      </c>
      <c r="AP973" s="38" t="str">
        <f t="shared" si="119"/>
        <v>UG</v>
      </c>
    </row>
    <row r="974" spans="1:42" ht="30" hidden="1">
      <c r="A974" s="38" t="str">
        <f t="shared" si="118"/>
        <v>Ergon</v>
      </c>
      <c r="B974" s="38" t="s">
        <v>1192</v>
      </c>
      <c r="C974" s="38" t="str">
        <f t="shared" si="120"/>
        <v>UG Cable Maintenance-33 KV AND ABOVE</v>
      </c>
      <c r="D974" s="38" t="str">
        <f t="shared" si="121"/>
        <v>UG Cable Maintenance-LENGTH (KM) (000'S)</v>
      </c>
      <c r="E974" s="409"/>
      <c r="F974" s="43" t="s">
        <v>398</v>
      </c>
      <c r="G974" s="43" t="s">
        <v>401</v>
      </c>
      <c r="H974" s="43" t="s">
        <v>400</v>
      </c>
      <c r="I974" s="41">
        <v>1.991702592</v>
      </c>
      <c r="J974" s="41">
        <v>2.0240879999999999</v>
      </c>
      <c r="K974" s="41">
        <v>2.0569999999999999</v>
      </c>
      <c r="L974" s="41">
        <v>2.0950000000000002</v>
      </c>
      <c r="M974" s="41">
        <v>2.2909999999999999</v>
      </c>
      <c r="N974" s="41">
        <v>0</v>
      </c>
      <c r="O974" s="41">
        <v>0</v>
      </c>
      <c r="P974" s="41">
        <v>0</v>
      </c>
      <c r="Q974" s="41">
        <v>0</v>
      </c>
      <c r="R974" s="41">
        <v>0</v>
      </c>
      <c r="S974" s="41">
        <v>8.7883037149999996</v>
      </c>
      <c r="T974" s="41">
        <v>9.7883037149999996</v>
      </c>
      <c r="U974" s="41">
        <v>10.788303709999999</v>
      </c>
      <c r="V974" s="41">
        <v>11.788303709999999</v>
      </c>
      <c r="W974" s="41">
        <v>11.272700309999999</v>
      </c>
      <c r="X974" s="38">
        <v>0</v>
      </c>
      <c r="Y974" s="38">
        <v>0</v>
      </c>
      <c r="Z974" s="40">
        <v>0</v>
      </c>
      <c r="AA974" s="40">
        <v>0</v>
      </c>
      <c r="AB974" s="40">
        <v>0</v>
      </c>
      <c r="AC974" s="40">
        <v>0</v>
      </c>
      <c r="AD974" s="40">
        <v>0</v>
      </c>
      <c r="AE974" s="40">
        <v>0</v>
      </c>
      <c r="AF974" s="40">
        <v>0</v>
      </c>
      <c r="AG974" s="40">
        <v>0</v>
      </c>
      <c r="AH974" s="40">
        <v>0</v>
      </c>
      <c r="AI974" s="40">
        <v>0</v>
      </c>
      <c r="AK974" s="53">
        <f t="shared" si="125"/>
        <v>0</v>
      </c>
      <c r="AL974" s="54">
        <f t="shared" si="126"/>
        <v>0</v>
      </c>
      <c r="AM974" s="54">
        <f t="shared" si="127"/>
        <v>0</v>
      </c>
      <c r="AN974" s="123">
        <f t="shared" si="128"/>
        <v>0</v>
      </c>
      <c r="AO974" s="44" t="s">
        <v>1389</v>
      </c>
      <c r="AP974" s="38" t="str">
        <f t="shared" si="119"/>
        <v>UG</v>
      </c>
    </row>
    <row r="975" spans="1:42" ht="30" hidden="1">
      <c r="A975" s="38" t="str">
        <f t="shared" si="118"/>
        <v>Ergon</v>
      </c>
      <c r="B975" s="38" t="s">
        <v>1197</v>
      </c>
      <c r="C975" s="38" t="str">
        <f t="shared" si="120"/>
        <v>Duplicate-CBD</v>
      </c>
      <c r="D975" s="38" t="str">
        <f t="shared" si="121"/>
        <v>Duplicate-LENGTH (KM) (000'S)</v>
      </c>
      <c r="E975" s="409"/>
      <c r="F975" s="43" t="s">
        <v>402</v>
      </c>
      <c r="G975" s="43" t="s">
        <v>403</v>
      </c>
      <c r="H975" s="43" t="s">
        <v>400</v>
      </c>
      <c r="I975" s="41">
        <v>0</v>
      </c>
      <c r="J975" s="41">
        <v>0</v>
      </c>
      <c r="K975" s="41">
        <v>0</v>
      </c>
      <c r="L975" s="41">
        <v>0</v>
      </c>
      <c r="M975" s="41">
        <v>0</v>
      </c>
      <c r="N975" s="41">
        <v>0</v>
      </c>
      <c r="O975" s="41">
        <v>0</v>
      </c>
      <c r="P975" s="41">
        <v>0</v>
      </c>
      <c r="Q975" s="41">
        <v>0</v>
      </c>
      <c r="R975" s="41">
        <v>0</v>
      </c>
      <c r="S975" s="41">
        <v>0</v>
      </c>
      <c r="T975" s="41">
        <v>0</v>
      </c>
      <c r="U975" s="41">
        <v>0</v>
      </c>
      <c r="V975" s="41">
        <v>0</v>
      </c>
      <c r="W975" s="41">
        <v>0</v>
      </c>
      <c r="X975" s="38">
        <v>0</v>
      </c>
      <c r="Y975" s="38">
        <v>0</v>
      </c>
      <c r="Z975" s="40">
        <v>0</v>
      </c>
      <c r="AA975" s="40">
        <v>0</v>
      </c>
      <c r="AB975" s="40">
        <v>0</v>
      </c>
      <c r="AC975" s="40">
        <v>0</v>
      </c>
      <c r="AD975" s="40">
        <v>0</v>
      </c>
      <c r="AE975" s="40">
        <v>0</v>
      </c>
      <c r="AF975" s="40">
        <v>0</v>
      </c>
      <c r="AG975" s="40">
        <v>0</v>
      </c>
      <c r="AH975" s="40">
        <v>0</v>
      </c>
      <c r="AI975" s="40">
        <v>0</v>
      </c>
      <c r="AK975" s="53" t="str">
        <f t="shared" si="125"/>
        <v/>
      </c>
      <c r="AL975" s="54" t="str">
        <f t="shared" si="126"/>
        <v/>
      </c>
      <c r="AM975" s="54" t="str">
        <f t="shared" si="127"/>
        <v/>
      </c>
      <c r="AN975" s="121"/>
      <c r="AO975" s="44" t="s">
        <v>1389</v>
      </c>
      <c r="AP975" s="38" t="str">
        <f t="shared" si="119"/>
        <v>Exclude</v>
      </c>
    </row>
    <row r="976" spans="1:42" ht="30" hidden="1">
      <c r="A976" s="38" t="str">
        <f t="shared" si="118"/>
        <v>Ergon</v>
      </c>
      <c r="B976" s="38" t="s">
        <v>1197</v>
      </c>
      <c r="C976" s="38" t="str">
        <f t="shared" si="120"/>
        <v>Duplicate-NON-CBD</v>
      </c>
      <c r="D976" s="38" t="str">
        <f t="shared" si="121"/>
        <v>Duplicate-LENGTH (KM) (000'S)</v>
      </c>
      <c r="E976" s="409"/>
      <c r="F976" s="43" t="s">
        <v>402</v>
      </c>
      <c r="G976" s="43" t="s">
        <v>404</v>
      </c>
      <c r="H976" s="43" t="s">
        <v>400</v>
      </c>
      <c r="I976" s="41">
        <v>7.2052266749999996</v>
      </c>
      <c r="J976" s="41">
        <v>7.322384832</v>
      </c>
      <c r="K976" s="41">
        <v>7.4414480000000003</v>
      </c>
      <c r="L976" s="41">
        <v>7.5670000000000002</v>
      </c>
      <c r="M976" s="41">
        <v>8.0950000000000006</v>
      </c>
      <c r="N976" s="41">
        <v>1.3135800000000001E-4</v>
      </c>
      <c r="O976" s="41">
        <v>1.31855E-4</v>
      </c>
      <c r="P976" s="41">
        <v>1.33316E-4</v>
      </c>
      <c r="Q976" s="41">
        <v>1.59994E-4</v>
      </c>
      <c r="R976" s="41">
        <v>1.6802000000000001E-4</v>
      </c>
      <c r="S976" s="41">
        <v>7.2572697159999997</v>
      </c>
      <c r="T976" s="41">
        <v>8.6760771840000004</v>
      </c>
      <c r="U976" s="41">
        <v>9.6760771840000004</v>
      </c>
      <c r="V976" s="41">
        <v>10.67607718</v>
      </c>
      <c r="W976" s="41">
        <v>11.257136340000001</v>
      </c>
      <c r="X976" s="38">
        <v>0</v>
      </c>
      <c r="Y976" s="38">
        <v>0</v>
      </c>
      <c r="Z976" s="40">
        <v>0</v>
      </c>
      <c r="AA976" s="40">
        <v>0</v>
      </c>
      <c r="AB976" s="40">
        <v>0</v>
      </c>
      <c r="AC976" s="40">
        <v>0</v>
      </c>
      <c r="AD976" s="40">
        <v>0</v>
      </c>
      <c r="AE976" s="40">
        <v>256.62162260000002</v>
      </c>
      <c r="AF976" s="40">
        <v>257.59221400000001</v>
      </c>
      <c r="AG976" s="40">
        <v>260.44711599999999</v>
      </c>
      <c r="AH976" s="40">
        <v>312.56453540000001</v>
      </c>
      <c r="AI976" s="40">
        <v>328.24459180000002</v>
      </c>
      <c r="AK976" s="53" t="str">
        <f t="shared" si="125"/>
        <v/>
      </c>
      <c r="AL976" s="54" t="str">
        <f t="shared" si="126"/>
        <v/>
      </c>
      <c r="AM976" s="54" t="str">
        <f t="shared" si="127"/>
        <v/>
      </c>
      <c r="AN976" s="121"/>
      <c r="AO976" s="44" t="s">
        <v>1389</v>
      </c>
      <c r="AP976" s="38" t="str">
        <f t="shared" si="119"/>
        <v>Exclude</v>
      </c>
    </row>
    <row r="977" spans="1:42" ht="30" hidden="1">
      <c r="A977" s="38" t="str">
        <f t="shared" si="118"/>
        <v>Ergon</v>
      </c>
      <c r="B977" s="38" t="s">
        <v>1381</v>
      </c>
      <c r="C977" s="38" t="str">
        <f t="shared" si="120"/>
        <v>Dist Sub Maintenance-DISTRIBUTION SUBSTATION TRANSFORMERS</v>
      </c>
      <c r="D977" s="38" t="str">
        <f t="shared" si="121"/>
        <v>Dist Sub Maintenance-NUMBER OF INSTALLED TRANSFORMERS (000'S)</v>
      </c>
      <c r="E977" s="409"/>
      <c r="F977" s="43" t="s">
        <v>405</v>
      </c>
      <c r="G977" s="43" t="s">
        <v>406</v>
      </c>
      <c r="H977" s="43" t="s">
        <v>407</v>
      </c>
      <c r="I977" s="41">
        <v>89.102790139999996</v>
      </c>
      <c r="J977" s="41">
        <v>90.551615999999996</v>
      </c>
      <c r="K977" s="41">
        <v>92.024000000000001</v>
      </c>
      <c r="L977" s="41">
        <v>93.662000000000006</v>
      </c>
      <c r="M977" s="41">
        <v>96.058999999999997</v>
      </c>
      <c r="N977" s="41">
        <v>4.0289820360000004</v>
      </c>
      <c r="O977" s="41">
        <v>4.0928548569999998</v>
      </c>
      <c r="P977" s="41">
        <v>3.505316208</v>
      </c>
      <c r="Q977" s="41">
        <v>4.3869937810000001</v>
      </c>
      <c r="R977" s="41">
        <v>1.62602</v>
      </c>
      <c r="S977" s="41">
        <v>17.014946930000001</v>
      </c>
      <c r="T977" s="41">
        <v>18.014946930000001</v>
      </c>
      <c r="U977" s="41">
        <v>19.014946930000001</v>
      </c>
      <c r="V977" s="41">
        <v>20.014946930000001</v>
      </c>
      <c r="W977" s="41">
        <v>19.790004060000001</v>
      </c>
      <c r="X977" s="38">
        <v>1</v>
      </c>
      <c r="Y977" s="38">
        <v>0</v>
      </c>
      <c r="Z977" s="40">
        <v>554.06709060000003</v>
      </c>
      <c r="AA977" s="40">
        <v>562.85090439999999</v>
      </c>
      <c r="AB977" s="40">
        <v>482.05237349999999</v>
      </c>
      <c r="AC977" s="40">
        <v>665.87466080000002</v>
      </c>
      <c r="AD977" s="40">
        <v>591.95900300000005</v>
      </c>
      <c r="AE977" s="40">
        <v>256.62162260000002</v>
      </c>
      <c r="AF977" s="40">
        <v>257.59221400000001</v>
      </c>
      <c r="AG977" s="40">
        <v>260.44711599999999</v>
      </c>
      <c r="AH977" s="40">
        <v>312.56453540000001</v>
      </c>
      <c r="AI977" s="40">
        <v>328.24459180000002</v>
      </c>
      <c r="AK977" s="53">
        <f t="shared" si="125"/>
        <v>17.640166882000003</v>
      </c>
      <c r="AL977" s="54">
        <f t="shared" si="126"/>
        <v>2856.8040323</v>
      </c>
      <c r="AM977" s="54">
        <f t="shared" si="127"/>
        <v>1415.4700798000001</v>
      </c>
      <c r="AN977" s="123">
        <f t="shared" ref="AN977:AN998" si="129">AL977+AM977</f>
        <v>4272.2741120999999</v>
      </c>
      <c r="AO977" s="44" t="s">
        <v>1389</v>
      </c>
      <c r="AP977" s="38" t="str">
        <f t="shared" si="119"/>
        <v>OH/UG</v>
      </c>
    </row>
    <row r="978" spans="1:42" ht="60" hidden="1">
      <c r="A978" s="38" t="str">
        <f t="shared" si="118"/>
        <v>Ergon</v>
      </c>
      <c r="B978" s="38" t="s">
        <v>1381</v>
      </c>
      <c r="C978" s="38" t="str">
        <f t="shared" si="120"/>
        <v>Dist Sub Maintenance-DISTRIBUTION SUBSTATION SWITCHGEAR (WITHIN-SUBSTATIONS AND STAND-ALONE SWITCHGEAR)</v>
      </c>
      <c r="D978" s="38" t="str">
        <f t="shared" si="121"/>
        <v>Dist Sub Maintenance-NUMBER OF SWITCHES (000'S)</v>
      </c>
      <c r="E978" s="409"/>
      <c r="F978" s="43" t="s">
        <v>405</v>
      </c>
      <c r="G978" s="43" t="s">
        <v>408</v>
      </c>
      <c r="H978" s="43" t="s">
        <v>409</v>
      </c>
      <c r="I978" s="41">
        <v>17.21358545</v>
      </c>
      <c r="J978" s="41">
        <v>17.493481150000001</v>
      </c>
      <c r="K978" s="41">
        <v>17.777927999999999</v>
      </c>
      <c r="L978" s="41">
        <v>18.067</v>
      </c>
      <c r="M978" s="41">
        <v>17.783999999999999</v>
      </c>
      <c r="N978" s="41">
        <v>0.13138578200000001</v>
      </c>
      <c r="O978" s="41">
        <v>0.142043065</v>
      </c>
      <c r="P978" s="41">
        <v>0.33312213600000001</v>
      </c>
      <c r="Q978" s="41">
        <v>0.43599378100000002</v>
      </c>
      <c r="R978" s="41">
        <v>0.46401999999999999</v>
      </c>
      <c r="S978" s="41">
        <v>8.5216082289999999</v>
      </c>
      <c r="T978" s="41">
        <v>9.5216082289999999</v>
      </c>
      <c r="U978" s="41">
        <v>10.52160823</v>
      </c>
      <c r="V978" s="41">
        <v>11.52160823</v>
      </c>
      <c r="W978" s="41">
        <v>8.9603632159999993</v>
      </c>
      <c r="X978" s="38">
        <v>12</v>
      </c>
      <c r="Y978" s="38">
        <v>0</v>
      </c>
      <c r="Z978" s="40">
        <v>0.205752932</v>
      </c>
      <c r="AA978" s="40">
        <v>75.514610950000005</v>
      </c>
      <c r="AB978" s="40">
        <v>1480.9539930000001</v>
      </c>
      <c r="AC978" s="40">
        <v>2045.701587</v>
      </c>
      <c r="AD978" s="40">
        <v>420.71811129999998</v>
      </c>
      <c r="AE978" s="40">
        <v>256.62162260000002</v>
      </c>
      <c r="AF978" s="40">
        <v>257.59221400000001</v>
      </c>
      <c r="AG978" s="40">
        <v>260.44711599999999</v>
      </c>
      <c r="AH978" s="40">
        <v>312.56453540000001</v>
      </c>
      <c r="AI978" s="40">
        <v>328.24459180000002</v>
      </c>
      <c r="AK978" s="53">
        <f t="shared" si="125"/>
        <v>1.5065647640000002</v>
      </c>
      <c r="AL978" s="54">
        <f t="shared" si="126"/>
        <v>4023.0940551819999</v>
      </c>
      <c r="AM978" s="54">
        <f t="shared" si="127"/>
        <v>1415.4700798000001</v>
      </c>
      <c r="AN978" s="123">
        <f t="shared" si="129"/>
        <v>5438.5641349819998</v>
      </c>
      <c r="AO978" s="44" t="s">
        <v>1389</v>
      </c>
      <c r="AP978" s="38" t="str">
        <f t="shared" si="119"/>
        <v>OH/UG</v>
      </c>
    </row>
    <row r="979" spans="1:42" ht="30" hidden="1">
      <c r="A979" s="38" t="str">
        <f t="shared" si="118"/>
        <v>Ergon</v>
      </c>
      <c r="B979" s="38" t="s">
        <v>1381</v>
      </c>
      <c r="C979" s="38" t="str">
        <f t="shared" si="120"/>
        <v>Dist Sub Maintenance-DISTRIBUTION SUBSTATION - OTHER EQUIPMENT</v>
      </c>
      <c r="D979" s="38" t="str">
        <f t="shared" si="121"/>
        <v>Dist Sub Maintenance-Earth Mat (000'S)</v>
      </c>
      <c r="E979" s="409"/>
      <c r="F979" s="43" t="s">
        <v>405</v>
      </c>
      <c r="G979" s="43" t="s">
        <v>410</v>
      </c>
      <c r="H979" s="43" t="s">
        <v>1154</v>
      </c>
      <c r="I979" s="41">
        <v>89.102790139999996</v>
      </c>
      <c r="J979" s="41">
        <v>90.551615999999996</v>
      </c>
      <c r="K979" s="41">
        <v>92.024000000000001</v>
      </c>
      <c r="L979" s="41">
        <v>93.662000000000006</v>
      </c>
      <c r="M979" s="41">
        <v>96.058999999999997</v>
      </c>
      <c r="N979" s="41">
        <v>9.8813950909999999</v>
      </c>
      <c r="O979" s="41">
        <v>15.816637139999999</v>
      </c>
      <c r="P979" s="41">
        <v>16.33129052</v>
      </c>
      <c r="Q979" s="41">
        <v>17.567984450000001</v>
      </c>
      <c r="R979" s="41">
        <v>17.47505</v>
      </c>
      <c r="S979" s="41">
        <v>17.330062609999999</v>
      </c>
      <c r="T979" s="41">
        <v>18.330062609999999</v>
      </c>
      <c r="U979" s="41">
        <v>19.330062609999999</v>
      </c>
      <c r="V979" s="41">
        <v>20.330062609999999</v>
      </c>
      <c r="W979" s="41">
        <v>21.330062609999999</v>
      </c>
      <c r="X979" s="38">
        <v>4</v>
      </c>
      <c r="Y979" s="38">
        <v>0</v>
      </c>
      <c r="Z979" s="40">
        <v>1667.1570079999999</v>
      </c>
      <c r="AA979" s="40">
        <v>2668.5318430000002</v>
      </c>
      <c r="AB979" s="40">
        <v>2755.3624960000002</v>
      </c>
      <c r="AC979" s="40">
        <v>3806.0720740000002</v>
      </c>
      <c r="AD979" s="40">
        <v>5514.449611</v>
      </c>
      <c r="AE979" s="40">
        <v>641.55405640000004</v>
      </c>
      <c r="AF979" s="40">
        <v>643.9805351</v>
      </c>
      <c r="AG979" s="40">
        <v>651.11778990000005</v>
      </c>
      <c r="AH979" s="40">
        <v>781.41133850000006</v>
      </c>
      <c r="AI979" s="40">
        <v>820.61147960000005</v>
      </c>
      <c r="AK979" s="53">
        <f t="shared" si="125"/>
        <v>77.072357200999988</v>
      </c>
      <c r="AL979" s="54">
        <f t="shared" si="126"/>
        <v>16411.573032</v>
      </c>
      <c r="AM979" s="54">
        <f t="shared" si="127"/>
        <v>3538.6751995000004</v>
      </c>
      <c r="AN979" s="123">
        <f t="shared" si="129"/>
        <v>19950.248231500002</v>
      </c>
      <c r="AO979" s="44" t="s">
        <v>1389</v>
      </c>
      <c r="AP979" s="38" t="str">
        <f t="shared" si="119"/>
        <v>OH/UG</v>
      </c>
    </row>
    <row r="980" spans="1:42" ht="45" hidden="1">
      <c r="A980" s="38" t="str">
        <f t="shared" si="118"/>
        <v>Ergon</v>
      </c>
      <c r="B980" s="38" t="s">
        <v>1381</v>
      </c>
      <c r="C980" s="38" t="str">
        <f t="shared" si="120"/>
        <v>Dist Sub Maintenance-DISTRIBUTION SUBSTATION - PROPERTY</v>
      </c>
      <c r="D980" s="38" t="str">
        <f t="shared" si="121"/>
        <v>Dist Sub Maintenance-NUMBER OF DISTRIBUTION SUBSTATION PROPERTIES MAINTAINED (000'S)</v>
      </c>
      <c r="E980" s="409"/>
      <c r="F980" s="43" t="s">
        <v>405</v>
      </c>
      <c r="G980" s="43" t="s">
        <v>412</v>
      </c>
      <c r="H980" s="43" t="s">
        <v>413</v>
      </c>
      <c r="I980" s="41">
        <v>89.102790139999996</v>
      </c>
      <c r="J980" s="41">
        <v>90.551615999999996</v>
      </c>
      <c r="K980" s="41">
        <v>92.024000000000001</v>
      </c>
      <c r="L980" s="41">
        <v>93.662000000000006</v>
      </c>
      <c r="M980" s="41">
        <v>96.058999999999997</v>
      </c>
      <c r="N980" s="41">
        <v>6.5679018000000006E-2</v>
      </c>
      <c r="O980" s="41">
        <v>6.5927428999999996E-2</v>
      </c>
      <c r="P980" s="41">
        <v>9.6474934999999998E-2</v>
      </c>
      <c r="Q980" s="41">
        <v>0.12118648899999999</v>
      </c>
      <c r="R980" s="41">
        <v>0.11001</v>
      </c>
      <c r="S980" s="41">
        <v>0</v>
      </c>
      <c r="T980" s="41">
        <v>0</v>
      </c>
      <c r="U980" s="41">
        <v>0</v>
      </c>
      <c r="V980" s="41">
        <v>0</v>
      </c>
      <c r="W980" s="41">
        <v>0</v>
      </c>
      <c r="X980" s="38">
        <v>0</v>
      </c>
      <c r="Y980" s="38">
        <v>0</v>
      </c>
      <c r="Z980" s="40">
        <v>0</v>
      </c>
      <c r="AA980" s="40">
        <v>0</v>
      </c>
      <c r="AB980" s="40">
        <v>67.962799720000007</v>
      </c>
      <c r="AC980" s="40">
        <v>93.88524563</v>
      </c>
      <c r="AD980" s="40">
        <v>59.262931340000002</v>
      </c>
      <c r="AE980" s="40">
        <v>128.31081130000001</v>
      </c>
      <c r="AF980" s="40">
        <v>128.79610700000001</v>
      </c>
      <c r="AG980" s="40">
        <v>130.223558</v>
      </c>
      <c r="AH980" s="40">
        <v>156.28226770000001</v>
      </c>
      <c r="AI980" s="40">
        <v>164.12229590000001</v>
      </c>
      <c r="AK980" s="53">
        <f t="shared" si="125"/>
        <v>0.459277871</v>
      </c>
      <c r="AL980" s="54">
        <f t="shared" si="126"/>
        <v>221.11097669</v>
      </c>
      <c r="AM980" s="54">
        <f t="shared" si="127"/>
        <v>707.73503990000006</v>
      </c>
      <c r="AN980" s="123">
        <f t="shared" si="129"/>
        <v>928.84601659000009</v>
      </c>
      <c r="AO980" s="44" t="s">
        <v>1389</v>
      </c>
      <c r="AP980" s="38" t="str">
        <f t="shared" si="119"/>
        <v>OH/UG</v>
      </c>
    </row>
    <row r="981" spans="1:42" ht="30" hidden="1">
      <c r="A981" s="38" t="str">
        <f t="shared" si="118"/>
        <v>Ergon</v>
      </c>
      <c r="B981" s="38" t="s">
        <v>1380</v>
      </c>
      <c r="C981" s="38" t="str">
        <f t="shared" si="120"/>
        <v>Zone Sub Maintenance-TRANSFORMERS - ZONE SUBSTATION</v>
      </c>
      <c r="D981" s="38" t="str">
        <f t="shared" si="121"/>
        <v>Zone Sub Maintenance-NUMBER OF ZONE SUBSTATION TRANSFORMERS (000'S)</v>
      </c>
      <c r="E981" s="409"/>
      <c r="F981" s="43" t="s">
        <v>414</v>
      </c>
      <c r="G981" s="43" t="s">
        <v>415</v>
      </c>
      <c r="H981" s="43" t="s">
        <v>416</v>
      </c>
      <c r="I981" s="41">
        <v>0.62355686399999999</v>
      </c>
      <c r="J981" s="41">
        <v>0.63369600000000004</v>
      </c>
      <c r="K981" s="41">
        <v>0.64400000000000002</v>
      </c>
      <c r="L981" s="41">
        <v>0.626</v>
      </c>
      <c r="M981" s="41">
        <v>0.627</v>
      </c>
      <c r="N981" s="41">
        <v>0.28019692699999998</v>
      </c>
      <c r="O981" s="41">
        <v>0.34180561100000001</v>
      </c>
      <c r="P981" s="41">
        <v>0.40046205499999998</v>
      </c>
      <c r="Q981" s="41">
        <v>0.38898183600000003</v>
      </c>
      <c r="R981" s="41">
        <v>0.36220000000000002</v>
      </c>
      <c r="S981" s="41">
        <v>25.55900621</v>
      </c>
      <c r="T981" s="41">
        <v>26.55900621</v>
      </c>
      <c r="U981" s="41">
        <v>27.55900621</v>
      </c>
      <c r="V981" s="41">
        <v>28.580093309999999</v>
      </c>
      <c r="W981" s="41">
        <v>30.559808610000001</v>
      </c>
      <c r="X981" s="38">
        <v>1.5</v>
      </c>
      <c r="Y981" s="38">
        <v>12</v>
      </c>
      <c r="Z981" s="40">
        <v>974.37465350000002</v>
      </c>
      <c r="AA981" s="40">
        <v>1188.6166149999999</v>
      </c>
      <c r="AB981" s="40">
        <v>1392.5922740000001</v>
      </c>
      <c r="AC981" s="40">
        <v>1506.859582</v>
      </c>
      <c r="AD981" s="40">
        <v>1481.2073559999999</v>
      </c>
      <c r="AE981" s="40">
        <v>241.8813073</v>
      </c>
      <c r="AF981" s="40">
        <v>383.64181339999999</v>
      </c>
      <c r="AG981" s="40">
        <v>547.08591939999997</v>
      </c>
      <c r="AH981" s="40">
        <v>577.33114490000003</v>
      </c>
      <c r="AI981" s="40">
        <v>481.226381</v>
      </c>
      <c r="AK981" s="53">
        <f t="shared" si="125"/>
        <v>1.7736464290000002</v>
      </c>
      <c r="AL981" s="54">
        <f t="shared" si="126"/>
        <v>6543.6504804999995</v>
      </c>
      <c r="AM981" s="54">
        <f t="shared" si="127"/>
        <v>2231.1665659999999</v>
      </c>
      <c r="AN981" s="123">
        <f t="shared" si="129"/>
        <v>8774.8170465000003</v>
      </c>
      <c r="AO981" s="44" t="s">
        <v>1390</v>
      </c>
      <c r="AP981" s="38" t="str">
        <f t="shared" si="119"/>
        <v>Zone Sub</v>
      </c>
    </row>
    <row r="982" spans="1:42" ht="45" hidden="1">
      <c r="A982" s="38" t="str">
        <f t="shared" si="118"/>
        <v>Ergon</v>
      </c>
      <c r="B982" s="38" t="s">
        <v>1380</v>
      </c>
      <c r="C982" s="38" t="str">
        <f t="shared" si="120"/>
        <v xml:space="preserve">Zone Sub Maintenance-TRANSFORMERS - DISTRIBUTION </v>
      </c>
      <c r="D982" s="38" t="str">
        <f t="shared" si="121"/>
        <v>Zone Sub Maintenance-NUMBER OF DISTRIBUTION TRANSFORMERS WITHIN ZONE SUBSTATIONS (000'S)</v>
      </c>
      <c r="E982" s="409"/>
      <c r="F982" s="43" t="s">
        <v>414</v>
      </c>
      <c r="G982" s="43" t="s">
        <v>417</v>
      </c>
      <c r="H982" s="43" t="s">
        <v>418</v>
      </c>
      <c r="I982" s="41">
        <v>0.38536588799999999</v>
      </c>
      <c r="J982" s="41">
        <v>0.39163199999999998</v>
      </c>
      <c r="K982" s="41">
        <v>0.39800000000000002</v>
      </c>
      <c r="L982" s="41">
        <v>0.39600000000000002</v>
      </c>
      <c r="M982" s="41">
        <v>0.38</v>
      </c>
      <c r="N982" s="41">
        <v>0.81017698500000002</v>
      </c>
      <c r="O982" s="41">
        <v>0.83476112199999997</v>
      </c>
      <c r="P982" s="41">
        <v>0.84229241099999996</v>
      </c>
      <c r="Q982" s="41">
        <v>0.795796367</v>
      </c>
      <c r="R982" s="41">
        <v>0.84584000000000004</v>
      </c>
      <c r="S982" s="41">
        <v>25.55900621</v>
      </c>
      <c r="T982" s="41">
        <v>26.55900621</v>
      </c>
      <c r="U982" s="41">
        <v>27.55900621</v>
      </c>
      <c r="V982" s="41">
        <v>28.580093309999999</v>
      </c>
      <c r="W982" s="41">
        <v>30.559808610000001</v>
      </c>
      <c r="X982" s="38">
        <v>0.5</v>
      </c>
      <c r="Y982" s="38">
        <v>0</v>
      </c>
      <c r="Z982" s="40">
        <v>239.5064457</v>
      </c>
      <c r="AA982" s="40">
        <v>246.7740666</v>
      </c>
      <c r="AB982" s="40">
        <v>249.00048409999999</v>
      </c>
      <c r="AC982" s="40">
        <v>269.43489510000001</v>
      </c>
      <c r="AD982" s="40">
        <v>196.66518959999999</v>
      </c>
      <c r="AE982" s="40">
        <v>48.376261460000002</v>
      </c>
      <c r="AF982" s="40">
        <v>76.728362689999997</v>
      </c>
      <c r="AG982" s="40">
        <v>109.4171839</v>
      </c>
      <c r="AH982" s="40">
        <v>115.466229</v>
      </c>
      <c r="AI982" s="40">
        <v>96.24527621</v>
      </c>
      <c r="AK982" s="53">
        <f t="shared" si="125"/>
        <v>4.1288668849999999</v>
      </c>
      <c r="AL982" s="54">
        <f t="shared" si="126"/>
        <v>1201.3810811000001</v>
      </c>
      <c r="AM982" s="54">
        <f t="shared" si="127"/>
        <v>446.23331325999999</v>
      </c>
      <c r="AN982" s="123">
        <f t="shared" si="129"/>
        <v>1647.61439436</v>
      </c>
      <c r="AO982" s="44" t="s">
        <v>1390</v>
      </c>
      <c r="AP982" s="38" t="str">
        <f t="shared" si="119"/>
        <v>Zone Sub</v>
      </c>
    </row>
    <row r="983" spans="1:42" ht="30" hidden="1">
      <c r="A983" s="38" t="str">
        <f t="shared" si="118"/>
        <v>Ergon</v>
      </c>
      <c r="B983" s="38" t="s">
        <v>1380</v>
      </c>
      <c r="C983" s="38" t="str">
        <f t="shared" si="120"/>
        <v>Zone Sub Maintenance-TRANSFORMERS - HV</v>
      </c>
      <c r="D983" s="38" t="str">
        <f t="shared" si="121"/>
        <v>Zone Sub Maintenance-NUMBER OF HV TRANSFORMERS (000'S)</v>
      </c>
      <c r="E983" s="409"/>
      <c r="F983" s="43" t="s">
        <v>414</v>
      </c>
      <c r="G983" s="43" t="s">
        <v>419</v>
      </c>
      <c r="H983" s="43" t="s">
        <v>420</v>
      </c>
      <c r="I983" s="41">
        <v>0</v>
      </c>
      <c r="J983" s="41">
        <v>0</v>
      </c>
      <c r="K983" s="41">
        <v>0</v>
      </c>
      <c r="L983" s="41">
        <v>0</v>
      </c>
      <c r="M983" s="41">
        <v>0</v>
      </c>
      <c r="N983" s="41">
        <v>0</v>
      </c>
      <c r="O983" s="41">
        <v>0</v>
      </c>
      <c r="P983" s="41">
        <v>0</v>
      </c>
      <c r="Q983" s="41">
        <v>0</v>
      </c>
      <c r="R983" s="41">
        <v>0</v>
      </c>
      <c r="S983" s="41">
        <v>0</v>
      </c>
      <c r="T983" s="41">
        <v>0</v>
      </c>
      <c r="U983" s="41">
        <v>0</v>
      </c>
      <c r="V983" s="41">
        <v>0</v>
      </c>
      <c r="W983" s="41">
        <v>0</v>
      </c>
      <c r="X983" s="38">
        <v>0</v>
      </c>
      <c r="Y983" s="38">
        <v>0</v>
      </c>
      <c r="Z983" s="40">
        <v>0</v>
      </c>
      <c r="AA983" s="40">
        <v>0</v>
      </c>
      <c r="AB983" s="40">
        <v>0</v>
      </c>
      <c r="AC983" s="40">
        <v>0</v>
      </c>
      <c r="AD983" s="40">
        <v>0</v>
      </c>
      <c r="AE983" s="40">
        <v>0</v>
      </c>
      <c r="AF983" s="40">
        <v>0</v>
      </c>
      <c r="AG983" s="40">
        <v>0</v>
      </c>
      <c r="AH983" s="40">
        <v>0</v>
      </c>
      <c r="AI983" s="40">
        <v>0</v>
      </c>
      <c r="AK983" s="53">
        <f t="shared" si="125"/>
        <v>0</v>
      </c>
      <c r="AL983" s="54">
        <f t="shared" si="126"/>
        <v>0</v>
      </c>
      <c r="AM983" s="54">
        <f t="shared" si="127"/>
        <v>0</v>
      </c>
      <c r="AN983" s="123">
        <f t="shared" si="129"/>
        <v>0</v>
      </c>
      <c r="AO983" s="44" t="s">
        <v>1390</v>
      </c>
      <c r="AP983" s="38" t="str">
        <f t="shared" si="119"/>
        <v>Zone Sub</v>
      </c>
    </row>
    <row r="984" spans="1:42" ht="30" hidden="1">
      <c r="A984" s="38" t="str">
        <f t="shared" si="118"/>
        <v>Ergon</v>
      </c>
      <c r="B984" s="38" t="s">
        <v>1380</v>
      </c>
      <c r="C984" s="38" t="str">
        <f t="shared" si="120"/>
        <v>Zone Sub Maintenance-ZONE SUBSTATION - OTHER EQUIPMENT</v>
      </c>
      <c r="D984" s="38" t="str">
        <f t="shared" si="121"/>
        <v>Zone Sub Maintenance-NUMBER OF SWITCHES, CTS, VTs, CBs, LTs etc (000'S)</v>
      </c>
      <c r="E984" s="409"/>
      <c r="F984" s="43" t="s">
        <v>414</v>
      </c>
      <c r="G984" s="43" t="s">
        <v>421</v>
      </c>
      <c r="H984" s="43" t="s">
        <v>1155</v>
      </c>
      <c r="I984" s="41">
        <v>13.53040934</v>
      </c>
      <c r="J984" s="41">
        <v>13.750416</v>
      </c>
      <c r="K984" s="41">
        <v>13.974</v>
      </c>
      <c r="L984" s="41">
        <v>14.826000000000001</v>
      </c>
      <c r="M984" s="41">
        <v>15.445</v>
      </c>
      <c r="N984" s="41">
        <v>4.2898006909999999</v>
      </c>
      <c r="O984" s="41">
        <v>5.386500989</v>
      </c>
      <c r="P984" s="41">
        <v>7.8333169890000001</v>
      </c>
      <c r="Q984" s="41">
        <v>8.701673048</v>
      </c>
      <c r="R984" s="41">
        <v>8.1235999999999997</v>
      </c>
      <c r="S984" s="41">
        <v>20.877558319999999</v>
      </c>
      <c r="T984" s="41">
        <v>21.877558319999999</v>
      </c>
      <c r="U984" s="41">
        <v>22.877558319999999</v>
      </c>
      <c r="V984" s="41">
        <v>24.244806489999998</v>
      </c>
      <c r="W984" s="41">
        <v>27.38225963</v>
      </c>
      <c r="X984" s="38">
        <v>1.5</v>
      </c>
      <c r="Y984" s="38">
        <v>12</v>
      </c>
      <c r="Z984" s="40">
        <v>2829.4929379999999</v>
      </c>
      <c r="AA984" s="40">
        <v>3552.8612189999999</v>
      </c>
      <c r="AB984" s="40">
        <v>5166.7470590000003</v>
      </c>
      <c r="AC984" s="40">
        <v>4696.7168700000002</v>
      </c>
      <c r="AD984" s="40">
        <v>8359.3939040000005</v>
      </c>
      <c r="AE984" s="40">
        <v>4353.8635320000003</v>
      </c>
      <c r="AF984" s="40">
        <v>6905.5526419999997</v>
      </c>
      <c r="AG984" s="40">
        <v>9847.5465490000006</v>
      </c>
      <c r="AH984" s="40">
        <v>10391.96061</v>
      </c>
      <c r="AI984" s="40">
        <v>8662.0748590000003</v>
      </c>
      <c r="AK984" s="53">
        <f t="shared" si="125"/>
        <v>34.334891716999998</v>
      </c>
      <c r="AL984" s="54">
        <f t="shared" si="126"/>
        <v>24605.21199</v>
      </c>
      <c r="AM984" s="54">
        <f t="shared" si="127"/>
        <v>40160.998191999999</v>
      </c>
      <c r="AN984" s="123">
        <f t="shared" si="129"/>
        <v>64766.210181999995</v>
      </c>
      <c r="AO984" s="44" t="s">
        <v>1390</v>
      </c>
      <c r="AP984" s="38" t="str">
        <f t="shared" si="119"/>
        <v>Zone Sub</v>
      </c>
    </row>
    <row r="985" spans="1:42" ht="45" hidden="1">
      <c r="A985" s="38" t="str">
        <f t="shared" si="118"/>
        <v>Ergon</v>
      </c>
      <c r="B985" s="38" t="s">
        <v>1380</v>
      </c>
      <c r="C985" s="38" t="str">
        <f t="shared" si="120"/>
        <v>Zone Sub Maintenance-ALL ZONE SUBSTATION PROPERTIES</v>
      </c>
      <c r="D985" s="38" t="str">
        <f t="shared" si="121"/>
        <v>Zone Sub Maintenance-NUMBER OF ZONE SUBSTATION PROPERTIES MAINTAINED (000'S)</v>
      </c>
      <c r="E985" s="409"/>
      <c r="F985" s="43" t="s">
        <v>422</v>
      </c>
      <c r="G985" s="43" t="s">
        <v>423</v>
      </c>
      <c r="H985" s="43" t="s">
        <v>424</v>
      </c>
      <c r="I985" s="41">
        <v>0.38536588799999999</v>
      </c>
      <c r="J985" s="41">
        <v>0.39163199999999998</v>
      </c>
      <c r="K985" s="41">
        <v>0.39800000000000002</v>
      </c>
      <c r="L985" s="41">
        <v>0.39600000000000002</v>
      </c>
      <c r="M985" s="41">
        <v>0.38</v>
      </c>
      <c r="N985" s="41">
        <v>0.86828394200000003</v>
      </c>
      <c r="O985" s="41">
        <v>0.92804448799999995</v>
      </c>
      <c r="P985" s="41">
        <v>0.96216964400000005</v>
      </c>
      <c r="Q985" s="41">
        <v>0.93218546899999999</v>
      </c>
      <c r="R985" s="41">
        <v>1.0433600000000001</v>
      </c>
      <c r="S985" s="41">
        <v>0</v>
      </c>
      <c r="T985" s="41">
        <v>0</v>
      </c>
      <c r="U985" s="41">
        <v>0</v>
      </c>
      <c r="V985" s="41">
        <v>0</v>
      </c>
      <c r="W985" s="41">
        <v>0</v>
      </c>
      <c r="X985" s="38">
        <v>1.5</v>
      </c>
      <c r="Y985" s="38">
        <v>0</v>
      </c>
      <c r="Z985" s="40">
        <v>229.3477771</v>
      </c>
      <c r="AA985" s="40">
        <v>245.13287679999999</v>
      </c>
      <c r="AB985" s="40">
        <v>254.1466661</v>
      </c>
      <c r="AC985" s="40">
        <v>274.99963309999998</v>
      </c>
      <c r="AD985" s="40">
        <v>1191.517533</v>
      </c>
      <c r="AE985" s="40">
        <v>193.5050459</v>
      </c>
      <c r="AF985" s="40">
        <v>306.9134507</v>
      </c>
      <c r="AG985" s="40">
        <v>437.66873550000003</v>
      </c>
      <c r="AH985" s="40">
        <v>461.86491590000003</v>
      </c>
      <c r="AI985" s="40">
        <v>384.98110480000003</v>
      </c>
      <c r="AK985" s="53">
        <f t="shared" si="125"/>
        <v>4.7340435430000003</v>
      </c>
      <c r="AL985" s="54">
        <f t="shared" si="126"/>
        <v>2195.1444861</v>
      </c>
      <c r="AM985" s="54">
        <f t="shared" si="127"/>
        <v>1784.9332528</v>
      </c>
      <c r="AN985" s="123">
        <f t="shared" si="129"/>
        <v>3980.0777389</v>
      </c>
      <c r="AO985" s="44" t="s">
        <v>1390</v>
      </c>
      <c r="AP985" s="38" t="str">
        <f t="shared" si="119"/>
        <v>Zone Sub</v>
      </c>
    </row>
    <row r="986" spans="1:42" ht="30" hidden="1">
      <c r="A986" s="38" t="str">
        <f t="shared" si="118"/>
        <v>Ergon</v>
      </c>
      <c r="B986" s="38" t="s">
        <v>1193</v>
      </c>
      <c r="C986" s="38" t="str">
        <f t="shared" si="120"/>
        <v>Public Lighting Maintenance-MINOR ROADS</v>
      </c>
      <c r="D986" s="38" t="str">
        <f t="shared" si="121"/>
        <v>Public Lighting Maintenance-NUMBER OF PUBLIC LIGHTS MAINTAINED (000'S)</v>
      </c>
      <c r="E986" s="409"/>
      <c r="F986" s="43" t="s">
        <v>425</v>
      </c>
      <c r="G986" s="43" t="s">
        <v>426</v>
      </c>
      <c r="H986" s="43" t="s">
        <v>427</v>
      </c>
      <c r="I986" s="41">
        <v>80.010866300000004</v>
      </c>
      <c r="J986" s="41">
        <v>81.311856000000006</v>
      </c>
      <c r="K986" s="41">
        <v>0</v>
      </c>
      <c r="L986" s="41">
        <v>0</v>
      </c>
      <c r="M986" s="41">
        <v>0</v>
      </c>
      <c r="N986" s="41">
        <v>27.284658239999999</v>
      </c>
      <c r="O986" s="41">
        <v>27.56660016</v>
      </c>
      <c r="P986" s="41">
        <v>0</v>
      </c>
      <c r="Q986" s="41">
        <v>0</v>
      </c>
      <c r="R986" s="41">
        <v>0</v>
      </c>
      <c r="S986" s="41">
        <v>0.82123537199999996</v>
      </c>
      <c r="T986" s="41">
        <v>1.8212353720000001</v>
      </c>
      <c r="U986" s="41">
        <v>0</v>
      </c>
      <c r="V986" s="41">
        <v>0</v>
      </c>
      <c r="W986" s="41">
        <v>0</v>
      </c>
      <c r="X986" s="38">
        <v>3</v>
      </c>
      <c r="Y986" s="38">
        <v>0</v>
      </c>
      <c r="Z986" s="40">
        <v>2615.312453</v>
      </c>
      <c r="AA986" s="40">
        <v>1345.4712930000001</v>
      </c>
      <c r="AB986" s="40">
        <v>0</v>
      </c>
      <c r="AC986" s="40">
        <v>0</v>
      </c>
      <c r="AD986" s="40">
        <v>0</v>
      </c>
      <c r="AE986" s="40">
        <v>1936.4402150000001</v>
      </c>
      <c r="AF986" s="40">
        <v>1884.2708929999999</v>
      </c>
      <c r="AG986" s="40">
        <v>0</v>
      </c>
      <c r="AH986" s="40">
        <v>0</v>
      </c>
      <c r="AI986" s="40">
        <v>0</v>
      </c>
      <c r="AK986" s="53">
        <f t="shared" si="125"/>
        <v>54.851258399999999</v>
      </c>
      <c r="AL986" s="54">
        <f t="shared" si="126"/>
        <v>3960.7837460000001</v>
      </c>
      <c r="AM986" s="54">
        <f t="shared" si="127"/>
        <v>3820.711108</v>
      </c>
      <c r="AN986" s="123">
        <f t="shared" si="129"/>
        <v>7781.4948540000005</v>
      </c>
      <c r="AO986" s="44" t="s">
        <v>1389</v>
      </c>
      <c r="AP986" s="38" t="str">
        <f t="shared" si="119"/>
        <v>Public Lighting</v>
      </c>
    </row>
    <row r="987" spans="1:42" ht="30" hidden="1">
      <c r="A987" s="38" t="str">
        <f t="shared" si="118"/>
        <v>Ergon</v>
      </c>
      <c r="B987" s="38" t="s">
        <v>1193</v>
      </c>
      <c r="C987" s="38" t="str">
        <f t="shared" si="120"/>
        <v>Public Lighting Maintenance-MAJOR ROADS</v>
      </c>
      <c r="D987" s="38" t="str">
        <f t="shared" si="121"/>
        <v>Public Lighting Maintenance-NUMBER OF PUBLIC LIGHTS MAINTAINED (000'S)</v>
      </c>
      <c r="E987" s="409"/>
      <c r="F987" s="43" t="s">
        <v>425</v>
      </c>
      <c r="G987" s="43" t="s">
        <v>428</v>
      </c>
      <c r="H987" s="43" t="s">
        <v>427</v>
      </c>
      <c r="I987" s="41">
        <v>15.3468576</v>
      </c>
      <c r="J987" s="41">
        <v>15.596399999999999</v>
      </c>
      <c r="K987" s="41">
        <v>0</v>
      </c>
      <c r="L987" s="41">
        <v>0</v>
      </c>
      <c r="M987" s="41">
        <v>0</v>
      </c>
      <c r="N987" s="41">
        <v>37.539507100000002</v>
      </c>
      <c r="O987" s="41">
        <v>38.042098209999999</v>
      </c>
      <c r="P987" s="41">
        <v>0</v>
      </c>
      <c r="Q987" s="41">
        <v>0</v>
      </c>
      <c r="R987" s="41">
        <v>0</v>
      </c>
      <c r="S987" s="41">
        <v>1.010191965</v>
      </c>
      <c r="T987" s="41">
        <v>2.0101919650000002</v>
      </c>
      <c r="U987" s="41">
        <v>0</v>
      </c>
      <c r="V987" s="41">
        <v>0</v>
      </c>
      <c r="W987" s="41">
        <v>0</v>
      </c>
      <c r="X987" s="38">
        <v>1</v>
      </c>
      <c r="Y987" s="38">
        <v>0</v>
      </c>
      <c r="Z987" s="40">
        <v>669.05859569999996</v>
      </c>
      <c r="AA987" s="40">
        <v>344.2032835</v>
      </c>
      <c r="AB987" s="40">
        <v>0</v>
      </c>
      <c r="AC987" s="40">
        <v>0</v>
      </c>
      <c r="AD987" s="40">
        <v>0</v>
      </c>
      <c r="AE987" s="40">
        <v>1290.960143</v>
      </c>
      <c r="AF987" s="40">
        <v>1256.1805959999999</v>
      </c>
      <c r="AG987" s="40">
        <v>0</v>
      </c>
      <c r="AH987" s="40">
        <v>0</v>
      </c>
      <c r="AI987" s="40">
        <v>0</v>
      </c>
      <c r="AK987" s="53">
        <f t="shared" si="125"/>
        <v>75.58160531</v>
      </c>
      <c r="AL987" s="54">
        <f t="shared" si="126"/>
        <v>1013.2618792</v>
      </c>
      <c r="AM987" s="54">
        <f t="shared" si="127"/>
        <v>2547.1407389999999</v>
      </c>
      <c r="AN987" s="123">
        <f t="shared" si="129"/>
        <v>3560.4026181999998</v>
      </c>
      <c r="AO987" s="44" t="s">
        <v>1389</v>
      </c>
      <c r="AP987" s="38" t="str">
        <f t="shared" si="119"/>
        <v>Public Lighting</v>
      </c>
    </row>
    <row r="988" spans="1:42" ht="30" hidden="1">
      <c r="A988" s="38" t="str">
        <f t="shared" si="118"/>
        <v>Ergon</v>
      </c>
      <c r="B988" s="38" t="s">
        <v>1194</v>
      </c>
      <c r="C988" s="38" t="str">
        <f t="shared" si="120"/>
        <v>SCADA Maintenance-SCADA &amp; NETWORK CONTROL MAINTENANCE</v>
      </c>
      <c r="D988" s="38" t="str">
        <f t="shared" si="121"/>
        <v>SCADA Maintenance-NUMBER OF SYSTEMS (000'S)</v>
      </c>
      <c r="E988" s="409"/>
      <c r="F988" s="43" t="s">
        <v>429</v>
      </c>
      <c r="G988" s="43" t="s">
        <v>429</v>
      </c>
      <c r="H988" s="43" t="s">
        <v>1156</v>
      </c>
      <c r="I988" s="41">
        <v>0.89750359800000001</v>
      </c>
      <c r="J988" s="41">
        <v>0.91209715199999997</v>
      </c>
      <c r="K988" s="41">
        <v>0.92692799999999997</v>
      </c>
      <c r="L988" s="41">
        <v>0.94199999999999995</v>
      </c>
      <c r="M988" s="41">
        <v>0.76600000000000001</v>
      </c>
      <c r="N988" s="41">
        <v>0.72745923899999998</v>
      </c>
      <c r="O988" s="41">
        <v>0.83167325199999997</v>
      </c>
      <c r="P988" s="41">
        <v>1.0018992040000001</v>
      </c>
      <c r="Q988" s="41">
        <v>1.2154265070000001</v>
      </c>
      <c r="R988" s="41">
        <v>1.03</v>
      </c>
      <c r="S988" s="41">
        <v>4.2678751259999999</v>
      </c>
      <c r="T988" s="41">
        <v>5.2678751259999999</v>
      </c>
      <c r="U988" s="41">
        <v>6.2678751259999999</v>
      </c>
      <c r="V988" s="41">
        <v>7.2678751259999999</v>
      </c>
      <c r="W988" s="41">
        <v>1.087467363</v>
      </c>
      <c r="X988" s="38">
        <v>4</v>
      </c>
      <c r="Y988" s="38">
        <v>0</v>
      </c>
      <c r="Z988" s="40">
        <v>51.181539209999997</v>
      </c>
      <c r="AA988" s="40">
        <v>58.513680030000003</v>
      </c>
      <c r="AB988" s="40">
        <v>70.490194689999996</v>
      </c>
      <c r="AC988" s="40">
        <v>50.001871770000001</v>
      </c>
      <c r="AD988" s="40">
        <v>36.232216829999999</v>
      </c>
      <c r="AE988" s="40">
        <v>1046.5197900000001</v>
      </c>
      <c r="AF988" s="40">
        <v>1205.875892</v>
      </c>
      <c r="AG988" s="40">
        <v>1355.6733099999999</v>
      </c>
      <c r="AH988" s="40">
        <v>1464.3357370000001</v>
      </c>
      <c r="AI988" s="40">
        <v>1177.105746</v>
      </c>
      <c r="AK988" s="53">
        <f t="shared" si="125"/>
        <v>4.806458202</v>
      </c>
      <c r="AL988" s="54">
        <f t="shared" si="126"/>
        <v>266.41950252999999</v>
      </c>
      <c r="AM988" s="54">
        <f t="shared" si="127"/>
        <v>6249.510475000001</v>
      </c>
      <c r="AN988" s="123">
        <f t="shared" si="129"/>
        <v>6515.9299775300005</v>
      </c>
      <c r="AO988" s="44" t="s">
        <v>1390</v>
      </c>
      <c r="AP988" s="38" t="str">
        <f t="shared" si="119"/>
        <v>Zone Sub</v>
      </c>
    </row>
    <row r="989" spans="1:42" ht="30" hidden="1">
      <c r="A989" s="38" t="str">
        <f t="shared" si="118"/>
        <v>Ergon</v>
      </c>
      <c r="B989" s="38" t="s">
        <v>1195</v>
      </c>
      <c r="C989" s="38" t="str">
        <f t="shared" si="120"/>
        <v>Protection Maintenance-PROTECTION SYSTEMS MAINTENANCE</v>
      </c>
      <c r="D989" s="38" t="str">
        <f t="shared" si="121"/>
        <v>Protection Maintenance-NUMBER OF SYSTEMS (000'S)</v>
      </c>
      <c r="E989" s="409"/>
      <c r="F989" s="43" t="s">
        <v>430</v>
      </c>
      <c r="G989" s="43" t="s">
        <v>430</v>
      </c>
      <c r="H989" s="43" t="s">
        <v>1156</v>
      </c>
      <c r="I989" s="41">
        <v>9.7286722240000003</v>
      </c>
      <c r="J989" s="41">
        <v>9.8868620160000003</v>
      </c>
      <c r="K989" s="41">
        <v>10.047624000000001</v>
      </c>
      <c r="L989" s="41">
        <v>10.211</v>
      </c>
      <c r="M989" s="41">
        <v>9.327</v>
      </c>
      <c r="N989" s="41">
        <v>1.091854326</v>
      </c>
      <c r="O989" s="41">
        <v>1.1136838099999999</v>
      </c>
      <c r="P989" s="41">
        <v>1.2142303270000001</v>
      </c>
      <c r="Q989" s="41">
        <v>0.98337326700000005</v>
      </c>
      <c r="R989" s="41">
        <v>1.4630000000000001</v>
      </c>
      <c r="S989" s="41">
        <v>20.288957060000001</v>
      </c>
      <c r="T989" s="41">
        <v>21.288957060000001</v>
      </c>
      <c r="U989" s="41">
        <v>22.288957060000001</v>
      </c>
      <c r="V989" s="41">
        <v>23.288957060000001</v>
      </c>
      <c r="W989" s="41">
        <v>0.54776455499999999</v>
      </c>
      <c r="X989" s="38">
        <v>4</v>
      </c>
      <c r="Y989" s="38">
        <v>0</v>
      </c>
      <c r="Z989" s="40">
        <v>943.6988288</v>
      </c>
      <c r="AA989" s="40">
        <v>962.56623430000002</v>
      </c>
      <c r="AB989" s="40">
        <v>1049.4694300000001</v>
      </c>
      <c r="AC989" s="40">
        <v>744.38225179999995</v>
      </c>
      <c r="AD989" s="40">
        <v>1238.5800059999999</v>
      </c>
      <c r="AE989" s="40">
        <v>521.71759650000001</v>
      </c>
      <c r="AF989" s="40">
        <v>548.732707</v>
      </c>
      <c r="AG989" s="40">
        <v>901.32607040000005</v>
      </c>
      <c r="AH989" s="40">
        <v>929.25717320000001</v>
      </c>
      <c r="AI989" s="40">
        <v>1541.386438</v>
      </c>
      <c r="AK989" s="53">
        <f t="shared" si="125"/>
        <v>5.8661417299999998</v>
      </c>
      <c r="AL989" s="54">
        <f t="shared" si="126"/>
        <v>4938.6967509000006</v>
      </c>
      <c r="AM989" s="54">
        <f t="shared" si="127"/>
        <v>4442.4199851000003</v>
      </c>
      <c r="AN989" s="123">
        <f t="shared" si="129"/>
        <v>9381.1167359999999</v>
      </c>
      <c r="AO989" s="44" t="s">
        <v>1390</v>
      </c>
      <c r="AP989" s="38" t="str">
        <f t="shared" si="119"/>
        <v>Zone Sub</v>
      </c>
    </row>
    <row r="990" spans="1:42" ht="60" hidden="1">
      <c r="A990" s="38" t="str">
        <f t="shared" si="118"/>
        <v>Ergon</v>
      </c>
      <c r="B990" s="38" t="s">
        <v>1196</v>
      </c>
      <c r="C990" s="38" t="str">
        <f t="shared" si="120"/>
        <v>Subtrans Maintenance-SUBTRANSMISSION ASSET MAINTENANCE - FOR DNSPS WITH DUAL FUNCTION ASSETS</v>
      </c>
      <c r="D990" s="38" t="str">
        <f t="shared" si="121"/>
        <v>Subtrans Maintenance-DNSP TO NOMINATE</v>
      </c>
      <c r="E990" s="409"/>
      <c r="F990" s="43" t="s">
        <v>431</v>
      </c>
      <c r="G990" s="43" t="s">
        <v>431</v>
      </c>
      <c r="H990" s="43" t="s">
        <v>411</v>
      </c>
      <c r="I990" s="41">
        <v>0</v>
      </c>
      <c r="J990" s="41">
        <v>0</v>
      </c>
      <c r="K990" s="41">
        <v>0</v>
      </c>
      <c r="L990" s="41">
        <v>0</v>
      </c>
      <c r="M990" s="41">
        <v>0</v>
      </c>
      <c r="N990" s="41">
        <v>0</v>
      </c>
      <c r="O990" s="41">
        <v>0</v>
      </c>
      <c r="P990" s="41">
        <v>0</v>
      </c>
      <c r="Q990" s="41">
        <v>0</v>
      </c>
      <c r="R990" s="41">
        <v>0</v>
      </c>
      <c r="S990" s="41">
        <v>0</v>
      </c>
      <c r="T990" s="41">
        <v>0</v>
      </c>
      <c r="U990" s="41">
        <v>0</v>
      </c>
      <c r="V990" s="41">
        <v>0</v>
      </c>
      <c r="W990" s="41">
        <v>0</v>
      </c>
      <c r="X990" s="38">
        <v>0</v>
      </c>
      <c r="Y990" s="38">
        <v>0</v>
      </c>
      <c r="Z990" s="40">
        <v>0</v>
      </c>
      <c r="AA990" s="40">
        <v>0</v>
      </c>
      <c r="AB990" s="40">
        <v>0</v>
      </c>
      <c r="AC990" s="40">
        <v>0</v>
      </c>
      <c r="AD990" s="40">
        <v>0</v>
      </c>
      <c r="AE990" s="40">
        <v>0</v>
      </c>
      <c r="AF990" s="40">
        <v>0</v>
      </c>
      <c r="AG990" s="40">
        <v>0</v>
      </c>
      <c r="AH990" s="40">
        <v>0</v>
      </c>
      <c r="AI990" s="40">
        <v>0</v>
      </c>
      <c r="AK990" s="53">
        <f t="shared" si="125"/>
        <v>0</v>
      </c>
      <c r="AL990" s="54">
        <f t="shared" si="126"/>
        <v>0</v>
      </c>
      <c r="AM990" s="54">
        <f t="shared" si="127"/>
        <v>0</v>
      </c>
      <c r="AN990" s="123">
        <f t="shared" si="129"/>
        <v>0</v>
      </c>
      <c r="AO990" s="44" t="s">
        <v>1389</v>
      </c>
      <c r="AP990" s="38" t="str">
        <f t="shared" si="119"/>
        <v>OH/UG</v>
      </c>
    </row>
    <row r="991" spans="1:42" ht="45" hidden="1">
      <c r="A991" s="38" t="str">
        <f t="shared" si="118"/>
        <v>Ergon</v>
      </c>
      <c r="B991" s="38" t="s">
        <v>720</v>
      </c>
      <c r="C991" s="38" t="str">
        <f t="shared" si="120"/>
        <v xml:space="preserve">Other- Includes Rates, Electricity, Communications Equip, Metering </v>
      </c>
      <c r="D991" s="38" t="str">
        <f t="shared" si="121"/>
        <v xml:space="preserve">Other-UNITS NOT QUOTED AS VARIOUS UOM </v>
      </c>
      <c r="E991" s="409"/>
      <c r="F991" s="43" t="s">
        <v>1157</v>
      </c>
      <c r="G991" s="43" t="s">
        <v>1158</v>
      </c>
      <c r="H991" s="43" t="s">
        <v>1159</v>
      </c>
      <c r="I991" s="41">
        <v>0</v>
      </c>
      <c r="J991" s="41">
        <v>0</v>
      </c>
      <c r="K991" s="41">
        <v>0</v>
      </c>
      <c r="L991" s="41">
        <v>0</v>
      </c>
      <c r="M991" s="41">
        <v>0</v>
      </c>
      <c r="N991" s="41">
        <v>0</v>
      </c>
      <c r="O991" s="41">
        <v>0</v>
      </c>
      <c r="P991" s="41">
        <v>0</v>
      </c>
      <c r="Q991" s="41">
        <v>0</v>
      </c>
      <c r="R991" s="41">
        <v>0</v>
      </c>
      <c r="S991" s="41">
        <v>0</v>
      </c>
      <c r="T991" s="41">
        <v>0</v>
      </c>
      <c r="U991" s="41">
        <v>0</v>
      </c>
      <c r="V991" s="41">
        <v>0</v>
      </c>
      <c r="W991" s="41">
        <v>0</v>
      </c>
      <c r="X991" s="38">
        <v>0</v>
      </c>
      <c r="Y991" s="38">
        <v>0</v>
      </c>
      <c r="Z991" s="40">
        <v>9276.3802070000002</v>
      </c>
      <c r="AA991" s="40">
        <v>6438.5808669999997</v>
      </c>
      <c r="AB991" s="40">
        <v>4616.9177669999999</v>
      </c>
      <c r="AC991" s="40">
        <v>5609.5080200000002</v>
      </c>
      <c r="AD991" s="40">
        <v>4416.2998340000004</v>
      </c>
      <c r="AE991" s="40">
        <v>1020.808357</v>
      </c>
      <c r="AF991" s="40">
        <v>1543.268986</v>
      </c>
      <c r="AG991" s="40">
        <v>1244.295852</v>
      </c>
      <c r="AH991" s="40">
        <v>1422.518088</v>
      </c>
      <c r="AI991" s="40">
        <v>1561.1042070000001</v>
      </c>
      <c r="AK991" s="53">
        <f t="shared" si="125"/>
        <v>0</v>
      </c>
      <c r="AL991" s="54">
        <f t="shared" si="126"/>
        <v>30357.686695</v>
      </c>
      <c r="AM991" s="54">
        <f t="shared" si="127"/>
        <v>6791.9954900000002</v>
      </c>
      <c r="AN991" s="123">
        <f t="shared" si="129"/>
        <v>37149.682184999998</v>
      </c>
      <c r="AO991" s="44" t="s">
        <v>1389</v>
      </c>
      <c r="AP991" s="38" t="str">
        <f t="shared" si="119"/>
        <v>Exclude</v>
      </c>
    </row>
    <row r="992" spans="1:42" ht="30" hidden="1">
      <c r="A992" s="38" t="str">
        <f t="shared" si="118"/>
        <v>Ergon</v>
      </c>
      <c r="B992" s="38" t="s">
        <v>720</v>
      </c>
      <c r="C992" s="38" t="str">
        <f t="shared" si="120"/>
        <v>Other-GROUND CLEARANCE - ACCESS TRACKS</v>
      </c>
      <c r="D992" s="38" t="str">
        <f t="shared" si="121"/>
        <v>Other-NUMBER of ACCESS TRACKS</v>
      </c>
      <c r="E992" s="409"/>
      <c r="F992" s="43" t="s">
        <v>1160</v>
      </c>
      <c r="G992" s="43" t="s">
        <v>1160</v>
      </c>
      <c r="H992" s="43" t="s">
        <v>1161</v>
      </c>
      <c r="I992" s="41">
        <v>0</v>
      </c>
      <c r="J992" s="41">
        <v>0</v>
      </c>
      <c r="K992" s="41">
        <v>0</v>
      </c>
      <c r="L992" s="41">
        <v>0</v>
      </c>
      <c r="M992" s="41">
        <v>0</v>
      </c>
      <c r="N992" s="41">
        <v>0.18599410299999999</v>
      </c>
      <c r="O992" s="41">
        <v>0.20527272899999999</v>
      </c>
      <c r="P992" s="41">
        <v>0.196688319</v>
      </c>
      <c r="Q992" s="41">
        <v>0.229005192</v>
      </c>
      <c r="R992" s="41">
        <v>0.28499999999999998</v>
      </c>
      <c r="S992" s="41">
        <v>0</v>
      </c>
      <c r="T992" s="41">
        <v>0</v>
      </c>
      <c r="U992" s="41">
        <v>0</v>
      </c>
      <c r="V992" s="41">
        <v>0</v>
      </c>
      <c r="W992" s="41">
        <v>0</v>
      </c>
      <c r="X992" s="38">
        <v>4</v>
      </c>
      <c r="Y992" s="38">
        <v>0</v>
      </c>
      <c r="Z992" s="40">
        <v>421.0388355</v>
      </c>
      <c r="AA992" s="40">
        <v>464.68027489999997</v>
      </c>
      <c r="AB992" s="40">
        <v>445.24756230000003</v>
      </c>
      <c r="AC992" s="40">
        <v>438.99786349999999</v>
      </c>
      <c r="AD992" s="40">
        <v>597.59308899999996</v>
      </c>
      <c r="AE992" s="40">
        <v>2206.9566150000001</v>
      </c>
      <c r="AF992" s="40">
        <v>2435.7116729999998</v>
      </c>
      <c r="AG992" s="40">
        <v>2333.8513459999999</v>
      </c>
      <c r="AH992" s="40">
        <v>2983.6151709999999</v>
      </c>
      <c r="AI992" s="40">
        <v>3541.2591779999998</v>
      </c>
      <c r="AK992" s="53">
        <f t="shared" si="125"/>
        <v>1.101960343</v>
      </c>
      <c r="AL992" s="54">
        <f t="shared" si="126"/>
        <v>2367.5576252000001</v>
      </c>
      <c r="AM992" s="54">
        <f t="shared" si="127"/>
        <v>13501.393983</v>
      </c>
      <c r="AN992" s="123">
        <f t="shared" si="129"/>
        <v>15868.951608200001</v>
      </c>
      <c r="AO992" s="44" t="s">
        <v>1389</v>
      </c>
      <c r="AP992" s="38" t="str">
        <f t="shared" si="119"/>
        <v>OH</v>
      </c>
    </row>
    <row r="993" spans="1:42" ht="90" customHeight="1">
      <c r="A993" s="38" t="str">
        <f>IF(E993&gt;0,E993,#REF!)</f>
        <v>SA Power</v>
      </c>
      <c r="B993" s="38" t="s">
        <v>1189</v>
      </c>
      <c r="C993" s="38" t="str">
        <f t="shared" si="120"/>
        <v>OH Maintenance-POLE TOPS AND OVERHEAD LINES</v>
      </c>
      <c r="D993" s="38" t="str">
        <f t="shared" ref="D993:D1020" si="130">B993&amp;"-"&amp;H993</f>
        <v>OH Maintenance-NUMBER OF POLES (000'S)</v>
      </c>
      <c r="E993" s="402" t="s">
        <v>1218</v>
      </c>
      <c r="F993" s="43" t="s">
        <v>388</v>
      </c>
      <c r="G993" s="43" t="s">
        <v>389</v>
      </c>
      <c r="H993" s="43" t="s">
        <v>390</v>
      </c>
      <c r="I993" s="41">
        <v>730.11</v>
      </c>
      <c r="J993" s="41">
        <v>731.86</v>
      </c>
      <c r="K993" s="41">
        <v>733.78</v>
      </c>
      <c r="L993" s="41">
        <v>736.21699999999998</v>
      </c>
      <c r="M993" s="41">
        <v>739.63499999999999</v>
      </c>
      <c r="N993" s="41">
        <v>1.151</v>
      </c>
      <c r="O993" s="41">
        <v>1.3169999999999999</v>
      </c>
      <c r="P993" s="41">
        <v>1.9790000000000001</v>
      </c>
      <c r="Q993" s="41">
        <v>4.819</v>
      </c>
      <c r="R993" s="41">
        <v>6.7880000000000003</v>
      </c>
      <c r="S993" s="41">
        <v>41.34</v>
      </c>
      <c r="T993" s="41">
        <v>42.23</v>
      </c>
      <c r="U993" s="41">
        <v>44.02</v>
      </c>
      <c r="V993" s="41">
        <v>44.88</v>
      </c>
      <c r="W993" s="41">
        <v>45.67</v>
      </c>
      <c r="X993" s="38">
        <v>5</v>
      </c>
      <c r="Y993" s="38" t="s">
        <v>1162</v>
      </c>
      <c r="Z993" s="40">
        <v>31.259520976068014</v>
      </c>
      <c r="AA993" s="40">
        <v>1.0999212931316553</v>
      </c>
      <c r="AB993" s="40">
        <v>0.9292725656156936</v>
      </c>
      <c r="AC993" s="40">
        <v>39.774001882927301</v>
      </c>
      <c r="AD993" s="40">
        <v>0</v>
      </c>
      <c r="AE993" s="40">
        <v>401.50573759075013</v>
      </c>
      <c r="AF993" s="40">
        <v>396.64200926479987</v>
      </c>
      <c r="AG993" s="40">
        <v>429.65726299369669</v>
      </c>
      <c r="AH993" s="40">
        <v>504.76378544063056</v>
      </c>
      <c r="AI993" s="40">
        <v>874.27352789070949</v>
      </c>
      <c r="AK993" s="53">
        <f t="shared" si="125"/>
        <v>16.054000000000002</v>
      </c>
      <c r="AL993" s="54">
        <f t="shared" si="126"/>
        <v>73.06271671774266</v>
      </c>
      <c r="AM993" s="54">
        <f t="shared" si="127"/>
        <v>2606.8423231805868</v>
      </c>
      <c r="AN993" s="123">
        <f t="shared" si="129"/>
        <v>2679.9050398983295</v>
      </c>
      <c r="AO993" s="38" t="s">
        <v>1389</v>
      </c>
      <c r="AP993" s="38" t="str">
        <f t="shared" si="119"/>
        <v>OH</v>
      </c>
    </row>
    <row r="994" spans="1:42" ht="30">
      <c r="A994" s="38" t="str">
        <f t="shared" ref="A994:A1020" si="131">IF(E994&gt;0,E994,A993)</f>
        <v>SA Power</v>
      </c>
      <c r="B994" s="38" t="s">
        <v>1189</v>
      </c>
      <c r="C994" s="38" t="str">
        <f t="shared" si="120"/>
        <v>OH Maintenance-SERVICE LINES</v>
      </c>
      <c r="D994" s="38" t="str">
        <f t="shared" si="130"/>
        <v>OH Maintenance-NUMBER OF CUSTOMERS (000'S)</v>
      </c>
      <c r="E994" s="403"/>
      <c r="F994" s="43" t="s">
        <v>388</v>
      </c>
      <c r="G994" s="43" t="s">
        <v>391</v>
      </c>
      <c r="H994" s="43" t="s">
        <v>392</v>
      </c>
      <c r="I994" s="41">
        <v>704.66700000000003</v>
      </c>
      <c r="J994" s="41">
        <v>714.03700000000003</v>
      </c>
      <c r="K994" s="41">
        <v>722.80899999999997</v>
      </c>
      <c r="L994" s="41">
        <v>730.12699999999995</v>
      </c>
      <c r="M994" s="41">
        <v>736.83100000000002</v>
      </c>
      <c r="N994" s="41">
        <v>0</v>
      </c>
      <c r="O994" s="41">
        <v>0</v>
      </c>
      <c r="P994" s="41">
        <v>0</v>
      </c>
      <c r="Q994" s="41">
        <v>0</v>
      </c>
      <c r="R994" s="41">
        <v>0</v>
      </c>
      <c r="S994" s="41">
        <v>25.78</v>
      </c>
      <c r="T994" s="41">
        <v>26.44</v>
      </c>
      <c r="U994" s="41">
        <v>27.12</v>
      </c>
      <c r="V994" s="41">
        <v>27.85</v>
      </c>
      <c r="W994" s="41">
        <v>28.59</v>
      </c>
      <c r="X994" s="38">
        <v>5</v>
      </c>
      <c r="Y994" s="38" t="s">
        <v>1162</v>
      </c>
      <c r="Z994" s="40">
        <v>0</v>
      </c>
      <c r="AA994" s="40">
        <v>0</v>
      </c>
      <c r="AB994" s="40">
        <v>0</v>
      </c>
      <c r="AC994" s="40">
        <v>0</v>
      </c>
      <c r="AD994" s="40">
        <v>0</v>
      </c>
      <c r="AE994" s="40">
        <v>0</v>
      </c>
      <c r="AF994" s="40">
        <v>0</v>
      </c>
      <c r="AG994" s="40">
        <v>0</v>
      </c>
      <c r="AH994" s="40">
        <v>0</v>
      </c>
      <c r="AI994" s="40">
        <v>0</v>
      </c>
      <c r="AK994" s="53">
        <f t="shared" si="125"/>
        <v>0</v>
      </c>
      <c r="AL994" s="54">
        <f t="shared" si="126"/>
        <v>0</v>
      </c>
      <c r="AM994" s="54">
        <f t="shared" si="127"/>
        <v>0</v>
      </c>
      <c r="AN994" s="123">
        <f t="shared" si="129"/>
        <v>0</v>
      </c>
      <c r="AO994" s="38" t="s">
        <v>1389</v>
      </c>
      <c r="AP994" s="38" t="str">
        <f t="shared" si="119"/>
        <v>Service Lines</v>
      </c>
    </row>
    <row r="995" spans="1:42">
      <c r="A995" s="38" t="str">
        <f t="shared" si="131"/>
        <v>SA Power</v>
      </c>
      <c r="B995" s="38" t="s">
        <v>1190</v>
      </c>
      <c r="C995" s="38" t="str">
        <f t="shared" si="120"/>
        <v>Pole Inspection-ALL POLES</v>
      </c>
      <c r="D995" s="38" t="str">
        <f t="shared" si="130"/>
        <v>Pole Inspection-NUMBER OF POLES (000'S)</v>
      </c>
      <c r="E995" s="403"/>
      <c r="F995" s="43" t="s">
        <v>393</v>
      </c>
      <c r="G995" s="43" t="s">
        <v>394</v>
      </c>
      <c r="H995" s="43" t="s">
        <v>390</v>
      </c>
      <c r="I995" s="41">
        <v>0</v>
      </c>
      <c r="J995" s="41">
        <v>0</v>
      </c>
      <c r="K995" s="41">
        <v>0</v>
      </c>
      <c r="L995" s="41">
        <v>0</v>
      </c>
      <c r="M995" s="41">
        <v>0</v>
      </c>
      <c r="N995" s="41">
        <v>15.819000000000001</v>
      </c>
      <c r="O995" s="41">
        <v>16.949000000000002</v>
      </c>
      <c r="P995" s="41">
        <v>37.512</v>
      </c>
      <c r="Q995" s="41">
        <v>119.2</v>
      </c>
      <c r="R995" s="41">
        <v>133.71299999999999</v>
      </c>
      <c r="S995" s="41">
        <v>0</v>
      </c>
      <c r="T995" s="41">
        <v>0</v>
      </c>
      <c r="U995" s="41">
        <v>0</v>
      </c>
      <c r="V995" s="41">
        <v>0</v>
      </c>
      <c r="W995" s="41">
        <v>0</v>
      </c>
      <c r="X995" s="38">
        <v>0</v>
      </c>
      <c r="Z995" s="40">
        <v>629.80334202543645</v>
      </c>
      <c r="AA995" s="40">
        <v>666.43838321813723</v>
      </c>
      <c r="AB995" s="40">
        <v>1162.1902861121262</v>
      </c>
      <c r="AC995" s="40">
        <v>4074.3419916659136</v>
      </c>
      <c r="AD995" s="40">
        <v>5222.7826073870438</v>
      </c>
      <c r="AE995" s="40">
        <v>0</v>
      </c>
      <c r="AF995" s="40">
        <v>0</v>
      </c>
      <c r="AG995" s="40">
        <v>0</v>
      </c>
      <c r="AH995" s="40">
        <v>0</v>
      </c>
      <c r="AI995" s="40">
        <v>0</v>
      </c>
      <c r="AK995" s="53">
        <f t="shared" si="125"/>
        <v>323.19299999999998</v>
      </c>
      <c r="AL995" s="54">
        <f t="shared" si="126"/>
        <v>11755.556610408657</v>
      </c>
      <c r="AM995" s="54">
        <f t="shared" si="127"/>
        <v>0</v>
      </c>
      <c r="AN995" s="123">
        <f t="shared" si="129"/>
        <v>11755.556610408657</v>
      </c>
      <c r="AO995" s="38" t="s">
        <v>1389</v>
      </c>
      <c r="AP995" s="38" t="str">
        <f t="shared" si="119"/>
        <v>OH</v>
      </c>
    </row>
    <row r="996" spans="1:42" ht="30">
      <c r="A996" s="38" t="str">
        <f t="shared" si="131"/>
        <v>SA Power</v>
      </c>
      <c r="B996" s="38" t="s">
        <v>1191</v>
      </c>
      <c r="C996" s="38" t="str">
        <f t="shared" si="120"/>
        <v>OH Asset Inspection-ALL OVERHEAD ASSETS</v>
      </c>
      <c r="D996" s="38" t="str">
        <f t="shared" si="130"/>
        <v>OH Asset Inspection-LINE PATROLLED (ROUTE KM) (000'S)</v>
      </c>
      <c r="E996" s="403"/>
      <c r="F996" s="43" t="s">
        <v>395</v>
      </c>
      <c r="G996" s="43" t="s">
        <v>396</v>
      </c>
      <c r="H996" s="43" t="s">
        <v>397</v>
      </c>
      <c r="I996" s="41">
        <v>0</v>
      </c>
      <c r="J996" s="41">
        <v>0</v>
      </c>
      <c r="K996" s="41">
        <v>0</v>
      </c>
      <c r="L996" s="41">
        <v>0</v>
      </c>
      <c r="M996" s="41">
        <v>0</v>
      </c>
      <c r="N996" s="37">
        <v>49.860999999999997</v>
      </c>
      <c r="O996" s="37">
        <v>49.860999999999997</v>
      </c>
      <c r="P996" s="37">
        <v>49.860999999999997</v>
      </c>
      <c r="Q996" s="37">
        <v>49.860999999999997</v>
      </c>
      <c r="R996" s="37">
        <v>49.860999999999997</v>
      </c>
      <c r="S996" s="41">
        <v>0</v>
      </c>
      <c r="T996" s="41">
        <v>0</v>
      </c>
      <c r="U996" s="41">
        <v>0</v>
      </c>
      <c r="V996" s="41">
        <v>0</v>
      </c>
      <c r="W996" s="41">
        <v>0</v>
      </c>
      <c r="X996" s="38">
        <v>0</v>
      </c>
      <c r="Z996" s="40">
        <v>3326.040242332841</v>
      </c>
      <c r="AA996" s="40">
        <v>4502.4567367232194</v>
      </c>
      <c r="AB996" s="40">
        <v>6373.2374537934311</v>
      </c>
      <c r="AC996" s="40">
        <v>4308.9747660044786</v>
      </c>
      <c r="AD996" s="40">
        <v>6520.4385748732266</v>
      </c>
      <c r="AE996" s="40">
        <v>0</v>
      </c>
      <c r="AF996" s="40">
        <v>0</v>
      </c>
      <c r="AG996" s="40">
        <v>0</v>
      </c>
      <c r="AH996" s="40">
        <v>0</v>
      </c>
      <c r="AI996" s="40">
        <v>0</v>
      </c>
      <c r="AK996" s="53">
        <f t="shared" si="125"/>
        <v>249.30499999999998</v>
      </c>
      <c r="AL996" s="54">
        <f t="shared" si="126"/>
        <v>25031.147773727196</v>
      </c>
      <c r="AM996" s="54">
        <f t="shared" si="127"/>
        <v>0</v>
      </c>
      <c r="AN996" s="123">
        <f t="shared" si="129"/>
        <v>25031.147773727196</v>
      </c>
      <c r="AO996" s="38" t="s">
        <v>1389</v>
      </c>
      <c r="AP996" s="38" t="str">
        <f t="shared" si="119"/>
        <v>OH</v>
      </c>
    </row>
    <row r="997" spans="1:42" ht="30" hidden="1">
      <c r="A997" s="38" t="str">
        <f t="shared" si="131"/>
        <v>SA Power</v>
      </c>
      <c r="B997" s="38" t="s">
        <v>1192</v>
      </c>
      <c r="C997" s="38" t="str">
        <f t="shared" si="120"/>
        <v>UG Cable Maintenance-LV - 11 TO 22 KV</v>
      </c>
      <c r="D997" s="38" t="str">
        <f t="shared" si="130"/>
        <v>UG Cable Maintenance-LENGTH (KM) (000'S)</v>
      </c>
      <c r="E997" s="408"/>
      <c r="F997" s="43" t="s">
        <v>398</v>
      </c>
      <c r="G997" s="43" t="s">
        <v>399</v>
      </c>
      <c r="H997" s="43" t="s">
        <v>400</v>
      </c>
      <c r="I997" s="41">
        <v>15713.49</v>
      </c>
      <c r="J997" s="41">
        <v>15963.3</v>
      </c>
      <c r="K997" s="41">
        <v>16263.31</v>
      </c>
      <c r="L997" s="41">
        <v>16520.34</v>
      </c>
      <c r="M997" s="41">
        <v>16570.38</v>
      </c>
      <c r="N997" s="41">
        <v>1.1739999999999999</v>
      </c>
      <c r="O997" s="41">
        <v>1.75</v>
      </c>
      <c r="P997" s="41">
        <v>2.0259999999999998</v>
      </c>
      <c r="Q997" s="41">
        <v>1.536</v>
      </c>
      <c r="R997" s="41">
        <v>1.4950000000000001</v>
      </c>
      <c r="S997" s="41">
        <v>34.94</v>
      </c>
      <c r="T997" s="41">
        <v>35.39</v>
      </c>
      <c r="U997" s="41">
        <v>35.74</v>
      </c>
      <c r="V997" s="41">
        <v>36.18</v>
      </c>
      <c r="W997" s="41">
        <v>37.07</v>
      </c>
      <c r="X997" s="38" t="s">
        <v>1162</v>
      </c>
      <c r="Y997" s="38" t="s">
        <v>1162</v>
      </c>
      <c r="Z997" s="40">
        <v>111.65098738440355</v>
      </c>
      <c r="AA997" s="40">
        <v>3.0615320785784319</v>
      </c>
      <c r="AB997" s="40">
        <v>30.473066104982454</v>
      </c>
      <c r="AC997" s="40">
        <v>39.406874010165147</v>
      </c>
      <c r="AD997" s="40">
        <v>31.016734752933498</v>
      </c>
      <c r="AE997" s="40">
        <v>87.852980372954448</v>
      </c>
      <c r="AF997" s="40">
        <v>160.71015907848968</v>
      </c>
      <c r="AG997" s="40">
        <v>54.533401229481981</v>
      </c>
      <c r="AH997" s="40">
        <v>85.996163643834521</v>
      </c>
      <c r="AI997" s="40">
        <v>85.945763530454414</v>
      </c>
      <c r="AK997" s="53">
        <f t="shared" si="125"/>
        <v>7.980999999999999</v>
      </c>
      <c r="AL997" s="54">
        <f t="shared" si="126"/>
        <v>215.60919433106309</v>
      </c>
      <c r="AM997" s="54">
        <f t="shared" si="127"/>
        <v>475.03846785521506</v>
      </c>
      <c r="AN997" s="123">
        <f t="shared" si="129"/>
        <v>690.64766218627813</v>
      </c>
      <c r="AO997" s="38" t="s">
        <v>1389</v>
      </c>
      <c r="AP997" s="38" t="str">
        <f t="shared" si="119"/>
        <v>UG</v>
      </c>
    </row>
    <row r="998" spans="1:42" ht="30" hidden="1">
      <c r="A998" s="38" t="str">
        <f t="shared" si="131"/>
        <v>SA Power</v>
      </c>
      <c r="B998" s="38" t="s">
        <v>1192</v>
      </c>
      <c r="C998" s="38" t="str">
        <f t="shared" si="120"/>
        <v>UG Cable Maintenance-33 KV AND ABOVE</v>
      </c>
      <c r="D998" s="38" t="str">
        <f t="shared" si="130"/>
        <v>UG Cable Maintenance-LENGTH (KM) (000'S)</v>
      </c>
      <c r="E998" s="408"/>
      <c r="F998" s="43" t="s">
        <v>398</v>
      </c>
      <c r="G998" s="43" t="s">
        <v>401</v>
      </c>
      <c r="H998" s="43" t="s">
        <v>400</v>
      </c>
      <c r="I998" s="41">
        <v>142.18</v>
      </c>
      <c r="J998" s="41">
        <v>146.59</v>
      </c>
      <c r="K998" s="41">
        <v>153.78</v>
      </c>
      <c r="L998" s="41">
        <v>159.44999999999999</v>
      </c>
      <c r="M998" s="41">
        <v>160.99</v>
      </c>
      <c r="N998" s="41">
        <v>0.18</v>
      </c>
      <c r="O998" s="41">
        <v>0.156</v>
      </c>
      <c r="P998" s="41">
        <v>0.14000000000000001</v>
      </c>
      <c r="Q998" s="41">
        <v>0.14399999999999999</v>
      </c>
      <c r="R998" s="41">
        <v>0.18</v>
      </c>
      <c r="S998" s="41">
        <v>29.06</v>
      </c>
      <c r="T998" s="41">
        <v>29.19</v>
      </c>
      <c r="U998" s="41">
        <v>28.82</v>
      </c>
      <c r="V998" s="41">
        <v>28.8</v>
      </c>
      <c r="W998" s="41">
        <v>29.52</v>
      </c>
      <c r="X998" s="38">
        <v>0.5</v>
      </c>
      <c r="Y998" s="38" t="s">
        <v>1162</v>
      </c>
      <c r="Z998" s="40">
        <v>23.040246831079184</v>
      </c>
      <c r="AA998" s="40">
        <v>21.245714747287245</v>
      </c>
      <c r="AB998" s="40">
        <v>5.3580548506491956</v>
      </c>
      <c r="AC998" s="40">
        <v>9.993068180555797</v>
      </c>
      <c r="AD998" s="40">
        <v>18.582867790368525</v>
      </c>
      <c r="AE998" s="40">
        <v>0</v>
      </c>
      <c r="AF998" s="40">
        <v>0</v>
      </c>
      <c r="AG998" s="40">
        <v>0</v>
      </c>
      <c r="AH998" s="40">
        <v>0</v>
      </c>
      <c r="AI998" s="40">
        <v>0</v>
      </c>
      <c r="AK998" s="53">
        <f t="shared" si="125"/>
        <v>0.8</v>
      </c>
      <c r="AL998" s="54">
        <f t="shared" si="126"/>
        <v>78.219952399939942</v>
      </c>
      <c r="AM998" s="54">
        <f t="shared" si="127"/>
        <v>0</v>
      </c>
      <c r="AN998" s="123">
        <f t="shared" si="129"/>
        <v>78.219952399939942</v>
      </c>
      <c r="AO998" s="38" t="s">
        <v>1389</v>
      </c>
      <c r="AP998" s="38" t="str">
        <f t="shared" si="119"/>
        <v>UG</v>
      </c>
    </row>
    <row r="999" spans="1:42" ht="30" hidden="1">
      <c r="A999" s="38" t="str">
        <f t="shared" si="131"/>
        <v>SA Power</v>
      </c>
      <c r="B999" s="38" t="s">
        <v>1197</v>
      </c>
      <c r="C999" s="38" t="str">
        <f t="shared" si="120"/>
        <v>Duplicate-CBD</v>
      </c>
      <c r="D999" s="38" t="str">
        <f t="shared" si="130"/>
        <v>Duplicate-LENGTH (KM) (000'S)</v>
      </c>
      <c r="E999" s="408"/>
      <c r="F999" s="43" t="s">
        <v>402</v>
      </c>
      <c r="G999" s="43" t="s">
        <v>403</v>
      </c>
      <c r="H999" s="43" t="s">
        <v>400</v>
      </c>
      <c r="I999" s="41">
        <v>475.6</v>
      </c>
      <c r="J999" s="41">
        <v>483.3</v>
      </c>
      <c r="K999" s="41">
        <v>492.5</v>
      </c>
      <c r="L999" s="41">
        <v>500.4</v>
      </c>
      <c r="M999" s="41">
        <v>501.9</v>
      </c>
      <c r="N999" s="41">
        <v>1.3540000000000001</v>
      </c>
      <c r="O999" s="41">
        <v>1.9059999999999999</v>
      </c>
      <c r="P999" s="41">
        <v>2.1659999999999999</v>
      </c>
      <c r="Q999" s="41">
        <v>1.68</v>
      </c>
      <c r="R999" s="41">
        <v>1.675</v>
      </c>
      <c r="S999" s="41">
        <v>27.7</v>
      </c>
      <c r="T999" s="41">
        <v>28.2</v>
      </c>
      <c r="U999" s="41">
        <v>28.8</v>
      </c>
      <c r="V999" s="41">
        <v>29.4</v>
      </c>
      <c r="W999" s="41">
        <v>30</v>
      </c>
      <c r="X999" s="38" t="s">
        <v>1162</v>
      </c>
      <c r="Y999" s="38" t="s">
        <v>1162</v>
      </c>
      <c r="Z999" s="40">
        <v>134.69185930384702</v>
      </c>
      <c r="AA999" s="40">
        <v>24.308095843453692</v>
      </c>
      <c r="AB999" s="40">
        <v>35.831120955631647</v>
      </c>
      <c r="AC999" s="40">
        <v>49.399756992684239</v>
      </c>
      <c r="AD999" s="40">
        <v>49.598506855342684</v>
      </c>
      <c r="AE999" s="40">
        <v>87.852980372954448</v>
      </c>
      <c r="AF999" s="40">
        <v>160.71015907848968</v>
      </c>
      <c r="AG999" s="40">
        <v>54.533401229481981</v>
      </c>
      <c r="AH999" s="40">
        <v>85.996163643834521</v>
      </c>
      <c r="AI999" s="40">
        <v>85.945763530454414</v>
      </c>
      <c r="AK999" s="53" t="str">
        <f t="shared" si="125"/>
        <v/>
      </c>
      <c r="AL999" s="54" t="str">
        <f t="shared" si="126"/>
        <v/>
      </c>
      <c r="AM999" s="54" t="str">
        <f t="shared" si="127"/>
        <v/>
      </c>
      <c r="AN999" s="121"/>
      <c r="AO999" s="38" t="s">
        <v>1389</v>
      </c>
      <c r="AP999" s="38" t="str">
        <f t="shared" si="119"/>
        <v>Exclude</v>
      </c>
    </row>
    <row r="1000" spans="1:42" ht="30" hidden="1">
      <c r="A1000" s="38" t="str">
        <f t="shared" si="131"/>
        <v>SA Power</v>
      </c>
      <c r="B1000" s="38" t="s">
        <v>1197</v>
      </c>
      <c r="C1000" s="38" t="str">
        <f t="shared" si="120"/>
        <v>Duplicate-NON-CBD</v>
      </c>
      <c r="D1000" s="38" t="str">
        <f t="shared" si="130"/>
        <v>Duplicate-LENGTH (KM) (000'S)</v>
      </c>
      <c r="E1000" s="408"/>
      <c r="F1000" s="43" t="s">
        <v>402</v>
      </c>
      <c r="G1000" s="43" t="s">
        <v>404</v>
      </c>
      <c r="H1000" s="43" t="s">
        <v>400</v>
      </c>
      <c r="I1000" s="41">
        <v>15380.1</v>
      </c>
      <c r="J1000" s="41">
        <v>15626.6</v>
      </c>
      <c r="K1000" s="41">
        <v>15924.6</v>
      </c>
      <c r="L1000" s="41">
        <v>16179.4</v>
      </c>
      <c r="M1000" s="41">
        <v>16229.5</v>
      </c>
      <c r="N1000" s="41">
        <v>0</v>
      </c>
      <c r="O1000" s="41">
        <v>0</v>
      </c>
      <c r="P1000" s="41">
        <v>0</v>
      </c>
      <c r="Q1000" s="41">
        <v>0</v>
      </c>
      <c r="R1000" s="41">
        <v>0</v>
      </c>
      <c r="S1000" s="41">
        <v>18.5</v>
      </c>
      <c r="T1000" s="41">
        <v>18.8</v>
      </c>
      <c r="U1000" s="41">
        <v>19.2</v>
      </c>
      <c r="V1000" s="41">
        <v>19.600000000000001</v>
      </c>
      <c r="W1000" s="41">
        <v>20</v>
      </c>
      <c r="X1000" s="38" t="s">
        <v>1162</v>
      </c>
      <c r="Y1000" s="38" t="s">
        <v>1162</v>
      </c>
      <c r="Z1000" s="40">
        <v>0</v>
      </c>
      <c r="AA1000" s="40">
        <v>0</v>
      </c>
      <c r="AB1000" s="40">
        <v>0</v>
      </c>
      <c r="AC1000" s="40">
        <v>0</v>
      </c>
      <c r="AD1000" s="40">
        <v>0</v>
      </c>
      <c r="AE1000" s="40">
        <v>0</v>
      </c>
      <c r="AF1000" s="40">
        <v>0</v>
      </c>
      <c r="AG1000" s="40">
        <v>0</v>
      </c>
      <c r="AH1000" s="40">
        <v>0</v>
      </c>
      <c r="AI1000" s="40">
        <v>0</v>
      </c>
      <c r="AK1000" s="53" t="str">
        <f t="shared" si="125"/>
        <v/>
      </c>
      <c r="AL1000" s="54" t="str">
        <f t="shared" si="126"/>
        <v/>
      </c>
      <c r="AM1000" s="54" t="str">
        <f t="shared" si="127"/>
        <v/>
      </c>
      <c r="AN1000" s="121"/>
      <c r="AO1000" s="38" t="s">
        <v>1389</v>
      </c>
      <c r="AP1000" s="38" t="str">
        <f t="shared" si="119"/>
        <v>Exclude</v>
      </c>
    </row>
    <row r="1001" spans="1:42" ht="30" hidden="1">
      <c r="A1001" s="38" t="str">
        <f t="shared" si="131"/>
        <v>SA Power</v>
      </c>
      <c r="B1001" s="38" t="s">
        <v>1381</v>
      </c>
      <c r="C1001" s="38" t="str">
        <f t="shared" si="120"/>
        <v>Dist Sub Maintenance-DISTRIBUTION SUBSTATION TRANSFORMERS</v>
      </c>
      <c r="D1001" s="38" t="str">
        <f t="shared" si="130"/>
        <v>Dist Sub Maintenance-NUMBER OF INSTALLED TRANSFORMERS (000'S)</v>
      </c>
      <c r="E1001" s="408"/>
      <c r="F1001" s="43" t="s">
        <v>405</v>
      </c>
      <c r="G1001" s="43" t="s">
        <v>406</v>
      </c>
      <c r="H1001" s="43" t="s">
        <v>407</v>
      </c>
      <c r="I1001" s="41">
        <v>70.284999999999997</v>
      </c>
      <c r="J1001" s="41">
        <v>72.180999999999997</v>
      </c>
      <c r="K1001" s="41">
        <v>73.400000000000006</v>
      </c>
      <c r="L1001" s="41">
        <v>74.408000000000001</v>
      </c>
      <c r="M1001" s="41">
        <v>75.042000000000002</v>
      </c>
      <c r="N1001" s="41">
        <v>0.56200000000000006</v>
      </c>
      <c r="O1001" s="41">
        <v>0.41799999999999998</v>
      </c>
      <c r="P1001" s="41">
        <v>0.78500000000000003</v>
      </c>
      <c r="Q1001" s="41">
        <v>0.48399999999999999</v>
      </c>
      <c r="R1001" s="41">
        <v>0.64800000000000002</v>
      </c>
      <c r="S1001" s="41">
        <v>25.56</v>
      </c>
      <c r="T1001" s="41">
        <v>26.12</v>
      </c>
      <c r="U1001" s="41">
        <v>26.69</v>
      </c>
      <c r="V1001" s="41">
        <v>27.03</v>
      </c>
      <c r="W1001" s="41">
        <v>28.1</v>
      </c>
      <c r="X1001" s="38">
        <v>5</v>
      </c>
      <c r="Y1001" s="38" t="s">
        <v>1162</v>
      </c>
      <c r="Z1001" s="40">
        <v>6.2483322617034407</v>
      </c>
      <c r="AA1001" s="40">
        <v>0.65387026181559227</v>
      </c>
      <c r="AB1001" s="40">
        <v>4.892882655173751</v>
      </c>
      <c r="AC1001" s="40">
        <v>0.31156846175067676</v>
      </c>
      <c r="AD1001" s="40">
        <v>1.7531007349404266</v>
      </c>
      <c r="AE1001" s="40">
        <v>450.08403332894267</v>
      </c>
      <c r="AF1001" s="40">
        <v>292.13554732256398</v>
      </c>
      <c r="AG1001" s="40">
        <v>221.62239638399376</v>
      </c>
      <c r="AH1001" s="40">
        <v>543.47889031369198</v>
      </c>
      <c r="AI1001" s="40">
        <v>360.81881051360125</v>
      </c>
      <c r="AK1001" s="53">
        <f t="shared" si="125"/>
        <v>2.8970000000000002</v>
      </c>
      <c r="AL1001" s="54">
        <f t="shared" si="126"/>
        <v>13.859754375383886</v>
      </c>
      <c r="AM1001" s="54">
        <f t="shared" si="127"/>
        <v>1868.1396778627936</v>
      </c>
      <c r="AN1001" s="123">
        <f t="shared" ref="AN1001:AN1023" si="132">AL1001+AM1001</f>
        <v>1881.9994322381776</v>
      </c>
      <c r="AO1001" s="38" t="s">
        <v>1389</v>
      </c>
      <c r="AP1001" s="38" t="str">
        <f t="shared" si="119"/>
        <v>OH/UG</v>
      </c>
    </row>
    <row r="1002" spans="1:42" ht="60" hidden="1">
      <c r="A1002" s="38" t="str">
        <f t="shared" si="131"/>
        <v>SA Power</v>
      </c>
      <c r="B1002" s="38" t="s">
        <v>1381</v>
      </c>
      <c r="C1002" s="38" t="str">
        <f t="shared" si="120"/>
        <v>Dist Sub Maintenance-DISTRIBUTION SUBSTATION SWITCHGEAR (WITHIN-SUBSTATIONS AND STAND-ALONE SWITCHGEAR)</v>
      </c>
      <c r="D1002" s="38" t="str">
        <f t="shared" si="130"/>
        <v>Dist Sub Maintenance-NUMBER OF SWITCHES (000'S)</v>
      </c>
      <c r="E1002" s="408"/>
      <c r="F1002" s="43" t="s">
        <v>405</v>
      </c>
      <c r="G1002" s="43" t="s">
        <v>408</v>
      </c>
      <c r="H1002" s="43" t="s">
        <v>409</v>
      </c>
      <c r="I1002" s="41">
        <v>10.923</v>
      </c>
      <c r="J1002" s="41">
        <v>11.497</v>
      </c>
      <c r="K1002" s="41">
        <v>12.045999999999999</v>
      </c>
      <c r="L1002" s="41">
        <v>12.66</v>
      </c>
      <c r="M1002" s="41">
        <v>13.03</v>
      </c>
      <c r="N1002" s="41">
        <v>3.91</v>
      </c>
      <c r="O1002" s="41">
        <v>3.4750000000000001</v>
      </c>
      <c r="P1002" s="41">
        <v>3.4169999999999998</v>
      </c>
      <c r="Q1002" s="41">
        <v>3.52</v>
      </c>
      <c r="R1002" s="41">
        <v>3.81</v>
      </c>
      <c r="S1002" s="41">
        <v>24.02</v>
      </c>
      <c r="T1002" s="41">
        <v>23.82</v>
      </c>
      <c r="U1002" s="41">
        <v>23.74</v>
      </c>
      <c r="V1002" s="41">
        <v>23.59</v>
      </c>
      <c r="W1002" s="41">
        <v>23.92</v>
      </c>
      <c r="X1002" s="38">
        <v>1</v>
      </c>
      <c r="Y1002" s="38" t="s">
        <v>1162</v>
      </c>
      <c r="Z1002" s="40">
        <v>160.84926872471692</v>
      </c>
      <c r="AA1002" s="40">
        <v>157.99583717769704</v>
      </c>
      <c r="AB1002" s="40">
        <v>150.93873100376524</v>
      </c>
      <c r="AC1002" s="40">
        <v>141.63727967151223</v>
      </c>
      <c r="AD1002" s="40">
        <v>153.95840223042762</v>
      </c>
      <c r="AE1002" s="40">
        <v>29.379153121076001</v>
      </c>
      <c r="AF1002" s="40">
        <v>11.289399539757969</v>
      </c>
      <c r="AG1002" s="40">
        <v>13.301352409793262</v>
      </c>
      <c r="AH1002" s="40">
        <v>27.821102713946797</v>
      </c>
      <c r="AI1002" s="40">
        <v>29.552895639258242</v>
      </c>
      <c r="AK1002" s="53">
        <f t="shared" si="125"/>
        <v>18.131999999999998</v>
      </c>
      <c r="AL1002" s="54">
        <f t="shared" si="126"/>
        <v>765.37951880811909</v>
      </c>
      <c r="AM1002" s="54">
        <f t="shared" si="127"/>
        <v>111.34390342383226</v>
      </c>
      <c r="AN1002" s="123">
        <f t="shared" si="132"/>
        <v>876.7234222319513</v>
      </c>
      <c r="AO1002" s="38" t="s">
        <v>1389</v>
      </c>
      <c r="AP1002" s="38" t="str">
        <f t="shared" si="119"/>
        <v>OH/UG</v>
      </c>
    </row>
    <row r="1003" spans="1:42" ht="30" hidden="1">
      <c r="A1003" s="38" t="str">
        <f t="shared" si="131"/>
        <v>SA Power</v>
      </c>
      <c r="B1003" s="38" t="s">
        <v>1381</v>
      </c>
      <c r="C1003" s="38" t="str">
        <f t="shared" si="120"/>
        <v>Dist Sub Maintenance-DISTRIBUTION SUBSTATION - OTHER EQUIPMENT</v>
      </c>
      <c r="D1003" s="38" t="str">
        <f t="shared" si="130"/>
        <v>Dist Sub Maintenance-No. of signages &amp; ID plates replaced (000's)</v>
      </c>
      <c r="E1003" s="408"/>
      <c r="F1003" s="43" t="s">
        <v>405</v>
      </c>
      <c r="G1003" s="43" t="s">
        <v>410</v>
      </c>
      <c r="H1003" s="43" t="s">
        <v>1232</v>
      </c>
      <c r="I1003" s="41">
        <v>0.48499999999999999</v>
      </c>
      <c r="J1003" s="41">
        <v>0</v>
      </c>
      <c r="K1003" s="41">
        <v>0</v>
      </c>
      <c r="L1003" s="41">
        <v>0</v>
      </c>
      <c r="M1003" s="41">
        <v>0</v>
      </c>
      <c r="N1003" s="41">
        <v>0.48499999999999999</v>
      </c>
      <c r="O1003" s="41">
        <v>1.1160000000000001</v>
      </c>
      <c r="P1003" s="41">
        <v>0.71599999999999997</v>
      </c>
      <c r="Q1003" s="41">
        <v>0.85099999999999998</v>
      </c>
      <c r="R1003" s="41">
        <v>0.74199999999999999</v>
      </c>
      <c r="S1003" s="41">
        <v>0</v>
      </c>
      <c r="T1003" s="41">
        <v>0</v>
      </c>
      <c r="U1003" s="41">
        <v>0</v>
      </c>
      <c r="V1003" s="41">
        <v>0</v>
      </c>
      <c r="W1003" s="41">
        <v>0</v>
      </c>
      <c r="X1003" s="38">
        <v>0</v>
      </c>
      <c r="Z1003" s="40">
        <v>0</v>
      </c>
      <c r="AA1003" s="40">
        <v>10.857287603170532</v>
      </c>
      <c r="AB1003" s="40">
        <v>0</v>
      </c>
      <c r="AC1003" s="40">
        <v>0</v>
      </c>
      <c r="AD1003" s="40">
        <v>0</v>
      </c>
      <c r="AE1003" s="40">
        <v>91.122575225291314</v>
      </c>
      <c r="AF1003" s="40">
        <v>234.78504284727313</v>
      </c>
      <c r="AG1003" s="40">
        <v>148.76721287465634</v>
      </c>
      <c r="AH1003" s="40">
        <v>176.91750566380475</v>
      </c>
      <c r="AI1003" s="40">
        <v>154.35394558374853</v>
      </c>
      <c r="AK1003" s="53">
        <f t="shared" si="125"/>
        <v>3.91</v>
      </c>
      <c r="AL1003" s="54">
        <f t="shared" si="126"/>
        <v>10.857287603170532</v>
      </c>
      <c r="AM1003" s="54">
        <f t="shared" si="127"/>
        <v>805.94628219477408</v>
      </c>
      <c r="AN1003" s="123">
        <f t="shared" si="132"/>
        <v>816.80356979794465</v>
      </c>
      <c r="AO1003" s="38" t="s">
        <v>1389</v>
      </c>
      <c r="AP1003" s="38" t="str">
        <f t="shared" si="119"/>
        <v>OH/UG</v>
      </c>
    </row>
    <row r="1004" spans="1:42" ht="45" hidden="1">
      <c r="A1004" s="38" t="str">
        <f t="shared" si="131"/>
        <v>SA Power</v>
      </c>
      <c r="B1004" s="38" t="s">
        <v>1381</v>
      </c>
      <c r="C1004" s="38" t="str">
        <f t="shared" si="120"/>
        <v>Dist Sub Maintenance-DISTRIBUTION SUBSTATION - PROPERTY</v>
      </c>
      <c r="D1004" s="38" t="str">
        <f t="shared" si="130"/>
        <v>Dist Sub Maintenance-NUMBER OF DISTRIBUTION SUBSTATION PROPERTIES MAINTAINED (000'S)</v>
      </c>
      <c r="E1004" s="408"/>
      <c r="F1004" s="43" t="s">
        <v>405</v>
      </c>
      <c r="G1004" s="43" t="s">
        <v>412</v>
      </c>
      <c r="H1004" s="43" t="s">
        <v>413</v>
      </c>
      <c r="I1004" s="41">
        <v>0</v>
      </c>
      <c r="J1004" s="41">
        <v>0</v>
      </c>
      <c r="K1004" s="41">
        <v>0</v>
      </c>
      <c r="L1004" s="41">
        <v>0</v>
      </c>
      <c r="M1004" s="41">
        <v>0</v>
      </c>
      <c r="N1004" s="41">
        <v>5.8999999999999997E-2</v>
      </c>
      <c r="O1004" s="41">
        <v>7.6999999999999999E-2</v>
      </c>
      <c r="P1004" s="41">
        <v>6.5000000000000002E-2</v>
      </c>
      <c r="Q1004" s="41">
        <v>0.11799999999999999</v>
      </c>
      <c r="R1004" s="41">
        <v>0.246</v>
      </c>
      <c r="S1004" s="41">
        <v>0</v>
      </c>
      <c r="T1004" s="41">
        <v>0</v>
      </c>
      <c r="U1004" s="41">
        <v>0</v>
      </c>
      <c r="V1004" s="41">
        <v>0</v>
      </c>
      <c r="W1004" s="41">
        <v>0</v>
      </c>
      <c r="X1004" s="38">
        <v>0</v>
      </c>
      <c r="Z1004" s="40">
        <v>0</v>
      </c>
      <c r="AA1004" s="40">
        <v>0</v>
      </c>
      <c r="AB1004" s="40">
        <v>0</v>
      </c>
      <c r="AC1004" s="40">
        <v>0</v>
      </c>
      <c r="AD1004" s="40">
        <v>0</v>
      </c>
      <c r="AE1004" s="40">
        <v>41.499488935376611</v>
      </c>
      <c r="AF1004" s="40">
        <v>55.004934989591881</v>
      </c>
      <c r="AG1004" s="40">
        <v>45.410023976286148</v>
      </c>
      <c r="AH1004" s="40">
        <v>82.663688383361375</v>
      </c>
      <c r="AI1004" s="40">
        <v>172.06026300664684</v>
      </c>
      <c r="AK1004" s="53">
        <f t="shared" si="125"/>
        <v>0.56499999999999995</v>
      </c>
      <c r="AL1004" s="54">
        <f t="shared" si="126"/>
        <v>0</v>
      </c>
      <c r="AM1004" s="54">
        <f t="shared" si="127"/>
        <v>396.63839929126289</v>
      </c>
      <c r="AN1004" s="123">
        <f t="shared" si="132"/>
        <v>396.63839929126289</v>
      </c>
      <c r="AO1004" s="38" t="s">
        <v>1389</v>
      </c>
      <c r="AP1004" s="38" t="str">
        <f t="shared" si="119"/>
        <v>OH/UG</v>
      </c>
    </row>
    <row r="1005" spans="1:42" ht="30" hidden="1">
      <c r="A1005" s="38" t="str">
        <f t="shared" si="131"/>
        <v>SA Power</v>
      </c>
      <c r="B1005" s="38" t="s">
        <v>1380</v>
      </c>
      <c r="C1005" s="38" t="str">
        <f t="shared" si="120"/>
        <v>Zone Sub Maintenance-TRANSFORMERS - ZONE SUBSTATION</v>
      </c>
      <c r="D1005" s="38" t="str">
        <f t="shared" si="130"/>
        <v>Zone Sub Maintenance-NUMBER OF ZONE SUBSTATION TRANSFORMERS (000'S)</v>
      </c>
      <c r="E1005" s="408"/>
      <c r="F1005" s="43" t="s">
        <v>414</v>
      </c>
      <c r="G1005" s="43" t="s">
        <v>415</v>
      </c>
      <c r="H1005" s="43" t="s">
        <v>416</v>
      </c>
      <c r="I1005" s="41">
        <v>0.65100000000000002</v>
      </c>
      <c r="J1005" s="41">
        <v>0.66900000000000004</v>
      </c>
      <c r="K1005" s="41">
        <v>0.68600000000000005</v>
      </c>
      <c r="L1005" s="41">
        <v>0.70199999999999996</v>
      </c>
      <c r="M1005" s="41">
        <v>0.70799999999999996</v>
      </c>
      <c r="N1005" s="41">
        <v>0.16500000000000001</v>
      </c>
      <c r="O1005" s="41">
        <v>0.111</v>
      </c>
      <c r="P1005" s="41">
        <v>0.34599999999999997</v>
      </c>
      <c r="Q1005" s="41">
        <v>1.008</v>
      </c>
      <c r="R1005" s="41">
        <v>0.70299999999999996</v>
      </c>
      <c r="S1005" s="41">
        <v>32.4</v>
      </c>
      <c r="T1005" s="41">
        <v>32.5</v>
      </c>
      <c r="U1005" s="41">
        <v>32.700000000000003</v>
      </c>
      <c r="V1005" s="41">
        <v>32.5</v>
      </c>
      <c r="W1005" s="41">
        <v>32.4</v>
      </c>
      <c r="X1005" s="38">
        <v>0.5</v>
      </c>
      <c r="Y1005" s="38">
        <v>6</v>
      </c>
      <c r="Z1005" s="40">
        <v>324.06937004608716</v>
      </c>
      <c r="AA1005" s="40">
        <v>292.41880239935398</v>
      </c>
      <c r="AB1005" s="40">
        <v>1329.8413464724151</v>
      </c>
      <c r="AC1005" s="40">
        <v>2075.935918977892</v>
      </c>
      <c r="AD1005" s="40">
        <v>1340.7851820094484</v>
      </c>
      <c r="AE1005" s="40">
        <v>1096.8769581728261</v>
      </c>
      <c r="AF1005" s="40">
        <v>1183.2588193947499</v>
      </c>
      <c r="AG1005" s="40">
        <v>1243.399822914909</v>
      </c>
      <c r="AH1005" s="40">
        <v>2392.9392785717268</v>
      </c>
      <c r="AI1005" s="40">
        <v>1119.8549898560204</v>
      </c>
      <c r="AK1005" s="53">
        <f t="shared" si="125"/>
        <v>2.3329999999999997</v>
      </c>
      <c r="AL1005" s="54">
        <f t="shared" si="126"/>
        <v>5363.0506199051961</v>
      </c>
      <c r="AM1005" s="54">
        <f t="shared" si="127"/>
        <v>7036.329868910233</v>
      </c>
      <c r="AN1005" s="123">
        <f t="shared" si="132"/>
        <v>12399.38048881543</v>
      </c>
      <c r="AO1005" s="38" t="s">
        <v>1389</v>
      </c>
      <c r="AP1005" s="38" t="str">
        <f t="shared" si="119"/>
        <v>Zone Sub</v>
      </c>
    </row>
    <row r="1006" spans="1:42" ht="45" hidden="1">
      <c r="A1006" s="38" t="str">
        <f t="shared" si="131"/>
        <v>SA Power</v>
      </c>
      <c r="B1006" s="38" t="s">
        <v>1380</v>
      </c>
      <c r="C1006" s="38" t="str">
        <f t="shared" si="120"/>
        <v xml:space="preserve">Zone Sub Maintenance-TRANSFORMERS - DISTRIBUTION </v>
      </c>
      <c r="D1006" s="38" t="str">
        <f t="shared" si="130"/>
        <v>Zone Sub Maintenance-NUMBER OF DISTRIBUTION TRANSFORMERS WITHIN ZONE SUBSTATIONS (000'S)</v>
      </c>
      <c r="E1006" s="408"/>
      <c r="F1006" s="43" t="s">
        <v>414</v>
      </c>
      <c r="G1006" s="43" t="s">
        <v>417</v>
      </c>
      <c r="H1006" s="43" t="s">
        <v>418</v>
      </c>
      <c r="I1006" s="41">
        <v>0.17199999999999999</v>
      </c>
      <c r="J1006" s="41">
        <v>0.185</v>
      </c>
      <c r="K1006" s="41">
        <v>0.20899999999999999</v>
      </c>
      <c r="L1006" s="41">
        <v>0.22600000000000001</v>
      </c>
      <c r="M1006" s="41">
        <v>0.246</v>
      </c>
      <c r="N1006" s="41">
        <v>0</v>
      </c>
      <c r="O1006" s="41">
        <v>0</v>
      </c>
      <c r="P1006" s="41">
        <v>0</v>
      </c>
      <c r="Q1006" s="41">
        <v>0</v>
      </c>
      <c r="R1006" s="41">
        <v>0</v>
      </c>
      <c r="S1006" s="41">
        <v>0</v>
      </c>
      <c r="T1006" s="41">
        <v>0</v>
      </c>
      <c r="U1006" s="41">
        <v>0</v>
      </c>
      <c r="V1006" s="41">
        <v>0</v>
      </c>
      <c r="W1006" s="41">
        <v>0</v>
      </c>
      <c r="X1006" s="38">
        <v>0.5</v>
      </c>
      <c r="Y1006" s="38" t="s">
        <v>1162</v>
      </c>
      <c r="Z1006" s="40">
        <v>0</v>
      </c>
      <c r="AA1006" s="40">
        <v>0</v>
      </c>
      <c r="AB1006" s="40">
        <v>0</v>
      </c>
      <c r="AC1006" s="40">
        <v>0</v>
      </c>
      <c r="AD1006" s="40">
        <v>0</v>
      </c>
      <c r="AE1006" s="40">
        <v>0</v>
      </c>
      <c r="AF1006" s="40">
        <v>0</v>
      </c>
      <c r="AG1006" s="40">
        <v>0</v>
      </c>
      <c r="AH1006" s="40">
        <v>0</v>
      </c>
      <c r="AI1006" s="40">
        <v>0</v>
      </c>
      <c r="AK1006" s="53">
        <f t="shared" si="125"/>
        <v>0</v>
      </c>
      <c r="AL1006" s="54">
        <f t="shared" si="126"/>
        <v>0</v>
      </c>
      <c r="AM1006" s="54">
        <f t="shared" si="127"/>
        <v>0</v>
      </c>
      <c r="AN1006" s="123">
        <f t="shared" si="132"/>
        <v>0</v>
      </c>
      <c r="AO1006" s="38" t="s">
        <v>1390</v>
      </c>
      <c r="AP1006" s="38" t="str">
        <f t="shared" si="119"/>
        <v>Zone Sub</v>
      </c>
    </row>
    <row r="1007" spans="1:42" ht="30" hidden="1">
      <c r="A1007" s="38" t="str">
        <f t="shared" si="131"/>
        <v>SA Power</v>
      </c>
      <c r="B1007" s="38" t="s">
        <v>1380</v>
      </c>
      <c r="C1007" s="38" t="str">
        <f t="shared" si="120"/>
        <v>Zone Sub Maintenance-TRANSFORMERS - HV</v>
      </c>
      <c r="D1007" s="38" t="str">
        <f t="shared" si="130"/>
        <v>Zone Sub Maintenance-NUMBER OF HV TRANSFORMERS (000'S)</v>
      </c>
      <c r="E1007" s="408"/>
      <c r="F1007" s="43" t="s">
        <v>414</v>
      </c>
      <c r="G1007" s="43" t="s">
        <v>419</v>
      </c>
      <c r="H1007" s="43" t="s">
        <v>420</v>
      </c>
      <c r="I1007" s="41">
        <v>0</v>
      </c>
      <c r="J1007" s="41">
        <v>0</v>
      </c>
      <c r="K1007" s="41">
        <v>0</v>
      </c>
      <c r="L1007" s="41">
        <v>0</v>
      </c>
      <c r="M1007" s="41">
        <v>0</v>
      </c>
      <c r="N1007" s="41">
        <v>0</v>
      </c>
      <c r="O1007" s="41">
        <v>0</v>
      </c>
      <c r="P1007" s="41">
        <v>0</v>
      </c>
      <c r="Q1007" s="41">
        <v>0</v>
      </c>
      <c r="R1007" s="41">
        <v>0</v>
      </c>
      <c r="S1007" s="41">
        <v>0</v>
      </c>
      <c r="T1007" s="41">
        <v>0</v>
      </c>
      <c r="U1007" s="41">
        <v>0</v>
      </c>
      <c r="V1007" s="41">
        <v>0</v>
      </c>
      <c r="W1007" s="41">
        <v>0</v>
      </c>
      <c r="X1007" s="38">
        <v>0</v>
      </c>
      <c r="Y1007" s="38">
        <v>0</v>
      </c>
      <c r="Z1007" s="40">
        <v>0</v>
      </c>
      <c r="AA1007" s="40">
        <v>0</v>
      </c>
      <c r="AB1007" s="40">
        <v>0</v>
      </c>
      <c r="AC1007" s="40">
        <v>0</v>
      </c>
      <c r="AD1007" s="40">
        <v>0</v>
      </c>
      <c r="AE1007" s="40">
        <v>0</v>
      </c>
      <c r="AF1007" s="40">
        <v>0</v>
      </c>
      <c r="AG1007" s="40">
        <v>0</v>
      </c>
      <c r="AH1007" s="40">
        <v>0</v>
      </c>
      <c r="AI1007" s="40">
        <v>0</v>
      </c>
      <c r="AK1007" s="53">
        <f t="shared" si="125"/>
        <v>0</v>
      </c>
      <c r="AL1007" s="54">
        <f t="shared" si="126"/>
        <v>0</v>
      </c>
      <c r="AM1007" s="54">
        <f t="shared" si="127"/>
        <v>0</v>
      </c>
      <c r="AN1007" s="123">
        <f t="shared" si="132"/>
        <v>0</v>
      </c>
      <c r="AO1007" s="38" t="s">
        <v>1390</v>
      </c>
      <c r="AP1007" s="38" t="str">
        <f t="shared" si="119"/>
        <v>Zone Sub</v>
      </c>
    </row>
    <row r="1008" spans="1:42" ht="30" hidden="1">
      <c r="A1008" s="38" t="str">
        <f t="shared" si="131"/>
        <v>SA Power</v>
      </c>
      <c r="B1008" s="38" t="s">
        <v>1380</v>
      </c>
      <c r="C1008" s="38" t="str">
        <f t="shared" si="120"/>
        <v>Zone Sub Maintenance-ZONE SUBSTATION - OTHER EQUIPMENT</v>
      </c>
      <c r="D1008" s="38" t="str">
        <f t="shared" si="130"/>
        <v>Zone Sub Maintenance-DNSP TO NOMINATE</v>
      </c>
      <c r="E1008" s="408"/>
      <c r="F1008" s="43" t="s">
        <v>414</v>
      </c>
      <c r="G1008" s="43" t="s">
        <v>421</v>
      </c>
      <c r="H1008" s="43" t="s">
        <v>411</v>
      </c>
      <c r="I1008" s="41">
        <v>0.317</v>
      </c>
      <c r="J1008" s="41">
        <v>0.318</v>
      </c>
      <c r="K1008" s="41">
        <v>0.32200000000000001</v>
      </c>
      <c r="L1008" s="41">
        <v>0.32400000000000001</v>
      </c>
      <c r="M1008" s="41">
        <v>0.32400000000000001</v>
      </c>
      <c r="N1008" s="41">
        <v>0.377</v>
      </c>
      <c r="O1008" s="41">
        <v>0.38300000000000001</v>
      </c>
      <c r="P1008" s="41">
        <v>0.46899999999999997</v>
      </c>
      <c r="Q1008" s="41">
        <v>0.53800000000000003</v>
      </c>
      <c r="R1008" s="41">
        <v>0.46800000000000003</v>
      </c>
      <c r="S1008" s="41">
        <v>6.1</v>
      </c>
      <c r="T1008" s="41">
        <v>5.2</v>
      </c>
      <c r="U1008" s="41">
        <v>4.4000000000000004</v>
      </c>
      <c r="V1008" s="41">
        <v>4.2</v>
      </c>
      <c r="W1008" s="41">
        <v>4.4000000000000004</v>
      </c>
      <c r="X1008" s="38">
        <v>0.5</v>
      </c>
      <c r="Y1008" s="38">
        <v>10</v>
      </c>
      <c r="Z1008" s="40">
        <v>1230.3920439817505</v>
      </c>
      <c r="AA1008" s="40">
        <v>553.73053809470628</v>
      </c>
      <c r="AB1008" s="40">
        <v>327.1916076908899</v>
      </c>
      <c r="AC1008" s="40">
        <v>250.33921284547051</v>
      </c>
      <c r="AD1008" s="40">
        <v>327.10004351166327</v>
      </c>
      <c r="AE1008" s="40">
        <v>1219.1340749720459</v>
      </c>
      <c r="AF1008" s="40">
        <v>615.60237802379174</v>
      </c>
      <c r="AG1008" s="40">
        <v>728.55397874404457</v>
      </c>
      <c r="AH1008" s="40">
        <v>815.5337168330442</v>
      </c>
      <c r="AI1008" s="40">
        <v>1181.6545409394485</v>
      </c>
      <c r="AK1008" s="53">
        <f t="shared" si="125"/>
        <v>2.2350000000000003</v>
      </c>
      <c r="AL1008" s="54">
        <f t="shared" si="126"/>
        <v>2688.7534461244809</v>
      </c>
      <c r="AM1008" s="54">
        <f t="shared" si="127"/>
        <v>4560.4786895123752</v>
      </c>
      <c r="AN1008" s="123">
        <f t="shared" si="132"/>
        <v>7249.2321356368557</v>
      </c>
      <c r="AO1008" s="38" t="s">
        <v>1390</v>
      </c>
      <c r="AP1008" s="38" t="str">
        <f t="shared" si="119"/>
        <v>Zone Sub</v>
      </c>
    </row>
    <row r="1009" spans="1:44" ht="45" hidden="1">
      <c r="A1009" s="38" t="str">
        <f t="shared" si="131"/>
        <v>SA Power</v>
      </c>
      <c r="B1009" s="38" t="s">
        <v>1380</v>
      </c>
      <c r="C1009" s="38" t="str">
        <f t="shared" si="120"/>
        <v>Zone Sub Maintenance-ALL ZONE SUBSTATION PROPERTIES</v>
      </c>
      <c r="D1009" s="38" t="str">
        <f t="shared" si="130"/>
        <v>Zone Sub Maintenance-NUMBER OF ZONE SUBSTATION PROPERTIES MAINTAINED (000'S)</v>
      </c>
      <c r="E1009" s="408"/>
      <c r="F1009" s="43" t="s">
        <v>422</v>
      </c>
      <c r="G1009" s="43" t="s">
        <v>423</v>
      </c>
      <c r="H1009" s="43" t="s">
        <v>424</v>
      </c>
      <c r="I1009" s="41">
        <v>0.40600000000000003</v>
      </c>
      <c r="J1009" s="41">
        <v>0.40699999999999997</v>
      </c>
      <c r="K1009" s="41">
        <v>0.41299999999999998</v>
      </c>
      <c r="L1009" s="41">
        <v>0.40799999999999997</v>
      </c>
      <c r="M1009" s="41">
        <v>0.40799999999999997</v>
      </c>
      <c r="N1009" s="41">
        <v>1.157</v>
      </c>
      <c r="O1009" s="41">
        <v>1.0289999999999999</v>
      </c>
      <c r="P1009" s="41">
        <v>1.2629999999999999</v>
      </c>
      <c r="Q1009" s="41">
        <v>1.0900000000000001</v>
      </c>
      <c r="R1009" s="41">
        <v>1.079</v>
      </c>
      <c r="S1009" s="41">
        <v>36.799999999999997</v>
      </c>
      <c r="T1009" s="41">
        <v>37.5</v>
      </c>
      <c r="U1009" s="41">
        <v>38.200000000000003</v>
      </c>
      <c r="V1009" s="41">
        <v>39.1</v>
      </c>
      <c r="W1009" s="41">
        <v>40.1</v>
      </c>
      <c r="X1009" s="38">
        <v>0.5</v>
      </c>
      <c r="Y1009" s="38">
        <v>0.5</v>
      </c>
      <c r="Z1009" s="40">
        <v>845.02428923300329</v>
      </c>
      <c r="AA1009" s="40">
        <v>1139.8811422573281</v>
      </c>
      <c r="AB1009" s="40">
        <v>906.09028052403971</v>
      </c>
      <c r="AC1009" s="40">
        <v>939.53286621680638</v>
      </c>
      <c r="AD1009" s="40">
        <v>915.1325098328648</v>
      </c>
      <c r="AE1009" s="40">
        <v>955.08654437661403</v>
      </c>
      <c r="AF1009" s="40">
        <v>578.06946468131889</v>
      </c>
      <c r="AG1009" s="40">
        <v>898.15651149212658</v>
      </c>
      <c r="AH1009" s="40">
        <v>1151.0396566799609</v>
      </c>
      <c r="AI1009" s="40">
        <v>876.03770603091982</v>
      </c>
      <c r="AK1009" s="53">
        <f t="shared" si="125"/>
        <v>5.6179999999999994</v>
      </c>
      <c r="AL1009" s="54">
        <f t="shared" si="126"/>
        <v>4745.6610880640419</v>
      </c>
      <c r="AM1009" s="54">
        <f t="shared" si="127"/>
        <v>4458.3898832609402</v>
      </c>
      <c r="AN1009" s="123">
        <f t="shared" si="132"/>
        <v>9204.0509713249812</v>
      </c>
      <c r="AO1009" s="38" t="s">
        <v>1390</v>
      </c>
      <c r="AP1009" s="38" t="str">
        <f t="shared" si="119"/>
        <v>Zone Sub</v>
      </c>
    </row>
    <row r="1010" spans="1:44" ht="30" hidden="1">
      <c r="A1010" s="38" t="str">
        <f t="shared" si="131"/>
        <v>SA Power</v>
      </c>
      <c r="B1010" s="38" t="s">
        <v>1193</v>
      </c>
      <c r="C1010" s="38" t="str">
        <f t="shared" si="120"/>
        <v>Public Lighting Maintenance-MINOR ROADS</v>
      </c>
      <c r="D1010" s="38" t="str">
        <f t="shared" si="130"/>
        <v>Public Lighting Maintenance-NUMBER OF PUBLIC LIGHTS MAINTAINED (000'S)</v>
      </c>
      <c r="E1010" s="408"/>
      <c r="F1010" s="43" t="s">
        <v>425</v>
      </c>
      <c r="G1010" s="43" t="s">
        <v>426</v>
      </c>
      <c r="H1010" s="43" t="s">
        <v>427</v>
      </c>
      <c r="I1010" s="41">
        <v>0</v>
      </c>
      <c r="J1010" s="41">
        <v>0</v>
      </c>
      <c r="K1010" s="41">
        <v>0</v>
      </c>
      <c r="L1010" s="41">
        <v>0</v>
      </c>
      <c r="M1010" s="41">
        <v>0</v>
      </c>
      <c r="N1010" s="41">
        <v>0</v>
      </c>
      <c r="O1010" s="41">
        <v>0</v>
      </c>
      <c r="P1010" s="41">
        <v>0</v>
      </c>
      <c r="Q1010" s="41">
        <v>0</v>
      </c>
      <c r="R1010" s="41">
        <v>0</v>
      </c>
      <c r="S1010" s="41">
        <v>0</v>
      </c>
      <c r="T1010" s="41">
        <v>0</v>
      </c>
      <c r="U1010" s="41">
        <v>0</v>
      </c>
      <c r="V1010" s="41">
        <v>0</v>
      </c>
      <c r="W1010" s="41">
        <v>0</v>
      </c>
      <c r="X1010" s="38">
        <v>0</v>
      </c>
      <c r="Z1010" s="40">
        <v>0</v>
      </c>
      <c r="AA1010" s="40">
        <v>0</v>
      </c>
      <c r="AB1010" s="40">
        <v>0</v>
      </c>
      <c r="AC1010" s="40">
        <v>0</v>
      </c>
      <c r="AD1010" s="40">
        <v>0</v>
      </c>
      <c r="AE1010" s="40">
        <v>0</v>
      </c>
      <c r="AF1010" s="40">
        <v>0</v>
      </c>
      <c r="AG1010" s="40">
        <v>0</v>
      </c>
      <c r="AH1010" s="40">
        <v>0</v>
      </c>
      <c r="AI1010" s="40">
        <v>0</v>
      </c>
      <c r="AK1010" s="53">
        <f t="shared" si="125"/>
        <v>0</v>
      </c>
      <c r="AL1010" s="54">
        <f t="shared" si="126"/>
        <v>0</v>
      </c>
      <c r="AM1010" s="54">
        <f t="shared" si="127"/>
        <v>0</v>
      </c>
      <c r="AN1010" s="123">
        <f t="shared" si="132"/>
        <v>0</v>
      </c>
      <c r="AO1010" s="38" t="s">
        <v>1389</v>
      </c>
      <c r="AP1010" s="38" t="str">
        <f t="shared" si="119"/>
        <v>Public Lighting</v>
      </c>
    </row>
    <row r="1011" spans="1:44" ht="30" hidden="1">
      <c r="A1011" s="38" t="str">
        <f t="shared" si="131"/>
        <v>SA Power</v>
      </c>
      <c r="B1011" s="38" t="s">
        <v>1193</v>
      </c>
      <c r="C1011" s="38" t="str">
        <f t="shared" si="120"/>
        <v>Public Lighting Maintenance-MAJOR ROADS</v>
      </c>
      <c r="D1011" s="38" t="str">
        <f t="shared" si="130"/>
        <v>Public Lighting Maintenance-NUMBER OF PUBLIC LIGHTS MAINTAINED (000'S)</v>
      </c>
      <c r="E1011" s="408"/>
      <c r="F1011" s="43" t="s">
        <v>425</v>
      </c>
      <c r="G1011" s="43" t="s">
        <v>428</v>
      </c>
      <c r="H1011" s="43" t="s">
        <v>427</v>
      </c>
      <c r="I1011" s="41">
        <v>0</v>
      </c>
      <c r="J1011" s="41">
        <v>0</v>
      </c>
      <c r="K1011" s="41">
        <v>0</v>
      </c>
      <c r="L1011" s="41">
        <v>0</v>
      </c>
      <c r="M1011" s="41">
        <v>0</v>
      </c>
      <c r="N1011" s="41">
        <v>0</v>
      </c>
      <c r="O1011" s="41">
        <v>0</v>
      </c>
      <c r="P1011" s="41">
        <v>0</v>
      </c>
      <c r="Q1011" s="41">
        <v>0</v>
      </c>
      <c r="R1011" s="41">
        <v>0</v>
      </c>
      <c r="S1011" s="41">
        <v>0</v>
      </c>
      <c r="T1011" s="41">
        <v>0</v>
      </c>
      <c r="U1011" s="41">
        <v>0</v>
      </c>
      <c r="V1011" s="41">
        <v>0</v>
      </c>
      <c r="W1011" s="41">
        <v>0</v>
      </c>
      <c r="X1011" s="38">
        <v>0</v>
      </c>
      <c r="Z1011" s="40">
        <v>0</v>
      </c>
      <c r="AA1011" s="40">
        <v>0</v>
      </c>
      <c r="AB1011" s="40">
        <v>0</v>
      </c>
      <c r="AC1011" s="40">
        <v>0</v>
      </c>
      <c r="AD1011" s="40">
        <v>0</v>
      </c>
      <c r="AE1011" s="40">
        <v>0</v>
      </c>
      <c r="AF1011" s="40">
        <v>0</v>
      </c>
      <c r="AG1011" s="40">
        <v>0</v>
      </c>
      <c r="AH1011" s="40">
        <v>0</v>
      </c>
      <c r="AI1011" s="40">
        <v>0</v>
      </c>
      <c r="AK1011" s="53">
        <f t="shared" si="125"/>
        <v>0</v>
      </c>
      <c r="AL1011" s="54">
        <f t="shared" si="126"/>
        <v>0</v>
      </c>
      <c r="AM1011" s="54">
        <f t="shared" si="127"/>
        <v>0</v>
      </c>
      <c r="AN1011" s="123">
        <f t="shared" si="132"/>
        <v>0</v>
      </c>
      <c r="AO1011" s="38" t="s">
        <v>1389</v>
      </c>
      <c r="AP1011" s="38" t="str">
        <f t="shared" si="119"/>
        <v>Public Lighting</v>
      </c>
    </row>
    <row r="1012" spans="1:44" ht="30" hidden="1">
      <c r="A1012" s="38" t="str">
        <f t="shared" si="131"/>
        <v>SA Power</v>
      </c>
      <c r="B1012" s="38" t="s">
        <v>1194</v>
      </c>
      <c r="C1012" s="38" t="str">
        <f t="shared" si="120"/>
        <v>SCADA Maintenance-SCADA &amp; NETWORK CONTROL MAINTENANCE</v>
      </c>
      <c r="D1012" s="38" t="str">
        <f t="shared" si="130"/>
        <v>SCADA Maintenance-No. of SCADA assets maintained (000's)</v>
      </c>
      <c r="E1012" s="408"/>
      <c r="F1012" s="43" t="s">
        <v>429</v>
      </c>
      <c r="G1012" s="43" t="s">
        <v>429</v>
      </c>
      <c r="H1012" s="43" t="s">
        <v>1233</v>
      </c>
      <c r="I1012" s="41">
        <v>0.23499999999999999</v>
      </c>
      <c r="J1012" s="41">
        <v>0.24199999999999999</v>
      </c>
      <c r="K1012" s="41">
        <v>0.255</v>
      </c>
      <c r="L1012" s="41">
        <v>0.252</v>
      </c>
      <c r="M1012" s="41">
        <v>0.27200000000000002</v>
      </c>
      <c r="N1012" s="41">
        <v>0.01</v>
      </c>
      <c r="O1012" s="41">
        <v>0.01</v>
      </c>
      <c r="P1012" s="41">
        <v>0.01</v>
      </c>
      <c r="Q1012" s="41">
        <v>1.0999999999999999E-2</v>
      </c>
      <c r="R1012" s="41">
        <v>1.0999999999999999E-2</v>
      </c>
      <c r="S1012" s="41">
        <v>7.7</v>
      </c>
      <c r="T1012" s="41">
        <v>8</v>
      </c>
      <c r="U1012" s="41">
        <v>8.3000000000000007</v>
      </c>
      <c r="V1012" s="41">
        <v>8.6999999999999993</v>
      </c>
      <c r="W1012" s="41">
        <v>9</v>
      </c>
      <c r="X1012" s="38" t="s">
        <v>1162</v>
      </c>
      <c r="Y1012" s="38" t="s">
        <v>1162</v>
      </c>
      <c r="Z1012" s="40">
        <v>0</v>
      </c>
      <c r="AA1012" s="40">
        <v>0</v>
      </c>
      <c r="AB1012" s="40">
        <v>0</v>
      </c>
      <c r="AC1012" s="40">
        <v>0</v>
      </c>
      <c r="AD1012" s="40">
        <v>0</v>
      </c>
      <c r="AE1012" s="40">
        <v>76.059055496955608</v>
      </c>
      <c r="AF1012" s="40">
        <v>20.81322265357085</v>
      </c>
      <c r="AG1012" s="40">
        <v>10.680064215275721</v>
      </c>
      <c r="AH1012" s="40">
        <v>39.264652811977903</v>
      </c>
      <c r="AI1012" s="40">
        <v>70.693272163131823</v>
      </c>
      <c r="AK1012" s="53">
        <f t="shared" si="125"/>
        <v>5.1999999999999991E-2</v>
      </c>
      <c r="AL1012" s="54">
        <f t="shared" si="126"/>
        <v>0</v>
      </c>
      <c r="AM1012" s="54">
        <f t="shared" si="127"/>
        <v>217.51026734091192</v>
      </c>
      <c r="AN1012" s="123">
        <f t="shared" si="132"/>
        <v>217.51026734091192</v>
      </c>
      <c r="AO1012" s="38" t="s">
        <v>1390</v>
      </c>
      <c r="AP1012" s="38" t="str">
        <f t="shared" si="119"/>
        <v>Zone Sub</v>
      </c>
    </row>
    <row r="1013" spans="1:44" ht="30" hidden="1">
      <c r="A1013" s="38" t="str">
        <f t="shared" si="131"/>
        <v>SA Power</v>
      </c>
      <c r="B1013" s="38" t="s">
        <v>1195</v>
      </c>
      <c r="C1013" s="38" t="str">
        <f t="shared" si="120"/>
        <v>Protection Maintenance-PROTECTION SYSTEMS MAINTENANCE</v>
      </c>
      <c r="D1013" s="38" t="str">
        <f t="shared" si="130"/>
        <v>Protection Maintenance-No. of Protection Systems maintained (000's)</v>
      </c>
      <c r="E1013" s="408"/>
      <c r="F1013" s="43" t="s">
        <v>430</v>
      </c>
      <c r="G1013" s="43" t="s">
        <v>430</v>
      </c>
      <c r="H1013" s="43" t="s">
        <v>1234</v>
      </c>
      <c r="I1013" s="41">
        <v>11.972</v>
      </c>
      <c r="J1013" s="41">
        <v>12.125999999999999</v>
      </c>
      <c r="K1013" s="41">
        <v>12.275</v>
      </c>
      <c r="L1013" s="41">
        <v>12.426</v>
      </c>
      <c r="M1013" s="41">
        <v>12.566000000000001</v>
      </c>
      <c r="N1013" s="41">
        <v>0.39500000000000002</v>
      </c>
      <c r="O1013" s="41">
        <v>0.629</v>
      </c>
      <c r="P1013" s="41">
        <v>0.63900000000000001</v>
      </c>
      <c r="Q1013" s="41">
        <v>0.55100000000000005</v>
      </c>
      <c r="R1013" s="41">
        <v>0.70499999999999996</v>
      </c>
      <c r="S1013" s="41">
        <v>29.2</v>
      </c>
      <c r="T1013" s="41">
        <v>29.81</v>
      </c>
      <c r="U1013" s="41">
        <v>20.440000000000001</v>
      </c>
      <c r="V1013" s="41">
        <v>31.06</v>
      </c>
      <c r="W1013" s="41">
        <v>31.7</v>
      </c>
      <c r="X1013" s="38">
        <v>0.5</v>
      </c>
      <c r="Y1013" s="38">
        <v>4.5</v>
      </c>
      <c r="Z1013" s="40">
        <v>356.59210530802369</v>
      </c>
      <c r="AA1013" s="40">
        <v>699.74642030788493</v>
      </c>
      <c r="AB1013" s="40">
        <v>620.41395149766549</v>
      </c>
      <c r="AC1013" s="40">
        <v>475.27693532654433</v>
      </c>
      <c r="AD1013" s="40">
        <v>1149.7124319635766</v>
      </c>
      <c r="AE1013" s="40">
        <v>144.06212523795833</v>
      </c>
      <c r="AF1013" s="40">
        <v>253.05286008435371</v>
      </c>
      <c r="AG1013" s="40">
        <v>208.78153229296112</v>
      </c>
      <c r="AH1013" s="40">
        <v>213.62597891516586</v>
      </c>
      <c r="AI1013" s="40">
        <v>313.23359741290295</v>
      </c>
      <c r="AK1013" s="53">
        <f t="shared" si="125"/>
        <v>2.919</v>
      </c>
      <c r="AL1013" s="54">
        <f t="shared" si="126"/>
        <v>3301.7418444036948</v>
      </c>
      <c r="AM1013" s="54">
        <f t="shared" si="127"/>
        <v>1132.756093943342</v>
      </c>
      <c r="AN1013" s="123">
        <f t="shared" si="132"/>
        <v>4434.4979383470363</v>
      </c>
      <c r="AO1013" s="38" t="s">
        <v>1390</v>
      </c>
      <c r="AP1013" s="38" t="str">
        <f t="shared" si="119"/>
        <v>Zone Sub</v>
      </c>
    </row>
    <row r="1014" spans="1:44" ht="60" hidden="1">
      <c r="A1014" s="38" t="str">
        <f t="shared" si="131"/>
        <v>SA Power</v>
      </c>
      <c r="B1014" s="38" t="s">
        <v>1196</v>
      </c>
      <c r="C1014" s="38" t="str">
        <f t="shared" si="120"/>
        <v>Subtrans Maintenance-SUBTRANSMISSION ASSET MAINTENANCE - FOR DNSPS WITH DUAL FUNCTION ASSETS</v>
      </c>
      <c r="D1014" s="38" t="str">
        <f t="shared" si="130"/>
        <v>Subtrans Maintenance-SAPN does not have any Dual Function Assets</v>
      </c>
      <c r="E1014" s="408"/>
      <c r="F1014" s="43" t="s">
        <v>431</v>
      </c>
      <c r="G1014" s="43" t="s">
        <v>431</v>
      </c>
      <c r="H1014" s="43" t="s">
        <v>1235</v>
      </c>
      <c r="I1014" s="41">
        <v>0</v>
      </c>
      <c r="J1014" s="41">
        <v>0</v>
      </c>
      <c r="K1014" s="41">
        <v>0</v>
      </c>
      <c r="L1014" s="41">
        <v>0</v>
      </c>
      <c r="M1014" s="41">
        <v>0</v>
      </c>
      <c r="N1014" s="41">
        <v>0</v>
      </c>
      <c r="O1014" s="41">
        <v>0</v>
      </c>
      <c r="P1014" s="41">
        <v>0</v>
      </c>
      <c r="Q1014" s="41">
        <v>0</v>
      </c>
      <c r="R1014" s="41">
        <v>0</v>
      </c>
      <c r="Z1014" s="40">
        <v>0</v>
      </c>
      <c r="AA1014" s="40">
        <v>0</v>
      </c>
      <c r="AB1014" s="40">
        <v>0</v>
      </c>
      <c r="AC1014" s="40">
        <v>0</v>
      </c>
      <c r="AD1014" s="40">
        <v>0</v>
      </c>
      <c r="AE1014" s="40">
        <v>0</v>
      </c>
      <c r="AF1014" s="40">
        <v>0</v>
      </c>
      <c r="AG1014" s="40">
        <v>0</v>
      </c>
      <c r="AH1014" s="40">
        <v>0</v>
      </c>
      <c r="AI1014" s="40">
        <v>0</v>
      </c>
      <c r="AK1014" s="53">
        <f t="shared" si="125"/>
        <v>0</v>
      </c>
      <c r="AL1014" s="54">
        <f t="shared" si="126"/>
        <v>0</v>
      </c>
      <c r="AM1014" s="54">
        <f t="shared" si="127"/>
        <v>0</v>
      </c>
      <c r="AN1014" s="123">
        <f t="shared" si="132"/>
        <v>0</v>
      </c>
      <c r="AO1014" s="38" t="s">
        <v>1389</v>
      </c>
      <c r="AP1014" s="38" t="str">
        <f t="shared" si="119"/>
        <v>OH/UG</v>
      </c>
    </row>
    <row r="1015" spans="1:44" ht="30" hidden="1">
      <c r="A1015" s="38" t="str">
        <f t="shared" si="131"/>
        <v>SA Power</v>
      </c>
      <c r="B1015" s="38" t="s">
        <v>720</v>
      </c>
      <c r="C1015" s="38" t="str">
        <f t="shared" si="120"/>
        <v>Other-All zone substations assets (excluding property)</v>
      </c>
      <c r="D1015" s="38" t="str">
        <f t="shared" si="130"/>
        <v>Other-SITES</v>
      </c>
      <c r="E1015" s="408"/>
      <c r="F1015" s="43" t="s">
        <v>1236</v>
      </c>
      <c r="G1015" s="43" t="s">
        <v>1237</v>
      </c>
      <c r="H1015" s="43" t="s">
        <v>1238</v>
      </c>
      <c r="I1015" s="41">
        <v>0.39700000000000002</v>
      </c>
      <c r="J1015" s="41">
        <v>0.39600000000000002</v>
      </c>
      <c r="K1015" s="41">
        <v>0.4</v>
      </c>
      <c r="L1015" s="41">
        <v>0.39500000000000002</v>
      </c>
      <c r="M1015" s="41">
        <v>0.40200000000000002</v>
      </c>
      <c r="N1015" s="41">
        <v>0.75600000000000001</v>
      </c>
      <c r="O1015" s="41">
        <v>0.628</v>
      </c>
      <c r="P1015" s="41">
        <v>0.51200000000000001</v>
      </c>
      <c r="Q1015" s="41">
        <v>0.80200000000000005</v>
      </c>
      <c r="R1015" s="41">
        <v>0.79800000000000004</v>
      </c>
      <c r="S1015" s="41">
        <v>36.799999999999997</v>
      </c>
      <c r="T1015" s="41">
        <v>37.5</v>
      </c>
      <c r="U1015" s="41">
        <v>38.200000000000003</v>
      </c>
      <c r="V1015" s="41">
        <v>39.1</v>
      </c>
      <c r="W1015" s="41">
        <v>40.1</v>
      </c>
      <c r="X1015" s="38">
        <v>0.5</v>
      </c>
      <c r="Y1015" s="38" t="s">
        <v>1162</v>
      </c>
      <c r="AK1015" s="53">
        <f t="shared" si="125"/>
        <v>3.496</v>
      </c>
      <c r="AL1015" s="54">
        <f t="shared" si="126"/>
        <v>0</v>
      </c>
      <c r="AM1015" s="54">
        <f t="shared" si="127"/>
        <v>0</v>
      </c>
      <c r="AN1015" s="123">
        <f t="shared" si="132"/>
        <v>0</v>
      </c>
      <c r="AO1015" s="38" t="s">
        <v>1390</v>
      </c>
      <c r="AP1015" s="38" t="str">
        <f t="shared" si="119"/>
        <v>Zone Sub</v>
      </c>
    </row>
    <row r="1016" spans="1:44" hidden="1">
      <c r="A1016" s="38" t="str">
        <f t="shared" si="131"/>
        <v>SA Power</v>
      </c>
      <c r="B1016" s="38" t="s">
        <v>720</v>
      </c>
      <c r="C1016" s="38" t="str">
        <f t="shared" si="120"/>
        <v>Other-SWITCHGEAR</v>
      </c>
      <c r="D1016" s="38" t="str">
        <f t="shared" si="130"/>
        <v>Other-CBs AND DISCONECTORS</v>
      </c>
      <c r="E1016" s="408"/>
      <c r="F1016" s="43" t="s">
        <v>414</v>
      </c>
      <c r="G1016" s="43" t="s">
        <v>510</v>
      </c>
      <c r="H1016" s="43" t="s">
        <v>1239</v>
      </c>
      <c r="I1016" s="41">
        <v>4.7939999999999996</v>
      </c>
      <c r="J1016" s="41">
        <v>4.9560000000000004</v>
      </c>
      <c r="K1016" s="41">
        <v>5.141</v>
      </c>
      <c r="L1016" s="41">
        <v>5.4210000000000003</v>
      </c>
      <c r="M1016" s="41">
        <v>5.5380000000000003</v>
      </c>
      <c r="N1016" s="41">
        <v>0.48</v>
      </c>
      <c r="O1016" s="41">
        <v>0.45500000000000002</v>
      </c>
      <c r="P1016" s="41">
        <v>0.54</v>
      </c>
      <c r="Q1016" s="41">
        <v>0.28899999999999998</v>
      </c>
      <c r="R1016" s="41">
        <v>0.73399999999999999</v>
      </c>
      <c r="S1016" s="41">
        <v>35.4</v>
      </c>
      <c r="T1016" s="41">
        <v>35.200000000000003</v>
      </c>
      <c r="U1016" s="41">
        <v>35</v>
      </c>
      <c r="V1016" s="41">
        <v>34.200000000000003</v>
      </c>
      <c r="W1016" s="41">
        <v>34.4</v>
      </c>
      <c r="X1016" s="38">
        <v>0.5</v>
      </c>
      <c r="Y1016" s="38">
        <v>4.5</v>
      </c>
      <c r="Z1016" s="40">
        <v>433.92996402923859</v>
      </c>
      <c r="AA1016" s="40">
        <v>573.20978938274754</v>
      </c>
      <c r="AB1016" s="40">
        <v>382.05428438159771</v>
      </c>
      <c r="AC1016" s="40">
        <v>520.0556962713797</v>
      </c>
      <c r="AD1016" s="40">
        <v>612.62543457676941</v>
      </c>
      <c r="AE1016" s="40">
        <v>0</v>
      </c>
      <c r="AF1016" s="40">
        <v>0</v>
      </c>
      <c r="AG1016" s="40">
        <v>0</v>
      </c>
      <c r="AH1016" s="40">
        <v>0</v>
      </c>
      <c r="AI1016" s="40">
        <v>0</v>
      </c>
      <c r="AK1016" s="53">
        <f t="shared" si="125"/>
        <v>2.4980000000000002</v>
      </c>
      <c r="AL1016" s="54">
        <f t="shared" si="126"/>
        <v>2521.8751686417331</v>
      </c>
      <c r="AM1016" s="54">
        <f t="shared" si="127"/>
        <v>0</v>
      </c>
      <c r="AN1016" s="123">
        <f t="shared" si="132"/>
        <v>2521.8751686417331</v>
      </c>
      <c r="AO1016" s="38" t="s">
        <v>1390</v>
      </c>
      <c r="AP1016" s="38" t="str">
        <f t="shared" si="119"/>
        <v>Zone Sub</v>
      </c>
    </row>
    <row r="1017" spans="1:44" ht="45" hidden="1">
      <c r="A1017" s="38" t="str">
        <f t="shared" si="131"/>
        <v>SA Power</v>
      </c>
      <c r="B1017" s="38" t="s">
        <v>720</v>
      </c>
      <c r="C1017" s="38" t="str">
        <f t="shared" si="120"/>
        <v>Other-COMMUNICATIONS NETWORK ASSETS - DC BATTERIRS</v>
      </c>
      <c r="D1017" s="38" t="str">
        <f t="shared" si="130"/>
        <v>Other-NUMBER OF BATTERIES SYSTEMS</v>
      </c>
      <c r="E1017" s="408"/>
      <c r="F1017" s="43" t="s">
        <v>274</v>
      </c>
      <c r="G1017" s="43" t="s">
        <v>1240</v>
      </c>
      <c r="H1017" s="43" t="s">
        <v>1241</v>
      </c>
      <c r="I1017" s="41">
        <v>0.53900000000000003</v>
      </c>
      <c r="J1017" s="41">
        <v>0.68500000000000005</v>
      </c>
      <c r="K1017" s="41">
        <v>0.86099999999999999</v>
      </c>
      <c r="L1017" s="41">
        <v>0.99099999999999999</v>
      </c>
      <c r="M1017" s="41">
        <v>1.234</v>
      </c>
      <c r="N1017" s="41">
        <v>0.53900000000000003</v>
      </c>
      <c r="O1017" s="41">
        <v>0.68500000000000005</v>
      </c>
      <c r="P1017" s="41">
        <v>0.86099999999999999</v>
      </c>
      <c r="Q1017" s="41">
        <v>0.99099999999999999</v>
      </c>
      <c r="R1017" s="41">
        <v>1.234</v>
      </c>
      <c r="S1017" s="41">
        <v>3.61</v>
      </c>
      <c r="T1017" s="41">
        <v>3.84</v>
      </c>
      <c r="U1017" s="41">
        <v>5.2</v>
      </c>
      <c r="V1017" s="41">
        <v>4.5199999999999996</v>
      </c>
      <c r="W1017" s="41">
        <v>4.63</v>
      </c>
      <c r="X1017" s="38">
        <v>1</v>
      </c>
      <c r="Y1017" s="38">
        <v>1</v>
      </c>
      <c r="Z1017" s="40">
        <v>0</v>
      </c>
      <c r="AA1017" s="40">
        <v>0</v>
      </c>
      <c r="AB1017" s="40">
        <v>0</v>
      </c>
      <c r="AC1017" s="40">
        <v>0</v>
      </c>
      <c r="AD1017" s="40">
        <v>0</v>
      </c>
      <c r="AE1017" s="40">
        <v>0</v>
      </c>
      <c r="AF1017" s="40">
        <v>0</v>
      </c>
      <c r="AG1017" s="40">
        <v>0</v>
      </c>
      <c r="AH1017" s="40">
        <v>0</v>
      </c>
      <c r="AI1017" s="40">
        <v>0</v>
      </c>
      <c r="AK1017" s="53">
        <f t="shared" si="125"/>
        <v>4.3100000000000005</v>
      </c>
      <c r="AL1017" s="54">
        <f t="shared" si="126"/>
        <v>0</v>
      </c>
      <c r="AM1017" s="54">
        <f t="shared" si="127"/>
        <v>0</v>
      </c>
      <c r="AN1017" s="123">
        <f t="shared" si="132"/>
        <v>0</v>
      </c>
      <c r="AO1017" s="38" t="s">
        <v>1390</v>
      </c>
      <c r="AP1017" s="38" t="str">
        <f t="shared" si="119"/>
        <v>Zone Sub</v>
      </c>
    </row>
    <row r="1018" spans="1:44" ht="30" hidden="1">
      <c r="A1018" s="38" t="str">
        <f t="shared" si="131"/>
        <v>SA Power</v>
      </c>
      <c r="B1018" s="38" t="s">
        <v>720</v>
      </c>
      <c r="C1018" s="38" t="str">
        <f t="shared" si="120"/>
        <v>Other-COMMUNICATIONS NETWORK ASSETS - TOWERS</v>
      </c>
      <c r="D1018" s="38" t="str">
        <f t="shared" si="130"/>
        <v>Other-NUMBER OF TOWERS</v>
      </c>
      <c r="E1018" s="408"/>
      <c r="F1018" s="43" t="s">
        <v>274</v>
      </c>
      <c r="G1018" s="43" t="s">
        <v>1242</v>
      </c>
      <c r="H1018" s="43" t="s">
        <v>1243</v>
      </c>
      <c r="I1018" s="41">
        <v>6.4000000000000001E-2</v>
      </c>
      <c r="J1018" s="41">
        <v>6.5000000000000002E-2</v>
      </c>
      <c r="K1018" s="41">
        <v>6.5000000000000002E-2</v>
      </c>
      <c r="L1018" s="41">
        <v>6.5000000000000002E-2</v>
      </c>
      <c r="M1018" s="41">
        <v>6.6000000000000003E-2</v>
      </c>
      <c r="N1018" s="41">
        <v>6.3E-2</v>
      </c>
      <c r="O1018" s="41">
        <v>2.8000000000000001E-2</v>
      </c>
      <c r="P1018" s="41">
        <v>0.03</v>
      </c>
      <c r="Q1018" s="41">
        <v>2.8000000000000001E-2</v>
      </c>
      <c r="R1018" s="41">
        <v>3.6999999999999998E-2</v>
      </c>
      <c r="S1018" s="41">
        <v>15.72</v>
      </c>
      <c r="T1018" s="41">
        <v>16.72</v>
      </c>
      <c r="U1018" s="41">
        <v>17.72</v>
      </c>
      <c r="V1018" s="41">
        <v>18.45</v>
      </c>
      <c r="W1018" s="41">
        <v>19.45</v>
      </c>
      <c r="X1018" s="38">
        <v>1</v>
      </c>
      <c r="Y1018" s="38">
        <v>1</v>
      </c>
      <c r="Z1018" s="40">
        <v>0</v>
      </c>
      <c r="AA1018" s="40">
        <v>0</v>
      </c>
      <c r="AB1018" s="40">
        <v>0</v>
      </c>
      <c r="AC1018" s="40">
        <v>0</v>
      </c>
      <c r="AD1018" s="40">
        <v>0</v>
      </c>
      <c r="AE1018" s="40">
        <v>0</v>
      </c>
      <c r="AF1018" s="40">
        <v>0</v>
      </c>
      <c r="AG1018" s="40">
        <v>0</v>
      </c>
      <c r="AH1018" s="40">
        <v>0</v>
      </c>
      <c r="AI1018" s="40">
        <v>0</v>
      </c>
      <c r="AK1018" s="53">
        <f t="shared" si="125"/>
        <v>0.186</v>
      </c>
      <c r="AL1018" s="54">
        <f t="shared" si="126"/>
        <v>0</v>
      </c>
      <c r="AM1018" s="54">
        <f t="shared" si="127"/>
        <v>0</v>
      </c>
      <c r="AN1018" s="123">
        <f t="shared" si="132"/>
        <v>0</v>
      </c>
      <c r="AO1018" s="38" t="s">
        <v>1390</v>
      </c>
      <c r="AP1018" s="38" t="str">
        <f t="shared" si="119"/>
        <v>Zone Sub</v>
      </c>
    </row>
    <row r="1019" spans="1:44" ht="45" hidden="1">
      <c r="A1019" s="38" t="str">
        <f t="shared" si="131"/>
        <v>SA Power</v>
      </c>
      <c r="B1019" s="38" t="s">
        <v>720</v>
      </c>
      <c r="C1019" s="38" t="str">
        <f t="shared" si="120"/>
        <v xml:space="preserve">Other-COMMUNICATIONS NETWORK ASSETS - PILOT CABLE </v>
      </c>
      <c r="D1019" s="38" t="str">
        <f t="shared" si="130"/>
        <v>Other-NUMBER OF KMS</v>
      </c>
      <c r="E1019" s="408"/>
      <c r="F1019" s="43" t="s">
        <v>274</v>
      </c>
      <c r="G1019" s="43" t="s">
        <v>1244</v>
      </c>
      <c r="H1019" s="43" t="s">
        <v>1245</v>
      </c>
      <c r="I1019" s="41">
        <v>326</v>
      </c>
      <c r="J1019" s="41">
        <v>326</v>
      </c>
      <c r="K1019" s="41">
        <v>326</v>
      </c>
      <c r="L1019" s="41">
        <v>326</v>
      </c>
      <c r="M1019" s="41">
        <v>326</v>
      </c>
      <c r="N1019" s="41">
        <v>0</v>
      </c>
      <c r="O1019" s="41">
        <v>65.27</v>
      </c>
      <c r="P1019" s="41">
        <v>110.18</v>
      </c>
      <c r="Q1019" s="41">
        <v>63.22</v>
      </c>
      <c r="R1019" s="41">
        <v>51</v>
      </c>
      <c r="S1019" s="41">
        <v>34.590000000000003</v>
      </c>
      <c r="T1019" s="41">
        <v>35.590000000000003</v>
      </c>
      <c r="U1019" s="41">
        <v>36.590000000000003</v>
      </c>
      <c r="V1019" s="41">
        <v>37.590000000000003</v>
      </c>
      <c r="W1019" s="41">
        <v>38.590000000000003</v>
      </c>
      <c r="X1019" s="38">
        <v>2</v>
      </c>
      <c r="Y1019" s="38">
        <v>2</v>
      </c>
      <c r="Z1019" s="40">
        <v>0</v>
      </c>
      <c r="AA1019" s="40">
        <v>0</v>
      </c>
      <c r="AB1019" s="40">
        <v>0</v>
      </c>
      <c r="AC1019" s="40">
        <v>0</v>
      </c>
      <c r="AD1019" s="40">
        <v>0</v>
      </c>
      <c r="AE1019" s="40">
        <v>0</v>
      </c>
      <c r="AF1019" s="40">
        <v>0</v>
      </c>
      <c r="AG1019" s="40">
        <v>0</v>
      </c>
      <c r="AH1019" s="40">
        <v>0</v>
      </c>
      <c r="AI1019" s="40">
        <v>0</v>
      </c>
      <c r="AK1019" s="53">
        <f t="shared" si="125"/>
        <v>289.66999999999996</v>
      </c>
      <c r="AL1019" s="54">
        <f t="shared" si="126"/>
        <v>0</v>
      </c>
      <c r="AM1019" s="54">
        <f t="shared" si="127"/>
        <v>0</v>
      </c>
      <c r="AN1019" s="123">
        <f t="shared" si="132"/>
        <v>0</v>
      </c>
      <c r="AO1019" s="38" t="s">
        <v>1389</v>
      </c>
      <c r="AP1019" s="38" t="str">
        <f t="shared" si="119"/>
        <v>OH</v>
      </c>
    </row>
    <row r="1020" spans="1:44" ht="45" hidden="1">
      <c r="A1020" s="38" t="str">
        <f t="shared" si="131"/>
        <v>SA Power</v>
      </c>
      <c r="B1020" s="38" t="s">
        <v>720</v>
      </c>
      <c r="C1020" s="38" t="str">
        <f t="shared" si="120"/>
        <v>Other-COMMUNICATIONS NETWORK ASSETS -  FIBRE CABLE</v>
      </c>
      <c r="D1020" s="38" t="str">
        <f t="shared" si="130"/>
        <v>Other-NUMBER OF KMS</v>
      </c>
      <c r="E1020" s="408"/>
      <c r="F1020" s="43" t="s">
        <v>274</v>
      </c>
      <c r="G1020" s="43" t="s">
        <v>1246</v>
      </c>
      <c r="H1020" s="43" t="s">
        <v>1245</v>
      </c>
      <c r="I1020" s="41">
        <v>1249</v>
      </c>
      <c r="J1020" s="41">
        <v>1429.9</v>
      </c>
      <c r="K1020" s="41">
        <v>1616.46</v>
      </c>
      <c r="L1020" s="41">
        <v>1822.36</v>
      </c>
      <c r="M1020" s="41">
        <v>2033.16</v>
      </c>
      <c r="N1020" s="41">
        <v>0</v>
      </c>
      <c r="O1020" s="41">
        <v>0</v>
      </c>
      <c r="P1020" s="41">
        <v>224.73599999999999</v>
      </c>
      <c r="Q1020" s="41">
        <v>412.65100000000001</v>
      </c>
      <c r="R1020" s="41">
        <v>0</v>
      </c>
      <c r="S1020" s="41">
        <v>4.4400000000000004</v>
      </c>
      <c r="T1020" s="41">
        <v>4.88</v>
      </c>
      <c r="U1020" s="41">
        <v>5.32</v>
      </c>
      <c r="V1020" s="41">
        <v>5.72</v>
      </c>
      <c r="W1020" s="41">
        <v>6.13</v>
      </c>
      <c r="X1020" s="38">
        <v>2</v>
      </c>
      <c r="Y1020" s="38">
        <v>2</v>
      </c>
      <c r="Z1020" s="79">
        <v>676.8061344337292</v>
      </c>
      <c r="AA1020" s="79">
        <v>745.8644854532406</v>
      </c>
      <c r="AB1020" s="79">
        <v>794.06608688194831</v>
      </c>
      <c r="AC1020" s="79">
        <v>663.68113133693032</v>
      </c>
      <c r="AD1020" s="79">
        <v>521.91123704727704</v>
      </c>
      <c r="AE1020" s="79">
        <v>1616.2271989872077</v>
      </c>
      <c r="AF1020" s="79">
        <v>1360.031136719984</v>
      </c>
      <c r="AG1020" s="79">
        <v>1189.4442320053784</v>
      </c>
      <c r="AH1020" s="79">
        <v>1536.9585066143613</v>
      </c>
      <c r="AI1020" s="79">
        <v>1660.6652116268147</v>
      </c>
      <c r="AK1020" s="53">
        <f t="shared" si="125"/>
        <v>637.38699999999994</v>
      </c>
      <c r="AL1020" s="54">
        <f t="shared" si="126"/>
        <v>3402.3290751531254</v>
      </c>
      <c r="AM1020" s="54">
        <f t="shared" si="127"/>
        <v>7363.3262859537463</v>
      </c>
      <c r="AN1020" s="123">
        <f t="shared" si="132"/>
        <v>10765.655361106872</v>
      </c>
      <c r="AO1020" s="38" t="s">
        <v>1389</v>
      </c>
      <c r="AP1020" s="38" t="str">
        <f t="shared" si="119"/>
        <v>OH</v>
      </c>
    </row>
    <row r="1021" spans="1:44" ht="30" hidden="1">
      <c r="A1021" s="38" t="str">
        <f t="shared" ref="A1021:A1073" si="133">IF(E1021&gt;0,E1021,A1020)</f>
        <v>SA Power</v>
      </c>
      <c r="B1021" s="38" t="s">
        <v>720</v>
      </c>
      <c r="C1021" s="38" t="str">
        <f t="shared" si="120"/>
        <v>Other-CUSTOMER SERVICE PENALTIES</v>
      </c>
      <c r="D1021" s="38" t="str">
        <f t="shared" ref="D1021:D1023" si="134">B1021&amp;"-"&amp;H1021</f>
        <v>Other-</v>
      </c>
      <c r="E1021" s="408"/>
      <c r="F1021" s="43" t="s">
        <v>1247</v>
      </c>
      <c r="G1021" s="43" t="s">
        <v>1247</v>
      </c>
      <c r="Z1021" s="40">
        <v>0</v>
      </c>
      <c r="AA1021" s="40">
        <v>0</v>
      </c>
      <c r="AB1021" s="40">
        <v>0</v>
      </c>
      <c r="AC1021" s="40">
        <v>0</v>
      </c>
      <c r="AD1021" s="40">
        <v>0</v>
      </c>
      <c r="AE1021" s="40">
        <v>0</v>
      </c>
      <c r="AF1021" s="40">
        <v>0</v>
      </c>
      <c r="AG1021" s="40">
        <v>0</v>
      </c>
      <c r="AH1021" s="40">
        <v>0</v>
      </c>
      <c r="AI1021" s="40">
        <v>0</v>
      </c>
      <c r="AK1021" s="53">
        <f t="shared" ref="AK1021:AK1023" si="135">IF($B1021="Duplicate","",SUM(N1021:R1021))</f>
        <v>0</v>
      </c>
      <c r="AL1021" s="54">
        <f t="shared" ref="AL1021:AL1023" si="136">IF($B1021="Duplicate","",SUM(Z1021:AD1021))</f>
        <v>0</v>
      </c>
      <c r="AM1021" s="54">
        <f t="shared" ref="AM1021:AM1023" si="137">IF($B1021="Duplicate","",SUM(AE1021:AI1021))</f>
        <v>0</v>
      </c>
      <c r="AN1021" s="123">
        <f t="shared" si="132"/>
        <v>0</v>
      </c>
      <c r="AO1021" s="38" t="s">
        <v>1389</v>
      </c>
      <c r="AP1021" s="38" t="str">
        <f t="shared" si="119"/>
        <v>Exclude</v>
      </c>
    </row>
    <row r="1022" spans="1:44" hidden="1">
      <c r="A1022" s="38" t="str">
        <f t="shared" si="133"/>
        <v>SA Power</v>
      </c>
      <c r="B1022" s="38" t="s">
        <v>720</v>
      </c>
      <c r="C1022" s="38" t="str">
        <f t="shared" si="120"/>
        <v>Other-DNSP TO NOMINATE</v>
      </c>
      <c r="D1022" s="38" t="str">
        <f t="shared" si="134"/>
        <v>Other-</v>
      </c>
      <c r="E1022" s="408"/>
      <c r="F1022" s="43" t="s">
        <v>1236</v>
      </c>
      <c r="G1022" s="43" t="s">
        <v>411</v>
      </c>
      <c r="Z1022" s="40">
        <v>358.36698631231741</v>
      </c>
      <c r="AA1022" s="40">
        <v>460.58570554673128</v>
      </c>
      <c r="AB1022" s="40">
        <v>492.06429313553491</v>
      </c>
      <c r="AC1022" s="40">
        <v>750.58585476083499</v>
      </c>
      <c r="AD1022" s="40">
        <v>738.51559835284149</v>
      </c>
      <c r="AE1022" s="40">
        <v>0</v>
      </c>
      <c r="AF1022" s="40">
        <v>0</v>
      </c>
      <c r="AG1022" s="40">
        <v>0</v>
      </c>
      <c r="AH1022" s="40">
        <v>0</v>
      </c>
      <c r="AI1022" s="40">
        <v>0</v>
      </c>
      <c r="AK1022" s="53">
        <f t="shared" si="135"/>
        <v>0</v>
      </c>
      <c r="AL1022" s="54">
        <f t="shared" si="136"/>
        <v>2800.1184381082599</v>
      </c>
      <c r="AM1022" s="54">
        <f t="shared" si="137"/>
        <v>0</v>
      </c>
      <c r="AN1022" s="123">
        <f t="shared" si="132"/>
        <v>2800.1184381082599</v>
      </c>
      <c r="AO1022" s="38" t="s">
        <v>1389</v>
      </c>
      <c r="AP1022" s="38" t="str">
        <f t="shared" si="119"/>
        <v>Exclude</v>
      </c>
    </row>
    <row r="1023" spans="1:44" hidden="1">
      <c r="A1023" s="38" t="str">
        <f t="shared" si="133"/>
        <v>SA Power</v>
      </c>
      <c r="B1023" s="38" t="s">
        <v>720</v>
      </c>
      <c r="C1023" s="38" t="str">
        <f t="shared" si="120"/>
        <v>Other-SWITCHGEAR</v>
      </c>
      <c r="D1023" s="38" t="str">
        <f t="shared" si="134"/>
        <v>Other-</v>
      </c>
      <c r="E1023" s="408"/>
      <c r="F1023" s="43" t="s">
        <v>414</v>
      </c>
      <c r="G1023" s="43" t="s">
        <v>510</v>
      </c>
      <c r="Z1023" s="40">
        <v>784.56973555140269</v>
      </c>
      <c r="AA1023" s="40">
        <v>802.68867505538833</v>
      </c>
      <c r="AB1023" s="40">
        <v>652.67567972202426</v>
      </c>
      <c r="AC1023" s="40">
        <v>367.60473591867202</v>
      </c>
      <c r="AD1023" s="40">
        <v>1440.5004232542617</v>
      </c>
      <c r="AE1023" s="40">
        <v>627.21712183812031</v>
      </c>
      <c r="AF1023" s="40">
        <v>564.59836872225344</v>
      </c>
      <c r="AG1023" s="40">
        <v>689.16464419538636</v>
      </c>
      <c r="AH1023" s="40">
        <v>928.02813540264629</v>
      </c>
      <c r="AI1023" s="40">
        <v>693.84800506402689</v>
      </c>
      <c r="AK1023" s="53">
        <f t="shared" si="135"/>
        <v>0</v>
      </c>
      <c r="AL1023" s="54">
        <f t="shared" si="136"/>
        <v>4048.0392495017486</v>
      </c>
      <c r="AM1023" s="54">
        <f t="shared" si="137"/>
        <v>3502.8562752224329</v>
      </c>
      <c r="AN1023" s="123">
        <f t="shared" si="132"/>
        <v>7550.8955247241811</v>
      </c>
      <c r="AO1023" s="38" t="s">
        <v>1390</v>
      </c>
      <c r="AP1023" s="38" t="str">
        <f t="shared" si="119"/>
        <v>Zone Sub</v>
      </c>
    </row>
    <row r="1024" spans="1:44" ht="30" customHeight="1">
      <c r="A1024" s="38" t="str">
        <f t="shared" si="133"/>
        <v>Essential</v>
      </c>
      <c r="B1024" s="38" t="s">
        <v>1189</v>
      </c>
      <c r="C1024" s="38" t="str">
        <f t="shared" ref="C1024:C1073" si="138">B1024&amp;"-"&amp;G1024</f>
        <v>OH Maintenance-POLE TOPS AND OVERHEAD LINES</v>
      </c>
      <c r="D1024" s="38" t="str">
        <f t="shared" ref="D1024:D1073" si="139">B1024&amp;"-"&amp;H1024</f>
        <v>OH Maintenance-NUMBER OF POLES (000'S)</v>
      </c>
      <c r="E1024" s="404" t="s">
        <v>0</v>
      </c>
      <c r="F1024" s="43" t="s">
        <v>388</v>
      </c>
      <c r="G1024" s="43" t="s">
        <v>389</v>
      </c>
      <c r="H1024" s="43" t="s">
        <v>390</v>
      </c>
      <c r="I1024" s="41">
        <v>1377.4829999999999</v>
      </c>
      <c r="J1024" s="41">
        <v>1377.4829999999999</v>
      </c>
      <c r="K1024" s="41">
        <v>1377.4829999999999</v>
      </c>
      <c r="L1024" s="41">
        <v>1377.4829999999999</v>
      </c>
      <c r="M1024" s="41">
        <v>1377.4829999999999</v>
      </c>
      <c r="N1024" s="41">
        <v>101.66200000000001</v>
      </c>
      <c r="O1024" s="41">
        <v>108.813</v>
      </c>
      <c r="P1024" s="41">
        <v>97.242000000000004</v>
      </c>
      <c r="Q1024" s="41">
        <v>106.94199999999999</v>
      </c>
      <c r="R1024" s="41">
        <v>125.224</v>
      </c>
      <c r="S1024" s="41">
        <v>29.577939399912601</v>
      </c>
      <c r="T1024" s="41">
        <v>30.445936260552404</v>
      </c>
      <c r="U1024" s="41">
        <v>31.305889054198893</v>
      </c>
      <c r="V1024" s="41">
        <v>32.169863881342039</v>
      </c>
      <c r="W1024" s="41">
        <v>33</v>
      </c>
      <c r="X1024" s="38">
        <v>0</v>
      </c>
      <c r="Y1024" s="38">
        <v>4</v>
      </c>
      <c r="Z1024" s="40">
        <v>0</v>
      </c>
      <c r="AA1024" s="40">
        <v>0</v>
      </c>
      <c r="AB1024" s="40">
        <v>0</v>
      </c>
      <c r="AC1024" s="40">
        <v>0</v>
      </c>
      <c r="AD1024" s="40">
        <v>0</v>
      </c>
      <c r="AE1024" s="40">
        <v>28693.276095546469</v>
      </c>
      <c r="AF1024" s="40">
        <v>44654.620728186303</v>
      </c>
      <c r="AG1024" s="40">
        <v>40493.244779739318</v>
      </c>
      <c r="AH1024" s="40">
        <v>45739.028162757058</v>
      </c>
      <c r="AI1024" s="40">
        <v>46673.795935284244</v>
      </c>
      <c r="AK1024" s="53">
        <f t="shared" ref="AK1024:AK1073" si="140">IF($B1024="Duplicate","",SUM(N1024:R1024))</f>
        <v>539.88300000000004</v>
      </c>
      <c r="AL1024" s="54">
        <f t="shared" ref="AL1024:AL1073" si="141">IF($B1024="Duplicate","",SUM(Z1024:AD1024))</f>
        <v>0</v>
      </c>
      <c r="AM1024" s="54">
        <f t="shared" ref="AM1024:AM1073" si="142">IF($B1024="Duplicate","",SUM(AE1024:AI1024))</f>
        <v>206253.9657015134</v>
      </c>
      <c r="AN1024" s="123">
        <f t="shared" ref="AN1024:AN1073" si="143">IFERROR(AL1024+AM1024,)</f>
        <v>206253.9657015134</v>
      </c>
      <c r="AO1024" s="119" t="s">
        <v>1389</v>
      </c>
      <c r="AP1024" s="38" t="str">
        <f t="shared" si="119"/>
        <v>OH</v>
      </c>
      <c r="AR1024" s="38"/>
    </row>
    <row r="1025" spans="1:44" ht="30">
      <c r="A1025" s="38" t="str">
        <f t="shared" si="133"/>
        <v>Essential</v>
      </c>
      <c r="B1025" s="38" t="s">
        <v>1189</v>
      </c>
      <c r="C1025" s="38" t="str">
        <f t="shared" si="138"/>
        <v>OH Maintenance-SERVICE LINES</v>
      </c>
      <c r="D1025" s="38" t="str">
        <f t="shared" si="139"/>
        <v>OH Maintenance-NUMBER OF CUSTOMERS (000'S)</v>
      </c>
      <c r="E1025" s="405"/>
      <c r="F1025" s="43" t="s">
        <v>388</v>
      </c>
      <c r="G1025" s="43" t="s">
        <v>391</v>
      </c>
      <c r="H1025" s="43" t="s">
        <v>392</v>
      </c>
      <c r="I1025" s="41">
        <v>787.30399999999997</v>
      </c>
      <c r="J1025" s="41">
        <v>792.66300000000001</v>
      </c>
      <c r="K1025" s="41">
        <v>798.36199999999997</v>
      </c>
      <c r="L1025" s="41">
        <v>804.41099999999994</v>
      </c>
      <c r="M1025" s="41">
        <v>803.471</v>
      </c>
      <c r="N1025" s="41">
        <v>6.4320000000000004</v>
      </c>
      <c r="O1025" s="41">
        <v>5.3239999999999998</v>
      </c>
      <c r="P1025" s="41">
        <v>4.492</v>
      </c>
      <c r="Q1025" s="41">
        <v>4.3650000000000002</v>
      </c>
      <c r="R1025" s="41">
        <v>4.6980000000000004</v>
      </c>
      <c r="S1025" s="41">
        <v>27.88</v>
      </c>
      <c r="T1025" s="41">
        <v>28.85</v>
      </c>
      <c r="U1025" s="41">
        <v>29.7</v>
      </c>
      <c r="V1025" s="41">
        <v>29.9</v>
      </c>
      <c r="W1025" s="41">
        <v>30</v>
      </c>
      <c r="X1025" s="38">
        <v>0</v>
      </c>
      <c r="Y1025" s="38">
        <v>4</v>
      </c>
      <c r="Z1025" s="40">
        <v>0</v>
      </c>
      <c r="AA1025" s="40">
        <v>0</v>
      </c>
      <c r="AB1025" s="40">
        <v>0</v>
      </c>
      <c r="AC1025" s="40">
        <v>0</v>
      </c>
      <c r="AD1025" s="40">
        <v>0</v>
      </c>
      <c r="AE1025" s="40">
        <v>1815.3799044535313</v>
      </c>
      <c r="AF1025" s="40">
        <v>2184.8602718136976</v>
      </c>
      <c r="AG1025" s="40">
        <v>1870.5462202606798</v>
      </c>
      <c r="AH1025" s="40">
        <v>1866.907837242941</v>
      </c>
      <c r="AI1025" s="40">
        <v>1751.0500647157526</v>
      </c>
      <c r="AK1025" s="53">
        <f t="shared" si="140"/>
        <v>25.311</v>
      </c>
      <c r="AL1025" s="54">
        <f t="shared" si="141"/>
        <v>0</v>
      </c>
      <c r="AM1025" s="54">
        <f t="shared" si="142"/>
        <v>9488.7442984866029</v>
      </c>
      <c r="AN1025" s="123">
        <f t="shared" si="143"/>
        <v>9488.7442984866029</v>
      </c>
      <c r="AO1025" s="119" t="s">
        <v>1389</v>
      </c>
      <c r="AP1025" s="38" t="str">
        <f t="shared" si="119"/>
        <v>Service Lines</v>
      </c>
      <c r="AR1025" s="38"/>
    </row>
    <row r="1026" spans="1:44">
      <c r="A1026" s="38" t="str">
        <f t="shared" si="133"/>
        <v>Essential</v>
      </c>
      <c r="B1026" s="38" t="s">
        <v>1190</v>
      </c>
      <c r="C1026" s="38" t="str">
        <f t="shared" si="138"/>
        <v>Pole Inspection-ALL POLES</v>
      </c>
      <c r="D1026" s="38" t="str">
        <f t="shared" si="139"/>
        <v>Pole Inspection-NUMBER OF POLES (000'S)</v>
      </c>
      <c r="E1026" s="405"/>
      <c r="F1026" s="43" t="s">
        <v>393</v>
      </c>
      <c r="G1026" s="43" t="s">
        <v>394</v>
      </c>
      <c r="H1026" s="43" t="s">
        <v>390</v>
      </c>
      <c r="I1026" s="41">
        <v>1377.4829999999999</v>
      </c>
      <c r="J1026" s="41">
        <v>1377.4829999999999</v>
      </c>
      <c r="K1026" s="41">
        <v>1377.4829999999999</v>
      </c>
      <c r="L1026" s="41">
        <v>1377.4829999999999</v>
      </c>
      <c r="M1026" s="41">
        <v>1377.4829999999999</v>
      </c>
      <c r="N1026" s="41">
        <v>358.4</v>
      </c>
      <c r="O1026" s="41">
        <v>289.54399999999998</v>
      </c>
      <c r="P1026" s="41">
        <v>285.07100000000003</v>
      </c>
      <c r="Q1026" s="41">
        <v>340.435</v>
      </c>
      <c r="R1026" s="41">
        <v>346.50400000000002</v>
      </c>
      <c r="S1026" s="41">
        <v>29.577939399912601</v>
      </c>
      <c r="T1026" s="41">
        <v>30.445936260552404</v>
      </c>
      <c r="U1026" s="41">
        <v>31.305889054198893</v>
      </c>
      <c r="V1026" s="41">
        <v>32.169863881342039</v>
      </c>
      <c r="W1026" s="41">
        <v>33</v>
      </c>
      <c r="X1026" s="38">
        <v>4</v>
      </c>
      <c r="Y1026" s="38">
        <v>0</v>
      </c>
      <c r="Z1026" s="40">
        <v>9126.6766918644989</v>
      </c>
      <c r="AA1026" s="40">
        <v>8738.6032538545151</v>
      </c>
      <c r="AB1026" s="40">
        <v>9773.6844698415425</v>
      </c>
      <c r="AC1026" s="40">
        <v>11334.197197291081</v>
      </c>
      <c r="AD1026" s="40">
        <v>9832.0543947720289</v>
      </c>
      <c r="AE1026" s="40">
        <v>0</v>
      </c>
      <c r="AF1026" s="40">
        <v>0</v>
      </c>
      <c r="AG1026" s="40">
        <v>0</v>
      </c>
      <c r="AH1026" s="40">
        <v>0</v>
      </c>
      <c r="AI1026" s="40">
        <v>0</v>
      </c>
      <c r="AK1026" s="53">
        <f t="shared" si="140"/>
        <v>1619.9540000000002</v>
      </c>
      <c r="AL1026" s="54">
        <f t="shared" si="141"/>
        <v>48805.216007623669</v>
      </c>
      <c r="AM1026" s="54">
        <f t="shared" si="142"/>
        <v>0</v>
      </c>
      <c r="AN1026" s="123">
        <f t="shared" si="143"/>
        <v>48805.216007623669</v>
      </c>
      <c r="AO1026" s="119" t="s">
        <v>1389</v>
      </c>
      <c r="AP1026" s="38" t="str">
        <f t="shared" si="119"/>
        <v>OH</v>
      </c>
      <c r="AR1026" s="38"/>
    </row>
    <row r="1027" spans="1:44" ht="30">
      <c r="A1027" s="38" t="str">
        <f t="shared" si="133"/>
        <v>Essential</v>
      </c>
      <c r="B1027" s="38" t="s">
        <v>1191</v>
      </c>
      <c r="C1027" s="38" t="str">
        <f t="shared" si="138"/>
        <v>OH Asset Inspection-ALL OVERHEAD ASSETS</v>
      </c>
      <c r="D1027" s="38" t="str">
        <f t="shared" si="139"/>
        <v>OH Asset Inspection-LINE PATROLLED (ROUTE KM) (000'S)</v>
      </c>
      <c r="E1027" s="405"/>
      <c r="F1027" s="43" t="s">
        <v>395</v>
      </c>
      <c r="G1027" s="43" t="s">
        <v>396</v>
      </c>
      <c r="H1027" s="43" t="s">
        <v>397</v>
      </c>
      <c r="I1027" s="41">
        <v>192.14500000000001</v>
      </c>
      <c r="J1027" s="41">
        <v>192.14500000000001</v>
      </c>
      <c r="K1027" s="41">
        <v>192.14500000000001</v>
      </c>
      <c r="L1027" s="41">
        <v>192.14500000000001</v>
      </c>
      <c r="M1027" s="41">
        <v>192.14500000000001</v>
      </c>
      <c r="N1027" s="41">
        <v>48.036000000000001</v>
      </c>
      <c r="O1027" s="41">
        <v>48.036000000000001</v>
      </c>
      <c r="P1027" s="41">
        <v>48.036000000000001</v>
      </c>
      <c r="Q1027" s="41">
        <v>48.036000000000001</v>
      </c>
      <c r="R1027" s="41">
        <v>48.036000000000001</v>
      </c>
      <c r="S1027" s="41">
        <v>29.6</v>
      </c>
      <c r="T1027" s="41">
        <v>30.46</v>
      </c>
      <c r="U1027" s="41">
        <v>31.31</v>
      </c>
      <c r="V1027" s="41">
        <v>32.17</v>
      </c>
      <c r="W1027" s="41">
        <v>33</v>
      </c>
      <c r="X1027" s="38">
        <v>4</v>
      </c>
      <c r="Y1027" s="38">
        <v>0</v>
      </c>
      <c r="Z1027" s="40">
        <v>3911.4328679419286</v>
      </c>
      <c r="AA1027" s="40">
        <v>3745.1156802233641</v>
      </c>
      <c r="AB1027" s="40">
        <v>4188.7219156463752</v>
      </c>
      <c r="AC1027" s="40">
        <v>4857.5130845533213</v>
      </c>
      <c r="AD1027" s="40">
        <v>4213.7375977594402</v>
      </c>
      <c r="AE1027" s="40">
        <v>0</v>
      </c>
      <c r="AF1027" s="40">
        <v>0</v>
      </c>
      <c r="AG1027" s="40">
        <v>0</v>
      </c>
      <c r="AH1027" s="40">
        <v>0</v>
      </c>
      <c r="AI1027" s="40">
        <v>0</v>
      </c>
      <c r="AK1027" s="53">
        <f t="shared" si="140"/>
        <v>240.18</v>
      </c>
      <c r="AL1027" s="54">
        <f t="shared" si="141"/>
        <v>20916.521146124425</v>
      </c>
      <c r="AM1027" s="54">
        <f t="shared" si="142"/>
        <v>0</v>
      </c>
      <c r="AN1027" s="123">
        <f t="shared" si="143"/>
        <v>20916.521146124425</v>
      </c>
      <c r="AO1027" s="119" t="s">
        <v>1389</v>
      </c>
      <c r="AP1027" s="38" t="str">
        <f t="shared" ref="AP1027:AP1073" si="144">IFERROR(VLOOKUP(C1027,$AR:$AS,2,FALSE),"Exclude")</f>
        <v>OH</v>
      </c>
      <c r="AR1027" s="38"/>
    </row>
    <row r="1028" spans="1:44" ht="30" hidden="1">
      <c r="A1028" s="38" t="str">
        <f t="shared" si="133"/>
        <v>Essential</v>
      </c>
      <c r="B1028" s="38" t="s">
        <v>1192</v>
      </c>
      <c r="C1028" s="38" t="str">
        <f t="shared" si="138"/>
        <v>UG Cable Maintenance-LV - 11 TO 22 KV</v>
      </c>
      <c r="D1028" s="38" t="str">
        <f t="shared" si="139"/>
        <v>UG Cable Maintenance-LENGTH (KM) (000'S)</v>
      </c>
      <c r="E1028" s="406"/>
      <c r="F1028" s="43" t="s">
        <v>398</v>
      </c>
      <c r="G1028" s="43" t="s">
        <v>399</v>
      </c>
      <c r="H1028" s="43" t="s">
        <v>400</v>
      </c>
      <c r="I1028" s="41">
        <v>10.728999999999999</v>
      </c>
      <c r="J1028" s="41">
        <v>10.728999999999999</v>
      </c>
      <c r="K1028" s="41">
        <v>10.728999999999999</v>
      </c>
      <c r="L1028" s="41">
        <v>10.728999999999999</v>
      </c>
      <c r="M1028" s="41">
        <v>10.728999999999999</v>
      </c>
      <c r="N1028" s="41">
        <v>0.99399999999999999</v>
      </c>
      <c r="O1028" s="41">
        <v>1.25</v>
      </c>
      <c r="P1028" s="41">
        <v>2.4670000000000001</v>
      </c>
      <c r="Q1028" s="41">
        <v>4.577</v>
      </c>
      <c r="R1028" s="41">
        <v>7.4980000000000002</v>
      </c>
      <c r="S1028" s="41">
        <v>13.01</v>
      </c>
      <c r="T1028" s="41">
        <v>14.01</v>
      </c>
      <c r="U1028" s="41">
        <v>15.01</v>
      </c>
      <c r="V1028" s="41">
        <v>16.010000000000002</v>
      </c>
      <c r="W1028" s="41">
        <v>17</v>
      </c>
      <c r="X1028" s="38">
        <v>0</v>
      </c>
      <c r="Y1028" s="38">
        <v>4</v>
      </c>
      <c r="Z1028" s="40">
        <v>0</v>
      </c>
      <c r="AA1028" s="40">
        <v>0</v>
      </c>
      <c r="AB1028" s="40">
        <v>0</v>
      </c>
      <c r="AC1028" s="40">
        <v>0</v>
      </c>
      <c r="AD1028" s="40">
        <v>0</v>
      </c>
      <c r="AE1028" s="40">
        <v>693.87088152610443</v>
      </c>
      <c r="AF1028" s="40">
        <v>732.57137192704204</v>
      </c>
      <c r="AG1028" s="40">
        <v>1102.9650367231638</v>
      </c>
      <c r="AH1028" s="40">
        <v>1521.5426769130149</v>
      </c>
      <c r="AI1028" s="40">
        <v>1532.2645049966688</v>
      </c>
      <c r="AK1028" s="53">
        <f t="shared" si="140"/>
        <v>16.786000000000001</v>
      </c>
      <c r="AL1028" s="54">
        <f t="shared" si="141"/>
        <v>0</v>
      </c>
      <c r="AM1028" s="54">
        <f t="shared" si="142"/>
        <v>5583.2144720859942</v>
      </c>
      <c r="AN1028" s="123">
        <f t="shared" si="143"/>
        <v>5583.2144720859942</v>
      </c>
      <c r="AO1028" s="119" t="s">
        <v>1389</v>
      </c>
      <c r="AP1028" s="38" t="str">
        <f t="shared" si="144"/>
        <v>UG</v>
      </c>
      <c r="AR1028" s="38"/>
    </row>
    <row r="1029" spans="1:44" ht="30" hidden="1">
      <c r="A1029" s="38" t="str">
        <f t="shared" si="133"/>
        <v>Essential</v>
      </c>
      <c r="B1029" s="38" t="s">
        <v>1192</v>
      </c>
      <c r="C1029" s="38" t="str">
        <f t="shared" si="138"/>
        <v>UG Cable Maintenance-33 KV AND ABOVE</v>
      </c>
      <c r="D1029" s="38" t="str">
        <f t="shared" si="139"/>
        <v>UG Cable Maintenance-LENGTH (KM) (000'S)</v>
      </c>
      <c r="E1029" s="406"/>
      <c r="F1029" s="43" t="s">
        <v>398</v>
      </c>
      <c r="G1029" s="43" t="s">
        <v>401</v>
      </c>
      <c r="H1029" s="43" t="s">
        <v>400</v>
      </c>
      <c r="I1029" s="41">
        <v>8.2000000000000003E-2</v>
      </c>
      <c r="J1029" s="41">
        <v>8.2000000000000003E-2</v>
      </c>
      <c r="K1029" s="41">
        <v>8.2000000000000003E-2</v>
      </c>
      <c r="L1029" s="41">
        <v>8.2000000000000003E-2</v>
      </c>
      <c r="M1029" s="41">
        <v>8.2000000000000003E-2</v>
      </c>
      <c r="N1029" s="41">
        <v>2E-3</v>
      </c>
      <c r="O1029" s="41">
        <v>1.0999999999999999E-2</v>
      </c>
      <c r="P1029" s="41">
        <v>1.0999999999999999E-2</v>
      </c>
      <c r="Q1029" s="41">
        <v>0.01</v>
      </c>
      <c r="R1029" s="41">
        <v>7.0000000000000001E-3</v>
      </c>
      <c r="S1029" s="41">
        <v>13.01</v>
      </c>
      <c r="T1029" s="41">
        <v>14.01</v>
      </c>
      <c r="U1029" s="41">
        <v>15.01</v>
      </c>
      <c r="V1029" s="41">
        <v>16.010000000000002</v>
      </c>
      <c r="W1029" s="41">
        <v>17</v>
      </c>
      <c r="X1029" s="38">
        <v>0</v>
      </c>
      <c r="Y1029" s="38">
        <v>4</v>
      </c>
      <c r="Z1029" s="40">
        <v>0</v>
      </c>
      <c r="AA1029" s="40">
        <v>0</v>
      </c>
      <c r="AB1029" s="40">
        <v>0</v>
      </c>
      <c r="AC1029" s="40">
        <v>0</v>
      </c>
      <c r="AD1029" s="40">
        <v>0</v>
      </c>
      <c r="AE1029" s="40">
        <v>1.3961184738955825</v>
      </c>
      <c r="AF1029" s="40">
        <v>6.4466280729579699</v>
      </c>
      <c r="AG1029" s="40">
        <v>4.9179632768361579</v>
      </c>
      <c r="AH1029" s="40">
        <v>3.324323086984958</v>
      </c>
      <c r="AI1029" s="40">
        <v>1.4304950033311126</v>
      </c>
      <c r="AK1029" s="53">
        <f t="shared" si="140"/>
        <v>4.1000000000000002E-2</v>
      </c>
      <c r="AL1029" s="54">
        <f t="shared" si="141"/>
        <v>0</v>
      </c>
      <c r="AM1029" s="54">
        <f t="shared" si="142"/>
        <v>17.515527914005784</v>
      </c>
      <c r="AN1029" s="123">
        <f t="shared" si="143"/>
        <v>17.515527914005784</v>
      </c>
      <c r="AO1029" s="119" t="s">
        <v>1389</v>
      </c>
      <c r="AP1029" s="38" t="str">
        <f t="shared" si="144"/>
        <v>UG</v>
      </c>
      <c r="AR1029" s="38"/>
    </row>
    <row r="1030" spans="1:44" ht="30" hidden="1">
      <c r="A1030" s="38" t="str">
        <f t="shared" si="133"/>
        <v>Essential</v>
      </c>
      <c r="B1030" s="38" t="s">
        <v>1197</v>
      </c>
      <c r="C1030" s="38" t="str">
        <f t="shared" si="138"/>
        <v>Duplicate-CBD</v>
      </c>
      <c r="D1030" s="38" t="str">
        <f t="shared" si="139"/>
        <v>Duplicate-LENGTH (KM) (000'S)</v>
      </c>
      <c r="E1030" s="406"/>
      <c r="F1030" s="43" t="s">
        <v>402</v>
      </c>
      <c r="G1030" s="43" t="s">
        <v>403</v>
      </c>
      <c r="H1030" s="43" t="s">
        <v>400</v>
      </c>
      <c r="I1030" s="41">
        <v>0</v>
      </c>
      <c r="J1030" s="41">
        <v>0</v>
      </c>
      <c r="K1030" s="41">
        <v>0</v>
      </c>
      <c r="L1030" s="41">
        <v>0</v>
      </c>
      <c r="M1030" s="41">
        <v>0</v>
      </c>
      <c r="N1030" s="41">
        <v>0</v>
      </c>
      <c r="O1030" s="41">
        <v>0</v>
      </c>
      <c r="P1030" s="41">
        <v>0</v>
      </c>
      <c r="Q1030" s="41">
        <v>0</v>
      </c>
      <c r="R1030" s="41">
        <v>0</v>
      </c>
      <c r="S1030" s="41">
        <v>13.01</v>
      </c>
      <c r="T1030" s="41">
        <v>14.01</v>
      </c>
      <c r="U1030" s="41">
        <v>15.01</v>
      </c>
      <c r="V1030" s="41">
        <v>16.010000000000002</v>
      </c>
      <c r="W1030" s="41">
        <v>17</v>
      </c>
      <c r="X1030" s="38">
        <v>0</v>
      </c>
      <c r="Y1030" s="38">
        <v>4</v>
      </c>
      <c r="Z1030" s="40">
        <v>0</v>
      </c>
      <c r="AA1030" s="40">
        <v>0</v>
      </c>
      <c r="AB1030" s="40">
        <v>0</v>
      </c>
      <c r="AC1030" s="40">
        <v>0</v>
      </c>
      <c r="AD1030" s="40">
        <v>0</v>
      </c>
      <c r="AE1030" s="40">
        <v>0</v>
      </c>
      <c r="AF1030" s="40">
        <v>0</v>
      </c>
      <c r="AG1030" s="40">
        <v>0</v>
      </c>
      <c r="AH1030" s="40">
        <v>0</v>
      </c>
      <c r="AI1030" s="40">
        <v>0</v>
      </c>
      <c r="AK1030" s="53" t="str">
        <f t="shared" si="140"/>
        <v/>
      </c>
      <c r="AL1030" s="54" t="str">
        <f t="shared" si="141"/>
        <v/>
      </c>
      <c r="AM1030" s="54" t="str">
        <f t="shared" si="142"/>
        <v/>
      </c>
      <c r="AN1030" s="123">
        <f t="shared" si="143"/>
        <v>0</v>
      </c>
      <c r="AO1030" s="119" t="s">
        <v>1197</v>
      </c>
      <c r="AP1030" s="38" t="str">
        <f t="shared" si="144"/>
        <v>Exclude</v>
      </c>
      <c r="AR1030" s="38"/>
    </row>
    <row r="1031" spans="1:44" ht="30" hidden="1">
      <c r="A1031" s="38" t="str">
        <f t="shared" si="133"/>
        <v>Essential</v>
      </c>
      <c r="B1031" s="38" t="s">
        <v>1197</v>
      </c>
      <c r="C1031" s="38" t="str">
        <f t="shared" si="138"/>
        <v>Duplicate-NON-CBD</v>
      </c>
      <c r="D1031" s="38" t="str">
        <f t="shared" si="139"/>
        <v>Duplicate-LENGTH (KM) (000'S)</v>
      </c>
      <c r="E1031" s="406"/>
      <c r="F1031" s="43" t="s">
        <v>402</v>
      </c>
      <c r="G1031" s="43" t="s">
        <v>404</v>
      </c>
      <c r="H1031" s="43" t="s">
        <v>400</v>
      </c>
      <c r="I1031" s="41">
        <v>10.811</v>
      </c>
      <c r="J1031" s="41">
        <v>10.811</v>
      </c>
      <c r="K1031" s="41">
        <v>10.811</v>
      </c>
      <c r="L1031" s="41">
        <v>10.811</v>
      </c>
      <c r="M1031" s="41">
        <v>10.811</v>
      </c>
      <c r="N1031" s="41">
        <v>0.996</v>
      </c>
      <c r="O1031" s="41">
        <v>1.2609999999999999</v>
      </c>
      <c r="P1031" s="41">
        <v>2.4780000000000002</v>
      </c>
      <c r="Q1031" s="41">
        <v>4.5869999999999997</v>
      </c>
      <c r="R1031" s="41">
        <v>7.5049999999999999</v>
      </c>
      <c r="S1031" s="41">
        <v>13.01</v>
      </c>
      <c r="T1031" s="41">
        <v>14.01</v>
      </c>
      <c r="U1031" s="41">
        <v>15.01</v>
      </c>
      <c r="V1031" s="41">
        <v>16.010000000000002</v>
      </c>
      <c r="W1031" s="41">
        <v>17</v>
      </c>
      <c r="X1031" s="38">
        <v>0</v>
      </c>
      <c r="Y1031" s="38">
        <v>4</v>
      </c>
      <c r="Z1031" s="40">
        <v>0</v>
      </c>
      <c r="AA1031" s="40">
        <v>0</v>
      </c>
      <c r="AB1031" s="40">
        <v>0</v>
      </c>
      <c r="AC1031" s="40">
        <v>0</v>
      </c>
      <c r="AD1031" s="40">
        <v>0</v>
      </c>
      <c r="AE1031" s="40">
        <v>695.26700000000005</v>
      </c>
      <c r="AF1031" s="40">
        <v>739.01800000000003</v>
      </c>
      <c r="AG1031" s="40">
        <v>1107.883</v>
      </c>
      <c r="AH1031" s="40">
        <v>1524.867</v>
      </c>
      <c r="AI1031" s="40">
        <v>1533.6949999999999</v>
      </c>
      <c r="AK1031" s="53" t="str">
        <f t="shared" si="140"/>
        <v/>
      </c>
      <c r="AL1031" s="54" t="str">
        <f t="shared" si="141"/>
        <v/>
      </c>
      <c r="AM1031" s="54" t="str">
        <f t="shared" si="142"/>
        <v/>
      </c>
      <c r="AN1031" s="123">
        <f t="shared" si="143"/>
        <v>0</v>
      </c>
      <c r="AO1031" s="119" t="s">
        <v>1197</v>
      </c>
      <c r="AP1031" s="38" t="str">
        <f t="shared" si="144"/>
        <v>Exclude</v>
      </c>
      <c r="AR1031" s="38"/>
    </row>
    <row r="1032" spans="1:44" ht="30" hidden="1">
      <c r="A1032" s="38" t="str">
        <f t="shared" si="133"/>
        <v>Essential</v>
      </c>
      <c r="B1032" s="38" t="s">
        <v>1381</v>
      </c>
      <c r="C1032" s="38" t="str">
        <f t="shared" si="138"/>
        <v>Dist Sub Maintenance-DISTRIBUTION SUBSTATION TRANSFORMERS</v>
      </c>
      <c r="D1032" s="38" t="str">
        <f t="shared" si="139"/>
        <v>Dist Sub Maintenance-NUMBER OF INSTALLED TRANSFORMERS (000'S)</v>
      </c>
      <c r="E1032" s="406"/>
      <c r="F1032" s="43" t="s">
        <v>405</v>
      </c>
      <c r="G1032" s="43" t="s">
        <v>406</v>
      </c>
      <c r="H1032" s="43" t="s">
        <v>407</v>
      </c>
      <c r="I1032" s="41">
        <v>127.756</v>
      </c>
      <c r="J1032" s="41">
        <v>129.83099999999999</v>
      </c>
      <c r="K1032" s="41">
        <v>132.02000000000001</v>
      </c>
      <c r="L1032" s="41">
        <v>134.36600000000001</v>
      </c>
      <c r="M1032" s="41">
        <v>135.21299999999999</v>
      </c>
      <c r="N1032" s="41">
        <v>0.71199999999999997</v>
      </c>
      <c r="O1032" s="41">
        <v>0.70299999999999996</v>
      </c>
      <c r="P1032" s="41">
        <v>0.49199999999999999</v>
      </c>
      <c r="Q1032" s="41">
        <v>0.58899999999999997</v>
      </c>
      <c r="R1032" s="41">
        <v>0.53700000000000003</v>
      </c>
      <c r="S1032" s="41">
        <v>22.32</v>
      </c>
      <c r="T1032" s="41">
        <v>23.27</v>
      </c>
      <c r="U1032" s="41">
        <v>24.21</v>
      </c>
      <c r="V1032" s="41">
        <v>25.11</v>
      </c>
      <c r="W1032" s="41">
        <v>26</v>
      </c>
      <c r="X1032" s="38">
        <v>0</v>
      </c>
      <c r="Y1032" s="38">
        <v>4</v>
      </c>
      <c r="Z1032" s="40">
        <v>0</v>
      </c>
      <c r="AA1032" s="40">
        <v>0</v>
      </c>
      <c r="AB1032" s="40">
        <v>0</v>
      </c>
      <c r="AC1032" s="40">
        <v>0</v>
      </c>
      <c r="AD1032" s="40">
        <v>0</v>
      </c>
      <c r="AE1032" s="40">
        <v>1.1439851680185398</v>
      </c>
      <c r="AF1032" s="40">
        <v>23.835275134755094</v>
      </c>
      <c r="AG1032" s="40">
        <v>5.2920100397406387</v>
      </c>
      <c r="AH1032" s="40">
        <v>2.7172904987258826</v>
      </c>
      <c r="AI1032" s="40">
        <v>19.135090191780822</v>
      </c>
      <c r="AK1032" s="53">
        <f t="shared" si="140"/>
        <v>3.0329999999999999</v>
      </c>
      <c r="AL1032" s="54">
        <f t="shared" si="141"/>
        <v>0</v>
      </c>
      <c r="AM1032" s="54">
        <f t="shared" si="142"/>
        <v>52.123651033020977</v>
      </c>
      <c r="AN1032" s="123">
        <f t="shared" si="143"/>
        <v>52.123651033020977</v>
      </c>
      <c r="AO1032" s="119" t="s">
        <v>1389</v>
      </c>
      <c r="AP1032" s="38" t="str">
        <f t="shared" si="144"/>
        <v>OH/UG</v>
      </c>
      <c r="AR1032" s="38"/>
    </row>
    <row r="1033" spans="1:44" ht="60" hidden="1">
      <c r="A1033" s="38" t="str">
        <f t="shared" si="133"/>
        <v>Essential</v>
      </c>
      <c r="B1033" s="38" t="s">
        <v>1381</v>
      </c>
      <c r="C1033" s="38" t="str">
        <f t="shared" si="138"/>
        <v>Dist Sub Maintenance-DISTRIBUTION SUBSTATION SWITCHGEAR (WITHIN-SUBSTATIONS AND STAND-ALONE SWITCHGEAR)</v>
      </c>
      <c r="D1033" s="38" t="str">
        <f t="shared" si="139"/>
        <v>Dist Sub Maintenance-NUMBER OF SWITCHES (000'S)</v>
      </c>
      <c r="E1033" s="406"/>
      <c r="F1033" s="43" t="s">
        <v>405</v>
      </c>
      <c r="G1033" s="43" t="s">
        <v>408</v>
      </c>
      <c r="H1033" s="43" t="s">
        <v>409</v>
      </c>
      <c r="I1033" s="41">
        <v>358.20499999999998</v>
      </c>
      <c r="J1033" s="41">
        <v>358.20499999999998</v>
      </c>
      <c r="K1033" s="41">
        <v>358.20499999999998</v>
      </c>
      <c r="L1033" s="41">
        <v>358.20499999999998</v>
      </c>
      <c r="M1033" s="41">
        <v>358.20499999999998</v>
      </c>
      <c r="N1033" s="41">
        <v>1.218</v>
      </c>
      <c r="O1033" s="41">
        <v>1.3180000000000001</v>
      </c>
      <c r="P1033" s="41">
        <v>1.0960000000000001</v>
      </c>
      <c r="Q1033" s="41">
        <v>0.84199999999999997</v>
      </c>
      <c r="R1033" s="41">
        <v>0.91</v>
      </c>
      <c r="S1033" s="41">
        <v>23.32</v>
      </c>
      <c r="T1033" s="41">
        <v>24.27</v>
      </c>
      <c r="U1033" s="41">
        <v>25.21</v>
      </c>
      <c r="V1033" s="41">
        <v>26.11</v>
      </c>
      <c r="W1033" s="41">
        <v>27</v>
      </c>
      <c r="X1033" s="38">
        <v>0</v>
      </c>
      <c r="Y1033" s="38">
        <v>4</v>
      </c>
      <c r="Z1033" s="40">
        <v>0</v>
      </c>
      <c r="AA1033" s="40">
        <v>0</v>
      </c>
      <c r="AB1033" s="40">
        <v>0</v>
      </c>
      <c r="AC1033" s="40">
        <v>0</v>
      </c>
      <c r="AD1033" s="40">
        <v>0</v>
      </c>
      <c r="AE1033" s="40">
        <v>1.9569858632676709</v>
      </c>
      <c r="AF1033" s="40">
        <v>44.686902741973277</v>
      </c>
      <c r="AG1033" s="40">
        <v>11.788705291779962</v>
      </c>
      <c r="AH1033" s="40">
        <v>3.8844797961412447</v>
      </c>
      <c r="AI1033" s="40">
        <v>32.42631671232877</v>
      </c>
      <c r="AK1033" s="53">
        <f t="shared" si="140"/>
        <v>5.3840000000000003</v>
      </c>
      <c r="AL1033" s="54">
        <f t="shared" si="141"/>
        <v>0</v>
      </c>
      <c r="AM1033" s="54">
        <f t="shared" si="142"/>
        <v>94.743390405490914</v>
      </c>
      <c r="AN1033" s="123">
        <f t="shared" si="143"/>
        <v>94.743390405490914</v>
      </c>
      <c r="AO1033" s="119" t="s">
        <v>1389</v>
      </c>
      <c r="AP1033" s="38" t="str">
        <f t="shared" si="144"/>
        <v>OH/UG</v>
      </c>
      <c r="AR1033" s="38"/>
    </row>
    <row r="1034" spans="1:44" ht="30" hidden="1">
      <c r="A1034" s="38" t="str">
        <f t="shared" si="133"/>
        <v>Essential</v>
      </c>
      <c r="B1034" s="38" t="s">
        <v>1381</v>
      </c>
      <c r="C1034" s="38" t="str">
        <f t="shared" si="138"/>
        <v>Dist Sub Maintenance-DISTRIBUTION SUBSTATION - OTHER EQUIPMENT</v>
      </c>
      <c r="D1034" s="38" t="str">
        <f t="shared" si="139"/>
        <v>Dist Sub Maintenance-REGULATOR UNITS (000's)</v>
      </c>
      <c r="E1034" s="406"/>
      <c r="F1034" s="43" t="s">
        <v>405</v>
      </c>
      <c r="G1034" s="43" t="s">
        <v>410</v>
      </c>
      <c r="H1034" s="43" t="s">
        <v>446</v>
      </c>
      <c r="I1034" s="41">
        <v>0.94399999999999995</v>
      </c>
      <c r="J1034" s="41">
        <v>1.0629999999999999</v>
      </c>
      <c r="K1034" s="41">
        <v>1.147</v>
      </c>
      <c r="L1034" s="41">
        <v>1.2410000000000001</v>
      </c>
      <c r="M1034" s="41">
        <v>1.26</v>
      </c>
      <c r="N1034" s="41">
        <v>3.4000000000000002E-2</v>
      </c>
      <c r="O1034" s="41">
        <v>9.5000000000000001E-2</v>
      </c>
      <c r="P1034" s="41">
        <v>4.4999999999999998E-2</v>
      </c>
      <c r="Q1034" s="41">
        <v>3.3000000000000002E-2</v>
      </c>
      <c r="R1034" s="41">
        <v>7.9000000000000001E-2</v>
      </c>
      <c r="S1034" s="41">
        <v>16.41</v>
      </c>
      <c r="T1034" s="41">
        <v>16.07</v>
      </c>
      <c r="U1034" s="41">
        <v>15.89</v>
      </c>
      <c r="V1034" s="41">
        <v>15.79</v>
      </c>
      <c r="W1034" s="41">
        <v>16</v>
      </c>
      <c r="X1034" s="38">
        <v>0</v>
      </c>
      <c r="Y1034" s="38">
        <v>4</v>
      </c>
      <c r="Z1034" s="40">
        <v>0</v>
      </c>
      <c r="AA1034" s="40">
        <v>0</v>
      </c>
      <c r="AB1034" s="40">
        <v>0</v>
      </c>
      <c r="AC1034" s="40">
        <v>0</v>
      </c>
      <c r="AD1034" s="40">
        <v>0</v>
      </c>
      <c r="AE1034" s="40">
        <v>5.4628505214368482E-2</v>
      </c>
      <c r="AF1034" s="40">
        <v>3.2209831263182562</v>
      </c>
      <c r="AG1034" s="40">
        <v>0.48402530851286329</v>
      </c>
      <c r="AH1034" s="40">
        <v>0.15224208227156896</v>
      </c>
      <c r="AI1034" s="40">
        <v>2.815031890410959</v>
      </c>
      <c r="AK1034" s="53">
        <f t="shared" si="140"/>
        <v>0.28599999999999998</v>
      </c>
      <c r="AL1034" s="54">
        <f t="shared" si="141"/>
        <v>0</v>
      </c>
      <c r="AM1034" s="54">
        <f t="shared" si="142"/>
        <v>6.726910912728016</v>
      </c>
      <c r="AN1034" s="123">
        <f t="shared" si="143"/>
        <v>6.726910912728016</v>
      </c>
      <c r="AO1034" s="119" t="s">
        <v>1389</v>
      </c>
      <c r="AP1034" s="38" t="str">
        <f t="shared" si="144"/>
        <v>OH/UG</v>
      </c>
      <c r="AR1034" s="38"/>
    </row>
    <row r="1035" spans="1:44" ht="45" hidden="1">
      <c r="A1035" s="38" t="str">
        <f t="shared" si="133"/>
        <v>Essential</v>
      </c>
      <c r="B1035" s="38" t="s">
        <v>1381</v>
      </c>
      <c r="C1035" s="38" t="str">
        <f t="shared" si="138"/>
        <v>Dist Sub Maintenance-DISTRIBUTION SUBSTATION - PROPERTY</v>
      </c>
      <c r="D1035" s="38" t="str">
        <f t="shared" si="139"/>
        <v>Dist Sub Maintenance-NUMBER OF DISTRIBUTION SUBSTATION PROPERTIES MAINTAINED (000'S)</v>
      </c>
      <c r="E1035" s="406"/>
      <c r="F1035" s="43" t="s">
        <v>405</v>
      </c>
      <c r="G1035" s="43" t="s">
        <v>412</v>
      </c>
      <c r="H1035" s="43" t="s">
        <v>413</v>
      </c>
      <c r="I1035" s="41">
        <v>127.756</v>
      </c>
      <c r="J1035" s="41">
        <v>129.83099999999999</v>
      </c>
      <c r="K1035" s="41">
        <v>132.02000000000001</v>
      </c>
      <c r="L1035" s="41">
        <v>134.36600000000001</v>
      </c>
      <c r="M1035" s="41">
        <v>134.59200000000001</v>
      </c>
      <c r="N1035" s="41">
        <v>10.981</v>
      </c>
      <c r="O1035" s="41">
        <v>14.952</v>
      </c>
      <c r="P1035" s="41">
        <v>7.9290000000000003</v>
      </c>
      <c r="Q1035" s="41">
        <v>6.7770000000000001</v>
      </c>
      <c r="R1035" s="41">
        <v>7.5990000000000002</v>
      </c>
      <c r="S1035" s="41">
        <v>23.32</v>
      </c>
      <c r="T1035" s="41">
        <v>24.27</v>
      </c>
      <c r="U1035" s="41">
        <v>25.21</v>
      </c>
      <c r="V1035" s="41">
        <v>26.11</v>
      </c>
      <c r="W1035" s="41">
        <v>27</v>
      </c>
      <c r="X1035" s="38">
        <v>0</v>
      </c>
      <c r="Y1035" s="38">
        <v>4</v>
      </c>
      <c r="Z1035" s="40">
        <v>0</v>
      </c>
      <c r="AA1035" s="40">
        <v>0</v>
      </c>
      <c r="AB1035" s="40">
        <v>0</v>
      </c>
      <c r="AC1035" s="40">
        <v>0</v>
      </c>
      <c r="AD1035" s="40">
        <v>0</v>
      </c>
      <c r="AE1035" s="40">
        <v>17.643400463499422</v>
      </c>
      <c r="AF1035" s="40">
        <v>506.94883899695333</v>
      </c>
      <c r="AG1035" s="40">
        <v>85.285259359966517</v>
      </c>
      <c r="AH1035" s="40">
        <v>31.264987622861305</v>
      </c>
      <c r="AI1035" s="40">
        <v>270.77756120547946</v>
      </c>
      <c r="AK1035" s="53">
        <f t="shared" si="140"/>
        <v>48.238</v>
      </c>
      <c r="AL1035" s="54">
        <f t="shared" si="141"/>
        <v>0</v>
      </c>
      <c r="AM1035" s="54">
        <f t="shared" si="142"/>
        <v>911.92004764876015</v>
      </c>
      <c r="AN1035" s="123">
        <f t="shared" si="143"/>
        <v>911.92004764876015</v>
      </c>
      <c r="AO1035" s="119" t="s">
        <v>1389</v>
      </c>
      <c r="AP1035" s="38" t="str">
        <f t="shared" si="144"/>
        <v>OH/UG</v>
      </c>
      <c r="AR1035" s="38"/>
    </row>
    <row r="1036" spans="1:44" ht="30" hidden="1">
      <c r="A1036" s="38" t="str">
        <f t="shared" si="133"/>
        <v>Essential</v>
      </c>
      <c r="B1036" s="38" t="s">
        <v>1380</v>
      </c>
      <c r="C1036" s="38" t="str">
        <f t="shared" si="138"/>
        <v>Zone Sub Maintenance-TRANSFORMERS - ZONE SUBSTATION</v>
      </c>
      <c r="D1036" s="38" t="str">
        <f t="shared" si="139"/>
        <v>Zone Sub Maintenance-NUMBER OF ZONE SUBSTATION TRANSFORMERS (000'S)</v>
      </c>
      <c r="E1036" s="406"/>
      <c r="F1036" s="43" t="s">
        <v>414</v>
      </c>
      <c r="G1036" s="43" t="s">
        <v>415</v>
      </c>
      <c r="H1036" s="43" t="s">
        <v>416</v>
      </c>
      <c r="I1036" s="41">
        <v>0.8</v>
      </c>
      <c r="J1036" s="41">
        <v>0.81100000000000005</v>
      </c>
      <c r="K1036" s="41">
        <v>0.81200000000000006</v>
      </c>
      <c r="L1036" s="41">
        <v>0.79600000000000004</v>
      </c>
      <c r="M1036" s="41">
        <v>0.79300000000000004</v>
      </c>
      <c r="N1036" s="41">
        <v>0.14399999999999999</v>
      </c>
      <c r="O1036" s="41">
        <v>0.16300000000000001</v>
      </c>
      <c r="P1036" s="41">
        <v>0.223</v>
      </c>
      <c r="Q1036" s="41">
        <v>0.2</v>
      </c>
      <c r="R1036" s="41">
        <v>0.17100000000000001</v>
      </c>
      <c r="S1036" s="41">
        <v>31.69</v>
      </c>
      <c r="T1036" s="41">
        <v>31.26</v>
      </c>
      <c r="U1036" s="41">
        <v>30.83</v>
      </c>
      <c r="V1036" s="41">
        <v>30.41</v>
      </c>
      <c r="W1036" s="41">
        <v>29.98</v>
      </c>
      <c r="X1036" s="38">
        <v>0.19666666666666666</v>
      </c>
      <c r="Y1036" s="38">
        <v>4</v>
      </c>
      <c r="Z1036" s="40">
        <v>1036.9678717954168</v>
      </c>
      <c r="AA1036" s="40">
        <v>1345.0697801774561</v>
      </c>
      <c r="AB1036" s="40">
        <v>1808.2591703927628</v>
      </c>
      <c r="AC1036" s="40">
        <v>1229.3264863116913</v>
      </c>
      <c r="AD1036" s="40">
        <v>1235.7445590216098</v>
      </c>
      <c r="AE1036" s="40">
        <v>257.11354456667971</v>
      </c>
      <c r="AF1036" s="40">
        <v>388.11065792956305</v>
      </c>
      <c r="AG1036" s="40">
        <v>398.94446924732421</v>
      </c>
      <c r="AH1036" s="40">
        <v>474.41083392120402</v>
      </c>
      <c r="AI1036" s="40">
        <v>593.15738833037278</v>
      </c>
      <c r="AK1036" s="53">
        <f t="shared" si="140"/>
        <v>0.90100000000000002</v>
      </c>
      <c r="AL1036" s="54">
        <f t="shared" si="141"/>
        <v>6655.3678676989366</v>
      </c>
      <c r="AM1036" s="54">
        <f t="shared" si="142"/>
        <v>2111.7368939951434</v>
      </c>
      <c r="AN1036" s="123">
        <f t="shared" si="143"/>
        <v>8767.1047616940796</v>
      </c>
      <c r="AO1036" s="119" t="s">
        <v>1390</v>
      </c>
      <c r="AP1036" s="38" t="str">
        <f t="shared" si="144"/>
        <v>Zone Sub</v>
      </c>
      <c r="AR1036" s="38"/>
    </row>
    <row r="1037" spans="1:44" ht="45" hidden="1">
      <c r="A1037" s="38" t="str">
        <f t="shared" si="133"/>
        <v>Essential</v>
      </c>
      <c r="B1037" s="38" t="s">
        <v>1380</v>
      </c>
      <c r="C1037" s="38" t="str">
        <f t="shared" si="138"/>
        <v xml:space="preserve">Zone Sub Maintenance-TRANSFORMERS - DISTRIBUTION </v>
      </c>
      <c r="D1037" s="38" t="str">
        <f t="shared" si="139"/>
        <v>Zone Sub Maintenance-NUMBER OF DISTRIBUTION TRANSFORMERS WITHIN ZONE SUBSTATIONS (000'S)</v>
      </c>
      <c r="E1037" s="406"/>
      <c r="F1037" s="43" t="s">
        <v>414</v>
      </c>
      <c r="G1037" s="43" t="s">
        <v>417</v>
      </c>
      <c r="H1037" s="43" t="s">
        <v>418</v>
      </c>
      <c r="Z1037" s="40">
        <v>0</v>
      </c>
      <c r="AA1037" s="40">
        <v>0</v>
      </c>
      <c r="AB1037" s="40">
        <v>0</v>
      </c>
      <c r="AC1037" s="40">
        <v>0</v>
      </c>
      <c r="AD1037" s="40">
        <v>0</v>
      </c>
      <c r="AE1037" s="40">
        <v>0</v>
      </c>
      <c r="AF1037" s="40">
        <v>0</v>
      </c>
      <c r="AG1037" s="40">
        <v>0</v>
      </c>
      <c r="AH1037" s="40">
        <v>0</v>
      </c>
      <c r="AI1037" s="40">
        <v>0</v>
      </c>
      <c r="AK1037" s="53">
        <f t="shared" si="140"/>
        <v>0</v>
      </c>
      <c r="AL1037" s="54">
        <f t="shared" si="141"/>
        <v>0</v>
      </c>
      <c r="AM1037" s="54">
        <f t="shared" si="142"/>
        <v>0</v>
      </c>
      <c r="AN1037" s="123">
        <f t="shared" si="143"/>
        <v>0</v>
      </c>
      <c r="AO1037" s="119" t="s">
        <v>1390</v>
      </c>
      <c r="AP1037" s="38" t="str">
        <f t="shared" si="144"/>
        <v>Zone Sub</v>
      </c>
      <c r="AR1037" s="38"/>
    </row>
    <row r="1038" spans="1:44" ht="30" hidden="1">
      <c r="A1038" s="38" t="str">
        <f t="shared" si="133"/>
        <v>Essential</v>
      </c>
      <c r="B1038" s="38" t="s">
        <v>1380</v>
      </c>
      <c r="C1038" s="38" t="str">
        <f t="shared" si="138"/>
        <v>Zone Sub Maintenance-TRANSFORMERS - HV</v>
      </c>
      <c r="D1038" s="38" t="str">
        <f t="shared" si="139"/>
        <v>Zone Sub Maintenance-NUMBER OF HV TRANSFORMERS (000'S)</v>
      </c>
      <c r="E1038" s="406"/>
      <c r="F1038" s="43" t="s">
        <v>414</v>
      </c>
      <c r="G1038" s="43" t="s">
        <v>419</v>
      </c>
      <c r="H1038" s="43" t="s">
        <v>420</v>
      </c>
      <c r="Z1038" s="40">
        <v>0</v>
      </c>
      <c r="AA1038" s="40">
        <v>0</v>
      </c>
      <c r="AB1038" s="40">
        <v>0</v>
      </c>
      <c r="AC1038" s="40">
        <v>0</v>
      </c>
      <c r="AD1038" s="40">
        <v>0</v>
      </c>
      <c r="AE1038" s="40">
        <v>0</v>
      </c>
      <c r="AF1038" s="40">
        <v>0</v>
      </c>
      <c r="AG1038" s="40">
        <v>0</v>
      </c>
      <c r="AH1038" s="40">
        <v>0</v>
      </c>
      <c r="AI1038" s="40">
        <v>0</v>
      </c>
      <c r="AK1038" s="53">
        <f t="shared" si="140"/>
        <v>0</v>
      </c>
      <c r="AL1038" s="54">
        <f t="shared" si="141"/>
        <v>0</v>
      </c>
      <c r="AM1038" s="54">
        <f t="shared" si="142"/>
        <v>0</v>
      </c>
      <c r="AN1038" s="123">
        <f t="shared" si="143"/>
        <v>0</v>
      </c>
      <c r="AO1038" s="119" t="s">
        <v>1390</v>
      </c>
      <c r="AP1038" s="38" t="str">
        <f t="shared" si="144"/>
        <v>Zone Sub</v>
      </c>
      <c r="AR1038" s="38"/>
    </row>
    <row r="1039" spans="1:44" ht="30" hidden="1">
      <c r="A1039" s="38" t="str">
        <f t="shared" si="133"/>
        <v>Essential</v>
      </c>
      <c r="B1039" s="38" t="s">
        <v>1380</v>
      </c>
      <c r="C1039" s="38" t="str">
        <f t="shared" si="138"/>
        <v>Zone Sub Maintenance-ZONE SUBSTATION - OTHER EQUIPMENT</v>
      </c>
      <c r="D1039" s="38" t="str">
        <f t="shared" si="139"/>
        <v>Zone Sub Maintenance-     Aux Transformers - (000's)</v>
      </c>
      <c r="E1039" s="406"/>
      <c r="F1039" s="43" t="s">
        <v>414</v>
      </c>
      <c r="G1039" s="43" t="s">
        <v>421</v>
      </c>
      <c r="H1039" s="43" t="s">
        <v>447</v>
      </c>
      <c r="I1039" s="41">
        <v>0.52700000000000002</v>
      </c>
      <c r="J1039" s="41">
        <v>0.55100000000000005</v>
      </c>
      <c r="K1039" s="41">
        <v>0.57399999999999995</v>
      </c>
      <c r="L1039" s="41">
        <v>0.59799999999999998</v>
      </c>
      <c r="M1039" s="41">
        <v>0.621</v>
      </c>
      <c r="N1039" s="41">
        <v>7.9000000000000001E-2</v>
      </c>
      <c r="O1039" s="41">
        <v>0.104</v>
      </c>
      <c r="P1039" s="41">
        <v>0.13500000000000001</v>
      </c>
      <c r="Q1039" s="41">
        <v>9.8000000000000004E-2</v>
      </c>
      <c r="R1039" s="41">
        <v>0.108</v>
      </c>
      <c r="S1039" s="41">
        <v>31</v>
      </c>
      <c r="T1039" s="41">
        <v>30</v>
      </c>
      <c r="U1039" s="41">
        <v>30</v>
      </c>
      <c r="V1039" s="41">
        <v>29</v>
      </c>
      <c r="W1039" s="41">
        <v>28</v>
      </c>
      <c r="X1039" s="38">
        <v>0.19666666666666666</v>
      </c>
      <c r="Y1039" s="38">
        <v>4</v>
      </c>
      <c r="Z1039" s="40">
        <v>7745.7583724094429</v>
      </c>
      <c r="AA1039" s="40">
        <v>10052.82704166574</v>
      </c>
      <c r="AB1039" s="40">
        <v>13512.075719289807</v>
      </c>
      <c r="AC1039" s="40">
        <v>9179.4731198404388</v>
      </c>
      <c r="AD1039" s="40">
        <v>9235.6458979877571</v>
      </c>
      <c r="AE1039" s="40">
        <v>909.26246886494675</v>
      </c>
      <c r="AF1039" s="40">
        <v>1375.5098317797747</v>
      </c>
      <c r="AG1039" s="40">
        <v>1415.8192305353409</v>
      </c>
      <c r="AH1039" s="40">
        <v>1683.0289108156999</v>
      </c>
      <c r="AI1039" s="40">
        <v>2099.2210696379598</v>
      </c>
      <c r="AK1039" s="53">
        <f t="shared" si="140"/>
        <v>0.52400000000000002</v>
      </c>
      <c r="AL1039" s="54">
        <f t="shared" si="141"/>
        <v>49725.78015119319</v>
      </c>
      <c r="AM1039" s="54">
        <f t="shared" si="142"/>
        <v>7482.8415116337219</v>
      </c>
      <c r="AN1039" s="123">
        <f t="shared" si="143"/>
        <v>57208.62166282691</v>
      </c>
      <c r="AO1039" s="119" t="s">
        <v>1390</v>
      </c>
      <c r="AP1039" s="38" t="str">
        <f t="shared" si="144"/>
        <v>Zone Sub</v>
      </c>
      <c r="AR1039" s="38"/>
    </row>
    <row r="1040" spans="1:44" hidden="1">
      <c r="A1040" s="38" t="str">
        <f t="shared" si="133"/>
        <v>Essential</v>
      </c>
      <c r="B1040" s="38" t="s">
        <v>1380</v>
      </c>
      <c r="C1040" s="38" t="str">
        <f t="shared" si="138"/>
        <v>Zone Sub Maintenance-</v>
      </c>
      <c r="D1040" s="38" t="str">
        <f t="shared" si="139"/>
        <v>Zone Sub Maintenance-     Batteries - (000's)</v>
      </c>
      <c r="E1040" s="406"/>
      <c r="H1040" s="43" t="s">
        <v>448</v>
      </c>
      <c r="I1040" s="41">
        <v>0.53700000000000003</v>
      </c>
      <c r="J1040" s="41">
        <v>0.56100000000000005</v>
      </c>
      <c r="K1040" s="41">
        <v>0.58399999999999996</v>
      </c>
      <c r="L1040" s="41">
        <v>0.60799999999999998</v>
      </c>
      <c r="M1040" s="41">
        <v>0.63200000000000001</v>
      </c>
      <c r="N1040" s="41">
        <v>0.155</v>
      </c>
      <c r="O1040" s="41">
        <v>0.16700000000000001</v>
      </c>
      <c r="P1040" s="41">
        <v>0.23899999999999999</v>
      </c>
      <c r="Q1040" s="41">
        <v>0.23200000000000001</v>
      </c>
      <c r="R1040" s="41">
        <v>0.30299999999999999</v>
      </c>
      <c r="S1040" s="41">
        <v>8</v>
      </c>
      <c r="T1040" s="41">
        <v>8</v>
      </c>
      <c r="U1040" s="41">
        <v>7</v>
      </c>
      <c r="V1040" s="41">
        <v>7</v>
      </c>
      <c r="W1040" s="41">
        <v>6.34</v>
      </c>
      <c r="X1040" s="38">
        <v>0.19666666666666666</v>
      </c>
      <c r="Y1040" s="38">
        <v>2.98</v>
      </c>
      <c r="Z1040" s="40">
        <v>0</v>
      </c>
      <c r="AA1040" s="40">
        <v>0</v>
      </c>
      <c r="AB1040" s="40">
        <v>0</v>
      </c>
      <c r="AC1040" s="40">
        <v>0</v>
      </c>
      <c r="AD1040" s="40">
        <v>0</v>
      </c>
      <c r="AE1040" s="40">
        <v>0</v>
      </c>
      <c r="AF1040" s="40">
        <v>0</v>
      </c>
      <c r="AG1040" s="40">
        <v>0</v>
      </c>
      <c r="AH1040" s="40">
        <v>0</v>
      </c>
      <c r="AI1040" s="40">
        <v>0</v>
      </c>
      <c r="AK1040" s="53">
        <f t="shared" si="140"/>
        <v>1.0959999999999999</v>
      </c>
      <c r="AL1040" s="54">
        <f t="shared" si="141"/>
        <v>0</v>
      </c>
      <c r="AM1040" s="54">
        <f t="shared" si="142"/>
        <v>0</v>
      </c>
      <c r="AN1040" s="123">
        <f t="shared" si="143"/>
        <v>0</v>
      </c>
      <c r="AO1040" s="119" t="s">
        <v>1390</v>
      </c>
      <c r="AP1040" s="38" t="str">
        <f t="shared" si="144"/>
        <v>Zone Sub</v>
      </c>
      <c r="AR1040" s="38"/>
    </row>
    <row r="1041" spans="1:44" hidden="1">
      <c r="A1041" s="38" t="str">
        <f t="shared" si="133"/>
        <v>Essential</v>
      </c>
      <c r="B1041" s="38" t="s">
        <v>1380</v>
      </c>
      <c r="C1041" s="38" t="str">
        <f t="shared" si="138"/>
        <v>Zone Sub Maintenance-</v>
      </c>
      <c r="D1041" s="38" t="str">
        <f t="shared" si="139"/>
        <v>Zone Sub Maintenance-     Capacitor Banks - (000's)</v>
      </c>
      <c r="E1041" s="406"/>
      <c r="H1041" s="43" t="s">
        <v>449</v>
      </c>
      <c r="I1041" s="41">
        <v>0.112</v>
      </c>
      <c r="J1041" s="41">
        <v>0.112</v>
      </c>
      <c r="K1041" s="41">
        <v>0.114</v>
      </c>
      <c r="L1041" s="41">
        <v>0.124</v>
      </c>
      <c r="M1041" s="41">
        <v>0.13600000000000001</v>
      </c>
      <c r="N1041" s="41">
        <v>1.9E-2</v>
      </c>
      <c r="O1041" s="41">
        <v>2.5000000000000001E-2</v>
      </c>
      <c r="P1041" s="41">
        <v>0.03</v>
      </c>
      <c r="Q1041" s="41">
        <v>3.7999999999999999E-2</v>
      </c>
      <c r="R1041" s="41">
        <v>2.5999999999999999E-2</v>
      </c>
      <c r="S1041" s="41">
        <v>21</v>
      </c>
      <c r="T1041" s="41">
        <v>16</v>
      </c>
      <c r="U1041" s="41">
        <v>10</v>
      </c>
      <c r="V1041" s="41">
        <v>8</v>
      </c>
      <c r="W1041" s="41">
        <v>4</v>
      </c>
      <c r="X1041" s="38">
        <v>0.19666666666666666</v>
      </c>
      <c r="Y1041" s="38">
        <v>4</v>
      </c>
      <c r="Z1041" s="40">
        <v>0</v>
      </c>
      <c r="AA1041" s="40">
        <v>0</v>
      </c>
      <c r="AB1041" s="40">
        <v>0</v>
      </c>
      <c r="AC1041" s="40">
        <v>0</v>
      </c>
      <c r="AD1041" s="40">
        <v>0</v>
      </c>
      <c r="AE1041" s="40">
        <v>0</v>
      </c>
      <c r="AF1041" s="40">
        <v>0</v>
      </c>
      <c r="AG1041" s="40">
        <v>0</v>
      </c>
      <c r="AH1041" s="40">
        <v>0</v>
      </c>
      <c r="AI1041" s="40">
        <v>0</v>
      </c>
      <c r="AK1041" s="53">
        <f t="shared" si="140"/>
        <v>0.13799999999999998</v>
      </c>
      <c r="AL1041" s="54">
        <f t="shared" si="141"/>
        <v>0</v>
      </c>
      <c r="AM1041" s="54">
        <f t="shared" si="142"/>
        <v>0</v>
      </c>
      <c r="AN1041" s="123">
        <f t="shared" si="143"/>
        <v>0</v>
      </c>
      <c r="AO1041" s="119" t="s">
        <v>1390</v>
      </c>
      <c r="AP1041" s="38" t="str">
        <f t="shared" si="144"/>
        <v>Zone Sub</v>
      </c>
      <c r="AR1041" s="38"/>
    </row>
    <row r="1042" spans="1:44" hidden="1">
      <c r="A1042" s="38" t="str">
        <f t="shared" si="133"/>
        <v>Essential</v>
      </c>
      <c r="B1042" s="38" t="s">
        <v>1380</v>
      </c>
      <c r="C1042" s="38" t="str">
        <f t="shared" si="138"/>
        <v>Zone Sub Maintenance-</v>
      </c>
      <c r="D1042" s="38" t="str">
        <f t="shared" si="139"/>
        <v>Zone Sub Maintenance-     Chargers - (000's)</v>
      </c>
      <c r="E1042" s="406"/>
      <c r="H1042" s="43" t="s">
        <v>450</v>
      </c>
      <c r="I1042" s="41">
        <v>0.52600000000000002</v>
      </c>
      <c r="J1042" s="41">
        <v>0.55000000000000004</v>
      </c>
      <c r="K1042" s="41">
        <v>0.57299999999999995</v>
      </c>
      <c r="L1042" s="41">
        <v>0.59699999999999998</v>
      </c>
      <c r="M1042" s="41">
        <v>0.623</v>
      </c>
      <c r="N1042" s="41">
        <v>0.155</v>
      </c>
      <c r="O1042" s="41">
        <v>0.16700000000000001</v>
      </c>
      <c r="P1042" s="41">
        <v>0.23899999999999999</v>
      </c>
      <c r="Q1042" s="41">
        <v>0.23200000000000001</v>
      </c>
      <c r="R1042" s="41">
        <v>0.30299999999999999</v>
      </c>
      <c r="S1042" s="41">
        <v>10</v>
      </c>
      <c r="T1042" s="41">
        <v>10</v>
      </c>
      <c r="U1042" s="41">
        <v>9</v>
      </c>
      <c r="V1042" s="41">
        <v>9</v>
      </c>
      <c r="W1042" s="41">
        <v>8.84</v>
      </c>
      <c r="X1042" s="38">
        <v>0.19666666666666666</v>
      </c>
      <c r="Y1042" s="38">
        <v>2.98</v>
      </c>
      <c r="Z1042" s="40">
        <v>0</v>
      </c>
      <c r="AA1042" s="40">
        <v>0</v>
      </c>
      <c r="AB1042" s="40">
        <v>0</v>
      </c>
      <c r="AC1042" s="40">
        <v>0</v>
      </c>
      <c r="AD1042" s="40">
        <v>0</v>
      </c>
      <c r="AE1042" s="40">
        <v>0</v>
      </c>
      <c r="AF1042" s="40">
        <v>0</v>
      </c>
      <c r="AG1042" s="40">
        <v>0</v>
      </c>
      <c r="AH1042" s="40">
        <v>0</v>
      </c>
      <c r="AI1042" s="40">
        <v>0</v>
      </c>
      <c r="AK1042" s="53">
        <f t="shared" si="140"/>
        <v>1.0959999999999999</v>
      </c>
      <c r="AL1042" s="54">
        <f t="shared" si="141"/>
        <v>0</v>
      </c>
      <c r="AM1042" s="54">
        <f t="shared" si="142"/>
        <v>0</v>
      </c>
      <c r="AN1042" s="123">
        <f t="shared" si="143"/>
        <v>0</v>
      </c>
      <c r="AO1042" s="119" t="s">
        <v>1390</v>
      </c>
      <c r="AP1042" s="38" t="str">
        <f t="shared" si="144"/>
        <v>Zone Sub</v>
      </c>
      <c r="AR1042" s="38"/>
    </row>
    <row r="1043" spans="1:44" hidden="1">
      <c r="A1043" s="38" t="str">
        <f t="shared" si="133"/>
        <v>Essential</v>
      </c>
      <c r="B1043" s="38" t="s">
        <v>1380</v>
      </c>
      <c r="C1043" s="38" t="str">
        <f t="shared" si="138"/>
        <v>Zone Sub Maintenance-</v>
      </c>
      <c r="D1043" s="38" t="str">
        <f t="shared" si="139"/>
        <v>Zone Sub Maintenance-     Circuit Breakers - (000's)</v>
      </c>
      <c r="E1043" s="406"/>
      <c r="H1043" s="43" t="s">
        <v>451</v>
      </c>
      <c r="I1043" s="41">
        <v>2.875</v>
      </c>
      <c r="J1043" s="41">
        <v>3.0030000000000001</v>
      </c>
      <c r="K1043" s="41">
        <v>3.13</v>
      </c>
      <c r="L1043" s="41">
        <v>3.258</v>
      </c>
      <c r="M1043" s="41">
        <v>3.3860000000000001</v>
      </c>
      <c r="N1043" s="41">
        <v>0.58199999999999996</v>
      </c>
      <c r="O1043" s="41">
        <v>0.71699999999999997</v>
      </c>
      <c r="P1043" s="41">
        <v>0.871</v>
      </c>
      <c r="Q1043" s="41">
        <v>0.79100000000000004</v>
      </c>
      <c r="R1043" s="41">
        <v>0.70499999999999996</v>
      </c>
      <c r="S1043" s="41">
        <v>15.59</v>
      </c>
      <c r="T1043" s="41">
        <v>14.51</v>
      </c>
      <c r="U1043" s="41">
        <v>15.11</v>
      </c>
      <c r="V1043" s="41">
        <v>15.07</v>
      </c>
      <c r="W1043" s="41">
        <v>15.86</v>
      </c>
      <c r="X1043" s="38">
        <v>0.19666666666666666</v>
      </c>
      <c r="Y1043" s="38">
        <v>9.16</v>
      </c>
      <c r="Z1043" s="40">
        <v>0</v>
      </c>
      <c r="AA1043" s="40">
        <v>0</v>
      </c>
      <c r="AB1043" s="40">
        <v>0</v>
      </c>
      <c r="AC1043" s="40">
        <v>0</v>
      </c>
      <c r="AD1043" s="40">
        <v>0</v>
      </c>
      <c r="AE1043" s="40">
        <v>0</v>
      </c>
      <c r="AF1043" s="40">
        <v>0</v>
      </c>
      <c r="AG1043" s="40">
        <v>0</v>
      </c>
      <c r="AH1043" s="40">
        <v>0</v>
      </c>
      <c r="AI1043" s="40">
        <v>0</v>
      </c>
      <c r="AK1043" s="53">
        <f t="shared" si="140"/>
        <v>3.6659999999999999</v>
      </c>
      <c r="AL1043" s="54">
        <f t="shared" si="141"/>
        <v>0</v>
      </c>
      <c r="AM1043" s="54">
        <f t="shared" si="142"/>
        <v>0</v>
      </c>
      <c r="AN1043" s="123">
        <f t="shared" si="143"/>
        <v>0</v>
      </c>
      <c r="AO1043" s="119" t="s">
        <v>1390</v>
      </c>
      <c r="AP1043" s="38" t="str">
        <f t="shared" si="144"/>
        <v>Zone Sub</v>
      </c>
      <c r="AR1043" s="38"/>
    </row>
    <row r="1044" spans="1:44" ht="30" hidden="1">
      <c r="A1044" s="38" t="str">
        <f t="shared" si="133"/>
        <v>Essential</v>
      </c>
      <c r="B1044" s="38" t="s">
        <v>1380</v>
      </c>
      <c r="C1044" s="38" t="str">
        <f t="shared" si="138"/>
        <v>Zone Sub Maintenance-</v>
      </c>
      <c r="D1044" s="38" t="str">
        <f t="shared" si="139"/>
        <v>Zone Sub Maintenance-     Current Transformers -(000's)</v>
      </c>
      <c r="E1044" s="406"/>
      <c r="H1044" s="43" t="s">
        <v>452</v>
      </c>
      <c r="I1044" s="41">
        <v>1.8360000000000001</v>
      </c>
      <c r="J1044" s="41">
        <v>1.917</v>
      </c>
      <c r="K1044" s="41">
        <v>1.9990000000000001</v>
      </c>
      <c r="L1044" s="41">
        <v>2.08</v>
      </c>
      <c r="M1044" s="41">
        <v>2.1619999999999999</v>
      </c>
      <c r="N1044" s="41">
        <v>0.34300000000000003</v>
      </c>
      <c r="O1044" s="41">
        <v>0.23899999999999999</v>
      </c>
      <c r="P1044" s="41">
        <v>0.56100000000000005</v>
      </c>
      <c r="Q1044" s="41">
        <v>0.46800000000000003</v>
      </c>
      <c r="R1044" s="41">
        <v>0.29499999999999998</v>
      </c>
      <c r="S1044" s="41">
        <v>35</v>
      </c>
      <c r="T1044" s="41">
        <v>34</v>
      </c>
      <c r="U1044" s="41">
        <v>32</v>
      </c>
      <c r="V1044" s="41">
        <v>30</v>
      </c>
      <c r="W1044" s="41">
        <v>28.42</v>
      </c>
      <c r="X1044" s="38">
        <v>0.19666666666666666</v>
      </c>
      <c r="Y1044" s="38">
        <v>4</v>
      </c>
      <c r="Z1044" s="40">
        <v>0</v>
      </c>
      <c r="AA1044" s="40">
        <v>0</v>
      </c>
      <c r="AB1044" s="40">
        <v>0</v>
      </c>
      <c r="AC1044" s="40">
        <v>0</v>
      </c>
      <c r="AD1044" s="40">
        <v>0</v>
      </c>
      <c r="AE1044" s="40">
        <v>0</v>
      </c>
      <c r="AF1044" s="40">
        <v>0</v>
      </c>
      <c r="AG1044" s="40">
        <v>0</v>
      </c>
      <c r="AH1044" s="40">
        <v>0</v>
      </c>
      <c r="AI1044" s="40">
        <v>0</v>
      </c>
      <c r="AK1044" s="53">
        <f t="shared" si="140"/>
        <v>1.9060000000000001</v>
      </c>
      <c r="AL1044" s="54">
        <f t="shared" si="141"/>
        <v>0</v>
      </c>
      <c r="AM1044" s="54">
        <f t="shared" si="142"/>
        <v>0</v>
      </c>
      <c r="AN1044" s="123">
        <f t="shared" si="143"/>
        <v>0</v>
      </c>
      <c r="AO1044" s="119" t="s">
        <v>1390</v>
      </c>
      <c r="AP1044" s="38" t="str">
        <f t="shared" si="144"/>
        <v>Zone Sub</v>
      </c>
      <c r="AR1044" s="38"/>
    </row>
    <row r="1045" spans="1:44" ht="30" hidden="1">
      <c r="A1045" s="38" t="str">
        <f t="shared" si="133"/>
        <v>Essential</v>
      </c>
      <c r="B1045" s="38" t="s">
        <v>1380</v>
      </c>
      <c r="C1045" s="38" t="str">
        <f t="shared" si="138"/>
        <v>Zone Sub Maintenance-</v>
      </c>
      <c r="D1045" s="38" t="str">
        <f t="shared" si="139"/>
        <v>Zone Sub Maintenance-     Regulators (Single Phase) - (000's)</v>
      </c>
      <c r="E1045" s="406"/>
      <c r="H1045" s="43" t="s">
        <v>453</v>
      </c>
      <c r="I1045" s="41">
        <v>6.9000000000000006E-2</v>
      </c>
      <c r="J1045" s="41">
        <v>6.9000000000000006E-2</v>
      </c>
      <c r="K1045" s="41">
        <v>6.9000000000000006E-2</v>
      </c>
      <c r="L1045" s="41">
        <v>6.9000000000000006E-2</v>
      </c>
      <c r="M1045" s="41">
        <v>6.9000000000000006E-2</v>
      </c>
      <c r="N1045" s="41">
        <v>3.5000000000000003E-2</v>
      </c>
      <c r="O1045" s="41">
        <v>6.3E-2</v>
      </c>
      <c r="P1045" s="41">
        <v>0.10199999999999999</v>
      </c>
      <c r="Q1045" s="41">
        <v>0.02</v>
      </c>
      <c r="R1045" s="41">
        <v>3.5000000000000003E-2</v>
      </c>
      <c r="S1045" s="41">
        <v>6</v>
      </c>
      <c r="T1045" s="41">
        <v>7</v>
      </c>
      <c r="U1045" s="41">
        <v>8</v>
      </c>
      <c r="V1045" s="41">
        <v>9</v>
      </c>
      <c r="W1045" s="41">
        <v>10.45</v>
      </c>
      <c r="X1045" s="38">
        <v>0.19666666666666666</v>
      </c>
      <c r="Y1045" s="38">
        <v>8</v>
      </c>
      <c r="Z1045" s="40">
        <v>0</v>
      </c>
      <c r="AA1045" s="40">
        <v>0</v>
      </c>
      <c r="AB1045" s="40">
        <v>0</v>
      </c>
      <c r="AC1045" s="40">
        <v>0</v>
      </c>
      <c r="AD1045" s="40">
        <v>0</v>
      </c>
      <c r="AE1045" s="40">
        <v>0</v>
      </c>
      <c r="AF1045" s="40">
        <v>0</v>
      </c>
      <c r="AG1045" s="40">
        <v>0</v>
      </c>
      <c r="AH1045" s="40">
        <v>0</v>
      </c>
      <c r="AI1045" s="40">
        <v>0</v>
      </c>
      <c r="AK1045" s="53">
        <f t="shared" si="140"/>
        <v>0.255</v>
      </c>
      <c r="AL1045" s="54">
        <f t="shared" si="141"/>
        <v>0</v>
      </c>
      <c r="AM1045" s="54">
        <f t="shared" si="142"/>
        <v>0</v>
      </c>
      <c r="AN1045" s="123">
        <f t="shared" si="143"/>
        <v>0</v>
      </c>
      <c r="AO1045" s="119" t="s">
        <v>1390</v>
      </c>
      <c r="AP1045" s="38" t="str">
        <f t="shared" si="144"/>
        <v>Zone Sub</v>
      </c>
      <c r="AR1045" s="38"/>
    </row>
    <row r="1046" spans="1:44" hidden="1">
      <c r="A1046" s="38" t="str">
        <f t="shared" si="133"/>
        <v>Essential</v>
      </c>
      <c r="B1046" s="38" t="s">
        <v>1380</v>
      </c>
      <c r="C1046" s="38" t="str">
        <f t="shared" si="138"/>
        <v>Zone Sub Maintenance-</v>
      </c>
      <c r="D1046" s="38" t="str">
        <f t="shared" si="139"/>
        <v>Zone Sub Maintenance-     Relays - (000's)</v>
      </c>
      <c r="E1046" s="406"/>
      <c r="H1046" s="43" t="s">
        <v>454</v>
      </c>
      <c r="I1046" s="41">
        <v>5.5110000000000001</v>
      </c>
      <c r="J1046" s="41">
        <v>5.7569999999999997</v>
      </c>
      <c r="K1046" s="41">
        <v>6</v>
      </c>
      <c r="L1046" s="41">
        <v>6.2460000000000004</v>
      </c>
      <c r="M1046" s="41">
        <v>6.4909999999999997</v>
      </c>
      <c r="N1046" s="41">
        <v>2.3090000000000002</v>
      </c>
      <c r="O1046" s="41">
        <v>1.867</v>
      </c>
      <c r="P1046" s="41">
        <v>2.4060000000000001</v>
      </c>
      <c r="Q1046" s="41">
        <v>2.351</v>
      </c>
      <c r="R1046" s="41">
        <v>2.6640000000000001</v>
      </c>
      <c r="S1046" s="41">
        <v>22</v>
      </c>
      <c r="T1046" s="41">
        <v>21</v>
      </c>
      <c r="U1046" s="41">
        <v>20</v>
      </c>
      <c r="V1046" s="41">
        <v>20</v>
      </c>
      <c r="W1046" s="41">
        <v>19.7</v>
      </c>
      <c r="X1046" s="38">
        <v>0.19666666666666666</v>
      </c>
      <c r="Y1046" s="38">
        <v>4</v>
      </c>
      <c r="Z1046" s="40">
        <v>0</v>
      </c>
      <c r="AA1046" s="40">
        <v>0</v>
      </c>
      <c r="AB1046" s="40">
        <v>0</v>
      </c>
      <c r="AC1046" s="40">
        <v>0</v>
      </c>
      <c r="AD1046" s="40">
        <v>0</v>
      </c>
      <c r="AE1046" s="40">
        <v>0</v>
      </c>
      <c r="AF1046" s="40">
        <v>0</v>
      </c>
      <c r="AG1046" s="40">
        <v>0</v>
      </c>
      <c r="AH1046" s="40">
        <v>0</v>
      </c>
      <c r="AI1046" s="40">
        <v>0</v>
      </c>
      <c r="AK1046" s="53">
        <f t="shared" si="140"/>
        <v>11.597</v>
      </c>
      <c r="AL1046" s="54">
        <f t="shared" si="141"/>
        <v>0</v>
      </c>
      <c r="AM1046" s="54">
        <f t="shared" si="142"/>
        <v>0</v>
      </c>
      <c r="AN1046" s="123">
        <f t="shared" si="143"/>
        <v>0</v>
      </c>
      <c r="AO1046" s="119" t="s">
        <v>1390</v>
      </c>
      <c r="AP1046" s="38" t="str">
        <f t="shared" si="144"/>
        <v>Zone Sub</v>
      </c>
      <c r="AR1046" s="38"/>
    </row>
    <row r="1047" spans="1:44" ht="60" hidden="1">
      <c r="A1047" s="38" t="str">
        <f t="shared" si="133"/>
        <v>Essential</v>
      </c>
      <c r="B1047" s="38" t="s">
        <v>1380</v>
      </c>
      <c r="C1047" s="38" t="str">
        <f t="shared" si="138"/>
        <v>Zone Sub Maintenance-</v>
      </c>
      <c r="D1047" s="38" t="str">
        <f t="shared" si="139"/>
        <v>Zone Sub Maintenance-     Surge Diverters &lt;33kV - All units at a ZS site replaced - IF the site has 11/22kV present - 11/22kV sub sites</v>
      </c>
      <c r="E1047" s="406"/>
      <c r="H1047" s="43" t="s">
        <v>455</v>
      </c>
      <c r="I1047" s="41">
        <v>0.34799999999999998</v>
      </c>
      <c r="J1047" s="41">
        <v>0.34799999999999998</v>
      </c>
      <c r="K1047" s="41">
        <v>0.34799999999999998</v>
      </c>
      <c r="L1047" s="41">
        <v>0.34799999999999998</v>
      </c>
      <c r="M1047" s="41">
        <v>0.34799999999999998</v>
      </c>
      <c r="N1047" s="41">
        <v>4.1000000000000002E-2</v>
      </c>
      <c r="O1047" s="41">
        <v>4.7E-2</v>
      </c>
      <c r="P1047" s="41">
        <v>4.2000000000000003E-2</v>
      </c>
      <c r="Q1047" s="41">
        <v>2.9000000000000001E-2</v>
      </c>
      <c r="R1047" s="41">
        <v>2.1999999999999999E-2</v>
      </c>
      <c r="S1047" s="41">
        <v>15.59</v>
      </c>
      <c r="T1047" s="41">
        <v>14.51</v>
      </c>
      <c r="U1047" s="41">
        <v>15.11</v>
      </c>
      <c r="V1047" s="41">
        <v>15.07</v>
      </c>
      <c r="W1047" s="41">
        <v>15.86</v>
      </c>
      <c r="X1047" s="38">
        <v>0.19666666666666666</v>
      </c>
      <c r="Y1047" s="38">
        <v>12</v>
      </c>
      <c r="Z1047" s="40">
        <v>0</v>
      </c>
      <c r="AA1047" s="40">
        <v>0</v>
      </c>
      <c r="AB1047" s="40">
        <v>0</v>
      </c>
      <c r="AC1047" s="40">
        <v>0</v>
      </c>
      <c r="AD1047" s="40">
        <v>0</v>
      </c>
      <c r="AE1047" s="40">
        <v>0</v>
      </c>
      <c r="AF1047" s="40">
        <v>0</v>
      </c>
      <c r="AG1047" s="40">
        <v>0</v>
      </c>
      <c r="AH1047" s="40">
        <v>0</v>
      </c>
      <c r="AI1047" s="40">
        <v>0</v>
      </c>
      <c r="AK1047" s="53">
        <f t="shared" si="140"/>
        <v>0.18099999999999999</v>
      </c>
      <c r="AL1047" s="54">
        <f t="shared" si="141"/>
        <v>0</v>
      </c>
      <c r="AM1047" s="54">
        <f t="shared" si="142"/>
        <v>0</v>
      </c>
      <c r="AN1047" s="123">
        <f t="shared" si="143"/>
        <v>0</v>
      </c>
      <c r="AO1047" s="119" t="s">
        <v>1390</v>
      </c>
      <c r="AP1047" s="38" t="str">
        <f t="shared" si="144"/>
        <v>Zone Sub</v>
      </c>
      <c r="AR1047" s="38"/>
    </row>
    <row r="1048" spans="1:44" ht="30" hidden="1">
      <c r="A1048" s="38" t="str">
        <f t="shared" si="133"/>
        <v>Essential</v>
      </c>
      <c r="B1048" s="38" t="s">
        <v>1380</v>
      </c>
      <c r="C1048" s="38" t="str">
        <f t="shared" si="138"/>
        <v>Zone Sub Maintenance-</v>
      </c>
      <c r="D1048" s="38" t="str">
        <f t="shared" si="139"/>
        <v>Zone Sub Maintenance-     Surge Diverters (&gt;= 33kV) - (000's)</v>
      </c>
      <c r="E1048" s="406"/>
      <c r="H1048" s="43" t="s">
        <v>456</v>
      </c>
      <c r="I1048" s="41">
        <v>2.6920000000000002</v>
      </c>
      <c r="J1048" s="41">
        <v>2.8119999999999998</v>
      </c>
      <c r="K1048" s="41">
        <v>2.931</v>
      </c>
      <c r="L1048" s="41">
        <v>3.0510000000000002</v>
      </c>
      <c r="M1048" s="41">
        <v>3.1709999999999998</v>
      </c>
      <c r="N1048" s="41">
        <v>0.40500000000000003</v>
      </c>
      <c r="O1048" s="41">
        <v>0.498</v>
      </c>
      <c r="P1048" s="41">
        <v>0.70799999999999996</v>
      </c>
      <c r="Q1048" s="41">
        <v>0.64200000000000002</v>
      </c>
      <c r="R1048" s="41">
        <v>0.56099999999999994</v>
      </c>
      <c r="S1048" s="41">
        <v>31.69</v>
      </c>
      <c r="T1048" s="41">
        <v>31.26</v>
      </c>
      <c r="U1048" s="41">
        <v>30.83</v>
      </c>
      <c r="V1048" s="41">
        <v>30.41</v>
      </c>
      <c r="W1048" s="41">
        <v>29.98</v>
      </c>
      <c r="X1048" s="38">
        <v>0.19666666666666666</v>
      </c>
      <c r="Y1048" s="38">
        <v>4</v>
      </c>
      <c r="Z1048" s="40">
        <v>0</v>
      </c>
      <c r="AA1048" s="40">
        <v>0</v>
      </c>
      <c r="AB1048" s="40">
        <v>0</v>
      </c>
      <c r="AC1048" s="40">
        <v>0</v>
      </c>
      <c r="AD1048" s="40">
        <v>0</v>
      </c>
      <c r="AE1048" s="40">
        <v>0</v>
      </c>
      <c r="AF1048" s="40">
        <v>0</v>
      </c>
      <c r="AG1048" s="40">
        <v>0</v>
      </c>
      <c r="AH1048" s="40">
        <v>0</v>
      </c>
      <c r="AI1048" s="40">
        <v>0</v>
      </c>
      <c r="AK1048" s="53">
        <f t="shared" si="140"/>
        <v>2.8140000000000001</v>
      </c>
      <c r="AL1048" s="54">
        <f t="shared" si="141"/>
        <v>0</v>
      </c>
      <c r="AM1048" s="54">
        <f t="shared" si="142"/>
        <v>0</v>
      </c>
      <c r="AN1048" s="123">
        <f t="shared" si="143"/>
        <v>0</v>
      </c>
      <c r="AO1048" s="119" t="s">
        <v>1390</v>
      </c>
      <c r="AP1048" s="38" t="str">
        <f t="shared" si="144"/>
        <v>Zone Sub</v>
      </c>
      <c r="AR1048" s="38"/>
    </row>
    <row r="1049" spans="1:44" ht="45" hidden="1">
      <c r="A1049" s="38" t="str">
        <f t="shared" si="133"/>
        <v>Essential</v>
      </c>
      <c r="B1049" s="38" t="s">
        <v>1380</v>
      </c>
      <c r="C1049" s="38" t="str">
        <f t="shared" si="138"/>
        <v>Zone Sub Maintenance-</v>
      </c>
      <c r="D1049" s="38" t="str">
        <f t="shared" si="139"/>
        <v>Zone Sub Maintenance-     HV Switches/Earth Switches/Disconnectors/Fault Throwers - (000's)</v>
      </c>
      <c r="E1049" s="406"/>
      <c r="H1049" s="43" t="s">
        <v>457</v>
      </c>
      <c r="I1049" s="41">
        <v>6.7320000000000002</v>
      </c>
      <c r="J1049" s="41">
        <v>7.032</v>
      </c>
      <c r="K1049" s="41">
        <v>7.33</v>
      </c>
      <c r="L1049" s="41">
        <v>7.6289999999999996</v>
      </c>
      <c r="M1049" s="41">
        <v>7.9290000000000003</v>
      </c>
      <c r="N1049" s="41">
        <v>0.14000000000000001</v>
      </c>
      <c r="O1049" s="41">
        <v>0.109</v>
      </c>
      <c r="P1049" s="41">
        <v>0.122</v>
      </c>
      <c r="Q1049" s="41">
        <v>0.10299999999999999</v>
      </c>
      <c r="R1049" s="41">
        <v>0.14199999999999999</v>
      </c>
      <c r="S1049" s="41">
        <v>24</v>
      </c>
      <c r="T1049" s="41">
        <v>22</v>
      </c>
      <c r="U1049" s="41">
        <v>22</v>
      </c>
      <c r="V1049" s="41">
        <v>22</v>
      </c>
      <c r="W1049" s="41">
        <v>23</v>
      </c>
      <c r="X1049" s="38">
        <v>0.19666666666666666</v>
      </c>
      <c r="Y1049" s="38" t="s">
        <v>458</v>
      </c>
      <c r="Z1049" s="40">
        <v>0</v>
      </c>
      <c r="AA1049" s="40">
        <v>0</v>
      </c>
      <c r="AB1049" s="40">
        <v>0</v>
      </c>
      <c r="AC1049" s="40">
        <v>0</v>
      </c>
      <c r="AD1049" s="40">
        <v>0</v>
      </c>
      <c r="AE1049" s="40">
        <v>0</v>
      </c>
      <c r="AF1049" s="40">
        <v>0</v>
      </c>
      <c r="AG1049" s="40">
        <v>0</v>
      </c>
      <c r="AH1049" s="40">
        <v>0</v>
      </c>
      <c r="AI1049" s="40">
        <v>0</v>
      </c>
      <c r="AK1049" s="53">
        <f t="shared" si="140"/>
        <v>0.61599999999999999</v>
      </c>
      <c r="AL1049" s="54">
        <f t="shared" si="141"/>
        <v>0</v>
      </c>
      <c r="AM1049" s="54">
        <f t="shared" si="142"/>
        <v>0</v>
      </c>
      <c r="AN1049" s="123">
        <f t="shared" si="143"/>
        <v>0</v>
      </c>
      <c r="AO1049" s="119" t="s">
        <v>1390</v>
      </c>
      <c r="AP1049" s="38" t="str">
        <f t="shared" si="144"/>
        <v>Zone Sub</v>
      </c>
      <c r="AR1049" s="38"/>
    </row>
    <row r="1050" spans="1:44" ht="30" hidden="1">
      <c r="A1050" s="38" t="str">
        <f t="shared" si="133"/>
        <v>Essential</v>
      </c>
      <c r="B1050" s="38" t="s">
        <v>1380</v>
      </c>
      <c r="C1050" s="38" t="str">
        <f t="shared" si="138"/>
        <v>Zone Sub Maintenance-</v>
      </c>
      <c r="D1050" s="38" t="str">
        <f t="shared" si="139"/>
        <v>Zone Sub Maintenance-     HV Indoor Switchboards - (000's)</v>
      </c>
      <c r="E1050" s="406"/>
      <c r="H1050" s="43" t="s">
        <v>459</v>
      </c>
      <c r="I1050" s="41">
        <v>0.13</v>
      </c>
      <c r="J1050" s="41">
        <v>0.13600000000000001</v>
      </c>
      <c r="K1050" s="41">
        <v>0.14299999999999999</v>
      </c>
      <c r="L1050" s="41">
        <v>0.14499999999999999</v>
      </c>
      <c r="M1050" s="41">
        <v>0.15</v>
      </c>
      <c r="N1050" s="41">
        <v>3.3000000000000002E-2</v>
      </c>
      <c r="O1050" s="41">
        <v>3.4000000000000002E-2</v>
      </c>
      <c r="P1050" s="41">
        <v>3.5999999999999997E-2</v>
      </c>
      <c r="Q1050" s="41">
        <v>3.5999999999999997E-2</v>
      </c>
      <c r="R1050" s="41">
        <v>3.7999999999999999E-2</v>
      </c>
      <c r="S1050" s="41">
        <v>20</v>
      </c>
      <c r="T1050" s="41">
        <v>19</v>
      </c>
      <c r="U1050" s="41">
        <v>18</v>
      </c>
      <c r="V1050" s="41">
        <v>17</v>
      </c>
      <c r="W1050" s="41">
        <v>17</v>
      </c>
      <c r="X1050" s="38">
        <v>0.19666666666666666</v>
      </c>
      <c r="Y1050" s="38">
        <v>9.16</v>
      </c>
      <c r="Z1050" s="40">
        <v>0</v>
      </c>
      <c r="AA1050" s="40">
        <v>0</v>
      </c>
      <c r="AB1050" s="40">
        <v>0</v>
      </c>
      <c r="AC1050" s="40">
        <v>0</v>
      </c>
      <c r="AD1050" s="40">
        <v>0</v>
      </c>
      <c r="AE1050" s="40">
        <v>0</v>
      </c>
      <c r="AF1050" s="40">
        <v>0</v>
      </c>
      <c r="AG1050" s="40">
        <v>0</v>
      </c>
      <c r="AH1050" s="40">
        <v>0</v>
      </c>
      <c r="AI1050" s="40">
        <v>0</v>
      </c>
      <c r="AK1050" s="53">
        <f t="shared" si="140"/>
        <v>0.17700000000000002</v>
      </c>
      <c r="AL1050" s="54">
        <f t="shared" si="141"/>
        <v>0</v>
      </c>
      <c r="AM1050" s="54">
        <f t="shared" si="142"/>
        <v>0</v>
      </c>
      <c r="AN1050" s="123">
        <f t="shared" si="143"/>
        <v>0</v>
      </c>
      <c r="AO1050" s="119" t="s">
        <v>1390</v>
      </c>
      <c r="AP1050" s="38" t="str">
        <f t="shared" si="144"/>
        <v>Zone Sub</v>
      </c>
      <c r="AR1050" s="38"/>
    </row>
    <row r="1051" spans="1:44" hidden="1">
      <c r="A1051" s="38" t="str">
        <f t="shared" si="133"/>
        <v>Essential</v>
      </c>
      <c r="B1051" s="38" t="s">
        <v>1380</v>
      </c>
      <c r="C1051" s="38" t="str">
        <f t="shared" si="138"/>
        <v>Zone Sub Maintenance-</v>
      </c>
      <c r="D1051" s="38" t="str">
        <f t="shared" si="139"/>
        <v>Zone Sub Maintenance-     Tapchangers - (000's)</v>
      </c>
      <c r="E1051" s="406"/>
      <c r="H1051" s="43" t="s">
        <v>460</v>
      </c>
      <c r="I1051" s="41">
        <v>0.65500000000000003</v>
      </c>
      <c r="J1051" s="41">
        <v>0.66600000000000004</v>
      </c>
      <c r="K1051" s="41">
        <v>0.66700000000000004</v>
      </c>
      <c r="L1051" s="41">
        <v>0.65100000000000002</v>
      </c>
      <c r="M1051" s="41">
        <v>0.64800000000000002</v>
      </c>
      <c r="N1051" s="41">
        <v>0.316</v>
      </c>
      <c r="O1051" s="41">
        <v>0.28499999999999998</v>
      </c>
      <c r="P1051" s="41">
        <v>0.35</v>
      </c>
      <c r="Q1051" s="41">
        <v>0.33600000000000002</v>
      </c>
      <c r="R1051" s="41">
        <v>0.33500000000000002</v>
      </c>
      <c r="S1051" s="41">
        <v>31.69</v>
      </c>
      <c r="T1051" s="41">
        <v>31.26</v>
      </c>
      <c r="U1051" s="41">
        <v>30.83</v>
      </c>
      <c r="V1051" s="41">
        <v>30.41</v>
      </c>
      <c r="W1051" s="41">
        <v>29.98</v>
      </c>
      <c r="X1051" s="38">
        <v>0.19666666666666666</v>
      </c>
      <c r="Y1051" s="38">
        <v>5.01</v>
      </c>
      <c r="Z1051" s="40">
        <v>0</v>
      </c>
      <c r="AA1051" s="40">
        <v>0</v>
      </c>
      <c r="AB1051" s="40">
        <v>0</v>
      </c>
      <c r="AC1051" s="40">
        <v>0</v>
      </c>
      <c r="AD1051" s="40">
        <v>0</v>
      </c>
      <c r="AE1051" s="40">
        <v>0</v>
      </c>
      <c r="AF1051" s="40">
        <v>0</v>
      </c>
      <c r="AG1051" s="40">
        <v>0</v>
      </c>
      <c r="AH1051" s="40">
        <v>0</v>
      </c>
      <c r="AI1051" s="40">
        <v>0</v>
      </c>
      <c r="AK1051" s="53">
        <f t="shared" si="140"/>
        <v>1.6219999999999999</v>
      </c>
      <c r="AL1051" s="54">
        <f t="shared" si="141"/>
        <v>0</v>
      </c>
      <c r="AM1051" s="54">
        <f t="shared" si="142"/>
        <v>0</v>
      </c>
      <c r="AN1051" s="123">
        <f t="shared" si="143"/>
        <v>0</v>
      </c>
      <c r="AO1051" s="119" t="s">
        <v>1390</v>
      </c>
      <c r="AP1051" s="38" t="str">
        <f t="shared" si="144"/>
        <v>Zone Sub</v>
      </c>
      <c r="AR1051" s="38"/>
    </row>
    <row r="1052" spans="1:44" ht="30" hidden="1">
      <c r="A1052" s="38" t="str">
        <f t="shared" si="133"/>
        <v>Essential</v>
      </c>
      <c r="B1052" s="38" t="s">
        <v>1380</v>
      </c>
      <c r="C1052" s="38" t="str">
        <f t="shared" si="138"/>
        <v>Zone Sub Maintenance-</v>
      </c>
      <c r="D1052" s="38" t="str">
        <f t="shared" si="139"/>
        <v>Zone Sub Maintenance-     Voltage Regulation Relays - (000's)</v>
      </c>
      <c r="E1052" s="406"/>
      <c r="H1052" s="43" t="s">
        <v>461</v>
      </c>
      <c r="I1052" s="41">
        <v>0.41699999999999998</v>
      </c>
      <c r="J1052" s="41">
        <v>0.41699999999999998</v>
      </c>
      <c r="K1052" s="41">
        <v>0.41699999999999998</v>
      </c>
      <c r="L1052" s="41">
        <v>0.41699999999999998</v>
      </c>
      <c r="M1052" s="41">
        <v>0.41699999999999998</v>
      </c>
      <c r="N1052" s="41">
        <v>0.186</v>
      </c>
      <c r="O1052" s="41">
        <v>0.21299999999999999</v>
      </c>
      <c r="P1052" s="41">
        <v>0.20399999999999999</v>
      </c>
      <c r="Q1052" s="41">
        <v>0.19</v>
      </c>
      <c r="R1052" s="41">
        <v>0.221</v>
      </c>
      <c r="S1052" s="41">
        <v>31.69</v>
      </c>
      <c r="T1052" s="41">
        <v>31.26</v>
      </c>
      <c r="U1052" s="41">
        <v>30.83</v>
      </c>
      <c r="V1052" s="41">
        <v>30.41</v>
      </c>
      <c r="W1052" s="41">
        <v>29.98</v>
      </c>
      <c r="X1052" s="38">
        <v>0.19666666666666666</v>
      </c>
      <c r="Y1052" s="38">
        <v>2</v>
      </c>
      <c r="Z1052" s="40">
        <v>0</v>
      </c>
      <c r="AA1052" s="40">
        <v>0</v>
      </c>
      <c r="AB1052" s="40">
        <v>0</v>
      </c>
      <c r="AC1052" s="40">
        <v>0</v>
      </c>
      <c r="AD1052" s="40">
        <v>0</v>
      </c>
      <c r="AE1052" s="40">
        <v>0</v>
      </c>
      <c r="AF1052" s="40">
        <v>0</v>
      </c>
      <c r="AG1052" s="40">
        <v>0</v>
      </c>
      <c r="AH1052" s="40">
        <v>0</v>
      </c>
      <c r="AI1052" s="40">
        <v>0</v>
      </c>
      <c r="AK1052" s="53">
        <f t="shared" si="140"/>
        <v>1.014</v>
      </c>
      <c r="AL1052" s="54">
        <f t="shared" si="141"/>
        <v>0</v>
      </c>
      <c r="AM1052" s="54">
        <f t="shared" si="142"/>
        <v>0</v>
      </c>
      <c r="AN1052" s="123">
        <f t="shared" si="143"/>
        <v>0</v>
      </c>
      <c r="AO1052" s="119" t="s">
        <v>1390</v>
      </c>
      <c r="AP1052" s="38" t="str">
        <f t="shared" si="144"/>
        <v>Zone Sub</v>
      </c>
      <c r="AR1052" s="38"/>
    </row>
    <row r="1053" spans="1:44" ht="30" hidden="1">
      <c r="A1053" s="38" t="str">
        <f t="shared" si="133"/>
        <v>Essential</v>
      </c>
      <c r="B1053" s="38" t="s">
        <v>1380</v>
      </c>
      <c r="C1053" s="38" t="str">
        <f t="shared" si="138"/>
        <v>Zone Sub Maintenance-</v>
      </c>
      <c r="D1053" s="38" t="str">
        <f t="shared" si="139"/>
        <v>Zone Sub Maintenance-     Voltage Transformers - (000's)</v>
      </c>
      <c r="E1053" s="406"/>
      <c r="H1053" s="43" t="s">
        <v>462</v>
      </c>
      <c r="I1053" s="41">
        <v>1.361</v>
      </c>
      <c r="J1053" s="41">
        <v>1.4219999999999999</v>
      </c>
      <c r="K1053" s="41">
        <v>1.482</v>
      </c>
      <c r="L1053" s="41">
        <v>1.542</v>
      </c>
      <c r="M1053" s="41">
        <v>1.603</v>
      </c>
      <c r="N1053" s="41">
        <v>0.184</v>
      </c>
      <c r="O1053" s="41">
        <v>0.219</v>
      </c>
      <c r="P1053" s="41">
        <v>0.375</v>
      </c>
      <c r="Q1053" s="41">
        <v>0.40200000000000002</v>
      </c>
      <c r="R1053" s="41">
        <v>0.32200000000000001</v>
      </c>
      <c r="S1053" s="41">
        <v>29</v>
      </c>
      <c r="T1053" s="41">
        <v>27</v>
      </c>
      <c r="U1053" s="41">
        <v>25</v>
      </c>
      <c r="V1053" s="41">
        <v>23</v>
      </c>
      <c r="W1053" s="41">
        <v>19.28</v>
      </c>
      <c r="X1053" s="38">
        <v>0.19666666666666666</v>
      </c>
      <c r="Y1053" s="38">
        <v>4</v>
      </c>
      <c r="Z1053" s="40">
        <v>0</v>
      </c>
      <c r="AA1053" s="40">
        <v>0</v>
      </c>
      <c r="AB1053" s="40">
        <v>0</v>
      </c>
      <c r="AC1053" s="40">
        <v>0</v>
      </c>
      <c r="AD1053" s="40">
        <v>0</v>
      </c>
      <c r="AE1053" s="40">
        <v>0</v>
      </c>
      <c r="AF1053" s="40">
        <v>0</v>
      </c>
      <c r="AG1053" s="40">
        <v>0</v>
      </c>
      <c r="AH1053" s="40">
        <v>0</v>
      </c>
      <c r="AI1053" s="40">
        <v>0</v>
      </c>
      <c r="AK1053" s="53">
        <f t="shared" si="140"/>
        <v>1.5020000000000002</v>
      </c>
      <c r="AL1053" s="54">
        <f t="shared" si="141"/>
        <v>0</v>
      </c>
      <c r="AM1053" s="54">
        <f t="shared" si="142"/>
        <v>0</v>
      </c>
      <c r="AN1053" s="123">
        <f t="shared" si="143"/>
        <v>0</v>
      </c>
      <c r="AO1053" s="119" t="s">
        <v>1390</v>
      </c>
      <c r="AP1053" s="38" t="str">
        <f t="shared" si="144"/>
        <v>Zone Sub</v>
      </c>
      <c r="AR1053" s="38"/>
    </row>
    <row r="1054" spans="1:44" ht="30" hidden="1">
      <c r="A1054" s="38" t="str">
        <f t="shared" si="133"/>
        <v>Essential</v>
      </c>
      <c r="B1054" s="38" t="s">
        <v>1380</v>
      </c>
      <c r="C1054" s="38" t="str">
        <f t="shared" si="138"/>
        <v>Zone Sub Maintenance-</v>
      </c>
      <c r="D1054" s="38" t="str">
        <f t="shared" si="139"/>
        <v>Zone Sub Maintenance-     ZS Site Inspections - No of inspections - (000's)</v>
      </c>
      <c r="E1054" s="406"/>
      <c r="H1054" s="43" t="s">
        <v>463</v>
      </c>
      <c r="I1054" s="41">
        <v>0</v>
      </c>
      <c r="J1054" s="41">
        <v>0</v>
      </c>
      <c r="K1054" s="41">
        <v>0</v>
      </c>
      <c r="L1054" s="41">
        <v>0</v>
      </c>
      <c r="M1054" s="41">
        <v>0</v>
      </c>
      <c r="N1054" s="41">
        <v>3.3450000000000002</v>
      </c>
      <c r="O1054" s="41">
        <v>2.8159999999999998</v>
      </c>
      <c r="P1054" s="41">
        <v>2.8740000000000001</v>
      </c>
      <c r="Q1054" s="41">
        <v>2.7970000000000002</v>
      </c>
      <c r="R1054" s="41">
        <v>2.7040000000000002</v>
      </c>
      <c r="S1054" s="41">
        <v>0</v>
      </c>
      <c r="T1054" s="41">
        <v>0</v>
      </c>
      <c r="U1054" s="41">
        <v>0</v>
      </c>
      <c r="V1054" s="41">
        <v>0</v>
      </c>
      <c r="W1054" s="41">
        <v>0</v>
      </c>
      <c r="X1054" s="38">
        <v>0.19666666666666666</v>
      </c>
      <c r="Y1054" s="38">
        <v>0</v>
      </c>
      <c r="Z1054" s="40">
        <v>0</v>
      </c>
      <c r="AA1054" s="40">
        <v>0</v>
      </c>
      <c r="AB1054" s="40">
        <v>0</v>
      </c>
      <c r="AC1054" s="40">
        <v>0</v>
      </c>
      <c r="AD1054" s="40">
        <v>0</v>
      </c>
      <c r="AE1054" s="40">
        <v>0</v>
      </c>
      <c r="AF1054" s="40">
        <v>0</v>
      </c>
      <c r="AG1054" s="40">
        <v>0</v>
      </c>
      <c r="AH1054" s="40">
        <v>0</v>
      </c>
      <c r="AI1054" s="40">
        <v>0</v>
      </c>
      <c r="AK1054" s="53">
        <f t="shared" si="140"/>
        <v>14.536000000000001</v>
      </c>
      <c r="AL1054" s="54">
        <f t="shared" si="141"/>
        <v>0</v>
      </c>
      <c r="AM1054" s="54">
        <f t="shared" si="142"/>
        <v>0</v>
      </c>
      <c r="AN1054" s="123">
        <f t="shared" si="143"/>
        <v>0</v>
      </c>
      <c r="AO1054" s="119" t="s">
        <v>1390</v>
      </c>
      <c r="AP1054" s="38" t="str">
        <f t="shared" si="144"/>
        <v>Zone Sub</v>
      </c>
      <c r="AR1054" s="38"/>
    </row>
    <row r="1055" spans="1:44" hidden="1">
      <c r="A1055" s="38" t="str">
        <f t="shared" si="133"/>
        <v>Essential</v>
      </c>
      <c r="B1055" s="38" t="s">
        <v>1380</v>
      </c>
      <c r="C1055" s="38" t="str">
        <f t="shared" si="138"/>
        <v>Zone Sub Maintenance-</v>
      </c>
      <c r="D1055" s="38" t="str">
        <f t="shared" si="139"/>
        <v>Zone Sub Maintenance-     ZS Buildings - (000's)</v>
      </c>
      <c r="E1055" s="406"/>
      <c r="H1055" s="43" t="s">
        <v>464</v>
      </c>
      <c r="I1055" s="41">
        <v>0.32900000000000001</v>
      </c>
      <c r="J1055" s="41">
        <v>0.33</v>
      </c>
      <c r="K1055" s="41">
        <v>0.33400000000000002</v>
      </c>
      <c r="L1055" s="41">
        <v>0.33600000000000002</v>
      </c>
      <c r="M1055" s="41">
        <v>0.33700000000000002</v>
      </c>
      <c r="N1055" s="41">
        <v>5.0000000000000001E-3</v>
      </c>
      <c r="O1055" s="41">
        <v>4.0000000000000001E-3</v>
      </c>
      <c r="P1055" s="41">
        <v>2.8000000000000001E-2</v>
      </c>
      <c r="Q1055" s="41">
        <v>1.2999999999999999E-2</v>
      </c>
      <c r="R1055" s="41">
        <v>4.7E-2</v>
      </c>
      <c r="S1055" s="41">
        <v>31</v>
      </c>
      <c r="T1055" s="41">
        <v>30</v>
      </c>
      <c r="U1055" s="41">
        <v>30</v>
      </c>
      <c r="V1055" s="41">
        <v>29</v>
      </c>
      <c r="W1055" s="41">
        <v>28</v>
      </c>
      <c r="X1055" s="38">
        <v>0.19666666666666666</v>
      </c>
      <c r="Y1055" s="38">
        <v>0</v>
      </c>
      <c r="Z1055" s="40">
        <v>0</v>
      </c>
      <c r="AA1055" s="40">
        <v>0</v>
      </c>
      <c r="AB1055" s="40">
        <v>0</v>
      </c>
      <c r="AC1055" s="40">
        <v>0</v>
      </c>
      <c r="AD1055" s="40">
        <v>0</v>
      </c>
      <c r="AE1055" s="40">
        <v>0</v>
      </c>
      <c r="AF1055" s="40">
        <v>0</v>
      </c>
      <c r="AG1055" s="40">
        <v>0</v>
      </c>
      <c r="AH1055" s="40">
        <v>0</v>
      </c>
      <c r="AI1055" s="40">
        <v>0</v>
      </c>
      <c r="AK1055" s="53">
        <f t="shared" si="140"/>
        <v>9.7000000000000003E-2</v>
      </c>
      <c r="AL1055" s="54">
        <f t="shared" si="141"/>
        <v>0</v>
      </c>
      <c r="AM1055" s="54">
        <f t="shared" si="142"/>
        <v>0</v>
      </c>
      <c r="AN1055" s="123">
        <f t="shared" si="143"/>
        <v>0</v>
      </c>
      <c r="AO1055" s="119" t="s">
        <v>1390</v>
      </c>
      <c r="AP1055" s="38" t="str">
        <f t="shared" si="144"/>
        <v>Zone Sub</v>
      </c>
      <c r="AR1055" s="38"/>
    </row>
    <row r="1056" spans="1:44" ht="45" hidden="1">
      <c r="A1056" s="38" t="str">
        <f t="shared" si="133"/>
        <v>Essential</v>
      </c>
      <c r="B1056" s="38" t="s">
        <v>1380</v>
      </c>
      <c r="C1056" s="38" t="str">
        <f t="shared" si="138"/>
        <v>Zone Sub Maintenance-ALL ZONE SUBSTATION PROPERTIES</v>
      </c>
      <c r="D1056" s="38" t="str">
        <f t="shared" si="139"/>
        <v>Zone Sub Maintenance-NUMBER OF ZONE SUBSTATION PROPERTIES MAINTAINED (000'S)</v>
      </c>
      <c r="E1056" s="406"/>
      <c r="F1056" s="43" t="s">
        <v>422</v>
      </c>
      <c r="G1056" s="43" t="s">
        <v>423</v>
      </c>
      <c r="H1056" s="43" t="s">
        <v>424</v>
      </c>
      <c r="I1056" s="41">
        <v>0.35799999999999998</v>
      </c>
      <c r="J1056" s="41">
        <v>0.35899999999999999</v>
      </c>
      <c r="K1056" s="41">
        <v>0.36299999999999999</v>
      </c>
      <c r="L1056" s="41">
        <v>0.36499999999999999</v>
      </c>
      <c r="M1056" s="41">
        <v>0.36599999999999999</v>
      </c>
      <c r="N1056" s="41">
        <v>0.09</v>
      </c>
      <c r="O1056" s="41">
        <v>0.09</v>
      </c>
      <c r="P1056" s="41">
        <v>9.0999999999999998E-2</v>
      </c>
      <c r="Q1056" s="41">
        <v>9.0999999999999998E-2</v>
      </c>
      <c r="R1056" s="41">
        <v>9.1999999999999998E-2</v>
      </c>
      <c r="S1056" s="41">
        <v>31</v>
      </c>
      <c r="T1056" s="41">
        <v>30</v>
      </c>
      <c r="U1056" s="41">
        <v>30</v>
      </c>
      <c r="V1056" s="41">
        <v>29</v>
      </c>
      <c r="W1056" s="41">
        <v>28</v>
      </c>
      <c r="X1056" s="38">
        <v>0.19666666666666666</v>
      </c>
      <c r="Y1056" s="38">
        <v>4</v>
      </c>
      <c r="Z1056" s="40">
        <v>2135.6259668997791</v>
      </c>
      <c r="AA1056" s="40">
        <v>2459.8986200478744</v>
      </c>
      <c r="AB1056" s="40">
        <v>2602.5272541936988</v>
      </c>
      <c r="AC1056" s="40">
        <v>2230.8209347980728</v>
      </c>
      <c r="AD1056" s="40">
        <v>2067.7713706108598</v>
      </c>
      <c r="AE1056" s="40">
        <v>10.216432234437605</v>
      </c>
      <c r="AF1056" s="40">
        <v>15.220025801159334</v>
      </c>
      <c r="AG1056" s="40">
        <v>15.177235243104725</v>
      </c>
      <c r="AH1056" s="40">
        <v>18.825826742904923</v>
      </c>
      <c r="AI1056" s="40">
        <v>23.170210481655186</v>
      </c>
      <c r="AK1056" s="53">
        <f t="shared" si="140"/>
        <v>0.45399999999999996</v>
      </c>
      <c r="AL1056" s="54">
        <f t="shared" si="141"/>
        <v>11496.644146550283</v>
      </c>
      <c r="AM1056" s="54">
        <f t="shared" si="142"/>
        <v>82.609730503261773</v>
      </c>
      <c r="AN1056" s="123">
        <f t="shared" si="143"/>
        <v>11579.253877053545</v>
      </c>
      <c r="AO1056" s="119" t="s">
        <v>1390</v>
      </c>
      <c r="AP1056" s="38" t="str">
        <f t="shared" si="144"/>
        <v>Zone Sub</v>
      </c>
      <c r="AR1056" s="38"/>
    </row>
    <row r="1057" spans="1:44" ht="30" hidden="1">
      <c r="A1057" s="38" t="str">
        <f t="shared" si="133"/>
        <v>Essential</v>
      </c>
      <c r="B1057" s="38" t="s">
        <v>1193</v>
      </c>
      <c r="C1057" s="38" t="str">
        <f t="shared" si="138"/>
        <v>Public Lighting Maintenance-MINOR ROADS</v>
      </c>
      <c r="D1057" s="38" t="str">
        <f t="shared" si="139"/>
        <v>Public Lighting Maintenance-NUMBER OF PUBLIC LIGHTS MAINTAINED (000'S)</v>
      </c>
      <c r="E1057" s="406"/>
      <c r="F1057" s="43" t="s">
        <v>425</v>
      </c>
      <c r="G1057" s="43" t="s">
        <v>426</v>
      </c>
      <c r="H1057" s="43" t="s">
        <v>427</v>
      </c>
      <c r="I1057" s="41">
        <v>108.58199999999999</v>
      </c>
      <c r="J1057" s="41">
        <v>110.56399999999999</v>
      </c>
      <c r="K1057" s="41">
        <v>110.98699999999999</v>
      </c>
      <c r="L1057" s="41">
        <v>111.964</v>
      </c>
      <c r="M1057" s="41">
        <v>113.306</v>
      </c>
      <c r="N1057" s="41">
        <v>25.11</v>
      </c>
      <c r="O1057" s="41">
        <v>30.654</v>
      </c>
      <c r="P1057" s="41">
        <v>47.613999999999997</v>
      </c>
      <c r="Q1057" s="41">
        <v>27.884</v>
      </c>
      <c r="R1057" s="41">
        <v>29.8</v>
      </c>
      <c r="S1057" s="41">
        <v>16.497089204472196</v>
      </c>
      <c r="T1057" s="41">
        <v>15.610207119858181</v>
      </c>
      <c r="U1057" s="41">
        <v>14.68790885419013</v>
      </c>
      <c r="V1057" s="41">
        <v>9.8794875138437348</v>
      </c>
      <c r="W1057" s="41">
        <v>5.87</v>
      </c>
      <c r="X1057" s="38">
        <v>4</v>
      </c>
      <c r="Y1057" s="38">
        <v>3</v>
      </c>
      <c r="Z1057" s="40">
        <v>0</v>
      </c>
      <c r="AA1057" s="40">
        <v>62.587275304019364</v>
      </c>
      <c r="AB1057" s="40">
        <v>339.82660079687719</v>
      </c>
      <c r="AC1057" s="40">
        <v>506.4629222173491</v>
      </c>
      <c r="AD1057" s="40">
        <v>537.00622667777122</v>
      </c>
      <c r="AE1057" s="40">
        <v>1304.6414073424723</v>
      </c>
      <c r="AF1057" s="40">
        <v>1738.9310078146334</v>
      </c>
      <c r="AG1057" s="40">
        <v>2036.9427596682833</v>
      </c>
      <c r="AH1057" s="40">
        <v>1547.8237522897493</v>
      </c>
      <c r="AI1057" s="40">
        <v>1182.7595562496924</v>
      </c>
      <c r="AK1057" s="53">
        <f t="shared" si="140"/>
        <v>161.06200000000001</v>
      </c>
      <c r="AL1057" s="54">
        <f t="shared" si="141"/>
        <v>1445.883024996017</v>
      </c>
      <c r="AM1057" s="54">
        <f t="shared" si="142"/>
        <v>7811.0984833648317</v>
      </c>
      <c r="AN1057" s="123">
        <f t="shared" si="143"/>
        <v>9256.9815083608482</v>
      </c>
      <c r="AO1057" s="119" t="s">
        <v>1389</v>
      </c>
      <c r="AP1057" s="38" t="str">
        <f t="shared" si="144"/>
        <v>Public Lighting</v>
      </c>
      <c r="AR1057" s="38"/>
    </row>
    <row r="1058" spans="1:44" ht="30" hidden="1">
      <c r="A1058" s="38" t="str">
        <f t="shared" si="133"/>
        <v>Essential</v>
      </c>
      <c r="B1058" s="38" t="s">
        <v>1193</v>
      </c>
      <c r="C1058" s="38" t="str">
        <f t="shared" si="138"/>
        <v>Public Lighting Maintenance-MAJOR ROADS</v>
      </c>
      <c r="D1058" s="38" t="str">
        <f t="shared" si="139"/>
        <v>Public Lighting Maintenance-NUMBER OF PUBLIC LIGHTS MAINTAINED (000'S)</v>
      </c>
      <c r="E1058" s="406"/>
      <c r="F1058" s="43" t="s">
        <v>425</v>
      </c>
      <c r="G1058" s="43" t="s">
        <v>428</v>
      </c>
      <c r="H1058" s="43" t="s">
        <v>427</v>
      </c>
      <c r="I1058" s="41">
        <v>32.947000000000003</v>
      </c>
      <c r="J1058" s="41">
        <v>33.441000000000003</v>
      </c>
      <c r="K1058" s="41">
        <v>34.311999999999998</v>
      </c>
      <c r="L1058" s="41">
        <v>34.731999999999999</v>
      </c>
      <c r="M1058" s="41">
        <v>35.987000000000002</v>
      </c>
      <c r="N1058" s="41">
        <v>7.5170000000000003</v>
      </c>
      <c r="O1058" s="41">
        <v>9.1219999999999999</v>
      </c>
      <c r="P1058" s="41">
        <v>13.032999999999999</v>
      </c>
      <c r="Q1058" s="41">
        <v>13.606</v>
      </c>
      <c r="R1058" s="41">
        <v>10.971</v>
      </c>
      <c r="S1058" s="41">
        <v>13.632569581448994</v>
      </c>
      <c r="T1058" s="41">
        <v>12.96529021261326</v>
      </c>
      <c r="U1058" s="41">
        <v>12.104577698764281</v>
      </c>
      <c r="V1058" s="41">
        <v>9.7262544627432916</v>
      </c>
      <c r="W1058" s="41">
        <v>7.63</v>
      </c>
      <c r="X1058" s="38">
        <v>4</v>
      </c>
      <c r="Y1058" s="38">
        <v>3</v>
      </c>
      <c r="Z1058" s="40">
        <v>0</v>
      </c>
      <c r="AA1058" s="40">
        <v>195.02077758409652</v>
      </c>
      <c r="AB1058" s="40">
        <v>1080.5020006679536</v>
      </c>
      <c r="AC1058" s="40">
        <v>682.80367129462275</v>
      </c>
      <c r="AD1058" s="40">
        <v>1044.5182016449808</v>
      </c>
      <c r="AE1058" s="40">
        <v>4333.1689334906268</v>
      </c>
      <c r="AF1058" s="40">
        <v>5774.2136027494898</v>
      </c>
      <c r="AG1058" s="40">
        <v>7137.2468014508404</v>
      </c>
      <c r="AH1058" s="40">
        <v>5449.0371364638404</v>
      </c>
      <c r="AI1058" s="40">
        <v>5426.0336170684859</v>
      </c>
      <c r="AK1058" s="53">
        <f t="shared" si="140"/>
        <v>54.248999999999995</v>
      </c>
      <c r="AL1058" s="54">
        <f t="shared" si="141"/>
        <v>3002.8446511916536</v>
      </c>
      <c r="AM1058" s="54">
        <f t="shared" si="142"/>
        <v>28119.700091223283</v>
      </c>
      <c r="AN1058" s="123">
        <f t="shared" si="143"/>
        <v>31122.544742414939</v>
      </c>
      <c r="AO1058" s="119" t="s">
        <v>1389</v>
      </c>
      <c r="AP1058" s="38" t="str">
        <f t="shared" si="144"/>
        <v>Public Lighting</v>
      </c>
      <c r="AR1058" s="38"/>
    </row>
    <row r="1059" spans="1:44" ht="30" hidden="1">
      <c r="A1059" s="38" t="str">
        <f t="shared" si="133"/>
        <v>Essential</v>
      </c>
      <c r="B1059" s="38" t="s">
        <v>1194</v>
      </c>
      <c r="C1059" s="38" t="str">
        <f t="shared" si="138"/>
        <v>SCADA Maintenance-SCADA &amp; NETWORK CONTROL MAINTENANCE</v>
      </c>
      <c r="D1059" s="38" t="str">
        <f t="shared" si="139"/>
        <v>SCADA Maintenance-ZSS RTU's  and  No. of last mile assets</v>
      </c>
      <c r="E1059" s="406"/>
      <c r="F1059" s="43" t="s">
        <v>429</v>
      </c>
      <c r="G1059" s="43" t="s">
        <v>429</v>
      </c>
      <c r="H1059" s="43" t="s">
        <v>465</v>
      </c>
      <c r="I1059" s="41">
        <v>606</v>
      </c>
      <c r="J1059" s="41">
        <v>678</v>
      </c>
      <c r="K1059" s="41">
        <v>761</v>
      </c>
      <c r="L1059" s="41">
        <v>772</v>
      </c>
      <c r="M1059" s="41">
        <v>843</v>
      </c>
      <c r="N1059" s="37">
        <v>0.50600000000000001</v>
      </c>
      <c r="O1059" s="37">
        <v>0.55900000000000005</v>
      </c>
      <c r="P1059" s="37">
        <v>0.625</v>
      </c>
      <c r="Q1059" s="37">
        <v>0.70199999999999996</v>
      </c>
      <c r="R1059" s="37">
        <v>0.755</v>
      </c>
      <c r="S1059" s="41">
        <v>6.2</v>
      </c>
      <c r="T1059" s="41">
        <v>5.8</v>
      </c>
      <c r="U1059" s="41">
        <v>5.9</v>
      </c>
      <c r="V1059" s="41">
        <v>6.2</v>
      </c>
      <c r="W1059" s="41">
        <v>6.8</v>
      </c>
      <c r="X1059" s="38">
        <v>1</v>
      </c>
      <c r="Y1059" s="38">
        <v>2</v>
      </c>
      <c r="Z1059" s="40">
        <v>89.054045721722019</v>
      </c>
      <c r="AA1059" s="40">
        <v>165.68268695881119</v>
      </c>
      <c r="AB1059" s="40">
        <v>182.70216131169715</v>
      </c>
      <c r="AC1059" s="40">
        <v>319.75416966207666</v>
      </c>
      <c r="AD1059" s="40">
        <v>390.47412400609056</v>
      </c>
      <c r="AE1059" s="40">
        <v>87.575414278277961</v>
      </c>
      <c r="AF1059" s="40">
        <v>150.41671304118887</v>
      </c>
      <c r="AG1059" s="40">
        <v>186.14359868830286</v>
      </c>
      <c r="AH1059" s="40">
        <v>393.85640033792333</v>
      </c>
      <c r="AI1059" s="40">
        <v>526.21665599390906</v>
      </c>
      <c r="AK1059" s="53">
        <f t="shared" si="140"/>
        <v>3.1469999999999998</v>
      </c>
      <c r="AL1059" s="54">
        <f t="shared" si="141"/>
        <v>1147.6671876603975</v>
      </c>
      <c r="AM1059" s="54">
        <f t="shared" si="142"/>
        <v>1344.2087823396021</v>
      </c>
      <c r="AN1059" s="123">
        <f t="shared" si="143"/>
        <v>2491.8759699999996</v>
      </c>
      <c r="AO1059" s="119" t="s">
        <v>1390</v>
      </c>
      <c r="AP1059" s="38" t="str">
        <f t="shared" si="144"/>
        <v>Zone Sub</v>
      </c>
      <c r="AR1059" s="38"/>
    </row>
    <row r="1060" spans="1:44" hidden="1">
      <c r="A1060" s="38" t="str">
        <f t="shared" si="133"/>
        <v>Essential</v>
      </c>
      <c r="B1060" s="38" t="s">
        <v>1194</v>
      </c>
      <c r="C1060" s="38" t="str">
        <f t="shared" si="138"/>
        <v>SCADA Maintenance-</v>
      </c>
      <c r="D1060" s="38" t="str">
        <f t="shared" si="139"/>
        <v>SCADA Maintenance-Distribution Assets - (000's)</v>
      </c>
      <c r="E1060" s="406"/>
      <c r="H1060" s="43" t="s">
        <v>466</v>
      </c>
      <c r="I1060" s="41">
        <v>2.0379999999999998</v>
      </c>
      <c r="J1060" s="41">
        <v>2.1579999999999999</v>
      </c>
      <c r="K1060" s="41">
        <v>2.6240000000000001</v>
      </c>
      <c r="L1060" s="41">
        <v>3.0990000000000002</v>
      </c>
      <c r="M1060" s="41">
        <v>3.5590000000000002</v>
      </c>
      <c r="N1060" s="41">
        <v>0</v>
      </c>
      <c r="O1060" s="41">
        <v>0</v>
      </c>
      <c r="P1060" s="41">
        <v>0</v>
      </c>
      <c r="Q1060" s="41">
        <v>0</v>
      </c>
      <c r="R1060" s="41">
        <v>0</v>
      </c>
      <c r="S1060" s="41">
        <v>1</v>
      </c>
      <c r="T1060" s="41">
        <v>1.94</v>
      </c>
      <c r="U1060" s="41">
        <v>2.64</v>
      </c>
      <c r="V1060" s="41">
        <v>3.54</v>
      </c>
      <c r="W1060" s="41">
        <v>4.4800000000000004</v>
      </c>
      <c r="X1060" s="38">
        <v>0</v>
      </c>
      <c r="Y1060" s="38">
        <v>0</v>
      </c>
      <c r="Z1060" s="40">
        <v>0</v>
      </c>
      <c r="AA1060" s="40">
        <v>0</v>
      </c>
      <c r="AB1060" s="40">
        <v>0</v>
      </c>
      <c r="AC1060" s="40">
        <v>0</v>
      </c>
      <c r="AD1060" s="40">
        <v>0</v>
      </c>
      <c r="AE1060" s="40">
        <v>0</v>
      </c>
      <c r="AF1060" s="40">
        <v>0</v>
      </c>
      <c r="AG1060" s="40">
        <v>0</v>
      </c>
      <c r="AH1060" s="40">
        <v>0</v>
      </c>
      <c r="AI1060" s="40">
        <v>0</v>
      </c>
      <c r="AK1060" s="53">
        <f t="shared" si="140"/>
        <v>0</v>
      </c>
      <c r="AL1060" s="54">
        <f t="shared" si="141"/>
        <v>0</v>
      </c>
      <c r="AM1060" s="54">
        <f t="shared" si="142"/>
        <v>0</v>
      </c>
      <c r="AN1060" s="123">
        <f t="shared" si="143"/>
        <v>0</v>
      </c>
      <c r="AO1060" s="119" t="s">
        <v>1390</v>
      </c>
      <c r="AP1060" s="38" t="str">
        <f t="shared" si="144"/>
        <v>Zone Sub</v>
      </c>
      <c r="AR1060" s="38"/>
    </row>
    <row r="1061" spans="1:44" ht="30" hidden="1">
      <c r="A1061" s="38" t="str">
        <f t="shared" si="133"/>
        <v>Essential</v>
      </c>
      <c r="B1061" s="38" t="s">
        <v>1194</v>
      </c>
      <c r="C1061" s="38" t="str">
        <f t="shared" si="138"/>
        <v>SCADA Maintenance-</v>
      </c>
      <c r="D1061" s="38" t="str">
        <f t="shared" si="139"/>
        <v>SCADA Maintenance-Zone Substation Assets - (000's)</v>
      </c>
      <c r="E1061" s="406"/>
      <c r="H1061" s="43" t="s">
        <v>467</v>
      </c>
      <c r="I1061" s="41">
        <v>0.22900000000000001</v>
      </c>
      <c r="J1061" s="41">
        <v>0.251</v>
      </c>
      <c r="K1061" s="41">
        <v>0.26900000000000002</v>
      </c>
      <c r="L1061" s="41">
        <v>0.28000000000000003</v>
      </c>
      <c r="M1061" s="41">
        <v>0.30499999999999999</v>
      </c>
      <c r="N1061" s="41">
        <v>0</v>
      </c>
      <c r="O1061" s="41">
        <v>0</v>
      </c>
      <c r="P1061" s="41">
        <v>0</v>
      </c>
      <c r="Q1061" s="41">
        <v>0</v>
      </c>
      <c r="R1061" s="41">
        <v>0</v>
      </c>
      <c r="S1061" s="41">
        <v>5.2</v>
      </c>
      <c r="T1061" s="41">
        <v>5.8</v>
      </c>
      <c r="U1061" s="41">
        <v>6.6</v>
      </c>
      <c r="V1061" s="41">
        <v>7.3</v>
      </c>
      <c r="W1061" s="41">
        <v>8.3000000000000007</v>
      </c>
      <c r="X1061" s="38">
        <v>0</v>
      </c>
      <c r="Y1061" s="38">
        <v>0</v>
      </c>
      <c r="Z1061" s="40">
        <v>0</v>
      </c>
      <c r="AA1061" s="40">
        <v>0</v>
      </c>
      <c r="AB1061" s="40">
        <v>0</v>
      </c>
      <c r="AC1061" s="40">
        <v>0</v>
      </c>
      <c r="AD1061" s="40">
        <v>0</v>
      </c>
      <c r="AE1061" s="40">
        <v>0</v>
      </c>
      <c r="AF1061" s="40">
        <v>0</v>
      </c>
      <c r="AG1061" s="40">
        <v>0</v>
      </c>
      <c r="AH1061" s="40">
        <v>0</v>
      </c>
      <c r="AI1061" s="40">
        <v>0</v>
      </c>
      <c r="AK1061" s="53">
        <f t="shared" si="140"/>
        <v>0</v>
      </c>
      <c r="AL1061" s="54">
        <f t="shared" si="141"/>
        <v>0</v>
      </c>
      <c r="AM1061" s="54">
        <f t="shared" si="142"/>
        <v>0</v>
      </c>
      <c r="AN1061" s="123">
        <f t="shared" si="143"/>
        <v>0</v>
      </c>
      <c r="AO1061" s="119" t="s">
        <v>1390</v>
      </c>
      <c r="AP1061" s="38" t="str">
        <f t="shared" si="144"/>
        <v>Zone Sub</v>
      </c>
      <c r="AR1061" s="38"/>
    </row>
    <row r="1062" spans="1:44" ht="30" hidden="1">
      <c r="A1062" s="38" t="str">
        <f t="shared" si="133"/>
        <v>Essential</v>
      </c>
      <c r="B1062" s="38" t="s">
        <v>1195</v>
      </c>
      <c r="C1062" s="38" t="str">
        <f t="shared" si="138"/>
        <v>Protection Maintenance-PROTECTION SYSTEMS MAINTENANCE</v>
      </c>
      <c r="D1062" s="38" t="str">
        <f t="shared" si="139"/>
        <v>Protection Maintenance-DISTRIBUTION RECLOSERS</v>
      </c>
      <c r="E1062" s="406"/>
      <c r="F1062" s="43" t="s">
        <v>430</v>
      </c>
      <c r="G1062" s="43" t="s">
        <v>430</v>
      </c>
      <c r="H1062" s="43" t="s">
        <v>468</v>
      </c>
      <c r="I1062" s="41">
        <v>3.762</v>
      </c>
      <c r="J1062" s="41">
        <v>4.1040000000000001</v>
      </c>
      <c r="K1062" s="41">
        <v>4.21</v>
      </c>
      <c r="L1062" s="41">
        <v>4.2809999999999997</v>
      </c>
      <c r="M1062" s="41">
        <v>4.3470000000000004</v>
      </c>
      <c r="N1062" s="41">
        <v>0.34899999999999998</v>
      </c>
      <c r="O1062" s="41">
        <v>0.443</v>
      </c>
      <c r="P1062" s="41">
        <v>0.40699999999999997</v>
      </c>
      <c r="Q1062" s="41">
        <v>1.5409999999999999</v>
      </c>
      <c r="R1062" s="41">
        <v>0.54700000000000004</v>
      </c>
      <c r="S1062" s="41">
        <v>12.4</v>
      </c>
      <c r="T1062" s="41">
        <v>13.21</v>
      </c>
      <c r="U1062" s="41">
        <v>14.08</v>
      </c>
      <c r="V1062" s="41">
        <v>14.68</v>
      </c>
      <c r="W1062" s="41">
        <v>15</v>
      </c>
      <c r="X1062" s="38">
        <v>0</v>
      </c>
      <c r="Y1062" s="38">
        <v>1</v>
      </c>
      <c r="Z1062" s="40">
        <v>0</v>
      </c>
      <c r="AA1062" s="40">
        <v>0</v>
      </c>
      <c r="AB1062" s="40">
        <v>0</v>
      </c>
      <c r="AC1062" s="40">
        <v>0</v>
      </c>
      <c r="AD1062" s="40">
        <v>0</v>
      </c>
      <c r="AE1062" s="40">
        <v>81.034999999999997</v>
      </c>
      <c r="AF1062" s="40">
        <v>279.065</v>
      </c>
      <c r="AG1062" s="40">
        <v>32.798999999999999</v>
      </c>
      <c r="AH1062" s="40">
        <v>1171.3489999999999</v>
      </c>
      <c r="AI1062" s="40">
        <v>310.5</v>
      </c>
      <c r="AK1062" s="53">
        <f t="shared" si="140"/>
        <v>3.2870000000000004</v>
      </c>
      <c r="AL1062" s="54">
        <f t="shared" si="141"/>
        <v>0</v>
      </c>
      <c r="AM1062" s="54">
        <f t="shared" si="142"/>
        <v>1874.748</v>
      </c>
      <c r="AN1062" s="123">
        <f t="shared" si="143"/>
        <v>1874.748</v>
      </c>
      <c r="AO1062" s="119" t="s">
        <v>1390</v>
      </c>
      <c r="AP1062" s="38" t="str">
        <f t="shared" si="144"/>
        <v>Zone Sub</v>
      </c>
      <c r="AR1062" s="38"/>
    </row>
    <row r="1063" spans="1:44" hidden="1">
      <c r="A1063" s="38" t="str">
        <f t="shared" si="133"/>
        <v>Essential</v>
      </c>
      <c r="B1063" s="38" t="s">
        <v>1195</v>
      </c>
      <c r="C1063" s="38" t="str">
        <f t="shared" si="138"/>
        <v>Protection Maintenance-</v>
      </c>
      <c r="D1063" s="38" t="str">
        <f t="shared" si="139"/>
        <v>Protection Maintenance-Protection Circuits - (000's)</v>
      </c>
      <c r="E1063" s="406"/>
      <c r="H1063" s="43" t="s">
        <v>469</v>
      </c>
      <c r="I1063" s="41">
        <v>4.109</v>
      </c>
      <c r="J1063" s="41">
        <v>4.4109999999999996</v>
      </c>
      <c r="K1063" s="41">
        <v>4.6120000000000001</v>
      </c>
      <c r="L1063" s="41">
        <v>4.726</v>
      </c>
      <c r="M1063" s="41">
        <v>4.7690000000000001</v>
      </c>
      <c r="N1063" s="41">
        <v>1.696</v>
      </c>
      <c r="O1063" s="41">
        <v>1.3720000000000001</v>
      </c>
      <c r="P1063" s="41">
        <v>1.768</v>
      </c>
      <c r="Q1063" s="41">
        <v>1.7270000000000001</v>
      </c>
      <c r="R1063" s="41">
        <v>1.9570000000000001</v>
      </c>
      <c r="S1063" s="41">
        <v>22</v>
      </c>
      <c r="T1063" s="41">
        <v>21</v>
      </c>
      <c r="U1063" s="41">
        <v>20</v>
      </c>
      <c r="V1063" s="41">
        <v>20</v>
      </c>
      <c r="W1063" s="41">
        <v>19.7</v>
      </c>
      <c r="X1063" s="38">
        <v>0.19666666666666666</v>
      </c>
      <c r="Y1063" s="38">
        <v>4</v>
      </c>
      <c r="Z1063" s="40">
        <v>0</v>
      </c>
      <c r="AA1063" s="40">
        <v>0</v>
      </c>
      <c r="AB1063" s="40">
        <v>0</v>
      </c>
      <c r="AC1063" s="40">
        <v>0</v>
      </c>
      <c r="AD1063" s="40">
        <v>0</v>
      </c>
      <c r="AE1063" s="40">
        <v>0</v>
      </c>
      <c r="AF1063" s="40">
        <v>0</v>
      </c>
      <c r="AG1063" s="40">
        <v>0</v>
      </c>
      <c r="AH1063" s="40">
        <v>0</v>
      </c>
      <c r="AI1063" s="40">
        <v>0</v>
      </c>
      <c r="AK1063" s="53">
        <f t="shared" si="140"/>
        <v>8.5200000000000014</v>
      </c>
      <c r="AL1063" s="54">
        <f t="shared" si="141"/>
        <v>0</v>
      </c>
      <c r="AM1063" s="54">
        <f t="shared" si="142"/>
        <v>0</v>
      </c>
      <c r="AN1063" s="123">
        <f t="shared" si="143"/>
        <v>0</v>
      </c>
      <c r="AO1063" s="119" t="s">
        <v>1390</v>
      </c>
      <c r="AP1063" s="38" t="str">
        <f t="shared" si="144"/>
        <v>Zone Sub</v>
      </c>
      <c r="AR1063" s="38"/>
    </row>
    <row r="1064" spans="1:44" ht="60" hidden="1">
      <c r="A1064" s="38" t="str">
        <f t="shared" si="133"/>
        <v>Essential</v>
      </c>
      <c r="B1064" s="38" t="s">
        <v>1196</v>
      </c>
      <c r="C1064" s="38" t="str">
        <f t="shared" si="138"/>
        <v>Subtrans Maintenance-SUBTRANSMISSION ASSET MAINTENANCE - FOR DNSPS WITH DUAL FUNCTION ASSETS</v>
      </c>
      <c r="D1064" s="38" t="str">
        <f t="shared" si="139"/>
        <v>Subtrans Maintenance-DNSP TO NOMINATE</v>
      </c>
      <c r="E1064" s="406"/>
      <c r="F1064" s="43" t="s">
        <v>431</v>
      </c>
      <c r="G1064" s="43" t="s">
        <v>431</v>
      </c>
      <c r="H1064" s="43" t="s">
        <v>411</v>
      </c>
      <c r="Z1064" s="40" t="s">
        <v>338</v>
      </c>
      <c r="AA1064" s="40" t="s">
        <v>338</v>
      </c>
      <c r="AB1064" s="40" t="s">
        <v>338</v>
      </c>
      <c r="AC1064" s="40" t="s">
        <v>338</v>
      </c>
      <c r="AD1064" s="40" t="s">
        <v>338</v>
      </c>
      <c r="AE1064" s="40" t="s">
        <v>338</v>
      </c>
      <c r="AF1064" s="40" t="s">
        <v>338</v>
      </c>
      <c r="AG1064" s="40" t="s">
        <v>338</v>
      </c>
      <c r="AH1064" s="40" t="s">
        <v>338</v>
      </c>
      <c r="AI1064" s="40" t="s">
        <v>338</v>
      </c>
      <c r="AK1064" s="53">
        <f t="shared" si="140"/>
        <v>0</v>
      </c>
      <c r="AL1064" s="54">
        <f t="shared" si="141"/>
        <v>0</v>
      </c>
      <c r="AM1064" s="54">
        <f t="shared" si="142"/>
        <v>0</v>
      </c>
      <c r="AN1064" s="123">
        <f t="shared" si="143"/>
        <v>0</v>
      </c>
      <c r="AO1064" s="119" t="s">
        <v>1389</v>
      </c>
      <c r="AP1064" s="38" t="str">
        <f t="shared" si="144"/>
        <v>OH/UG</v>
      </c>
      <c r="AR1064" s="38"/>
    </row>
    <row r="1065" spans="1:44" hidden="1">
      <c r="A1065" s="38" t="str">
        <f t="shared" si="133"/>
        <v>Essential</v>
      </c>
      <c r="B1065" s="38" t="s">
        <v>720</v>
      </c>
      <c r="C1065" s="38" t="str">
        <f t="shared" si="138"/>
        <v>Other-PIT AND PILLAR INSPECTION</v>
      </c>
      <c r="D1065" s="38" t="str">
        <f t="shared" si="139"/>
        <v>Other-CUBICLES (000'S)</v>
      </c>
      <c r="E1065" s="406"/>
      <c r="F1065" s="43" t="s">
        <v>470</v>
      </c>
      <c r="G1065" s="43" t="s">
        <v>471</v>
      </c>
      <c r="H1065" s="43" t="s">
        <v>472</v>
      </c>
      <c r="I1065" s="41">
        <v>100.443</v>
      </c>
      <c r="J1065" s="41">
        <v>100.443</v>
      </c>
      <c r="K1065" s="41">
        <v>100.443</v>
      </c>
      <c r="L1065" s="41">
        <v>100.443</v>
      </c>
      <c r="M1065" s="41">
        <v>100.443</v>
      </c>
      <c r="N1065" s="41">
        <v>2.9129999999999998</v>
      </c>
      <c r="O1065" s="41">
        <v>12.94</v>
      </c>
      <c r="P1065" s="41">
        <v>14.567</v>
      </c>
      <c r="Q1065" s="41">
        <v>25.706</v>
      </c>
      <c r="R1065" s="41">
        <v>18.722999999999999</v>
      </c>
      <c r="S1065" s="41">
        <v>8</v>
      </c>
      <c r="T1065" s="41">
        <v>9</v>
      </c>
      <c r="U1065" s="41">
        <v>10</v>
      </c>
      <c r="V1065" s="41">
        <v>11</v>
      </c>
      <c r="W1065" s="41">
        <v>12</v>
      </c>
      <c r="X1065" s="38">
        <v>4</v>
      </c>
      <c r="Y1065" s="38">
        <v>0</v>
      </c>
      <c r="Z1065" s="40">
        <v>0</v>
      </c>
      <c r="AA1065" s="40">
        <v>608.96617469115711</v>
      </c>
      <c r="AB1065" s="40">
        <v>633.25914789523256</v>
      </c>
      <c r="AC1065" s="40">
        <v>1421.6095851772532</v>
      </c>
      <c r="AD1065" s="40">
        <v>1018.3974812892163</v>
      </c>
      <c r="AE1065" s="40">
        <v>0</v>
      </c>
      <c r="AF1065" s="40">
        <v>0</v>
      </c>
      <c r="AG1065" s="40">
        <v>0</v>
      </c>
      <c r="AH1065" s="40">
        <v>0</v>
      </c>
      <c r="AI1065" s="40">
        <v>0</v>
      </c>
      <c r="AK1065" s="53">
        <f t="shared" si="140"/>
        <v>74.849000000000004</v>
      </c>
      <c r="AL1065" s="54">
        <f t="shared" si="141"/>
        <v>3682.2323890528596</v>
      </c>
      <c r="AM1065" s="54">
        <f t="shared" si="142"/>
        <v>0</v>
      </c>
      <c r="AN1065" s="123">
        <f t="shared" si="143"/>
        <v>3682.2323890528596</v>
      </c>
      <c r="AO1065" s="119" t="s">
        <v>1389</v>
      </c>
      <c r="AP1065" s="38" t="str">
        <f t="shared" si="144"/>
        <v>UG</v>
      </c>
      <c r="AR1065" s="38"/>
    </row>
    <row r="1066" spans="1:44" ht="30" hidden="1">
      <c r="A1066" s="38" t="str">
        <f t="shared" si="133"/>
        <v>Essential</v>
      </c>
      <c r="B1066" s="38" t="s">
        <v>720</v>
      </c>
      <c r="C1066" s="38" t="str">
        <f t="shared" si="138"/>
        <v>Other-CRITICAL EQIPMENT INSPECTION</v>
      </c>
      <c r="D1066" s="38" t="str">
        <f t="shared" si="139"/>
        <v>Other-EQUIPMENT UNITS (000'S)</v>
      </c>
      <c r="E1066" s="406"/>
      <c r="F1066" s="43" t="s">
        <v>470</v>
      </c>
      <c r="G1066" s="43" t="s">
        <v>473</v>
      </c>
      <c r="H1066" s="43" t="s">
        <v>474</v>
      </c>
      <c r="I1066" s="41">
        <v>1.2090000000000001</v>
      </c>
      <c r="J1066" s="41">
        <v>1.2090000000000001</v>
      </c>
      <c r="K1066" s="41">
        <v>1.2090000000000001</v>
      </c>
      <c r="L1066" s="41">
        <v>1.2090000000000001</v>
      </c>
      <c r="M1066" s="41">
        <v>1.2090000000000001</v>
      </c>
      <c r="N1066" s="41">
        <v>0</v>
      </c>
      <c r="O1066" s="41">
        <v>0</v>
      </c>
      <c r="P1066" s="41">
        <v>0</v>
      </c>
      <c r="Q1066" s="41">
        <v>2.1000000000000001E-2</v>
      </c>
      <c r="R1066" s="41">
        <v>0.22600000000000001</v>
      </c>
      <c r="S1066" s="41">
        <v>23.32</v>
      </c>
      <c r="T1066" s="41">
        <v>24.27</v>
      </c>
      <c r="U1066" s="41">
        <v>25.21</v>
      </c>
      <c r="V1066" s="41">
        <v>26.11</v>
      </c>
      <c r="W1066" s="41">
        <v>27</v>
      </c>
      <c r="X1066" s="38">
        <v>1</v>
      </c>
      <c r="Y1066" s="38">
        <v>0</v>
      </c>
      <c r="Z1066" s="40">
        <v>1935.4103004981237</v>
      </c>
      <c r="AA1066" s="40">
        <v>3192.1270969201096</v>
      </c>
      <c r="AB1066" s="40">
        <v>1713.8411444136011</v>
      </c>
      <c r="AC1066" s="40">
        <v>1700.2626307735588</v>
      </c>
      <c r="AD1066" s="40">
        <v>1142.3476948164318</v>
      </c>
      <c r="AE1066" s="40">
        <v>0</v>
      </c>
      <c r="AF1066" s="40">
        <v>0</v>
      </c>
      <c r="AG1066" s="40">
        <v>0</v>
      </c>
      <c r="AH1066" s="40">
        <v>0</v>
      </c>
      <c r="AI1066" s="40">
        <v>0</v>
      </c>
      <c r="AK1066" s="53">
        <f t="shared" si="140"/>
        <v>0.247</v>
      </c>
      <c r="AL1066" s="54">
        <f t="shared" si="141"/>
        <v>9683.9888674218237</v>
      </c>
      <c r="AM1066" s="54">
        <f t="shared" si="142"/>
        <v>0</v>
      </c>
      <c r="AN1066" s="123">
        <f t="shared" si="143"/>
        <v>9683.9888674218237</v>
      </c>
      <c r="AO1066" s="119" t="s">
        <v>1389</v>
      </c>
      <c r="AP1066" s="38" t="str">
        <f t="shared" si="144"/>
        <v>OH/UG</v>
      </c>
      <c r="AR1066" s="38"/>
    </row>
    <row r="1067" spans="1:44" ht="30" hidden="1">
      <c r="A1067" s="38" t="str">
        <f t="shared" si="133"/>
        <v>Essential</v>
      </c>
      <c r="B1067" s="38" t="s">
        <v>720</v>
      </c>
      <c r="C1067" s="38" t="str">
        <f t="shared" si="138"/>
        <v>Other-ENCLOSED SUBSTATION INSPECTION</v>
      </c>
      <c r="D1067" s="38" t="str">
        <f t="shared" si="139"/>
        <v>Other-SUBSTATIONS (000'S)</v>
      </c>
      <c r="E1067" s="406"/>
      <c r="F1067" s="43" t="s">
        <v>470</v>
      </c>
      <c r="G1067" s="43" t="s">
        <v>475</v>
      </c>
      <c r="H1067" s="43" t="s">
        <v>476</v>
      </c>
      <c r="I1067" s="41">
        <v>6.0910000000000002</v>
      </c>
      <c r="J1067" s="41">
        <v>6.0910000000000002</v>
      </c>
      <c r="K1067" s="41">
        <v>6.0910000000000002</v>
      </c>
      <c r="L1067" s="41">
        <v>6.0910000000000002</v>
      </c>
      <c r="M1067" s="41">
        <v>6.0910000000000002</v>
      </c>
      <c r="N1067" s="41">
        <v>0.65900000000000003</v>
      </c>
      <c r="O1067" s="41">
        <v>1.2250000000000001</v>
      </c>
      <c r="P1067" s="41">
        <v>2.5209999999999999</v>
      </c>
      <c r="Q1067" s="41">
        <v>2.3460000000000001</v>
      </c>
      <c r="R1067" s="41">
        <v>1.502</v>
      </c>
      <c r="S1067" s="41">
        <v>13.01</v>
      </c>
      <c r="T1067" s="41">
        <v>14.01</v>
      </c>
      <c r="U1067" s="41">
        <v>15.01</v>
      </c>
      <c r="V1067" s="41">
        <v>16.010000000000002</v>
      </c>
      <c r="W1067" s="41">
        <v>17</v>
      </c>
      <c r="X1067" s="38">
        <v>4</v>
      </c>
      <c r="Y1067" s="38">
        <v>0</v>
      </c>
      <c r="Z1067" s="40">
        <v>1695.6498355462841</v>
      </c>
      <c r="AA1067" s="40">
        <v>1276.6627341842545</v>
      </c>
      <c r="AB1067" s="40">
        <v>602.19402529581214</v>
      </c>
      <c r="AC1067" s="40">
        <v>692.87989567056536</v>
      </c>
      <c r="AD1067" s="40">
        <v>1204.2393863983127</v>
      </c>
      <c r="AE1067" s="40">
        <v>0</v>
      </c>
      <c r="AF1067" s="40">
        <v>0</v>
      </c>
      <c r="AG1067" s="40">
        <v>0</v>
      </c>
      <c r="AH1067" s="40">
        <v>0</v>
      </c>
      <c r="AI1067" s="40">
        <v>0</v>
      </c>
      <c r="AK1067" s="53">
        <f t="shared" si="140"/>
        <v>8.2530000000000001</v>
      </c>
      <c r="AL1067" s="54">
        <f t="shared" si="141"/>
        <v>5471.6258770952281</v>
      </c>
      <c r="AM1067" s="54">
        <f t="shared" si="142"/>
        <v>0</v>
      </c>
      <c r="AN1067" s="123">
        <f t="shared" si="143"/>
        <v>5471.6258770952281</v>
      </c>
      <c r="AO1067" s="119" t="s">
        <v>1389</v>
      </c>
      <c r="AP1067" s="38" t="str">
        <f t="shared" si="144"/>
        <v>UG</v>
      </c>
      <c r="AR1067" s="38"/>
    </row>
    <row r="1068" spans="1:44" ht="30" hidden="1">
      <c r="A1068" s="38" t="str">
        <f t="shared" si="133"/>
        <v>Essential</v>
      </c>
      <c r="B1068" s="38" t="s">
        <v>720</v>
      </c>
      <c r="C1068" s="38" t="str">
        <f t="shared" si="138"/>
        <v>Other-ANNUAL THERMOVISION INSPECTION URBAN</v>
      </c>
      <c r="D1068" s="38" t="str">
        <f t="shared" si="139"/>
        <v>Other-URBAN HV POLES (000'S)</v>
      </c>
      <c r="E1068" s="406"/>
      <c r="F1068" s="43" t="s">
        <v>470</v>
      </c>
      <c r="G1068" s="43" t="s">
        <v>477</v>
      </c>
      <c r="H1068" s="43" t="s">
        <v>478</v>
      </c>
      <c r="I1068" s="41">
        <v>104.913</v>
      </c>
      <c r="J1068" s="41">
        <v>104.913</v>
      </c>
      <c r="K1068" s="41">
        <v>104.913</v>
      </c>
      <c r="L1068" s="41">
        <v>104.913</v>
      </c>
      <c r="M1068" s="41">
        <v>104.913</v>
      </c>
      <c r="N1068" s="41">
        <v>0</v>
      </c>
      <c r="O1068" s="41">
        <v>27</v>
      </c>
      <c r="P1068" s="41">
        <v>1</v>
      </c>
      <c r="Q1068" s="41">
        <v>958</v>
      </c>
      <c r="R1068" s="41">
        <v>379</v>
      </c>
      <c r="S1068" s="41">
        <v>28</v>
      </c>
      <c r="T1068" s="41">
        <v>29</v>
      </c>
      <c r="U1068" s="41">
        <v>30</v>
      </c>
      <c r="V1068" s="41">
        <v>31</v>
      </c>
      <c r="W1068" s="41">
        <v>32</v>
      </c>
      <c r="X1068" s="38">
        <v>1</v>
      </c>
      <c r="Y1068" s="38">
        <v>0</v>
      </c>
      <c r="Z1068" s="40">
        <v>4.9457139725879511</v>
      </c>
      <c r="AA1068" s="40">
        <v>0.754661306506207</v>
      </c>
      <c r="AB1068" s="40">
        <v>2.5227272940046586</v>
      </c>
      <c r="AC1068" s="40">
        <v>26.977281431931932</v>
      </c>
      <c r="AD1068" s="40">
        <v>10.213115834130102</v>
      </c>
      <c r="AE1068" s="40">
        <v>0</v>
      </c>
      <c r="AF1068" s="40">
        <v>0</v>
      </c>
      <c r="AG1068" s="40">
        <v>0</v>
      </c>
      <c r="AH1068" s="40">
        <v>0</v>
      </c>
      <c r="AI1068" s="40">
        <v>0</v>
      </c>
      <c r="AK1068" s="53">
        <f t="shared" si="140"/>
        <v>1365</v>
      </c>
      <c r="AL1068" s="54">
        <f t="shared" si="141"/>
        <v>45.413499839160849</v>
      </c>
      <c r="AM1068" s="54">
        <f t="shared" si="142"/>
        <v>0</v>
      </c>
      <c r="AN1068" s="123">
        <f t="shared" si="143"/>
        <v>45.413499839160849</v>
      </c>
      <c r="AO1068" s="119" t="s">
        <v>1389</v>
      </c>
      <c r="AP1068" s="38" t="str">
        <f t="shared" si="144"/>
        <v>OH/UG</v>
      </c>
      <c r="AR1068" s="38"/>
    </row>
    <row r="1069" spans="1:44" ht="30" hidden="1">
      <c r="A1069" s="38" t="str">
        <f t="shared" si="133"/>
        <v>Essential</v>
      </c>
      <c r="B1069" s="38" t="s">
        <v>720</v>
      </c>
      <c r="C1069" s="38" t="str">
        <f t="shared" si="138"/>
        <v>Other-ANNUAL REGULATOR AND RECLOSER INSPECTION</v>
      </c>
      <c r="D1069" s="38" t="str">
        <f t="shared" si="139"/>
        <v>Other-UNITS (000'S)</v>
      </c>
      <c r="E1069" s="406"/>
      <c r="F1069" s="43" t="s">
        <v>470</v>
      </c>
      <c r="G1069" s="43" t="s">
        <v>479</v>
      </c>
      <c r="H1069" s="43" t="s">
        <v>480</v>
      </c>
      <c r="I1069" s="41">
        <v>3.4279999999999999</v>
      </c>
      <c r="J1069" s="41">
        <v>3.4279999999999999</v>
      </c>
      <c r="K1069" s="41">
        <v>3.4279999999999999</v>
      </c>
      <c r="L1069" s="41">
        <v>3.4279999999999999</v>
      </c>
      <c r="M1069" s="41">
        <v>3.4279999999999999</v>
      </c>
      <c r="N1069" s="41">
        <v>2.282</v>
      </c>
      <c r="O1069" s="41">
        <v>8.7710000000000008</v>
      </c>
      <c r="P1069" s="41">
        <v>10.289</v>
      </c>
      <c r="Q1069" s="41">
        <v>10.444000000000001</v>
      </c>
      <c r="R1069" s="41">
        <v>7.1219999999999999</v>
      </c>
      <c r="S1069" s="41">
        <v>12.4</v>
      </c>
      <c r="T1069" s="41">
        <v>13.21</v>
      </c>
      <c r="U1069" s="41">
        <v>14.08</v>
      </c>
      <c r="V1069" s="41">
        <v>14.68</v>
      </c>
      <c r="W1069" s="41">
        <v>15</v>
      </c>
      <c r="X1069" s="38">
        <v>0.5</v>
      </c>
      <c r="Y1069" s="38">
        <v>0</v>
      </c>
      <c r="Z1069" s="40">
        <v>216.84607707020291</v>
      </c>
      <c r="AA1069" s="40">
        <v>588.12482013380156</v>
      </c>
      <c r="AB1069" s="40">
        <v>551.49557096455771</v>
      </c>
      <c r="AC1069" s="40">
        <v>626.35105037168557</v>
      </c>
      <c r="AD1069" s="40">
        <v>453.4342839602171</v>
      </c>
      <c r="AE1069" s="40">
        <v>0</v>
      </c>
      <c r="AF1069" s="40">
        <v>0</v>
      </c>
      <c r="AG1069" s="40">
        <v>0</v>
      </c>
      <c r="AH1069" s="40">
        <v>0</v>
      </c>
      <c r="AI1069" s="40">
        <v>0</v>
      </c>
      <c r="AK1069" s="53">
        <f t="shared" si="140"/>
        <v>38.908000000000001</v>
      </c>
      <c r="AL1069" s="54">
        <f t="shared" si="141"/>
        <v>2436.2518025004651</v>
      </c>
      <c r="AM1069" s="54">
        <f t="shared" si="142"/>
        <v>0</v>
      </c>
      <c r="AN1069" s="123">
        <f t="shared" si="143"/>
        <v>2436.2518025004651</v>
      </c>
      <c r="AO1069" s="119" t="s">
        <v>1389</v>
      </c>
      <c r="AP1069" s="38" t="str">
        <f t="shared" si="144"/>
        <v>OH</v>
      </c>
      <c r="AR1069" s="38"/>
    </row>
    <row r="1070" spans="1:44" hidden="1">
      <c r="A1070" s="38" t="str">
        <f t="shared" si="133"/>
        <v>Essential</v>
      </c>
      <c r="B1070" s="38" t="s">
        <v>720</v>
      </c>
      <c r="C1070" s="38" t="str">
        <f t="shared" si="138"/>
        <v xml:space="preserve">Other-EARTH INTEGRITY TESTING </v>
      </c>
      <c r="D1070" s="38" t="str">
        <f t="shared" si="139"/>
        <v>Other-EARTH SITES (000'S)</v>
      </c>
      <c r="E1070" s="406"/>
      <c r="F1070" s="43" t="s">
        <v>470</v>
      </c>
      <c r="G1070" s="43" t="s">
        <v>481</v>
      </c>
      <c r="H1070" s="43" t="s">
        <v>482</v>
      </c>
      <c r="I1070" s="41">
        <v>20.474</v>
      </c>
      <c r="J1070" s="41">
        <v>20.474</v>
      </c>
      <c r="K1070" s="41">
        <v>20.474</v>
      </c>
      <c r="L1070" s="41">
        <v>20.474</v>
      </c>
      <c r="M1070" s="41">
        <v>20.474</v>
      </c>
      <c r="N1070" s="41">
        <v>0</v>
      </c>
      <c r="O1070" s="41">
        <v>4.4039999999999999</v>
      </c>
      <c r="P1070" s="41">
        <v>5.1100000000000003</v>
      </c>
      <c r="Q1070" s="41">
        <v>5.8049999999999997</v>
      </c>
      <c r="R1070" s="41">
        <v>4.9850000000000003</v>
      </c>
      <c r="S1070" s="41">
        <v>23</v>
      </c>
      <c r="T1070" s="41">
        <v>24</v>
      </c>
      <c r="U1070" s="41">
        <v>25</v>
      </c>
      <c r="V1070" s="41">
        <v>26</v>
      </c>
      <c r="W1070" s="41">
        <v>27</v>
      </c>
      <c r="X1070" s="38">
        <v>4</v>
      </c>
      <c r="Y1070" s="38">
        <v>0</v>
      </c>
      <c r="Z1070" s="40">
        <v>0</v>
      </c>
      <c r="AA1070" s="40">
        <v>324.95679999999999</v>
      </c>
      <c r="AB1070" s="40">
        <v>1003.7016</v>
      </c>
      <c r="AC1070" s="40">
        <v>1456.607</v>
      </c>
      <c r="AD1070" s="40">
        <v>1051.0658999999998</v>
      </c>
      <c r="AE1070" s="40">
        <v>0</v>
      </c>
      <c r="AF1070" s="40">
        <v>0</v>
      </c>
      <c r="AG1070" s="40">
        <v>0</v>
      </c>
      <c r="AH1070" s="40">
        <v>0</v>
      </c>
      <c r="AI1070" s="40">
        <v>0</v>
      </c>
      <c r="AK1070" s="53">
        <f t="shared" si="140"/>
        <v>20.303999999999998</v>
      </c>
      <c r="AL1070" s="54">
        <f t="shared" si="141"/>
        <v>3836.3312999999998</v>
      </c>
      <c r="AM1070" s="54">
        <f t="shared" si="142"/>
        <v>0</v>
      </c>
      <c r="AN1070" s="123">
        <f t="shared" si="143"/>
        <v>3836.3312999999998</v>
      </c>
      <c r="AO1070" s="119" t="s">
        <v>1389</v>
      </c>
      <c r="AP1070" s="38" t="str">
        <f t="shared" si="144"/>
        <v>UG</v>
      </c>
      <c r="AR1070" s="38"/>
    </row>
    <row r="1071" spans="1:44" ht="30" hidden="1">
      <c r="A1071" s="38" t="str">
        <f t="shared" si="133"/>
        <v>Essential</v>
      </c>
      <c r="B1071" s="38" t="s">
        <v>720</v>
      </c>
      <c r="C1071" s="38" t="str">
        <f t="shared" si="138"/>
        <v>Other-SUBTRANSMISSION LIVE LINE INSPECTION</v>
      </c>
      <c r="D1071" s="38" t="str">
        <f t="shared" si="139"/>
        <v>Other-POLES (000'S)</v>
      </c>
      <c r="E1071" s="406"/>
      <c r="F1071" s="43" t="s">
        <v>470</v>
      </c>
      <c r="G1071" s="43" t="s">
        <v>483</v>
      </c>
      <c r="H1071" s="43" t="s">
        <v>484</v>
      </c>
      <c r="I1071" s="41">
        <v>35.662999999999997</v>
      </c>
      <c r="J1071" s="41">
        <v>35.662999999999997</v>
      </c>
      <c r="K1071" s="41">
        <v>35.662999999999997</v>
      </c>
      <c r="L1071" s="41">
        <v>35.662999999999997</v>
      </c>
      <c r="M1071" s="41">
        <v>35.662999999999997</v>
      </c>
      <c r="N1071" s="41">
        <v>4.1959999999999997</v>
      </c>
      <c r="O1071" s="41">
        <v>4.609</v>
      </c>
      <c r="P1071" s="41">
        <v>5.3179999999999996</v>
      </c>
      <c r="Q1071" s="41">
        <v>3.6589999999999998</v>
      </c>
      <c r="R1071" s="41">
        <v>3.1070000000000002</v>
      </c>
      <c r="S1071" s="41">
        <v>33</v>
      </c>
      <c r="T1071" s="41">
        <v>34</v>
      </c>
      <c r="U1071" s="41">
        <v>35</v>
      </c>
      <c r="V1071" s="41">
        <v>36</v>
      </c>
      <c r="W1071" s="41">
        <v>37</v>
      </c>
      <c r="X1071" s="38">
        <v>8</v>
      </c>
      <c r="Y1071" s="38">
        <v>0</v>
      </c>
      <c r="Z1071" s="40">
        <v>0</v>
      </c>
      <c r="AA1071" s="40">
        <v>667.13446425476457</v>
      </c>
      <c r="AB1071" s="40">
        <v>427.68925968331581</v>
      </c>
      <c r="AC1071" s="40">
        <v>557.87377513301817</v>
      </c>
      <c r="AD1071" s="40">
        <v>365.98731209898989</v>
      </c>
      <c r="AE1071" s="40">
        <v>0</v>
      </c>
      <c r="AF1071" s="40">
        <v>0</v>
      </c>
      <c r="AG1071" s="40">
        <v>0</v>
      </c>
      <c r="AH1071" s="40">
        <v>0</v>
      </c>
      <c r="AI1071" s="40">
        <v>0</v>
      </c>
      <c r="AK1071" s="53">
        <f t="shared" si="140"/>
        <v>20.888999999999999</v>
      </c>
      <c r="AL1071" s="54">
        <f t="shared" si="141"/>
        <v>2018.6848111700883</v>
      </c>
      <c r="AM1071" s="54">
        <f t="shared" si="142"/>
        <v>0</v>
      </c>
      <c r="AN1071" s="123">
        <f t="shared" si="143"/>
        <v>2018.6848111700883</v>
      </c>
      <c r="AO1071" s="119" t="s">
        <v>1390</v>
      </c>
      <c r="AP1071" s="38" t="str">
        <f t="shared" si="144"/>
        <v>OH</v>
      </c>
      <c r="AR1071" s="38"/>
    </row>
    <row r="1072" spans="1:44" ht="30" hidden="1">
      <c r="A1072" s="38" t="str">
        <f t="shared" si="133"/>
        <v>Essential</v>
      </c>
      <c r="B1072" s="38" t="s">
        <v>720</v>
      </c>
      <c r="C1072" s="38" t="str">
        <f t="shared" si="138"/>
        <v>Other-ANNUAL FIRE MITIGATION INSPECTION</v>
      </c>
      <c r="D1072" s="38" t="str">
        <f t="shared" si="139"/>
        <v>Other-ROUTE Km's (000's)</v>
      </c>
      <c r="E1072" s="406"/>
      <c r="G1072" s="43" t="s">
        <v>485</v>
      </c>
      <c r="H1072" s="43" t="s">
        <v>1512</v>
      </c>
      <c r="I1072" s="41">
        <v>151.49100000000001</v>
      </c>
      <c r="J1072" s="41">
        <v>151.49100000000001</v>
      </c>
      <c r="K1072" s="41">
        <v>151.49100000000001</v>
      </c>
      <c r="L1072" s="41">
        <v>151.49100000000001</v>
      </c>
      <c r="M1072" s="41">
        <v>151.49100000000001</v>
      </c>
      <c r="N1072" s="41">
        <v>0</v>
      </c>
      <c r="O1072" s="41">
        <v>151.49100000000001</v>
      </c>
      <c r="P1072" s="41">
        <v>151.49100000000001</v>
      </c>
      <c r="Q1072" s="41">
        <v>151.49100000000001</v>
      </c>
      <c r="R1072" s="41">
        <v>151.49100000000001</v>
      </c>
      <c r="S1072" s="41">
        <v>29.6</v>
      </c>
      <c r="T1072" s="41">
        <v>30.46</v>
      </c>
      <c r="U1072" s="41">
        <v>31.31</v>
      </c>
      <c r="V1072" s="41">
        <v>32.17</v>
      </c>
      <c r="W1072" s="41">
        <v>33</v>
      </c>
      <c r="X1072" s="38">
        <v>1</v>
      </c>
      <c r="Y1072" s="38">
        <v>0</v>
      </c>
      <c r="Z1072" s="40">
        <v>0</v>
      </c>
      <c r="AA1072" s="40">
        <v>2235.9560000000001</v>
      </c>
      <c r="AB1072" s="40">
        <v>5531.3040000000001</v>
      </c>
      <c r="AC1072" s="40">
        <v>6849.9390000000003</v>
      </c>
      <c r="AD1072" s="40">
        <v>5968.9870000000001</v>
      </c>
      <c r="AE1072" s="40">
        <v>0</v>
      </c>
      <c r="AF1072" s="40">
        <v>0</v>
      </c>
      <c r="AG1072" s="40">
        <v>0</v>
      </c>
      <c r="AH1072" s="40">
        <v>0</v>
      </c>
      <c r="AI1072" s="40">
        <v>0</v>
      </c>
      <c r="AK1072" s="53">
        <f t="shared" si="140"/>
        <v>605.96400000000006</v>
      </c>
      <c r="AL1072" s="54">
        <f t="shared" si="141"/>
        <v>20586.186000000002</v>
      </c>
      <c r="AM1072" s="54">
        <f t="shared" si="142"/>
        <v>0</v>
      </c>
      <c r="AN1072" s="123">
        <f t="shared" si="143"/>
        <v>20586.186000000002</v>
      </c>
      <c r="AO1072" s="119" t="s">
        <v>1389</v>
      </c>
      <c r="AP1072" s="38" t="str">
        <f t="shared" si="144"/>
        <v>OH</v>
      </c>
      <c r="AR1072" s="38"/>
    </row>
    <row r="1073" spans="1:44" ht="30" hidden="1">
      <c r="A1073" s="38" t="str">
        <f t="shared" si="133"/>
        <v>Essential</v>
      </c>
      <c r="B1073" s="38" t="s">
        <v>720</v>
      </c>
      <c r="C1073" s="38" t="str">
        <f t="shared" si="138"/>
        <v>Other-ASSET CATEGORY (DNSP TO NOMINATE)</v>
      </c>
      <c r="D1073" s="38" t="str">
        <f t="shared" si="139"/>
        <v>Other-DNSP TO NOMINATE</v>
      </c>
      <c r="E1073" s="407"/>
      <c r="F1073" s="43" t="s">
        <v>433</v>
      </c>
      <c r="G1073" s="43" t="s">
        <v>432</v>
      </c>
      <c r="H1073" s="43" t="s">
        <v>411</v>
      </c>
      <c r="Z1073" s="40" t="s">
        <v>338</v>
      </c>
      <c r="AA1073" s="40" t="s">
        <v>338</v>
      </c>
      <c r="AB1073" s="40" t="s">
        <v>338</v>
      </c>
      <c r="AC1073" s="40" t="s">
        <v>338</v>
      </c>
      <c r="AD1073" s="40" t="s">
        <v>338</v>
      </c>
      <c r="AE1073" s="40" t="s">
        <v>338</v>
      </c>
      <c r="AF1073" s="40" t="s">
        <v>338</v>
      </c>
      <c r="AG1073" s="40" t="s">
        <v>338</v>
      </c>
      <c r="AH1073" s="40" t="s">
        <v>338</v>
      </c>
      <c r="AI1073" s="40" t="s">
        <v>338</v>
      </c>
      <c r="AK1073" s="53">
        <f t="shared" si="140"/>
        <v>0</v>
      </c>
      <c r="AL1073" s="54">
        <f t="shared" si="141"/>
        <v>0</v>
      </c>
      <c r="AM1073" s="54">
        <f t="shared" si="142"/>
        <v>0</v>
      </c>
      <c r="AN1073" s="123">
        <f t="shared" si="143"/>
        <v>0</v>
      </c>
      <c r="AO1073" s="119" t="s">
        <v>1389</v>
      </c>
      <c r="AP1073" s="38" t="str">
        <f t="shared" si="144"/>
        <v>Exclude</v>
      </c>
      <c r="AR1073" s="38"/>
    </row>
    <row r="1074" spans="1:44">
      <c r="M1074" s="38"/>
      <c r="N1074" s="38"/>
      <c r="O1074" s="38"/>
      <c r="P1074" s="38"/>
      <c r="Q1074" s="38"/>
      <c r="R1074" s="122"/>
      <c r="S1074" s="38"/>
      <c r="T1074" s="38"/>
      <c r="U1074" s="38"/>
      <c r="V1074" s="38"/>
      <c r="W1074" s="38"/>
      <c r="Z1074" s="38"/>
      <c r="AA1074" s="38"/>
      <c r="AB1074" s="38"/>
      <c r="AC1074" s="38"/>
      <c r="AD1074" s="38"/>
      <c r="AE1074" s="38"/>
      <c r="AF1074" s="38"/>
      <c r="AG1074" s="38"/>
      <c r="AH1074" s="38"/>
      <c r="AI1074" s="38"/>
      <c r="AN1074" s="38"/>
      <c r="AO1074" s="38"/>
      <c r="AR1074" s="38"/>
    </row>
    <row r="1075" spans="1:44">
      <c r="M1075" s="38"/>
      <c r="N1075" s="38"/>
      <c r="O1075" s="38"/>
      <c r="P1075" s="38"/>
      <c r="Q1075" s="38"/>
      <c r="R1075" s="122"/>
      <c r="S1075" s="38"/>
      <c r="T1075" s="38"/>
      <c r="U1075" s="38"/>
      <c r="V1075" s="38"/>
      <c r="W1075" s="38"/>
      <c r="Z1075" s="38"/>
      <c r="AA1075" s="38"/>
      <c r="AB1075" s="38"/>
      <c r="AC1075" s="38"/>
      <c r="AD1075" s="38"/>
      <c r="AE1075" s="38"/>
      <c r="AF1075" s="38"/>
      <c r="AG1075" s="38"/>
      <c r="AH1075" s="38"/>
      <c r="AI1075" s="38"/>
      <c r="AN1075" s="38"/>
      <c r="AO1075" s="38"/>
      <c r="AR1075" s="38"/>
    </row>
    <row r="1076" spans="1:44">
      <c r="M1076" s="38"/>
      <c r="N1076" s="38"/>
      <c r="O1076" s="40"/>
      <c r="P1076" s="40"/>
      <c r="Q1076" s="40"/>
      <c r="R1076" s="40"/>
      <c r="S1076"/>
      <c r="T1076" s="38"/>
      <c r="U1076" s="38"/>
      <c r="V1076" s="43"/>
      <c r="W1076" s="38"/>
      <c r="Z1076" s="38"/>
      <c r="AA1076" s="38"/>
      <c r="AB1076" s="38"/>
      <c r="AC1076" s="38"/>
      <c r="AD1076" s="38"/>
      <c r="AE1076" s="38"/>
      <c r="AF1076" s="38"/>
      <c r="AG1076" s="38"/>
      <c r="AH1076" s="38"/>
      <c r="AI1076" s="38"/>
      <c r="AN1076" s="38"/>
      <c r="AO1076" s="38"/>
      <c r="AR1076" s="38"/>
    </row>
    <row r="1077" spans="1:44">
      <c r="M1077" s="38"/>
      <c r="N1077" s="38"/>
      <c r="O1077" s="40"/>
      <c r="P1077" s="40"/>
      <c r="Q1077" s="40"/>
      <c r="R1077" s="40"/>
      <c r="S1077" s="40"/>
      <c r="T1077" s="40"/>
      <c r="U1077" s="40"/>
      <c r="V1077" s="40"/>
      <c r="W1077" s="40"/>
      <c r="X1077" s="40"/>
      <c r="Z1077" s="38"/>
      <c r="AA1077" s="38"/>
      <c r="AB1077" s="38"/>
      <c r="AC1077" s="122"/>
      <c r="AD1077"/>
      <c r="AE1077" s="38"/>
      <c r="AF1077" s="38"/>
      <c r="AG1077" s="43"/>
      <c r="AH1077" s="38"/>
      <c r="AI1077" s="38"/>
      <c r="AN1077" s="38"/>
      <c r="AO1077" s="38"/>
      <c r="AR1077" s="38"/>
    </row>
    <row r="1078" spans="1:44">
      <c r="M1078" s="38"/>
      <c r="N1078" s="38"/>
      <c r="O1078" s="40"/>
      <c r="P1078" s="40"/>
      <c r="Q1078" s="40"/>
      <c r="R1078" s="40"/>
      <c r="S1078" s="40"/>
      <c r="T1078" s="40"/>
      <c r="U1078" s="40"/>
      <c r="V1078" s="40"/>
      <c r="W1078" s="40"/>
      <c r="X1078" s="40"/>
      <c r="Z1078" s="38"/>
      <c r="AA1078" s="38"/>
      <c r="AB1078" s="38"/>
      <c r="AC1078" s="122"/>
      <c r="AD1078"/>
      <c r="AE1078" s="38"/>
      <c r="AF1078" s="38"/>
      <c r="AG1078" s="43"/>
      <c r="AH1078" s="38"/>
      <c r="AI1078" s="38"/>
      <c r="AN1078" s="38"/>
      <c r="AO1078" s="38"/>
      <c r="AR1078" s="38"/>
    </row>
    <row r="1079" spans="1:44">
      <c r="M1079" s="38"/>
      <c r="N1079" s="38"/>
      <c r="O1079" s="40"/>
      <c r="P1079" s="40"/>
      <c r="Q1079" s="40"/>
      <c r="R1079" s="40"/>
      <c r="S1079" s="40"/>
      <c r="T1079" s="40"/>
      <c r="U1079" s="40"/>
      <c r="V1079" s="40"/>
      <c r="W1079" s="40"/>
      <c r="X1079" s="40"/>
      <c r="Z1079" s="38"/>
      <c r="AA1079" s="38"/>
      <c r="AB1079" s="38"/>
      <c r="AC1079" s="122"/>
      <c r="AD1079"/>
      <c r="AE1079" s="38"/>
      <c r="AF1079" s="38"/>
      <c r="AG1079" s="43"/>
      <c r="AH1079" s="38"/>
      <c r="AI1079" s="38"/>
      <c r="AN1079" s="38"/>
      <c r="AO1079" s="38"/>
      <c r="AR1079" s="38"/>
    </row>
    <row r="1080" spans="1:44">
      <c r="M1080" s="38"/>
      <c r="N1080" s="38"/>
      <c r="O1080" s="40"/>
      <c r="P1080" s="40"/>
      <c r="Q1080" s="40"/>
      <c r="R1080" s="40"/>
      <c r="S1080" s="40"/>
      <c r="T1080" s="40"/>
      <c r="U1080" s="40"/>
      <c r="V1080" s="40"/>
      <c r="W1080" s="40"/>
      <c r="X1080" s="40"/>
      <c r="Z1080" s="38"/>
      <c r="AA1080" s="38"/>
      <c r="AB1080" s="38"/>
      <c r="AC1080" s="122"/>
      <c r="AD1080"/>
      <c r="AE1080" s="38"/>
      <c r="AF1080" s="38"/>
      <c r="AG1080" s="43"/>
      <c r="AH1080" s="38"/>
      <c r="AI1080" s="38"/>
      <c r="AN1080" s="38"/>
      <c r="AO1080" s="38"/>
      <c r="AR1080" s="38"/>
    </row>
    <row r="1081" spans="1:44">
      <c r="M1081" s="38"/>
      <c r="N1081" s="38"/>
      <c r="O1081" s="40"/>
      <c r="P1081" s="40"/>
      <c r="Q1081" s="40"/>
      <c r="R1081" s="40"/>
      <c r="S1081" s="40"/>
      <c r="T1081" s="40"/>
      <c r="U1081" s="40"/>
      <c r="V1081" s="40"/>
      <c r="W1081" s="40"/>
      <c r="X1081" s="40"/>
      <c r="Z1081" s="38"/>
      <c r="AA1081" s="38"/>
      <c r="AB1081" s="38"/>
      <c r="AC1081" s="122"/>
      <c r="AD1081"/>
      <c r="AE1081" s="38"/>
      <c r="AF1081" s="38"/>
      <c r="AG1081" s="43"/>
      <c r="AH1081" s="38"/>
      <c r="AI1081" s="38"/>
      <c r="AN1081" s="38"/>
      <c r="AO1081" s="38"/>
      <c r="AR1081" s="38"/>
    </row>
    <row r="1082" spans="1:44">
      <c r="M1082" s="38"/>
      <c r="N1082" s="38"/>
      <c r="O1082" s="40"/>
      <c r="P1082" s="40"/>
      <c r="Q1082" s="40"/>
      <c r="R1082" s="40"/>
      <c r="S1082" s="40"/>
      <c r="T1082" s="40"/>
      <c r="U1082" s="40"/>
      <c r="V1082" s="40"/>
      <c r="W1082" s="40"/>
      <c r="X1082" s="40"/>
      <c r="Z1082" s="38"/>
      <c r="AA1082" s="38"/>
      <c r="AB1082" s="38"/>
      <c r="AC1082" s="122"/>
      <c r="AD1082"/>
      <c r="AE1082" s="38"/>
      <c r="AF1082" s="38"/>
      <c r="AG1082" s="43"/>
      <c r="AH1082" s="38"/>
      <c r="AI1082" s="38"/>
      <c r="AN1082" s="38"/>
      <c r="AO1082" s="38"/>
      <c r="AR1082" s="38"/>
    </row>
    <row r="1083" spans="1:44">
      <c r="M1083" s="38"/>
      <c r="N1083" s="38"/>
      <c r="O1083" s="40"/>
      <c r="P1083" s="40"/>
      <c r="Q1083" s="40"/>
      <c r="R1083" s="40"/>
      <c r="S1083" s="40"/>
      <c r="T1083" s="40"/>
      <c r="U1083" s="40"/>
      <c r="V1083" s="40"/>
      <c r="W1083" s="40"/>
      <c r="X1083" s="40"/>
      <c r="Z1083" s="38"/>
      <c r="AA1083" s="38"/>
      <c r="AB1083" s="38"/>
      <c r="AC1083" s="122"/>
      <c r="AD1083"/>
      <c r="AE1083" s="38"/>
      <c r="AF1083" s="38"/>
      <c r="AG1083" s="43"/>
      <c r="AH1083" s="38"/>
      <c r="AI1083" s="38"/>
      <c r="AN1083" s="38"/>
      <c r="AO1083" s="38"/>
      <c r="AR1083" s="38"/>
    </row>
    <row r="1084" spans="1:44">
      <c r="M1084" s="38"/>
      <c r="N1084" s="38"/>
      <c r="O1084" s="40"/>
      <c r="P1084" s="40"/>
      <c r="Q1084" s="40"/>
      <c r="R1084" s="40"/>
      <c r="S1084" s="40"/>
      <c r="T1084" s="40"/>
      <c r="U1084" s="40"/>
      <c r="V1084" s="40"/>
      <c r="W1084" s="40"/>
      <c r="X1084" s="40"/>
      <c r="Z1084" s="38"/>
      <c r="AA1084" s="38"/>
      <c r="AB1084" s="38"/>
      <c r="AC1084" s="122"/>
      <c r="AD1084"/>
      <c r="AE1084" s="38"/>
      <c r="AF1084" s="38"/>
      <c r="AG1084" s="43"/>
      <c r="AH1084" s="38"/>
      <c r="AI1084" s="38"/>
      <c r="AN1084" s="38"/>
      <c r="AO1084" s="38"/>
      <c r="AR1084" s="38"/>
    </row>
    <row r="1085" spans="1:44">
      <c r="M1085" s="38"/>
      <c r="N1085" s="38"/>
      <c r="O1085" s="40"/>
      <c r="P1085" s="40"/>
      <c r="Q1085" s="40"/>
      <c r="R1085" s="40"/>
      <c r="S1085" s="40"/>
      <c r="T1085" s="40"/>
      <c r="U1085" s="40"/>
      <c r="V1085" s="40"/>
      <c r="W1085" s="40"/>
      <c r="X1085" s="40"/>
      <c r="Z1085" s="38"/>
      <c r="AA1085" s="38"/>
      <c r="AB1085" s="38"/>
      <c r="AC1085" s="122"/>
      <c r="AD1085"/>
      <c r="AE1085" s="38"/>
      <c r="AF1085" s="38"/>
      <c r="AG1085" s="43"/>
      <c r="AH1085" s="38"/>
      <c r="AI1085" s="38"/>
      <c r="AN1085" s="38"/>
      <c r="AO1085" s="38"/>
      <c r="AR1085" s="38"/>
    </row>
    <row r="1086" spans="1:44">
      <c r="M1086" s="38"/>
      <c r="N1086" s="38"/>
      <c r="O1086" s="40"/>
      <c r="P1086" s="40"/>
      <c r="Q1086" s="40"/>
      <c r="R1086" s="40"/>
      <c r="S1086" s="40"/>
      <c r="T1086" s="40"/>
      <c r="U1086" s="40"/>
      <c r="V1086" s="40"/>
      <c r="W1086" s="40"/>
      <c r="X1086" s="40"/>
      <c r="Z1086" s="38"/>
      <c r="AA1086" s="38"/>
      <c r="AB1086" s="38"/>
      <c r="AC1086" s="122"/>
      <c r="AD1086"/>
      <c r="AE1086" s="38"/>
      <c r="AF1086" s="38"/>
      <c r="AG1086" s="43"/>
      <c r="AH1086" s="38"/>
      <c r="AI1086" s="38"/>
      <c r="AN1086" s="38"/>
      <c r="AO1086" s="38"/>
      <c r="AR1086" s="38"/>
    </row>
    <row r="1087" spans="1:44">
      <c r="M1087" s="38"/>
      <c r="N1087" s="38"/>
      <c r="O1087" s="40"/>
      <c r="P1087" s="40"/>
      <c r="Q1087" s="40"/>
      <c r="R1087" s="40"/>
      <c r="S1087" s="40"/>
      <c r="T1087" s="40"/>
      <c r="U1087" s="40"/>
      <c r="V1087" s="40"/>
      <c r="W1087" s="40"/>
      <c r="X1087" s="40"/>
      <c r="Z1087" s="38"/>
      <c r="AA1087" s="38"/>
      <c r="AB1087" s="38"/>
      <c r="AC1087" s="122"/>
      <c r="AD1087"/>
      <c r="AE1087" s="38"/>
      <c r="AF1087" s="38"/>
      <c r="AG1087" s="43"/>
      <c r="AH1087" s="38"/>
      <c r="AI1087" s="38"/>
      <c r="AN1087" s="38"/>
      <c r="AO1087" s="38"/>
      <c r="AR1087" s="38"/>
    </row>
    <row r="1088" spans="1:44">
      <c r="M1088" s="38"/>
      <c r="N1088" s="38"/>
      <c r="O1088" s="40"/>
      <c r="P1088" s="40"/>
      <c r="Q1088" s="40"/>
      <c r="R1088" s="40"/>
      <c r="S1088" s="40"/>
      <c r="T1088" s="40"/>
      <c r="U1088" s="40"/>
      <c r="V1088" s="40"/>
      <c r="W1088" s="40"/>
      <c r="X1088" s="40"/>
      <c r="Z1088" s="38"/>
      <c r="AA1088" s="38"/>
      <c r="AB1088" s="38"/>
      <c r="AC1088" s="122"/>
      <c r="AD1088"/>
      <c r="AE1088" s="38"/>
      <c r="AF1088" s="38"/>
      <c r="AG1088" s="43"/>
      <c r="AH1088" s="38"/>
      <c r="AI1088" s="38"/>
      <c r="AN1088" s="38"/>
      <c r="AO1088" s="38"/>
      <c r="AR1088" s="38"/>
    </row>
    <row r="1089" spans="13:44">
      <c r="M1089" s="38"/>
      <c r="N1089" s="38"/>
      <c r="O1089" s="40"/>
      <c r="P1089" s="40"/>
      <c r="Q1089" s="40"/>
      <c r="R1089" s="40"/>
      <c r="S1089" s="40"/>
      <c r="T1089" s="40"/>
      <c r="U1089" s="40"/>
      <c r="V1089" s="40"/>
      <c r="W1089" s="40"/>
      <c r="X1089" s="40"/>
      <c r="Z1089" s="38"/>
      <c r="AA1089" s="38"/>
      <c r="AB1089" s="38"/>
      <c r="AC1089" s="122"/>
      <c r="AD1089"/>
      <c r="AE1089" s="38"/>
      <c r="AF1089" s="38"/>
      <c r="AG1089" s="43"/>
      <c r="AH1089" s="38"/>
      <c r="AI1089" s="38"/>
      <c r="AN1089" s="38"/>
      <c r="AO1089" s="38"/>
      <c r="AR1089" s="38"/>
    </row>
    <row r="1090" spans="13:44">
      <c r="M1090" s="38"/>
      <c r="N1090" s="38"/>
      <c r="O1090" s="40"/>
      <c r="P1090" s="40"/>
      <c r="Q1090" s="40"/>
      <c r="R1090" s="40"/>
      <c r="S1090" s="40"/>
      <c r="T1090" s="40"/>
      <c r="U1090" s="40"/>
      <c r="V1090" s="40"/>
      <c r="W1090" s="40"/>
      <c r="X1090" s="40"/>
      <c r="Z1090" s="38"/>
      <c r="AA1090" s="38"/>
      <c r="AB1090" s="38"/>
      <c r="AC1090" s="122"/>
      <c r="AD1090"/>
      <c r="AE1090" s="38"/>
      <c r="AF1090" s="38"/>
      <c r="AG1090" s="43"/>
      <c r="AH1090" s="38"/>
      <c r="AI1090" s="38"/>
      <c r="AN1090" s="38"/>
      <c r="AO1090" s="38"/>
      <c r="AR1090" s="38"/>
    </row>
    <row r="1091" spans="13:44">
      <c r="M1091" s="38"/>
      <c r="N1091" s="38"/>
      <c r="O1091" s="40"/>
      <c r="P1091" s="40"/>
      <c r="Q1091" s="40"/>
      <c r="R1091" s="40"/>
      <c r="S1091" s="40"/>
      <c r="T1091" s="40"/>
      <c r="U1091" s="40"/>
      <c r="V1091" s="40"/>
      <c r="W1091" s="40"/>
      <c r="X1091" s="40"/>
      <c r="Z1091" s="38"/>
      <c r="AA1091" s="38"/>
      <c r="AB1091" s="38"/>
      <c r="AC1091" s="122"/>
      <c r="AD1091"/>
      <c r="AE1091" s="38"/>
      <c r="AF1091" s="38"/>
      <c r="AG1091" s="43"/>
      <c r="AH1091" s="38"/>
      <c r="AI1091" s="38"/>
      <c r="AN1091" s="38"/>
      <c r="AO1091" s="38"/>
      <c r="AR1091" s="38"/>
    </row>
    <row r="1092" spans="13:44">
      <c r="M1092" s="38"/>
      <c r="N1092" s="38"/>
      <c r="O1092" s="40"/>
      <c r="P1092" s="40"/>
      <c r="Q1092" s="40"/>
      <c r="R1092" s="40"/>
      <c r="S1092" s="40"/>
      <c r="T1092" s="40"/>
      <c r="U1092" s="40"/>
      <c r="V1092" s="40"/>
      <c r="W1092" s="40"/>
      <c r="X1092" s="40"/>
      <c r="Z1092" s="38"/>
      <c r="AA1092" s="38"/>
      <c r="AB1092" s="38"/>
      <c r="AC1092" s="122"/>
      <c r="AD1092"/>
      <c r="AE1092" s="38"/>
      <c r="AF1092" s="38"/>
      <c r="AG1092" s="43"/>
      <c r="AH1092" s="38"/>
      <c r="AI1092" s="38"/>
      <c r="AN1092" s="38"/>
      <c r="AO1092" s="38"/>
      <c r="AR1092" s="38"/>
    </row>
    <row r="1093" spans="13:44">
      <c r="M1093" s="38"/>
      <c r="N1093" s="38"/>
      <c r="O1093" s="40"/>
      <c r="P1093" s="40"/>
      <c r="Q1093" s="40"/>
      <c r="R1093" s="40"/>
      <c r="S1093" s="40"/>
      <c r="T1093" s="40"/>
      <c r="U1093" s="40"/>
      <c r="V1093" s="40"/>
      <c r="W1093" s="40"/>
      <c r="X1093" s="40"/>
      <c r="Z1093" s="38"/>
      <c r="AA1093" s="38"/>
      <c r="AB1093" s="38"/>
      <c r="AC1093" s="122"/>
      <c r="AD1093"/>
      <c r="AE1093" s="38"/>
      <c r="AF1093" s="38"/>
      <c r="AG1093" s="43"/>
      <c r="AH1093" s="38"/>
      <c r="AI1093" s="38"/>
      <c r="AN1093" s="38"/>
      <c r="AO1093" s="38"/>
      <c r="AR1093" s="38"/>
    </row>
    <row r="1094" spans="13:44">
      <c r="M1094" s="38"/>
      <c r="N1094" s="38"/>
      <c r="O1094" s="40"/>
      <c r="P1094" s="40"/>
      <c r="Q1094" s="40"/>
      <c r="R1094" s="40"/>
      <c r="S1094" s="40"/>
      <c r="T1094" s="40"/>
      <c r="U1094" s="40"/>
      <c r="V1094" s="40"/>
      <c r="W1094" s="40"/>
      <c r="X1094" s="40"/>
      <c r="Z1094" s="38"/>
      <c r="AA1094" s="38"/>
      <c r="AB1094" s="38"/>
      <c r="AC1094" s="122"/>
      <c r="AD1094"/>
      <c r="AE1094" s="38"/>
      <c r="AF1094" s="38"/>
      <c r="AG1094" s="43"/>
      <c r="AH1094" s="38"/>
      <c r="AI1094" s="38"/>
      <c r="AN1094" s="38"/>
      <c r="AO1094" s="38"/>
      <c r="AR1094" s="38"/>
    </row>
    <row r="1095" spans="13:44">
      <c r="M1095" s="38"/>
      <c r="N1095" s="38"/>
      <c r="O1095" s="40"/>
      <c r="P1095" s="40"/>
      <c r="Q1095" s="40"/>
      <c r="R1095" s="40"/>
      <c r="S1095" s="40"/>
      <c r="T1095" s="40"/>
      <c r="U1095" s="40"/>
      <c r="V1095" s="40"/>
      <c r="W1095" s="40"/>
      <c r="X1095" s="40"/>
      <c r="Z1095" s="38"/>
      <c r="AA1095" s="38"/>
      <c r="AB1095" s="38"/>
      <c r="AC1095" s="122"/>
      <c r="AD1095"/>
      <c r="AE1095" s="38"/>
      <c r="AF1095" s="38"/>
      <c r="AG1095" s="43"/>
      <c r="AH1095" s="38"/>
      <c r="AI1095" s="38"/>
      <c r="AN1095" s="38"/>
      <c r="AO1095" s="38"/>
      <c r="AR1095" s="38"/>
    </row>
    <row r="1096" spans="13:44">
      <c r="M1096" s="38"/>
      <c r="N1096" s="38"/>
      <c r="O1096" s="40"/>
      <c r="P1096" s="40"/>
      <c r="Q1096" s="40"/>
      <c r="R1096" s="40"/>
      <c r="S1096" s="40"/>
      <c r="T1096" s="40"/>
      <c r="U1096" s="40"/>
      <c r="V1096" s="40"/>
      <c r="W1096" s="40"/>
      <c r="X1096" s="40"/>
      <c r="Z1096" s="38"/>
      <c r="AA1096" s="38"/>
      <c r="AB1096" s="38"/>
      <c r="AC1096" s="122"/>
      <c r="AD1096"/>
      <c r="AE1096" s="38"/>
      <c r="AF1096" s="38"/>
      <c r="AG1096" s="43"/>
      <c r="AH1096" s="38"/>
      <c r="AI1096" s="38"/>
      <c r="AN1096" s="38"/>
      <c r="AO1096" s="38"/>
      <c r="AR1096" s="38"/>
    </row>
    <row r="1097" spans="13:44">
      <c r="M1097" s="38"/>
      <c r="N1097" s="38"/>
      <c r="O1097" s="40"/>
      <c r="P1097" s="40"/>
      <c r="Q1097" s="40"/>
      <c r="R1097" s="40"/>
      <c r="S1097" s="40"/>
      <c r="T1097" s="40"/>
      <c r="U1097" s="40"/>
      <c r="V1097" s="40"/>
      <c r="W1097" s="40"/>
      <c r="X1097" s="40"/>
      <c r="Z1097" s="38"/>
      <c r="AA1097" s="38"/>
      <c r="AB1097" s="38"/>
      <c r="AC1097" s="122"/>
      <c r="AD1097"/>
      <c r="AE1097" s="38"/>
      <c r="AF1097" s="38"/>
      <c r="AG1097" s="43"/>
      <c r="AH1097" s="38"/>
      <c r="AI1097" s="38"/>
      <c r="AN1097" s="38"/>
      <c r="AO1097" s="38"/>
      <c r="AR1097" s="38"/>
    </row>
    <row r="1098" spans="13:44">
      <c r="M1098" s="38"/>
      <c r="N1098" s="38"/>
      <c r="O1098" s="40"/>
      <c r="P1098" s="40"/>
      <c r="Q1098" s="40"/>
      <c r="R1098" s="40"/>
      <c r="S1098" s="40"/>
      <c r="T1098" s="40"/>
      <c r="U1098" s="40"/>
      <c r="V1098" s="40"/>
      <c r="W1098" s="40"/>
      <c r="X1098" s="40"/>
      <c r="Z1098" s="38"/>
      <c r="AA1098" s="38"/>
      <c r="AB1098" s="38"/>
      <c r="AC1098" s="122"/>
      <c r="AD1098"/>
      <c r="AE1098" s="38"/>
      <c r="AF1098" s="38"/>
      <c r="AG1098" s="43"/>
      <c r="AH1098" s="38"/>
      <c r="AI1098" s="38"/>
      <c r="AN1098" s="38"/>
      <c r="AO1098" s="38"/>
      <c r="AR1098" s="38"/>
    </row>
    <row r="1099" spans="13:44">
      <c r="M1099" s="38"/>
      <c r="N1099" s="38"/>
      <c r="O1099" s="40"/>
      <c r="P1099" s="40"/>
      <c r="Q1099" s="40"/>
      <c r="R1099" s="40"/>
      <c r="S1099" s="40"/>
      <c r="T1099" s="40"/>
      <c r="U1099" s="40"/>
      <c r="V1099" s="40"/>
      <c r="W1099" s="40"/>
      <c r="X1099" s="40"/>
      <c r="Z1099" s="38"/>
      <c r="AA1099" s="38"/>
      <c r="AB1099" s="38"/>
      <c r="AC1099" s="122"/>
      <c r="AD1099"/>
      <c r="AE1099" s="38"/>
      <c r="AF1099" s="38"/>
      <c r="AG1099" s="43"/>
      <c r="AH1099" s="38"/>
      <c r="AI1099" s="38"/>
      <c r="AN1099" s="38"/>
      <c r="AO1099" s="38"/>
      <c r="AR1099" s="38"/>
    </row>
    <row r="1100" spans="13:44">
      <c r="M1100" s="38"/>
      <c r="N1100" s="38"/>
      <c r="O1100" s="40"/>
      <c r="P1100" s="40"/>
      <c r="Q1100" s="40"/>
      <c r="R1100" s="40"/>
      <c r="S1100" s="40"/>
      <c r="T1100" s="40"/>
      <c r="U1100" s="40"/>
      <c r="V1100" s="40"/>
      <c r="W1100" s="40"/>
      <c r="X1100" s="40"/>
      <c r="Z1100" s="38"/>
      <c r="AA1100" s="38"/>
      <c r="AB1100" s="38"/>
      <c r="AC1100" s="122"/>
      <c r="AD1100"/>
      <c r="AE1100" s="38"/>
      <c r="AF1100" s="38"/>
      <c r="AG1100" s="43"/>
      <c r="AH1100" s="38"/>
      <c r="AI1100" s="38"/>
      <c r="AN1100" s="38"/>
      <c r="AO1100" s="38"/>
      <c r="AR1100" s="38"/>
    </row>
    <row r="1101" spans="13:44">
      <c r="M1101" s="38"/>
      <c r="N1101" s="38"/>
      <c r="O1101" s="40"/>
      <c r="P1101" s="40"/>
      <c r="Q1101" s="40"/>
      <c r="R1101" s="40"/>
      <c r="S1101" s="40"/>
      <c r="T1101" s="40"/>
      <c r="U1101" s="40"/>
      <c r="V1101" s="40"/>
      <c r="W1101" s="40"/>
      <c r="X1101" s="40"/>
      <c r="Z1101" s="38"/>
      <c r="AA1101" s="38"/>
      <c r="AB1101" s="38"/>
      <c r="AC1101" s="122"/>
      <c r="AD1101"/>
      <c r="AE1101" s="38"/>
      <c r="AF1101" s="38"/>
      <c r="AG1101" s="43"/>
      <c r="AH1101" s="38"/>
      <c r="AI1101" s="38"/>
      <c r="AN1101" s="38"/>
      <c r="AO1101" s="38"/>
      <c r="AR1101" s="38"/>
    </row>
    <row r="1102" spans="13:44">
      <c r="M1102" s="38"/>
      <c r="N1102" s="38"/>
      <c r="O1102" s="40"/>
      <c r="P1102" s="40"/>
      <c r="Q1102" s="40"/>
      <c r="R1102" s="40"/>
      <c r="S1102" s="40"/>
      <c r="T1102" s="40"/>
      <c r="U1102" s="40"/>
      <c r="V1102" s="40"/>
      <c r="W1102" s="40"/>
      <c r="X1102" s="40"/>
      <c r="Z1102" s="38"/>
      <c r="AA1102" s="38"/>
      <c r="AB1102" s="38"/>
      <c r="AC1102" s="122"/>
      <c r="AD1102"/>
      <c r="AE1102" s="38"/>
      <c r="AF1102" s="38"/>
      <c r="AG1102" s="43"/>
      <c r="AH1102" s="38"/>
      <c r="AI1102" s="38"/>
      <c r="AN1102" s="38"/>
      <c r="AO1102" s="38"/>
      <c r="AR1102" s="38"/>
    </row>
    <row r="1103" spans="13:44">
      <c r="M1103" s="38"/>
      <c r="N1103" s="38"/>
      <c r="O1103" s="40"/>
      <c r="P1103" s="40"/>
      <c r="Q1103" s="40"/>
      <c r="R1103" s="40"/>
      <c r="S1103" s="40"/>
      <c r="T1103" s="40"/>
      <c r="U1103" s="40"/>
      <c r="V1103" s="40"/>
      <c r="W1103" s="40"/>
      <c r="X1103" s="40"/>
      <c r="Z1103" s="38"/>
      <c r="AA1103" s="38"/>
      <c r="AB1103" s="38"/>
      <c r="AC1103" s="122"/>
      <c r="AD1103"/>
      <c r="AE1103" s="38"/>
      <c r="AF1103" s="38"/>
      <c r="AG1103" s="43"/>
      <c r="AH1103" s="38"/>
      <c r="AI1103" s="38"/>
      <c r="AN1103" s="38"/>
      <c r="AO1103" s="38"/>
      <c r="AR1103" s="38"/>
    </row>
    <row r="1104" spans="13:44">
      <c r="M1104" s="38"/>
      <c r="N1104" s="38"/>
      <c r="O1104" s="40"/>
      <c r="P1104" s="40"/>
      <c r="Q1104" s="40"/>
      <c r="R1104" s="40"/>
      <c r="S1104" s="40"/>
      <c r="T1104" s="40"/>
      <c r="U1104" s="40"/>
      <c r="V1104" s="40"/>
      <c r="W1104" s="40"/>
      <c r="X1104" s="40"/>
      <c r="Z1104" s="38"/>
      <c r="AA1104" s="38"/>
      <c r="AB1104" s="38"/>
      <c r="AC1104" s="122"/>
      <c r="AD1104"/>
      <c r="AE1104" s="38"/>
      <c r="AF1104" s="38"/>
      <c r="AG1104" s="43"/>
      <c r="AH1104" s="38"/>
      <c r="AI1104" s="38"/>
      <c r="AN1104" s="38"/>
      <c r="AO1104" s="38"/>
      <c r="AR1104" s="38"/>
    </row>
    <row r="1105" spans="13:44">
      <c r="M1105" s="38"/>
      <c r="N1105" s="38"/>
      <c r="O1105" s="40"/>
      <c r="P1105" s="40"/>
      <c r="Q1105" s="40"/>
      <c r="R1105" s="40"/>
      <c r="S1105" s="40"/>
      <c r="T1105" s="40"/>
      <c r="U1105" s="40"/>
      <c r="V1105" s="40"/>
      <c r="W1105" s="40"/>
      <c r="X1105" s="40"/>
      <c r="Z1105" s="38"/>
      <c r="AA1105" s="38"/>
      <c r="AB1105" s="38"/>
      <c r="AC1105" s="122"/>
      <c r="AD1105"/>
      <c r="AE1105" s="38"/>
      <c r="AF1105" s="38"/>
      <c r="AG1105" s="43"/>
      <c r="AH1105" s="38"/>
      <c r="AI1105" s="38"/>
      <c r="AN1105" s="38"/>
      <c r="AO1105" s="38"/>
      <c r="AR1105" s="38"/>
    </row>
    <row r="1106" spans="13:44">
      <c r="M1106" s="38"/>
      <c r="N1106" s="38"/>
      <c r="O1106" s="40"/>
      <c r="P1106" s="40"/>
      <c r="Q1106" s="40"/>
      <c r="R1106" s="40"/>
      <c r="S1106" s="40"/>
      <c r="T1106" s="40"/>
      <c r="U1106" s="40"/>
      <c r="V1106" s="40"/>
      <c r="W1106" s="40"/>
      <c r="X1106" s="40"/>
      <c r="Z1106" s="38"/>
      <c r="AA1106" s="38"/>
      <c r="AB1106" s="38"/>
      <c r="AC1106" s="122"/>
      <c r="AD1106"/>
      <c r="AE1106" s="38"/>
      <c r="AF1106" s="38"/>
      <c r="AG1106" s="43"/>
      <c r="AH1106" s="38"/>
      <c r="AI1106" s="38"/>
      <c r="AN1106" s="38"/>
      <c r="AO1106" s="38"/>
      <c r="AR1106" s="38"/>
    </row>
    <row r="1107" spans="13:44">
      <c r="M1107" s="38"/>
      <c r="N1107" s="38"/>
      <c r="O1107" s="40"/>
      <c r="P1107" s="40"/>
      <c r="Q1107" s="40"/>
      <c r="R1107" s="40"/>
      <c r="S1107" s="40"/>
      <c r="T1107" s="40"/>
      <c r="U1107" s="40"/>
      <c r="V1107" s="40"/>
      <c r="W1107" s="40"/>
      <c r="X1107" s="40"/>
      <c r="Z1107" s="38"/>
      <c r="AA1107" s="38"/>
      <c r="AB1107" s="38"/>
      <c r="AC1107" s="122"/>
      <c r="AD1107"/>
      <c r="AE1107" s="38"/>
      <c r="AF1107" s="38"/>
      <c r="AG1107" s="43"/>
      <c r="AH1107" s="38"/>
      <c r="AI1107" s="38"/>
      <c r="AN1107" s="38"/>
      <c r="AO1107" s="38"/>
      <c r="AR1107" s="38"/>
    </row>
    <row r="1108" spans="13:44">
      <c r="M1108" s="38"/>
      <c r="N1108" s="38"/>
      <c r="O1108" s="40"/>
      <c r="P1108" s="40"/>
      <c r="Q1108" s="40"/>
      <c r="R1108" s="40"/>
      <c r="S1108" s="40"/>
      <c r="T1108" s="40"/>
      <c r="U1108" s="40"/>
      <c r="V1108" s="40"/>
      <c r="W1108" s="40"/>
      <c r="X1108" s="40"/>
      <c r="Z1108" s="38"/>
      <c r="AA1108" s="38"/>
      <c r="AB1108" s="38"/>
      <c r="AC1108" s="122"/>
      <c r="AD1108"/>
      <c r="AE1108" s="38"/>
      <c r="AF1108" s="38"/>
      <c r="AG1108" s="43"/>
      <c r="AH1108" s="38"/>
      <c r="AI1108" s="38"/>
      <c r="AN1108" s="38"/>
      <c r="AO1108" s="38"/>
      <c r="AR1108" s="38"/>
    </row>
    <row r="1109" spans="13:44">
      <c r="M1109" s="38"/>
      <c r="N1109" s="38"/>
      <c r="O1109" s="40"/>
      <c r="P1109" s="40"/>
      <c r="Q1109" s="40"/>
      <c r="R1109" s="40"/>
      <c r="S1109" s="40"/>
      <c r="T1109" s="40"/>
      <c r="U1109" s="40"/>
      <c r="V1109" s="40"/>
      <c r="W1109" s="40"/>
      <c r="X1109" s="40"/>
      <c r="Z1109" s="38"/>
      <c r="AA1109" s="38"/>
      <c r="AB1109" s="38"/>
      <c r="AC1109" s="122"/>
      <c r="AD1109"/>
      <c r="AE1109" s="38"/>
      <c r="AF1109" s="38"/>
      <c r="AG1109" s="43"/>
      <c r="AH1109" s="38"/>
      <c r="AI1109" s="38"/>
      <c r="AN1109" s="38"/>
      <c r="AO1109" s="38"/>
      <c r="AR1109" s="38"/>
    </row>
    <row r="1110" spans="13:44">
      <c r="M1110" s="38"/>
      <c r="N1110" s="38"/>
      <c r="O1110" s="40"/>
      <c r="P1110" s="40"/>
      <c r="Q1110" s="40"/>
      <c r="R1110" s="40"/>
      <c r="S1110" s="40"/>
      <c r="T1110" s="40"/>
      <c r="U1110" s="40"/>
      <c r="V1110" s="40"/>
      <c r="W1110" s="40"/>
      <c r="X1110" s="40"/>
      <c r="Z1110" s="38"/>
      <c r="AA1110" s="38"/>
      <c r="AB1110" s="38"/>
      <c r="AC1110" s="122"/>
      <c r="AD1110"/>
      <c r="AE1110" s="38"/>
      <c r="AF1110" s="38"/>
      <c r="AG1110" s="43"/>
      <c r="AH1110" s="38"/>
      <c r="AI1110" s="38"/>
      <c r="AN1110" s="38"/>
      <c r="AO1110" s="38"/>
      <c r="AR1110" s="38"/>
    </row>
    <row r="1111" spans="13:44">
      <c r="M1111" s="38"/>
      <c r="N1111" s="38"/>
      <c r="O1111" s="40"/>
      <c r="P1111" s="40"/>
      <c r="Q1111" s="40"/>
      <c r="R1111" s="40"/>
      <c r="S1111" s="40"/>
      <c r="T1111" s="40"/>
      <c r="U1111" s="40"/>
      <c r="V1111" s="40"/>
      <c r="W1111" s="40"/>
      <c r="X1111" s="40"/>
      <c r="Z1111" s="38"/>
      <c r="AA1111" s="38"/>
      <c r="AB1111" s="38"/>
      <c r="AC1111" s="122"/>
      <c r="AD1111"/>
      <c r="AE1111" s="38"/>
      <c r="AF1111" s="38"/>
      <c r="AG1111" s="43"/>
      <c r="AH1111" s="38"/>
      <c r="AI1111" s="38"/>
      <c r="AN1111" s="38"/>
      <c r="AO1111" s="38"/>
      <c r="AR1111" s="38"/>
    </row>
    <row r="1112" spans="13:44">
      <c r="M1112" s="38"/>
      <c r="N1112" s="38"/>
      <c r="O1112" s="40"/>
      <c r="P1112" s="40"/>
      <c r="Q1112" s="40"/>
      <c r="R1112" s="40"/>
      <c r="S1112" s="40"/>
      <c r="T1112" s="40"/>
      <c r="U1112" s="40"/>
      <c r="V1112" s="40"/>
      <c r="W1112" s="40"/>
      <c r="X1112" s="40"/>
      <c r="Z1112" s="38"/>
      <c r="AA1112" s="38"/>
      <c r="AB1112" s="38"/>
      <c r="AC1112" s="122"/>
      <c r="AD1112"/>
      <c r="AE1112" s="38"/>
      <c r="AF1112" s="38"/>
      <c r="AG1112" s="43"/>
      <c r="AH1112" s="38"/>
      <c r="AI1112" s="38"/>
      <c r="AN1112" s="38"/>
      <c r="AO1112" s="38"/>
      <c r="AR1112" s="38"/>
    </row>
    <row r="1113" spans="13:44">
      <c r="M1113" s="38"/>
      <c r="N1113" s="38"/>
      <c r="O1113" s="40"/>
      <c r="P1113" s="40"/>
      <c r="Q1113" s="40"/>
      <c r="R1113" s="40"/>
      <c r="S1113" s="40"/>
      <c r="T1113" s="40"/>
      <c r="U1113" s="40"/>
      <c r="V1113" s="40"/>
      <c r="W1113" s="40"/>
      <c r="X1113" s="40"/>
      <c r="Z1113" s="38"/>
      <c r="AA1113" s="38"/>
      <c r="AB1113" s="38"/>
      <c r="AC1113" s="122"/>
      <c r="AD1113"/>
      <c r="AE1113" s="38"/>
      <c r="AF1113" s="38"/>
      <c r="AG1113" s="43"/>
      <c r="AH1113" s="38"/>
      <c r="AI1113" s="38"/>
      <c r="AN1113" s="38"/>
      <c r="AO1113" s="38"/>
      <c r="AR1113" s="38"/>
    </row>
    <row r="1114" spans="13:44">
      <c r="M1114" s="38"/>
      <c r="N1114" s="38"/>
      <c r="O1114" s="40"/>
      <c r="P1114" s="40"/>
      <c r="Q1114" s="40"/>
      <c r="R1114" s="40"/>
      <c r="S1114" s="40"/>
      <c r="T1114" s="40"/>
      <c r="U1114" s="40"/>
      <c r="V1114" s="40"/>
      <c r="W1114" s="40"/>
      <c r="X1114" s="40"/>
      <c r="Z1114" s="38"/>
      <c r="AA1114" s="38"/>
      <c r="AB1114" s="38"/>
      <c r="AC1114" s="122"/>
      <c r="AD1114"/>
      <c r="AE1114" s="38"/>
      <c r="AF1114" s="38"/>
      <c r="AG1114" s="43"/>
      <c r="AH1114" s="38"/>
      <c r="AI1114" s="38"/>
      <c r="AN1114" s="38"/>
      <c r="AO1114" s="38"/>
      <c r="AR1114" s="38"/>
    </row>
    <row r="1115" spans="13:44">
      <c r="M1115" s="38"/>
      <c r="N1115" s="38"/>
      <c r="O1115" s="40"/>
      <c r="P1115" s="40"/>
      <c r="Q1115" s="40"/>
      <c r="R1115" s="40"/>
      <c r="S1115" s="40"/>
      <c r="T1115" s="40"/>
      <c r="U1115" s="40"/>
      <c r="V1115" s="40"/>
      <c r="W1115" s="40"/>
      <c r="X1115" s="40"/>
      <c r="Z1115" s="38"/>
      <c r="AA1115" s="38"/>
      <c r="AB1115" s="38"/>
      <c r="AC1115" s="122"/>
      <c r="AD1115"/>
      <c r="AE1115" s="38"/>
      <c r="AF1115" s="38"/>
      <c r="AG1115" s="43"/>
      <c r="AH1115" s="38"/>
      <c r="AI1115" s="38"/>
      <c r="AN1115" s="38"/>
      <c r="AO1115" s="38"/>
      <c r="AR1115" s="38"/>
    </row>
    <row r="1116" spans="13:44">
      <c r="M1116" s="38"/>
      <c r="N1116" s="38"/>
      <c r="O1116" s="40"/>
      <c r="P1116" s="40"/>
      <c r="Q1116" s="40"/>
      <c r="R1116" s="40"/>
      <c r="S1116" s="40"/>
      <c r="T1116" s="40"/>
      <c r="U1116" s="40"/>
      <c r="V1116" s="40"/>
      <c r="W1116" s="40"/>
      <c r="X1116" s="40"/>
      <c r="Z1116" s="38"/>
      <c r="AA1116" s="38"/>
      <c r="AB1116" s="38"/>
      <c r="AC1116" s="122"/>
      <c r="AD1116"/>
      <c r="AE1116" s="38"/>
      <c r="AF1116" s="38"/>
      <c r="AG1116" s="43"/>
      <c r="AH1116" s="38"/>
      <c r="AI1116" s="38"/>
      <c r="AN1116" s="38"/>
      <c r="AO1116" s="38"/>
      <c r="AR1116" s="38"/>
    </row>
    <row r="1117" spans="13:44">
      <c r="M1117" s="38"/>
      <c r="N1117" s="38"/>
      <c r="O1117" s="40"/>
      <c r="P1117" s="40"/>
      <c r="Q1117" s="40"/>
      <c r="R1117" s="40"/>
      <c r="S1117" s="40"/>
      <c r="T1117" s="40"/>
      <c r="U1117" s="40"/>
      <c r="V1117" s="40"/>
      <c r="W1117" s="40"/>
      <c r="X1117" s="40"/>
      <c r="Z1117" s="38"/>
      <c r="AA1117" s="38"/>
      <c r="AB1117" s="38"/>
      <c r="AC1117" s="122"/>
      <c r="AD1117"/>
      <c r="AE1117" s="38"/>
      <c r="AF1117" s="38"/>
      <c r="AG1117" s="43"/>
      <c r="AH1117" s="38"/>
      <c r="AI1117" s="38"/>
      <c r="AN1117" s="38"/>
      <c r="AO1117" s="38"/>
      <c r="AR1117" s="38"/>
    </row>
    <row r="1118" spans="13:44">
      <c r="M1118" s="38"/>
      <c r="N1118" s="38"/>
      <c r="O1118" s="40"/>
      <c r="P1118" s="40"/>
      <c r="Q1118" s="40"/>
      <c r="R1118" s="40"/>
      <c r="S1118" s="40"/>
      <c r="T1118" s="40"/>
      <c r="U1118" s="40"/>
      <c r="V1118" s="40"/>
      <c r="W1118" s="40"/>
      <c r="X1118" s="40"/>
      <c r="Z1118" s="38"/>
      <c r="AA1118" s="38"/>
      <c r="AB1118" s="38"/>
      <c r="AC1118" s="122"/>
      <c r="AD1118"/>
      <c r="AE1118" s="38"/>
      <c r="AF1118" s="38"/>
      <c r="AG1118" s="43"/>
      <c r="AH1118" s="38"/>
      <c r="AI1118" s="38"/>
      <c r="AN1118" s="38"/>
      <c r="AO1118" s="38"/>
      <c r="AR1118" s="38"/>
    </row>
    <row r="1119" spans="13:44">
      <c r="M1119" s="38"/>
      <c r="N1119" s="38"/>
      <c r="O1119" s="40"/>
      <c r="P1119" s="40"/>
      <c r="Q1119" s="40"/>
      <c r="R1119" s="40"/>
      <c r="S1119" s="40"/>
      <c r="T1119" s="40"/>
      <c r="U1119" s="40"/>
      <c r="V1119" s="40"/>
      <c r="W1119" s="40"/>
      <c r="X1119" s="40"/>
      <c r="Z1119" s="38"/>
      <c r="AA1119" s="38"/>
      <c r="AB1119" s="38"/>
      <c r="AC1119" s="122"/>
      <c r="AD1119"/>
      <c r="AE1119" s="38"/>
      <c r="AF1119" s="38"/>
      <c r="AG1119" s="43"/>
      <c r="AH1119" s="38"/>
      <c r="AI1119" s="38"/>
      <c r="AN1119" s="38"/>
      <c r="AO1119" s="38"/>
      <c r="AR1119" s="38"/>
    </row>
    <row r="1120" spans="13:44">
      <c r="M1120" s="38"/>
      <c r="N1120" s="38"/>
      <c r="O1120" s="40"/>
      <c r="P1120" s="40"/>
      <c r="Q1120" s="40"/>
      <c r="R1120" s="40"/>
      <c r="S1120" s="40"/>
      <c r="T1120" s="40"/>
      <c r="U1120" s="40"/>
      <c r="V1120" s="40"/>
      <c r="W1120" s="40"/>
      <c r="X1120" s="40"/>
      <c r="Z1120" s="38"/>
      <c r="AA1120" s="38"/>
      <c r="AB1120" s="38"/>
      <c r="AC1120" s="122"/>
      <c r="AD1120"/>
      <c r="AE1120" s="38"/>
      <c r="AF1120" s="38"/>
      <c r="AG1120" s="43"/>
      <c r="AH1120" s="38"/>
      <c r="AI1120" s="38"/>
      <c r="AN1120" s="38"/>
      <c r="AO1120" s="38"/>
      <c r="AR1120" s="38"/>
    </row>
    <row r="1121" spans="13:44">
      <c r="M1121" s="38"/>
      <c r="N1121" s="38"/>
      <c r="O1121" s="40"/>
      <c r="P1121" s="40"/>
      <c r="Q1121" s="40"/>
      <c r="R1121" s="40"/>
      <c r="S1121" s="40"/>
      <c r="T1121" s="40"/>
      <c r="U1121" s="40"/>
      <c r="V1121" s="40"/>
      <c r="W1121" s="40"/>
      <c r="X1121" s="40"/>
      <c r="Z1121" s="38"/>
      <c r="AA1121" s="38"/>
      <c r="AB1121" s="38"/>
      <c r="AC1121" s="122"/>
      <c r="AD1121"/>
      <c r="AE1121" s="38"/>
      <c r="AF1121" s="38"/>
      <c r="AG1121" s="43"/>
      <c r="AH1121" s="38"/>
      <c r="AI1121" s="38"/>
      <c r="AN1121" s="38"/>
      <c r="AO1121" s="38"/>
      <c r="AR1121" s="38"/>
    </row>
    <row r="1122" spans="13:44">
      <c r="M1122" s="38"/>
      <c r="N1122" s="38"/>
      <c r="O1122" s="40"/>
      <c r="P1122" s="40"/>
      <c r="Q1122" s="40"/>
      <c r="R1122" s="40"/>
      <c r="S1122" s="40"/>
      <c r="T1122" s="40"/>
      <c r="U1122" s="40"/>
      <c r="V1122" s="40"/>
      <c r="W1122" s="40"/>
      <c r="X1122" s="40"/>
      <c r="Z1122" s="38"/>
      <c r="AA1122" s="38"/>
      <c r="AB1122" s="38"/>
      <c r="AC1122" s="122"/>
      <c r="AD1122"/>
      <c r="AE1122" s="38"/>
      <c r="AF1122" s="38"/>
      <c r="AG1122" s="43"/>
      <c r="AH1122" s="38"/>
      <c r="AI1122" s="38"/>
      <c r="AN1122" s="38"/>
      <c r="AO1122" s="38"/>
      <c r="AR1122" s="38"/>
    </row>
    <row r="1123" spans="13:44">
      <c r="M1123" s="38"/>
      <c r="N1123" s="38"/>
      <c r="O1123" s="40"/>
      <c r="P1123" s="40"/>
      <c r="Q1123" s="40"/>
      <c r="R1123" s="40"/>
      <c r="S1123" s="40"/>
      <c r="T1123" s="40"/>
      <c r="U1123" s="40"/>
      <c r="V1123" s="40"/>
      <c r="W1123" s="40"/>
      <c r="X1123" s="40"/>
      <c r="Z1123" s="38"/>
      <c r="AA1123" s="38"/>
      <c r="AB1123" s="38"/>
      <c r="AC1123" s="122"/>
      <c r="AD1123"/>
      <c r="AE1123" s="38"/>
      <c r="AF1123" s="38"/>
      <c r="AG1123" s="43"/>
      <c r="AH1123" s="38"/>
      <c r="AI1123" s="38"/>
      <c r="AN1123" s="38"/>
      <c r="AO1123" s="38"/>
      <c r="AR1123" s="38"/>
    </row>
    <row r="1124" spans="13:44">
      <c r="M1124" s="38"/>
      <c r="N1124" s="38"/>
      <c r="O1124" s="40"/>
      <c r="P1124" s="40"/>
      <c r="Q1124" s="40"/>
      <c r="R1124" s="40"/>
      <c r="S1124" s="40"/>
      <c r="T1124" s="40"/>
      <c r="U1124" s="40"/>
      <c r="V1124" s="40"/>
      <c r="W1124" s="40"/>
      <c r="X1124" s="40"/>
      <c r="Z1124" s="38"/>
      <c r="AA1124" s="38"/>
      <c r="AB1124" s="38"/>
      <c r="AC1124" s="122"/>
      <c r="AD1124"/>
      <c r="AE1124" s="38"/>
      <c r="AF1124" s="38"/>
      <c r="AG1124" s="43"/>
      <c r="AH1124" s="38"/>
      <c r="AI1124" s="38"/>
      <c r="AN1124" s="38"/>
      <c r="AO1124" s="38"/>
      <c r="AR1124" s="38"/>
    </row>
    <row r="1125" spans="13:44">
      <c r="M1125" s="38"/>
      <c r="N1125" s="38"/>
      <c r="O1125" s="40"/>
      <c r="P1125" s="40"/>
      <c r="Q1125" s="40"/>
      <c r="R1125" s="40"/>
      <c r="S1125" s="40"/>
      <c r="T1125" s="40"/>
      <c r="U1125" s="40"/>
      <c r="V1125" s="40"/>
      <c r="W1125" s="40"/>
      <c r="X1125" s="40"/>
      <c r="Z1125" s="38"/>
      <c r="AA1125" s="38"/>
      <c r="AB1125" s="38"/>
      <c r="AC1125" s="122"/>
      <c r="AD1125"/>
      <c r="AE1125" s="38"/>
      <c r="AF1125" s="38"/>
      <c r="AG1125" s="43"/>
      <c r="AH1125" s="38"/>
      <c r="AI1125" s="38"/>
      <c r="AN1125" s="38"/>
      <c r="AO1125" s="38"/>
      <c r="AR1125" s="38"/>
    </row>
    <row r="1126" spans="13:44">
      <c r="M1126" s="38"/>
      <c r="N1126" s="38"/>
      <c r="O1126" s="40"/>
      <c r="P1126" s="40"/>
      <c r="Q1126" s="40"/>
      <c r="R1126" s="40"/>
      <c r="S1126" s="40"/>
      <c r="T1126" s="40"/>
      <c r="U1126" s="40"/>
      <c r="V1126" s="40"/>
      <c r="W1126" s="40"/>
      <c r="X1126" s="40"/>
      <c r="Z1126" s="38"/>
      <c r="AA1126" s="38"/>
      <c r="AB1126" s="38"/>
      <c r="AC1126" s="122"/>
      <c r="AD1126"/>
      <c r="AE1126" s="38"/>
      <c r="AF1126" s="38"/>
      <c r="AG1126" s="43"/>
      <c r="AH1126" s="38"/>
      <c r="AI1126" s="38"/>
      <c r="AN1126" s="38"/>
      <c r="AO1126" s="38"/>
      <c r="AR1126" s="38"/>
    </row>
    <row r="1127" spans="13:44">
      <c r="M1127" s="38"/>
      <c r="N1127" s="38"/>
      <c r="O1127" s="40"/>
      <c r="P1127" s="40"/>
      <c r="Q1127" s="40"/>
      <c r="R1127" s="40"/>
      <c r="S1127" s="40"/>
      <c r="T1127" s="40"/>
      <c r="U1127" s="40"/>
      <c r="V1127" s="40"/>
      <c r="W1127" s="40"/>
      <c r="X1127" s="40"/>
      <c r="Z1127" s="38"/>
      <c r="AA1127" s="38"/>
      <c r="AB1127" s="38"/>
      <c r="AC1127" s="122"/>
      <c r="AD1127"/>
      <c r="AE1127" s="38"/>
      <c r="AF1127" s="38"/>
      <c r="AG1127" s="43"/>
      <c r="AH1127" s="38"/>
      <c r="AI1127" s="38"/>
      <c r="AN1127" s="38"/>
      <c r="AO1127" s="38"/>
      <c r="AR1127" s="38"/>
    </row>
    <row r="1128" spans="13:44">
      <c r="M1128" s="38"/>
      <c r="N1128" s="38"/>
      <c r="O1128" s="40"/>
      <c r="P1128" s="40"/>
      <c r="Q1128" s="40"/>
      <c r="R1128" s="40"/>
      <c r="S1128" s="40"/>
      <c r="T1128" s="40"/>
      <c r="U1128" s="40"/>
      <c r="V1128" s="40"/>
      <c r="W1128" s="40"/>
      <c r="X1128" s="40"/>
      <c r="Z1128" s="38"/>
      <c r="AA1128" s="38"/>
      <c r="AB1128" s="38"/>
      <c r="AC1128" s="122"/>
      <c r="AD1128"/>
      <c r="AE1128" s="38"/>
      <c r="AF1128" s="38"/>
      <c r="AG1128" s="43"/>
      <c r="AH1128" s="38"/>
      <c r="AI1128" s="38"/>
      <c r="AN1128" s="38"/>
      <c r="AO1128" s="38"/>
      <c r="AR1128" s="38"/>
    </row>
    <row r="1129" spans="13:44">
      <c r="M1129" s="38"/>
      <c r="N1129" s="38"/>
      <c r="O1129" s="40"/>
      <c r="P1129" s="40"/>
      <c r="Q1129" s="40"/>
      <c r="R1129" s="40"/>
      <c r="S1129" s="40"/>
      <c r="T1129" s="40"/>
      <c r="U1129" s="40"/>
      <c r="V1129" s="40"/>
      <c r="W1129" s="40"/>
      <c r="X1129" s="40"/>
      <c r="Z1129" s="38"/>
      <c r="AA1129" s="38"/>
      <c r="AB1129" s="38"/>
      <c r="AC1129" s="122"/>
      <c r="AD1129"/>
      <c r="AE1129" s="38"/>
      <c r="AF1129" s="38"/>
      <c r="AG1129" s="43"/>
      <c r="AH1129" s="38"/>
      <c r="AI1129" s="38"/>
      <c r="AN1129" s="38"/>
      <c r="AO1129" s="38"/>
      <c r="AR1129" s="38"/>
    </row>
    <row r="1130" spans="13:44">
      <c r="M1130" s="38"/>
      <c r="N1130" s="38"/>
      <c r="O1130" s="40"/>
      <c r="P1130" s="40"/>
      <c r="Q1130" s="40"/>
      <c r="R1130" s="40"/>
      <c r="S1130" s="40"/>
      <c r="T1130" s="40"/>
      <c r="U1130" s="40"/>
      <c r="V1130" s="40"/>
      <c r="W1130" s="40"/>
      <c r="X1130" s="40"/>
      <c r="Z1130" s="38"/>
      <c r="AA1130" s="38"/>
      <c r="AB1130" s="38"/>
      <c r="AC1130" s="122"/>
      <c r="AD1130"/>
      <c r="AE1130" s="38"/>
      <c r="AF1130" s="38"/>
      <c r="AG1130" s="43"/>
      <c r="AH1130" s="38"/>
      <c r="AI1130" s="38"/>
      <c r="AN1130" s="38"/>
      <c r="AO1130" s="38"/>
      <c r="AR1130" s="38"/>
    </row>
    <row r="1131" spans="13:44">
      <c r="M1131" s="38"/>
      <c r="N1131" s="38"/>
      <c r="O1131" s="40"/>
      <c r="P1131" s="40"/>
      <c r="Q1131" s="40"/>
      <c r="R1131" s="40"/>
      <c r="S1131" s="40"/>
      <c r="T1131" s="40"/>
      <c r="U1131" s="40"/>
      <c r="V1131" s="40"/>
      <c r="W1131" s="40"/>
      <c r="X1131" s="40"/>
      <c r="Z1131" s="38"/>
      <c r="AA1131" s="38"/>
      <c r="AB1131" s="38"/>
      <c r="AC1131" s="122"/>
      <c r="AD1131"/>
      <c r="AE1131" s="38"/>
      <c r="AF1131" s="38"/>
      <c r="AG1131" s="43"/>
      <c r="AH1131" s="38"/>
      <c r="AI1131" s="38"/>
      <c r="AN1131" s="38"/>
      <c r="AO1131" s="38"/>
      <c r="AR1131" s="38"/>
    </row>
    <row r="1132" spans="13:44">
      <c r="M1132" s="38"/>
      <c r="N1132" s="38"/>
      <c r="O1132" s="40"/>
      <c r="P1132" s="40"/>
      <c r="Q1132" s="40"/>
      <c r="R1132" s="40"/>
      <c r="S1132" s="40"/>
      <c r="T1132" s="40"/>
      <c r="U1132" s="40"/>
      <c r="V1132" s="40"/>
      <c r="W1132" s="40"/>
      <c r="X1132" s="40"/>
      <c r="Z1132" s="38"/>
      <c r="AA1132" s="38"/>
      <c r="AB1132" s="38"/>
      <c r="AC1132" s="122"/>
      <c r="AD1132"/>
      <c r="AE1132" s="38"/>
      <c r="AF1132" s="38"/>
      <c r="AG1132" s="43"/>
      <c r="AH1132" s="38"/>
      <c r="AI1132" s="38"/>
      <c r="AN1132" s="38"/>
      <c r="AO1132" s="38"/>
      <c r="AR1132" s="38"/>
    </row>
    <row r="1133" spans="13:44">
      <c r="M1133" s="38"/>
      <c r="N1133" s="38"/>
      <c r="O1133" s="40"/>
      <c r="P1133" s="40"/>
      <c r="Q1133" s="40"/>
      <c r="R1133" s="40"/>
      <c r="S1133" s="40"/>
      <c r="T1133" s="40"/>
      <c r="U1133" s="40"/>
      <c r="V1133" s="40"/>
      <c r="W1133" s="40"/>
      <c r="X1133" s="40"/>
      <c r="Z1133" s="38"/>
      <c r="AA1133" s="38"/>
      <c r="AB1133" s="38"/>
      <c r="AC1133" s="122"/>
      <c r="AD1133"/>
      <c r="AE1133" s="38"/>
      <c r="AF1133" s="38"/>
      <c r="AG1133" s="43"/>
      <c r="AH1133" s="38"/>
      <c r="AI1133" s="38"/>
      <c r="AN1133" s="38"/>
      <c r="AO1133" s="38"/>
      <c r="AR1133" s="38"/>
    </row>
    <row r="1134" spans="13:44">
      <c r="M1134" s="38"/>
      <c r="N1134" s="38"/>
      <c r="O1134" s="40"/>
      <c r="P1134" s="40"/>
      <c r="Q1134" s="40"/>
      <c r="R1134" s="40"/>
      <c r="S1134" s="40"/>
      <c r="T1134" s="40"/>
      <c r="U1134" s="40"/>
      <c r="V1134" s="40"/>
      <c r="W1134" s="40"/>
      <c r="X1134" s="40"/>
      <c r="Z1134" s="38"/>
      <c r="AA1134" s="38"/>
      <c r="AB1134" s="38"/>
      <c r="AC1134" s="122"/>
      <c r="AD1134"/>
      <c r="AE1134" s="38"/>
      <c r="AF1134" s="38"/>
      <c r="AG1134" s="43"/>
      <c r="AH1134" s="38"/>
      <c r="AI1134" s="38"/>
      <c r="AN1134" s="38"/>
      <c r="AO1134" s="38"/>
      <c r="AR1134" s="38"/>
    </row>
    <row r="1135" spans="13:44">
      <c r="M1135" s="38"/>
      <c r="N1135" s="38"/>
      <c r="O1135" s="40"/>
      <c r="P1135" s="40"/>
      <c r="Q1135" s="40"/>
      <c r="R1135" s="40"/>
      <c r="S1135" s="40"/>
      <c r="T1135" s="40"/>
      <c r="U1135" s="40"/>
      <c r="V1135" s="40"/>
      <c r="W1135" s="40"/>
      <c r="X1135" s="40"/>
      <c r="Z1135" s="38"/>
      <c r="AA1135" s="38"/>
      <c r="AB1135" s="38"/>
      <c r="AC1135" s="122"/>
      <c r="AD1135"/>
      <c r="AE1135" s="38"/>
      <c r="AF1135" s="38"/>
      <c r="AG1135" s="43"/>
      <c r="AH1135" s="38"/>
      <c r="AI1135" s="38"/>
      <c r="AN1135" s="38"/>
      <c r="AO1135" s="38"/>
      <c r="AR1135" s="38"/>
    </row>
    <row r="1136" spans="13:44">
      <c r="M1136" s="38"/>
      <c r="N1136" s="38"/>
      <c r="O1136" s="40"/>
      <c r="P1136" s="40"/>
      <c r="Q1136" s="40"/>
      <c r="R1136" s="40"/>
      <c r="S1136" s="40"/>
      <c r="T1136" s="40"/>
      <c r="U1136" s="40"/>
      <c r="V1136" s="40"/>
      <c r="W1136" s="40"/>
      <c r="X1136" s="40"/>
      <c r="Z1136" s="38"/>
      <c r="AA1136" s="38"/>
      <c r="AB1136" s="38"/>
      <c r="AC1136" s="122"/>
      <c r="AD1136"/>
      <c r="AE1136" s="38"/>
      <c r="AF1136" s="38"/>
      <c r="AG1136" s="43"/>
      <c r="AH1136" s="38"/>
      <c r="AI1136" s="38"/>
      <c r="AN1136" s="38"/>
      <c r="AO1136" s="38"/>
      <c r="AR1136" s="38"/>
    </row>
    <row r="1137" spans="13:44">
      <c r="M1137" s="38"/>
      <c r="N1137" s="38"/>
      <c r="O1137" s="40"/>
      <c r="P1137" s="40"/>
      <c r="Q1137" s="40"/>
      <c r="R1137" s="40"/>
      <c r="S1137" s="40"/>
      <c r="T1137" s="40"/>
      <c r="U1137" s="40"/>
      <c r="V1137" s="40"/>
      <c r="W1137" s="40"/>
      <c r="X1137" s="40"/>
      <c r="Z1137" s="38"/>
      <c r="AA1137" s="38"/>
      <c r="AB1137" s="38"/>
      <c r="AC1137" s="122"/>
      <c r="AD1137"/>
      <c r="AE1137" s="38"/>
      <c r="AF1137" s="38"/>
      <c r="AG1137" s="43"/>
      <c r="AH1137" s="38"/>
      <c r="AI1137" s="38"/>
      <c r="AN1137" s="38"/>
      <c r="AO1137" s="38"/>
      <c r="AR1137" s="38"/>
    </row>
    <row r="1138" spans="13:44">
      <c r="M1138" s="38"/>
      <c r="N1138" s="38"/>
      <c r="O1138" s="40"/>
      <c r="P1138" s="40"/>
      <c r="Q1138" s="40"/>
      <c r="R1138" s="40"/>
      <c r="S1138" s="40"/>
      <c r="T1138" s="40"/>
      <c r="U1138" s="40"/>
      <c r="V1138" s="40"/>
      <c r="W1138" s="40"/>
      <c r="X1138" s="40"/>
      <c r="Z1138" s="38"/>
      <c r="AA1138" s="38"/>
      <c r="AB1138" s="38"/>
      <c r="AC1138" s="122"/>
      <c r="AD1138"/>
      <c r="AE1138" s="38"/>
      <c r="AF1138" s="38"/>
      <c r="AG1138" s="43"/>
      <c r="AH1138" s="38"/>
      <c r="AI1138" s="38"/>
      <c r="AN1138" s="38"/>
      <c r="AO1138" s="38"/>
      <c r="AR1138" s="38"/>
    </row>
    <row r="1139" spans="13:44">
      <c r="M1139" s="38"/>
      <c r="N1139" s="38"/>
      <c r="O1139" s="40"/>
      <c r="P1139" s="40"/>
      <c r="Q1139" s="40"/>
      <c r="R1139" s="40"/>
      <c r="S1139" s="40"/>
      <c r="T1139" s="40"/>
      <c r="U1139" s="40"/>
      <c r="V1139" s="40"/>
      <c r="W1139" s="40"/>
      <c r="X1139" s="40"/>
      <c r="Z1139" s="38"/>
      <c r="AA1139" s="38"/>
      <c r="AB1139" s="38"/>
      <c r="AC1139" s="122"/>
      <c r="AD1139"/>
      <c r="AE1139" s="38"/>
      <c r="AF1139" s="38"/>
      <c r="AG1139" s="43"/>
      <c r="AH1139" s="38"/>
      <c r="AI1139" s="38"/>
      <c r="AN1139" s="38"/>
      <c r="AO1139" s="38"/>
      <c r="AR1139" s="38"/>
    </row>
    <row r="1140" spans="13:44">
      <c r="M1140" s="38"/>
      <c r="N1140" s="38"/>
      <c r="O1140" s="40"/>
      <c r="P1140" s="40"/>
      <c r="Q1140" s="40"/>
      <c r="R1140" s="40"/>
      <c r="S1140" s="40"/>
      <c r="T1140" s="40"/>
      <c r="U1140" s="40"/>
      <c r="V1140" s="40"/>
      <c r="W1140" s="40"/>
      <c r="X1140" s="40"/>
      <c r="Z1140" s="38"/>
      <c r="AA1140" s="38"/>
      <c r="AB1140" s="38"/>
      <c r="AC1140" s="122"/>
      <c r="AD1140"/>
      <c r="AE1140" s="38"/>
      <c r="AF1140" s="38"/>
      <c r="AG1140" s="43"/>
      <c r="AH1140" s="38"/>
      <c r="AI1140" s="38"/>
      <c r="AN1140" s="38"/>
      <c r="AO1140" s="38"/>
      <c r="AR1140" s="38"/>
    </row>
    <row r="1141" spans="13:44">
      <c r="M1141" s="38"/>
      <c r="N1141" s="38"/>
      <c r="O1141" s="40"/>
      <c r="P1141" s="40"/>
      <c r="Q1141" s="40"/>
      <c r="R1141" s="40"/>
      <c r="S1141" s="40"/>
      <c r="T1141" s="40"/>
      <c r="U1141" s="40"/>
      <c r="V1141" s="40"/>
      <c r="W1141" s="40"/>
      <c r="X1141" s="40"/>
      <c r="Z1141" s="38"/>
      <c r="AA1141" s="38"/>
      <c r="AB1141" s="38"/>
      <c r="AC1141" s="122"/>
      <c r="AD1141"/>
      <c r="AE1141" s="38"/>
      <c r="AF1141" s="38"/>
      <c r="AG1141" s="43"/>
      <c r="AH1141" s="38"/>
      <c r="AI1141" s="38"/>
      <c r="AN1141" s="38"/>
      <c r="AO1141" s="38"/>
      <c r="AR1141" s="38"/>
    </row>
    <row r="1142" spans="13:44">
      <c r="M1142" s="38"/>
      <c r="N1142" s="38"/>
      <c r="O1142" s="40"/>
      <c r="P1142" s="40"/>
      <c r="Q1142" s="40"/>
      <c r="R1142" s="40"/>
      <c r="S1142" s="40"/>
      <c r="T1142" s="40"/>
      <c r="U1142" s="40"/>
      <c r="V1142" s="40"/>
      <c r="W1142" s="40"/>
      <c r="X1142" s="40"/>
      <c r="Z1142" s="38"/>
      <c r="AA1142" s="38"/>
      <c r="AB1142" s="38"/>
      <c r="AC1142" s="122"/>
      <c r="AD1142"/>
      <c r="AE1142" s="38"/>
      <c r="AF1142" s="38"/>
      <c r="AG1142" s="43"/>
      <c r="AH1142" s="38"/>
      <c r="AI1142" s="38"/>
      <c r="AN1142" s="38"/>
      <c r="AO1142" s="38"/>
      <c r="AR1142" s="38"/>
    </row>
    <row r="1143" spans="13:44">
      <c r="M1143" s="38"/>
      <c r="N1143" s="38"/>
      <c r="O1143" s="40"/>
      <c r="P1143" s="40"/>
      <c r="Q1143" s="40"/>
      <c r="R1143" s="40"/>
      <c r="S1143" s="40"/>
      <c r="T1143" s="40"/>
      <c r="U1143" s="40"/>
      <c r="V1143" s="40"/>
      <c r="W1143" s="40"/>
      <c r="X1143" s="40"/>
      <c r="Z1143" s="38"/>
      <c r="AA1143" s="38"/>
      <c r="AB1143" s="38"/>
      <c r="AC1143" s="122"/>
      <c r="AD1143"/>
      <c r="AE1143" s="38"/>
      <c r="AF1143" s="38"/>
      <c r="AG1143" s="43"/>
      <c r="AH1143" s="38"/>
      <c r="AI1143" s="38"/>
      <c r="AN1143" s="38"/>
      <c r="AO1143" s="38"/>
      <c r="AR1143" s="38"/>
    </row>
    <row r="1144" spans="13:44">
      <c r="M1144" s="38"/>
      <c r="N1144" s="38"/>
      <c r="O1144" s="40"/>
      <c r="P1144" s="40"/>
      <c r="Q1144" s="40"/>
      <c r="R1144" s="40"/>
      <c r="S1144" s="40"/>
      <c r="T1144" s="40"/>
      <c r="U1144" s="40"/>
      <c r="V1144" s="40"/>
      <c r="W1144" s="40"/>
      <c r="X1144" s="40"/>
      <c r="Z1144" s="38"/>
      <c r="AA1144" s="38"/>
      <c r="AB1144" s="38"/>
      <c r="AC1144" s="122"/>
      <c r="AD1144"/>
      <c r="AE1144" s="38"/>
      <c r="AF1144" s="38"/>
      <c r="AG1144" s="43"/>
      <c r="AH1144" s="38"/>
      <c r="AI1144" s="38"/>
      <c r="AN1144" s="38"/>
      <c r="AO1144" s="38"/>
      <c r="AR1144" s="38"/>
    </row>
    <row r="1145" spans="13:44">
      <c r="M1145" s="38"/>
      <c r="N1145" s="38"/>
      <c r="O1145" s="40"/>
      <c r="P1145" s="40"/>
      <c r="Q1145" s="40"/>
      <c r="R1145" s="40"/>
      <c r="S1145" s="40"/>
      <c r="T1145" s="40"/>
      <c r="U1145" s="40"/>
      <c r="V1145" s="40"/>
      <c r="W1145" s="40"/>
      <c r="X1145" s="40"/>
      <c r="Z1145" s="38"/>
      <c r="AA1145" s="38"/>
      <c r="AB1145" s="38"/>
      <c r="AC1145" s="122"/>
      <c r="AD1145"/>
      <c r="AE1145" s="38"/>
      <c r="AF1145" s="38"/>
      <c r="AG1145" s="43"/>
      <c r="AH1145" s="38"/>
      <c r="AI1145" s="38"/>
      <c r="AN1145" s="38"/>
      <c r="AO1145" s="38"/>
      <c r="AR1145" s="38"/>
    </row>
    <row r="1146" spans="13:44">
      <c r="M1146" s="38"/>
      <c r="N1146" s="38"/>
      <c r="O1146" s="40"/>
      <c r="P1146" s="40"/>
      <c r="Q1146" s="40"/>
      <c r="R1146" s="40"/>
      <c r="S1146" s="40"/>
      <c r="T1146" s="40"/>
      <c r="U1146" s="40"/>
      <c r="V1146" s="40"/>
      <c r="W1146" s="40"/>
      <c r="X1146" s="40"/>
      <c r="Z1146" s="38"/>
      <c r="AA1146" s="38"/>
      <c r="AB1146" s="38"/>
      <c r="AC1146" s="122"/>
      <c r="AD1146"/>
      <c r="AE1146" s="38"/>
      <c r="AF1146" s="38"/>
      <c r="AG1146" s="43"/>
      <c r="AH1146" s="38"/>
      <c r="AI1146" s="38"/>
      <c r="AN1146" s="38"/>
      <c r="AO1146" s="38"/>
      <c r="AR1146" s="38"/>
    </row>
    <row r="1147" spans="13:44">
      <c r="M1147" s="38"/>
      <c r="N1147" s="38"/>
      <c r="O1147" s="40"/>
      <c r="P1147" s="40"/>
      <c r="Q1147" s="40"/>
      <c r="R1147" s="40"/>
      <c r="S1147" s="40"/>
      <c r="T1147" s="40"/>
      <c r="U1147" s="40"/>
      <c r="V1147" s="40"/>
      <c r="W1147" s="40"/>
      <c r="X1147" s="40"/>
      <c r="Z1147" s="38"/>
      <c r="AA1147" s="38"/>
      <c r="AB1147" s="38"/>
      <c r="AC1147" s="122"/>
      <c r="AD1147"/>
      <c r="AE1147" s="38"/>
      <c r="AF1147" s="38"/>
      <c r="AG1147" s="43"/>
      <c r="AH1147" s="38"/>
      <c r="AI1147" s="38"/>
      <c r="AN1147" s="38"/>
      <c r="AO1147" s="38"/>
      <c r="AR1147" s="38"/>
    </row>
    <row r="1148" spans="13:44">
      <c r="M1148" s="38"/>
      <c r="N1148" s="38"/>
      <c r="O1148" s="40"/>
      <c r="P1148" s="40"/>
      <c r="Q1148" s="40"/>
      <c r="R1148" s="40"/>
      <c r="S1148" s="40"/>
      <c r="T1148" s="40"/>
      <c r="U1148" s="40"/>
      <c r="V1148" s="40"/>
      <c r="W1148" s="40"/>
      <c r="X1148" s="40"/>
      <c r="Z1148" s="38"/>
      <c r="AA1148" s="38"/>
      <c r="AB1148" s="38"/>
      <c r="AC1148" s="122"/>
      <c r="AD1148"/>
      <c r="AE1148" s="38"/>
      <c r="AF1148" s="38"/>
      <c r="AG1148" s="43"/>
      <c r="AH1148" s="38"/>
      <c r="AI1148" s="38"/>
      <c r="AN1148" s="38"/>
      <c r="AO1148" s="38"/>
      <c r="AR1148" s="38"/>
    </row>
    <row r="1149" spans="13:44">
      <c r="M1149" s="38"/>
      <c r="N1149" s="38"/>
      <c r="O1149" s="40"/>
      <c r="P1149" s="40"/>
      <c r="Q1149" s="40"/>
      <c r="R1149" s="40"/>
      <c r="S1149" s="40"/>
      <c r="T1149" s="40"/>
      <c r="U1149" s="40"/>
      <c r="V1149" s="40"/>
      <c r="W1149" s="40"/>
      <c r="X1149" s="40"/>
      <c r="Z1149" s="38"/>
      <c r="AA1149" s="38"/>
      <c r="AB1149" s="38"/>
      <c r="AC1149" s="122"/>
      <c r="AD1149"/>
      <c r="AE1149" s="38"/>
      <c r="AF1149" s="38"/>
      <c r="AG1149" s="43"/>
      <c r="AH1149" s="38"/>
      <c r="AI1149" s="38"/>
      <c r="AN1149" s="38"/>
      <c r="AO1149" s="38"/>
      <c r="AR1149" s="38"/>
    </row>
    <row r="1150" spans="13:44">
      <c r="M1150" s="38"/>
      <c r="N1150" s="38"/>
      <c r="O1150" s="40"/>
      <c r="P1150" s="40"/>
      <c r="Q1150" s="40"/>
      <c r="R1150" s="40"/>
      <c r="S1150" s="40"/>
      <c r="T1150" s="40"/>
      <c r="U1150" s="40"/>
      <c r="V1150" s="40"/>
      <c r="W1150" s="40"/>
      <c r="X1150" s="40"/>
      <c r="Z1150" s="38"/>
      <c r="AA1150" s="38"/>
      <c r="AB1150" s="38"/>
      <c r="AC1150" s="122"/>
      <c r="AD1150"/>
      <c r="AE1150" s="38"/>
      <c r="AF1150" s="38"/>
      <c r="AG1150" s="43"/>
      <c r="AH1150" s="38"/>
      <c r="AI1150" s="38"/>
      <c r="AN1150" s="38"/>
      <c r="AO1150" s="38"/>
      <c r="AR1150" s="38"/>
    </row>
    <row r="1151" spans="13:44">
      <c r="M1151" s="38"/>
      <c r="N1151" s="38"/>
      <c r="O1151" s="40"/>
      <c r="P1151" s="40"/>
      <c r="Q1151" s="40"/>
      <c r="R1151" s="40"/>
      <c r="S1151" s="40"/>
      <c r="T1151" s="40"/>
      <c r="U1151" s="40"/>
      <c r="V1151" s="40"/>
      <c r="W1151" s="40"/>
      <c r="X1151" s="40"/>
      <c r="Z1151" s="38"/>
      <c r="AA1151" s="38"/>
      <c r="AB1151" s="38"/>
      <c r="AC1151" s="122"/>
      <c r="AD1151"/>
      <c r="AE1151" s="38"/>
      <c r="AF1151" s="38"/>
      <c r="AG1151" s="43"/>
      <c r="AH1151" s="38"/>
      <c r="AI1151" s="38"/>
      <c r="AN1151" s="38"/>
      <c r="AO1151" s="38"/>
      <c r="AR1151" s="38"/>
    </row>
    <row r="1152" spans="13:44">
      <c r="M1152" s="38"/>
      <c r="N1152" s="38"/>
      <c r="O1152" s="40"/>
      <c r="P1152" s="40"/>
      <c r="Q1152" s="40"/>
      <c r="R1152" s="40"/>
      <c r="S1152" s="40"/>
      <c r="T1152" s="40"/>
      <c r="U1152" s="40"/>
      <c r="V1152" s="40"/>
      <c r="W1152" s="40"/>
      <c r="X1152" s="40"/>
      <c r="Z1152" s="38"/>
      <c r="AA1152" s="38"/>
      <c r="AB1152" s="38"/>
      <c r="AC1152" s="122"/>
      <c r="AD1152"/>
      <c r="AE1152" s="38"/>
      <c r="AF1152" s="38"/>
      <c r="AG1152" s="43"/>
      <c r="AH1152" s="38"/>
      <c r="AI1152" s="38"/>
      <c r="AN1152" s="38"/>
      <c r="AO1152" s="38"/>
      <c r="AR1152" s="38"/>
    </row>
    <row r="1153" spans="13:44">
      <c r="M1153" s="38"/>
      <c r="N1153" s="38"/>
      <c r="O1153" s="40"/>
      <c r="P1153" s="40"/>
      <c r="Q1153" s="40"/>
      <c r="R1153" s="40"/>
      <c r="S1153" s="40"/>
      <c r="T1153" s="40"/>
      <c r="U1153" s="40"/>
      <c r="V1153" s="40"/>
      <c r="W1153" s="40"/>
      <c r="X1153" s="40"/>
      <c r="Z1153" s="38"/>
      <c r="AA1153" s="38"/>
      <c r="AB1153" s="38"/>
      <c r="AC1153" s="122"/>
      <c r="AD1153"/>
      <c r="AE1153" s="38"/>
      <c r="AF1153" s="38"/>
      <c r="AG1153" s="43"/>
      <c r="AH1153" s="38"/>
      <c r="AI1153" s="38"/>
      <c r="AN1153" s="38"/>
      <c r="AO1153" s="38"/>
      <c r="AR1153" s="38"/>
    </row>
    <row r="1154" spans="13:44">
      <c r="M1154" s="38"/>
      <c r="N1154" s="38"/>
      <c r="O1154" s="40"/>
      <c r="P1154" s="40"/>
      <c r="Q1154" s="40"/>
      <c r="R1154" s="40"/>
      <c r="S1154" s="40"/>
      <c r="T1154" s="40"/>
      <c r="U1154" s="40"/>
      <c r="V1154" s="40"/>
      <c r="W1154" s="40"/>
      <c r="X1154" s="40"/>
      <c r="Z1154" s="38"/>
      <c r="AA1154" s="38"/>
      <c r="AB1154" s="38"/>
      <c r="AC1154" s="122"/>
      <c r="AD1154"/>
      <c r="AE1154" s="38"/>
      <c r="AF1154" s="38"/>
      <c r="AG1154" s="43"/>
      <c r="AH1154" s="38"/>
      <c r="AI1154" s="38"/>
      <c r="AN1154" s="38"/>
      <c r="AO1154" s="38"/>
      <c r="AR1154" s="38"/>
    </row>
    <row r="1155" spans="13:44">
      <c r="M1155" s="38"/>
      <c r="N1155" s="38"/>
      <c r="O1155" s="40"/>
      <c r="P1155" s="40"/>
      <c r="Q1155" s="40"/>
      <c r="R1155" s="40"/>
      <c r="S1155" s="40"/>
      <c r="T1155" s="40"/>
      <c r="U1155" s="40"/>
      <c r="V1155" s="40"/>
      <c r="W1155" s="40"/>
      <c r="X1155" s="40"/>
      <c r="Z1155" s="38"/>
      <c r="AA1155" s="38"/>
      <c r="AB1155" s="38"/>
      <c r="AC1155" s="122"/>
      <c r="AD1155"/>
      <c r="AE1155" s="38"/>
      <c r="AF1155" s="38"/>
      <c r="AG1155" s="43"/>
      <c r="AH1155" s="38"/>
      <c r="AI1155" s="38"/>
      <c r="AN1155" s="38"/>
      <c r="AO1155" s="38"/>
      <c r="AR1155" s="38"/>
    </row>
    <row r="1156" spans="13:44">
      <c r="M1156" s="38"/>
      <c r="N1156" s="38"/>
      <c r="O1156" s="40"/>
      <c r="P1156" s="40"/>
      <c r="Q1156" s="40"/>
      <c r="R1156" s="40"/>
      <c r="S1156" s="40"/>
      <c r="T1156" s="40"/>
      <c r="U1156" s="40"/>
      <c r="V1156" s="40"/>
      <c r="W1156" s="40"/>
      <c r="X1156" s="40"/>
      <c r="Z1156" s="38"/>
      <c r="AA1156" s="38"/>
      <c r="AB1156" s="38"/>
      <c r="AC1156" s="122"/>
      <c r="AD1156"/>
      <c r="AE1156" s="38"/>
      <c r="AF1156" s="38"/>
      <c r="AG1156" s="43"/>
      <c r="AH1156" s="38"/>
      <c r="AI1156" s="38"/>
      <c r="AN1156" s="38"/>
      <c r="AO1156" s="38"/>
      <c r="AR1156" s="38"/>
    </row>
    <row r="1157" spans="13:44">
      <c r="M1157" s="38"/>
      <c r="N1157" s="38"/>
      <c r="O1157" s="40"/>
      <c r="P1157" s="40"/>
      <c r="Q1157" s="40"/>
      <c r="R1157" s="40"/>
      <c r="S1157" s="40"/>
      <c r="T1157" s="40"/>
      <c r="U1157" s="40"/>
      <c r="V1157" s="40"/>
      <c r="W1157" s="40"/>
      <c r="X1157" s="40"/>
      <c r="Z1157" s="38"/>
      <c r="AA1157" s="38"/>
      <c r="AB1157" s="38"/>
      <c r="AC1157" s="122"/>
      <c r="AD1157"/>
      <c r="AE1157" s="38"/>
      <c r="AF1157" s="38"/>
      <c r="AG1157" s="43"/>
      <c r="AH1157" s="38"/>
      <c r="AI1157" s="38"/>
      <c r="AN1157" s="38"/>
      <c r="AO1157" s="38"/>
      <c r="AR1157" s="38"/>
    </row>
    <row r="1158" spans="13:44">
      <c r="M1158" s="38"/>
      <c r="N1158" s="38"/>
      <c r="O1158" s="40"/>
      <c r="P1158" s="40"/>
      <c r="Q1158" s="40"/>
      <c r="R1158" s="40"/>
      <c r="S1158" s="40"/>
      <c r="T1158" s="40"/>
      <c r="U1158" s="40"/>
      <c r="V1158" s="40"/>
      <c r="W1158" s="40"/>
      <c r="X1158" s="40"/>
      <c r="Z1158" s="38"/>
      <c r="AA1158" s="38"/>
      <c r="AB1158" s="38"/>
      <c r="AC1158" s="122"/>
      <c r="AD1158"/>
      <c r="AE1158" s="38"/>
      <c r="AF1158" s="38"/>
      <c r="AG1158" s="43"/>
      <c r="AH1158" s="38"/>
      <c r="AI1158" s="38"/>
      <c r="AN1158" s="38"/>
      <c r="AO1158" s="38"/>
      <c r="AR1158" s="38"/>
    </row>
    <row r="1159" spans="13:44">
      <c r="M1159" s="38"/>
      <c r="N1159" s="38"/>
      <c r="O1159" s="40"/>
      <c r="P1159" s="40"/>
      <c r="Q1159" s="40"/>
      <c r="R1159" s="40"/>
      <c r="S1159" s="40"/>
      <c r="T1159" s="40"/>
      <c r="U1159" s="40"/>
      <c r="V1159" s="40"/>
      <c r="W1159" s="40"/>
      <c r="X1159" s="40"/>
      <c r="Z1159" s="38"/>
      <c r="AA1159" s="38"/>
      <c r="AB1159" s="38"/>
      <c r="AC1159" s="122"/>
      <c r="AD1159"/>
      <c r="AE1159" s="38"/>
      <c r="AF1159" s="38"/>
      <c r="AG1159" s="43"/>
      <c r="AH1159" s="38"/>
      <c r="AI1159" s="38"/>
      <c r="AN1159" s="38"/>
      <c r="AO1159" s="38"/>
      <c r="AR1159" s="38"/>
    </row>
    <row r="1160" spans="13:44">
      <c r="M1160" s="38"/>
      <c r="N1160" s="38"/>
      <c r="O1160" s="40"/>
      <c r="P1160" s="40"/>
      <c r="Q1160" s="40"/>
      <c r="R1160" s="40"/>
      <c r="S1160" s="40"/>
      <c r="T1160" s="40"/>
      <c r="U1160" s="40"/>
      <c r="V1160" s="40"/>
      <c r="W1160" s="40"/>
      <c r="X1160" s="40"/>
      <c r="Z1160" s="38"/>
      <c r="AA1160" s="38"/>
      <c r="AB1160" s="38"/>
      <c r="AC1160" s="122"/>
      <c r="AD1160"/>
      <c r="AE1160" s="38"/>
      <c r="AF1160" s="38"/>
      <c r="AG1160" s="43"/>
      <c r="AH1160" s="38"/>
      <c r="AI1160" s="38"/>
      <c r="AN1160" s="38"/>
      <c r="AO1160" s="38"/>
      <c r="AR1160" s="38"/>
    </row>
    <row r="1161" spans="13:44">
      <c r="M1161" s="38"/>
      <c r="N1161" s="38"/>
      <c r="O1161" s="40"/>
      <c r="P1161" s="40"/>
      <c r="Q1161" s="40"/>
      <c r="R1161" s="40"/>
      <c r="S1161" s="40"/>
      <c r="T1161" s="40"/>
      <c r="U1161" s="40"/>
      <c r="V1161" s="40"/>
      <c r="W1161" s="40"/>
      <c r="X1161" s="40"/>
      <c r="Z1161" s="38"/>
      <c r="AA1161" s="38"/>
      <c r="AB1161" s="38"/>
      <c r="AC1161" s="122"/>
      <c r="AD1161"/>
      <c r="AE1161" s="38"/>
      <c r="AF1161" s="38"/>
      <c r="AG1161" s="43"/>
      <c r="AH1161" s="38"/>
      <c r="AI1161" s="38"/>
      <c r="AN1161" s="38"/>
      <c r="AO1161" s="38"/>
      <c r="AR1161" s="38"/>
    </row>
    <row r="1162" spans="13:44">
      <c r="M1162" s="38"/>
      <c r="N1162" s="38"/>
      <c r="O1162" s="40"/>
      <c r="P1162" s="40"/>
      <c r="Q1162" s="40"/>
      <c r="R1162" s="40"/>
      <c r="S1162" s="40"/>
      <c r="T1162" s="40"/>
      <c r="U1162" s="40"/>
      <c r="V1162" s="40"/>
      <c r="W1162" s="40"/>
      <c r="X1162" s="40"/>
      <c r="Z1162" s="38"/>
      <c r="AA1162" s="38"/>
      <c r="AB1162" s="38"/>
      <c r="AC1162" s="122"/>
      <c r="AD1162"/>
      <c r="AE1162" s="38"/>
      <c r="AF1162" s="38"/>
      <c r="AG1162" s="43"/>
      <c r="AH1162" s="38"/>
      <c r="AI1162" s="38"/>
      <c r="AN1162" s="38"/>
      <c r="AO1162" s="38"/>
      <c r="AR1162" s="38"/>
    </row>
    <row r="1163" spans="13:44">
      <c r="M1163" s="38"/>
      <c r="N1163" s="38"/>
      <c r="O1163" s="40"/>
      <c r="P1163" s="40"/>
      <c r="Q1163" s="40"/>
      <c r="R1163" s="40"/>
      <c r="S1163" s="40"/>
      <c r="T1163" s="40"/>
      <c r="U1163" s="40"/>
      <c r="V1163" s="40"/>
      <c r="W1163" s="40"/>
      <c r="X1163" s="40"/>
      <c r="Z1163" s="38"/>
      <c r="AA1163" s="38"/>
      <c r="AB1163" s="38"/>
      <c r="AC1163" s="122"/>
      <c r="AD1163"/>
      <c r="AE1163" s="38"/>
      <c r="AF1163" s="38"/>
      <c r="AG1163" s="43"/>
      <c r="AH1163" s="38"/>
      <c r="AI1163" s="38"/>
      <c r="AN1163" s="38"/>
      <c r="AO1163" s="38"/>
      <c r="AR1163" s="38"/>
    </row>
    <row r="1164" spans="13:44">
      <c r="M1164" s="38"/>
      <c r="N1164" s="38"/>
      <c r="O1164" s="40"/>
      <c r="P1164" s="40"/>
      <c r="Q1164" s="40"/>
      <c r="R1164" s="40"/>
      <c r="S1164" s="40"/>
      <c r="T1164" s="40"/>
      <c r="U1164" s="40"/>
      <c r="V1164" s="40"/>
      <c r="W1164" s="40"/>
      <c r="X1164" s="40"/>
      <c r="Z1164" s="38"/>
      <c r="AA1164" s="38"/>
      <c r="AB1164" s="38"/>
      <c r="AC1164" s="122"/>
      <c r="AD1164"/>
      <c r="AE1164" s="38"/>
      <c r="AF1164" s="38"/>
      <c r="AG1164" s="43"/>
      <c r="AH1164" s="38"/>
      <c r="AI1164" s="38"/>
      <c r="AN1164" s="38"/>
      <c r="AO1164" s="38"/>
      <c r="AR1164" s="38"/>
    </row>
    <row r="1165" spans="13:44">
      <c r="M1165" s="38"/>
      <c r="N1165" s="38"/>
      <c r="O1165" s="40"/>
      <c r="P1165" s="40"/>
      <c r="Q1165" s="40"/>
      <c r="R1165" s="40"/>
      <c r="S1165" s="40"/>
      <c r="T1165" s="40"/>
      <c r="U1165" s="40"/>
      <c r="V1165" s="40"/>
      <c r="W1165" s="40"/>
      <c r="X1165" s="40"/>
      <c r="Z1165" s="38"/>
      <c r="AA1165" s="38"/>
      <c r="AB1165" s="38"/>
      <c r="AC1165" s="122"/>
      <c r="AD1165"/>
      <c r="AE1165" s="38"/>
      <c r="AF1165" s="38"/>
      <c r="AG1165" s="43"/>
      <c r="AH1165" s="38"/>
      <c r="AI1165" s="38"/>
      <c r="AN1165" s="38"/>
      <c r="AO1165" s="38"/>
      <c r="AR1165" s="38"/>
    </row>
    <row r="1166" spans="13:44">
      <c r="M1166" s="38"/>
      <c r="N1166" s="38"/>
      <c r="O1166" s="40"/>
      <c r="P1166" s="40"/>
      <c r="Q1166" s="40"/>
      <c r="R1166" s="40"/>
      <c r="S1166" s="40"/>
      <c r="T1166" s="40"/>
      <c r="U1166" s="40"/>
      <c r="V1166" s="40"/>
      <c r="W1166" s="40"/>
      <c r="X1166" s="40"/>
      <c r="Z1166" s="38"/>
      <c r="AA1166" s="38"/>
      <c r="AB1166" s="38"/>
      <c r="AC1166" s="122"/>
      <c r="AD1166"/>
      <c r="AE1166" s="38"/>
      <c r="AF1166" s="38"/>
      <c r="AG1166" s="43"/>
      <c r="AH1166" s="38"/>
      <c r="AI1166" s="38"/>
      <c r="AN1166" s="38"/>
      <c r="AO1166" s="38"/>
      <c r="AR1166" s="38"/>
    </row>
    <row r="1167" spans="13:44">
      <c r="M1167" s="38"/>
      <c r="N1167" s="38"/>
      <c r="O1167" s="40"/>
      <c r="P1167" s="40"/>
      <c r="Q1167" s="40"/>
      <c r="R1167" s="40"/>
      <c r="S1167" s="40"/>
      <c r="T1167" s="40"/>
      <c r="U1167" s="40"/>
      <c r="V1167" s="40"/>
      <c r="W1167" s="40"/>
      <c r="X1167" s="40"/>
      <c r="Z1167" s="38"/>
      <c r="AA1167" s="38"/>
      <c r="AB1167" s="38"/>
      <c r="AC1167" s="122"/>
      <c r="AD1167"/>
      <c r="AE1167" s="38"/>
      <c r="AF1167" s="38"/>
      <c r="AG1167" s="43"/>
      <c r="AH1167" s="38"/>
      <c r="AI1167" s="38"/>
      <c r="AN1167" s="38"/>
      <c r="AO1167" s="38"/>
      <c r="AR1167" s="38"/>
    </row>
    <row r="1168" spans="13:44">
      <c r="M1168" s="38"/>
      <c r="N1168" s="38"/>
      <c r="O1168" s="40"/>
      <c r="P1168" s="40"/>
      <c r="Q1168" s="40"/>
      <c r="R1168" s="40"/>
      <c r="S1168" s="40"/>
      <c r="T1168" s="40"/>
      <c r="U1168" s="40"/>
      <c r="V1168" s="40"/>
      <c r="W1168" s="40"/>
      <c r="X1168" s="40"/>
      <c r="Z1168" s="38"/>
      <c r="AA1168" s="38"/>
      <c r="AB1168" s="38"/>
      <c r="AC1168" s="122"/>
      <c r="AD1168"/>
      <c r="AE1168" s="38"/>
      <c r="AF1168" s="38"/>
      <c r="AG1168" s="43"/>
      <c r="AH1168" s="38"/>
      <c r="AI1168" s="38"/>
      <c r="AN1168" s="38"/>
      <c r="AO1168" s="38"/>
      <c r="AR1168" s="38"/>
    </row>
    <row r="1169" spans="13:44">
      <c r="M1169" s="38"/>
      <c r="N1169" s="38"/>
      <c r="O1169" s="40"/>
      <c r="P1169" s="40"/>
      <c r="Q1169" s="40"/>
      <c r="R1169" s="40"/>
      <c r="S1169" s="40"/>
      <c r="T1169" s="40"/>
      <c r="U1169" s="40"/>
      <c r="V1169" s="40"/>
      <c r="W1169" s="40"/>
      <c r="X1169" s="40"/>
      <c r="Z1169" s="38"/>
      <c r="AA1169" s="38"/>
      <c r="AB1169" s="38"/>
      <c r="AC1169" s="122"/>
      <c r="AD1169"/>
      <c r="AE1169" s="38"/>
      <c r="AF1169" s="38"/>
      <c r="AG1169" s="43"/>
      <c r="AH1169" s="38"/>
      <c r="AI1169" s="38"/>
      <c r="AN1169" s="38"/>
      <c r="AO1169" s="38"/>
      <c r="AR1169" s="38"/>
    </row>
    <row r="1170" spans="13:44">
      <c r="M1170" s="38"/>
      <c r="N1170" s="38"/>
      <c r="O1170" s="40"/>
      <c r="P1170" s="40"/>
      <c r="Q1170" s="40"/>
      <c r="R1170" s="40"/>
      <c r="S1170" s="40"/>
      <c r="T1170" s="40"/>
      <c r="U1170" s="40"/>
      <c r="V1170" s="40"/>
      <c r="W1170" s="40"/>
      <c r="X1170" s="40"/>
      <c r="Z1170" s="38"/>
      <c r="AA1170" s="38"/>
      <c r="AB1170" s="38"/>
      <c r="AC1170" s="122"/>
      <c r="AD1170"/>
      <c r="AE1170" s="38"/>
      <c r="AF1170" s="38"/>
      <c r="AG1170" s="43"/>
      <c r="AH1170" s="38"/>
      <c r="AI1170" s="38"/>
      <c r="AN1170" s="38"/>
      <c r="AO1170" s="38"/>
      <c r="AR1170" s="38"/>
    </row>
    <row r="1171" spans="13:44">
      <c r="M1171" s="38"/>
      <c r="N1171" s="38"/>
      <c r="O1171" s="40"/>
      <c r="P1171" s="40"/>
      <c r="Q1171" s="40"/>
      <c r="R1171" s="40"/>
      <c r="S1171" s="40"/>
      <c r="T1171" s="40"/>
      <c r="U1171" s="40"/>
      <c r="V1171" s="40"/>
      <c r="W1171" s="40"/>
      <c r="X1171" s="40"/>
      <c r="Z1171" s="38"/>
      <c r="AA1171" s="38"/>
      <c r="AB1171" s="38"/>
      <c r="AC1171" s="122"/>
      <c r="AD1171"/>
      <c r="AE1171" s="38"/>
      <c r="AF1171" s="38"/>
      <c r="AG1171" s="43"/>
      <c r="AH1171" s="38"/>
      <c r="AI1171" s="38"/>
      <c r="AN1171" s="38"/>
      <c r="AO1171" s="38"/>
      <c r="AR1171" s="38"/>
    </row>
    <row r="1172" spans="13:44">
      <c r="M1172" s="38"/>
      <c r="N1172" s="38"/>
      <c r="O1172" s="40"/>
      <c r="P1172" s="40"/>
      <c r="Q1172" s="40"/>
      <c r="R1172" s="40"/>
      <c r="S1172" s="40"/>
      <c r="T1172" s="40"/>
      <c r="U1172" s="40"/>
      <c r="V1172" s="40"/>
      <c r="W1172" s="40"/>
      <c r="X1172" s="40"/>
      <c r="Z1172" s="38"/>
      <c r="AA1172" s="38"/>
      <c r="AB1172" s="38"/>
      <c r="AC1172" s="122"/>
      <c r="AD1172"/>
      <c r="AE1172" s="38"/>
      <c r="AF1172" s="38"/>
      <c r="AG1172" s="43"/>
      <c r="AH1172" s="38"/>
      <c r="AI1172" s="38"/>
      <c r="AN1172" s="38"/>
      <c r="AO1172" s="38"/>
      <c r="AR1172" s="38"/>
    </row>
    <row r="1173" spans="13:44">
      <c r="M1173" s="38"/>
      <c r="N1173" s="38"/>
      <c r="O1173" s="40"/>
      <c r="P1173" s="40"/>
      <c r="Q1173" s="40"/>
      <c r="R1173" s="40"/>
      <c r="S1173" s="40"/>
      <c r="T1173" s="40"/>
      <c r="U1173" s="40"/>
      <c r="V1173" s="40"/>
      <c r="W1173" s="40"/>
      <c r="X1173" s="40"/>
      <c r="Z1173" s="38"/>
      <c r="AA1173" s="38"/>
      <c r="AB1173" s="38"/>
      <c r="AC1173" s="122"/>
      <c r="AD1173"/>
      <c r="AE1173" s="38"/>
      <c r="AF1173" s="38"/>
      <c r="AG1173" s="43"/>
      <c r="AH1173" s="38"/>
      <c r="AI1173" s="38"/>
      <c r="AN1173" s="38"/>
      <c r="AO1173" s="38"/>
      <c r="AR1173" s="38"/>
    </row>
    <row r="1174" spans="13:44">
      <c r="M1174" s="38"/>
      <c r="N1174" s="38"/>
      <c r="O1174" s="40"/>
      <c r="P1174" s="40"/>
      <c r="Q1174" s="40"/>
      <c r="R1174" s="40"/>
      <c r="S1174" s="40"/>
      <c r="T1174" s="40"/>
      <c r="U1174" s="40"/>
      <c r="V1174" s="40"/>
      <c r="W1174" s="40"/>
      <c r="X1174" s="40"/>
      <c r="Z1174" s="38"/>
      <c r="AA1174" s="38"/>
      <c r="AB1174" s="38"/>
      <c r="AC1174" s="122"/>
      <c r="AD1174"/>
      <c r="AE1174" s="38"/>
      <c r="AF1174" s="38"/>
      <c r="AG1174" s="43"/>
      <c r="AH1174" s="38"/>
      <c r="AI1174" s="38"/>
      <c r="AN1174" s="38"/>
      <c r="AO1174" s="38"/>
      <c r="AR1174" s="38"/>
    </row>
    <row r="1175" spans="13:44">
      <c r="M1175" s="38"/>
      <c r="N1175" s="38"/>
      <c r="O1175" s="40"/>
      <c r="P1175" s="40"/>
      <c r="Q1175" s="40"/>
      <c r="R1175" s="40"/>
      <c r="S1175" s="40"/>
      <c r="T1175" s="40"/>
      <c r="U1175" s="40"/>
      <c r="V1175" s="40"/>
      <c r="W1175" s="40"/>
      <c r="X1175" s="40"/>
      <c r="Z1175" s="38"/>
      <c r="AA1175" s="38"/>
      <c r="AB1175" s="38"/>
      <c r="AC1175" s="122"/>
      <c r="AD1175"/>
      <c r="AE1175" s="38"/>
      <c r="AF1175" s="38"/>
      <c r="AG1175" s="43"/>
      <c r="AH1175" s="38"/>
      <c r="AI1175" s="38"/>
      <c r="AN1175" s="38"/>
      <c r="AO1175" s="38"/>
      <c r="AR1175" s="38"/>
    </row>
    <row r="1176" spans="13:44">
      <c r="M1176" s="38"/>
      <c r="N1176" s="38"/>
      <c r="O1176" s="40"/>
      <c r="P1176" s="40"/>
      <c r="Q1176" s="40"/>
      <c r="R1176" s="40"/>
      <c r="S1176" s="40"/>
      <c r="T1176" s="40"/>
      <c r="U1176" s="40"/>
      <c r="V1176" s="40"/>
      <c r="W1176" s="40"/>
      <c r="X1176" s="40"/>
      <c r="Z1176" s="38"/>
      <c r="AA1176" s="38"/>
      <c r="AB1176" s="38"/>
      <c r="AC1176" s="122"/>
      <c r="AD1176"/>
      <c r="AE1176" s="38"/>
      <c r="AF1176" s="38"/>
      <c r="AG1176" s="43"/>
      <c r="AH1176" s="38"/>
      <c r="AI1176" s="38"/>
      <c r="AN1176" s="38"/>
      <c r="AO1176" s="38"/>
      <c r="AR1176" s="38"/>
    </row>
    <row r="1177" spans="13:44">
      <c r="M1177" s="38"/>
      <c r="N1177" s="38"/>
      <c r="O1177" s="40"/>
      <c r="P1177" s="40"/>
      <c r="Q1177" s="40"/>
      <c r="R1177" s="40"/>
      <c r="S1177" s="40"/>
      <c r="T1177" s="40"/>
      <c r="U1177" s="40"/>
      <c r="V1177" s="40"/>
      <c r="W1177" s="40"/>
      <c r="X1177" s="40"/>
      <c r="Z1177" s="38"/>
      <c r="AA1177" s="38"/>
      <c r="AB1177" s="38"/>
      <c r="AC1177" s="122"/>
      <c r="AD1177"/>
      <c r="AE1177" s="38"/>
      <c r="AF1177" s="38"/>
      <c r="AG1177" s="43"/>
      <c r="AH1177" s="38"/>
      <c r="AI1177" s="38"/>
      <c r="AN1177" s="38"/>
      <c r="AO1177" s="38"/>
      <c r="AR1177" s="38"/>
    </row>
    <row r="1178" spans="13:44">
      <c r="M1178" s="38"/>
      <c r="N1178" s="38"/>
      <c r="O1178" s="40"/>
      <c r="P1178" s="40"/>
      <c r="Q1178" s="40"/>
      <c r="R1178" s="40"/>
      <c r="S1178" s="40"/>
      <c r="T1178" s="40"/>
      <c r="U1178" s="40"/>
      <c r="V1178" s="40"/>
      <c r="W1178" s="40"/>
      <c r="X1178" s="40"/>
      <c r="Z1178" s="38"/>
      <c r="AA1178" s="38"/>
      <c r="AB1178" s="38"/>
      <c r="AC1178" s="122"/>
      <c r="AD1178"/>
      <c r="AE1178" s="38"/>
      <c r="AF1178" s="38"/>
      <c r="AG1178" s="43"/>
      <c r="AH1178" s="38"/>
      <c r="AI1178" s="38"/>
      <c r="AN1178" s="38"/>
      <c r="AO1178" s="38"/>
      <c r="AR1178" s="38"/>
    </row>
    <row r="1179" spans="13:44">
      <c r="M1179" s="38"/>
      <c r="N1179" s="38"/>
      <c r="O1179" s="40"/>
      <c r="P1179" s="40"/>
      <c r="Q1179" s="40"/>
      <c r="R1179" s="40"/>
      <c r="S1179" s="40"/>
      <c r="T1179" s="40"/>
      <c r="U1179" s="40"/>
      <c r="V1179" s="40"/>
      <c r="W1179" s="40"/>
      <c r="X1179" s="40"/>
      <c r="Z1179" s="38"/>
      <c r="AA1179" s="38"/>
      <c r="AB1179" s="38"/>
      <c r="AC1179" s="122"/>
      <c r="AD1179"/>
      <c r="AE1179" s="38"/>
      <c r="AF1179" s="38"/>
      <c r="AG1179" s="43"/>
      <c r="AH1179" s="38"/>
      <c r="AI1179" s="38"/>
      <c r="AN1179" s="38"/>
      <c r="AO1179" s="38"/>
      <c r="AR1179" s="38"/>
    </row>
    <row r="1180" spans="13:44">
      <c r="M1180" s="38"/>
      <c r="N1180" s="38"/>
      <c r="O1180" s="40"/>
      <c r="P1180" s="40"/>
      <c r="Q1180" s="40"/>
      <c r="R1180" s="40"/>
      <c r="S1180" s="40"/>
      <c r="T1180" s="40"/>
      <c r="U1180" s="40"/>
      <c r="V1180" s="40"/>
      <c r="W1180" s="40"/>
      <c r="X1180" s="40"/>
      <c r="Z1180" s="38"/>
      <c r="AA1180" s="38"/>
      <c r="AB1180" s="38"/>
      <c r="AC1180" s="122"/>
      <c r="AD1180"/>
      <c r="AE1180" s="38"/>
      <c r="AF1180" s="38"/>
      <c r="AG1180" s="43"/>
      <c r="AH1180" s="38"/>
      <c r="AI1180" s="38"/>
      <c r="AN1180" s="38"/>
      <c r="AO1180" s="38"/>
      <c r="AR1180" s="38"/>
    </row>
    <row r="1181" spans="13:44">
      <c r="M1181" s="38"/>
      <c r="N1181" s="38"/>
      <c r="O1181" s="40"/>
      <c r="P1181" s="40"/>
      <c r="Q1181" s="40"/>
      <c r="R1181" s="40"/>
      <c r="S1181" s="40"/>
      <c r="T1181" s="40"/>
      <c r="U1181" s="40"/>
      <c r="V1181" s="40"/>
      <c r="W1181" s="40"/>
      <c r="X1181" s="40"/>
      <c r="Z1181" s="38"/>
      <c r="AA1181" s="38"/>
      <c r="AB1181" s="38"/>
      <c r="AC1181" s="122"/>
      <c r="AD1181"/>
      <c r="AE1181" s="38"/>
      <c r="AF1181" s="38"/>
      <c r="AG1181" s="43"/>
      <c r="AH1181" s="38"/>
      <c r="AI1181" s="38"/>
      <c r="AN1181" s="38"/>
      <c r="AO1181" s="38"/>
      <c r="AR1181" s="38"/>
    </row>
    <row r="1182" spans="13:44">
      <c r="M1182" s="38"/>
      <c r="N1182" s="38"/>
      <c r="O1182" s="40"/>
      <c r="P1182" s="40"/>
      <c r="Q1182" s="40"/>
      <c r="R1182" s="40"/>
      <c r="S1182" s="40"/>
      <c r="T1182" s="40"/>
      <c r="U1182" s="40"/>
      <c r="V1182" s="40"/>
      <c r="W1182" s="40"/>
      <c r="X1182" s="40"/>
      <c r="Z1182" s="38"/>
      <c r="AA1182" s="38"/>
      <c r="AB1182" s="38"/>
      <c r="AC1182" s="122"/>
      <c r="AD1182"/>
      <c r="AE1182" s="38"/>
      <c r="AF1182" s="38"/>
      <c r="AG1182" s="43"/>
      <c r="AH1182" s="38"/>
      <c r="AI1182" s="38"/>
      <c r="AN1182" s="38"/>
      <c r="AO1182" s="38"/>
      <c r="AR1182" s="38"/>
    </row>
    <row r="1183" spans="13:44">
      <c r="M1183" s="38"/>
      <c r="N1183" s="38"/>
      <c r="O1183" s="40"/>
      <c r="P1183" s="40"/>
      <c r="Q1183" s="40"/>
      <c r="R1183" s="40"/>
      <c r="S1183" s="40"/>
      <c r="T1183" s="40"/>
      <c r="U1183" s="40"/>
      <c r="V1183" s="40"/>
      <c r="W1183" s="40"/>
      <c r="X1183" s="40"/>
      <c r="Z1183" s="38"/>
      <c r="AA1183" s="38"/>
      <c r="AB1183" s="38"/>
      <c r="AC1183" s="122"/>
      <c r="AD1183"/>
      <c r="AE1183" s="38"/>
      <c r="AF1183" s="38"/>
      <c r="AG1183" s="43"/>
      <c r="AH1183" s="38"/>
      <c r="AI1183" s="38"/>
      <c r="AN1183" s="38"/>
      <c r="AO1183" s="38"/>
      <c r="AR1183" s="38"/>
    </row>
    <row r="1184" spans="13:44">
      <c r="M1184" s="38"/>
      <c r="N1184" s="38"/>
      <c r="O1184" s="40"/>
      <c r="P1184" s="40"/>
      <c r="Q1184" s="40"/>
      <c r="R1184" s="40"/>
      <c r="S1184" s="40"/>
      <c r="T1184" s="40"/>
      <c r="U1184" s="40"/>
      <c r="V1184" s="40"/>
      <c r="W1184" s="40"/>
      <c r="X1184" s="40"/>
      <c r="Z1184" s="38"/>
      <c r="AA1184" s="38"/>
      <c r="AB1184" s="38"/>
      <c r="AC1184" s="122"/>
      <c r="AD1184"/>
      <c r="AE1184" s="38"/>
      <c r="AF1184" s="38"/>
      <c r="AG1184" s="43"/>
      <c r="AH1184" s="38"/>
      <c r="AI1184" s="38"/>
      <c r="AN1184" s="38"/>
      <c r="AO1184" s="38"/>
      <c r="AR1184" s="38"/>
    </row>
    <row r="1185" spans="13:44">
      <c r="M1185" s="38"/>
      <c r="N1185" s="38"/>
      <c r="O1185" s="40"/>
      <c r="P1185" s="40"/>
      <c r="Q1185" s="40"/>
      <c r="R1185" s="40"/>
      <c r="S1185" s="40"/>
      <c r="T1185" s="40"/>
      <c r="U1185" s="40"/>
      <c r="V1185" s="40"/>
      <c r="W1185" s="40"/>
      <c r="X1185" s="40"/>
      <c r="Z1185" s="38"/>
      <c r="AA1185" s="38"/>
      <c r="AB1185" s="38"/>
      <c r="AC1185" s="122"/>
      <c r="AD1185"/>
      <c r="AE1185" s="38"/>
      <c r="AF1185" s="38"/>
      <c r="AG1185" s="43"/>
      <c r="AH1185" s="38"/>
      <c r="AI1185" s="38"/>
      <c r="AN1185" s="38"/>
      <c r="AO1185" s="38"/>
      <c r="AR1185" s="38"/>
    </row>
    <row r="1186" spans="13:44">
      <c r="M1186" s="38"/>
      <c r="N1186" s="38"/>
      <c r="O1186" s="40"/>
      <c r="P1186" s="40"/>
      <c r="Q1186" s="40"/>
      <c r="R1186" s="40"/>
      <c r="S1186" s="40"/>
      <c r="T1186" s="40"/>
      <c r="U1186" s="40"/>
      <c r="V1186" s="40"/>
      <c r="W1186" s="40"/>
      <c r="X1186" s="40"/>
      <c r="Z1186" s="38"/>
      <c r="AA1186" s="38"/>
      <c r="AB1186" s="38"/>
      <c r="AC1186" s="122"/>
      <c r="AD1186"/>
      <c r="AE1186" s="38"/>
      <c r="AF1186" s="38"/>
      <c r="AG1186" s="43"/>
      <c r="AH1186" s="38"/>
      <c r="AI1186" s="38"/>
      <c r="AN1186" s="38"/>
      <c r="AO1186" s="38"/>
      <c r="AR1186" s="38"/>
    </row>
    <row r="1187" spans="13:44">
      <c r="M1187" s="38"/>
      <c r="N1187" s="38"/>
      <c r="O1187" s="40"/>
      <c r="P1187" s="40"/>
      <c r="Q1187" s="40"/>
      <c r="R1187" s="40"/>
      <c r="S1187" s="40"/>
      <c r="T1187" s="40"/>
      <c r="U1187" s="40"/>
      <c r="V1187" s="40"/>
      <c r="W1187" s="40"/>
      <c r="X1187" s="40"/>
      <c r="Z1187" s="38"/>
      <c r="AA1187" s="38"/>
      <c r="AB1187" s="38"/>
      <c r="AC1187" s="122"/>
      <c r="AD1187"/>
      <c r="AE1187" s="38"/>
      <c r="AF1187" s="38"/>
      <c r="AG1187" s="43"/>
      <c r="AH1187" s="38"/>
      <c r="AI1187" s="38"/>
      <c r="AN1187" s="38"/>
      <c r="AO1187" s="38"/>
      <c r="AR1187" s="38"/>
    </row>
    <row r="1188" spans="13:44">
      <c r="M1188" s="38"/>
      <c r="N1188" s="38"/>
      <c r="O1188" s="40"/>
      <c r="P1188" s="40"/>
      <c r="Q1188" s="40"/>
      <c r="R1188" s="40"/>
      <c r="S1188" s="40"/>
      <c r="T1188" s="40"/>
      <c r="U1188" s="40"/>
      <c r="V1188" s="40"/>
      <c r="W1188" s="40"/>
      <c r="X1188" s="40"/>
      <c r="Z1188" s="38"/>
      <c r="AA1188" s="38"/>
      <c r="AB1188" s="38"/>
      <c r="AC1188" s="122"/>
      <c r="AD1188"/>
      <c r="AE1188" s="38"/>
      <c r="AF1188" s="38"/>
      <c r="AG1188" s="43"/>
      <c r="AH1188" s="38"/>
      <c r="AI1188" s="38"/>
      <c r="AN1188" s="38"/>
      <c r="AO1188" s="38"/>
      <c r="AR1188" s="38"/>
    </row>
    <row r="1189" spans="13:44">
      <c r="M1189" s="38"/>
      <c r="N1189" s="38"/>
      <c r="O1189" s="40"/>
      <c r="P1189" s="40"/>
      <c r="Q1189" s="40"/>
      <c r="R1189" s="40"/>
      <c r="S1189" s="40"/>
      <c r="T1189" s="40"/>
      <c r="U1189" s="40"/>
      <c r="V1189" s="40"/>
      <c r="W1189" s="40"/>
      <c r="X1189" s="40"/>
      <c r="Z1189" s="38"/>
      <c r="AA1189" s="38"/>
      <c r="AB1189" s="38"/>
      <c r="AC1189" s="122"/>
      <c r="AD1189"/>
      <c r="AE1189" s="38"/>
      <c r="AF1189" s="38"/>
      <c r="AG1189" s="43"/>
      <c r="AH1189" s="38"/>
      <c r="AI1189" s="38"/>
      <c r="AN1189" s="38"/>
      <c r="AO1189" s="38"/>
      <c r="AR1189" s="38"/>
    </row>
    <row r="1190" spans="13:44">
      <c r="M1190" s="38"/>
      <c r="N1190" s="38"/>
      <c r="O1190" s="40"/>
      <c r="P1190" s="40"/>
      <c r="Q1190" s="40"/>
      <c r="R1190" s="40"/>
      <c r="S1190" s="40"/>
      <c r="T1190" s="40"/>
      <c r="U1190" s="40"/>
      <c r="V1190" s="40"/>
      <c r="W1190" s="40"/>
      <c r="X1190" s="40"/>
      <c r="Z1190" s="38"/>
      <c r="AA1190" s="38"/>
      <c r="AB1190" s="38"/>
      <c r="AC1190" s="122"/>
      <c r="AD1190"/>
      <c r="AE1190" s="38"/>
      <c r="AF1190" s="38"/>
      <c r="AG1190" s="43"/>
      <c r="AH1190" s="38"/>
      <c r="AI1190" s="38"/>
      <c r="AN1190" s="38"/>
      <c r="AO1190" s="38"/>
      <c r="AR1190" s="38"/>
    </row>
    <row r="1191" spans="13:44">
      <c r="M1191" s="38"/>
      <c r="N1191" s="38"/>
      <c r="O1191" s="40"/>
      <c r="P1191" s="40"/>
      <c r="Q1191" s="40"/>
      <c r="R1191" s="40"/>
      <c r="S1191" s="40"/>
      <c r="T1191" s="40"/>
      <c r="U1191" s="40"/>
      <c r="V1191" s="40"/>
      <c r="W1191" s="40"/>
      <c r="X1191" s="40"/>
      <c r="Z1191" s="38"/>
      <c r="AA1191" s="38"/>
      <c r="AB1191" s="38"/>
      <c r="AC1191" s="122"/>
      <c r="AD1191"/>
      <c r="AE1191" s="38"/>
      <c r="AF1191" s="38"/>
      <c r="AG1191" s="43"/>
      <c r="AH1191" s="38"/>
      <c r="AI1191" s="38"/>
      <c r="AN1191" s="38"/>
      <c r="AO1191" s="38"/>
      <c r="AR1191" s="38"/>
    </row>
    <row r="1192" spans="13:44">
      <c r="M1192" s="38"/>
      <c r="N1192" s="38"/>
      <c r="O1192" s="40"/>
      <c r="P1192" s="40"/>
      <c r="Q1192" s="40"/>
      <c r="R1192" s="40"/>
      <c r="S1192" s="40"/>
      <c r="T1192" s="40"/>
      <c r="U1192" s="40"/>
      <c r="V1192" s="40"/>
      <c r="W1192" s="40"/>
      <c r="X1192" s="40"/>
      <c r="Z1192" s="38"/>
      <c r="AA1192" s="38"/>
      <c r="AB1192" s="38"/>
      <c r="AC1192" s="122"/>
      <c r="AD1192"/>
      <c r="AE1192" s="38"/>
      <c r="AF1192" s="38"/>
      <c r="AG1192" s="43"/>
      <c r="AH1192" s="38"/>
      <c r="AI1192" s="38"/>
      <c r="AN1192" s="38"/>
      <c r="AO1192" s="38"/>
      <c r="AR1192" s="38"/>
    </row>
    <row r="1193" spans="13:44">
      <c r="M1193" s="38"/>
      <c r="N1193" s="38"/>
      <c r="O1193" s="40"/>
      <c r="P1193" s="40"/>
      <c r="Q1193" s="40"/>
      <c r="R1193" s="40"/>
      <c r="S1193" s="40"/>
      <c r="T1193" s="40"/>
      <c r="U1193" s="40"/>
      <c r="V1193" s="40"/>
      <c r="W1193" s="40"/>
      <c r="X1193" s="40"/>
      <c r="Z1193" s="38"/>
      <c r="AA1193" s="38"/>
      <c r="AB1193" s="38"/>
      <c r="AC1193" s="122"/>
      <c r="AD1193"/>
      <c r="AE1193" s="38"/>
      <c r="AF1193" s="38"/>
      <c r="AG1193" s="43"/>
      <c r="AH1193" s="38"/>
      <c r="AI1193" s="38"/>
      <c r="AN1193" s="38"/>
      <c r="AO1193" s="38"/>
      <c r="AR1193" s="38"/>
    </row>
    <row r="1194" spans="13:44">
      <c r="M1194" s="38"/>
      <c r="N1194" s="38"/>
      <c r="O1194" s="40"/>
      <c r="P1194" s="40"/>
      <c r="Q1194" s="40"/>
      <c r="R1194" s="40"/>
      <c r="S1194" s="40"/>
      <c r="T1194" s="40"/>
      <c r="U1194" s="40"/>
      <c r="V1194" s="40"/>
      <c r="W1194" s="40"/>
      <c r="X1194" s="40"/>
      <c r="Z1194" s="38"/>
      <c r="AA1194" s="38"/>
      <c r="AB1194" s="38"/>
      <c r="AC1194" s="122"/>
      <c r="AD1194"/>
      <c r="AE1194" s="38"/>
      <c r="AF1194" s="38"/>
      <c r="AG1194" s="43"/>
      <c r="AH1194" s="38"/>
      <c r="AI1194" s="38"/>
      <c r="AN1194" s="38"/>
      <c r="AO1194" s="38"/>
      <c r="AR1194" s="38"/>
    </row>
    <row r="1195" spans="13:44">
      <c r="M1195" s="38"/>
      <c r="N1195" s="38"/>
      <c r="O1195" s="40"/>
      <c r="P1195" s="40"/>
      <c r="Q1195" s="40"/>
      <c r="R1195" s="40"/>
      <c r="S1195" s="40"/>
      <c r="T1195" s="40"/>
      <c r="U1195" s="40"/>
      <c r="V1195" s="40"/>
      <c r="W1195" s="40"/>
      <c r="X1195" s="40"/>
      <c r="Z1195" s="38"/>
      <c r="AA1195" s="38"/>
      <c r="AB1195" s="38"/>
      <c r="AC1195" s="122"/>
      <c r="AD1195"/>
      <c r="AE1195" s="38"/>
      <c r="AF1195" s="38"/>
      <c r="AG1195" s="43"/>
      <c r="AH1195" s="38"/>
      <c r="AI1195" s="38"/>
      <c r="AN1195" s="38"/>
      <c r="AO1195" s="38"/>
      <c r="AR1195" s="38"/>
    </row>
    <row r="1196" spans="13:44">
      <c r="M1196" s="38"/>
      <c r="N1196" s="38"/>
      <c r="O1196" s="40"/>
      <c r="P1196" s="40"/>
      <c r="Q1196" s="40"/>
      <c r="R1196" s="40"/>
      <c r="S1196" s="40"/>
      <c r="T1196" s="40"/>
      <c r="U1196" s="40"/>
      <c r="V1196" s="40"/>
      <c r="W1196" s="40"/>
      <c r="X1196" s="40"/>
      <c r="Z1196" s="38"/>
      <c r="AA1196" s="38"/>
      <c r="AB1196" s="38"/>
      <c r="AC1196" s="122"/>
      <c r="AD1196"/>
      <c r="AE1196" s="38"/>
      <c r="AF1196" s="38"/>
      <c r="AG1196" s="43"/>
      <c r="AH1196" s="38"/>
      <c r="AI1196" s="38"/>
      <c r="AN1196" s="38"/>
      <c r="AO1196" s="38"/>
      <c r="AR1196" s="38"/>
    </row>
    <row r="1197" spans="13:44">
      <c r="M1197" s="38"/>
      <c r="N1197" s="38"/>
      <c r="O1197" s="40"/>
      <c r="P1197" s="40"/>
      <c r="Q1197" s="40"/>
      <c r="R1197" s="40"/>
      <c r="S1197" s="40"/>
      <c r="T1197" s="40"/>
      <c r="U1197" s="40"/>
      <c r="V1197" s="40"/>
      <c r="W1197" s="40"/>
      <c r="X1197" s="40"/>
      <c r="Z1197" s="38"/>
      <c r="AA1197" s="38"/>
      <c r="AB1197" s="38"/>
      <c r="AC1197" s="122"/>
      <c r="AD1197"/>
      <c r="AE1197" s="38"/>
      <c r="AF1197" s="38"/>
      <c r="AG1197" s="43"/>
      <c r="AH1197" s="38"/>
      <c r="AI1197" s="38"/>
      <c r="AN1197" s="38"/>
      <c r="AO1197" s="38"/>
      <c r="AR1197" s="38"/>
    </row>
    <row r="1198" spans="13:44">
      <c r="M1198" s="38"/>
      <c r="N1198" s="38"/>
      <c r="O1198" s="40"/>
      <c r="P1198" s="40"/>
      <c r="Q1198" s="40"/>
      <c r="R1198" s="40"/>
      <c r="S1198" s="40"/>
      <c r="T1198" s="40"/>
      <c r="U1198" s="40"/>
      <c r="V1198" s="40"/>
      <c r="W1198" s="40"/>
      <c r="X1198" s="40"/>
      <c r="Z1198" s="38"/>
      <c r="AA1198" s="38"/>
      <c r="AB1198" s="38"/>
      <c r="AC1198" s="122"/>
      <c r="AD1198"/>
      <c r="AE1198" s="38"/>
      <c r="AF1198" s="38"/>
      <c r="AG1198" s="43"/>
      <c r="AH1198" s="38"/>
      <c r="AI1198" s="38"/>
      <c r="AN1198" s="38"/>
      <c r="AO1198" s="38"/>
      <c r="AR1198" s="38"/>
    </row>
    <row r="1199" spans="13:44">
      <c r="M1199" s="38"/>
      <c r="N1199" s="38"/>
      <c r="O1199" s="40"/>
      <c r="P1199" s="40"/>
      <c r="Q1199" s="40"/>
      <c r="R1199" s="40"/>
      <c r="S1199" s="40"/>
      <c r="T1199" s="40"/>
      <c r="U1199" s="40"/>
      <c r="V1199" s="40"/>
      <c r="W1199" s="40"/>
      <c r="X1199" s="40"/>
      <c r="Z1199" s="38"/>
      <c r="AA1199" s="38"/>
      <c r="AB1199" s="38"/>
      <c r="AC1199" s="122"/>
      <c r="AD1199"/>
      <c r="AE1199" s="38"/>
      <c r="AF1199" s="38"/>
      <c r="AG1199" s="43"/>
      <c r="AH1199" s="38"/>
      <c r="AI1199" s="38"/>
      <c r="AN1199" s="38"/>
      <c r="AO1199" s="38"/>
      <c r="AR1199" s="38"/>
    </row>
    <row r="1200" spans="13:44">
      <c r="M1200" s="38"/>
      <c r="N1200" s="38"/>
      <c r="O1200" s="40"/>
      <c r="P1200" s="40"/>
      <c r="Q1200" s="40"/>
      <c r="R1200" s="40"/>
      <c r="S1200" s="40"/>
      <c r="T1200" s="40"/>
      <c r="U1200" s="40"/>
      <c r="V1200" s="40"/>
      <c r="W1200" s="40"/>
      <c r="X1200" s="40"/>
      <c r="Z1200" s="38"/>
      <c r="AA1200" s="38"/>
      <c r="AB1200" s="38"/>
      <c r="AC1200" s="122"/>
      <c r="AD1200"/>
      <c r="AE1200" s="38"/>
      <c r="AF1200" s="38"/>
      <c r="AG1200" s="43"/>
      <c r="AH1200" s="38"/>
      <c r="AI1200" s="38"/>
      <c r="AN1200" s="38"/>
      <c r="AO1200" s="38"/>
      <c r="AR1200" s="38"/>
    </row>
    <row r="1201" spans="13:44">
      <c r="M1201" s="38"/>
      <c r="N1201" s="38"/>
      <c r="O1201" s="40"/>
      <c r="P1201" s="40"/>
      <c r="Q1201" s="40"/>
      <c r="R1201" s="40"/>
      <c r="S1201" s="40"/>
      <c r="T1201" s="40"/>
      <c r="U1201" s="40"/>
      <c r="V1201" s="40"/>
      <c r="W1201" s="40"/>
      <c r="X1201" s="40"/>
      <c r="Z1201" s="38"/>
      <c r="AA1201" s="38"/>
      <c r="AB1201" s="38"/>
      <c r="AC1201" s="122"/>
      <c r="AD1201"/>
      <c r="AE1201" s="38"/>
      <c r="AF1201" s="38"/>
      <c r="AG1201" s="43"/>
      <c r="AH1201" s="38"/>
      <c r="AI1201" s="38"/>
      <c r="AN1201" s="38"/>
      <c r="AO1201" s="38"/>
      <c r="AR1201" s="38"/>
    </row>
    <row r="1202" spans="13:44">
      <c r="M1202" s="38"/>
      <c r="N1202" s="38"/>
      <c r="O1202" s="40"/>
      <c r="P1202" s="40"/>
      <c r="Q1202" s="40"/>
      <c r="R1202" s="40"/>
      <c r="S1202" s="40"/>
      <c r="T1202" s="40"/>
      <c r="U1202" s="40"/>
      <c r="V1202" s="40"/>
      <c r="W1202" s="40"/>
      <c r="X1202" s="40"/>
      <c r="Z1202" s="38"/>
      <c r="AA1202" s="38"/>
      <c r="AB1202" s="38"/>
      <c r="AC1202" s="122"/>
      <c r="AD1202"/>
      <c r="AE1202" s="38"/>
      <c r="AF1202" s="38"/>
      <c r="AG1202" s="43"/>
      <c r="AH1202" s="38"/>
      <c r="AI1202" s="38"/>
      <c r="AN1202" s="38"/>
      <c r="AO1202" s="38"/>
      <c r="AR1202" s="38"/>
    </row>
    <row r="1203" spans="13:44">
      <c r="M1203" s="38"/>
      <c r="N1203" s="38"/>
      <c r="O1203" s="40"/>
      <c r="P1203" s="40"/>
      <c r="Q1203" s="40"/>
      <c r="R1203" s="40"/>
      <c r="S1203" s="40"/>
      <c r="T1203" s="40"/>
      <c r="U1203" s="40"/>
      <c r="V1203" s="40"/>
      <c r="W1203" s="40"/>
      <c r="X1203" s="40"/>
      <c r="Z1203" s="38"/>
      <c r="AA1203" s="38"/>
      <c r="AB1203" s="38"/>
      <c r="AC1203" s="122"/>
      <c r="AD1203"/>
      <c r="AE1203" s="38"/>
      <c r="AF1203" s="38"/>
      <c r="AG1203" s="43"/>
      <c r="AH1203" s="38"/>
      <c r="AI1203" s="38"/>
      <c r="AN1203" s="38"/>
      <c r="AO1203" s="38"/>
      <c r="AR1203" s="38"/>
    </row>
    <row r="1204" spans="13:44">
      <c r="M1204" s="38"/>
      <c r="N1204" s="38"/>
      <c r="O1204" s="40"/>
      <c r="P1204" s="40"/>
      <c r="Q1204" s="40"/>
      <c r="R1204" s="40"/>
      <c r="S1204" s="40"/>
      <c r="T1204" s="40"/>
      <c r="U1204" s="40"/>
      <c r="V1204" s="40"/>
      <c r="W1204" s="40"/>
      <c r="X1204" s="40"/>
      <c r="Z1204" s="38"/>
      <c r="AA1204" s="38"/>
      <c r="AB1204" s="38"/>
      <c r="AC1204" s="122"/>
      <c r="AD1204"/>
      <c r="AE1204" s="38"/>
      <c r="AF1204" s="38"/>
      <c r="AG1204" s="43"/>
      <c r="AH1204" s="38"/>
      <c r="AI1204" s="38"/>
      <c r="AN1204" s="38"/>
      <c r="AO1204" s="38"/>
      <c r="AR1204" s="38"/>
    </row>
    <row r="1205" spans="13:44">
      <c r="M1205" s="38"/>
      <c r="N1205" s="38"/>
      <c r="O1205" s="40"/>
      <c r="P1205" s="40"/>
      <c r="Q1205" s="40"/>
      <c r="R1205" s="40"/>
      <c r="S1205" s="40"/>
      <c r="T1205" s="40"/>
      <c r="U1205" s="40"/>
      <c r="V1205" s="40"/>
      <c r="W1205" s="40"/>
      <c r="X1205" s="40"/>
      <c r="Z1205" s="38"/>
      <c r="AA1205" s="38"/>
      <c r="AB1205" s="38"/>
      <c r="AC1205" s="122"/>
      <c r="AD1205"/>
      <c r="AE1205" s="38"/>
      <c r="AF1205" s="38"/>
      <c r="AG1205" s="43"/>
      <c r="AH1205" s="38"/>
      <c r="AI1205" s="38"/>
      <c r="AN1205" s="38"/>
      <c r="AO1205" s="38"/>
      <c r="AR1205" s="38"/>
    </row>
    <row r="1206" spans="13:44">
      <c r="M1206" s="38"/>
      <c r="N1206" s="38"/>
      <c r="O1206" s="40"/>
      <c r="P1206" s="40"/>
      <c r="Q1206" s="40"/>
      <c r="R1206" s="40"/>
      <c r="S1206" s="40"/>
      <c r="T1206" s="40"/>
      <c r="U1206" s="40"/>
      <c r="V1206" s="40"/>
      <c r="W1206" s="40"/>
      <c r="X1206" s="40"/>
      <c r="Z1206" s="38"/>
      <c r="AA1206" s="38"/>
      <c r="AB1206" s="38"/>
      <c r="AC1206" s="122"/>
      <c r="AD1206"/>
      <c r="AE1206" s="38"/>
      <c r="AF1206" s="38"/>
      <c r="AG1206" s="43"/>
      <c r="AH1206" s="38"/>
      <c r="AI1206" s="38"/>
      <c r="AN1206" s="38"/>
      <c r="AO1206" s="38"/>
      <c r="AR1206" s="38"/>
    </row>
    <row r="1207" spans="13:44">
      <c r="M1207" s="38"/>
      <c r="N1207" s="38"/>
      <c r="O1207" s="40"/>
      <c r="P1207" s="40"/>
      <c r="Q1207" s="40"/>
      <c r="R1207" s="40"/>
      <c r="S1207" s="40"/>
      <c r="T1207" s="40"/>
      <c r="U1207" s="40"/>
      <c r="V1207" s="40"/>
      <c r="W1207" s="40"/>
      <c r="X1207" s="40"/>
      <c r="Z1207" s="38"/>
      <c r="AA1207" s="38"/>
      <c r="AB1207" s="38"/>
      <c r="AC1207" s="122"/>
      <c r="AD1207"/>
      <c r="AE1207" s="38"/>
      <c r="AF1207" s="38"/>
      <c r="AG1207" s="43"/>
      <c r="AH1207" s="38"/>
      <c r="AI1207" s="38"/>
      <c r="AN1207" s="38"/>
      <c r="AO1207" s="38"/>
      <c r="AR1207" s="38"/>
    </row>
    <row r="1208" spans="13:44">
      <c r="M1208" s="38"/>
      <c r="N1208" s="38"/>
      <c r="O1208" s="40"/>
      <c r="P1208" s="40"/>
      <c r="Q1208" s="40"/>
      <c r="R1208" s="40"/>
      <c r="S1208" s="40"/>
      <c r="T1208" s="40"/>
      <c r="U1208" s="40"/>
      <c r="V1208" s="40"/>
      <c r="W1208" s="40"/>
      <c r="X1208" s="40"/>
      <c r="Z1208" s="38"/>
      <c r="AA1208" s="38"/>
      <c r="AB1208" s="38"/>
      <c r="AC1208" s="122"/>
      <c r="AD1208"/>
      <c r="AE1208" s="38"/>
      <c r="AF1208" s="38"/>
      <c r="AG1208" s="43"/>
      <c r="AH1208" s="38"/>
      <c r="AI1208" s="38"/>
      <c r="AN1208" s="38"/>
      <c r="AO1208" s="38"/>
      <c r="AR1208" s="38"/>
    </row>
    <row r="1209" spans="13:44">
      <c r="M1209" s="38"/>
      <c r="N1209" s="38"/>
      <c r="O1209" s="40"/>
      <c r="P1209" s="40"/>
      <c r="Q1209" s="40"/>
      <c r="R1209" s="40"/>
      <c r="S1209" s="40"/>
      <c r="T1209" s="40"/>
      <c r="U1209" s="40"/>
      <c r="V1209" s="40"/>
      <c r="W1209" s="40"/>
      <c r="X1209" s="40"/>
      <c r="Z1209" s="38"/>
      <c r="AA1209" s="38"/>
      <c r="AB1209" s="38"/>
      <c r="AC1209" s="122"/>
      <c r="AD1209"/>
      <c r="AE1209" s="38"/>
      <c r="AF1209" s="38"/>
      <c r="AG1209" s="43"/>
      <c r="AH1209" s="38"/>
      <c r="AI1209" s="38"/>
      <c r="AN1209" s="38"/>
      <c r="AO1209" s="38"/>
      <c r="AR1209" s="38"/>
    </row>
    <row r="1210" spans="13:44">
      <c r="M1210" s="38"/>
      <c r="N1210" s="38"/>
      <c r="O1210" s="40"/>
      <c r="P1210" s="40"/>
      <c r="Q1210" s="40"/>
      <c r="R1210" s="40"/>
      <c r="S1210" s="40"/>
      <c r="T1210" s="40"/>
      <c r="U1210" s="40"/>
      <c r="V1210" s="40"/>
      <c r="W1210" s="40"/>
      <c r="X1210" s="40"/>
      <c r="Z1210" s="38"/>
      <c r="AA1210" s="38"/>
      <c r="AB1210" s="38"/>
      <c r="AC1210" s="122"/>
      <c r="AD1210"/>
      <c r="AE1210" s="38"/>
      <c r="AF1210" s="38"/>
      <c r="AG1210" s="43"/>
      <c r="AH1210" s="38"/>
      <c r="AI1210" s="38"/>
      <c r="AN1210" s="38"/>
      <c r="AO1210" s="38"/>
      <c r="AR1210" s="38"/>
    </row>
    <row r="1211" spans="13:44">
      <c r="M1211" s="38"/>
      <c r="N1211" s="38"/>
      <c r="O1211" s="40"/>
      <c r="P1211" s="40"/>
      <c r="Q1211" s="40"/>
      <c r="R1211" s="40"/>
      <c r="S1211" s="40"/>
      <c r="T1211" s="40"/>
      <c r="U1211" s="40"/>
      <c r="V1211" s="40"/>
      <c r="W1211" s="40"/>
      <c r="X1211" s="40"/>
      <c r="Z1211" s="38"/>
      <c r="AA1211" s="38"/>
      <c r="AB1211" s="38"/>
      <c r="AC1211" s="122"/>
      <c r="AD1211"/>
      <c r="AE1211" s="38"/>
      <c r="AF1211" s="38"/>
      <c r="AG1211" s="43"/>
      <c r="AH1211" s="38"/>
      <c r="AI1211" s="38"/>
      <c r="AN1211" s="38"/>
      <c r="AO1211" s="38"/>
      <c r="AR1211" s="38"/>
    </row>
    <row r="1212" spans="13:44">
      <c r="M1212" s="38"/>
      <c r="N1212" s="38"/>
      <c r="O1212" s="40"/>
      <c r="P1212" s="40"/>
      <c r="Q1212" s="40"/>
      <c r="R1212" s="40"/>
      <c r="S1212" s="40"/>
      <c r="T1212" s="40"/>
      <c r="U1212" s="40"/>
      <c r="V1212" s="40"/>
      <c r="W1212" s="40"/>
      <c r="X1212" s="40"/>
      <c r="Z1212" s="38"/>
      <c r="AA1212" s="38"/>
      <c r="AB1212" s="38"/>
      <c r="AC1212" s="122"/>
      <c r="AD1212"/>
      <c r="AE1212" s="38"/>
      <c r="AF1212" s="38"/>
      <c r="AG1212" s="43"/>
      <c r="AH1212" s="38"/>
      <c r="AI1212" s="38"/>
      <c r="AN1212" s="38"/>
      <c r="AO1212" s="38"/>
      <c r="AR1212" s="38"/>
    </row>
    <row r="1213" spans="13:44">
      <c r="M1213" s="38"/>
      <c r="N1213" s="38"/>
      <c r="O1213" s="40"/>
      <c r="P1213" s="40"/>
      <c r="Q1213" s="40"/>
      <c r="R1213" s="40"/>
      <c r="S1213" s="40"/>
      <c r="T1213" s="40"/>
      <c r="U1213" s="40"/>
      <c r="V1213" s="40"/>
      <c r="W1213" s="40"/>
      <c r="X1213" s="40"/>
      <c r="Z1213" s="38"/>
      <c r="AA1213" s="38"/>
      <c r="AB1213" s="38"/>
      <c r="AC1213" s="122"/>
      <c r="AD1213"/>
      <c r="AE1213" s="38"/>
      <c r="AF1213" s="38"/>
      <c r="AG1213" s="43"/>
      <c r="AH1213" s="38"/>
      <c r="AI1213" s="38"/>
      <c r="AN1213" s="38"/>
      <c r="AO1213" s="38"/>
      <c r="AR1213" s="38"/>
    </row>
    <row r="1214" spans="13:44">
      <c r="M1214" s="38"/>
      <c r="N1214" s="38"/>
      <c r="O1214" s="40"/>
      <c r="P1214" s="40"/>
      <c r="Q1214" s="40"/>
      <c r="R1214" s="40"/>
      <c r="S1214" s="40"/>
      <c r="T1214" s="40"/>
      <c r="U1214" s="40"/>
      <c r="V1214" s="40"/>
      <c r="W1214" s="40"/>
      <c r="X1214" s="40"/>
      <c r="Z1214" s="38"/>
      <c r="AA1214" s="38"/>
      <c r="AB1214" s="38"/>
      <c r="AC1214" s="122"/>
      <c r="AD1214"/>
      <c r="AE1214" s="38"/>
      <c r="AF1214" s="38"/>
      <c r="AG1214" s="43"/>
      <c r="AH1214" s="38"/>
      <c r="AI1214" s="38"/>
      <c r="AN1214" s="38"/>
      <c r="AO1214" s="38"/>
      <c r="AR1214" s="38"/>
    </row>
    <row r="1215" spans="13:44">
      <c r="M1215" s="38"/>
      <c r="N1215" s="38"/>
      <c r="O1215" s="40"/>
      <c r="P1215" s="40"/>
      <c r="Q1215" s="40"/>
      <c r="R1215" s="40"/>
      <c r="S1215" s="40"/>
      <c r="T1215" s="40"/>
      <c r="U1215" s="40"/>
      <c r="V1215" s="40"/>
      <c r="W1215" s="40"/>
      <c r="X1215" s="40"/>
      <c r="Z1215" s="38"/>
      <c r="AA1215" s="38"/>
      <c r="AB1215" s="38"/>
      <c r="AC1215" s="122"/>
      <c r="AD1215"/>
      <c r="AE1215" s="38"/>
      <c r="AF1215" s="38"/>
      <c r="AG1215" s="43"/>
      <c r="AH1215" s="38"/>
      <c r="AI1215" s="38"/>
      <c r="AN1215" s="38"/>
      <c r="AO1215" s="38"/>
      <c r="AR1215" s="38"/>
    </row>
    <row r="1216" spans="13:44">
      <c r="M1216" s="38"/>
      <c r="N1216" s="38"/>
      <c r="O1216" s="40"/>
      <c r="P1216" s="40"/>
      <c r="Q1216" s="40"/>
      <c r="R1216" s="40"/>
      <c r="S1216" s="40"/>
      <c r="T1216" s="40"/>
      <c r="U1216" s="40"/>
      <c r="V1216" s="40"/>
      <c r="W1216" s="40"/>
      <c r="X1216" s="40"/>
      <c r="Z1216" s="38"/>
      <c r="AA1216" s="38"/>
      <c r="AB1216" s="38"/>
      <c r="AC1216" s="122"/>
      <c r="AD1216"/>
      <c r="AE1216" s="38"/>
      <c r="AF1216" s="38"/>
      <c r="AG1216" s="43"/>
      <c r="AH1216" s="38"/>
      <c r="AI1216" s="38"/>
      <c r="AN1216" s="38"/>
      <c r="AO1216" s="38"/>
      <c r="AR1216" s="38"/>
    </row>
    <row r="1217" spans="13:44">
      <c r="M1217" s="38"/>
      <c r="N1217" s="38"/>
      <c r="O1217" s="40"/>
      <c r="P1217" s="40"/>
      <c r="Q1217" s="40"/>
      <c r="R1217" s="40"/>
      <c r="S1217" s="40"/>
      <c r="T1217" s="40"/>
      <c r="U1217" s="40"/>
      <c r="V1217" s="40"/>
      <c r="W1217" s="40"/>
      <c r="X1217" s="40"/>
      <c r="Z1217" s="38"/>
      <c r="AA1217" s="38"/>
      <c r="AB1217" s="38"/>
      <c r="AC1217" s="122"/>
      <c r="AD1217"/>
      <c r="AE1217" s="38"/>
      <c r="AF1217" s="38"/>
      <c r="AG1217" s="43"/>
      <c r="AH1217" s="38"/>
      <c r="AI1217" s="38"/>
      <c r="AN1217" s="38"/>
      <c r="AO1217" s="38"/>
      <c r="AR1217" s="38"/>
    </row>
    <row r="1218" spans="13:44">
      <c r="M1218" s="38"/>
      <c r="N1218" s="38"/>
      <c r="O1218" s="40"/>
      <c r="P1218" s="40"/>
      <c r="Q1218" s="40"/>
      <c r="R1218" s="40"/>
      <c r="S1218" s="40"/>
      <c r="T1218" s="40"/>
      <c r="U1218" s="40"/>
      <c r="V1218" s="40"/>
      <c r="W1218" s="40"/>
      <c r="X1218" s="40"/>
      <c r="Z1218" s="38"/>
      <c r="AA1218" s="38"/>
      <c r="AB1218" s="38"/>
      <c r="AC1218" s="122"/>
      <c r="AD1218"/>
      <c r="AE1218" s="38"/>
      <c r="AF1218" s="38"/>
      <c r="AG1218" s="43"/>
      <c r="AH1218" s="38"/>
      <c r="AI1218" s="38"/>
      <c r="AN1218" s="38"/>
      <c r="AO1218" s="38"/>
      <c r="AR1218" s="38"/>
    </row>
    <row r="1219" spans="13:44">
      <c r="M1219" s="38"/>
      <c r="N1219" s="38"/>
      <c r="O1219" s="40"/>
      <c r="P1219" s="40"/>
      <c r="Q1219" s="40"/>
      <c r="R1219" s="40"/>
      <c r="S1219" s="40"/>
      <c r="T1219" s="40"/>
      <c r="U1219" s="40"/>
      <c r="V1219" s="40"/>
      <c r="W1219" s="40"/>
      <c r="X1219" s="40"/>
      <c r="Z1219" s="38"/>
      <c r="AA1219" s="38"/>
      <c r="AB1219" s="38"/>
      <c r="AC1219" s="122"/>
      <c r="AD1219"/>
      <c r="AE1219" s="38"/>
      <c r="AF1219" s="38"/>
      <c r="AG1219" s="43"/>
      <c r="AH1219" s="38"/>
      <c r="AI1219" s="38"/>
      <c r="AN1219" s="38"/>
      <c r="AO1219" s="38"/>
      <c r="AR1219" s="38"/>
    </row>
    <row r="1220" spans="13:44">
      <c r="M1220" s="38"/>
      <c r="N1220" s="38"/>
      <c r="O1220" s="40"/>
      <c r="P1220" s="40"/>
      <c r="Q1220" s="40"/>
      <c r="R1220" s="40"/>
      <c r="S1220" s="40"/>
      <c r="T1220" s="40"/>
      <c r="U1220" s="40"/>
      <c r="V1220" s="40"/>
      <c r="W1220" s="40"/>
      <c r="X1220" s="40"/>
      <c r="Z1220" s="38"/>
      <c r="AA1220" s="38"/>
      <c r="AB1220" s="38"/>
      <c r="AC1220" s="122"/>
      <c r="AD1220"/>
      <c r="AE1220" s="38"/>
      <c r="AF1220" s="38"/>
      <c r="AG1220" s="43"/>
      <c r="AH1220" s="38"/>
      <c r="AI1220" s="38"/>
      <c r="AN1220" s="38"/>
      <c r="AO1220" s="38"/>
      <c r="AR1220" s="38"/>
    </row>
    <row r="1221" spans="13:44">
      <c r="M1221" s="38"/>
      <c r="N1221" s="38"/>
      <c r="O1221" s="40"/>
      <c r="P1221" s="40"/>
      <c r="Q1221" s="40"/>
      <c r="R1221" s="40"/>
      <c r="S1221" s="40"/>
      <c r="T1221" s="40"/>
      <c r="U1221" s="40"/>
      <c r="V1221" s="40"/>
      <c r="W1221" s="40"/>
      <c r="X1221" s="40"/>
      <c r="Z1221" s="38"/>
      <c r="AA1221" s="38"/>
      <c r="AB1221" s="38"/>
      <c r="AC1221" s="122"/>
      <c r="AD1221"/>
      <c r="AE1221" s="38"/>
      <c r="AF1221" s="38"/>
      <c r="AG1221" s="43"/>
      <c r="AH1221" s="38"/>
      <c r="AI1221" s="38"/>
      <c r="AN1221" s="38"/>
      <c r="AO1221" s="38"/>
      <c r="AR1221" s="38"/>
    </row>
    <row r="1222" spans="13:44">
      <c r="M1222" s="38"/>
      <c r="N1222" s="38"/>
      <c r="O1222" s="40"/>
      <c r="P1222" s="40"/>
      <c r="Q1222" s="40"/>
      <c r="R1222" s="40"/>
      <c r="S1222" s="40"/>
      <c r="T1222" s="40"/>
      <c r="U1222" s="40"/>
      <c r="V1222" s="40"/>
      <c r="W1222" s="40"/>
      <c r="X1222" s="40"/>
      <c r="Z1222" s="38"/>
      <c r="AA1222" s="38"/>
      <c r="AB1222" s="38"/>
      <c r="AC1222" s="122"/>
      <c r="AD1222"/>
      <c r="AE1222" s="38"/>
      <c r="AF1222" s="38"/>
      <c r="AG1222" s="43"/>
      <c r="AH1222" s="38"/>
      <c r="AI1222" s="38"/>
      <c r="AN1222" s="38"/>
      <c r="AO1222" s="38"/>
      <c r="AR1222" s="38"/>
    </row>
    <row r="1223" spans="13:44">
      <c r="M1223" s="38"/>
      <c r="N1223" s="38"/>
      <c r="O1223" s="40"/>
      <c r="P1223" s="40"/>
      <c r="Q1223" s="40"/>
      <c r="R1223" s="40"/>
      <c r="S1223" s="40"/>
      <c r="T1223" s="40"/>
      <c r="U1223" s="40"/>
      <c r="V1223" s="40"/>
      <c r="W1223" s="40"/>
      <c r="X1223" s="40"/>
      <c r="Z1223" s="38"/>
      <c r="AA1223" s="38"/>
      <c r="AB1223" s="38"/>
      <c r="AC1223" s="122"/>
      <c r="AD1223"/>
      <c r="AE1223" s="38"/>
      <c r="AF1223" s="38"/>
      <c r="AG1223" s="43"/>
      <c r="AH1223" s="38"/>
      <c r="AI1223" s="38"/>
      <c r="AN1223" s="38"/>
      <c r="AO1223" s="38"/>
      <c r="AR1223" s="38"/>
    </row>
    <row r="1224" spans="13:44">
      <c r="M1224" s="38"/>
      <c r="N1224" s="38"/>
      <c r="O1224" s="40"/>
      <c r="P1224" s="40"/>
      <c r="Q1224" s="40"/>
      <c r="R1224" s="40"/>
      <c r="S1224" s="40"/>
      <c r="T1224" s="40"/>
      <c r="U1224" s="40"/>
      <c r="V1224" s="40"/>
      <c r="W1224" s="40"/>
      <c r="X1224" s="40"/>
      <c r="Z1224" s="38"/>
      <c r="AA1224" s="38"/>
      <c r="AB1224" s="38"/>
      <c r="AC1224" s="122"/>
      <c r="AD1224"/>
      <c r="AE1224" s="38"/>
      <c r="AF1224" s="38"/>
      <c r="AG1224" s="43"/>
      <c r="AH1224" s="38"/>
      <c r="AI1224" s="38"/>
      <c r="AN1224" s="38"/>
      <c r="AO1224" s="38"/>
      <c r="AR1224" s="38"/>
    </row>
    <row r="1225" spans="13:44">
      <c r="M1225" s="38"/>
      <c r="N1225" s="38"/>
      <c r="O1225" s="40"/>
      <c r="P1225" s="40"/>
      <c r="Q1225" s="40"/>
      <c r="R1225" s="40"/>
      <c r="S1225" s="40"/>
      <c r="T1225" s="40"/>
      <c r="U1225" s="40"/>
      <c r="V1225" s="40"/>
      <c r="W1225" s="40"/>
      <c r="X1225" s="40"/>
      <c r="Z1225" s="38"/>
      <c r="AA1225" s="38"/>
      <c r="AB1225" s="38"/>
      <c r="AC1225" s="122"/>
      <c r="AD1225"/>
      <c r="AE1225" s="38"/>
      <c r="AF1225" s="38"/>
      <c r="AG1225" s="43"/>
      <c r="AH1225" s="38"/>
      <c r="AI1225" s="38"/>
      <c r="AN1225" s="38"/>
      <c r="AO1225" s="38"/>
      <c r="AR1225" s="38"/>
    </row>
    <row r="1226" spans="13:44">
      <c r="M1226" s="38"/>
      <c r="N1226" s="38"/>
      <c r="O1226" s="40"/>
      <c r="P1226" s="40"/>
      <c r="Q1226" s="40"/>
      <c r="R1226" s="40"/>
      <c r="S1226" s="40"/>
      <c r="T1226" s="40"/>
      <c r="U1226" s="40"/>
      <c r="V1226" s="40"/>
      <c r="W1226" s="40"/>
      <c r="X1226" s="40"/>
      <c r="Z1226" s="38"/>
      <c r="AA1226" s="38"/>
      <c r="AB1226" s="38"/>
      <c r="AC1226" s="122"/>
      <c r="AD1226"/>
      <c r="AE1226" s="38"/>
      <c r="AF1226" s="38"/>
      <c r="AG1226" s="43"/>
      <c r="AH1226" s="38"/>
      <c r="AI1226" s="38"/>
      <c r="AN1226" s="38"/>
      <c r="AO1226" s="38"/>
      <c r="AR1226" s="38"/>
    </row>
    <row r="1227" spans="13:44">
      <c r="M1227" s="38"/>
      <c r="N1227" s="38"/>
      <c r="O1227" s="40"/>
      <c r="P1227" s="40"/>
      <c r="Q1227" s="40"/>
      <c r="R1227" s="40"/>
      <c r="S1227" s="40"/>
      <c r="T1227" s="40"/>
      <c r="U1227" s="40"/>
      <c r="V1227" s="40"/>
      <c r="W1227" s="40"/>
      <c r="X1227" s="40"/>
      <c r="Z1227" s="38"/>
      <c r="AA1227" s="38"/>
      <c r="AB1227" s="38"/>
      <c r="AC1227" s="122"/>
      <c r="AD1227"/>
      <c r="AE1227" s="38"/>
      <c r="AF1227" s="38"/>
      <c r="AG1227" s="43"/>
      <c r="AH1227" s="38"/>
      <c r="AI1227" s="38"/>
      <c r="AN1227" s="38"/>
      <c r="AO1227" s="38"/>
      <c r="AR1227" s="38"/>
    </row>
    <row r="1228" spans="13:44">
      <c r="M1228" s="38"/>
      <c r="N1228" s="38"/>
      <c r="O1228" s="40"/>
      <c r="P1228" s="40"/>
      <c r="Q1228" s="40"/>
      <c r="R1228" s="40"/>
      <c r="S1228" s="40"/>
      <c r="T1228" s="40"/>
      <c r="U1228" s="40"/>
      <c r="V1228" s="40"/>
      <c r="W1228" s="40"/>
      <c r="X1228" s="40"/>
      <c r="Z1228" s="38"/>
      <c r="AA1228" s="38"/>
      <c r="AB1228" s="38"/>
      <c r="AC1228" s="122"/>
      <c r="AD1228"/>
      <c r="AE1228" s="38"/>
      <c r="AF1228" s="38"/>
      <c r="AG1228" s="43"/>
      <c r="AH1228" s="38"/>
      <c r="AI1228" s="38"/>
      <c r="AN1228" s="38"/>
      <c r="AO1228" s="38"/>
      <c r="AR1228" s="38"/>
    </row>
    <row r="1229" spans="13:44">
      <c r="M1229" s="38"/>
      <c r="N1229" s="38"/>
      <c r="O1229" s="40"/>
      <c r="P1229" s="40"/>
      <c r="Q1229" s="40"/>
      <c r="R1229" s="40"/>
      <c r="S1229" s="40"/>
      <c r="T1229" s="40"/>
      <c r="U1229" s="40"/>
      <c r="V1229" s="40"/>
      <c r="W1229" s="40"/>
      <c r="X1229" s="40"/>
      <c r="Z1229" s="38"/>
      <c r="AA1229" s="38"/>
      <c r="AB1229" s="38"/>
      <c r="AC1229" s="122"/>
      <c r="AD1229"/>
      <c r="AE1229" s="38"/>
      <c r="AF1229" s="38"/>
      <c r="AG1229" s="43"/>
      <c r="AH1229" s="38"/>
      <c r="AI1229" s="38"/>
      <c r="AN1229" s="38"/>
      <c r="AO1229" s="38"/>
      <c r="AR1229" s="38"/>
    </row>
    <row r="1230" spans="13:44">
      <c r="M1230" s="38"/>
      <c r="N1230" s="38"/>
      <c r="O1230" s="40"/>
      <c r="P1230" s="40"/>
      <c r="Q1230" s="40"/>
      <c r="R1230" s="40"/>
      <c r="S1230" s="40"/>
      <c r="T1230" s="40"/>
      <c r="U1230" s="40"/>
      <c r="V1230" s="40"/>
      <c r="W1230" s="40"/>
      <c r="X1230" s="40"/>
      <c r="Z1230" s="38"/>
      <c r="AA1230" s="38"/>
      <c r="AB1230" s="38"/>
      <c r="AC1230" s="122"/>
      <c r="AD1230"/>
      <c r="AE1230" s="38"/>
      <c r="AF1230" s="38"/>
      <c r="AG1230" s="43"/>
      <c r="AH1230" s="38"/>
      <c r="AI1230" s="38"/>
      <c r="AN1230" s="38"/>
      <c r="AO1230" s="38"/>
      <c r="AR1230" s="38"/>
    </row>
    <row r="1231" spans="13:44">
      <c r="M1231" s="38"/>
      <c r="N1231" s="38"/>
      <c r="O1231" s="40"/>
      <c r="P1231" s="40"/>
      <c r="Q1231" s="40"/>
      <c r="R1231" s="40"/>
      <c r="S1231" s="40"/>
      <c r="T1231" s="40"/>
      <c r="U1231" s="40"/>
      <c r="V1231" s="40"/>
      <c r="W1231" s="40"/>
      <c r="X1231" s="40"/>
      <c r="Z1231" s="38"/>
      <c r="AA1231" s="38"/>
      <c r="AB1231" s="38"/>
      <c r="AC1231" s="122"/>
      <c r="AD1231"/>
      <c r="AE1231" s="38"/>
      <c r="AF1231" s="38"/>
      <c r="AG1231" s="43"/>
      <c r="AH1231" s="38"/>
      <c r="AI1231" s="38"/>
      <c r="AN1231" s="38"/>
      <c r="AO1231" s="38"/>
      <c r="AR1231" s="38"/>
    </row>
    <row r="1232" spans="13:44">
      <c r="M1232" s="38"/>
      <c r="N1232" s="38"/>
      <c r="O1232" s="40"/>
      <c r="P1232" s="40"/>
      <c r="Q1232" s="40"/>
      <c r="R1232" s="40"/>
      <c r="S1232" s="40"/>
      <c r="T1232" s="40"/>
      <c r="U1232" s="40"/>
      <c r="V1232" s="40"/>
      <c r="W1232" s="40"/>
      <c r="X1232" s="40"/>
      <c r="Z1232" s="38"/>
      <c r="AA1232" s="38"/>
      <c r="AB1232" s="38"/>
      <c r="AC1232" s="122"/>
      <c r="AD1232"/>
      <c r="AE1232" s="38"/>
      <c r="AF1232" s="38"/>
      <c r="AG1232" s="43"/>
      <c r="AH1232" s="38"/>
      <c r="AI1232" s="38"/>
      <c r="AN1232" s="38"/>
      <c r="AO1232" s="38"/>
      <c r="AR1232" s="38"/>
    </row>
    <row r="1233" spans="13:44">
      <c r="M1233" s="38"/>
      <c r="N1233" s="38"/>
      <c r="O1233" s="40"/>
      <c r="P1233" s="40"/>
      <c r="Q1233" s="40"/>
      <c r="R1233" s="40"/>
      <c r="S1233" s="40"/>
      <c r="T1233" s="40"/>
      <c r="U1233" s="40"/>
      <c r="V1233" s="40"/>
      <c r="W1233" s="40"/>
      <c r="X1233" s="40"/>
      <c r="Z1233" s="38"/>
      <c r="AA1233" s="38"/>
      <c r="AB1233" s="38"/>
      <c r="AC1233" s="122"/>
      <c r="AD1233"/>
      <c r="AE1233" s="38"/>
      <c r="AF1233" s="38"/>
      <c r="AG1233" s="43"/>
      <c r="AH1233" s="38"/>
      <c r="AI1233" s="38"/>
      <c r="AN1233" s="38"/>
      <c r="AO1233" s="38"/>
      <c r="AR1233" s="38"/>
    </row>
    <row r="1234" spans="13:44">
      <c r="M1234" s="38"/>
      <c r="N1234" s="38"/>
      <c r="O1234" s="40"/>
      <c r="P1234" s="40"/>
      <c r="Q1234" s="40"/>
      <c r="R1234" s="40"/>
      <c r="S1234" s="40"/>
      <c r="T1234" s="40"/>
      <c r="U1234" s="40"/>
      <c r="V1234" s="40"/>
      <c r="W1234" s="40"/>
      <c r="X1234" s="40"/>
      <c r="Z1234" s="38"/>
      <c r="AA1234" s="38"/>
      <c r="AB1234" s="38"/>
      <c r="AC1234" s="122"/>
      <c r="AD1234"/>
      <c r="AE1234" s="38"/>
      <c r="AF1234" s="38"/>
      <c r="AG1234" s="43"/>
      <c r="AH1234" s="38"/>
      <c r="AI1234" s="38"/>
      <c r="AN1234" s="38"/>
      <c r="AO1234" s="38"/>
      <c r="AR1234" s="38"/>
    </row>
    <row r="1235" spans="13:44">
      <c r="M1235" s="38"/>
      <c r="N1235" s="38"/>
      <c r="O1235" s="40"/>
      <c r="P1235" s="40"/>
      <c r="Q1235" s="40"/>
      <c r="R1235" s="40"/>
      <c r="S1235" s="40"/>
      <c r="T1235" s="40"/>
      <c r="U1235" s="40"/>
      <c r="V1235" s="40"/>
      <c r="W1235" s="40"/>
      <c r="X1235" s="40"/>
      <c r="Z1235" s="38"/>
      <c r="AA1235" s="38"/>
      <c r="AB1235" s="38"/>
      <c r="AC1235" s="122"/>
      <c r="AD1235"/>
      <c r="AE1235" s="38"/>
      <c r="AF1235" s="38"/>
      <c r="AG1235" s="43"/>
      <c r="AH1235" s="38"/>
      <c r="AI1235" s="38"/>
      <c r="AN1235" s="38"/>
      <c r="AO1235" s="38"/>
      <c r="AR1235" s="38"/>
    </row>
    <row r="1236" spans="13:44">
      <c r="M1236" s="38"/>
      <c r="N1236" s="38"/>
      <c r="O1236" s="40"/>
      <c r="P1236" s="40"/>
      <c r="Q1236" s="40"/>
      <c r="R1236" s="40"/>
      <c r="S1236" s="40"/>
      <c r="T1236" s="40"/>
      <c r="U1236" s="40"/>
      <c r="V1236" s="40"/>
      <c r="W1236" s="40"/>
      <c r="X1236" s="40"/>
      <c r="Z1236" s="38"/>
      <c r="AA1236" s="38"/>
      <c r="AB1236" s="38"/>
      <c r="AC1236" s="122"/>
      <c r="AD1236"/>
      <c r="AE1236" s="38"/>
      <c r="AF1236" s="38"/>
      <c r="AG1236" s="43"/>
      <c r="AH1236" s="38"/>
      <c r="AI1236" s="38"/>
      <c r="AN1236" s="38"/>
      <c r="AO1236" s="38"/>
      <c r="AR1236" s="38"/>
    </row>
    <row r="1237" spans="13:44">
      <c r="M1237" s="38"/>
      <c r="N1237" s="38"/>
      <c r="O1237" s="40"/>
      <c r="P1237" s="40"/>
      <c r="Q1237" s="40"/>
      <c r="R1237" s="40"/>
      <c r="S1237" s="40"/>
      <c r="T1237" s="40"/>
      <c r="U1237" s="40"/>
      <c r="V1237" s="40"/>
      <c r="W1237" s="40"/>
      <c r="X1237" s="40"/>
      <c r="Z1237" s="38"/>
      <c r="AA1237" s="38"/>
      <c r="AB1237" s="38"/>
      <c r="AC1237" s="122"/>
      <c r="AD1237"/>
      <c r="AE1237" s="38"/>
      <c r="AF1237" s="38"/>
      <c r="AG1237" s="43"/>
      <c r="AH1237" s="38"/>
      <c r="AI1237" s="38"/>
      <c r="AN1237" s="38"/>
      <c r="AO1237" s="38"/>
      <c r="AR1237" s="38"/>
    </row>
    <row r="1238" spans="13:44">
      <c r="M1238" s="38"/>
      <c r="N1238" s="38"/>
      <c r="O1238" s="40"/>
      <c r="P1238" s="40"/>
      <c r="Q1238" s="40"/>
      <c r="R1238" s="40"/>
      <c r="S1238" s="40"/>
      <c r="T1238" s="40"/>
      <c r="U1238" s="40"/>
      <c r="V1238" s="40"/>
      <c r="W1238" s="40"/>
      <c r="X1238" s="40"/>
      <c r="Z1238" s="38"/>
      <c r="AA1238" s="38"/>
      <c r="AB1238" s="38"/>
      <c r="AC1238" s="122"/>
      <c r="AD1238"/>
      <c r="AE1238" s="38"/>
      <c r="AF1238" s="38"/>
      <c r="AG1238" s="43"/>
      <c r="AH1238" s="38"/>
      <c r="AI1238" s="38"/>
      <c r="AN1238" s="38"/>
      <c r="AO1238" s="38"/>
      <c r="AR1238" s="38"/>
    </row>
    <row r="1239" spans="13:44">
      <c r="M1239" s="38"/>
      <c r="N1239" s="38"/>
      <c r="O1239" s="40"/>
      <c r="P1239" s="40"/>
      <c r="Q1239" s="40"/>
      <c r="R1239" s="40"/>
      <c r="S1239" s="40"/>
      <c r="T1239" s="40"/>
      <c r="U1239" s="40"/>
      <c r="V1239" s="40"/>
      <c r="W1239" s="40"/>
      <c r="X1239" s="40"/>
      <c r="Z1239" s="38"/>
      <c r="AA1239" s="38"/>
      <c r="AB1239" s="38"/>
      <c r="AC1239" s="122"/>
      <c r="AD1239"/>
      <c r="AE1239" s="38"/>
      <c r="AF1239" s="38"/>
      <c r="AG1239" s="43"/>
      <c r="AH1239" s="38"/>
      <c r="AI1239" s="38"/>
      <c r="AN1239" s="38"/>
      <c r="AO1239" s="38"/>
      <c r="AR1239" s="38"/>
    </row>
    <row r="1240" spans="13:44">
      <c r="M1240" s="38"/>
      <c r="N1240" s="38"/>
      <c r="O1240" s="40"/>
      <c r="P1240" s="40"/>
      <c r="Q1240" s="40"/>
      <c r="R1240" s="40"/>
      <c r="S1240" s="40"/>
      <c r="T1240" s="40"/>
      <c r="U1240" s="40"/>
      <c r="V1240" s="40"/>
      <c r="W1240" s="40"/>
      <c r="X1240" s="40"/>
      <c r="Z1240" s="38"/>
      <c r="AA1240" s="38"/>
      <c r="AB1240" s="38"/>
      <c r="AC1240" s="122"/>
      <c r="AD1240"/>
      <c r="AE1240" s="38"/>
      <c r="AF1240" s="38"/>
      <c r="AG1240" s="43"/>
      <c r="AH1240" s="38"/>
      <c r="AI1240" s="38"/>
      <c r="AN1240" s="38"/>
      <c r="AO1240" s="38"/>
      <c r="AR1240" s="38"/>
    </row>
    <row r="1241" spans="13:44">
      <c r="M1241" s="38"/>
      <c r="N1241" s="38"/>
      <c r="O1241" s="40"/>
      <c r="P1241" s="40"/>
      <c r="Q1241" s="40"/>
      <c r="R1241" s="40"/>
      <c r="S1241" s="40"/>
      <c r="T1241" s="40"/>
      <c r="U1241" s="40"/>
      <c r="V1241" s="40"/>
      <c r="W1241" s="40"/>
      <c r="X1241" s="40"/>
      <c r="Z1241" s="38"/>
      <c r="AA1241" s="38"/>
      <c r="AB1241" s="38"/>
      <c r="AC1241" s="122"/>
      <c r="AD1241"/>
      <c r="AE1241" s="38"/>
      <c r="AF1241" s="38"/>
      <c r="AG1241" s="43"/>
      <c r="AH1241" s="38"/>
      <c r="AI1241" s="38"/>
      <c r="AN1241" s="38"/>
      <c r="AO1241" s="38"/>
      <c r="AR1241" s="38"/>
    </row>
    <row r="1242" spans="13:44">
      <c r="M1242" s="38"/>
      <c r="N1242" s="38"/>
      <c r="O1242" s="40"/>
      <c r="P1242" s="40"/>
      <c r="Q1242" s="40"/>
      <c r="R1242" s="40"/>
      <c r="S1242" s="40"/>
      <c r="T1242" s="40"/>
      <c r="U1242" s="40"/>
      <c r="V1242" s="40"/>
      <c r="W1242" s="40"/>
      <c r="X1242" s="40"/>
      <c r="Z1242" s="38"/>
      <c r="AA1242" s="38"/>
      <c r="AB1242" s="38"/>
      <c r="AC1242" s="122"/>
      <c r="AD1242"/>
      <c r="AE1242" s="38"/>
      <c r="AF1242" s="38"/>
      <c r="AG1242" s="43"/>
      <c r="AH1242" s="38"/>
      <c r="AI1242" s="38"/>
      <c r="AN1242" s="38"/>
      <c r="AO1242" s="38"/>
      <c r="AR1242" s="38"/>
    </row>
    <row r="1243" spans="13:44">
      <c r="M1243" s="38"/>
      <c r="N1243" s="38"/>
      <c r="O1243" s="40"/>
      <c r="P1243" s="40"/>
      <c r="Q1243" s="40"/>
      <c r="R1243" s="40"/>
      <c r="S1243" s="40"/>
      <c r="T1243" s="40"/>
      <c r="U1243" s="40"/>
      <c r="V1243" s="40"/>
      <c r="W1243" s="40"/>
      <c r="X1243" s="40"/>
      <c r="Z1243" s="38"/>
      <c r="AA1243" s="38"/>
      <c r="AB1243" s="38"/>
      <c r="AC1243" s="122"/>
      <c r="AD1243"/>
      <c r="AE1243" s="38"/>
      <c r="AF1243" s="38"/>
      <c r="AG1243" s="43"/>
      <c r="AH1243" s="38"/>
      <c r="AI1243" s="38"/>
      <c r="AN1243" s="38"/>
      <c r="AO1243" s="38"/>
      <c r="AR1243" s="38"/>
    </row>
    <row r="1244" spans="13:44">
      <c r="M1244" s="38"/>
      <c r="N1244" s="38"/>
      <c r="O1244" s="40"/>
      <c r="P1244" s="40"/>
      <c r="Q1244" s="40"/>
      <c r="R1244" s="40"/>
      <c r="S1244" s="40"/>
      <c r="T1244" s="40"/>
      <c r="U1244" s="40"/>
      <c r="V1244" s="40"/>
      <c r="W1244" s="40"/>
      <c r="X1244" s="40"/>
      <c r="Z1244" s="38"/>
      <c r="AA1244" s="38"/>
      <c r="AB1244" s="38"/>
      <c r="AC1244" s="122"/>
      <c r="AD1244"/>
      <c r="AE1244" s="38"/>
      <c r="AF1244" s="38"/>
      <c r="AG1244" s="43"/>
      <c r="AH1244" s="38"/>
      <c r="AI1244" s="38"/>
      <c r="AN1244" s="38"/>
      <c r="AO1244" s="38"/>
      <c r="AR1244" s="38"/>
    </row>
    <row r="1245" spans="13:44">
      <c r="M1245" s="38"/>
      <c r="N1245" s="38"/>
      <c r="O1245" s="40"/>
      <c r="P1245" s="40"/>
      <c r="Q1245" s="40"/>
      <c r="R1245" s="40"/>
      <c r="S1245" s="40"/>
      <c r="T1245" s="40"/>
      <c r="U1245" s="40"/>
      <c r="V1245" s="40"/>
      <c r="W1245" s="40"/>
      <c r="X1245" s="40"/>
      <c r="Z1245" s="38"/>
      <c r="AA1245" s="38"/>
      <c r="AB1245" s="38"/>
      <c r="AC1245" s="122"/>
      <c r="AD1245"/>
      <c r="AE1245" s="38"/>
      <c r="AF1245" s="38"/>
      <c r="AG1245" s="43"/>
      <c r="AH1245" s="38"/>
      <c r="AI1245" s="38"/>
      <c r="AN1245" s="38"/>
      <c r="AO1245" s="38"/>
      <c r="AR1245" s="38"/>
    </row>
    <row r="1246" spans="13:44">
      <c r="M1246" s="38"/>
      <c r="N1246" s="38"/>
      <c r="O1246" s="40"/>
      <c r="P1246" s="40"/>
      <c r="Q1246" s="40"/>
      <c r="R1246" s="40"/>
      <c r="S1246" s="40"/>
      <c r="T1246" s="40"/>
      <c r="U1246" s="40"/>
      <c r="V1246" s="40"/>
      <c r="W1246" s="40"/>
      <c r="X1246" s="40"/>
      <c r="Z1246" s="38"/>
      <c r="AA1246" s="38"/>
      <c r="AB1246" s="38"/>
      <c r="AC1246" s="122"/>
      <c r="AD1246"/>
      <c r="AE1246" s="38"/>
      <c r="AF1246" s="38"/>
      <c r="AG1246" s="43"/>
      <c r="AH1246" s="38"/>
      <c r="AI1246" s="38"/>
      <c r="AN1246" s="38"/>
      <c r="AO1246" s="38"/>
      <c r="AR1246" s="38"/>
    </row>
    <row r="1247" spans="13:44">
      <c r="M1247" s="38"/>
      <c r="N1247" s="38"/>
      <c r="O1247" s="40"/>
      <c r="P1247" s="40"/>
      <c r="Q1247" s="40"/>
      <c r="R1247" s="40"/>
      <c r="S1247" s="40"/>
      <c r="T1247" s="40"/>
      <c r="U1247" s="40"/>
      <c r="V1247" s="40"/>
      <c r="W1247" s="40"/>
      <c r="X1247" s="40"/>
      <c r="Z1247" s="38"/>
      <c r="AA1247" s="38"/>
      <c r="AB1247" s="38"/>
      <c r="AC1247" s="122"/>
      <c r="AD1247"/>
      <c r="AE1247" s="38"/>
      <c r="AF1247" s="38"/>
      <c r="AG1247" s="43"/>
      <c r="AH1247" s="38"/>
      <c r="AI1247" s="38"/>
      <c r="AN1247" s="38"/>
      <c r="AO1247" s="38"/>
      <c r="AR1247" s="38"/>
    </row>
    <row r="1248" spans="13:44">
      <c r="M1248" s="38"/>
      <c r="N1248" s="38"/>
      <c r="O1248" s="40"/>
      <c r="P1248" s="40"/>
      <c r="Q1248" s="40"/>
      <c r="R1248" s="40"/>
      <c r="S1248" s="40"/>
      <c r="T1248" s="40"/>
      <c r="U1248" s="40"/>
      <c r="V1248" s="40"/>
      <c r="W1248" s="40"/>
      <c r="X1248" s="40"/>
      <c r="Z1248" s="38"/>
      <c r="AA1248" s="38"/>
      <c r="AB1248" s="38"/>
      <c r="AC1248" s="122"/>
      <c r="AD1248"/>
      <c r="AE1248" s="38"/>
      <c r="AF1248" s="38"/>
      <c r="AG1248" s="43"/>
      <c r="AH1248" s="38"/>
      <c r="AI1248" s="38"/>
      <c r="AN1248" s="38"/>
      <c r="AO1248" s="38"/>
      <c r="AR1248" s="38"/>
    </row>
    <row r="1249" spans="13:44">
      <c r="M1249" s="38"/>
      <c r="N1249" s="38"/>
      <c r="O1249" s="40"/>
      <c r="P1249" s="40"/>
      <c r="Q1249" s="40"/>
      <c r="R1249" s="40"/>
      <c r="S1249" s="40"/>
      <c r="T1249" s="40"/>
      <c r="U1249" s="40"/>
      <c r="V1249" s="40"/>
      <c r="W1249" s="40"/>
      <c r="X1249" s="40"/>
      <c r="Z1249" s="38"/>
      <c r="AA1249" s="38"/>
      <c r="AB1249" s="38"/>
      <c r="AC1249" s="122"/>
      <c r="AD1249"/>
      <c r="AE1249" s="38"/>
      <c r="AF1249" s="38"/>
      <c r="AG1249" s="43"/>
      <c r="AH1249" s="38"/>
      <c r="AI1249" s="38"/>
      <c r="AN1249" s="38"/>
      <c r="AO1249" s="38"/>
      <c r="AR1249" s="38"/>
    </row>
    <row r="1250" spans="13:44">
      <c r="M1250" s="38"/>
      <c r="N1250" s="38"/>
      <c r="O1250" s="40"/>
      <c r="P1250" s="40"/>
      <c r="Q1250" s="40"/>
      <c r="R1250" s="40"/>
      <c r="S1250" s="40"/>
      <c r="T1250" s="40"/>
      <c r="U1250" s="40"/>
      <c r="V1250" s="40"/>
      <c r="W1250" s="40"/>
      <c r="X1250" s="40"/>
      <c r="Z1250" s="38"/>
      <c r="AA1250" s="38"/>
      <c r="AB1250" s="38"/>
      <c r="AC1250" s="122"/>
      <c r="AD1250"/>
      <c r="AE1250" s="38"/>
      <c r="AF1250" s="38"/>
      <c r="AG1250" s="43"/>
      <c r="AH1250" s="38"/>
      <c r="AI1250" s="38"/>
      <c r="AN1250" s="38"/>
      <c r="AO1250" s="38"/>
      <c r="AR1250" s="38"/>
    </row>
    <row r="1251" spans="13:44">
      <c r="M1251" s="38"/>
      <c r="N1251" s="38"/>
      <c r="O1251" s="40"/>
      <c r="P1251" s="40"/>
      <c r="Q1251" s="40"/>
      <c r="R1251" s="40"/>
      <c r="S1251" s="40"/>
      <c r="T1251" s="40"/>
      <c r="U1251" s="40"/>
      <c r="V1251" s="40"/>
      <c r="W1251" s="40"/>
      <c r="X1251" s="40"/>
      <c r="Z1251" s="38"/>
      <c r="AA1251" s="38"/>
      <c r="AB1251" s="38"/>
      <c r="AC1251" s="122"/>
      <c r="AD1251"/>
      <c r="AE1251" s="38"/>
      <c r="AF1251" s="38"/>
      <c r="AG1251" s="43"/>
      <c r="AH1251" s="38"/>
      <c r="AI1251" s="38"/>
      <c r="AN1251" s="38"/>
      <c r="AO1251" s="38"/>
      <c r="AR1251" s="38"/>
    </row>
    <row r="1252" spans="13:44">
      <c r="M1252" s="38"/>
      <c r="N1252" s="38"/>
      <c r="O1252" s="40"/>
      <c r="P1252" s="40"/>
      <c r="Q1252" s="40"/>
      <c r="R1252" s="40"/>
      <c r="S1252" s="40"/>
      <c r="T1252" s="40"/>
      <c r="U1252" s="40"/>
      <c r="V1252" s="40"/>
      <c r="W1252" s="40"/>
      <c r="X1252" s="40"/>
      <c r="Z1252" s="38"/>
      <c r="AA1252" s="38"/>
      <c r="AB1252" s="38"/>
      <c r="AC1252" s="122"/>
      <c r="AD1252"/>
      <c r="AE1252" s="38"/>
      <c r="AF1252" s="38"/>
      <c r="AG1252" s="43"/>
      <c r="AH1252" s="38"/>
      <c r="AI1252" s="38"/>
      <c r="AN1252" s="38"/>
      <c r="AO1252" s="38"/>
      <c r="AR1252" s="38"/>
    </row>
    <row r="1253" spans="13:44">
      <c r="M1253" s="38"/>
      <c r="N1253" s="38"/>
      <c r="O1253" s="40"/>
      <c r="P1253" s="40"/>
      <c r="Q1253" s="40"/>
      <c r="R1253" s="40"/>
      <c r="S1253" s="40"/>
      <c r="T1253" s="40"/>
      <c r="U1253" s="40"/>
      <c r="V1253" s="40"/>
      <c r="W1253" s="40"/>
      <c r="X1253" s="40"/>
      <c r="Z1253" s="38"/>
      <c r="AA1253" s="38"/>
      <c r="AB1253" s="38"/>
      <c r="AC1253" s="122"/>
      <c r="AD1253"/>
      <c r="AE1253" s="38"/>
      <c r="AF1253" s="38"/>
      <c r="AG1253" s="43"/>
      <c r="AH1253" s="38"/>
      <c r="AI1253" s="38"/>
      <c r="AN1253" s="38"/>
      <c r="AO1253" s="38"/>
      <c r="AR1253" s="38"/>
    </row>
    <row r="1254" spans="13:44">
      <c r="M1254" s="38"/>
      <c r="N1254" s="38"/>
      <c r="O1254" s="40"/>
      <c r="P1254" s="40"/>
      <c r="Q1254" s="40"/>
      <c r="R1254" s="40"/>
      <c r="S1254" s="40"/>
      <c r="T1254" s="40"/>
      <c r="U1254" s="40"/>
      <c r="V1254" s="40"/>
      <c r="W1254" s="40"/>
      <c r="X1254" s="40"/>
      <c r="Z1254" s="38"/>
      <c r="AA1254" s="38"/>
      <c r="AB1254" s="38"/>
      <c r="AC1254" s="122"/>
      <c r="AD1254"/>
      <c r="AE1254" s="38"/>
      <c r="AF1254" s="38"/>
      <c r="AG1254" s="43"/>
      <c r="AH1254" s="38"/>
      <c r="AI1254" s="38"/>
      <c r="AN1254" s="38"/>
      <c r="AO1254" s="38"/>
      <c r="AR1254" s="38"/>
    </row>
    <row r="1255" spans="13:44">
      <c r="M1255" s="38"/>
      <c r="N1255" s="38"/>
      <c r="O1255" s="40"/>
      <c r="P1255" s="40"/>
      <c r="Q1255" s="40"/>
      <c r="R1255" s="40"/>
      <c r="S1255" s="40"/>
      <c r="T1255" s="40"/>
      <c r="U1255" s="40"/>
      <c r="V1255" s="40"/>
      <c r="W1255" s="40"/>
      <c r="X1255" s="40"/>
      <c r="Z1255" s="38"/>
      <c r="AA1255" s="38"/>
      <c r="AB1255" s="38"/>
      <c r="AC1255" s="122"/>
      <c r="AD1255"/>
      <c r="AE1255" s="38"/>
      <c r="AF1255" s="38"/>
      <c r="AG1255" s="43"/>
      <c r="AH1255" s="38"/>
      <c r="AI1255" s="38"/>
      <c r="AN1255" s="38"/>
      <c r="AO1255" s="38"/>
      <c r="AR1255" s="38"/>
    </row>
    <row r="1256" spans="13:44">
      <c r="M1256" s="38"/>
      <c r="N1256" s="38"/>
      <c r="O1256" s="40"/>
      <c r="P1256" s="40"/>
      <c r="Q1256" s="40"/>
      <c r="R1256" s="40"/>
      <c r="S1256" s="40"/>
      <c r="T1256" s="40"/>
      <c r="U1256" s="40"/>
      <c r="V1256" s="40"/>
      <c r="W1256" s="40"/>
      <c r="X1256" s="40"/>
      <c r="Z1256" s="38"/>
      <c r="AA1256" s="38"/>
      <c r="AB1256" s="38"/>
      <c r="AC1256" s="122"/>
      <c r="AD1256"/>
      <c r="AE1256" s="38"/>
      <c r="AF1256" s="38"/>
      <c r="AG1256" s="43"/>
      <c r="AH1256" s="38"/>
      <c r="AI1256" s="38"/>
      <c r="AN1256" s="38"/>
      <c r="AO1256" s="38"/>
      <c r="AR1256" s="38"/>
    </row>
    <row r="1257" spans="13:44">
      <c r="M1257" s="38"/>
      <c r="N1257" s="38"/>
      <c r="O1257" s="40"/>
      <c r="P1257" s="40"/>
      <c r="Q1257" s="40"/>
      <c r="R1257" s="40"/>
      <c r="S1257" s="40"/>
      <c r="T1257" s="40"/>
      <c r="U1257" s="40"/>
      <c r="V1257" s="40"/>
      <c r="W1257" s="40"/>
      <c r="X1257" s="40"/>
      <c r="Z1257" s="38"/>
      <c r="AA1257" s="38"/>
      <c r="AB1257" s="38"/>
      <c r="AC1257" s="122"/>
      <c r="AD1257"/>
      <c r="AE1257" s="38"/>
      <c r="AF1257" s="38"/>
      <c r="AG1257" s="43"/>
      <c r="AH1257" s="38"/>
      <c r="AI1257" s="38"/>
      <c r="AN1257" s="38"/>
      <c r="AO1257" s="38"/>
      <c r="AR1257" s="38"/>
    </row>
    <row r="1258" spans="13:44">
      <c r="M1258" s="38"/>
      <c r="N1258" s="38"/>
      <c r="O1258" s="40"/>
      <c r="P1258" s="40"/>
      <c r="Q1258" s="40"/>
      <c r="R1258" s="40"/>
      <c r="S1258" s="40"/>
      <c r="T1258" s="40"/>
      <c r="U1258" s="40"/>
      <c r="V1258" s="40"/>
      <c r="W1258" s="40"/>
      <c r="X1258" s="40"/>
      <c r="Z1258" s="38"/>
      <c r="AA1258" s="38"/>
      <c r="AB1258" s="38"/>
      <c r="AC1258" s="122"/>
      <c r="AD1258"/>
      <c r="AE1258" s="38"/>
      <c r="AF1258" s="38"/>
      <c r="AG1258" s="43"/>
      <c r="AH1258" s="38"/>
      <c r="AI1258" s="38"/>
      <c r="AN1258" s="38"/>
      <c r="AO1258" s="38"/>
      <c r="AR1258" s="38"/>
    </row>
    <row r="1259" spans="13:44">
      <c r="M1259" s="38"/>
      <c r="N1259" s="38"/>
      <c r="O1259" s="40"/>
      <c r="P1259" s="40"/>
      <c r="Q1259" s="40"/>
      <c r="R1259" s="40"/>
      <c r="S1259" s="40"/>
      <c r="T1259" s="40"/>
      <c r="U1259" s="40"/>
      <c r="V1259" s="40"/>
      <c r="W1259" s="40"/>
      <c r="X1259" s="40"/>
      <c r="Z1259" s="38"/>
      <c r="AA1259" s="38"/>
      <c r="AB1259" s="38"/>
      <c r="AC1259" s="122"/>
      <c r="AD1259"/>
      <c r="AE1259" s="38"/>
      <c r="AF1259" s="38"/>
      <c r="AG1259" s="43"/>
      <c r="AH1259" s="38"/>
      <c r="AI1259" s="38"/>
      <c r="AN1259" s="38"/>
      <c r="AO1259" s="38"/>
      <c r="AR1259" s="38"/>
    </row>
    <row r="1260" spans="13:44">
      <c r="M1260" s="38"/>
      <c r="N1260" s="38"/>
      <c r="O1260" s="40"/>
      <c r="P1260" s="40"/>
      <c r="Q1260" s="40"/>
      <c r="R1260" s="40"/>
      <c r="S1260" s="40"/>
      <c r="T1260" s="40"/>
      <c r="U1260" s="40"/>
      <c r="V1260" s="40"/>
      <c r="W1260" s="40"/>
      <c r="X1260" s="40"/>
      <c r="Z1260" s="38"/>
      <c r="AA1260" s="38"/>
      <c r="AB1260" s="38"/>
      <c r="AC1260" s="122"/>
      <c r="AD1260"/>
      <c r="AE1260" s="38"/>
      <c r="AF1260" s="38"/>
      <c r="AG1260" s="43"/>
      <c r="AH1260" s="38"/>
      <c r="AI1260" s="38"/>
      <c r="AN1260" s="38"/>
      <c r="AO1260" s="38"/>
      <c r="AR1260" s="38"/>
    </row>
    <row r="1261" spans="13:44">
      <c r="M1261" s="38"/>
      <c r="N1261" s="38"/>
      <c r="O1261" s="40"/>
      <c r="P1261" s="40"/>
      <c r="Q1261" s="40"/>
      <c r="R1261" s="40"/>
      <c r="S1261" s="40"/>
      <c r="T1261" s="40"/>
      <c r="U1261" s="40"/>
      <c r="V1261" s="40"/>
      <c r="W1261" s="40"/>
      <c r="X1261" s="40"/>
      <c r="Z1261" s="38"/>
      <c r="AA1261" s="38"/>
      <c r="AB1261" s="38"/>
      <c r="AC1261" s="122"/>
      <c r="AD1261"/>
      <c r="AE1261" s="38"/>
      <c r="AF1261" s="38"/>
      <c r="AG1261" s="43"/>
      <c r="AH1261" s="38"/>
      <c r="AI1261" s="38"/>
      <c r="AN1261" s="38"/>
      <c r="AO1261" s="38"/>
      <c r="AR1261" s="38"/>
    </row>
    <row r="1262" spans="13:44">
      <c r="M1262" s="38"/>
      <c r="N1262" s="38"/>
      <c r="O1262" s="40"/>
      <c r="P1262" s="40"/>
      <c r="Q1262" s="40"/>
      <c r="R1262" s="40"/>
      <c r="S1262" s="40"/>
      <c r="T1262" s="40"/>
      <c r="U1262" s="40"/>
      <c r="V1262" s="40"/>
      <c r="W1262" s="40"/>
      <c r="X1262" s="40"/>
      <c r="Z1262" s="38"/>
      <c r="AA1262" s="38"/>
      <c r="AB1262" s="38"/>
      <c r="AC1262" s="122"/>
      <c r="AD1262"/>
      <c r="AE1262" s="38"/>
      <c r="AF1262" s="38"/>
      <c r="AG1262" s="43"/>
      <c r="AH1262" s="38"/>
      <c r="AI1262" s="38"/>
      <c r="AN1262" s="38"/>
      <c r="AO1262" s="38"/>
      <c r="AR1262" s="38"/>
    </row>
    <row r="1263" spans="13:44">
      <c r="M1263" s="38"/>
      <c r="N1263" s="38"/>
      <c r="O1263" s="40"/>
      <c r="P1263" s="40"/>
      <c r="Q1263" s="40"/>
      <c r="R1263" s="40"/>
      <c r="S1263" s="40"/>
      <c r="T1263" s="40"/>
      <c r="U1263" s="40"/>
      <c r="V1263" s="40"/>
      <c r="W1263" s="40"/>
      <c r="X1263" s="40"/>
      <c r="Z1263" s="38"/>
      <c r="AA1263" s="38"/>
      <c r="AB1263" s="38"/>
      <c r="AC1263" s="122"/>
      <c r="AD1263"/>
      <c r="AE1263" s="38"/>
      <c r="AF1263" s="38"/>
      <c r="AG1263" s="43"/>
      <c r="AH1263" s="38"/>
      <c r="AI1263" s="38"/>
      <c r="AN1263" s="38"/>
      <c r="AO1263" s="38"/>
      <c r="AR1263" s="38"/>
    </row>
    <row r="1264" spans="13:44">
      <c r="M1264" s="38"/>
      <c r="N1264" s="38"/>
      <c r="O1264" s="40"/>
      <c r="P1264" s="40"/>
      <c r="Q1264" s="40"/>
      <c r="R1264" s="40"/>
      <c r="S1264" s="40"/>
      <c r="T1264" s="40"/>
      <c r="U1264" s="40"/>
      <c r="V1264" s="40"/>
      <c r="W1264" s="40"/>
      <c r="X1264" s="40"/>
      <c r="Z1264" s="38"/>
      <c r="AA1264" s="38"/>
      <c r="AB1264" s="38"/>
      <c r="AC1264" s="122"/>
      <c r="AD1264"/>
      <c r="AE1264" s="38"/>
      <c r="AF1264" s="38"/>
      <c r="AG1264" s="43"/>
      <c r="AH1264" s="38"/>
      <c r="AI1264" s="38"/>
      <c r="AN1264" s="38"/>
      <c r="AO1264" s="38"/>
      <c r="AR1264" s="38"/>
    </row>
    <row r="1265" spans="13:44">
      <c r="M1265" s="38"/>
      <c r="N1265" s="38"/>
      <c r="O1265" s="40"/>
      <c r="P1265" s="40"/>
      <c r="Q1265" s="40"/>
      <c r="R1265" s="40"/>
      <c r="S1265" s="40"/>
      <c r="T1265" s="40"/>
      <c r="U1265" s="40"/>
      <c r="V1265" s="40"/>
      <c r="W1265" s="40"/>
      <c r="X1265" s="40"/>
      <c r="Z1265" s="38"/>
      <c r="AA1265" s="38"/>
      <c r="AB1265" s="38"/>
      <c r="AC1265" s="122"/>
      <c r="AD1265"/>
      <c r="AE1265" s="38"/>
      <c r="AF1265" s="38"/>
      <c r="AG1265" s="43"/>
      <c r="AH1265" s="38"/>
      <c r="AI1265" s="38"/>
      <c r="AN1265" s="38"/>
      <c r="AO1265" s="38"/>
      <c r="AR1265" s="38"/>
    </row>
    <row r="1266" spans="13:44">
      <c r="M1266" s="38"/>
      <c r="N1266" s="38"/>
      <c r="O1266" s="40"/>
      <c r="P1266" s="40"/>
      <c r="Q1266" s="40"/>
      <c r="R1266" s="40"/>
      <c r="S1266" s="40"/>
      <c r="T1266" s="40"/>
      <c r="U1266" s="40"/>
      <c r="V1266" s="40"/>
      <c r="W1266" s="40"/>
      <c r="X1266" s="40"/>
      <c r="Z1266" s="38"/>
      <c r="AA1266" s="38"/>
      <c r="AB1266" s="38"/>
      <c r="AC1266" s="122"/>
      <c r="AD1266"/>
      <c r="AE1266" s="38"/>
      <c r="AF1266" s="38"/>
      <c r="AG1266" s="43"/>
      <c r="AH1266" s="38"/>
      <c r="AI1266" s="38"/>
      <c r="AN1266" s="38"/>
      <c r="AO1266" s="38"/>
      <c r="AR1266" s="38"/>
    </row>
    <row r="1267" spans="13:44">
      <c r="M1267" s="38"/>
      <c r="N1267" s="38"/>
      <c r="O1267" s="40"/>
      <c r="P1267" s="40"/>
      <c r="Q1267" s="40"/>
      <c r="R1267" s="40"/>
      <c r="S1267" s="40"/>
      <c r="T1267" s="40"/>
      <c r="U1267" s="40"/>
      <c r="V1267" s="40"/>
      <c r="W1267" s="40"/>
      <c r="X1267" s="40"/>
      <c r="Z1267" s="38"/>
      <c r="AA1267" s="38"/>
      <c r="AB1267" s="38"/>
      <c r="AC1267" s="122"/>
      <c r="AD1267"/>
      <c r="AE1267" s="38"/>
      <c r="AF1267" s="38"/>
      <c r="AG1267" s="43"/>
      <c r="AH1267" s="38"/>
      <c r="AI1267" s="38"/>
      <c r="AN1267" s="38"/>
      <c r="AO1267" s="38"/>
      <c r="AR1267" s="38"/>
    </row>
    <row r="1268" spans="13:44">
      <c r="M1268" s="38"/>
      <c r="N1268" s="38"/>
      <c r="O1268" s="40"/>
      <c r="P1268" s="40"/>
      <c r="Q1268" s="40"/>
      <c r="R1268" s="40"/>
      <c r="S1268" s="40"/>
      <c r="T1268" s="40"/>
      <c r="U1268" s="40"/>
      <c r="V1268" s="40"/>
      <c r="W1268" s="40"/>
      <c r="X1268" s="40"/>
      <c r="Z1268" s="38"/>
      <c r="AA1268" s="38"/>
      <c r="AB1268" s="38"/>
      <c r="AC1268" s="122"/>
      <c r="AD1268"/>
      <c r="AE1268" s="38"/>
      <c r="AF1268" s="38"/>
      <c r="AG1268" s="43"/>
      <c r="AH1268" s="38"/>
      <c r="AI1268" s="38"/>
      <c r="AN1268" s="38"/>
      <c r="AO1268" s="38"/>
      <c r="AR1268" s="38"/>
    </row>
    <row r="1269" spans="13:44">
      <c r="M1269" s="38"/>
      <c r="N1269" s="38"/>
      <c r="O1269" s="40"/>
      <c r="P1269" s="40"/>
      <c r="Q1269" s="40"/>
      <c r="R1269" s="40"/>
      <c r="S1269" s="40"/>
      <c r="T1269" s="40"/>
      <c r="U1269" s="40"/>
      <c r="V1269" s="40"/>
      <c r="W1269" s="40"/>
      <c r="X1269" s="40"/>
      <c r="Z1269" s="38"/>
      <c r="AA1269" s="38"/>
      <c r="AB1269" s="38"/>
      <c r="AC1269" s="122"/>
      <c r="AD1269"/>
      <c r="AE1269" s="38"/>
      <c r="AF1269" s="38"/>
      <c r="AG1269" s="43"/>
      <c r="AH1269" s="38"/>
      <c r="AI1269" s="38"/>
      <c r="AN1269" s="38"/>
      <c r="AO1269" s="38"/>
      <c r="AR1269" s="38"/>
    </row>
    <row r="1270" spans="13:44">
      <c r="M1270" s="38"/>
      <c r="N1270" s="38"/>
      <c r="O1270" s="40"/>
      <c r="P1270" s="40"/>
      <c r="Q1270" s="40"/>
      <c r="R1270" s="40"/>
      <c r="S1270" s="40"/>
      <c r="T1270" s="40"/>
      <c r="U1270" s="40"/>
      <c r="V1270" s="40"/>
      <c r="W1270" s="40"/>
      <c r="X1270" s="40"/>
      <c r="Z1270" s="38"/>
      <c r="AA1270" s="38"/>
      <c r="AB1270" s="38"/>
      <c r="AC1270" s="122"/>
      <c r="AD1270"/>
      <c r="AE1270" s="38"/>
      <c r="AF1270" s="38"/>
      <c r="AG1270" s="43"/>
      <c r="AH1270" s="38"/>
      <c r="AI1270" s="38"/>
      <c r="AN1270" s="38"/>
      <c r="AO1270" s="38"/>
      <c r="AR1270" s="38"/>
    </row>
    <row r="1271" spans="13:44">
      <c r="M1271" s="38"/>
      <c r="N1271" s="38"/>
      <c r="O1271" s="40"/>
      <c r="P1271" s="40"/>
      <c r="Q1271" s="40"/>
      <c r="R1271" s="40"/>
      <c r="S1271" s="40"/>
      <c r="T1271" s="40"/>
      <c r="U1271" s="40"/>
      <c r="V1271" s="40"/>
      <c r="W1271" s="40"/>
      <c r="X1271" s="40"/>
      <c r="Z1271" s="38"/>
      <c r="AA1271" s="38"/>
      <c r="AB1271" s="38"/>
      <c r="AC1271" s="122"/>
      <c r="AD1271"/>
      <c r="AE1271" s="38"/>
      <c r="AF1271" s="38"/>
      <c r="AG1271" s="43"/>
      <c r="AH1271" s="38"/>
      <c r="AI1271" s="38"/>
      <c r="AN1271" s="38"/>
      <c r="AO1271" s="38"/>
      <c r="AR1271" s="38"/>
    </row>
    <row r="1272" spans="13:44">
      <c r="M1272" s="38"/>
      <c r="N1272" s="38"/>
      <c r="O1272" s="40"/>
      <c r="P1272" s="40"/>
      <c r="Q1272" s="40"/>
      <c r="R1272" s="40"/>
      <c r="S1272" s="40"/>
      <c r="T1272" s="40"/>
      <c r="U1272" s="40"/>
      <c r="V1272" s="40"/>
      <c r="W1272" s="40"/>
      <c r="X1272" s="40"/>
      <c r="Z1272" s="38"/>
      <c r="AA1272" s="38"/>
      <c r="AB1272" s="38"/>
      <c r="AC1272" s="122"/>
      <c r="AD1272"/>
      <c r="AE1272" s="38"/>
      <c r="AF1272" s="38"/>
      <c r="AG1272" s="43"/>
      <c r="AH1272" s="38"/>
      <c r="AI1272" s="38"/>
      <c r="AN1272" s="38"/>
      <c r="AO1272" s="38"/>
      <c r="AR1272" s="38"/>
    </row>
    <row r="1273" spans="13:44">
      <c r="M1273" s="38"/>
      <c r="N1273" s="38"/>
      <c r="O1273" s="40"/>
      <c r="P1273" s="40"/>
      <c r="Q1273" s="40"/>
      <c r="R1273" s="40"/>
      <c r="S1273" s="40"/>
      <c r="T1273" s="40"/>
      <c r="U1273" s="40"/>
      <c r="V1273" s="40"/>
      <c r="W1273" s="40"/>
      <c r="X1273" s="40"/>
      <c r="Z1273" s="38"/>
      <c r="AA1273" s="38"/>
      <c r="AB1273" s="38"/>
      <c r="AC1273" s="122"/>
      <c r="AD1273"/>
      <c r="AE1273" s="38"/>
      <c r="AF1273" s="38"/>
      <c r="AG1273" s="43"/>
      <c r="AH1273" s="38"/>
      <c r="AI1273" s="38"/>
      <c r="AN1273" s="38"/>
      <c r="AO1273" s="38"/>
      <c r="AR1273" s="38"/>
    </row>
    <row r="1274" spans="13:44">
      <c r="M1274" s="38"/>
      <c r="N1274" s="38"/>
      <c r="O1274" s="40"/>
      <c r="P1274" s="40"/>
      <c r="Q1274" s="40"/>
      <c r="R1274" s="40"/>
      <c r="S1274" s="40"/>
      <c r="T1274" s="40"/>
      <c r="U1274" s="40"/>
      <c r="V1274" s="40"/>
      <c r="W1274" s="40"/>
      <c r="X1274" s="40"/>
      <c r="Z1274" s="38"/>
      <c r="AA1274" s="38"/>
      <c r="AB1274" s="38"/>
      <c r="AC1274" s="122"/>
      <c r="AD1274"/>
      <c r="AE1274" s="38"/>
      <c r="AF1274" s="38"/>
      <c r="AG1274" s="43"/>
      <c r="AH1274" s="38"/>
      <c r="AI1274" s="38"/>
      <c r="AN1274" s="38"/>
      <c r="AO1274" s="38"/>
      <c r="AR1274" s="38"/>
    </row>
    <row r="1275" spans="13:44">
      <c r="M1275" s="38"/>
      <c r="N1275" s="38"/>
      <c r="O1275" s="40"/>
      <c r="P1275" s="40"/>
      <c r="Q1275" s="40"/>
      <c r="R1275" s="40"/>
      <c r="S1275" s="40"/>
      <c r="T1275" s="40"/>
      <c r="U1275" s="40"/>
      <c r="V1275" s="40"/>
      <c r="W1275" s="40"/>
      <c r="X1275" s="40"/>
      <c r="Z1275" s="38"/>
      <c r="AA1275" s="38"/>
      <c r="AB1275" s="38"/>
      <c r="AC1275" s="122"/>
      <c r="AD1275"/>
      <c r="AE1275" s="38"/>
      <c r="AF1275" s="38"/>
      <c r="AG1275" s="43"/>
      <c r="AH1275" s="38"/>
      <c r="AI1275" s="38"/>
      <c r="AN1275" s="38"/>
      <c r="AO1275" s="38"/>
      <c r="AR1275" s="38"/>
    </row>
    <row r="1276" spans="13:44">
      <c r="M1276" s="38"/>
      <c r="N1276" s="38"/>
      <c r="O1276" s="40"/>
      <c r="P1276" s="40"/>
      <c r="Q1276" s="40"/>
      <c r="R1276" s="40"/>
      <c r="S1276" s="40"/>
      <c r="T1276" s="40"/>
      <c r="U1276" s="40"/>
      <c r="V1276" s="40"/>
      <c r="W1276" s="40"/>
      <c r="X1276" s="40"/>
      <c r="Z1276" s="38"/>
      <c r="AA1276" s="38"/>
      <c r="AB1276" s="38"/>
      <c r="AC1276" s="122"/>
      <c r="AD1276"/>
      <c r="AE1276" s="38"/>
      <c r="AF1276" s="38"/>
      <c r="AG1276" s="43"/>
      <c r="AH1276" s="38"/>
      <c r="AI1276" s="38"/>
      <c r="AN1276" s="38"/>
      <c r="AO1276" s="38"/>
      <c r="AR1276" s="38"/>
    </row>
    <row r="1277" spans="13:44">
      <c r="M1277" s="38"/>
      <c r="N1277" s="38"/>
      <c r="O1277" s="40"/>
      <c r="P1277" s="40"/>
      <c r="Q1277" s="40"/>
      <c r="R1277" s="40"/>
      <c r="S1277" s="40"/>
      <c r="T1277" s="40"/>
      <c r="U1277" s="40"/>
      <c r="V1277" s="40"/>
      <c r="W1277" s="40"/>
      <c r="X1277" s="40"/>
      <c r="Z1277" s="38"/>
      <c r="AA1277" s="38"/>
      <c r="AB1277" s="38"/>
      <c r="AC1277" s="122"/>
      <c r="AD1277"/>
      <c r="AE1277" s="38"/>
      <c r="AF1277" s="38"/>
      <c r="AG1277" s="43"/>
      <c r="AH1277" s="38"/>
      <c r="AI1277" s="38"/>
      <c r="AN1277" s="38"/>
      <c r="AO1277" s="38"/>
      <c r="AR1277" s="38"/>
    </row>
    <row r="1278" spans="13:44">
      <c r="M1278" s="38"/>
      <c r="N1278" s="38"/>
      <c r="O1278" s="40"/>
      <c r="P1278" s="40"/>
      <c r="Q1278" s="40"/>
      <c r="R1278" s="40"/>
      <c r="S1278" s="40"/>
      <c r="T1278" s="40"/>
      <c r="U1278" s="40"/>
      <c r="V1278" s="40"/>
      <c r="W1278" s="40"/>
      <c r="X1278" s="40"/>
      <c r="Z1278" s="38"/>
      <c r="AA1278" s="38"/>
      <c r="AB1278" s="38"/>
      <c r="AC1278" s="122"/>
      <c r="AD1278"/>
      <c r="AE1278" s="38"/>
      <c r="AF1278" s="38"/>
      <c r="AG1278" s="43"/>
      <c r="AH1278" s="38"/>
      <c r="AI1278" s="38"/>
      <c r="AN1278" s="38"/>
      <c r="AO1278" s="38"/>
      <c r="AR1278" s="38"/>
    </row>
    <row r="1279" spans="13:44">
      <c r="M1279" s="38"/>
      <c r="N1279" s="38"/>
      <c r="O1279" s="40"/>
      <c r="P1279" s="40"/>
      <c r="Q1279" s="40"/>
      <c r="R1279" s="40"/>
      <c r="S1279" s="40"/>
      <c r="T1279" s="40"/>
      <c r="U1279" s="40"/>
      <c r="V1279" s="40"/>
      <c r="W1279" s="40"/>
      <c r="X1279" s="40"/>
      <c r="Z1279" s="38"/>
      <c r="AA1279" s="38"/>
      <c r="AB1279" s="38"/>
      <c r="AC1279" s="122"/>
      <c r="AD1279"/>
      <c r="AE1279" s="38"/>
      <c r="AF1279" s="38"/>
      <c r="AG1279" s="43"/>
      <c r="AH1279" s="38"/>
      <c r="AI1279" s="38"/>
      <c r="AN1279" s="38"/>
      <c r="AO1279" s="38"/>
      <c r="AR1279" s="38"/>
    </row>
  </sheetData>
  <autoFilter ref="A2:AP1073">
    <filterColumn colId="1">
      <filters>
        <filter val="OH Asset Inspection"/>
        <filter val="OH Maintenance"/>
        <filter val="Pole Inspection"/>
      </filters>
    </filterColumn>
  </autoFilter>
  <mergeCells count="13">
    <mergeCell ref="AE1:AI1"/>
    <mergeCell ref="E69:E118"/>
    <mergeCell ref="E141:E968"/>
    <mergeCell ref="E26:E68"/>
    <mergeCell ref="I1:M1"/>
    <mergeCell ref="N1:R1"/>
    <mergeCell ref="S1:W1"/>
    <mergeCell ref="E3:E25"/>
    <mergeCell ref="E1024:E1073"/>
    <mergeCell ref="E993:E1023"/>
    <mergeCell ref="E969:E992"/>
    <mergeCell ref="E119:E140"/>
    <mergeCell ref="Z1:AD1"/>
  </mergeCells>
  <pageMargins left="0.7" right="0.7" top="0.75" bottom="0.75" header="0.3" footer="0.3"/>
  <pageSetup paperSize="8" scale="2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M1187"/>
  <sheetViews>
    <sheetView zoomScale="90" zoomScaleNormal="90" workbookViewId="0">
      <pane xSplit="5" ySplit="2" topLeftCell="F893" activePane="bottomRight" state="frozen"/>
      <selection activeCell="F19" sqref="F19"/>
      <selection pane="topRight" activeCell="F19" sqref="F19"/>
      <selection pane="bottomLeft" activeCell="F19" sqref="F19"/>
      <selection pane="bottomRight" activeCell="E902" sqref="E902"/>
    </sheetView>
  </sheetViews>
  <sheetFormatPr defaultRowHeight="15"/>
  <cols>
    <col min="1" max="1" width="20.140625" style="30" customWidth="1"/>
    <col min="2" max="2" width="9.140625" style="30" customWidth="1"/>
    <col min="3" max="3" width="18.28515625" style="332" bestFit="1" customWidth="1"/>
    <col min="4" max="4" width="30.7109375" customWidth="1"/>
    <col min="5" max="5" width="100.42578125" customWidth="1"/>
    <col min="6" max="7" width="9.140625" customWidth="1"/>
    <col min="8" max="63" width="10.5703125" customWidth="1"/>
    <col min="64" max="65" width="9.5703125" customWidth="1"/>
    <col min="66" max="66" width="10.5703125" customWidth="1"/>
    <col min="67" max="68" width="9.5703125" customWidth="1"/>
    <col min="69" max="69" width="10.5703125" customWidth="1"/>
    <col min="70" max="70" width="9.5703125" customWidth="1"/>
    <col min="71" max="71" width="10.5703125" customWidth="1"/>
    <col min="72" max="83" width="9.5703125" customWidth="1"/>
    <col min="84" max="89" width="9.28515625" customWidth="1"/>
    <col min="90" max="91" width="9.5703125" customWidth="1"/>
    <col min="92" max="109" width="9.28515625" customWidth="1"/>
    <col min="110" max="110" width="10.5703125" customWidth="1"/>
    <col min="111" max="111" width="11.28515625" bestFit="1" customWidth="1"/>
    <col min="112" max="113" width="12.140625" bestFit="1" customWidth="1"/>
    <col min="114" max="114" width="24.85546875" style="119" customWidth="1"/>
    <col min="115" max="115" width="29.42578125" bestFit="1" customWidth="1"/>
    <col min="116" max="116" width="27.5703125" bestFit="1" customWidth="1"/>
  </cols>
  <sheetData>
    <row r="1" spans="1:117">
      <c r="C1" s="337"/>
      <c r="D1" s="12"/>
      <c r="E1" s="13"/>
      <c r="F1" s="18"/>
      <c r="G1" s="18"/>
      <c r="H1" s="13">
        <v>1</v>
      </c>
      <c r="I1" s="13">
        <f>H1+1</f>
        <v>2</v>
      </c>
      <c r="J1" s="13">
        <f t="shared" ref="J1:BU1" si="0">I1+1</f>
        <v>3</v>
      </c>
      <c r="K1" s="13">
        <f t="shared" si="0"/>
        <v>4</v>
      </c>
      <c r="L1" s="13">
        <f t="shared" si="0"/>
        <v>5</v>
      </c>
      <c r="M1" s="13">
        <f t="shared" si="0"/>
        <v>6</v>
      </c>
      <c r="N1" s="13">
        <f t="shared" si="0"/>
        <v>7</v>
      </c>
      <c r="O1" s="13">
        <f t="shared" si="0"/>
        <v>8</v>
      </c>
      <c r="P1" s="13">
        <f t="shared" si="0"/>
        <v>9</v>
      </c>
      <c r="Q1" s="13">
        <f t="shared" si="0"/>
        <v>10</v>
      </c>
      <c r="R1" s="13">
        <f t="shared" si="0"/>
        <v>11</v>
      </c>
      <c r="S1" s="13">
        <f t="shared" si="0"/>
        <v>12</v>
      </c>
      <c r="T1" s="13">
        <f t="shared" si="0"/>
        <v>13</v>
      </c>
      <c r="U1" s="13">
        <f t="shared" si="0"/>
        <v>14</v>
      </c>
      <c r="V1" s="13">
        <f t="shared" si="0"/>
        <v>15</v>
      </c>
      <c r="W1" s="13">
        <f t="shared" si="0"/>
        <v>16</v>
      </c>
      <c r="X1" s="13">
        <f t="shared" si="0"/>
        <v>17</v>
      </c>
      <c r="Y1" s="13">
        <f t="shared" si="0"/>
        <v>18</v>
      </c>
      <c r="Z1" s="13">
        <f t="shared" si="0"/>
        <v>19</v>
      </c>
      <c r="AA1" s="13">
        <f t="shared" si="0"/>
        <v>20</v>
      </c>
      <c r="AB1" s="13">
        <f t="shared" si="0"/>
        <v>21</v>
      </c>
      <c r="AC1" s="13">
        <f t="shared" si="0"/>
        <v>22</v>
      </c>
      <c r="AD1" s="13">
        <f t="shared" si="0"/>
        <v>23</v>
      </c>
      <c r="AE1" s="13">
        <f t="shared" si="0"/>
        <v>24</v>
      </c>
      <c r="AF1" s="13">
        <f t="shared" si="0"/>
        <v>25</v>
      </c>
      <c r="AG1" s="13">
        <f t="shared" si="0"/>
        <v>26</v>
      </c>
      <c r="AH1" s="13">
        <f t="shared" si="0"/>
        <v>27</v>
      </c>
      <c r="AI1" s="13">
        <f t="shared" si="0"/>
        <v>28</v>
      </c>
      <c r="AJ1" s="13">
        <f t="shared" si="0"/>
        <v>29</v>
      </c>
      <c r="AK1" s="13">
        <f t="shared" si="0"/>
        <v>30</v>
      </c>
      <c r="AL1" s="13">
        <f t="shared" si="0"/>
        <v>31</v>
      </c>
      <c r="AM1" s="13">
        <f t="shared" si="0"/>
        <v>32</v>
      </c>
      <c r="AN1" s="13">
        <f t="shared" si="0"/>
        <v>33</v>
      </c>
      <c r="AO1" s="13">
        <f t="shared" si="0"/>
        <v>34</v>
      </c>
      <c r="AP1" s="13">
        <f t="shared" si="0"/>
        <v>35</v>
      </c>
      <c r="AQ1" s="13">
        <f t="shared" si="0"/>
        <v>36</v>
      </c>
      <c r="AR1" s="13">
        <f t="shared" si="0"/>
        <v>37</v>
      </c>
      <c r="AS1" s="13">
        <f t="shared" si="0"/>
        <v>38</v>
      </c>
      <c r="AT1" s="13">
        <f t="shared" si="0"/>
        <v>39</v>
      </c>
      <c r="AU1" s="13">
        <f t="shared" si="0"/>
        <v>40</v>
      </c>
      <c r="AV1" s="13">
        <f t="shared" si="0"/>
        <v>41</v>
      </c>
      <c r="AW1" s="13">
        <f t="shared" si="0"/>
        <v>42</v>
      </c>
      <c r="AX1" s="13">
        <f t="shared" si="0"/>
        <v>43</v>
      </c>
      <c r="AY1" s="13">
        <f t="shared" si="0"/>
        <v>44</v>
      </c>
      <c r="AZ1" s="13">
        <f t="shared" si="0"/>
        <v>45</v>
      </c>
      <c r="BA1" s="13">
        <f t="shared" si="0"/>
        <v>46</v>
      </c>
      <c r="BB1" s="13">
        <f t="shared" si="0"/>
        <v>47</v>
      </c>
      <c r="BC1" s="13">
        <f t="shared" si="0"/>
        <v>48</v>
      </c>
      <c r="BD1" s="13">
        <f t="shared" si="0"/>
        <v>49</v>
      </c>
      <c r="BE1" s="13">
        <f t="shared" si="0"/>
        <v>50</v>
      </c>
      <c r="BF1" s="13">
        <f t="shared" si="0"/>
        <v>51</v>
      </c>
      <c r="BG1" s="13">
        <f t="shared" si="0"/>
        <v>52</v>
      </c>
      <c r="BH1" s="13">
        <f t="shared" si="0"/>
        <v>53</v>
      </c>
      <c r="BI1" s="13">
        <f t="shared" si="0"/>
        <v>54</v>
      </c>
      <c r="BJ1" s="13">
        <f t="shared" si="0"/>
        <v>55</v>
      </c>
      <c r="BK1" s="13">
        <f t="shared" si="0"/>
        <v>56</v>
      </c>
      <c r="BL1" s="13">
        <f t="shared" si="0"/>
        <v>57</v>
      </c>
      <c r="BM1" s="13">
        <f t="shared" si="0"/>
        <v>58</v>
      </c>
      <c r="BN1" s="13">
        <f t="shared" si="0"/>
        <v>59</v>
      </c>
      <c r="BO1" s="13">
        <f t="shared" si="0"/>
        <v>60</v>
      </c>
      <c r="BP1" s="13">
        <f t="shared" si="0"/>
        <v>61</v>
      </c>
      <c r="BQ1" s="13">
        <f t="shared" si="0"/>
        <v>62</v>
      </c>
      <c r="BR1" s="13">
        <f t="shared" si="0"/>
        <v>63</v>
      </c>
      <c r="BS1" s="13">
        <f t="shared" si="0"/>
        <v>64</v>
      </c>
      <c r="BT1" s="13">
        <f t="shared" si="0"/>
        <v>65</v>
      </c>
      <c r="BU1" s="13">
        <f t="shared" si="0"/>
        <v>66</v>
      </c>
      <c r="BV1" s="13">
        <f t="shared" ref="BV1:DF1" si="1">BU1+1</f>
        <v>67</v>
      </c>
      <c r="BW1" s="13">
        <f t="shared" si="1"/>
        <v>68</v>
      </c>
      <c r="BX1" s="13">
        <f t="shared" si="1"/>
        <v>69</v>
      </c>
      <c r="BY1" s="13">
        <f t="shared" si="1"/>
        <v>70</v>
      </c>
      <c r="BZ1" s="13">
        <f t="shared" si="1"/>
        <v>71</v>
      </c>
      <c r="CA1" s="13">
        <f t="shared" si="1"/>
        <v>72</v>
      </c>
      <c r="CB1" s="13">
        <f t="shared" si="1"/>
        <v>73</v>
      </c>
      <c r="CC1" s="13">
        <f t="shared" si="1"/>
        <v>74</v>
      </c>
      <c r="CD1" s="13">
        <f t="shared" si="1"/>
        <v>75</v>
      </c>
      <c r="CE1" s="13">
        <f t="shared" si="1"/>
        <v>76</v>
      </c>
      <c r="CF1" s="13">
        <f t="shared" si="1"/>
        <v>77</v>
      </c>
      <c r="CG1" s="13">
        <f t="shared" si="1"/>
        <v>78</v>
      </c>
      <c r="CH1" s="13">
        <f t="shared" si="1"/>
        <v>79</v>
      </c>
      <c r="CI1" s="13">
        <f t="shared" si="1"/>
        <v>80</v>
      </c>
      <c r="CJ1" s="13">
        <f t="shared" si="1"/>
        <v>81</v>
      </c>
      <c r="CK1" s="13">
        <f t="shared" si="1"/>
        <v>82</v>
      </c>
      <c r="CL1" s="13">
        <f t="shared" si="1"/>
        <v>83</v>
      </c>
      <c r="CM1" s="13">
        <f t="shared" si="1"/>
        <v>84</v>
      </c>
      <c r="CN1" s="13">
        <f t="shared" si="1"/>
        <v>85</v>
      </c>
      <c r="CO1" s="13">
        <f t="shared" si="1"/>
        <v>86</v>
      </c>
      <c r="CP1" s="13">
        <f t="shared" si="1"/>
        <v>87</v>
      </c>
      <c r="CQ1" s="13">
        <f t="shared" si="1"/>
        <v>88</v>
      </c>
      <c r="CR1" s="13">
        <f t="shared" si="1"/>
        <v>89</v>
      </c>
      <c r="CS1" s="13">
        <f t="shared" si="1"/>
        <v>90</v>
      </c>
      <c r="CT1" s="13">
        <f t="shared" si="1"/>
        <v>91</v>
      </c>
      <c r="CU1" s="13">
        <f t="shared" si="1"/>
        <v>92</v>
      </c>
      <c r="CV1" s="13">
        <f t="shared" si="1"/>
        <v>93</v>
      </c>
      <c r="CW1" s="13">
        <f t="shared" si="1"/>
        <v>94</v>
      </c>
      <c r="CX1" s="13">
        <f t="shared" si="1"/>
        <v>95</v>
      </c>
      <c r="CY1" s="13">
        <f t="shared" si="1"/>
        <v>96</v>
      </c>
      <c r="CZ1" s="13">
        <f t="shared" si="1"/>
        <v>97</v>
      </c>
      <c r="DA1" s="13">
        <f t="shared" si="1"/>
        <v>98</v>
      </c>
      <c r="DB1" s="13">
        <f t="shared" si="1"/>
        <v>99</v>
      </c>
      <c r="DC1" s="13">
        <f t="shared" si="1"/>
        <v>100</v>
      </c>
      <c r="DD1" s="13">
        <f t="shared" si="1"/>
        <v>101</v>
      </c>
      <c r="DE1" s="13">
        <f t="shared" si="1"/>
        <v>102</v>
      </c>
      <c r="DF1" s="13">
        <f t="shared" si="1"/>
        <v>103</v>
      </c>
      <c r="DG1" s="13" t="s">
        <v>657</v>
      </c>
      <c r="DH1" s="13" t="s">
        <v>5</v>
      </c>
      <c r="DI1" s="13" t="s">
        <v>652</v>
      </c>
      <c r="DJ1" s="89" t="s">
        <v>1526</v>
      </c>
      <c r="DK1" s="89" t="s">
        <v>1321</v>
      </c>
      <c r="DL1" s="89" t="s">
        <v>1322</v>
      </c>
    </row>
    <row r="2" spans="1:117" s="2" customFormat="1">
      <c r="C2" s="62"/>
      <c r="D2" s="62" t="s">
        <v>113</v>
      </c>
      <c r="E2" s="63" t="s">
        <v>114</v>
      </c>
      <c r="F2" s="64" t="s">
        <v>437</v>
      </c>
      <c r="G2" s="64" t="s">
        <v>438</v>
      </c>
      <c r="H2" s="63" t="s">
        <v>7</v>
      </c>
      <c r="I2" s="63" t="s">
        <v>8</v>
      </c>
      <c r="J2" s="63" t="s">
        <v>9</v>
      </c>
      <c r="K2" s="63" t="s">
        <v>10</v>
      </c>
      <c r="L2" s="63" t="s">
        <v>11</v>
      </c>
      <c r="M2" s="63" t="s">
        <v>12</v>
      </c>
      <c r="N2" s="63" t="s">
        <v>13</v>
      </c>
      <c r="O2" s="63" t="s">
        <v>14</v>
      </c>
      <c r="P2" s="63" t="s">
        <v>15</v>
      </c>
      <c r="Q2" s="63" t="s">
        <v>16</v>
      </c>
      <c r="R2" s="63" t="s">
        <v>17</v>
      </c>
      <c r="S2" s="63" t="s">
        <v>18</v>
      </c>
      <c r="T2" s="63" t="s">
        <v>19</v>
      </c>
      <c r="U2" s="63" t="s">
        <v>20</v>
      </c>
      <c r="V2" s="63" t="s">
        <v>21</v>
      </c>
      <c r="W2" s="63" t="s">
        <v>22</v>
      </c>
      <c r="X2" s="63" t="s">
        <v>23</v>
      </c>
      <c r="Y2" s="63" t="s">
        <v>24</v>
      </c>
      <c r="Z2" s="63" t="s">
        <v>25</v>
      </c>
      <c r="AA2" s="63" t="s">
        <v>26</v>
      </c>
      <c r="AB2" s="63" t="s">
        <v>27</v>
      </c>
      <c r="AC2" s="63" t="s">
        <v>28</v>
      </c>
      <c r="AD2" s="63" t="s">
        <v>29</v>
      </c>
      <c r="AE2" s="63" t="s">
        <v>30</v>
      </c>
      <c r="AF2" s="63" t="s">
        <v>31</v>
      </c>
      <c r="AG2" s="63" t="s">
        <v>32</v>
      </c>
      <c r="AH2" s="63" t="s">
        <v>33</v>
      </c>
      <c r="AI2" s="63" t="s">
        <v>34</v>
      </c>
      <c r="AJ2" s="63" t="s">
        <v>35</v>
      </c>
      <c r="AK2" s="63" t="s">
        <v>36</v>
      </c>
      <c r="AL2" s="63" t="s">
        <v>37</v>
      </c>
      <c r="AM2" s="63" t="s">
        <v>38</v>
      </c>
      <c r="AN2" s="63" t="s">
        <v>39</v>
      </c>
      <c r="AO2" s="63" t="s">
        <v>40</v>
      </c>
      <c r="AP2" s="63" t="s">
        <v>41</v>
      </c>
      <c r="AQ2" s="63" t="s">
        <v>42</v>
      </c>
      <c r="AR2" s="63" t="s">
        <v>43</v>
      </c>
      <c r="AS2" s="63" t="s">
        <v>44</v>
      </c>
      <c r="AT2" s="63" t="s">
        <v>45</v>
      </c>
      <c r="AU2" s="63" t="s">
        <v>46</v>
      </c>
      <c r="AV2" s="63" t="s">
        <v>47</v>
      </c>
      <c r="AW2" s="63" t="s">
        <v>48</v>
      </c>
      <c r="AX2" s="63" t="s">
        <v>49</v>
      </c>
      <c r="AY2" s="63" t="s">
        <v>50</v>
      </c>
      <c r="AZ2" s="63" t="s">
        <v>51</v>
      </c>
      <c r="BA2" s="63" t="s">
        <v>52</v>
      </c>
      <c r="BB2" s="63" t="s">
        <v>53</v>
      </c>
      <c r="BC2" s="63" t="s">
        <v>54</v>
      </c>
      <c r="BD2" s="63" t="s">
        <v>55</v>
      </c>
      <c r="BE2" s="63" t="s">
        <v>56</v>
      </c>
      <c r="BF2" s="63" t="s">
        <v>57</v>
      </c>
      <c r="BG2" s="63" t="s">
        <v>58</v>
      </c>
      <c r="BH2" s="63" t="s">
        <v>59</v>
      </c>
      <c r="BI2" s="63" t="s">
        <v>60</v>
      </c>
      <c r="BJ2" s="63" t="s">
        <v>61</v>
      </c>
      <c r="BK2" s="63" t="s">
        <v>62</v>
      </c>
      <c r="BL2" s="63" t="s">
        <v>63</v>
      </c>
      <c r="BM2" s="63" t="s">
        <v>64</v>
      </c>
      <c r="BN2" s="63" t="s">
        <v>65</v>
      </c>
      <c r="BO2" s="63" t="s">
        <v>66</v>
      </c>
      <c r="BP2" s="63" t="s">
        <v>67</v>
      </c>
      <c r="BQ2" s="63" t="s">
        <v>68</v>
      </c>
      <c r="BR2" s="63" t="s">
        <v>69</v>
      </c>
      <c r="BS2" s="63" t="s">
        <v>70</v>
      </c>
      <c r="BT2" s="63" t="s">
        <v>71</v>
      </c>
      <c r="BU2" s="63" t="s">
        <v>72</v>
      </c>
      <c r="BV2" s="63" t="s">
        <v>73</v>
      </c>
      <c r="BW2" s="63" t="s">
        <v>74</v>
      </c>
      <c r="BX2" s="63" t="s">
        <v>75</v>
      </c>
      <c r="BY2" s="63" t="s">
        <v>76</v>
      </c>
      <c r="BZ2" s="63" t="s">
        <v>77</v>
      </c>
      <c r="CA2" s="63" t="s">
        <v>78</v>
      </c>
      <c r="CB2" s="63" t="s">
        <v>79</v>
      </c>
      <c r="CC2" s="63" t="s">
        <v>80</v>
      </c>
      <c r="CD2" s="63" t="s">
        <v>81</v>
      </c>
      <c r="CE2" s="63" t="s">
        <v>82</v>
      </c>
      <c r="CF2" s="63" t="s">
        <v>83</v>
      </c>
      <c r="CG2" s="63" t="s">
        <v>84</v>
      </c>
      <c r="CH2" s="63" t="s">
        <v>85</v>
      </c>
      <c r="CI2" s="63" t="s">
        <v>86</v>
      </c>
      <c r="CJ2" s="63" t="s">
        <v>87</v>
      </c>
      <c r="CK2" s="63" t="s">
        <v>88</v>
      </c>
      <c r="CL2" s="63" t="s">
        <v>89</v>
      </c>
      <c r="CM2" s="63" t="s">
        <v>90</v>
      </c>
      <c r="CN2" s="63" t="s">
        <v>91</v>
      </c>
      <c r="CO2" s="63" t="s">
        <v>92</v>
      </c>
      <c r="CP2" s="63" t="s">
        <v>93</v>
      </c>
      <c r="CQ2" s="63" t="s">
        <v>94</v>
      </c>
      <c r="CR2" s="63" t="s">
        <v>95</v>
      </c>
      <c r="CS2" s="63" t="s">
        <v>96</v>
      </c>
      <c r="CT2" s="63" t="s">
        <v>97</v>
      </c>
      <c r="CU2" s="63" t="s">
        <v>98</v>
      </c>
      <c r="CV2" s="63" t="s">
        <v>99</v>
      </c>
      <c r="CW2" s="63" t="s">
        <v>100</v>
      </c>
      <c r="CX2" s="63" t="s">
        <v>101</v>
      </c>
      <c r="CY2" s="63" t="s">
        <v>102</v>
      </c>
      <c r="CZ2" s="63" t="s">
        <v>103</v>
      </c>
      <c r="DA2" s="63" t="s">
        <v>104</v>
      </c>
      <c r="DB2" s="63" t="s">
        <v>105</v>
      </c>
      <c r="DC2" s="63" t="s">
        <v>106</v>
      </c>
      <c r="DD2" s="63" t="s">
        <v>107</v>
      </c>
      <c r="DE2" s="63" t="s">
        <v>108</v>
      </c>
      <c r="DF2" s="63" t="s">
        <v>109</v>
      </c>
      <c r="DG2" s="63" t="s">
        <v>657</v>
      </c>
      <c r="DH2" s="63" t="s">
        <v>5</v>
      </c>
      <c r="DI2" s="63" t="s">
        <v>652</v>
      </c>
      <c r="DJ2" s="89"/>
      <c r="DK2" s="89" t="s">
        <v>1321</v>
      </c>
      <c r="DL2" s="89" t="s">
        <v>1322</v>
      </c>
    </row>
    <row r="3" spans="1:117" ht="60">
      <c r="A3" s="32" t="str">
        <f>B3&amp;"-"&amp;D3&amp;"-"&amp;E3</f>
        <v>Powercor-POLES BY: 
HIGHEST OPERATING VOLTAGE ; MATERIAL TYPE;  STAKING (IF WOOD)-STAKING OF A WOODEN POLE</v>
      </c>
      <c r="B3" s="32" t="str">
        <f>IF(C3&gt;0,C3,B2)</f>
        <v>Powercor</v>
      </c>
      <c r="C3" s="415" t="s">
        <v>310</v>
      </c>
      <c r="D3" s="14" t="s">
        <v>311</v>
      </c>
      <c r="E3" s="15" t="s">
        <v>117</v>
      </c>
      <c r="F3" s="18">
        <v>38.9</v>
      </c>
      <c r="G3" s="18">
        <v>12.1</v>
      </c>
      <c r="H3" s="15">
        <v>1014</v>
      </c>
      <c r="I3" s="15">
        <v>1117</v>
      </c>
      <c r="J3" s="15">
        <v>834</v>
      </c>
      <c r="K3" s="15">
        <v>778</v>
      </c>
      <c r="L3" s="15">
        <v>498</v>
      </c>
      <c r="M3" s="15">
        <v>699</v>
      </c>
      <c r="N3" s="15">
        <v>1044</v>
      </c>
      <c r="O3" s="15">
        <v>851</v>
      </c>
      <c r="P3" s="15">
        <v>848</v>
      </c>
      <c r="Q3" s="15">
        <v>611</v>
      </c>
      <c r="R3" s="15">
        <v>548</v>
      </c>
      <c r="S3" s="15">
        <v>540</v>
      </c>
      <c r="T3" s="15">
        <v>340</v>
      </c>
      <c r="U3" s="15">
        <v>144</v>
      </c>
      <c r="V3" s="15">
        <v>160</v>
      </c>
      <c r="W3" s="15">
        <v>136</v>
      </c>
      <c r="X3" s="15">
        <v>1633</v>
      </c>
      <c r="Y3" s="15">
        <v>1523</v>
      </c>
      <c r="Z3" s="15">
        <v>781</v>
      </c>
      <c r="AA3" s="15">
        <v>633</v>
      </c>
      <c r="AB3" s="15">
        <v>457</v>
      </c>
      <c r="AC3" s="15">
        <v>531</v>
      </c>
      <c r="AD3" s="15">
        <v>926</v>
      </c>
      <c r="AE3" s="15">
        <v>981</v>
      </c>
      <c r="AF3" s="15">
        <v>1615</v>
      </c>
      <c r="AG3" s="15">
        <v>371</v>
      </c>
      <c r="AH3" s="15">
        <v>103</v>
      </c>
      <c r="AI3" s="15">
        <v>24</v>
      </c>
      <c r="AJ3" s="15">
        <v>46</v>
      </c>
      <c r="AK3" s="15">
        <v>0</v>
      </c>
      <c r="AL3" s="15">
        <v>0</v>
      </c>
      <c r="AM3" s="15">
        <v>0</v>
      </c>
      <c r="AN3" s="15">
        <v>0</v>
      </c>
      <c r="AO3" s="15">
        <v>1517</v>
      </c>
      <c r="AP3" s="15">
        <v>0</v>
      </c>
      <c r="AQ3" s="15">
        <v>0</v>
      </c>
      <c r="AR3" s="15">
        <v>0</v>
      </c>
      <c r="AS3" s="15">
        <v>0</v>
      </c>
      <c r="AT3" s="15">
        <v>0</v>
      </c>
      <c r="AU3" s="15">
        <v>0</v>
      </c>
      <c r="AV3" s="15">
        <v>0</v>
      </c>
      <c r="AW3" s="15">
        <v>0</v>
      </c>
      <c r="AX3" s="15">
        <v>0</v>
      </c>
      <c r="AY3" s="15">
        <v>0</v>
      </c>
      <c r="AZ3" s="15">
        <v>0</v>
      </c>
      <c r="BA3" s="15">
        <v>0</v>
      </c>
      <c r="BB3" s="15">
        <v>0</v>
      </c>
      <c r="BC3" s="15">
        <v>0</v>
      </c>
      <c r="BD3" s="15">
        <v>0</v>
      </c>
      <c r="BE3" s="15">
        <v>0</v>
      </c>
      <c r="BF3" s="15">
        <v>0</v>
      </c>
      <c r="BG3" s="15">
        <v>0</v>
      </c>
      <c r="BH3" s="15">
        <v>0</v>
      </c>
      <c r="BI3" s="15">
        <v>0</v>
      </c>
      <c r="BJ3" s="15">
        <v>0</v>
      </c>
      <c r="BK3" s="15">
        <v>0</v>
      </c>
      <c r="BL3" s="15">
        <v>0</v>
      </c>
      <c r="BM3" s="15">
        <v>0</v>
      </c>
      <c r="BN3" s="15">
        <v>0</v>
      </c>
      <c r="BO3" s="15">
        <v>0</v>
      </c>
      <c r="BP3" s="15">
        <v>0</v>
      </c>
      <c r="BQ3" s="15">
        <v>0</v>
      </c>
      <c r="BR3" s="15">
        <v>0</v>
      </c>
      <c r="BS3" s="15">
        <v>0</v>
      </c>
      <c r="BT3" s="15">
        <v>0</v>
      </c>
      <c r="BU3" s="15">
        <v>0</v>
      </c>
      <c r="BV3" s="15">
        <v>0</v>
      </c>
      <c r="BW3" s="15">
        <v>0</v>
      </c>
      <c r="BX3" s="15">
        <v>0</v>
      </c>
      <c r="BY3" s="15">
        <v>0</v>
      </c>
      <c r="BZ3" s="15">
        <v>0</v>
      </c>
      <c r="CA3" s="15">
        <v>0</v>
      </c>
      <c r="CB3" s="15">
        <v>0</v>
      </c>
      <c r="CC3" s="15">
        <v>0</v>
      </c>
      <c r="CD3" s="15">
        <v>0</v>
      </c>
      <c r="CE3" s="15">
        <v>0</v>
      </c>
      <c r="CF3" s="15">
        <v>0</v>
      </c>
      <c r="CG3" s="15">
        <v>0</v>
      </c>
      <c r="CH3" s="15">
        <v>0</v>
      </c>
      <c r="CI3" s="15">
        <v>0</v>
      </c>
      <c r="CJ3" s="15">
        <v>0</v>
      </c>
      <c r="CK3" s="15">
        <v>0</v>
      </c>
      <c r="CL3" s="15">
        <v>0</v>
      </c>
      <c r="CM3" s="15">
        <v>0</v>
      </c>
      <c r="CN3" s="15">
        <v>0</v>
      </c>
      <c r="CO3" s="15">
        <v>0</v>
      </c>
      <c r="CP3" s="15">
        <v>0</v>
      </c>
      <c r="CQ3" s="15">
        <v>0</v>
      </c>
      <c r="CR3" s="15">
        <v>0</v>
      </c>
      <c r="CS3" s="15">
        <v>0</v>
      </c>
      <c r="CT3" s="15">
        <v>0</v>
      </c>
      <c r="CU3" s="15">
        <v>0</v>
      </c>
      <c r="CV3" s="15">
        <v>0</v>
      </c>
      <c r="CW3" s="15">
        <v>0</v>
      </c>
      <c r="CX3" s="15">
        <v>0</v>
      </c>
      <c r="CY3" s="15">
        <v>0</v>
      </c>
      <c r="CZ3" s="15">
        <v>0</v>
      </c>
      <c r="DA3" s="15">
        <v>0</v>
      </c>
      <c r="DB3" s="15">
        <v>0</v>
      </c>
      <c r="DC3" s="15">
        <v>0</v>
      </c>
      <c r="DD3" s="15">
        <v>0</v>
      </c>
      <c r="DE3" s="15">
        <v>0</v>
      </c>
      <c r="DF3" s="15">
        <v>0</v>
      </c>
      <c r="DG3" s="16">
        <f>SUM(H3:DF3)</f>
        <v>21303</v>
      </c>
      <c r="DH3" s="16">
        <f>IFERROR(SUMPRODUCT(H3:DF3,$H$1:$DF$1),"")</f>
        <v>322105</v>
      </c>
      <c r="DI3" s="17">
        <f>IFERROR(DH3/DG3,"")</f>
        <v>15.12017086795287</v>
      </c>
      <c r="DJ3" s="119" t="s">
        <v>1</v>
      </c>
      <c r="DK3" t="s">
        <v>1</v>
      </c>
      <c r="DL3" s="44" t="s">
        <v>117</v>
      </c>
      <c r="DM3" s="44"/>
    </row>
    <row r="4" spans="1:117">
      <c r="A4" s="32" t="str">
        <f t="shared" ref="A4:A23" si="2">B4&amp;"-"&amp;D4&amp;"-"&amp;E4</f>
        <v>Powercor--˂ = 1 kV; WOOD</v>
      </c>
      <c r="B4" s="32" t="str">
        <f t="shared" ref="B4:B23" si="3">IF(C4&gt;0,C4,B3)</f>
        <v>Powercor</v>
      </c>
      <c r="C4" s="416"/>
      <c r="D4" s="14"/>
      <c r="E4" s="15" t="s">
        <v>119</v>
      </c>
      <c r="F4" s="18">
        <v>38.9</v>
      </c>
      <c r="G4" s="18">
        <v>12.1</v>
      </c>
      <c r="H4" s="15">
        <v>253</v>
      </c>
      <c r="I4" s="15">
        <v>454</v>
      </c>
      <c r="J4" s="15">
        <v>319</v>
      </c>
      <c r="K4" s="15">
        <v>407</v>
      </c>
      <c r="L4" s="15">
        <v>385</v>
      </c>
      <c r="M4" s="15">
        <v>372</v>
      </c>
      <c r="N4" s="15">
        <v>477</v>
      </c>
      <c r="O4" s="15">
        <v>487</v>
      </c>
      <c r="P4" s="15">
        <v>657</v>
      </c>
      <c r="Q4" s="15">
        <v>606</v>
      </c>
      <c r="R4" s="15">
        <v>601</v>
      </c>
      <c r="S4" s="15">
        <v>509</v>
      </c>
      <c r="T4" s="15">
        <v>792</v>
      </c>
      <c r="U4" s="15">
        <v>676</v>
      </c>
      <c r="V4" s="15">
        <v>428</v>
      </c>
      <c r="W4" s="15">
        <v>50</v>
      </c>
      <c r="X4" s="15">
        <v>19</v>
      </c>
      <c r="Y4" s="15">
        <v>15</v>
      </c>
      <c r="Z4" s="15">
        <v>7</v>
      </c>
      <c r="AA4" s="15">
        <v>4</v>
      </c>
      <c r="AB4" s="15">
        <v>18</v>
      </c>
      <c r="AC4" s="15">
        <v>15</v>
      </c>
      <c r="AD4" s="15">
        <v>36</v>
      </c>
      <c r="AE4" s="15">
        <v>399</v>
      </c>
      <c r="AF4" s="15">
        <v>1310</v>
      </c>
      <c r="AG4" s="15">
        <v>1265</v>
      </c>
      <c r="AH4" s="15">
        <v>1128</v>
      </c>
      <c r="AI4" s="15">
        <v>3309</v>
      </c>
      <c r="AJ4" s="15">
        <v>2130</v>
      </c>
      <c r="AK4" s="15">
        <v>2496</v>
      </c>
      <c r="AL4" s="15">
        <v>1912</v>
      </c>
      <c r="AM4" s="15">
        <v>1859</v>
      </c>
      <c r="AN4" s="15">
        <v>2070</v>
      </c>
      <c r="AO4" s="15">
        <v>3837</v>
      </c>
      <c r="AP4" s="15">
        <v>1954</v>
      </c>
      <c r="AQ4" s="15">
        <v>2366</v>
      </c>
      <c r="AR4" s="15">
        <v>1925</v>
      </c>
      <c r="AS4" s="15">
        <v>3705</v>
      </c>
      <c r="AT4" s="15">
        <v>3361</v>
      </c>
      <c r="AU4" s="15">
        <v>2701</v>
      </c>
      <c r="AV4" s="15">
        <v>3392</v>
      </c>
      <c r="AW4" s="15">
        <v>2847</v>
      </c>
      <c r="AX4" s="15">
        <v>2287</v>
      </c>
      <c r="AY4" s="15">
        <v>2440</v>
      </c>
      <c r="AZ4" s="15">
        <v>3402</v>
      </c>
      <c r="BA4" s="15">
        <v>3310</v>
      </c>
      <c r="BB4" s="15">
        <v>3427</v>
      </c>
      <c r="BC4" s="15">
        <v>2326</v>
      </c>
      <c r="BD4" s="15">
        <v>2683</v>
      </c>
      <c r="BE4" s="15">
        <v>2679</v>
      </c>
      <c r="BF4" s="15">
        <v>1611</v>
      </c>
      <c r="BG4" s="15">
        <v>1813</v>
      </c>
      <c r="BH4" s="15">
        <v>1612</v>
      </c>
      <c r="BI4" s="15">
        <v>1526</v>
      </c>
      <c r="BJ4" s="15">
        <v>1250</v>
      </c>
      <c r="BK4" s="15">
        <v>1092</v>
      </c>
      <c r="BL4" s="15">
        <v>1187</v>
      </c>
      <c r="BM4" s="15">
        <v>262</v>
      </c>
      <c r="BN4" s="15">
        <v>420</v>
      </c>
      <c r="BO4" s="15">
        <v>297</v>
      </c>
      <c r="BP4" s="15">
        <v>418</v>
      </c>
      <c r="BQ4" s="15">
        <v>512</v>
      </c>
      <c r="BR4" s="15">
        <v>409</v>
      </c>
      <c r="BS4" s="15">
        <v>602</v>
      </c>
      <c r="BT4" s="15">
        <v>253</v>
      </c>
      <c r="BU4" s="15">
        <v>114</v>
      </c>
      <c r="BV4" s="15">
        <v>130</v>
      </c>
      <c r="BW4" s="15">
        <v>105</v>
      </c>
      <c r="BX4" s="15">
        <v>66</v>
      </c>
      <c r="BY4" s="15">
        <v>30</v>
      </c>
      <c r="BZ4" s="15">
        <v>28</v>
      </c>
      <c r="CA4" s="15">
        <v>114</v>
      </c>
      <c r="CB4" s="15">
        <v>362</v>
      </c>
      <c r="CC4" s="15">
        <v>685</v>
      </c>
      <c r="CD4" s="15">
        <v>425</v>
      </c>
      <c r="CE4" s="15">
        <v>741</v>
      </c>
      <c r="CF4" s="15">
        <v>221</v>
      </c>
      <c r="CG4" s="15">
        <v>167</v>
      </c>
      <c r="CH4" s="15">
        <v>61</v>
      </c>
      <c r="CI4" s="15">
        <v>128</v>
      </c>
      <c r="CJ4" s="15">
        <v>62</v>
      </c>
      <c r="CK4" s="15">
        <v>25</v>
      </c>
      <c r="CL4" s="15">
        <v>15</v>
      </c>
      <c r="CM4" s="15">
        <v>21</v>
      </c>
      <c r="CN4" s="15">
        <v>0</v>
      </c>
      <c r="CO4" s="15">
        <v>0</v>
      </c>
      <c r="CP4" s="15">
        <v>0</v>
      </c>
      <c r="CQ4" s="15">
        <v>0</v>
      </c>
      <c r="CR4" s="15">
        <v>0</v>
      </c>
      <c r="CS4" s="15">
        <v>0</v>
      </c>
      <c r="CT4" s="15">
        <v>0</v>
      </c>
      <c r="CU4" s="15">
        <v>0</v>
      </c>
      <c r="CV4" s="15">
        <v>0</v>
      </c>
      <c r="CW4" s="15">
        <v>0</v>
      </c>
      <c r="CX4" s="15">
        <v>0</v>
      </c>
      <c r="CY4" s="15">
        <v>0</v>
      </c>
      <c r="CZ4" s="15">
        <v>0</v>
      </c>
      <c r="DA4" s="15">
        <v>0</v>
      </c>
      <c r="DB4" s="15">
        <v>0</v>
      </c>
      <c r="DC4" s="15">
        <v>0</v>
      </c>
      <c r="DD4" s="15">
        <v>0</v>
      </c>
      <c r="DE4" s="15">
        <v>0</v>
      </c>
      <c r="DF4" s="15">
        <v>0</v>
      </c>
      <c r="DG4" s="16">
        <f t="shared" ref="DG4:DG63" si="4">SUM(H4:DF4)</f>
        <v>90871</v>
      </c>
      <c r="DH4" s="16">
        <f t="shared" ref="DH4:DH63" si="5">IFERROR(SUMPRODUCT(H4:DF4,$H$1:$DF$1),"")</f>
        <v>3632515</v>
      </c>
      <c r="DI4" s="17">
        <f t="shared" ref="DI4:DI63" si="6">IFERROR(DH4/DG4,"")</f>
        <v>39.974414279583144</v>
      </c>
      <c r="DJ4" s="119" t="s">
        <v>1</v>
      </c>
      <c r="DK4" s="44" t="s">
        <v>1</v>
      </c>
      <c r="DL4" s="44" t="s">
        <v>1328</v>
      </c>
      <c r="DM4" s="44"/>
    </row>
    <row r="5" spans="1:117">
      <c r="A5" s="32" t="str">
        <f t="shared" si="2"/>
        <v>Powercor--&gt; 1 kV &amp; &lt; = 11 kV; WOOD</v>
      </c>
      <c r="B5" s="32" t="str">
        <f t="shared" si="3"/>
        <v>Powercor</v>
      </c>
      <c r="C5" s="416"/>
      <c r="D5" s="14"/>
      <c r="E5" s="15" t="s">
        <v>121</v>
      </c>
      <c r="F5" s="18">
        <v>38.9</v>
      </c>
      <c r="G5" s="18">
        <v>12.1</v>
      </c>
      <c r="H5" s="15">
        <v>9</v>
      </c>
      <c r="I5" s="15">
        <v>5</v>
      </c>
      <c r="J5" s="15">
        <v>5</v>
      </c>
      <c r="K5" s="15">
        <v>2</v>
      </c>
      <c r="L5" s="15">
        <v>6</v>
      </c>
      <c r="M5" s="15">
        <v>9</v>
      </c>
      <c r="N5" s="15">
        <v>7</v>
      </c>
      <c r="O5" s="15">
        <v>10</v>
      </c>
      <c r="P5" s="15">
        <v>5</v>
      </c>
      <c r="Q5" s="15">
        <v>12</v>
      </c>
      <c r="R5" s="15">
        <v>7</v>
      </c>
      <c r="S5" s="15">
        <v>5</v>
      </c>
      <c r="T5" s="15">
        <v>10</v>
      </c>
      <c r="U5" s="15">
        <v>4</v>
      </c>
      <c r="V5" s="15">
        <v>2</v>
      </c>
      <c r="W5" s="15">
        <v>2</v>
      </c>
      <c r="X5" s="15">
        <v>3</v>
      </c>
      <c r="Y5" s="15">
        <v>9</v>
      </c>
      <c r="Z5" s="15">
        <v>3</v>
      </c>
      <c r="AA5" s="15">
        <v>0</v>
      </c>
      <c r="AB5" s="15">
        <v>10</v>
      </c>
      <c r="AC5" s="15">
        <v>0</v>
      </c>
      <c r="AD5" s="15">
        <v>6</v>
      </c>
      <c r="AE5" s="15">
        <v>30</v>
      </c>
      <c r="AF5" s="15">
        <v>14</v>
      </c>
      <c r="AG5" s="15">
        <v>8</v>
      </c>
      <c r="AH5" s="15">
        <v>9</v>
      </c>
      <c r="AI5" s="15">
        <v>5</v>
      </c>
      <c r="AJ5" s="15">
        <v>21</v>
      </c>
      <c r="AK5" s="15">
        <v>21</v>
      </c>
      <c r="AL5" s="15">
        <v>19</v>
      </c>
      <c r="AM5" s="15">
        <v>5</v>
      </c>
      <c r="AN5" s="15">
        <v>6</v>
      </c>
      <c r="AO5" s="15">
        <v>15</v>
      </c>
      <c r="AP5" s="15">
        <v>3</v>
      </c>
      <c r="AQ5" s="15">
        <v>31</v>
      </c>
      <c r="AR5" s="15">
        <v>11</v>
      </c>
      <c r="AS5" s="15">
        <v>4</v>
      </c>
      <c r="AT5" s="15">
        <v>9</v>
      </c>
      <c r="AU5" s="15">
        <v>12</v>
      </c>
      <c r="AV5" s="15">
        <v>8</v>
      </c>
      <c r="AW5" s="15">
        <v>14</v>
      </c>
      <c r="AX5" s="15">
        <v>7</v>
      </c>
      <c r="AY5" s="15">
        <v>21</v>
      </c>
      <c r="AZ5" s="15">
        <v>10</v>
      </c>
      <c r="BA5" s="15">
        <v>18</v>
      </c>
      <c r="BB5" s="15">
        <v>13</v>
      </c>
      <c r="BC5" s="15">
        <v>31</v>
      </c>
      <c r="BD5" s="15">
        <v>19</v>
      </c>
      <c r="BE5" s="15">
        <v>5</v>
      </c>
      <c r="BF5" s="15">
        <v>12</v>
      </c>
      <c r="BG5" s="15">
        <v>17</v>
      </c>
      <c r="BH5" s="15">
        <v>20</v>
      </c>
      <c r="BI5" s="15">
        <v>12</v>
      </c>
      <c r="BJ5" s="15">
        <v>27</v>
      </c>
      <c r="BK5" s="15">
        <v>8</v>
      </c>
      <c r="BL5" s="15">
        <v>4</v>
      </c>
      <c r="BM5" s="15">
        <v>0</v>
      </c>
      <c r="BN5" s="15">
        <v>0</v>
      </c>
      <c r="BO5" s="15">
        <v>7</v>
      </c>
      <c r="BP5" s="15">
        <v>2</v>
      </c>
      <c r="BQ5" s="15">
        <v>0</v>
      </c>
      <c r="BR5" s="15">
        <v>2</v>
      </c>
      <c r="BS5" s="15">
        <v>4</v>
      </c>
      <c r="BT5" s="15">
        <v>0</v>
      </c>
      <c r="BU5" s="15">
        <v>0</v>
      </c>
      <c r="BV5" s="15">
        <v>0</v>
      </c>
      <c r="BW5" s="15">
        <v>2</v>
      </c>
      <c r="BX5" s="15">
        <v>0</v>
      </c>
      <c r="BY5" s="15">
        <v>0</v>
      </c>
      <c r="BZ5" s="15">
        <v>0</v>
      </c>
      <c r="CA5" s="15">
        <v>0</v>
      </c>
      <c r="CB5" s="15">
        <v>9</v>
      </c>
      <c r="CC5" s="15">
        <v>4</v>
      </c>
      <c r="CD5" s="15">
        <v>3</v>
      </c>
      <c r="CE5" s="15">
        <v>3</v>
      </c>
      <c r="CF5" s="15">
        <v>0</v>
      </c>
      <c r="CG5" s="15">
        <v>0</v>
      </c>
      <c r="CH5" s="15">
        <v>0</v>
      </c>
      <c r="CI5" s="15">
        <v>0</v>
      </c>
      <c r="CJ5" s="15">
        <v>0</v>
      </c>
      <c r="CK5" s="15">
        <v>0</v>
      </c>
      <c r="CL5" s="15">
        <v>0</v>
      </c>
      <c r="CM5" s="15">
        <v>0</v>
      </c>
      <c r="CN5" s="15">
        <v>0</v>
      </c>
      <c r="CO5" s="15">
        <v>0</v>
      </c>
      <c r="CP5" s="15">
        <v>0</v>
      </c>
      <c r="CQ5" s="15">
        <v>0</v>
      </c>
      <c r="CR5" s="15">
        <v>0</v>
      </c>
      <c r="CS5" s="15">
        <v>0</v>
      </c>
      <c r="CT5" s="15">
        <v>0</v>
      </c>
      <c r="CU5" s="15">
        <v>0</v>
      </c>
      <c r="CV5" s="15">
        <v>0</v>
      </c>
      <c r="CW5" s="15">
        <v>0</v>
      </c>
      <c r="CX5" s="15">
        <v>0</v>
      </c>
      <c r="CY5" s="15">
        <v>0</v>
      </c>
      <c r="CZ5" s="15">
        <v>0</v>
      </c>
      <c r="DA5" s="15">
        <v>0</v>
      </c>
      <c r="DB5" s="15">
        <v>0</v>
      </c>
      <c r="DC5" s="15">
        <v>0</v>
      </c>
      <c r="DD5" s="15">
        <v>0</v>
      </c>
      <c r="DE5" s="15">
        <v>0</v>
      </c>
      <c r="DF5" s="15">
        <v>0</v>
      </c>
      <c r="DG5" s="16">
        <f t="shared" si="4"/>
        <v>636</v>
      </c>
      <c r="DH5" s="16">
        <f t="shared" si="5"/>
        <v>22921</v>
      </c>
      <c r="DI5" s="17">
        <f t="shared" si="6"/>
        <v>36.039308176100626</v>
      </c>
      <c r="DJ5" s="119" t="s">
        <v>1</v>
      </c>
      <c r="DK5" s="44" t="s">
        <v>1</v>
      </c>
      <c r="DL5" s="44" t="s">
        <v>1328</v>
      </c>
      <c r="DM5" s="44"/>
    </row>
    <row r="6" spans="1:117">
      <c r="A6" s="32" t="str">
        <f t="shared" si="2"/>
        <v>Powercor--˃ 11 kV &amp; &lt; = 22 kV; WOOD</v>
      </c>
      <c r="B6" s="32" t="str">
        <f t="shared" si="3"/>
        <v>Powercor</v>
      </c>
      <c r="C6" s="416"/>
      <c r="D6" s="14"/>
      <c r="E6" s="15" t="s">
        <v>123</v>
      </c>
      <c r="F6" s="18">
        <v>38.9</v>
      </c>
      <c r="G6" s="18">
        <v>12.1</v>
      </c>
      <c r="H6" s="15">
        <v>758</v>
      </c>
      <c r="I6" s="15">
        <v>1660</v>
      </c>
      <c r="J6" s="15">
        <v>1307</v>
      </c>
      <c r="K6" s="15">
        <v>1276</v>
      </c>
      <c r="L6" s="15">
        <v>1427</v>
      </c>
      <c r="M6" s="15">
        <v>1478</v>
      </c>
      <c r="N6" s="15">
        <v>1573</v>
      </c>
      <c r="O6" s="15">
        <v>1911</v>
      </c>
      <c r="P6" s="15">
        <v>2794</v>
      </c>
      <c r="Q6" s="15">
        <v>3126</v>
      </c>
      <c r="R6" s="15">
        <v>2785</v>
      </c>
      <c r="S6" s="15">
        <v>2135</v>
      </c>
      <c r="T6" s="15">
        <v>3632</v>
      </c>
      <c r="U6" s="15">
        <v>3328</v>
      </c>
      <c r="V6" s="15">
        <v>1919</v>
      </c>
      <c r="W6" s="15">
        <v>358</v>
      </c>
      <c r="X6" s="15">
        <v>161</v>
      </c>
      <c r="Y6" s="15">
        <v>120</v>
      </c>
      <c r="Z6" s="15">
        <v>165</v>
      </c>
      <c r="AA6" s="15">
        <v>147</v>
      </c>
      <c r="AB6" s="15">
        <v>557</v>
      </c>
      <c r="AC6" s="15">
        <v>108</v>
      </c>
      <c r="AD6" s="15">
        <v>598</v>
      </c>
      <c r="AE6" s="15">
        <v>1603</v>
      </c>
      <c r="AF6" s="15">
        <v>1487</v>
      </c>
      <c r="AG6" s="15">
        <v>2806</v>
      </c>
      <c r="AH6" s="15">
        <v>1521</v>
      </c>
      <c r="AI6" s="15">
        <v>4622</v>
      </c>
      <c r="AJ6" s="15">
        <v>4249</v>
      </c>
      <c r="AK6" s="15">
        <v>5313</v>
      </c>
      <c r="AL6" s="15">
        <v>4834</v>
      </c>
      <c r="AM6" s="15">
        <v>5307</v>
      </c>
      <c r="AN6" s="15">
        <v>7184</v>
      </c>
      <c r="AO6" s="15">
        <v>7081</v>
      </c>
      <c r="AP6" s="15">
        <v>2714</v>
      </c>
      <c r="AQ6" s="15">
        <v>4814</v>
      </c>
      <c r="AR6" s="15">
        <v>7429</v>
      </c>
      <c r="AS6" s="15">
        <v>7280</v>
      </c>
      <c r="AT6" s="15">
        <v>5776</v>
      </c>
      <c r="AU6" s="15">
        <v>4190</v>
      </c>
      <c r="AV6" s="15">
        <v>3824</v>
      </c>
      <c r="AW6" s="15">
        <v>3710</v>
      </c>
      <c r="AX6" s="15">
        <v>3269</v>
      </c>
      <c r="AY6" s="15">
        <v>5140</v>
      </c>
      <c r="AZ6" s="15">
        <v>8111</v>
      </c>
      <c r="BA6" s="15">
        <v>8289</v>
      </c>
      <c r="BB6" s="15">
        <v>8608</v>
      </c>
      <c r="BC6" s="15">
        <v>10224</v>
      </c>
      <c r="BD6" s="15">
        <v>12074</v>
      </c>
      <c r="BE6" s="15">
        <v>11858</v>
      </c>
      <c r="BF6" s="15">
        <v>5303</v>
      </c>
      <c r="BG6" s="15">
        <v>4963</v>
      </c>
      <c r="BH6" s="15">
        <v>4830</v>
      </c>
      <c r="BI6" s="15">
        <v>4277</v>
      </c>
      <c r="BJ6" s="15">
        <v>3904</v>
      </c>
      <c r="BK6" s="15">
        <v>3798</v>
      </c>
      <c r="BL6" s="15">
        <v>3533</v>
      </c>
      <c r="BM6" s="15">
        <v>786</v>
      </c>
      <c r="BN6" s="15">
        <v>1638</v>
      </c>
      <c r="BO6" s="15">
        <v>1156</v>
      </c>
      <c r="BP6" s="15">
        <v>821</v>
      </c>
      <c r="BQ6" s="15">
        <v>1018</v>
      </c>
      <c r="BR6" s="15">
        <v>996</v>
      </c>
      <c r="BS6" s="15">
        <v>859</v>
      </c>
      <c r="BT6" s="15">
        <v>523</v>
      </c>
      <c r="BU6" s="15">
        <v>163</v>
      </c>
      <c r="BV6" s="15">
        <v>158</v>
      </c>
      <c r="BW6" s="15">
        <v>140</v>
      </c>
      <c r="BX6" s="15">
        <v>185</v>
      </c>
      <c r="BY6" s="15">
        <v>200</v>
      </c>
      <c r="BZ6" s="15">
        <v>72</v>
      </c>
      <c r="CA6" s="15">
        <v>301</v>
      </c>
      <c r="CB6" s="15">
        <v>529</v>
      </c>
      <c r="CC6" s="15">
        <v>1505</v>
      </c>
      <c r="CD6" s="15">
        <v>1292</v>
      </c>
      <c r="CE6" s="15">
        <v>2400</v>
      </c>
      <c r="CF6" s="15">
        <v>633</v>
      </c>
      <c r="CG6" s="15">
        <v>315</v>
      </c>
      <c r="CH6" s="15">
        <v>151</v>
      </c>
      <c r="CI6" s="15">
        <v>79</v>
      </c>
      <c r="CJ6" s="15">
        <v>52</v>
      </c>
      <c r="CK6" s="15">
        <v>22</v>
      </c>
      <c r="CL6" s="15">
        <v>6</v>
      </c>
      <c r="CM6" s="15">
        <v>8</v>
      </c>
      <c r="CN6" s="15">
        <v>0</v>
      </c>
      <c r="CO6" s="15">
        <v>0</v>
      </c>
      <c r="CP6" s="15">
        <v>0</v>
      </c>
      <c r="CQ6" s="15">
        <v>0</v>
      </c>
      <c r="CR6" s="15">
        <v>0</v>
      </c>
      <c r="CS6" s="15">
        <v>0</v>
      </c>
      <c r="CT6" s="15">
        <v>0</v>
      </c>
      <c r="CU6" s="15">
        <v>0</v>
      </c>
      <c r="CV6" s="15">
        <v>0</v>
      </c>
      <c r="CW6" s="15">
        <v>0</v>
      </c>
      <c r="CX6" s="15">
        <v>0</v>
      </c>
      <c r="CY6" s="15">
        <v>0</v>
      </c>
      <c r="CZ6" s="15">
        <v>0</v>
      </c>
      <c r="DA6" s="15">
        <v>0</v>
      </c>
      <c r="DB6" s="15">
        <v>0</v>
      </c>
      <c r="DC6" s="15">
        <v>0</v>
      </c>
      <c r="DD6" s="15">
        <v>0</v>
      </c>
      <c r="DE6" s="15">
        <v>0</v>
      </c>
      <c r="DF6" s="15">
        <v>0</v>
      </c>
      <c r="DG6" s="16">
        <f t="shared" si="4"/>
        <v>233256</v>
      </c>
      <c r="DH6" s="16">
        <f t="shared" si="5"/>
        <v>9185750</v>
      </c>
      <c r="DI6" s="17">
        <f t="shared" si="6"/>
        <v>39.380551840038414</v>
      </c>
      <c r="DJ6" s="119" t="s">
        <v>1</v>
      </c>
      <c r="DK6" s="44" t="s">
        <v>1</v>
      </c>
      <c r="DL6" s="44" t="s">
        <v>1328</v>
      </c>
      <c r="DM6" s="44"/>
    </row>
    <row r="7" spans="1:117">
      <c r="A7" s="32" t="str">
        <f t="shared" si="2"/>
        <v>Powercor--&gt; 22 kV &amp; &lt; = 66 kV; WOOD</v>
      </c>
      <c r="B7" s="32" t="str">
        <f t="shared" si="3"/>
        <v>Powercor</v>
      </c>
      <c r="C7" s="416"/>
      <c r="D7" s="14"/>
      <c r="E7" s="15" t="s">
        <v>125</v>
      </c>
      <c r="F7" s="18">
        <v>38.9</v>
      </c>
      <c r="G7" s="18">
        <v>12.1</v>
      </c>
      <c r="H7" s="15">
        <v>59</v>
      </c>
      <c r="I7" s="15">
        <v>239</v>
      </c>
      <c r="J7" s="15">
        <v>292</v>
      </c>
      <c r="K7" s="15">
        <v>361</v>
      </c>
      <c r="L7" s="15">
        <v>95</v>
      </c>
      <c r="M7" s="15">
        <v>326</v>
      </c>
      <c r="N7" s="15">
        <v>317</v>
      </c>
      <c r="O7" s="15">
        <v>415</v>
      </c>
      <c r="P7" s="15">
        <v>209</v>
      </c>
      <c r="Q7" s="15">
        <v>878</v>
      </c>
      <c r="R7" s="15">
        <v>316</v>
      </c>
      <c r="S7" s="15">
        <v>309</v>
      </c>
      <c r="T7" s="15">
        <v>582</v>
      </c>
      <c r="U7" s="15">
        <v>314</v>
      </c>
      <c r="V7" s="15">
        <v>298</v>
      </c>
      <c r="W7" s="15">
        <v>28</v>
      </c>
      <c r="X7" s="15">
        <v>12</v>
      </c>
      <c r="Y7" s="15">
        <v>13</v>
      </c>
      <c r="Z7" s="15">
        <v>27</v>
      </c>
      <c r="AA7" s="15">
        <v>10</v>
      </c>
      <c r="AB7" s="15">
        <v>43</v>
      </c>
      <c r="AC7" s="15">
        <v>7</v>
      </c>
      <c r="AD7" s="15">
        <v>36</v>
      </c>
      <c r="AE7" s="15">
        <v>294</v>
      </c>
      <c r="AF7" s="15">
        <v>176</v>
      </c>
      <c r="AG7" s="15">
        <v>57</v>
      </c>
      <c r="AH7" s="15">
        <v>42</v>
      </c>
      <c r="AI7" s="15">
        <v>46</v>
      </c>
      <c r="AJ7" s="15">
        <v>84</v>
      </c>
      <c r="AK7" s="15">
        <v>284</v>
      </c>
      <c r="AL7" s="15">
        <v>130</v>
      </c>
      <c r="AM7" s="15">
        <v>121</v>
      </c>
      <c r="AN7" s="15">
        <v>367</v>
      </c>
      <c r="AO7" s="15">
        <v>190</v>
      </c>
      <c r="AP7" s="15">
        <v>132</v>
      </c>
      <c r="AQ7" s="15">
        <v>46</v>
      </c>
      <c r="AR7" s="15">
        <v>434</v>
      </c>
      <c r="AS7" s="15">
        <v>776</v>
      </c>
      <c r="AT7" s="15">
        <v>819</v>
      </c>
      <c r="AU7" s="15">
        <v>406</v>
      </c>
      <c r="AV7" s="15">
        <v>232</v>
      </c>
      <c r="AW7" s="15">
        <v>348</v>
      </c>
      <c r="AX7" s="15">
        <v>211</v>
      </c>
      <c r="AY7" s="15">
        <v>746</v>
      </c>
      <c r="AZ7" s="15">
        <v>579</v>
      </c>
      <c r="BA7" s="15">
        <v>162</v>
      </c>
      <c r="BB7" s="15">
        <v>445</v>
      </c>
      <c r="BC7" s="15">
        <v>379</v>
      </c>
      <c r="BD7" s="15">
        <v>319</v>
      </c>
      <c r="BE7" s="15">
        <v>505</v>
      </c>
      <c r="BF7" s="15">
        <v>267</v>
      </c>
      <c r="BG7" s="15">
        <v>201</v>
      </c>
      <c r="BH7" s="15">
        <v>289</v>
      </c>
      <c r="BI7" s="15">
        <v>128</v>
      </c>
      <c r="BJ7" s="15">
        <v>153</v>
      </c>
      <c r="BK7" s="15">
        <v>47</v>
      </c>
      <c r="BL7" s="15">
        <v>451</v>
      </c>
      <c r="BM7" s="15">
        <v>314</v>
      </c>
      <c r="BN7" s="15">
        <v>66</v>
      </c>
      <c r="BO7" s="15">
        <v>15</v>
      </c>
      <c r="BP7" s="15">
        <v>67</v>
      </c>
      <c r="BQ7" s="15">
        <v>24</v>
      </c>
      <c r="BR7" s="15">
        <v>34</v>
      </c>
      <c r="BS7" s="15">
        <v>32</v>
      </c>
      <c r="BT7" s="15">
        <v>15</v>
      </c>
      <c r="BU7" s="15">
        <v>22</v>
      </c>
      <c r="BV7" s="15">
        <v>5</v>
      </c>
      <c r="BW7" s="15">
        <v>6</v>
      </c>
      <c r="BX7" s="15">
        <v>4</v>
      </c>
      <c r="BY7" s="15">
        <v>2</v>
      </c>
      <c r="BZ7" s="15">
        <v>257</v>
      </c>
      <c r="CA7" s="15">
        <v>62</v>
      </c>
      <c r="CB7" s="15">
        <v>185</v>
      </c>
      <c r="CC7" s="15">
        <v>58</v>
      </c>
      <c r="CD7" s="15">
        <v>23</v>
      </c>
      <c r="CE7" s="15">
        <v>21</v>
      </c>
      <c r="CF7" s="15">
        <v>3</v>
      </c>
      <c r="CG7" s="15">
        <v>4</v>
      </c>
      <c r="CH7" s="15">
        <v>45</v>
      </c>
      <c r="CI7" s="15">
        <v>28</v>
      </c>
      <c r="CJ7" s="15">
        <v>2</v>
      </c>
      <c r="CK7" s="15">
        <v>0</v>
      </c>
      <c r="CL7" s="15">
        <v>0</v>
      </c>
      <c r="CM7" s="15">
        <v>0</v>
      </c>
      <c r="CN7" s="15">
        <v>0</v>
      </c>
      <c r="CO7" s="15">
        <v>0</v>
      </c>
      <c r="CP7" s="15">
        <v>0</v>
      </c>
      <c r="CQ7" s="15">
        <v>0</v>
      </c>
      <c r="CR7" s="15">
        <v>0</v>
      </c>
      <c r="CS7" s="15">
        <v>0</v>
      </c>
      <c r="CT7" s="15">
        <v>0</v>
      </c>
      <c r="CU7" s="15">
        <v>0</v>
      </c>
      <c r="CV7" s="15">
        <v>0</v>
      </c>
      <c r="CW7" s="15">
        <v>0</v>
      </c>
      <c r="CX7" s="15">
        <v>0</v>
      </c>
      <c r="CY7" s="15">
        <v>0</v>
      </c>
      <c r="CZ7" s="15">
        <v>0</v>
      </c>
      <c r="DA7" s="15">
        <v>0</v>
      </c>
      <c r="DB7" s="15">
        <v>0</v>
      </c>
      <c r="DC7" s="15">
        <v>0</v>
      </c>
      <c r="DD7" s="15">
        <v>0</v>
      </c>
      <c r="DE7" s="15">
        <v>0</v>
      </c>
      <c r="DF7" s="15">
        <v>0</v>
      </c>
      <c r="DG7" s="16">
        <f t="shared" si="4"/>
        <v>16346</v>
      </c>
      <c r="DH7" s="16">
        <f t="shared" si="5"/>
        <v>550638</v>
      </c>
      <c r="DI7" s="17">
        <f t="shared" si="6"/>
        <v>33.686406460296098</v>
      </c>
      <c r="DJ7" s="119" t="s">
        <v>1</v>
      </c>
      <c r="DK7" s="44" t="s">
        <v>1</v>
      </c>
      <c r="DL7" s="44" t="s">
        <v>1328</v>
      </c>
      <c r="DM7" s="44"/>
    </row>
    <row r="8" spans="1:117">
      <c r="A8" s="32" t="str">
        <f t="shared" si="2"/>
        <v>Powercor--&gt; 66 kV &amp; &lt; = 132 kV; WOOD</v>
      </c>
      <c r="B8" s="32" t="str">
        <f t="shared" si="3"/>
        <v>Powercor</v>
      </c>
      <c r="C8" s="416"/>
      <c r="D8" s="14"/>
      <c r="E8" s="15" t="s">
        <v>127</v>
      </c>
      <c r="F8" s="18">
        <v>0</v>
      </c>
      <c r="G8" s="18">
        <v>0</v>
      </c>
      <c r="H8" s="15">
        <v>0</v>
      </c>
      <c r="I8" s="15">
        <v>0</v>
      </c>
      <c r="J8" s="15">
        <v>0</v>
      </c>
      <c r="K8" s="15">
        <v>0</v>
      </c>
      <c r="L8" s="15">
        <v>0</v>
      </c>
      <c r="M8" s="15">
        <v>0</v>
      </c>
      <c r="N8" s="15">
        <v>0</v>
      </c>
      <c r="O8" s="15">
        <v>0</v>
      </c>
      <c r="P8" s="15">
        <v>0</v>
      </c>
      <c r="Q8" s="15">
        <v>0</v>
      </c>
      <c r="R8" s="15">
        <v>0</v>
      </c>
      <c r="S8" s="15">
        <v>0</v>
      </c>
      <c r="T8" s="15">
        <v>0</v>
      </c>
      <c r="U8" s="15">
        <v>0</v>
      </c>
      <c r="V8" s="15">
        <v>0</v>
      </c>
      <c r="W8" s="15">
        <v>0</v>
      </c>
      <c r="X8" s="15">
        <v>0</v>
      </c>
      <c r="Y8" s="15">
        <v>0</v>
      </c>
      <c r="Z8" s="15">
        <v>0</v>
      </c>
      <c r="AA8" s="15">
        <v>0</v>
      </c>
      <c r="AB8" s="15">
        <v>0</v>
      </c>
      <c r="AC8" s="15">
        <v>0</v>
      </c>
      <c r="AD8" s="15">
        <v>0</v>
      </c>
      <c r="AE8" s="15">
        <v>0</v>
      </c>
      <c r="AF8" s="15">
        <v>0</v>
      </c>
      <c r="AG8" s="15">
        <v>0</v>
      </c>
      <c r="AH8" s="15">
        <v>0</v>
      </c>
      <c r="AI8" s="15">
        <v>0</v>
      </c>
      <c r="AJ8" s="15">
        <v>0</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v>
      </c>
      <c r="BE8" s="15">
        <v>0</v>
      </c>
      <c r="BF8" s="15">
        <v>0</v>
      </c>
      <c r="BG8" s="15">
        <v>0</v>
      </c>
      <c r="BH8" s="15">
        <v>0</v>
      </c>
      <c r="BI8" s="15">
        <v>0</v>
      </c>
      <c r="BJ8" s="15">
        <v>0</v>
      </c>
      <c r="BK8" s="15">
        <v>0</v>
      </c>
      <c r="BL8" s="15">
        <v>0</v>
      </c>
      <c r="BM8" s="15">
        <v>0</v>
      </c>
      <c r="BN8" s="15">
        <v>0</v>
      </c>
      <c r="BO8" s="15">
        <v>0</v>
      </c>
      <c r="BP8" s="15">
        <v>0</v>
      </c>
      <c r="BQ8" s="15">
        <v>0</v>
      </c>
      <c r="BR8" s="15">
        <v>0</v>
      </c>
      <c r="BS8" s="15">
        <v>0</v>
      </c>
      <c r="BT8" s="15">
        <v>0</v>
      </c>
      <c r="BU8" s="15">
        <v>0</v>
      </c>
      <c r="BV8" s="15">
        <v>0</v>
      </c>
      <c r="BW8" s="15">
        <v>0</v>
      </c>
      <c r="BX8" s="15">
        <v>0</v>
      </c>
      <c r="BY8" s="15">
        <v>0</v>
      </c>
      <c r="BZ8" s="15">
        <v>0</v>
      </c>
      <c r="CA8" s="15">
        <v>0</v>
      </c>
      <c r="CB8" s="15">
        <v>0</v>
      </c>
      <c r="CC8" s="15">
        <v>0</v>
      </c>
      <c r="CD8" s="15">
        <v>0</v>
      </c>
      <c r="CE8" s="15">
        <v>0</v>
      </c>
      <c r="CF8" s="15">
        <v>0</v>
      </c>
      <c r="CG8" s="15">
        <v>0</v>
      </c>
      <c r="CH8" s="15">
        <v>0</v>
      </c>
      <c r="CI8" s="15">
        <v>0</v>
      </c>
      <c r="CJ8" s="15">
        <v>0</v>
      </c>
      <c r="CK8" s="15">
        <v>0</v>
      </c>
      <c r="CL8" s="15">
        <v>0</v>
      </c>
      <c r="CM8" s="15">
        <v>0</v>
      </c>
      <c r="CN8" s="15">
        <v>0</v>
      </c>
      <c r="CO8" s="15">
        <v>0</v>
      </c>
      <c r="CP8" s="15">
        <v>0</v>
      </c>
      <c r="CQ8" s="15">
        <v>0</v>
      </c>
      <c r="CR8" s="15">
        <v>0</v>
      </c>
      <c r="CS8" s="15">
        <v>0</v>
      </c>
      <c r="CT8" s="15">
        <v>0</v>
      </c>
      <c r="CU8" s="15">
        <v>0</v>
      </c>
      <c r="CV8" s="15">
        <v>0</v>
      </c>
      <c r="CW8" s="15">
        <v>0</v>
      </c>
      <c r="CX8" s="15">
        <v>0</v>
      </c>
      <c r="CY8" s="15">
        <v>0</v>
      </c>
      <c r="CZ8" s="15">
        <v>0</v>
      </c>
      <c r="DA8" s="15">
        <v>0</v>
      </c>
      <c r="DB8" s="15">
        <v>0</v>
      </c>
      <c r="DC8" s="15">
        <v>0</v>
      </c>
      <c r="DD8" s="15">
        <v>0</v>
      </c>
      <c r="DE8" s="15">
        <v>0</v>
      </c>
      <c r="DF8" s="15">
        <v>0</v>
      </c>
      <c r="DG8" s="16">
        <f t="shared" si="4"/>
        <v>0</v>
      </c>
      <c r="DH8" s="16">
        <f t="shared" si="5"/>
        <v>0</v>
      </c>
      <c r="DI8" s="17" t="str">
        <f t="shared" si="6"/>
        <v/>
      </c>
      <c r="DJ8" s="119" t="s">
        <v>1</v>
      </c>
      <c r="DK8" s="44" t="s">
        <v>1</v>
      </c>
      <c r="DL8" s="44" t="s">
        <v>1328</v>
      </c>
      <c r="DM8" s="44"/>
    </row>
    <row r="9" spans="1:117">
      <c r="A9" s="32" t="str">
        <f t="shared" si="2"/>
        <v>Powercor--&gt; 132 kV; WOOD</v>
      </c>
      <c r="B9" s="32" t="str">
        <f t="shared" si="3"/>
        <v>Powercor</v>
      </c>
      <c r="C9" s="416"/>
      <c r="D9" s="14"/>
      <c r="E9" s="15" t="s">
        <v>129</v>
      </c>
      <c r="F9" s="18">
        <v>0</v>
      </c>
      <c r="G9" s="18">
        <v>0</v>
      </c>
      <c r="H9" s="15">
        <v>0</v>
      </c>
      <c r="I9" s="15">
        <v>0</v>
      </c>
      <c r="J9" s="15">
        <v>0</v>
      </c>
      <c r="K9" s="15">
        <v>0</v>
      </c>
      <c r="L9" s="15">
        <v>0</v>
      </c>
      <c r="M9" s="15">
        <v>0</v>
      </c>
      <c r="N9" s="15">
        <v>0</v>
      </c>
      <c r="O9" s="15">
        <v>0</v>
      </c>
      <c r="P9" s="15">
        <v>0</v>
      </c>
      <c r="Q9" s="15">
        <v>0</v>
      </c>
      <c r="R9" s="15">
        <v>0</v>
      </c>
      <c r="S9" s="15">
        <v>0</v>
      </c>
      <c r="T9" s="15">
        <v>0</v>
      </c>
      <c r="U9" s="15">
        <v>0</v>
      </c>
      <c r="V9" s="15">
        <v>0</v>
      </c>
      <c r="W9" s="15">
        <v>0</v>
      </c>
      <c r="X9" s="15">
        <v>0</v>
      </c>
      <c r="Y9" s="15">
        <v>0</v>
      </c>
      <c r="Z9" s="15">
        <v>0</v>
      </c>
      <c r="AA9" s="15">
        <v>0</v>
      </c>
      <c r="AB9" s="15">
        <v>0</v>
      </c>
      <c r="AC9" s="15">
        <v>0</v>
      </c>
      <c r="AD9" s="15">
        <v>0</v>
      </c>
      <c r="AE9" s="15">
        <v>0</v>
      </c>
      <c r="AF9" s="15">
        <v>0</v>
      </c>
      <c r="AG9" s="15">
        <v>0</v>
      </c>
      <c r="AH9" s="15">
        <v>0</v>
      </c>
      <c r="AI9" s="15">
        <v>0</v>
      </c>
      <c r="AJ9" s="15">
        <v>0</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v>
      </c>
      <c r="BE9" s="15">
        <v>0</v>
      </c>
      <c r="BF9" s="15">
        <v>0</v>
      </c>
      <c r="BG9" s="15">
        <v>0</v>
      </c>
      <c r="BH9" s="15">
        <v>0</v>
      </c>
      <c r="BI9" s="15">
        <v>0</v>
      </c>
      <c r="BJ9" s="15">
        <v>0</v>
      </c>
      <c r="BK9" s="15">
        <v>0</v>
      </c>
      <c r="BL9" s="15">
        <v>0</v>
      </c>
      <c r="BM9" s="15">
        <v>0</v>
      </c>
      <c r="BN9" s="15">
        <v>0</v>
      </c>
      <c r="BO9" s="15">
        <v>0</v>
      </c>
      <c r="BP9" s="15">
        <v>0</v>
      </c>
      <c r="BQ9" s="15">
        <v>0</v>
      </c>
      <c r="BR9" s="15">
        <v>0</v>
      </c>
      <c r="BS9" s="15">
        <v>0</v>
      </c>
      <c r="BT9" s="15">
        <v>0</v>
      </c>
      <c r="BU9" s="15">
        <v>0</v>
      </c>
      <c r="BV9" s="15">
        <v>0</v>
      </c>
      <c r="BW9" s="15">
        <v>0</v>
      </c>
      <c r="BX9" s="15">
        <v>0</v>
      </c>
      <c r="BY9" s="15">
        <v>0</v>
      </c>
      <c r="BZ9" s="15">
        <v>0</v>
      </c>
      <c r="CA9" s="15">
        <v>0</v>
      </c>
      <c r="CB9" s="15">
        <v>0</v>
      </c>
      <c r="CC9" s="15">
        <v>0</v>
      </c>
      <c r="CD9" s="15">
        <v>0</v>
      </c>
      <c r="CE9" s="15">
        <v>0</v>
      </c>
      <c r="CF9" s="15">
        <v>0</v>
      </c>
      <c r="CG9" s="15">
        <v>0</v>
      </c>
      <c r="CH9" s="15">
        <v>0</v>
      </c>
      <c r="CI9" s="15">
        <v>0</v>
      </c>
      <c r="CJ9" s="15">
        <v>0</v>
      </c>
      <c r="CK9" s="15">
        <v>0</v>
      </c>
      <c r="CL9" s="15">
        <v>0</v>
      </c>
      <c r="CM9" s="15">
        <v>0</v>
      </c>
      <c r="CN9" s="15">
        <v>0</v>
      </c>
      <c r="CO9" s="15">
        <v>0</v>
      </c>
      <c r="CP9" s="15">
        <v>0</v>
      </c>
      <c r="CQ9" s="15">
        <v>0</v>
      </c>
      <c r="CR9" s="15">
        <v>0</v>
      </c>
      <c r="CS9" s="15">
        <v>0</v>
      </c>
      <c r="CT9" s="15">
        <v>0</v>
      </c>
      <c r="CU9" s="15">
        <v>0</v>
      </c>
      <c r="CV9" s="15">
        <v>0</v>
      </c>
      <c r="CW9" s="15">
        <v>0</v>
      </c>
      <c r="CX9" s="15">
        <v>0</v>
      </c>
      <c r="CY9" s="15">
        <v>0</v>
      </c>
      <c r="CZ9" s="15">
        <v>0</v>
      </c>
      <c r="DA9" s="15">
        <v>0</v>
      </c>
      <c r="DB9" s="15">
        <v>0</v>
      </c>
      <c r="DC9" s="15">
        <v>0</v>
      </c>
      <c r="DD9" s="15">
        <v>0</v>
      </c>
      <c r="DE9" s="15">
        <v>0</v>
      </c>
      <c r="DF9" s="15">
        <v>0</v>
      </c>
      <c r="DG9" s="16">
        <f t="shared" si="4"/>
        <v>0</v>
      </c>
      <c r="DH9" s="16">
        <f t="shared" si="5"/>
        <v>0</v>
      </c>
      <c r="DI9" s="17" t="str">
        <f t="shared" si="6"/>
        <v/>
      </c>
      <c r="DJ9" s="119" t="s">
        <v>1</v>
      </c>
      <c r="DK9" s="44" t="s">
        <v>1</v>
      </c>
      <c r="DL9" s="44" t="s">
        <v>1328</v>
      </c>
      <c r="DM9" s="44"/>
    </row>
    <row r="10" spans="1:117">
      <c r="A10" s="32" t="str">
        <f t="shared" si="2"/>
        <v>Powercor--˂ = 1 kV; CONCRETE</v>
      </c>
      <c r="B10" s="32" t="str">
        <f t="shared" si="3"/>
        <v>Powercor</v>
      </c>
      <c r="C10" s="416"/>
      <c r="D10" s="14"/>
      <c r="E10" s="15" t="s">
        <v>131</v>
      </c>
      <c r="F10" s="18">
        <v>38.9</v>
      </c>
      <c r="G10" s="18">
        <v>12.1</v>
      </c>
      <c r="H10" s="15">
        <v>210</v>
      </c>
      <c r="I10" s="15">
        <v>302</v>
      </c>
      <c r="J10" s="15">
        <v>247</v>
      </c>
      <c r="K10" s="15">
        <v>275</v>
      </c>
      <c r="L10" s="15">
        <v>263</v>
      </c>
      <c r="M10" s="15">
        <v>165</v>
      </c>
      <c r="N10" s="15">
        <v>421</v>
      </c>
      <c r="O10" s="15">
        <v>244</v>
      </c>
      <c r="P10" s="15">
        <v>80</v>
      </c>
      <c r="Q10" s="15">
        <v>8</v>
      </c>
      <c r="R10" s="15">
        <v>3</v>
      </c>
      <c r="S10" s="15">
        <v>2</v>
      </c>
      <c r="T10" s="15">
        <v>7</v>
      </c>
      <c r="U10" s="15">
        <v>15</v>
      </c>
      <c r="V10" s="15">
        <v>75</v>
      </c>
      <c r="W10" s="15">
        <v>221</v>
      </c>
      <c r="X10" s="15">
        <v>339</v>
      </c>
      <c r="Y10" s="15">
        <v>127</v>
      </c>
      <c r="Z10" s="15">
        <v>526</v>
      </c>
      <c r="AA10" s="15">
        <v>781</v>
      </c>
      <c r="AB10" s="15">
        <v>1511</v>
      </c>
      <c r="AC10" s="15">
        <v>1315</v>
      </c>
      <c r="AD10" s="15">
        <v>884</v>
      </c>
      <c r="AE10" s="15">
        <v>1179</v>
      </c>
      <c r="AF10" s="15">
        <v>1988</v>
      </c>
      <c r="AG10" s="15">
        <v>2163</v>
      </c>
      <c r="AH10" s="15">
        <v>1535</v>
      </c>
      <c r="AI10" s="15">
        <v>1416</v>
      </c>
      <c r="AJ10" s="15">
        <v>1508</v>
      </c>
      <c r="AK10" s="15">
        <v>791</v>
      </c>
      <c r="AL10" s="15">
        <v>660</v>
      </c>
      <c r="AM10" s="15">
        <v>93</v>
      </c>
      <c r="AN10" s="15">
        <v>636</v>
      </c>
      <c r="AO10" s="15">
        <v>736</v>
      </c>
      <c r="AP10" s="15">
        <v>6</v>
      </c>
      <c r="AQ10" s="15">
        <v>803</v>
      </c>
      <c r="AR10" s="15">
        <v>404</v>
      </c>
      <c r="AS10" s="15">
        <v>241</v>
      </c>
      <c r="AT10" s="15">
        <v>65</v>
      </c>
      <c r="AU10" s="15">
        <v>81</v>
      </c>
      <c r="AV10" s="15">
        <v>374</v>
      </c>
      <c r="AW10" s="15">
        <v>202</v>
      </c>
      <c r="AX10" s="15">
        <v>4</v>
      </c>
      <c r="AY10" s="15">
        <v>0</v>
      </c>
      <c r="AZ10" s="15">
        <v>0</v>
      </c>
      <c r="BA10" s="15">
        <v>0</v>
      </c>
      <c r="BB10" s="15">
        <v>0</v>
      </c>
      <c r="BC10" s="15">
        <v>0</v>
      </c>
      <c r="BD10" s="15">
        <v>0</v>
      </c>
      <c r="BE10" s="15">
        <v>0</v>
      </c>
      <c r="BF10" s="15">
        <v>0</v>
      </c>
      <c r="BG10" s="15">
        <v>0</v>
      </c>
      <c r="BH10" s="15">
        <v>0</v>
      </c>
      <c r="BI10" s="15">
        <v>0</v>
      </c>
      <c r="BJ10" s="15">
        <v>0</v>
      </c>
      <c r="BK10" s="15">
        <v>2</v>
      </c>
      <c r="BL10" s="15">
        <v>0</v>
      </c>
      <c r="BM10" s="15">
        <v>0</v>
      </c>
      <c r="BN10" s="15">
        <v>0</v>
      </c>
      <c r="BO10" s="15">
        <v>0</v>
      </c>
      <c r="BP10" s="15">
        <v>0</v>
      </c>
      <c r="BQ10" s="15">
        <v>0</v>
      </c>
      <c r="BR10" s="15">
        <v>0</v>
      </c>
      <c r="BS10" s="15">
        <v>0</v>
      </c>
      <c r="BT10" s="15">
        <v>0</v>
      </c>
      <c r="BU10" s="15">
        <v>0</v>
      </c>
      <c r="BV10" s="15">
        <v>0</v>
      </c>
      <c r="BW10" s="15">
        <v>0</v>
      </c>
      <c r="BX10" s="15">
        <v>0</v>
      </c>
      <c r="BY10" s="15">
        <v>0</v>
      </c>
      <c r="BZ10" s="15">
        <v>0</v>
      </c>
      <c r="CA10" s="15">
        <v>0</v>
      </c>
      <c r="CB10" s="15">
        <v>0</v>
      </c>
      <c r="CC10" s="15">
        <v>0</v>
      </c>
      <c r="CD10" s="15">
        <v>0</v>
      </c>
      <c r="CE10" s="15">
        <v>0</v>
      </c>
      <c r="CF10" s="15">
        <v>0</v>
      </c>
      <c r="CG10" s="15">
        <v>0</v>
      </c>
      <c r="CH10" s="15">
        <v>0</v>
      </c>
      <c r="CI10" s="15">
        <v>0</v>
      </c>
      <c r="CJ10" s="15">
        <v>0</v>
      </c>
      <c r="CK10" s="15">
        <v>0</v>
      </c>
      <c r="CL10" s="15">
        <v>0</v>
      </c>
      <c r="CM10" s="15">
        <v>0</v>
      </c>
      <c r="CN10" s="15">
        <v>0</v>
      </c>
      <c r="CO10" s="15">
        <v>0</v>
      </c>
      <c r="CP10" s="15">
        <v>0</v>
      </c>
      <c r="CQ10" s="15">
        <v>0</v>
      </c>
      <c r="CR10" s="15">
        <v>0</v>
      </c>
      <c r="CS10" s="15">
        <v>0</v>
      </c>
      <c r="CT10" s="15">
        <v>0</v>
      </c>
      <c r="CU10" s="15">
        <v>0</v>
      </c>
      <c r="CV10" s="15">
        <v>0</v>
      </c>
      <c r="CW10" s="15">
        <v>0</v>
      </c>
      <c r="CX10" s="15">
        <v>0</v>
      </c>
      <c r="CY10" s="15">
        <v>0</v>
      </c>
      <c r="CZ10" s="15">
        <v>0</v>
      </c>
      <c r="DA10" s="15">
        <v>0</v>
      </c>
      <c r="DB10" s="15">
        <v>0</v>
      </c>
      <c r="DC10" s="15">
        <v>0</v>
      </c>
      <c r="DD10" s="15">
        <v>0</v>
      </c>
      <c r="DE10" s="15">
        <v>0</v>
      </c>
      <c r="DF10" s="15">
        <v>0</v>
      </c>
      <c r="DG10" s="16">
        <f t="shared" si="4"/>
        <v>22908</v>
      </c>
      <c r="DH10" s="16">
        <f t="shared" si="5"/>
        <v>565672</v>
      </c>
      <c r="DI10" s="17">
        <f t="shared" si="6"/>
        <v>24.693207613060938</v>
      </c>
      <c r="DJ10" s="119" t="s">
        <v>1</v>
      </c>
      <c r="DK10" s="44" t="s">
        <v>1</v>
      </c>
      <c r="DL10" s="44" t="s">
        <v>1329</v>
      </c>
      <c r="DM10" s="44"/>
    </row>
    <row r="11" spans="1:117">
      <c r="A11" s="32" t="str">
        <f t="shared" si="2"/>
        <v>Powercor--&gt; 1 kV &amp; &lt; = 11 kV; CONCRETE</v>
      </c>
      <c r="B11" s="32" t="str">
        <f t="shared" si="3"/>
        <v>Powercor</v>
      </c>
      <c r="C11" s="416"/>
      <c r="D11" s="14"/>
      <c r="E11" s="15" t="s">
        <v>133</v>
      </c>
      <c r="F11" s="18">
        <v>38.9</v>
      </c>
      <c r="G11" s="18">
        <v>12.1</v>
      </c>
      <c r="H11" s="15">
        <v>0</v>
      </c>
      <c r="I11" s="15">
        <v>2</v>
      </c>
      <c r="J11" s="15">
        <v>0</v>
      </c>
      <c r="K11" s="15">
        <v>0</v>
      </c>
      <c r="L11" s="15">
        <v>0</v>
      </c>
      <c r="M11" s="15">
        <v>0</v>
      </c>
      <c r="N11" s="15">
        <v>0</v>
      </c>
      <c r="O11" s="15">
        <v>0</v>
      </c>
      <c r="P11" s="15">
        <v>0</v>
      </c>
      <c r="Q11" s="15">
        <v>0</v>
      </c>
      <c r="R11" s="15">
        <v>0</v>
      </c>
      <c r="S11" s="15">
        <v>0</v>
      </c>
      <c r="T11" s="15">
        <v>0</v>
      </c>
      <c r="U11" s="15">
        <v>0</v>
      </c>
      <c r="V11" s="15">
        <v>0</v>
      </c>
      <c r="W11" s="15">
        <v>11</v>
      </c>
      <c r="X11" s="15">
        <v>6</v>
      </c>
      <c r="Y11" s="15">
        <v>4</v>
      </c>
      <c r="Z11" s="15">
        <v>5</v>
      </c>
      <c r="AA11" s="15">
        <v>3</v>
      </c>
      <c r="AB11" s="15">
        <v>3</v>
      </c>
      <c r="AC11" s="15">
        <v>3</v>
      </c>
      <c r="AD11" s="15">
        <v>3</v>
      </c>
      <c r="AE11" s="15">
        <v>4</v>
      </c>
      <c r="AF11" s="15">
        <v>2</v>
      </c>
      <c r="AG11" s="15">
        <v>3</v>
      </c>
      <c r="AH11" s="15">
        <v>1</v>
      </c>
      <c r="AI11" s="15">
        <v>1</v>
      </c>
      <c r="AJ11" s="15">
        <v>2</v>
      </c>
      <c r="AK11" s="15">
        <v>7</v>
      </c>
      <c r="AL11" s="15">
        <v>3</v>
      </c>
      <c r="AM11" s="15">
        <v>1</v>
      </c>
      <c r="AN11" s="15">
        <v>0</v>
      </c>
      <c r="AO11" s="15">
        <v>1</v>
      </c>
      <c r="AP11" s="15">
        <v>0</v>
      </c>
      <c r="AQ11" s="15">
        <v>0</v>
      </c>
      <c r="AR11" s="15">
        <v>0</v>
      </c>
      <c r="AS11" s="15">
        <v>0</v>
      </c>
      <c r="AT11" s="15">
        <v>0</v>
      </c>
      <c r="AU11" s="15">
        <v>0</v>
      </c>
      <c r="AV11" s="15">
        <v>0</v>
      </c>
      <c r="AW11" s="15">
        <v>0</v>
      </c>
      <c r="AX11" s="15">
        <v>0</v>
      </c>
      <c r="AY11" s="15">
        <v>0</v>
      </c>
      <c r="AZ11" s="15">
        <v>0</v>
      </c>
      <c r="BA11" s="15">
        <v>0</v>
      </c>
      <c r="BB11" s="15">
        <v>0</v>
      </c>
      <c r="BC11" s="15">
        <v>0</v>
      </c>
      <c r="BD11" s="15">
        <v>0</v>
      </c>
      <c r="BE11" s="15">
        <v>0</v>
      </c>
      <c r="BF11" s="15">
        <v>0</v>
      </c>
      <c r="BG11" s="15">
        <v>0</v>
      </c>
      <c r="BH11" s="15">
        <v>0</v>
      </c>
      <c r="BI11" s="15">
        <v>0</v>
      </c>
      <c r="BJ11" s="15">
        <v>0</v>
      </c>
      <c r="BK11" s="15">
        <v>0</v>
      </c>
      <c r="BL11" s="15">
        <v>0</v>
      </c>
      <c r="BM11" s="15">
        <v>0</v>
      </c>
      <c r="BN11" s="15">
        <v>0</v>
      </c>
      <c r="BO11" s="15">
        <v>0</v>
      </c>
      <c r="BP11" s="15">
        <v>0</v>
      </c>
      <c r="BQ11" s="15">
        <v>0</v>
      </c>
      <c r="BR11" s="15">
        <v>0</v>
      </c>
      <c r="BS11" s="15">
        <v>0</v>
      </c>
      <c r="BT11" s="15">
        <v>0</v>
      </c>
      <c r="BU11" s="15">
        <v>0</v>
      </c>
      <c r="BV11" s="15">
        <v>0</v>
      </c>
      <c r="BW11" s="15">
        <v>0</v>
      </c>
      <c r="BX11" s="15">
        <v>0</v>
      </c>
      <c r="BY11" s="15">
        <v>0</v>
      </c>
      <c r="BZ11" s="15">
        <v>0</v>
      </c>
      <c r="CA11" s="15">
        <v>0</v>
      </c>
      <c r="CB11" s="15">
        <v>0</v>
      </c>
      <c r="CC11" s="15">
        <v>0</v>
      </c>
      <c r="CD11" s="15">
        <v>0</v>
      </c>
      <c r="CE11" s="15">
        <v>0</v>
      </c>
      <c r="CF11" s="15">
        <v>0</v>
      </c>
      <c r="CG11" s="15">
        <v>0</v>
      </c>
      <c r="CH11" s="15">
        <v>0</v>
      </c>
      <c r="CI11" s="15">
        <v>0</v>
      </c>
      <c r="CJ11" s="15">
        <v>0</v>
      </c>
      <c r="CK11" s="15">
        <v>0</v>
      </c>
      <c r="CL11" s="15">
        <v>0</v>
      </c>
      <c r="CM11" s="15">
        <v>0</v>
      </c>
      <c r="CN11" s="15">
        <v>0</v>
      </c>
      <c r="CO11" s="15">
        <v>0</v>
      </c>
      <c r="CP11" s="15">
        <v>0</v>
      </c>
      <c r="CQ11" s="15">
        <v>0</v>
      </c>
      <c r="CR11" s="15">
        <v>0</v>
      </c>
      <c r="CS11" s="15">
        <v>0</v>
      </c>
      <c r="CT11" s="15">
        <v>0</v>
      </c>
      <c r="CU11" s="15">
        <v>0</v>
      </c>
      <c r="CV11" s="15">
        <v>0</v>
      </c>
      <c r="CW11" s="15">
        <v>0</v>
      </c>
      <c r="CX11" s="15">
        <v>0</v>
      </c>
      <c r="CY11" s="15">
        <v>0</v>
      </c>
      <c r="CZ11" s="15">
        <v>0</v>
      </c>
      <c r="DA11" s="15">
        <v>0</v>
      </c>
      <c r="DB11" s="15">
        <v>0</v>
      </c>
      <c r="DC11" s="15">
        <v>0</v>
      </c>
      <c r="DD11" s="15">
        <v>0</v>
      </c>
      <c r="DE11" s="15">
        <v>0</v>
      </c>
      <c r="DF11" s="15">
        <v>0</v>
      </c>
      <c r="DG11" s="16">
        <f t="shared" si="4"/>
        <v>65</v>
      </c>
      <c r="DH11" s="16">
        <f t="shared" si="5"/>
        <v>1413</v>
      </c>
      <c r="DI11" s="17">
        <f t="shared" si="6"/>
        <v>21.738461538461539</v>
      </c>
      <c r="DJ11" s="119" t="s">
        <v>1</v>
      </c>
      <c r="DK11" s="44" t="s">
        <v>1</v>
      </c>
      <c r="DL11" s="44" t="s">
        <v>1329</v>
      </c>
      <c r="DM11" s="44"/>
    </row>
    <row r="12" spans="1:117">
      <c r="A12" s="32" t="str">
        <f t="shared" si="2"/>
        <v>Powercor--˃ 11 kV &amp; &lt; = 22 kV; CONCRETE</v>
      </c>
      <c r="B12" s="32" t="str">
        <f t="shared" si="3"/>
        <v>Powercor</v>
      </c>
      <c r="C12" s="416"/>
      <c r="D12" s="14"/>
      <c r="E12" s="15" t="s">
        <v>153</v>
      </c>
      <c r="F12" s="18">
        <v>38.9</v>
      </c>
      <c r="G12" s="18">
        <v>12.1</v>
      </c>
      <c r="H12" s="15">
        <v>813</v>
      </c>
      <c r="I12" s="15">
        <v>1552</v>
      </c>
      <c r="J12" s="15">
        <v>1273</v>
      </c>
      <c r="K12" s="15">
        <v>1456</v>
      </c>
      <c r="L12" s="15">
        <v>1440</v>
      </c>
      <c r="M12" s="15">
        <v>1066</v>
      </c>
      <c r="N12" s="15">
        <v>2471</v>
      </c>
      <c r="O12" s="15">
        <v>1477</v>
      </c>
      <c r="P12" s="15">
        <v>451</v>
      </c>
      <c r="Q12" s="15">
        <v>13</v>
      </c>
      <c r="R12" s="15">
        <v>2</v>
      </c>
      <c r="S12" s="15">
        <v>6</v>
      </c>
      <c r="T12" s="15">
        <v>13</v>
      </c>
      <c r="U12" s="15">
        <v>27</v>
      </c>
      <c r="V12" s="15">
        <v>609</v>
      </c>
      <c r="W12" s="15">
        <v>1396</v>
      </c>
      <c r="X12" s="15">
        <v>1997</v>
      </c>
      <c r="Y12" s="15">
        <v>1742</v>
      </c>
      <c r="Z12" s="15">
        <v>2148</v>
      </c>
      <c r="AA12" s="15">
        <v>3159</v>
      </c>
      <c r="AB12" s="15">
        <v>4502</v>
      </c>
      <c r="AC12" s="15">
        <v>3602</v>
      </c>
      <c r="AD12" s="15">
        <v>3436</v>
      </c>
      <c r="AE12" s="15">
        <v>5943</v>
      </c>
      <c r="AF12" s="15">
        <v>6381</v>
      </c>
      <c r="AG12" s="15">
        <v>7434</v>
      </c>
      <c r="AH12" s="15">
        <v>5549</v>
      </c>
      <c r="AI12" s="15">
        <v>4673</v>
      </c>
      <c r="AJ12" s="15">
        <v>5282</v>
      </c>
      <c r="AK12" s="15">
        <v>4932</v>
      </c>
      <c r="AL12" s="15">
        <v>2144</v>
      </c>
      <c r="AM12" s="15">
        <v>720</v>
      </c>
      <c r="AN12" s="15">
        <v>2373</v>
      </c>
      <c r="AO12" s="15">
        <v>1986</v>
      </c>
      <c r="AP12" s="15">
        <v>6</v>
      </c>
      <c r="AQ12" s="15">
        <v>1301</v>
      </c>
      <c r="AR12" s="15">
        <v>683</v>
      </c>
      <c r="AS12" s="15">
        <v>267</v>
      </c>
      <c r="AT12" s="15">
        <v>80</v>
      </c>
      <c r="AU12" s="15">
        <v>7</v>
      </c>
      <c r="AV12" s="15">
        <v>103</v>
      </c>
      <c r="AW12" s="15">
        <v>34</v>
      </c>
      <c r="AX12" s="15">
        <v>2</v>
      </c>
      <c r="AY12" s="15">
        <v>6</v>
      </c>
      <c r="AZ12" s="15">
        <v>0</v>
      </c>
      <c r="BA12" s="15">
        <v>0</v>
      </c>
      <c r="BB12" s="15">
        <v>0</v>
      </c>
      <c r="BC12" s="15">
        <v>0</v>
      </c>
      <c r="BD12" s="15">
        <v>0</v>
      </c>
      <c r="BE12" s="15">
        <v>2</v>
      </c>
      <c r="BF12" s="15">
        <v>0</v>
      </c>
      <c r="BG12" s="15">
        <v>2</v>
      </c>
      <c r="BH12" s="15">
        <v>0</v>
      </c>
      <c r="BI12" s="15">
        <v>0</v>
      </c>
      <c r="BJ12" s="15">
        <v>0</v>
      </c>
      <c r="BK12" s="15">
        <v>4</v>
      </c>
      <c r="BL12" s="15">
        <v>0</v>
      </c>
      <c r="BM12" s="15">
        <v>0</v>
      </c>
      <c r="BN12" s="15">
        <v>0</v>
      </c>
      <c r="BO12" s="15">
        <v>0</v>
      </c>
      <c r="BP12" s="15">
        <v>0</v>
      </c>
      <c r="BQ12" s="15">
        <v>0</v>
      </c>
      <c r="BR12" s="15">
        <v>0</v>
      </c>
      <c r="BS12" s="15">
        <v>0</v>
      </c>
      <c r="BT12" s="15">
        <v>0</v>
      </c>
      <c r="BU12" s="15">
        <v>0</v>
      </c>
      <c r="BV12" s="15">
        <v>0</v>
      </c>
      <c r="BW12" s="15">
        <v>0</v>
      </c>
      <c r="BX12" s="15">
        <v>0</v>
      </c>
      <c r="BY12" s="15">
        <v>0</v>
      </c>
      <c r="BZ12" s="15">
        <v>0</v>
      </c>
      <c r="CA12" s="15">
        <v>0</v>
      </c>
      <c r="CB12" s="15">
        <v>0</v>
      </c>
      <c r="CC12" s="15">
        <v>0</v>
      </c>
      <c r="CD12" s="15">
        <v>0</v>
      </c>
      <c r="CE12" s="15">
        <v>0</v>
      </c>
      <c r="CF12" s="15">
        <v>0</v>
      </c>
      <c r="CG12" s="15">
        <v>0</v>
      </c>
      <c r="CH12" s="15">
        <v>0</v>
      </c>
      <c r="CI12" s="15">
        <v>0</v>
      </c>
      <c r="CJ12" s="15">
        <v>0</v>
      </c>
      <c r="CK12" s="15">
        <v>0</v>
      </c>
      <c r="CL12" s="15">
        <v>0</v>
      </c>
      <c r="CM12" s="15">
        <v>0</v>
      </c>
      <c r="CN12" s="15">
        <v>0</v>
      </c>
      <c r="CO12" s="15">
        <v>0</v>
      </c>
      <c r="CP12" s="15">
        <v>0</v>
      </c>
      <c r="CQ12" s="15">
        <v>0</v>
      </c>
      <c r="CR12" s="15">
        <v>0</v>
      </c>
      <c r="CS12" s="15">
        <v>0</v>
      </c>
      <c r="CT12" s="15">
        <v>0</v>
      </c>
      <c r="CU12" s="15">
        <v>0</v>
      </c>
      <c r="CV12" s="15">
        <v>0</v>
      </c>
      <c r="CW12" s="15">
        <v>0</v>
      </c>
      <c r="CX12" s="15">
        <v>0</v>
      </c>
      <c r="CY12" s="15">
        <v>0</v>
      </c>
      <c r="CZ12" s="15">
        <v>0</v>
      </c>
      <c r="DA12" s="15">
        <v>0</v>
      </c>
      <c r="DB12" s="15">
        <v>0</v>
      </c>
      <c r="DC12" s="15">
        <v>0</v>
      </c>
      <c r="DD12" s="15">
        <v>0</v>
      </c>
      <c r="DE12" s="15">
        <v>0</v>
      </c>
      <c r="DF12" s="15">
        <v>0</v>
      </c>
      <c r="DG12" s="16">
        <f t="shared" si="4"/>
        <v>84565</v>
      </c>
      <c r="DH12" s="16">
        <f t="shared" si="5"/>
        <v>1919556</v>
      </c>
      <c r="DI12" s="17">
        <f t="shared" si="6"/>
        <v>22.699178146987524</v>
      </c>
      <c r="DJ12" s="119" t="s">
        <v>1</v>
      </c>
      <c r="DK12" s="44" t="s">
        <v>1</v>
      </c>
      <c r="DL12" s="44" t="s">
        <v>1329</v>
      </c>
      <c r="DM12" s="44"/>
    </row>
    <row r="13" spans="1:117">
      <c r="A13" s="32" t="str">
        <f t="shared" si="2"/>
        <v>Powercor--&gt; 22 kV &amp; &lt; = 66 kV; CONCRETE</v>
      </c>
      <c r="B13" s="32" t="str">
        <f t="shared" si="3"/>
        <v>Powercor</v>
      </c>
      <c r="C13" s="416"/>
      <c r="D13" s="14"/>
      <c r="E13" s="15" t="s">
        <v>155</v>
      </c>
      <c r="F13" s="18">
        <v>38.9</v>
      </c>
      <c r="G13" s="18">
        <v>12.1</v>
      </c>
      <c r="H13" s="15">
        <v>11</v>
      </c>
      <c r="I13" s="15">
        <v>482</v>
      </c>
      <c r="J13" s="15">
        <v>119</v>
      </c>
      <c r="K13" s="15">
        <v>530</v>
      </c>
      <c r="L13" s="15">
        <v>251</v>
      </c>
      <c r="M13" s="15">
        <v>251</v>
      </c>
      <c r="N13" s="15">
        <v>415</v>
      </c>
      <c r="O13" s="15">
        <v>37</v>
      </c>
      <c r="P13" s="15">
        <v>136</v>
      </c>
      <c r="Q13" s="15">
        <v>163</v>
      </c>
      <c r="R13" s="15">
        <v>7</v>
      </c>
      <c r="S13" s="15">
        <v>2</v>
      </c>
      <c r="T13" s="15">
        <v>2</v>
      </c>
      <c r="U13" s="15">
        <v>11</v>
      </c>
      <c r="V13" s="15">
        <v>19</v>
      </c>
      <c r="W13" s="15">
        <v>23</v>
      </c>
      <c r="X13" s="15">
        <v>68</v>
      </c>
      <c r="Y13" s="15">
        <v>44</v>
      </c>
      <c r="Z13" s="15">
        <v>165</v>
      </c>
      <c r="AA13" s="15">
        <v>367</v>
      </c>
      <c r="AB13" s="15">
        <v>145</v>
      </c>
      <c r="AC13" s="15">
        <v>110</v>
      </c>
      <c r="AD13" s="15">
        <v>65</v>
      </c>
      <c r="AE13" s="15">
        <v>269</v>
      </c>
      <c r="AF13" s="15">
        <v>592</v>
      </c>
      <c r="AG13" s="15">
        <v>379</v>
      </c>
      <c r="AH13" s="15">
        <v>463</v>
      </c>
      <c r="AI13" s="15">
        <v>310</v>
      </c>
      <c r="AJ13" s="15">
        <v>291</v>
      </c>
      <c r="AK13" s="15">
        <v>1020</v>
      </c>
      <c r="AL13" s="15">
        <v>671</v>
      </c>
      <c r="AM13" s="15">
        <v>506</v>
      </c>
      <c r="AN13" s="15">
        <v>860</v>
      </c>
      <c r="AO13" s="15">
        <v>721</v>
      </c>
      <c r="AP13" s="15">
        <v>27</v>
      </c>
      <c r="AQ13" s="15">
        <v>547</v>
      </c>
      <c r="AR13" s="15">
        <v>239</v>
      </c>
      <c r="AS13" s="15">
        <v>40</v>
      </c>
      <c r="AT13" s="15">
        <v>0</v>
      </c>
      <c r="AU13" s="15">
        <v>7</v>
      </c>
      <c r="AV13" s="15">
        <v>19</v>
      </c>
      <c r="AW13" s="15">
        <v>26</v>
      </c>
      <c r="AX13" s="15">
        <v>0</v>
      </c>
      <c r="AY13" s="15">
        <v>2</v>
      </c>
      <c r="AZ13" s="15">
        <v>0</v>
      </c>
      <c r="BA13" s="15">
        <v>2</v>
      </c>
      <c r="BB13" s="15">
        <v>0</v>
      </c>
      <c r="BC13" s="15">
        <v>0</v>
      </c>
      <c r="BD13" s="15">
        <v>0</v>
      </c>
      <c r="BE13" s="15">
        <v>0</v>
      </c>
      <c r="BF13" s="15">
        <v>0</v>
      </c>
      <c r="BG13" s="15">
        <v>0</v>
      </c>
      <c r="BH13" s="15">
        <v>0</v>
      </c>
      <c r="BI13" s="15">
        <v>0</v>
      </c>
      <c r="BJ13" s="15">
        <v>0</v>
      </c>
      <c r="BK13" s="15">
        <v>0</v>
      </c>
      <c r="BL13" s="15">
        <v>0</v>
      </c>
      <c r="BM13" s="15">
        <v>0</v>
      </c>
      <c r="BN13" s="15">
        <v>0</v>
      </c>
      <c r="BO13" s="15">
        <v>0</v>
      </c>
      <c r="BP13" s="15">
        <v>0</v>
      </c>
      <c r="BQ13" s="15">
        <v>0</v>
      </c>
      <c r="BR13" s="15">
        <v>0</v>
      </c>
      <c r="BS13" s="15">
        <v>0</v>
      </c>
      <c r="BT13" s="15">
        <v>0</v>
      </c>
      <c r="BU13" s="15">
        <v>0</v>
      </c>
      <c r="BV13" s="15">
        <v>0</v>
      </c>
      <c r="BW13" s="15">
        <v>0</v>
      </c>
      <c r="BX13" s="15">
        <v>0</v>
      </c>
      <c r="BY13" s="15">
        <v>0</v>
      </c>
      <c r="BZ13" s="15">
        <v>0</v>
      </c>
      <c r="CA13" s="15">
        <v>0</v>
      </c>
      <c r="CB13" s="15">
        <v>0</v>
      </c>
      <c r="CC13" s="15">
        <v>0</v>
      </c>
      <c r="CD13" s="15">
        <v>0</v>
      </c>
      <c r="CE13" s="15">
        <v>0</v>
      </c>
      <c r="CF13" s="15">
        <v>0</v>
      </c>
      <c r="CG13" s="15">
        <v>0</v>
      </c>
      <c r="CH13" s="15">
        <v>0</v>
      </c>
      <c r="CI13" s="15">
        <v>0</v>
      </c>
      <c r="CJ13" s="15">
        <v>0</v>
      </c>
      <c r="CK13" s="15">
        <v>0</v>
      </c>
      <c r="CL13" s="15">
        <v>0</v>
      </c>
      <c r="CM13" s="15">
        <v>0</v>
      </c>
      <c r="CN13" s="15">
        <v>0</v>
      </c>
      <c r="CO13" s="15">
        <v>0</v>
      </c>
      <c r="CP13" s="15">
        <v>0</v>
      </c>
      <c r="CQ13" s="15">
        <v>0</v>
      </c>
      <c r="CR13" s="15">
        <v>0</v>
      </c>
      <c r="CS13" s="15">
        <v>0</v>
      </c>
      <c r="CT13" s="15">
        <v>0</v>
      </c>
      <c r="CU13" s="15">
        <v>0</v>
      </c>
      <c r="CV13" s="15">
        <v>0</v>
      </c>
      <c r="CW13" s="15">
        <v>0</v>
      </c>
      <c r="CX13" s="15">
        <v>0</v>
      </c>
      <c r="CY13" s="15">
        <v>0</v>
      </c>
      <c r="CZ13" s="15">
        <v>0</v>
      </c>
      <c r="DA13" s="15">
        <v>0</v>
      </c>
      <c r="DB13" s="15">
        <v>0</v>
      </c>
      <c r="DC13" s="15">
        <v>0</v>
      </c>
      <c r="DD13" s="15">
        <v>0</v>
      </c>
      <c r="DE13" s="15">
        <v>0</v>
      </c>
      <c r="DF13" s="15">
        <v>0</v>
      </c>
      <c r="DG13" s="16">
        <f t="shared" si="4"/>
        <v>10414</v>
      </c>
      <c r="DH13" s="16">
        <f t="shared" si="5"/>
        <v>247133</v>
      </c>
      <c r="DI13" s="17">
        <f t="shared" si="6"/>
        <v>23.730843095832533</v>
      </c>
      <c r="DJ13" s="119" t="s">
        <v>1</v>
      </c>
      <c r="DK13" s="44" t="s">
        <v>1</v>
      </c>
      <c r="DL13" s="44" t="s">
        <v>1329</v>
      </c>
      <c r="DM13" s="44"/>
    </row>
    <row r="14" spans="1:117">
      <c r="A14" s="32" t="str">
        <f t="shared" si="2"/>
        <v>Powercor--&gt; 66 kV &amp; &lt; = 132 kV; CONCRETE</v>
      </c>
      <c r="B14" s="32" t="str">
        <f t="shared" si="3"/>
        <v>Powercor</v>
      </c>
      <c r="C14" s="416"/>
      <c r="D14" s="14"/>
      <c r="E14" s="15" t="s">
        <v>157</v>
      </c>
      <c r="F14" s="18">
        <v>0</v>
      </c>
      <c r="G14" s="18">
        <v>0</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5">
        <v>0</v>
      </c>
      <c r="AB14" s="15">
        <v>0</v>
      </c>
      <c r="AC14" s="15">
        <v>0</v>
      </c>
      <c r="AD14" s="15">
        <v>0</v>
      </c>
      <c r="AE14" s="15">
        <v>0</v>
      </c>
      <c r="AF14" s="15">
        <v>0</v>
      </c>
      <c r="AG14" s="15">
        <v>0</v>
      </c>
      <c r="AH14" s="15">
        <v>0</v>
      </c>
      <c r="AI14" s="15">
        <v>0</v>
      </c>
      <c r="AJ14" s="15">
        <v>0</v>
      </c>
      <c r="AK14" s="15">
        <v>0</v>
      </c>
      <c r="AL14" s="15">
        <v>0</v>
      </c>
      <c r="AM14" s="15">
        <v>0</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v>0</v>
      </c>
      <c r="BE14" s="15">
        <v>0</v>
      </c>
      <c r="BF14" s="15">
        <v>0</v>
      </c>
      <c r="BG14" s="15">
        <v>0</v>
      </c>
      <c r="BH14" s="15">
        <v>0</v>
      </c>
      <c r="BI14" s="15">
        <v>0</v>
      </c>
      <c r="BJ14" s="15">
        <v>0</v>
      </c>
      <c r="BK14" s="15">
        <v>0</v>
      </c>
      <c r="BL14" s="15">
        <v>0</v>
      </c>
      <c r="BM14" s="15">
        <v>0</v>
      </c>
      <c r="BN14" s="15">
        <v>0</v>
      </c>
      <c r="BO14" s="15">
        <v>0</v>
      </c>
      <c r="BP14" s="15">
        <v>0</v>
      </c>
      <c r="BQ14" s="15">
        <v>0</v>
      </c>
      <c r="BR14" s="15">
        <v>0</v>
      </c>
      <c r="BS14" s="15">
        <v>0</v>
      </c>
      <c r="BT14" s="15">
        <v>0</v>
      </c>
      <c r="BU14" s="15">
        <v>0</v>
      </c>
      <c r="BV14" s="15">
        <v>0</v>
      </c>
      <c r="BW14" s="15">
        <v>0</v>
      </c>
      <c r="BX14" s="15">
        <v>0</v>
      </c>
      <c r="BY14" s="15">
        <v>0</v>
      </c>
      <c r="BZ14" s="15">
        <v>0</v>
      </c>
      <c r="CA14" s="15">
        <v>0</v>
      </c>
      <c r="CB14" s="15">
        <v>0</v>
      </c>
      <c r="CC14" s="15">
        <v>0</v>
      </c>
      <c r="CD14" s="15">
        <v>0</v>
      </c>
      <c r="CE14" s="15">
        <v>0</v>
      </c>
      <c r="CF14" s="15">
        <v>0</v>
      </c>
      <c r="CG14" s="15">
        <v>0</v>
      </c>
      <c r="CH14" s="15">
        <v>0</v>
      </c>
      <c r="CI14" s="15">
        <v>0</v>
      </c>
      <c r="CJ14" s="15">
        <v>0</v>
      </c>
      <c r="CK14" s="15">
        <v>0</v>
      </c>
      <c r="CL14" s="15">
        <v>0</v>
      </c>
      <c r="CM14" s="15">
        <v>0</v>
      </c>
      <c r="CN14" s="15">
        <v>0</v>
      </c>
      <c r="CO14" s="15">
        <v>0</v>
      </c>
      <c r="CP14" s="15">
        <v>0</v>
      </c>
      <c r="CQ14" s="15">
        <v>0</v>
      </c>
      <c r="CR14" s="15">
        <v>0</v>
      </c>
      <c r="CS14" s="15">
        <v>0</v>
      </c>
      <c r="CT14" s="15">
        <v>0</v>
      </c>
      <c r="CU14" s="15">
        <v>0</v>
      </c>
      <c r="CV14" s="15">
        <v>0</v>
      </c>
      <c r="CW14" s="15">
        <v>0</v>
      </c>
      <c r="CX14" s="15">
        <v>0</v>
      </c>
      <c r="CY14" s="15">
        <v>0</v>
      </c>
      <c r="CZ14" s="15">
        <v>0</v>
      </c>
      <c r="DA14" s="15">
        <v>0</v>
      </c>
      <c r="DB14" s="15">
        <v>0</v>
      </c>
      <c r="DC14" s="15">
        <v>0</v>
      </c>
      <c r="DD14" s="15">
        <v>0</v>
      </c>
      <c r="DE14" s="15">
        <v>0</v>
      </c>
      <c r="DF14" s="15">
        <v>0</v>
      </c>
      <c r="DG14" s="16">
        <f t="shared" si="4"/>
        <v>0</v>
      </c>
      <c r="DH14" s="16">
        <f t="shared" si="5"/>
        <v>0</v>
      </c>
      <c r="DI14" s="17" t="str">
        <f t="shared" si="6"/>
        <v/>
      </c>
      <c r="DJ14" s="119" t="s">
        <v>1</v>
      </c>
      <c r="DK14" s="44" t="s">
        <v>1</v>
      </c>
      <c r="DL14" s="44" t="s">
        <v>1329</v>
      </c>
      <c r="DM14" s="44"/>
    </row>
    <row r="15" spans="1:117">
      <c r="A15" s="32" t="str">
        <f t="shared" si="2"/>
        <v>Powercor--&gt; 132 kV; CONCRETE</v>
      </c>
      <c r="B15" s="32" t="str">
        <f t="shared" si="3"/>
        <v>Powercor</v>
      </c>
      <c r="C15" s="416"/>
      <c r="D15" s="14"/>
      <c r="E15" s="15" t="s">
        <v>159</v>
      </c>
      <c r="F15" s="18">
        <v>0</v>
      </c>
      <c r="G15" s="18">
        <v>0</v>
      </c>
      <c r="H15" s="15">
        <v>0</v>
      </c>
      <c r="I15" s="15">
        <v>0</v>
      </c>
      <c r="J15" s="15">
        <v>0</v>
      </c>
      <c r="K15" s="15">
        <v>0</v>
      </c>
      <c r="L15" s="15">
        <v>0</v>
      </c>
      <c r="M15" s="15">
        <v>0</v>
      </c>
      <c r="N15" s="15">
        <v>0</v>
      </c>
      <c r="O15" s="15">
        <v>0</v>
      </c>
      <c r="P15" s="15">
        <v>0</v>
      </c>
      <c r="Q15" s="15">
        <v>0</v>
      </c>
      <c r="R15" s="15">
        <v>0</v>
      </c>
      <c r="S15" s="15">
        <v>0</v>
      </c>
      <c r="T15" s="15">
        <v>0</v>
      </c>
      <c r="U15" s="15">
        <v>0</v>
      </c>
      <c r="V15" s="15">
        <v>0</v>
      </c>
      <c r="W15" s="15">
        <v>0</v>
      </c>
      <c r="X15" s="15">
        <v>0</v>
      </c>
      <c r="Y15" s="15">
        <v>0</v>
      </c>
      <c r="Z15" s="15">
        <v>0</v>
      </c>
      <c r="AA15" s="15">
        <v>0</v>
      </c>
      <c r="AB15" s="15">
        <v>0</v>
      </c>
      <c r="AC15" s="15">
        <v>0</v>
      </c>
      <c r="AD15" s="15">
        <v>0</v>
      </c>
      <c r="AE15" s="15">
        <v>0</v>
      </c>
      <c r="AF15" s="15">
        <v>0</v>
      </c>
      <c r="AG15" s="15">
        <v>0</v>
      </c>
      <c r="AH15" s="15">
        <v>0</v>
      </c>
      <c r="AI15" s="15">
        <v>0</v>
      </c>
      <c r="AJ15" s="15">
        <v>0</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0</v>
      </c>
      <c r="BE15" s="15">
        <v>0</v>
      </c>
      <c r="BF15" s="15">
        <v>0</v>
      </c>
      <c r="BG15" s="15">
        <v>0</v>
      </c>
      <c r="BH15" s="15">
        <v>0</v>
      </c>
      <c r="BI15" s="15">
        <v>0</v>
      </c>
      <c r="BJ15" s="15">
        <v>0</v>
      </c>
      <c r="BK15" s="15">
        <v>0</v>
      </c>
      <c r="BL15" s="15">
        <v>0</v>
      </c>
      <c r="BM15" s="15">
        <v>0</v>
      </c>
      <c r="BN15" s="15">
        <v>0</v>
      </c>
      <c r="BO15" s="15">
        <v>0</v>
      </c>
      <c r="BP15" s="15">
        <v>0</v>
      </c>
      <c r="BQ15" s="15">
        <v>0</v>
      </c>
      <c r="BR15" s="15">
        <v>0</v>
      </c>
      <c r="BS15" s="15">
        <v>0</v>
      </c>
      <c r="BT15" s="15">
        <v>0</v>
      </c>
      <c r="BU15" s="15">
        <v>0</v>
      </c>
      <c r="BV15" s="15">
        <v>0</v>
      </c>
      <c r="BW15" s="15">
        <v>0</v>
      </c>
      <c r="BX15" s="15">
        <v>0</v>
      </c>
      <c r="BY15" s="15">
        <v>0</v>
      </c>
      <c r="BZ15" s="15">
        <v>0</v>
      </c>
      <c r="CA15" s="15">
        <v>0</v>
      </c>
      <c r="CB15" s="15">
        <v>0</v>
      </c>
      <c r="CC15" s="15">
        <v>0</v>
      </c>
      <c r="CD15" s="15">
        <v>0</v>
      </c>
      <c r="CE15" s="15">
        <v>0</v>
      </c>
      <c r="CF15" s="15">
        <v>0</v>
      </c>
      <c r="CG15" s="15">
        <v>0</v>
      </c>
      <c r="CH15" s="15">
        <v>0</v>
      </c>
      <c r="CI15" s="15">
        <v>0</v>
      </c>
      <c r="CJ15" s="15">
        <v>0</v>
      </c>
      <c r="CK15" s="15">
        <v>0</v>
      </c>
      <c r="CL15" s="15">
        <v>0</v>
      </c>
      <c r="CM15" s="15">
        <v>0</v>
      </c>
      <c r="CN15" s="15">
        <v>0</v>
      </c>
      <c r="CO15" s="15">
        <v>0</v>
      </c>
      <c r="CP15" s="15">
        <v>0</v>
      </c>
      <c r="CQ15" s="15">
        <v>0</v>
      </c>
      <c r="CR15" s="15">
        <v>0</v>
      </c>
      <c r="CS15" s="15">
        <v>0</v>
      </c>
      <c r="CT15" s="15">
        <v>0</v>
      </c>
      <c r="CU15" s="15">
        <v>0</v>
      </c>
      <c r="CV15" s="15">
        <v>0</v>
      </c>
      <c r="CW15" s="15">
        <v>0</v>
      </c>
      <c r="CX15" s="15">
        <v>0</v>
      </c>
      <c r="CY15" s="15">
        <v>0</v>
      </c>
      <c r="CZ15" s="15">
        <v>0</v>
      </c>
      <c r="DA15" s="15">
        <v>0</v>
      </c>
      <c r="DB15" s="15">
        <v>0</v>
      </c>
      <c r="DC15" s="15">
        <v>0</v>
      </c>
      <c r="DD15" s="15">
        <v>0</v>
      </c>
      <c r="DE15" s="15">
        <v>0</v>
      </c>
      <c r="DF15" s="15">
        <v>0</v>
      </c>
      <c r="DG15" s="16">
        <f t="shared" si="4"/>
        <v>0</v>
      </c>
      <c r="DH15" s="16">
        <f t="shared" si="5"/>
        <v>0</v>
      </c>
      <c r="DI15" s="17" t="str">
        <f t="shared" si="6"/>
        <v/>
      </c>
      <c r="DJ15" s="119" t="s">
        <v>1</v>
      </c>
      <c r="DK15" s="44" t="s">
        <v>1</v>
      </c>
      <c r="DL15" s="44" t="s">
        <v>1329</v>
      </c>
      <c r="DM15" s="44"/>
    </row>
    <row r="16" spans="1:117">
      <c r="A16" s="32" t="str">
        <f t="shared" si="2"/>
        <v>Powercor--˂ = 1 kV; STEEL</v>
      </c>
      <c r="B16" s="32" t="str">
        <f t="shared" si="3"/>
        <v>Powercor</v>
      </c>
      <c r="C16" s="416"/>
      <c r="D16" s="14"/>
      <c r="E16" s="15" t="s">
        <v>161</v>
      </c>
      <c r="F16" s="18">
        <v>38.9</v>
      </c>
      <c r="G16" s="18">
        <v>12.1</v>
      </c>
      <c r="H16" s="15">
        <v>2</v>
      </c>
      <c r="I16" s="15">
        <v>67</v>
      </c>
      <c r="J16" s="15">
        <v>0</v>
      </c>
      <c r="K16" s="15">
        <v>56</v>
      </c>
      <c r="L16" s="15">
        <v>42</v>
      </c>
      <c r="M16" s="15">
        <v>9</v>
      </c>
      <c r="N16" s="15">
        <v>4</v>
      </c>
      <c r="O16" s="15">
        <v>8</v>
      </c>
      <c r="P16" s="15">
        <v>10</v>
      </c>
      <c r="Q16" s="15">
        <v>4</v>
      </c>
      <c r="R16" s="15">
        <v>6</v>
      </c>
      <c r="S16" s="15">
        <v>16</v>
      </c>
      <c r="T16" s="15">
        <v>6</v>
      </c>
      <c r="U16" s="15">
        <v>40</v>
      </c>
      <c r="V16" s="15">
        <v>70</v>
      </c>
      <c r="W16" s="15">
        <v>7</v>
      </c>
      <c r="X16" s="15">
        <v>4</v>
      </c>
      <c r="Y16" s="15">
        <v>4</v>
      </c>
      <c r="Z16" s="15">
        <v>4</v>
      </c>
      <c r="AA16" s="15">
        <v>10</v>
      </c>
      <c r="AB16" s="15">
        <v>7</v>
      </c>
      <c r="AC16" s="15">
        <v>2</v>
      </c>
      <c r="AD16" s="15">
        <v>4</v>
      </c>
      <c r="AE16" s="15">
        <v>7</v>
      </c>
      <c r="AF16" s="15">
        <v>6</v>
      </c>
      <c r="AG16" s="15">
        <v>11</v>
      </c>
      <c r="AH16" s="15">
        <v>11</v>
      </c>
      <c r="AI16" s="15">
        <v>0</v>
      </c>
      <c r="AJ16" s="15">
        <v>2</v>
      </c>
      <c r="AK16" s="15">
        <v>0</v>
      </c>
      <c r="AL16" s="15">
        <v>2</v>
      </c>
      <c r="AM16" s="15">
        <v>0</v>
      </c>
      <c r="AN16" s="15">
        <v>0</v>
      </c>
      <c r="AO16" s="15">
        <v>4</v>
      </c>
      <c r="AP16" s="15">
        <v>0</v>
      </c>
      <c r="AQ16" s="15">
        <v>0</v>
      </c>
      <c r="AR16" s="15">
        <v>0</v>
      </c>
      <c r="AS16" s="15">
        <v>4</v>
      </c>
      <c r="AT16" s="15">
        <v>0</v>
      </c>
      <c r="AU16" s="15">
        <v>0</v>
      </c>
      <c r="AV16" s="15">
        <v>22</v>
      </c>
      <c r="AW16" s="15">
        <v>6</v>
      </c>
      <c r="AX16" s="15">
        <v>0</v>
      </c>
      <c r="AY16" s="15">
        <v>4</v>
      </c>
      <c r="AZ16" s="15">
        <v>0</v>
      </c>
      <c r="BA16" s="15">
        <v>4</v>
      </c>
      <c r="BB16" s="15">
        <v>0</v>
      </c>
      <c r="BC16" s="15">
        <v>0</v>
      </c>
      <c r="BD16" s="15">
        <v>23</v>
      </c>
      <c r="BE16" s="15">
        <v>0</v>
      </c>
      <c r="BF16" s="15">
        <v>1</v>
      </c>
      <c r="BG16" s="15">
        <v>1</v>
      </c>
      <c r="BH16" s="15">
        <v>14</v>
      </c>
      <c r="BI16" s="15">
        <v>14</v>
      </c>
      <c r="BJ16" s="15">
        <v>4</v>
      </c>
      <c r="BK16" s="15">
        <v>0</v>
      </c>
      <c r="BL16" s="15">
        <v>0</v>
      </c>
      <c r="BM16" s="15">
        <v>6</v>
      </c>
      <c r="BN16" s="15">
        <v>4</v>
      </c>
      <c r="BO16" s="15">
        <v>0</v>
      </c>
      <c r="BP16" s="15">
        <v>0</v>
      </c>
      <c r="BQ16" s="15">
        <v>0</v>
      </c>
      <c r="BR16" s="15">
        <v>0</v>
      </c>
      <c r="BS16" s="15">
        <v>0</v>
      </c>
      <c r="BT16" s="15">
        <v>0</v>
      </c>
      <c r="BU16" s="15">
        <v>0</v>
      </c>
      <c r="BV16" s="15">
        <v>0</v>
      </c>
      <c r="BW16" s="15">
        <v>0</v>
      </c>
      <c r="BX16" s="15">
        <v>0</v>
      </c>
      <c r="BY16" s="15">
        <v>0</v>
      </c>
      <c r="BZ16" s="15">
        <v>0</v>
      </c>
      <c r="CA16" s="15">
        <v>0</v>
      </c>
      <c r="CB16" s="15">
        <v>0</v>
      </c>
      <c r="CC16" s="15">
        <v>0</v>
      </c>
      <c r="CD16" s="15">
        <v>0</v>
      </c>
      <c r="CE16" s="15">
        <v>0</v>
      </c>
      <c r="CF16" s="15">
        <v>0</v>
      </c>
      <c r="CG16" s="15">
        <v>0</v>
      </c>
      <c r="CH16" s="15">
        <v>0</v>
      </c>
      <c r="CI16" s="15">
        <v>0</v>
      </c>
      <c r="CJ16" s="15">
        <v>0</v>
      </c>
      <c r="CK16" s="15">
        <v>0</v>
      </c>
      <c r="CL16" s="15">
        <v>0</v>
      </c>
      <c r="CM16" s="15">
        <v>0</v>
      </c>
      <c r="CN16" s="15">
        <v>0</v>
      </c>
      <c r="CO16" s="15">
        <v>0</v>
      </c>
      <c r="CP16" s="15">
        <v>0</v>
      </c>
      <c r="CQ16" s="15">
        <v>0</v>
      </c>
      <c r="CR16" s="15">
        <v>0</v>
      </c>
      <c r="CS16" s="15">
        <v>0</v>
      </c>
      <c r="CT16" s="15">
        <v>0</v>
      </c>
      <c r="CU16" s="15">
        <v>0</v>
      </c>
      <c r="CV16" s="15">
        <v>0</v>
      </c>
      <c r="CW16" s="15">
        <v>0</v>
      </c>
      <c r="CX16" s="15">
        <v>0</v>
      </c>
      <c r="CY16" s="15">
        <v>0</v>
      </c>
      <c r="CZ16" s="15">
        <v>0</v>
      </c>
      <c r="DA16" s="15">
        <v>0</v>
      </c>
      <c r="DB16" s="15">
        <v>0</v>
      </c>
      <c r="DC16" s="15">
        <v>0</v>
      </c>
      <c r="DD16" s="15">
        <v>0</v>
      </c>
      <c r="DE16" s="15">
        <v>0</v>
      </c>
      <c r="DF16" s="15">
        <v>0</v>
      </c>
      <c r="DG16" s="16">
        <f t="shared" si="4"/>
        <v>532</v>
      </c>
      <c r="DH16" s="16">
        <f t="shared" si="5"/>
        <v>9958</v>
      </c>
      <c r="DI16" s="17">
        <f t="shared" si="6"/>
        <v>18.718045112781954</v>
      </c>
      <c r="DJ16" s="119" t="s">
        <v>1</v>
      </c>
      <c r="DK16" s="44" t="s">
        <v>1</v>
      </c>
      <c r="DL16" s="44" t="s">
        <v>1330</v>
      </c>
      <c r="DM16" s="44"/>
    </row>
    <row r="17" spans="1:117">
      <c r="A17" s="32" t="str">
        <f t="shared" si="2"/>
        <v>Powercor--&gt; 1 kV &amp; &lt; = 11 kV; STEEL</v>
      </c>
      <c r="B17" s="32" t="str">
        <f t="shared" si="3"/>
        <v>Powercor</v>
      </c>
      <c r="C17" s="416"/>
      <c r="D17" s="14"/>
      <c r="E17" s="15" t="s">
        <v>163</v>
      </c>
      <c r="F17" s="18">
        <v>38.9</v>
      </c>
      <c r="G17" s="18">
        <v>12.1</v>
      </c>
      <c r="H17" s="15">
        <v>0</v>
      </c>
      <c r="I17" s="15">
        <v>0</v>
      </c>
      <c r="J17" s="15">
        <v>0</v>
      </c>
      <c r="K17" s="15">
        <v>0</v>
      </c>
      <c r="L17" s="15">
        <v>0</v>
      </c>
      <c r="M17" s="15">
        <v>0</v>
      </c>
      <c r="N17" s="15">
        <v>0</v>
      </c>
      <c r="O17" s="15">
        <v>0</v>
      </c>
      <c r="P17" s="15">
        <v>0</v>
      </c>
      <c r="Q17" s="15">
        <v>0</v>
      </c>
      <c r="R17" s="15">
        <v>1</v>
      </c>
      <c r="S17" s="15">
        <v>0</v>
      </c>
      <c r="T17" s="15">
        <v>0</v>
      </c>
      <c r="U17" s="15">
        <v>0</v>
      </c>
      <c r="V17" s="15">
        <v>0</v>
      </c>
      <c r="W17" s="15">
        <v>0</v>
      </c>
      <c r="X17" s="15">
        <v>0</v>
      </c>
      <c r="Y17" s="15">
        <v>0</v>
      </c>
      <c r="Z17" s="15">
        <v>0</v>
      </c>
      <c r="AA17" s="15">
        <v>0</v>
      </c>
      <c r="AB17" s="15">
        <v>0</v>
      </c>
      <c r="AC17" s="15">
        <v>0</v>
      </c>
      <c r="AD17" s="15">
        <v>0</v>
      </c>
      <c r="AE17" s="15">
        <v>0</v>
      </c>
      <c r="AF17" s="15">
        <v>0</v>
      </c>
      <c r="AG17" s="15">
        <v>0</v>
      </c>
      <c r="AH17" s="15">
        <v>0</v>
      </c>
      <c r="AI17" s="15">
        <v>0</v>
      </c>
      <c r="AJ17" s="15">
        <v>0</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0</v>
      </c>
      <c r="BE17" s="15">
        <v>0</v>
      </c>
      <c r="BF17" s="15">
        <v>0</v>
      </c>
      <c r="BG17" s="15">
        <v>0</v>
      </c>
      <c r="BH17" s="15">
        <v>0</v>
      </c>
      <c r="BI17" s="15">
        <v>0</v>
      </c>
      <c r="BJ17" s="15">
        <v>0</v>
      </c>
      <c r="BK17" s="15">
        <v>0</v>
      </c>
      <c r="BL17" s="15">
        <v>0</v>
      </c>
      <c r="BM17" s="15">
        <v>0</v>
      </c>
      <c r="BN17" s="15">
        <v>0</v>
      </c>
      <c r="BO17" s="15">
        <v>0</v>
      </c>
      <c r="BP17" s="15">
        <v>0</v>
      </c>
      <c r="BQ17" s="15">
        <v>0</v>
      </c>
      <c r="BR17" s="15">
        <v>0</v>
      </c>
      <c r="BS17" s="15">
        <v>0</v>
      </c>
      <c r="BT17" s="15">
        <v>0</v>
      </c>
      <c r="BU17" s="15">
        <v>0</v>
      </c>
      <c r="BV17" s="15">
        <v>0</v>
      </c>
      <c r="BW17" s="15">
        <v>0</v>
      </c>
      <c r="BX17" s="15">
        <v>0</v>
      </c>
      <c r="BY17" s="15">
        <v>0</v>
      </c>
      <c r="BZ17" s="15">
        <v>0</v>
      </c>
      <c r="CA17" s="15">
        <v>0</v>
      </c>
      <c r="CB17" s="15">
        <v>0</v>
      </c>
      <c r="CC17" s="15">
        <v>0</v>
      </c>
      <c r="CD17" s="15">
        <v>0</v>
      </c>
      <c r="CE17" s="15">
        <v>0</v>
      </c>
      <c r="CF17" s="15">
        <v>0</v>
      </c>
      <c r="CG17" s="15">
        <v>0</v>
      </c>
      <c r="CH17" s="15">
        <v>0</v>
      </c>
      <c r="CI17" s="15">
        <v>0</v>
      </c>
      <c r="CJ17" s="15">
        <v>0</v>
      </c>
      <c r="CK17" s="15">
        <v>0</v>
      </c>
      <c r="CL17" s="15">
        <v>0</v>
      </c>
      <c r="CM17" s="15">
        <v>0</v>
      </c>
      <c r="CN17" s="15">
        <v>0</v>
      </c>
      <c r="CO17" s="15">
        <v>0</v>
      </c>
      <c r="CP17" s="15">
        <v>0</v>
      </c>
      <c r="CQ17" s="15">
        <v>0</v>
      </c>
      <c r="CR17" s="15">
        <v>0</v>
      </c>
      <c r="CS17" s="15">
        <v>0</v>
      </c>
      <c r="CT17" s="15">
        <v>0</v>
      </c>
      <c r="CU17" s="15">
        <v>0</v>
      </c>
      <c r="CV17" s="15">
        <v>0</v>
      </c>
      <c r="CW17" s="15">
        <v>0</v>
      </c>
      <c r="CX17" s="15">
        <v>0</v>
      </c>
      <c r="CY17" s="15">
        <v>0</v>
      </c>
      <c r="CZ17" s="15">
        <v>0</v>
      </c>
      <c r="DA17" s="15">
        <v>0</v>
      </c>
      <c r="DB17" s="15">
        <v>0</v>
      </c>
      <c r="DC17" s="15">
        <v>0</v>
      </c>
      <c r="DD17" s="15">
        <v>0</v>
      </c>
      <c r="DE17" s="15">
        <v>0</v>
      </c>
      <c r="DF17" s="15">
        <v>0</v>
      </c>
      <c r="DG17" s="16">
        <f t="shared" si="4"/>
        <v>1</v>
      </c>
      <c r="DH17" s="16">
        <f t="shared" si="5"/>
        <v>11</v>
      </c>
      <c r="DI17" s="17">
        <f t="shared" si="6"/>
        <v>11</v>
      </c>
      <c r="DJ17" s="119" t="s">
        <v>1</v>
      </c>
      <c r="DK17" s="44" t="s">
        <v>1</v>
      </c>
      <c r="DL17" s="44" t="s">
        <v>1330</v>
      </c>
      <c r="DM17" s="44"/>
    </row>
    <row r="18" spans="1:117">
      <c r="A18" s="32" t="str">
        <f t="shared" si="2"/>
        <v>Powercor--˃ 11 kV &amp; &lt; = 22 kV; STEEL</v>
      </c>
      <c r="B18" s="32" t="str">
        <f t="shared" si="3"/>
        <v>Powercor</v>
      </c>
      <c r="C18" s="416"/>
      <c r="D18" s="14"/>
      <c r="E18" s="15" t="s">
        <v>165</v>
      </c>
      <c r="F18" s="18">
        <v>38.9</v>
      </c>
      <c r="G18" s="18">
        <v>12.1</v>
      </c>
      <c r="H18" s="15">
        <v>9</v>
      </c>
      <c r="I18" s="15">
        <v>27</v>
      </c>
      <c r="J18" s="15">
        <v>5</v>
      </c>
      <c r="K18" s="15">
        <v>0</v>
      </c>
      <c r="L18" s="15">
        <v>12</v>
      </c>
      <c r="M18" s="15">
        <v>11</v>
      </c>
      <c r="N18" s="15">
        <v>10</v>
      </c>
      <c r="O18" s="15">
        <v>5</v>
      </c>
      <c r="P18" s="15">
        <v>11</v>
      </c>
      <c r="Q18" s="15">
        <v>226</v>
      </c>
      <c r="R18" s="15">
        <v>614</v>
      </c>
      <c r="S18" s="15">
        <v>518</v>
      </c>
      <c r="T18" s="15">
        <v>117</v>
      </c>
      <c r="U18" s="15">
        <v>303</v>
      </c>
      <c r="V18" s="15">
        <v>48</v>
      </c>
      <c r="W18" s="15">
        <v>19</v>
      </c>
      <c r="X18" s="15">
        <v>16</v>
      </c>
      <c r="Y18" s="15">
        <v>12</v>
      </c>
      <c r="Z18" s="15">
        <v>8</v>
      </c>
      <c r="AA18" s="15">
        <v>5</v>
      </c>
      <c r="AB18" s="15">
        <v>5</v>
      </c>
      <c r="AC18" s="15">
        <v>10</v>
      </c>
      <c r="AD18" s="15">
        <v>5</v>
      </c>
      <c r="AE18" s="15">
        <v>12</v>
      </c>
      <c r="AF18" s="15">
        <v>12</v>
      </c>
      <c r="AG18" s="15">
        <v>7</v>
      </c>
      <c r="AH18" s="15">
        <v>5</v>
      </c>
      <c r="AI18" s="15">
        <v>8</v>
      </c>
      <c r="AJ18" s="15">
        <v>7</v>
      </c>
      <c r="AK18" s="15">
        <v>5</v>
      </c>
      <c r="AL18" s="15">
        <v>7</v>
      </c>
      <c r="AM18" s="15">
        <v>5</v>
      </c>
      <c r="AN18" s="15">
        <v>5</v>
      </c>
      <c r="AO18" s="15">
        <v>8</v>
      </c>
      <c r="AP18" s="15">
        <v>7</v>
      </c>
      <c r="AQ18" s="15">
        <v>11</v>
      </c>
      <c r="AR18" s="15">
        <v>5</v>
      </c>
      <c r="AS18" s="15">
        <v>149</v>
      </c>
      <c r="AT18" s="15">
        <v>5</v>
      </c>
      <c r="AU18" s="15">
        <v>7</v>
      </c>
      <c r="AV18" s="15">
        <v>137</v>
      </c>
      <c r="AW18" s="15">
        <v>31</v>
      </c>
      <c r="AX18" s="15">
        <v>115</v>
      </c>
      <c r="AY18" s="15">
        <v>2</v>
      </c>
      <c r="AZ18" s="15">
        <v>0</v>
      </c>
      <c r="BA18" s="15">
        <v>0</v>
      </c>
      <c r="BB18" s="15">
        <v>0</v>
      </c>
      <c r="BC18" s="15">
        <v>0</v>
      </c>
      <c r="BD18" s="15">
        <v>3</v>
      </c>
      <c r="BE18" s="15">
        <v>2</v>
      </c>
      <c r="BF18" s="15">
        <v>0</v>
      </c>
      <c r="BG18" s="15">
        <v>2</v>
      </c>
      <c r="BH18" s="15">
        <v>2</v>
      </c>
      <c r="BI18" s="15">
        <v>2</v>
      </c>
      <c r="BJ18" s="15">
        <v>0</v>
      </c>
      <c r="BK18" s="15">
        <v>0</v>
      </c>
      <c r="BL18" s="15">
        <v>0</v>
      </c>
      <c r="BM18" s="15">
        <v>0</v>
      </c>
      <c r="BN18" s="15">
        <v>0</v>
      </c>
      <c r="BO18" s="15">
        <v>0</v>
      </c>
      <c r="BP18" s="15">
        <v>0</v>
      </c>
      <c r="BQ18" s="15">
        <v>0</v>
      </c>
      <c r="BR18" s="15">
        <v>0</v>
      </c>
      <c r="BS18" s="15">
        <v>0</v>
      </c>
      <c r="BT18" s="15">
        <v>0</v>
      </c>
      <c r="BU18" s="15">
        <v>0</v>
      </c>
      <c r="BV18" s="15">
        <v>0</v>
      </c>
      <c r="BW18" s="15">
        <v>0</v>
      </c>
      <c r="BX18" s="15">
        <v>0</v>
      </c>
      <c r="BY18" s="15">
        <v>0</v>
      </c>
      <c r="BZ18" s="15">
        <v>0</v>
      </c>
      <c r="CA18" s="15">
        <v>0</v>
      </c>
      <c r="CB18" s="15">
        <v>0</v>
      </c>
      <c r="CC18" s="15">
        <v>0</v>
      </c>
      <c r="CD18" s="15">
        <v>0</v>
      </c>
      <c r="CE18" s="15">
        <v>0</v>
      </c>
      <c r="CF18" s="15">
        <v>0</v>
      </c>
      <c r="CG18" s="15">
        <v>0</v>
      </c>
      <c r="CH18" s="15">
        <v>0</v>
      </c>
      <c r="CI18" s="15">
        <v>0</v>
      </c>
      <c r="CJ18" s="15">
        <v>0</v>
      </c>
      <c r="CK18" s="15">
        <v>0</v>
      </c>
      <c r="CL18" s="15">
        <v>0</v>
      </c>
      <c r="CM18" s="15">
        <v>0</v>
      </c>
      <c r="CN18" s="15">
        <v>0</v>
      </c>
      <c r="CO18" s="15">
        <v>0</v>
      </c>
      <c r="CP18" s="15">
        <v>0</v>
      </c>
      <c r="CQ18" s="15">
        <v>0</v>
      </c>
      <c r="CR18" s="15">
        <v>0</v>
      </c>
      <c r="CS18" s="15">
        <v>0</v>
      </c>
      <c r="CT18" s="15">
        <v>0</v>
      </c>
      <c r="CU18" s="15">
        <v>0</v>
      </c>
      <c r="CV18" s="15">
        <v>0</v>
      </c>
      <c r="CW18" s="15">
        <v>0</v>
      </c>
      <c r="CX18" s="15">
        <v>0</v>
      </c>
      <c r="CY18" s="15">
        <v>0</v>
      </c>
      <c r="CZ18" s="15">
        <v>0</v>
      </c>
      <c r="DA18" s="15">
        <v>0</v>
      </c>
      <c r="DB18" s="15">
        <v>0</v>
      </c>
      <c r="DC18" s="15">
        <v>0</v>
      </c>
      <c r="DD18" s="15">
        <v>0</v>
      </c>
      <c r="DE18" s="15">
        <v>0</v>
      </c>
      <c r="DF18" s="15">
        <v>0</v>
      </c>
      <c r="DG18" s="16">
        <f t="shared" si="4"/>
        <v>2557</v>
      </c>
      <c r="DH18" s="16">
        <f t="shared" si="5"/>
        <v>45386</v>
      </c>
      <c r="DI18" s="17">
        <f t="shared" si="6"/>
        <v>17.749706687524444</v>
      </c>
      <c r="DJ18" s="119" t="s">
        <v>1</v>
      </c>
      <c r="DK18" s="44" t="s">
        <v>1</v>
      </c>
      <c r="DL18" s="44" t="s">
        <v>1330</v>
      </c>
      <c r="DM18" s="44"/>
    </row>
    <row r="19" spans="1:117">
      <c r="A19" s="32" t="str">
        <f t="shared" si="2"/>
        <v>Powercor--&gt; 22 kV &amp; &lt; = 66 kV; STEEL</v>
      </c>
      <c r="B19" s="32" t="str">
        <f t="shared" si="3"/>
        <v>Powercor</v>
      </c>
      <c r="C19" s="416"/>
      <c r="D19" s="14"/>
      <c r="E19" s="15" t="s">
        <v>166</v>
      </c>
      <c r="F19" s="18">
        <v>38.9</v>
      </c>
      <c r="G19" s="18">
        <v>12.1</v>
      </c>
      <c r="H19" s="15">
        <v>0</v>
      </c>
      <c r="I19" s="15">
        <v>0</v>
      </c>
      <c r="J19" s="15">
        <v>0</v>
      </c>
      <c r="K19" s="15">
        <v>0</v>
      </c>
      <c r="L19" s="15">
        <v>0</v>
      </c>
      <c r="M19" s="15">
        <v>0</v>
      </c>
      <c r="N19" s="15">
        <v>0</v>
      </c>
      <c r="O19" s="15">
        <v>0</v>
      </c>
      <c r="P19" s="15">
        <v>0</v>
      </c>
      <c r="Q19" s="15">
        <v>0</v>
      </c>
      <c r="R19" s="15">
        <v>0</v>
      </c>
      <c r="S19" s="15">
        <v>0</v>
      </c>
      <c r="T19" s="15">
        <v>2</v>
      </c>
      <c r="U19" s="15">
        <v>0</v>
      </c>
      <c r="V19" s="15">
        <v>0</v>
      </c>
      <c r="W19" s="15">
        <v>0</v>
      </c>
      <c r="X19" s="15">
        <v>0</v>
      </c>
      <c r="Y19" s="15">
        <v>0</v>
      </c>
      <c r="Z19" s="15">
        <v>0</v>
      </c>
      <c r="AA19" s="15">
        <v>0</v>
      </c>
      <c r="AB19" s="15">
        <v>0</v>
      </c>
      <c r="AC19" s="15">
        <v>0</v>
      </c>
      <c r="AD19" s="15">
        <v>0</v>
      </c>
      <c r="AE19" s="15">
        <v>0</v>
      </c>
      <c r="AF19" s="15">
        <v>0</v>
      </c>
      <c r="AG19" s="15">
        <v>0</v>
      </c>
      <c r="AH19" s="15">
        <v>0</v>
      </c>
      <c r="AI19" s="15">
        <v>0</v>
      </c>
      <c r="AJ19" s="15">
        <v>4</v>
      </c>
      <c r="AK19" s="15">
        <v>0</v>
      </c>
      <c r="AL19" s="15">
        <v>0</v>
      </c>
      <c r="AM19" s="15">
        <v>0</v>
      </c>
      <c r="AN19" s="15">
        <v>0</v>
      </c>
      <c r="AO19" s="15">
        <v>0</v>
      </c>
      <c r="AP19" s="15">
        <v>0</v>
      </c>
      <c r="AQ19" s="15">
        <v>0</v>
      </c>
      <c r="AR19" s="15">
        <v>0</v>
      </c>
      <c r="AS19" s="15">
        <v>7</v>
      </c>
      <c r="AT19" s="15">
        <v>0</v>
      </c>
      <c r="AU19" s="15">
        <v>43</v>
      </c>
      <c r="AV19" s="15">
        <v>0</v>
      </c>
      <c r="AW19" s="15">
        <v>0</v>
      </c>
      <c r="AX19" s="15">
        <v>0</v>
      </c>
      <c r="AY19" s="15">
        <v>0</v>
      </c>
      <c r="AZ19" s="15">
        <v>0</v>
      </c>
      <c r="BA19" s="15">
        <v>0</v>
      </c>
      <c r="BB19" s="15">
        <v>0</v>
      </c>
      <c r="BC19" s="15">
        <v>20</v>
      </c>
      <c r="BD19" s="15">
        <v>0</v>
      </c>
      <c r="BE19" s="15">
        <v>0</v>
      </c>
      <c r="BF19" s="15">
        <v>0</v>
      </c>
      <c r="BG19" s="15">
        <v>0</v>
      </c>
      <c r="BH19" s="15">
        <v>8</v>
      </c>
      <c r="BI19" s="15">
        <v>4</v>
      </c>
      <c r="BJ19" s="15">
        <v>0</v>
      </c>
      <c r="BK19" s="15">
        <v>0</v>
      </c>
      <c r="BL19" s="15">
        <v>0</v>
      </c>
      <c r="BM19" s="15">
        <v>0</v>
      </c>
      <c r="BN19" s="15">
        <v>0</v>
      </c>
      <c r="BO19" s="15">
        <v>4</v>
      </c>
      <c r="BP19" s="15">
        <v>0</v>
      </c>
      <c r="BQ19" s="15">
        <v>0</v>
      </c>
      <c r="BR19" s="15">
        <v>0</v>
      </c>
      <c r="BS19" s="15">
        <v>8</v>
      </c>
      <c r="BT19" s="15">
        <v>0</v>
      </c>
      <c r="BU19" s="15">
        <v>0</v>
      </c>
      <c r="BV19" s="15">
        <v>0</v>
      </c>
      <c r="BW19" s="15">
        <v>0</v>
      </c>
      <c r="BX19" s="15">
        <v>0</v>
      </c>
      <c r="BY19" s="15">
        <v>0</v>
      </c>
      <c r="BZ19" s="15">
        <v>0</v>
      </c>
      <c r="CA19" s="15">
        <v>0</v>
      </c>
      <c r="CB19" s="15">
        <v>0</v>
      </c>
      <c r="CC19" s="15">
        <v>0</v>
      </c>
      <c r="CD19" s="15">
        <v>0</v>
      </c>
      <c r="CE19" s="15">
        <v>0</v>
      </c>
      <c r="CF19" s="15">
        <v>0</v>
      </c>
      <c r="CG19" s="15">
        <v>0</v>
      </c>
      <c r="CH19" s="15">
        <v>0</v>
      </c>
      <c r="CI19" s="15">
        <v>0</v>
      </c>
      <c r="CJ19" s="15">
        <v>0</v>
      </c>
      <c r="CK19" s="15">
        <v>0</v>
      </c>
      <c r="CL19" s="15">
        <v>0</v>
      </c>
      <c r="CM19" s="15">
        <v>0</v>
      </c>
      <c r="CN19" s="15">
        <v>0</v>
      </c>
      <c r="CO19" s="15">
        <v>0</v>
      </c>
      <c r="CP19" s="15">
        <v>0</v>
      </c>
      <c r="CQ19" s="15">
        <v>0</v>
      </c>
      <c r="CR19" s="15">
        <v>0</v>
      </c>
      <c r="CS19" s="15">
        <v>0</v>
      </c>
      <c r="CT19" s="15">
        <v>0</v>
      </c>
      <c r="CU19" s="15">
        <v>0</v>
      </c>
      <c r="CV19" s="15">
        <v>0</v>
      </c>
      <c r="CW19" s="15">
        <v>0</v>
      </c>
      <c r="CX19" s="15">
        <v>0</v>
      </c>
      <c r="CY19" s="15">
        <v>0</v>
      </c>
      <c r="CZ19" s="15">
        <v>0</v>
      </c>
      <c r="DA19" s="15">
        <v>0</v>
      </c>
      <c r="DB19" s="15">
        <v>0</v>
      </c>
      <c r="DC19" s="15">
        <v>0</v>
      </c>
      <c r="DD19" s="15">
        <v>0</v>
      </c>
      <c r="DE19" s="15">
        <v>0</v>
      </c>
      <c r="DF19" s="15">
        <v>0</v>
      </c>
      <c r="DG19" s="16">
        <f t="shared" si="4"/>
        <v>100</v>
      </c>
      <c r="DH19" s="16">
        <f t="shared" si="5"/>
        <v>4480</v>
      </c>
      <c r="DI19" s="17">
        <f t="shared" si="6"/>
        <v>44.8</v>
      </c>
      <c r="DJ19" s="119" t="s">
        <v>1</v>
      </c>
      <c r="DK19" s="44" t="s">
        <v>1</v>
      </c>
      <c r="DL19" s="44" t="s">
        <v>1330</v>
      </c>
      <c r="DM19" s="44"/>
    </row>
    <row r="20" spans="1:117">
      <c r="A20" s="32" t="str">
        <f t="shared" si="2"/>
        <v>Powercor--&gt; 66 kV &amp; &lt; = 132 kV; STEEL</v>
      </c>
      <c r="B20" s="32" t="str">
        <f t="shared" si="3"/>
        <v>Powercor</v>
      </c>
      <c r="C20" s="416"/>
      <c r="D20" s="14"/>
      <c r="E20" s="15" t="s">
        <v>167</v>
      </c>
      <c r="F20" s="18">
        <v>0</v>
      </c>
      <c r="G20" s="18">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5">
        <v>0</v>
      </c>
      <c r="AG20" s="15">
        <v>0</v>
      </c>
      <c r="AH20" s="15">
        <v>0</v>
      </c>
      <c r="AI20" s="15">
        <v>0</v>
      </c>
      <c r="AJ20" s="15">
        <v>0</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0</v>
      </c>
      <c r="BE20" s="15">
        <v>0</v>
      </c>
      <c r="BF20" s="15">
        <v>0</v>
      </c>
      <c r="BG20" s="15">
        <v>0</v>
      </c>
      <c r="BH20" s="15">
        <v>0</v>
      </c>
      <c r="BI20" s="15">
        <v>0</v>
      </c>
      <c r="BJ20" s="15">
        <v>0</v>
      </c>
      <c r="BK20" s="15">
        <v>0</v>
      </c>
      <c r="BL20" s="15">
        <v>0</v>
      </c>
      <c r="BM20" s="15">
        <v>0</v>
      </c>
      <c r="BN20" s="15">
        <v>0</v>
      </c>
      <c r="BO20" s="15">
        <v>0</v>
      </c>
      <c r="BP20" s="15">
        <v>0</v>
      </c>
      <c r="BQ20" s="15">
        <v>0</v>
      </c>
      <c r="BR20" s="15">
        <v>0</v>
      </c>
      <c r="BS20" s="15">
        <v>0</v>
      </c>
      <c r="BT20" s="15">
        <v>0</v>
      </c>
      <c r="BU20" s="15">
        <v>0</v>
      </c>
      <c r="BV20" s="15">
        <v>0</v>
      </c>
      <c r="BW20" s="15">
        <v>0</v>
      </c>
      <c r="BX20" s="15">
        <v>0</v>
      </c>
      <c r="BY20" s="15">
        <v>0</v>
      </c>
      <c r="BZ20" s="15">
        <v>0</v>
      </c>
      <c r="CA20" s="15">
        <v>0</v>
      </c>
      <c r="CB20" s="15">
        <v>0</v>
      </c>
      <c r="CC20" s="15">
        <v>0</v>
      </c>
      <c r="CD20" s="15">
        <v>0</v>
      </c>
      <c r="CE20" s="15">
        <v>0</v>
      </c>
      <c r="CF20" s="15">
        <v>0</v>
      </c>
      <c r="CG20" s="15">
        <v>0</v>
      </c>
      <c r="CH20" s="15">
        <v>0</v>
      </c>
      <c r="CI20" s="15">
        <v>0</v>
      </c>
      <c r="CJ20" s="15">
        <v>0</v>
      </c>
      <c r="CK20" s="15">
        <v>0</v>
      </c>
      <c r="CL20" s="15">
        <v>0</v>
      </c>
      <c r="CM20" s="15">
        <v>0</v>
      </c>
      <c r="CN20" s="15">
        <v>0</v>
      </c>
      <c r="CO20" s="15">
        <v>0</v>
      </c>
      <c r="CP20" s="15">
        <v>0</v>
      </c>
      <c r="CQ20" s="15">
        <v>0</v>
      </c>
      <c r="CR20" s="15">
        <v>0</v>
      </c>
      <c r="CS20" s="15">
        <v>0</v>
      </c>
      <c r="CT20" s="15">
        <v>0</v>
      </c>
      <c r="CU20" s="15">
        <v>0</v>
      </c>
      <c r="CV20" s="15">
        <v>0</v>
      </c>
      <c r="CW20" s="15">
        <v>0</v>
      </c>
      <c r="CX20" s="15">
        <v>0</v>
      </c>
      <c r="CY20" s="15">
        <v>0</v>
      </c>
      <c r="CZ20" s="15">
        <v>0</v>
      </c>
      <c r="DA20" s="15">
        <v>0</v>
      </c>
      <c r="DB20" s="15">
        <v>0</v>
      </c>
      <c r="DC20" s="15">
        <v>0</v>
      </c>
      <c r="DD20" s="15">
        <v>0</v>
      </c>
      <c r="DE20" s="15">
        <v>0</v>
      </c>
      <c r="DF20" s="15">
        <v>0</v>
      </c>
      <c r="DG20" s="16">
        <f t="shared" si="4"/>
        <v>0</v>
      </c>
      <c r="DH20" s="16">
        <f t="shared" si="5"/>
        <v>0</v>
      </c>
      <c r="DI20" s="17" t="str">
        <f t="shared" si="6"/>
        <v/>
      </c>
      <c r="DJ20" s="119" t="s">
        <v>1</v>
      </c>
      <c r="DK20" s="44" t="s">
        <v>1</v>
      </c>
      <c r="DL20" s="44" t="s">
        <v>1330</v>
      </c>
      <c r="DM20" s="44"/>
    </row>
    <row r="21" spans="1:117">
      <c r="A21" s="32" t="str">
        <f t="shared" si="2"/>
        <v>Powercor--&gt; 132 kV; STEEL</v>
      </c>
      <c r="B21" s="32" t="str">
        <f t="shared" si="3"/>
        <v>Powercor</v>
      </c>
      <c r="C21" s="416"/>
      <c r="D21" s="14"/>
      <c r="E21" s="15" t="s">
        <v>168</v>
      </c>
      <c r="F21" s="18">
        <v>0</v>
      </c>
      <c r="G21" s="18">
        <v>0</v>
      </c>
      <c r="H21" s="15">
        <v>0</v>
      </c>
      <c r="I21" s="15">
        <v>0</v>
      </c>
      <c r="J21" s="15">
        <v>0</v>
      </c>
      <c r="K21" s="15">
        <v>0</v>
      </c>
      <c r="L21" s="15">
        <v>0</v>
      </c>
      <c r="M21" s="15">
        <v>0</v>
      </c>
      <c r="N21" s="15">
        <v>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5">
        <v>0</v>
      </c>
      <c r="AG21" s="15">
        <v>0</v>
      </c>
      <c r="AH21" s="15">
        <v>0</v>
      </c>
      <c r="AI21" s="15">
        <v>0</v>
      </c>
      <c r="AJ21" s="15">
        <v>0</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v>
      </c>
      <c r="BE21" s="15">
        <v>0</v>
      </c>
      <c r="BF21" s="15">
        <v>0</v>
      </c>
      <c r="BG21" s="15">
        <v>0</v>
      </c>
      <c r="BH21" s="15">
        <v>0</v>
      </c>
      <c r="BI21" s="15">
        <v>0</v>
      </c>
      <c r="BJ21" s="15">
        <v>0</v>
      </c>
      <c r="BK21" s="15">
        <v>0</v>
      </c>
      <c r="BL21" s="15">
        <v>0</v>
      </c>
      <c r="BM21" s="15">
        <v>0</v>
      </c>
      <c r="BN21" s="15">
        <v>0</v>
      </c>
      <c r="BO21" s="15">
        <v>0</v>
      </c>
      <c r="BP21" s="15">
        <v>0</v>
      </c>
      <c r="BQ21" s="15">
        <v>0</v>
      </c>
      <c r="BR21" s="15">
        <v>0</v>
      </c>
      <c r="BS21" s="15">
        <v>0</v>
      </c>
      <c r="BT21" s="15">
        <v>0</v>
      </c>
      <c r="BU21" s="15">
        <v>0</v>
      </c>
      <c r="BV21" s="15">
        <v>0</v>
      </c>
      <c r="BW21" s="15">
        <v>0</v>
      </c>
      <c r="BX21" s="15">
        <v>0</v>
      </c>
      <c r="BY21" s="15">
        <v>0</v>
      </c>
      <c r="BZ21" s="15">
        <v>0</v>
      </c>
      <c r="CA21" s="15">
        <v>0</v>
      </c>
      <c r="CB21" s="15">
        <v>0</v>
      </c>
      <c r="CC21" s="15">
        <v>0</v>
      </c>
      <c r="CD21" s="15">
        <v>0</v>
      </c>
      <c r="CE21" s="15">
        <v>0</v>
      </c>
      <c r="CF21" s="15">
        <v>0</v>
      </c>
      <c r="CG21" s="15">
        <v>0</v>
      </c>
      <c r="CH21" s="15">
        <v>0</v>
      </c>
      <c r="CI21" s="15">
        <v>0</v>
      </c>
      <c r="CJ21" s="15">
        <v>0</v>
      </c>
      <c r="CK21" s="15">
        <v>0</v>
      </c>
      <c r="CL21" s="15">
        <v>0</v>
      </c>
      <c r="CM21" s="15">
        <v>0</v>
      </c>
      <c r="CN21" s="15">
        <v>0</v>
      </c>
      <c r="CO21" s="15">
        <v>0</v>
      </c>
      <c r="CP21" s="15">
        <v>0</v>
      </c>
      <c r="CQ21" s="15">
        <v>0</v>
      </c>
      <c r="CR21" s="15">
        <v>0</v>
      </c>
      <c r="CS21" s="15">
        <v>0</v>
      </c>
      <c r="CT21" s="15">
        <v>0</v>
      </c>
      <c r="CU21" s="15">
        <v>0</v>
      </c>
      <c r="CV21" s="15">
        <v>0</v>
      </c>
      <c r="CW21" s="15">
        <v>0</v>
      </c>
      <c r="CX21" s="15">
        <v>0</v>
      </c>
      <c r="CY21" s="15">
        <v>0</v>
      </c>
      <c r="CZ21" s="15">
        <v>0</v>
      </c>
      <c r="DA21" s="15">
        <v>0</v>
      </c>
      <c r="DB21" s="15">
        <v>0</v>
      </c>
      <c r="DC21" s="15">
        <v>0</v>
      </c>
      <c r="DD21" s="15">
        <v>0</v>
      </c>
      <c r="DE21" s="15">
        <v>0</v>
      </c>
      <c r="DF21" s="15">
        <v>0</v>
      </c>
      <c r="DG21" s="16">
        <f t="shared" si="4"/>
        <v>0</v>
      </c>
      <c r="DH21" s="16">
        <f t="shared" si="5"/>
        <v>0</v>
      </c>
      <c r="DI21" s="17" t="str">
        <f t="shared" si="6"/>
        <v/>
      </c>
      <c r="DJ21" s="119" t="s">
        <v>1</v>
      </c>
      <c r="DK21" s="44" t="s">
        <v>1</v>
      </c>
      <c r="DL21" s="44" t="s">
        <v>1330</v>
      </c>
      <c r="DM21" s="44"/>
    </row>
    <row r="22" spans="1:117">
      <c r="A22" s="32" t="str">
        <f t="shared" si="2"/>
        <v>Powercor--STAY POLES (AERIAL GUYS)</v>
      </c>
      <c r="B22" s="32" t="str">
        <f t="shared" si="3"/>
        <v>Powercor</v>
      </c>
      <c r="C22" s="416"/>
      <c r="D22" s="14"/>
      <c r="E22" s="15" t="s">
        <v>537</v>
      </c>
      <c r="F22" s="18">
        <v>38.9</v>
      </c>
      <c r="G22" s="18">
        <v>12.1</v>
      </c>
      <c r="H22" s="15">
        <v>14</v>
      </c>
      <c r="I22" s="15">
        <v>30</v>
      </c>
      <c r="J22" s="15">
        <v>29</v>
      </c>
      <c r="K22" s="15">
        <v>44</v>
      </c>
      <c r="L22" s="15">
        <v>47</v>
      </c>
      <c r="M22" s="15">
        <v>28</v>
      </c>
      <c r="N22" s="15">
        <v>37</v>
      </c>
      <c r="O22" s="15">
        <v>38</v>
      </c>
      <c r="P22" s="15">
        <v>36</v>
      </c>
      <c r="Q22" s="15">
        <v>40</v>
      </c>
      <c r="R22" s="15">
        <v>30</v>
      </c>
      <c r="S22" s="15">
        <v>23</v>
      </c>
      <c r="T22" s="15">
        <v>44</v>
      </c>
      <c r="U22" s="15">
        <v>47</v>
      </c>
      <c r="V22" s="15">
        <v>19</v>
      </c>
      <c r="W22" s="15">
        <v>13</v>
      </c>
      <c r="X22" s="15">
        <v>16</v>
      </c>
      <c r="Y22" s="15">
        <v>8</v>
      </c>
      <c r="Z22" s="15">
        <v>11</v>
      </c>
      <c r="AA22" s="15">
        <v>38</v>
      </c>
      <c r="AB22" s="15">
        <v>63</v>
      </c>
      <c r="AC22" s="15">
        <v>40</v>
      </c>
      <c r="AD22" s="15">
        <v>29</v>
      </c>
      <c r="AE22" s="15">
        <v>61</v>
      </c>
      <c r="AF22" s="15">
        <v>105</v>
      </c>
      <c r="AG22" s="15">
        <v>119</v>
      </c>
      <c r="AH22" s="15">
        <v>85</v>
      </c>
      <c r="AI22" s="15">
        <v>137</v>
      </c>
      <c r="AJ22" s="15">
        <v>99</v>
      </c>
      <c r="AK22" s="15">
        <v>102</v>
      </c>
      <c r="AL22" s="15">
        <v>94</v>
      </c>
      <c r="AM22" s="15">
        <v>54</v>
      </c>
      <c r="AN22" s="15">
        <v>87</v>
      </c>
      <c r="AO22" s="15">
        <v>156</v>
      </c>
      <c r="AP22" s="15">
        <v>71</v>
      </c>
      <c r="AQ22" s="15">
        <v>100</v>
      </c>
      <c r="AR22" s="15">
        <v>95</v>
      </c>
      <c r="AS22" s="15">
        <v>120</v>
      </c>
      <c r="AT22" s="15">
        <v>128</v>
      </c>
      <c r="AU22" s="15">
        <v>80</v>
      </c>
      <c r="AV22" s="15">
        <v>92</v>
      </c>
      <c r="AW22" s="15">
        <v>109</v>
      </c>
      <c r="AX22" s="15">
        <v>73</v>
      </c>
      <c r="AY22" s="15">
        <v>82</v>
      </c>
      <c r="AZ22" s="15">
        <v>114</v>
      </c>
      <c r="BA22" s="15">
        <v>164</v>
      </c>
      <c r="BB22" s="15">
        <v>133</v>
      </c>
      <c r="BC22" s="15">
        <v>71</v>
      </c>
      <c r="BD22" s="15">
        <v>99</v>
      </c>
      <c r="BE22" s="15">
        <v>75</v>
      </c>
      <c r="BF22" s="15">
        <v>45</v>
      </c>
      <c r="BG22" s="15">
        <v>58</v>
      </c>
      <c r="BH22" s="15">
        <v>75</v>
      </c>
      <c r="BI22" s="15">
        <v>56</v>
      </c>
      <c r="BJ22" s="15">
        <v>38</v>
      </c>
      <c r="BK22" s="15">
        <v>18</v>
      </c>
      <c r="BL22" s="15">
        <v>55</v>
      </c>
      <c r="BM22" s="15">
        <v>23</v>
      </c>
      <c r="BN22" s="15">
        <v>22</v>
      </c>
      <c r="BO22" s="15">
        <v>19</v>
      </c>
      <c r="BP22" s="15">
        <v>24</v>
      </c>
      <c r="BQ22" s="15">
        <v>39</v>
      </c>
      <c r="BR22" s="15">
        <v>31</v>
      </c>
      <c r="BS22" s="15">
        <v>25</v>
      </c>
      <c r="BT22" s="15">
        <v>12</v>
      </c>
      <c r="BU22" s="15">
        <v>6</v>
      </c>
      <c r="BV22" s="15">
        <v>5</v>
      </c>
      <c r="BW22" s="15">
        <v>6</v>
      </c>
      <c r="BX22" s="15">
        <v>3</v>
      </c>
      <c r="BY22" s="15">
        <v>2</v>
      </c>
      <c r="BZ22" s="15">
        <v>3</v>
      </c>
      <c r="CA22" s="15">
        <v>6</v>
      </c>
      <c r="CB22" s="15">
        <v>18</v>
      </c>
      <c r="CC22" s="15">
        <v>39</v>
      </c>
      <c r="CD22" s="15">
        <v>15</v>
      </c>
      <c r="CE22" s="15">
        <v>31</v>
      </c>
      <c r="CF22" s="15">
        <v>6</v>
      </c>
      <c r="CG22" s="15">
        <v>8</v>
      </c>
      <c r="CH22" s="15">
        <v>4</v>
      </c>
      <c r="CI22" s="15">
        <v>9</v>
      </c>
      <c r="CJ22" s="15">
        <v>0</v>
      </c>
      <c r="CK22" s="15">
        <v>2</v>
      </c>
      <c r="CL22" s="15">
        <v>0</v>
      </c>
      <c r="CM22" s="15">
        <v>0</v>
      </c>
      <c r="CN22" s="15">
        <v>0</v>
      </c>
      <c r="CO22" s="15">
        <v>0</v>
      </c>
      <c r="CP22" s="15">
        <v>0</v>
      </c>
      <c r="CQ22" s="15">
        <v>0</v>
      </c>
      <c r="CR22" s="15">
        <v>0</v>
      </c>
      <c r="CS22" s="15">
        <v>0</v>
      </c>
      <c r="CT22" s="15">
        <v>0</v>
      </c>
      <c r="CU22" s="15">
        <v>0</v>
      </c>
      <c r="CV22" s="15">
        <v>0</v>
      </c>
      <c r="CW22" s="15">
        <v>0</v>
      </c>
      <c r="CX22" s="15">
        <v>0</v>
      </c>
      <c r="CY22" s="15">
        <v>0</v>
      </c>
      <c r="CZ22" s="15">
        <v>0</v>
      </c>
      <c r="DA22" s="15">
        <v>0</v>
      </c>
      <c r="DB22" s="15">
        <v>0</v>
      </c>
      <c r="DC22" s="15">
        <v>0</v>
      </c>
      <c r="DD22" s="15">
        <v>0</v>
      </c>
      <c r="DE22" s="15">
        <v>0</v>
      </c>
      <c r="DF22" s="15">
        <v>0</v>
      </c>
      <c r="DG22" s="16">
        <f t="shared" si="4"/>
        <v>4132</v>
      </c>
      <c r="DH22" s="16">
        <f t="shared" si="5"/>
        <v>151684</v>
      </c>
      <c r="DI22" s="17">
        <f t="shared" si="6"/>
        <v>36.709583736689254</v>
      </c>
      <c r="DJ22" s="119" t="s">
        <v>1</v>
      </c>
      <c r="DK22" s="44" t="s">
        <v>1</v>
      </c>
      <c r="DL22" s="44" t="s">
        <v>720</v>
      </c>
      <c r="DM22" s="44"/>
    </row>
    <row r="23" spans="1:117">
      <c r="A23" s="32" t="str">
        <f t="shared" si="2"/>
        <v>Powercor--OTHER - PLEASE ADD A ROW IF NECESSARY AND NOMINATE THE CATEGORY</v>
      </c>
      <c r="B23" s="32" t="str">
        <f t="shared" si="3"/>
        <v>Powercor</v>
      </c>
      <c r="C23" s="416"/>
      <c r="D23" s="14"/>
      <c r="E23" s="15" t="s">
        <v>170</v>
      </c>
      <c r="F23" s="18"/>
      <c r="G23" s="18"/>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6">
        <f t="shared" si="4"/>
        <v>0</v>
      </c>
      <c r="DH23" s="16">
        <f t="shared" si="5"/>
        <v>0</v>
      </c>
      <c r="DI23" s="17" t="str">
        <f t="shared" si="6"/>
        <v/>
      </c>
      <c r="DJ23" s="119" t="s">
        <v>1</v>
      </c>
      <c r="DK23" s="44" t="s">
        <v>1</v>
      </c>
      <c r="DL23" s="44" t="s">
        <v>720</v>
      </c>
      <c r="DM23" s="44"/>
    </row>
    <row r="24" spans="1:117" ht="45">
      <c r="A24" s="32" t="str">
        <f t="shared" ref="A24:A87" si="7">B24&amp;"-"&amp;D24&amp;"-"&amp;E24</f>
        <v>Powercor-OVERHEAD CONDUCTORS BY: 
HIGHEST OPERATING VOLTAGE; NUMBER OF PHASES (AT HV)-˂ = 1 kV</v>
      </c>
      <c r="B24" s="32" t="str">
        <f t="shared" ref="B24:B87" si="8">IF(C24&gt;0,C24,B23)</f>
        <v>Powercor</v>
      </c>
      <c r="C24" s="416"/>
      <c r="D24" s="14" t="s">
        <v>538</v>
      </c>
      <c r="E24" s="15" t="s">
        <v>171</v>
      </c>
      <c r="F24" s="18">
        <v>40.9</v>
      </c>
      <c r="G24" s="18">
        <v>13.4</v>
      </c>
      <c r="H24" s="20">
        <v>102.2</v>
      </c>
      <c r="I24" s="20">
        <v>35.299999999999997</v>
      </c>
      <c r="J24" s="20">
        <v>52.8</v>
      </c>
      <c r="K24" s="20">
        <v>59.3</v>
      </c>
      <c r="L24" s="20">
        <v>60.8</v>
      </c>
      <c r="M24" s="20">
        <v>48.1</v>
      </c>
      <c r="N24" s="20">
        <v>67.099999999999994</v>
      </c>
      <c r="O24" s="20">
        <v>60.5</v>
      </c>
      <c r="P24" s="20">
        <v>61.2</v>
      </c>
      <c r="Q24" s="20">
        <v>51</v>
      </c>
      <c r="R24" s="20">
        <v>49.9</v>
      </c>
      <c r="S24" s="20">
        <v>42.4</v>
      </c>
      <c r="T24" s="20">
        <v>68.099999999999994</v>
      </c>
      <c r="U24" s="20">
        <v>61.9</v>
      </c>
      <c r="V24" s="20">
        <v>50.5</v>
      </c>
      <c r="W24" s="20">
        <v>23.1</v>
      </c>
      <c r="X24" s="20">
        <v>30.7</v>
      </c>
      <c r="Y24" s="20">
        <v>12.8</v>
      </c>
      <c r="Z24" s="20">
        <v>45.2</v>
      </c>
      <c r="AA24" s="20">
        <v>66.599999999999994</v>
      </c>
      <c r="AB24" s="20">
        <v>129.9</v>
      </c>
      <c r="AC24" s="20">
        <v>113</v>
      </c>
      <c r="AD24" s="20">
        <v>78</v>
      </c>
      <c r="AE24" s="20">
        <v>134</v>
      </c>
      <c r="AF24" s="20">
        <v>279.5</v>
      </c>
      <c r="AG24" s="20">
        <v>290.2</v>
      </c>
      <c r="AH24" s="20">
        <v>226.6</v>
      </c>
      <c r="AI24" s="20">
        <v>401.6</v>
      </c>
      <c r="AJ24" s="20">
        <v>311.10000000000002</v>
      </c>
      <c r="AK24" s="20">
        <v>282.2</v>
      </c>
      <c r="AL24" s="20">
        <v>223.4</v>
      </c>
      <c r="AM24" s="20">
        <v>167.2</v>
      </c>
      <c r="AN24" s="20">
        <v>229.9</v>
      </c>
      <c r="AO24" s="20">
        <v>387.3</v>
      </c>
      <c r="AP24" s="20">
        <v>166.5</v>
      </c>
      <c r="AQ24" s="20">
        <v>269.3</v>
      </c>
      <c r="AR24" s="20">
        <v>198</v>
      </c>
      <c r="AS24" s="20">
        <v>334.6</v>
      </c>
      <c r="AT24" s="20">
        <v>289.10000000000002</v>
      </c>
      <c r="AU24" s="20">
        <v>234.7</v>
      </c>
      <c r="AV24" s="20">
        <v>319.60000000000002</v>
      </c>
      <c r="AW24" s="20">
        <v>259.3</v>
      </c>
      <c r="AX24" s="20">
        <v>194.5</v>
      </c>
      <c r="AY24" s="20">
        <v>208</v>
      </c>
      <c r="AZ24" s="20">
        <v>287</v>
      </c>
      <c r="BA24" s="20">
        <v>278.7</v>
      </c>
      <c r="BB24" s="20">
        <v>293.10000000000002</v>
      </c>
      <c r="BC24" s="20">
        <v>199.2</v>
      </c>
      <c r="BD24" s="20">
        <v>232.3</v>
      </c>
      <c r="BE24" s="20">
        <v>229.9</v>
      </c>
      <c r="BF24" s="20">
        <v>137.9</v>
      </c>
      <c r="BG24" s="20">
        <v>157.1</v>
      </c>
      <c r="BH24" s="20">
        <v>139.6</v>
      </c>
      <c r="BI24" s="20">
        <v>130</v>
      </c>
      <c r="BJ24" s="20">
        <v>104.4</v>
      </c>
      <c r="BK24" s="20">
        <v>90.4</v>
      </c>
      <c r="BL24" s="20">
        <v>97.4</v>
      </c>
      <c r="BM24" s="20">
        <v>23.5</v>
      </c>
      <c r="BN24" s="20">
        <v>37.299999999999997</v>
      </c>
      <c r="BO24" s="20">
        <v>27.6</v>
      </c>
      <c r="BP24" s="20">
        <v>36.6</v>
      </c>
      <c r="BQ24" s="20">
        <v>46.6</v>
      </c>
      <c r="BR24" s="20">
        <v>37.5</v>
      </c>
      <c r="BS24" s="20">
        <v>55.9</v>
      </c>
      <c r="BT24" s="20">
        <v>22.8</v>
      </c>
      <c r="BU24" s="20">
        <v>12.4</v>
      </c>
      <c r="BV24" s="20">
        <v>9.3000000000000007</v>
      </c>
      <c r="BW24" s="20">
        <v>7.7</v>
      </c>
      <c r="BX24" s="20">
        <v>4.4000000000000004</v>
      </c>
      <c r="BY24" s="20">
        <v>2.8</v>
      </c>
      <c r="BZ24" s="20">
        <v>2.4</v>
      </c>
      <c r="CA24" s="20">
        <v>7.8</v>
      </c>
      <c r="CB24" s="20">
        <v>27.8</v>
      </c>
      <c r="CC24" s="20">
        <v>41.4</v>
      </c>
      <c r="CD24" s="20">
        <v>29.9</v>
      </c>
      <c r="CE24" s="20">
        <v>45.7</v>
      </c>
      <c r="CF24" s="20">
        <v>15.8</v>
      </c>
      <c r="CG24" s="20">
        <v>12.5</v>
      </c>
      <c r="CH24" s="20">
        <v>0</v>
      </c>
      <c r="CI24" s="20">
        <v>8.1999999999999993</v>
      </c>
      <c r="CJ24" s="20">
        <v>3.6</v>
      </c>
      <c r="CK24" s="20">
        <v>2.2000000000000002</v>
      </c>
      <c r="CL24" s="20">
        <v>1.3</v>
      </c>
      <c r="CM24" s="20">
        <v>1.9</v>
      </c>
      <c r="CN24" s="20">
        <v>0</v>
      </c>
      <c r="CO24" s="20">
        <v>0</v>
      </c>
      <c r="CP24" s="20">
        <v>0</v>
      </c>
      <c r="CQ24" s="20">
        <v>0</v>
      </c>
      <c r="CR24" s="20">
        <v>0</v>
      </c>
      <c r="CS24" s="20">
        <v>0</v>
      </c>
      <c r="CT24" s="20">
        <v>0</v>
      </c>
      <c r="CU24" s="20">
        <v>0</v>
      </c>
      <c r="CV24" s="20">
        <v>0</v>
      </c>
      <c r="CW24" s="20">
        <v>0</v>
      </c>
      <c r="CX24" s="20">
        <v>0</v>
      </c>
      <c r="CY24" s="20">
        <v>0</v>
      </c>
      <c r="CZ24" s="20">
        <v>0</v>
      </c>
      <c r="DA24" s="20">
        <v>0</v>
      </c>
      <c r="DB24" s="20">
        <v>0</v>
      </c>
      <c r="DC24" s="20">
        <v>0</v>
      </c>
      <c r="DD24" s="20">
        <v>0</v>
      </c>
      <c r="DE24" s="20">
        <v>0</v>
      </c>
      <c r="DF24" s="20">
        <v>0</v>
      </c>
      <c r="DG24" s="16">
        <f t="shared" si="4"/>
        <v>9678.899999999996</v>
      </c>
      <c r="DH24" s="16">
        <f t="shared" si="5"/>
        <v>353712.6</v>
      </c>
      <c r="DI24" s="17">
        <f t="shared" si="6"/>
        <v>36.544710659269143</v>
      </c>
      <c r="DJ24" s="119" t="s">
        <v>718</v>
      </c>
      <c r="DK24" t="s">
        <v>718</v>
      </c>
    </row>
    <row r="25" spans="1:117">
      <c r="A25" s="32" t="str">
        <f t="shared" si="7"/>
        <v>Powercor--&gt; 1 kV &amp; &lt; = 11 kV</v>
      </c>
      <c r="B25" s="32" t="str">
        <f t="shared" si="8"/>
        <v>Powercor</v>
      </c>
      <c r="C25" s="416"/>
      <c r="D25" s="14"/>
      <c r="E25" s="15" t="s">
        <v>172</v>
      </c>
      <c r="F25" s="18">
        <v>40.9</v>
      </c>
      <c r="G25" s="18">
        <v>13.4</v>
      </c>
      <c r="H25" s="20">
        <v>2</v>
      </c>
      <c r="I25" s="20">
        <v>0.2</v>
      </c>
      <c r="J25" s="20">
        <v>0.4</v>
      </c>
      <c r="K25" s="20">
        <v>0.4</v>
      </c>
      <c r="L25" s="20">
        <v>0.4</v>
      </c>
      <c r="M25" s="20">
        <v>0.4</v>
      </c>
      <c r="N25" s="20">
        <v>0.6</v>
      </c>
      <c r="O25" s="20">
        <v>0.5</v>
      </c>
      <c r="P25" s="20">
        <v>0.5</v>
      </c>
      <c r="Q25" s="20">
        <v>0.5</v>
      </c>
      <c r="R25" s="20">
        <v>0.5</v>
      </c>
      <c r="S25" s="20">
        <v>0.4</v>
      </c>
      <c r="T25" s="20">
        <v>0.6</v>
      </c>
      <c r="U25" s="20">
        <v>0.5</v>
      </c>
      <c r="V25" s="20">
        <v>0.4</v>
      </c>
      <c r="W25" s="20">
        <v>0.3</v>
      </c>
      <c r="X25" s="20">
        <v>0.3</v>
      </c>
      <c r="Y25" s="20">
        <v>0.3</v>
      </c>
      <c r="Z25" s="20">
        <v>0.4</v>
      </c>
      <c r="AA25" s="20">
        <v>0.5</v>
      </c>
      <c r="AB25" s="20">
        <v>0.8</v>
      </c>
      <c r="AC25" s="20">
        <v>0.6</v>
      </c>
      <c r="AD25" s="20">
        <v>0.6</v>
      </c>
      <c r="AE25" s="20">
        <v>1.1000000000000001</v>
      </c>
      <c r="AF25" s="20">
        <v>1.2</v>
      </c>
      <c r="AG25" s="20">
        <v>1.5</v>
      </c>
      <c r="AH25" s="20">
        <v>1.1000000000000001</v>
      </c>
      <c r="AI25" s="20">
        <v>1.4</v>
      </c>
      <c r="AJ25" s="20">
        <v>1.5</v>
      </c>
      <c r="AK25" s="20">
        <v>1.6</v>
      </c>
      <c r="AL25" s="20">
        <v>1.1000000000000001</v>
      </c>
      <c r="AM25" s="20">
        <v>0.9</v>
      </c>
      <c r="AN25" s="20">
        <v>1.4</v>
      </c>
      <c r="AO25" s="20">
        <v>1.4</v>
      </c>
      <c r="AP25" s="20">
        <v>0.4</v>
      </c>
      <c r="AQ25" s="20">
        <v>0.9</v>
      </c>
      <c r="AR25" s="20">
        <v>1.2</v>
      </c>
      <c r="AS25" s="20">
        <v>1.2</v>
      </c>
      <c r="AT25" s="20">
        <v>0.9</v>
      </c>
      <c r="AU25" s="20">
        <v>0.5</v>
      </c>
      <c r="AV25" s="20">
        <v>0.5</v>
      </c>
      <c r="AW25" s="20">
        <v>0.5</v>
      </c>
      <c r="AX25" s="20">
        <v>0.4</v>
      </c>
      <c r="AY25" s="20">
        <v>0.7</v>
      </c>
      <c r="AZ25" s="20">
        <v>1.1000000000000001</v>
      </c>
      <c r="BA25" s="20">
        <v>1.2</v>
      </c>
      <c r="BB25" s="20">
        <v>1.2</v>
      </c>
      <c r="BC25" s="20">
        <v>1.4</v>
      </c>
      <c r="BD25" s="20">
        <v>1.7</v>
      </c>
      <c r="BE25" s="20">
        <v>1.7</v>
      </c>
      <c r="BF25" s="20">
        <v>0.7</v>
      </c>
      <c r="BG25" s="20">
        <v>0.7</v>
      </c>
      <c r="BH25" s="20">
        <v>0.6</v>
      </c>
      <c r="BI25" s="20">
        <v>0.6</v>
      </c>
      <c r="BJ25" s="20">
        <v>0.6</v>
      </c>
      <c r="BK25" s="20">
        <v>0.6</v>
      </c>
      <c r="BL25" s="20">
        <v>0.6</v>
      </c>
      <c r="BM25" s="20">
        <v>0.1</v>
      </c>
      <c r="BN25" s="20">
        <v>0.3</v>
      </c>
      <c r="BO25" s="20">
        <v>0.2</v>
      </c>
      <c r="BP25" s="20">
        <v>0.1</v>
      </c>
      <c r="BQ25" s="20">
        <v>0.2</v>
      </c>
      <c r="BR25" s="20">
        <v>0.2</v>
      </c>
      <c r="BS25" s="20">
        <v>0.1</v>
      </c>
      <c r="BT25" s="20">
        <v>0.1</v>
      </c>
      <c r="BU25" s="20">
        <v>0</v>
      </c>
      <c r="BV25" s="20">
        <v>0</v>
      </c>
      <c r="BW25" s="20">
        <v>0</v>
      </c>
      <c r="BX25" s="20">
        <v>0</v>
      </c>
      <c r="BY25" s="20">
        <v>0</v>
      </c>
      <c r="BZ25" s="20">
        <v>0</v>
      </c>
      <c r="CA25" s="20">
        <v>0</v>
      </c>
      <c r="CB25" s="20">
        <v>0.1</v>
      </c>
      <c r="CC25" s="20">
        <v>0.2</v>
      </c>
      <c r="CD25" s="20">
        <v>0.2</v>
      </c>
      <c r="CE25" s="20">
        <v>0.4</v>
      </c>
      <c r="CF25" s="20">
        <v>0.1</v>
      </c>
      <c r="CG25" s="20">
        <v>0.1</v>
      </c>
      <c r="CH25" s="20">
        <v>0</v>
      </c>
      <c r="CI25" s="20">
        <v>0</v>
      </c>
      <c r="CJ25" s="20">
        <v>0</v>
      </c>
      <c r="CK25" s="20">
        <v>0</v>
      </c>
      <c r="CL25" s="20">
        <v>0</v>
      </c>
      <c r="CM25" s="20">
        <v>0</v>
      </c>
      <c r="CN25" s="20">
        <v>0</v>
      </c>
      <c r="CO25" s="20">
        <v>0</v>
      </c>
      <c r="CP25" s="20">
        <v>0</v>
      </c>
      <c r="CQ25" s="20">
        <v>0</v>
      </c>
      <c r="CR25" s="20">
        <v>0</v>
      </c>
      <c r="CS25" s="20">
        <v>0</v>
      </c>
      <c r="CT25" s="20">
        <v>0</v>
      </c>
      <c r="CU25" s="20">
        <v>0</v>
      </c>
      <c r="CV25" s="20">
        <v>0</v>
      </c>
      <c r="CW25" s="20">
        <v>0</v>
      </c>
      <c r="CX25" s="20">
        <v>0</v>
      </c>
      <c r="CY25" s="20">
        <v>0</v>
      </c>
      <c r="CZ25" s="20">
        <v>0</v>
      </c>
      <c r="DA25" s="20">
        <v>0</v>
      </c>
      <c r="DB25" s="20">
        <v>0</v>
      </c>
      <c r="DC25" s="20">
        <v>0</v>
      </c>
      <c r="DD25" s="20">
        <v>0</v>
      </c>
      <c r="DE25" s="20">
        <v>0</v>
      </c>
      <c r="DF25" s="20">
        <v>0</v>
      </c>
      <c r="DG25" s="16">
        <f t="shared" si="4"/>
        <v>48.600000000000037</v>
      </c>
      <c r="DH25" s="16">
        <f t="shared" si="5"/>
        <v>1624.8000000000002</v>
      </c>
      <c r="DI25" s="17">
        <f t="shared" si="6"/>
        <v>33.43209876543208</v>
      </c>
      <c r="DJ25" s="119" t="s">
        <v>718</v>
      </c>
      <c r="DK25" s="44" t="s">
        <v>718</v>
      </c>
    </row>
    <row r="26" spans="1:117">
      <c r="A26" s="32" t="str">
        <f t="shared" si="7"/>
        <v>Powercor--˃ 11 kV &amp; &lt; = 22 kV  ; SWER</v>
      </c>
      <c r="B26" s="32" t="str">
        <f t="shared" si="8"/>
        <v>Powercor</v>
      </c>
      <c r="C26" s="416"/>
      <c r="D26" s="14"/>
      <c r="E26" s="15" t="s">
        <v>177</v>
      </c>
      <c r="F26" s="18">
        <v>40.9</v>
      </c>
      <c r="G26" s="18">
        <v>13.4</v>
      </c>
      <c r="H26" s="20">
        <v>77.099999999999994</v>
      </c>
      <c r="I26" s="20">
        <v>79</v>
      </c>
      <c r="J26" s="20">
        <v>118.2</v>
      </c>
      <c r="K26" s="20">
        <v>132.80000000000001</v>
      </c>
      <c r="L26" s="20">
        <v>136</v>
      </c>
      <c r="M26" s="20">
        <v>107.6</v>
      </c>
      <c r="N26" s="20">
        <v>150.19999999999999</v>
      </c>
      <c r="O26" s="20">
        <v>135.4</v>
      </c>
      <c r="P26" s="20">
        <v>136.9</v>
      </c>
      <c r="Q26" s="20">
        <v>114.2</v>
      </c>
      <c r="R26" s="20">
        <v>111.7</v>
      </c>
      <c r="S26" s="20">
        <v>94.9</v>
      </c>
      <c r="T26" s="20">
        <v>152.5</v>
      </c>
      <c r="U26" s="20">
        <v>138.6</v>
      </c>
      <c r="V26" s="20">
        <v>113.1</v>
      </c>
      <c r="W26" s="20">
        <v>51.7</v>
      </c>
      <c r="X26" s="20">
        <v>68.7</v>
      </c>
      <c r="Y26" s="20">
        <v>28.6</v>
      </c>
      <c r="Z26" s="20">
        <v>101.1</v>
      </c>
      <c r="AA26" s="20">
        <v>149.1</v>
      </c>
      <c r="AB26" s="20">
        <v>290.7</v>
      </c>
      <c r="AC26" s="20">
        <v>252.8</v>
      </c>
      <c r="AD26" s="20">
        <v>174.6</v>
      </c>
      <c r="AE26" s="20">
        <v>300</v>
      </c>
      <c r="AF26" s="20">
        <v>625.6</v>
      </c>
      <c r="AG26" s="20">
        <v>649.4</v>
      </c>
      <c r="AH26" s="20">
        <v>507.2</v>
      </c>
      <c r="AI26" s="20">
        <v>898.9</v>
      </c>
      <c r="AJ26" s="20">
        <v>696.2</v>
      </c>
      <c r="AK26" s="20">
        <v>631.6</v>
      </c>
      <c r="AL26" s="20">
        <v>500</v>
      </c>
      <c r="AM26" s="20">
        <v>374.2</v>
      </c>
      <c r="AN26" s="20">
        <v>514.6</v>
      </c>
      <c r="AO26" s="20">
        <v>866.9</v>
      </c>
      <c r="AP26" s="20">
        <v>372.5</v>
      </c>
      <c r="AQ26" s="20">
        <v>602.6</v>
      </c>
      <c r="AR26" s="20">
        <v>443.2</v>
      </c>
      <c r="AS26" s="20">
        <v>748.1</v>
      </c>
      <c r="AT26" s="20">
        <v>647</v>
      </c>
      <c r="AU26" s="20">
        <v>525.4</v>
      </c>
      <c r="AV26" s="20">
        <v>715.3</v>
      </c>
      <c r="AW26" s="20">
        <v>580.29999999999995</v>
      </c>
      <c r="AX26" s="20">
        <v>435.4</v>
      </c>
      <c r="AY26" s="20">
        <v>465.5</v>
      </c>
      <c r="AZ26" s="20">
        <v>642.4</v>
      </c>
      <c r="BA26" s="20">
        <v>623.70000000000005</v>
      </c>
      <c r="BB26" s="20">
        <v>656.2</v>
      </c>
      <c r="BC26" s="20">
        <v>445.8</v>
      </c>
      <c r="BD26" s="20">
        <v>519.9</v>
      </c>
      <c r="BE26" s="20">
        <v>514.6</v>
      </c>
      <c r="BF26" s="20">
        <v>308.7</v>
      </c>
      <c r="BG26" s="20">
        <v>351.5</v>
      </c>
      <c r="BH26" s="20">
        <v>317.2</v>
      </c>
      <c r="BI26" s="20">
        <v>299.8</v>
      </c>
      <c r="BJ26" s="20">
        <v>242.6</v>
      </c>
      <c r="BK26" s="20">
        <v>211.4</v>
      </c>
      <c r="BL26" s="20">
        <v>226.9</v>
      </c>
      <c r="BM26" s="20">
        <v>57</v>
      </c>
      <c r="BN26" s="20">
        <v>87.9</v>
      </c>
      <c r="BO26" s="20">
        <v>66.3</v>
      </c>
      <c r="BP26" s="20">
        <v>86.4</v>
      </c>
      <c r="BQ26" s="20">
        <v>108.7</v>
      </c>
      <c r="BR26" s="20">
        <v>88.4</v>
      </c>
      <c r="BS26" s="20">
        <v>129.5</v>
      </c>
      <c r="BT26" s="20">
        <v>51.1</v>
      </c>
      <c r="BU26" s="20">
        <v>32.200000000000003</v>
      </c>
      <c r="BV26" s="20">
        <v>25.4</v>
      </c>
      <c r="BW26" s="20">
        <v>21.8</v>
      </c>
      <c r="BX26" s="20">
        <v>14.4</v>
      </c>
      <c r="BY26" s="20">
        <v>6.2</v>
      </c>
      <c r="BZ26" s="20">
        <v>5.3</v>
      </c>
      <c r="CA26" s="20">
        <v>12</v>
      </c>
      <c r="CB26" s="20">
        <v>63.5</v>
      </c>
      <c r="CC26" s="20">
        <v>123.7</v>
      </c>
      <c r="CD26" s="20">
        <v>81.7</v>
      </c>
      <c r="CE26" s="20">
        <v>133.1</v>
      </c>
      <c r="CF26" s="20">
        <v>34.299999999999997</v>
      </c>
      <c r="CG26" s="20">
        <v>24.7</v>
      </c>
      <c r="CH26" s="20">
        <v>11.8</v>
      </c>
      <c r="CI26" s="20">
        <v>17.3</v>
      </c>
      <c r="CJ26" s="20">
        <v>10.5</v>
      </c>
      <c r="CK26" s="20">
        <v>3.9</v>
      </c>
      <c r="CL26" s="20">
        <v>1.8</v>
      </c>
      <c r="CM26" s="20">
        <v>3.4</v>
      </c>
      <c r="CN26" s="20">
        <v>0</v>
      </c>
      <c r="CO26" s="20">
        <v>0</v>
      </c>
      <c r="CP26" s="20">
        <v>0</v>
      </c>
      <c r="CQ26" s="20">
        <v>0</v>
      </c>
      <c r="CR26" s="20">
        <v>0</v>
      </c>
      <c r="CS26" s="20">
        <v>0</v>
      </c>
      <c r="CT26" s="20">
        <v>0</v>
      </c>
      <c r="CU26" s="20">
        <v>0</v>
      </c>
      <c r="CV26" s="20">
        <v>0</v>
      </c>
      <c r="CW26" s="20">
        <v>0</v>
      </c>
      <c r="CX26" s="20">
        <v>0</v>
      </c>
      <c r="CY26" s="20">
        <v>0</v>
      </c>
      <c r="CZ26" s="20">
        <v>0</v>
      </c>
      <c r="DA26" s="20">
        <v>0</v>
      </c>
      <c r="DB26" s="20">
        <v>0</v>
      </c>
      <c r="DC26" s="20">
        <v>0</v>
      </c>
      <c r="DD26" s="20">
        <v>0</v>
      </c>
      <c r="DE26" s="20">
        <v>0</v>
      </c>
      <c r="DF26" s="20">
        <v>0</v>
      </c>
      <c r="DG26" s="16">
        <f t="shared" si="4"/>
        <v>21678.400000000005</v>
      </c>
      <c r="DH26" s="16">
        <f t="shared" si="5"/>
        <v>802741.79999999993</v>
      </c>
      <c r="DI26" s="17">
        <f t="shared" si="6"/>
        <v>37.029568602848904</v>
      </c>
      <c r="DJ26" s="119" t="s">
        <v>718</v>
      </c>
      <c r="DK26" s="44" t="s">
        <v>718</v>
      </c>
    </row>
    <row r="27" spans="1:117">
      <c r="A27" s="32" t="str">
        <f t="shared" si="7"/>
        <v>Powercor--˃ 11 kV &amp; &lt; = 22 kV ; SINGLE-PHASE</v>
      </c>
      <c r="B27" s="32" t="str">
        <f t="shared" si="8"/>
        <v>Powercor</v>
      </c>
      <c r="C27" s="416"/>
      <c r="D27" s="14"/>
      <c r="E27" s="15" t="s">
        <v>178</v>
      </c>
      <c r="F27" s="18">
        <v>0</v>
      </c>
      <c r="G27" s="18">
        <v>0</v>
      </c>
      <c r="H27" s="20">
        <v>0</v>
      </c>
      <c r="I27" s="20">
        <v>0</v>
      </c>
      <c r="J27" s="20">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0">
        <v>0</v>
      </c>
      <c r="AC27" s="20">
        <v>0</v>
      </c>
      <c r="AD27" s="20">
        <v>0</v>
      </c>
      <c r="AE27" s="20">
        <v>0</v>
      </c>
      <c r="AF27" s="20">
        <v>0</v>
      </c>
      <c r="AG27" s="20">
        <v>0</v>
      </c>
      <c r="AH27" s="20">
        <v>0</v>
      </c>
      <c r="AI27" s="20">
        <v>0</v>
      </c>
      <c r="AJ27" s="20">
        <v>0</v>
      </c>
      <c r="AK27" s="20">
        <v>0</v>
      </c>
      <c r="AL27" s="20">
        <v>0</v>
      </c>
      <c r="AM27" s="20">
        <v>0</v>
      </c>
      <c r="AN27" s="20">
        <v>0</v>
      </c>
      <c r="AO27" s="20">
        <v>0</v>
      </c>
      <c r="AP27" s="20">
        <v>0</v>
      </c>
      <c r="AQ27" s="20">
        <v>0</v>
      </c>
      <c r="AR27" s="20">
        <v>0</v>
      </c>
      <c r="AS27" s="20">
        <v>0</v>
      </c>
      <c r="AT27" s="20">
        <v>0</v>
      </c>
      <c r="AU27" s="20">
        <v>0</v>
      </c>
      <c r="AV27" s="20">
        <v>0</v>
      </c>
      <c r="AW27" s="20">
        <v>0</v>
      </c>
      <c r="AX27" s="20">
        <v>0</v>
      </c>
      <c r="AY27" s="20">
        <v>0</v>
      </c>
      <c r="AZ27" s="20">
        <v>0</v>
      </c>
      <c r="BA27" s="20">
        <v>0</v>
      </c>
      <c r="BB27" s="20">
        <v>0</v>
      </c>
      <c r="BC27" s="20">
        <v>0</v>
      </c>
      <c r="BD27" s="20">
        <v>0</v>
      </c>
      <c r="BE27" s="20">
        <v>0</v>
      </c>
      <c r="BF27" s="20">
        <v>0</v>
      </c>
      <c r="BG27" s="20">
        <v>0</v>
      </c>
      <c r="BH27" s="20">
        <v>0</v>
      </c>
      <c r="BI27" s="20">
        <v>0</v>
      </c>
      <c r="BJ27" s="20">
        <v>0</v>
      </c>
      <c r="BK27" s="20">
        <v>0</v>
      </c>
      <c r="BL27" s="20">
        <v>0</v>
      </c>
      <c r="BM27" s="20">
        <v>0</v>
      </c>
      <c r="BN27" s="20">
        <v>0</v>
      </c>
      <c r="BO27" s="20">
        <v>0</v>
      </c>
      <c r="BP27" s="20">
        <v>0</v>
      </c>
      <c r="BQ27" s="20">
        <v>0</v>
      </c>
      <c r="BR27" s="20">
        <v>0</v>
      </c>
      <c r="BS27" s="20">
        <v>0</v>
      </c>
      <c r="BT27" s="20">
        <v>0</v>
      </c>
      <c r="BU27" s="20">
        <v>0</v>
      </c>
      <c r="BV27" s="20">
        <v>0</v>
      </c>
      <c r="BW27" s="20">
        <v>0</v>
      </c>
      <c r="BX27" s="20">
        <v>0</v>
      </c>
      <c r="BY27" s="20">
        <v>0</v>
      </c>
      <c r="BZ27" s="20">
        <v>0</v>
      </c>
      <c r="CA27" s="20">
        <v>0</v>
      </c>
      <c r="CB27" s="20">
        <v>0</v>
      </c>
      <c r="CC27" s="20">
        <v>0</v>
      </c>
      <c r="CD27" s="20">
        <v>0</v>
      </c>
      <c r="CE27" s="20">
        <v>0</v>
      </c>
      <c r="CF27" s="20">
        <v>0</v>
      </c>
      <c r="CG27" s="20">
        <v>0</v>
      </c>
      <c r="CH27" s="20">
        <v>0</v>
      </c>
      <c r="CI27" s="20">
        <v>0</v>
      </c>
      <c r="CJ27" s="20">
        <v>0</v>
      </c>
      <c r="CK27" s="20">
        <v>0</v>
      </c>
      <c r="CL27" s="20">
        <v>0</v>
      </c>
      <c r="CM27" s="20">
        <v>0</v>
      </c>
      <c r="CN27" s="20">
        <v>0</v>
      </c>
      <c r="CO27" s="20">
        <v>0</v>
      </c>
      <c r="CP27" s="20">
        <v>0</v>
      </c>
      <c r="CQ27" s="20">
        <v>0</v>
      </c>
      <c r="CR27" s="20">
        <v>0</v>
      </c>
      <c r="CS27" s="20">
        <v>0</v>
      </c>
      <c r="CT27" s="20">
        <v>0</v>
      </c>
      <c r="CU27" s="20">
        <v>0</v>
      </c>
      <c r="CV27" s="20">
        <v>0</v>
      </c>
      <c r="CW27" s="20">
        <v>0</v>
      </c>
      <c r="CX27" s="20">
        <v>0</v>
      </c>
      <c r="CY27" s="20">
        <v>0</v>
      </c>
      <c r="CZ27" s="20">
        <v>0</v>
      </c>
      <c r="DA27" s="20">
        <v>0</v>
      </c>
      <c r="DB27" s="20">
        <v>0</v>
      </c>
      <c r="DC27" s="20">
        <v>0</v>
      </c>
      <c r="DD27" s="20">
        <v>0</v>
      </c>
      <c r="DE27" s="20">
        <v>0</v>
      </c>
      <c r="DF27" s="20">
        <v>0</v>
      </c>
      <c r="DG27" s="16">
        <f t="shared" si="4"/>
        <v>0</v>
      </c>
      <c r="DH27" s="16">
        <f t="shared" si="5"/>
        <v>0</v>
      </c>
      <c r="DI27" s="17" t="str">
        <f t="shared" si="6"/>
        <v/>
      </c>
      <c r="DJ27" s="119" t="s">
        <v>718</v>
      </c>
      <c r="DK27" s="44" t="s">
        <v>718</v>
      </c>
    </row>
    <row r="28" spans="1:117">
      <c r="A28" s="32" t="str">
        <f t="shared" si="7"/>
        <v>Powercor--˃ 11 kV &amp; &lt; = 22 kV ; MULTIPLE-PHASE</v>
      </c>
      <c r="B28" s="32" t="str">
        <f t="shared" si="8"/>
        <v>Powercor</v>
      </c>
      <c r="C28" s="416"/>
      <c r="D28" s="14"/>
      <c r="E28" s="15" t="s">
        <v>179</v>
      </c>
      <c r="F28" s="18">
        <v>40.9</v>
      </c>
      <c r="G28" s="18">
        <v>13.4</v>
      </c>
      <c r="H28" s="20">
        <v>431.5</v>
      </c>
      <c r="I28" s="20">
        <v>158.80000000000001</v>
      </c>
      <c r="J28" s="20">
        <v>292.5</v>
      </c>
      <c r="K28" s="20">
        <v>287.60000000000002</v>
      </c>
      <c r="L28" s="20">
        <v>316</v>
      </c>
      <c r="M28" s="20">
        <v>273.39999999999998</v>
      </c>
      <c r="N28" s="20">
        <v>405.5</v>
      </c>
      <c r="O28" s="20">
        <v>355.1</v>
      </c>
      <c r="P28" s="20">
        <v>338</v>
      </c>
      <c r="Q28" s="20">
        <v>362.3</v>
      </c>
      <c r="R28" s="20">
        <v>377.4</v>
      </c>
      <c r="S28" s="20">
        <v>302.89999999999998</v>
      </c>
      <c r="T28" s="20">
        <v>404.9</v>
      </c>
      <c r="U28" s="20">
        <v>388.3</v>
      </c>
      <c r="V28" s="20">
        <v>274.89999999999998</v>
      </c>
      <c r="W28" s="20">
        <v>187.6</v>
      </c>
      <c r="X28" s="20">
        <v>233</v>
      </c>
      <c r="Y28" s="20">
        <v>199.3</v>
      </c>
      <c r="Z28" s="20">
        <v>249</v>
      </c>
      <c r="AA28" s="20">
        <v>351.9</v>
      </c>
      <c r="AB28" s="20">
        <v>538</v>
      </c>
      <c r="AC28" s="20">
        <v>396.4</v>
      </c>
      <c r="AD28" s="20">
        <v>433.7</v>
      </c>
      <c r="AE28" s="20">
        <v>810.4</v>
      </c>
      <c r="AF28" s="20">
        <v>841.6</v>
      </c>
      <c r="AG28" s="20">
        <v>1094.3</v>
      </c>
      <c r="AH28" s="20">
        <v>757</v>
      </c>
      <c r="AI28" s="20">
        <v>997.9</v>
      </c>
      <c r="AJ28" s="20">
        <v>1032.7</v>
      </c>
      <c r="AK28" s="20">
        <v>1119.4000000000001</v>
      </c>
      <c r="AL28" s="20">
        <v>768.9</v>
      </c>
      <c r="AM28" s="20">
        <v>643.79999999999995</v>
      </c>
      <c r="AN28" s="20">
        <v>1015</v>
      </c>
      <c r="AO28" s="20">
        <v>970.5</v>
      </c>
      <c r="AP28" s="20">
        <v>286.39999999999998</v>
      </c>
      <c r="AQ28" s="20">
        <v>651.6</v>
      </c>
      <c r="AR28" s="20">
        <v>862.2</v>
      </c>
      <c r="AS28" s="20">
        <v>830</v>
      </c>
      <c r="AT28" s="20">
        <v>619.6</v>
      </c>
      <c r="AU28" s="20">
        <v>446.9</v>
      </c>
      <c r="AV28" s="20">
        <v>428.6</v>
      </c>
      <c r="AW28" s="20">
        <v>399.1</v>
      </c>
      <c r="AX28" s="20">
        <v>361.8</v>
      </c>
      <c r="AY28" s="20">
        <v>549</v>
      </c>
      <c r="AZ28" s="20">
        <v>868.3</v>
      </c>
      <c r="BA28" s="20">
        <v>900.8</v>
      </c>
      <c r="BB28" s="20">
        <v>925.8</v>
      </c>
      <c r="BC28" s="20">
        <v>1100.8</v>
      </c>
      <c r="BD28" s="20">
        <v>1295.9000000000001</v>
      </c>
      <c r="BE28" s="20">
        <v>1271.9000000000001</v>
      </c>
      <c r="BF28" s="20">
        <v>571.6</v>
      </c>
      <c r="BG28" s="20">
        <v>536.9</v>
      </c>
      <c r="BH28" s="20">
        <v>519.1</v>
      </c>
      <c r="BI28" s="20">
        <v>457.6</v>
      </c>
      <c r="BJ28" s="20">
        <v>416</v>
      </c>
      <c r="BK28" s="20">
        <v>408.4</v>
      </c>
      <c r="BL28" s="20">
        <v>373.3</v>
      </c>
      <c r="BM28" s="20">
        <v>79.8</v>
      </c>
      <c r="BN28" s="20">
        <v>173.9</v>
      </c>
      <c r="BO28" s="20">
        <v>123</v>
      </c>
      <c r="BP28" s="20">
        <v>82.3</v>
      </c>
      <c r="BQ28" s="20">
        <v>108.5</v>
      </c>
      <c r="BR28" s="20">
        <v>106.9</v>
      </c>
      <c r="BS28" s="20">
        <v>89.7</v>
      </c>
      <c r="BT28" s="20">
        <v>56.1</v>
      </c>
      <c r="BU28" s="20">
        <v>17.2</v>
      </c>
      <c r="BV28" s="20">
        <v>16.5</v>
      </c>
      <c r="BW28" s="20">
        <v>14</v>
      </c>
      <c r="BX28" s="20">
        <v>19.3</v>
      </c>
      <c r="BY28" s="20">
        <v>20.6</v>
      </c>
      <c r="BZ28" s="20">
        <v>5.5</v>
      </c>
      <c r="CA28" s="20">
        <v>29.4</v>
      </c>
      <c r="CB28" s="20">
        <v>57.9</v>
      </c>
      <c r="CC28" s="20">
        <v>136</v>
      </c>
      <c r="CD28" s="20">
        <v>111.6</v>
      </c>
      <c r="CE28" s="20">
        <v>189.6</v>
      </c>
      <c r="CF28" s="20">
        <v>63.8</v>
      </c>
      <c r="CG28" s="20">
        <v>33.299999999999997</v>
      </c>
      <c r="CH28" s="20">
        <v>6.3</v>
      </c>
      <c r="CI28" s="20">
        <v>6.2</v>
      </c>
      <c r="CJ28" s="20">
        <v>5.4</v>
      </c>
      <c r="CK28" s="20">
        <v>2.7</v>
      </c>
      <c r="CL28" s="20">
        <v>0.5</v>
      </c>
      <c r="CM28" s="20">
        <v>0.6</v>
      </c>
      <c r="CN28" s="20">
        <v>0</v>
      </c>
      <c r="CO28" s="20">
        <v>0</v>
      </c>
      <c r="CP28" s="20">
        <v>0</v>
      </c>
      <c r="CQ28" s="20">
        <v>0</v>
      </c>
      <c r="CR28" s="20">
        <v>0</v>
      </c>
      <c r="CS28" s="20">
        <v>0</v>
      </c>
      <c r="CT28" s="20">
        <v>0</v>
      </c>
      <c r="CU28" s="20">
        <v>0</v>
      </c>
      <c r="CV28" s="20">
        <v>0</v>
      </c>
      <c r="CW28" s="20">
        <v>0</v>
      </c>
      <c r="CX28" s="20">
        <v>0</v>
      </c>
      <c r="CY28" s="20">
        <v>0</v>
      </c>
      <c r="CZ28" s="20">
        <v>0</v>
      </c>
      <c r="DA28" s="20">
        <v>0</v>
      </c>
      <c r="DB28" s="20">
        <v>0</v>
      </c>
      <c r="DC28" s="20">
        <v>0</v>
      </c>
      <c r="DD28" s="20">
        <v>0</v>
      </c>
      <c r="DE28" s="20">
        <v>0</v>
      </c>
      <c r="DF28" s="20">
        <v>0</v>
      </c>
      <c r="DG28" s="16">
        <f t="shared" si="4"/>
        <v>34247.699999999997</v>
      </c>
      <c r="DH28" s="16">
        <f t="shared" si="5"/>
        <v>1183270.3999999999</v>
      </c>
      <c r="DI28" s="17">
        <f t="shared" si="6"/>
        <v>34.550361046143244</v>
      </c>
      <c r="DJ28" s="119" t="s">
        <v>718</v>
      </c>
      <c r="DK28" s="44" t="s">
        <v>718</v>
      </c>
    </row>
    <row r="29" spans="1:117">
      <c r="A29" s="32" t="str">
        <f t="shared" si="7"/>
        <v>Powercor--&gt; 22 kV &amp; &lt; = 66 kV</v>
      </c>
      <c r="B29" s="32" t="str">
        <f t="shared" si="8"/>
        <v>Powercor</v>
      </c>
      <c r="C29" s="416"/>
      <c r="D29" s="14"/>
      <c r="E29" s="15" t="s">
        <v>174</v>
      </c>
      <c r="F29" s="18">
        <v>40.9</v>
      </c>
      <c r="G29" s="18">
        <v>13.4</v>
      </c>
      <c r="H29" s="20">
        <v>37.799999999999997</v>
      </c>
      <c r="I29" s="20">
        <v>31.4</v>
      </c>
      <c r="J29" s="20">
        <v>57.6</v>
      </c>
      <c r="K29" s="20">
        <v>102.2</v>
      </c>
      <c r="L29" s="20">
        <v>56.6</v>
      </c>
      <c r="M29" s="20">
        <v>52.9</v>
      </c>
      <c r="N29" s="20">
        <v>82.9</v>
      </c>
      <c r="O29" s="20">
        <v>56.6</v>
      </c>
      <c r="P29" s="20">
        <v>43.6</v>
      </c>
      <c r="Q29" s="20">
        <v>123.2</v>
      </c>
      <c r="R29" s="20">
        <v>37.5</v>
      </c>
      <c r="S29" s="20">
        <v>37.4</v>
      </c>
      <c r="T29" s="20">
        <v>76.2</v>
      </c>
      <c r="U29" s="20">
        <v>29.5</v>
      </c>
      <c r="V29" s="20">
        <v>39.1</v>
      </c>
      <c r="W29" s="20">
        <v>5.6</v>
      </c>
      <c r="X29" s="20">
        <v>9.4</v>
      </c>
      <c r="Y29" s="20">
        <v>7</v>
      </c>
      <c r="Z29" s="20">
        <v>22.4</v>
      </c>
      <c r="AA29" s="20">
        <v>45.4</v>
      </c>
      <c r="AB29" s="20">
        <v>25</v>
      </c>
      <c r="AC29" s="20">
        <v>14.1</v>
      </c>
      <c r="AD29" s="20">
        <v>12.1</v>
      </c>
      <c r="AE29" s="20">
        <v>68.7</v>
      </c>
      <c r="AF29" s="20">
        <v>91.1</v>
      </c>
      <c r="AG29" s="20">
        <v>52.9</v>
      </c>
      <c r="AH29" s="20">
        <v>60.2</v>
      </c>
      <c r="AI29" s="20">
        <v>42.3</v>
      </c>
      <c r="AJ29" s="20">
        <v>44.8</v>
      </c>
      <c r="AK29" s="20">
        <v>155.9</v>
      </c>
      <c r="AL29" s="20">
        <v>95.9</v>
      </c>
      <c r="AM29" s="20">
        <v>75.3</v>
      </c>
      <c r="AN29" s="20">
        <v>146.30000000000001</v>
      </c>
      <c r="AO29" s="20">
        <v>108.1</v>
      </c>
      <c r="AP29" s="20">
        <v>18.8</v>
      </c>
      <c r="AQ29" s="20">
        <v>70.599999999999994</v>
      </c>
      <c r="AR29" s="20">
        <v>79.8</v>
      </c>
      <c r="AS29" s="20">
        <v>98.2</v>
      </c>
      <c r="AT29" s="20">
        <v>98.7</v>
      </c>
      <c r="AU29" s="20">
        <v>55.1</v>
      </c>
      <c r="AV29" s="20">
        <v>30.3</v>
      </c>
      <c r="AW29" s="20">
        <v>44.8</v>
      </c>
      <c r="AX29" s="20">
        <v>26.3</v>
      </c>
      <c r="AY29" s="20">
        <v>91.2</v>
      </c>
      <c r="AZ29" s="20">
        <v>68.599999999999994</v>
      </c>
      <c r="BA29" s="20">
        <v>19.399999999999999</v>
      </c>
      <c r="BB29" s="20">
        <v>54.7</v>
      </c>
      <c r="BC29" s="20">
        <v>49.3</v>
      </c>
      <c r="BD29" s="20">
        <v>39.799999999999997</v>
      </c>
      <c r="BE29" s="20">
        <v>61.2</v>
      </c>
      <c r="BF29" s="20">
        <v>31.4</v>
      </c>
      <c r="BG29" s="20">
        <v>25.8</v>
      </c>
      <c r="BH29" s="20">
        <v>37.4</v>
      </c>
      <c r="BI29" s="20">
        <v>15</v>
      </c>
      <c r="BJ29" s="20">
        <v>18.5</v>
      </c>
      <c r="BK29" s="20">
        <v>5.7</v>
      </c>
      <c r="BL29" s="20">
        <v>63.4</v>
      </c>
      <c r="BM29" s="20">
        <v>38.799999999999997</v>
      </c>
      <c r="BN29" s="20">
        <v>8.3000000000000007</v>
      </c>
      <c r="BO29" s="20">
        <v>2.4</v>
      </c>
      <c r="BP29" s="20">
        <v>8.5</v>
      </c>
      <c r="BQ29" s="20">
        <v>2.8</v>
      </c>
      <c r="BR29" s="20">
        <v>4</v>
      </c>
      <c r="BS29" s="20">
        <v>4.4000000000000004</v>
      </c>
      <c r="BT29" s="20">
        <v>1.8</v>
      </c>
      <c r="BU29" s="20">
        <v>2.5</v>
      </c>
      <c r="BV29" s="20">
        <v>0.5</v>
      </c>
      <c r="BW29" s="20">
        <v>0.8</v>
      </c>
      <c r="BX29" s="20">
        <v>0.4</v>
      </c>
      <c r="BY29" s="20">
        <v>0</v>
      </c>
      <c r="BZ29" s="20">
        <v>21.5</v>
      </c>
      <c r="CA29" s="20">
        <v>4.8</v>
      </c>
      <c r="CB29" s="20">
        <v>13.6</v>
      </c>
      <c r="CC29" s="20">
        <v>1.9</v>
      </c>
      <c r="CD29" s="20">
        <v>0.8</v>
      </c>
      <c r="CE29" s="20">
        <v>0.5</v>
      </c>
      <c r="CF29" s="20">
        <v>0.5</v>
      </c>
      <c r="CG29" s="20">
        <v>0.4</v>
      </c>
      <c r="CH29" s="20">
        <v>0.4</v>
      </c>
      <c r="CI29" s="20">
        <v>0.2</v>
      </c>
      <c r="CJ29" s="20">
        <v>0.1</v>
      </c>
      <c r="CK29" s="20">
        <v>0</v>
      </c>
      <c r="CL29" s="20">
        <v>0</v>
      </c>
      <c r="CM29" s="20">
        <v>0</v>
      </c>
      <c r="CN29" s="20">
        <v>0</v>
      </c>
      <c r="CO29" s="20">
        <v>0</v>
      </c>
      <c r="CP29" s="20">
        <v>0</v>
      </c>
      <c r="CQ29" s="20">
        <v>0</v>
      </c>
      <c r="CR29" s="20">
        <v>0</v>
      </c>
      <c r="CS29" s="20">
        <v>0</v>
      </c>
      <c r="CT29" s="20">
        <v>0</v>
      </c>
      <c r="CU29" s="20">
        <v>0</v>
      </c>
      <c r="CV29" s="20">
        <v>0</v>
      </c>
      <c r="CW29" s="20">
        <v>0</v>
      </c>
      <c r="CX29" s="20">
        <v>0</v>
      </c>
      <c r="CY29" s="20">
        <v>0</v>
      </c>
      <c r="CZ29" s="20">
        <v>0</v>
      </c>
      <c r="DA29" s="20">
        <v>0</v>
      </c>
      <c r="DB29" s="20">
        <v>0</v>
      </c>
      <c r="DC29" s="20">
        <v>0</v>
      </c>
      <c r="DD29" s="20">
        <v>0</v>
      </c>
      <c r="DE29" s="20">
        <v>0</v>
      </c>
      <c r="DF29" s="20">
        <v>0</v>
      </c>
      <c r="DG29" s="16">
        <f t="shared" si="4"/>
        <v>3170.9000000000015</v>
      </c>
      <c r="DH29" s="16">
        <f t="shared" si="5"/>
        <v>94141.000000000015</v>
      </c>
      <c r="DI29" s="17">
        <f t="shared" si="6"/>
        <v>29.689047273644697</v>
      </c>
      <c r="DJ29" s="119" t="s">
        <v>718</v>
      </c>
      <c r="DK29" s="44" t="s">
        <v>718</v>
      </c>
    </row>
    <row r="30" spans="1:117">
      <c r="A30" s="32" t="str">
        <f t="shared" si="7"/>
        <v>Powercor--&gt; 66 kV &amp; &lt; = 132 kV</v>
      </c>
      <c r="B30" s="32" t="str">
        <f t="shared" si="8"/>
        <v>Powercor</v>
      </c>
      <c r="C30" s="416"/>
      <c r="D30" s="14"/>
      <c r="E30" s="15" t="s">
        <v>175</v>
      </c>
      <c r="F30" s="18">
        <v>0</v>
      </c>
      <c r="G30" s="18">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0">
        <v>0</v>
      </c>
      <c r="AY30" s="20">
        <v>0</v>
      </c>
      <c r="AZ30" s="20">
        <v>0</v>
      </c>
      <c r="BA30" s="20">
        <v>0</v>
      </c>
      <c r="BB30" s="20">
        <v>0</v>
      </c>
      <c r="BC30" s="20">
        <v>0</v>
      </c>
      <c r="BD30" s="20">
        <v>0</v>
      </c>
      <c r="BE30" s="20">
        <v>0</v>
      </c>
      <c r="BF30" s="20">
        <v>0</v>
      </c>
      <c r="BG30" s="20">
        <v>0</v>
      </c>
      <c r="BH30" s="20">
        <v>0</v>
      </c>
      <c r="BI30" s="20">
        <v>0</v>
      </c>
      <c r="BJ30" s="20">
        <v>0</v>
      </c>
      <c r="BK30" s="20">
        <v>0</v>
      </c>
      <c r="BL30" s="20">
        <v>0</v>
      </c>
      <c r="BM30" s="20">
        <v>0</v>
      </c>
      <c r="BN30" s="20">
        <v>0</v>
      </c>
      <c r="BO30" s="20">
        <v>0</v>
      </c>
      <c r="BP30" s="20">
        <v>0</v>
      </c>
      <c r="BQ30" s="20">
        <v>0</v>
      </c>
      <c r="BR30" s="20">
        <v>0</v>
      </c>
      <c r="BS30" s="20">
        <v>0</v>
      </c>
      <c r="BT30" s="20">
        <v>0</v>
      </c>
      <c r="BU30" s="20">
        <v>0</v>
      </c>
      <c r="BV30" s="20">
        <v>0</v>
      </c>
      <c r="BW30" s="20">
        <v>0</v>
      </c>
      <c r="BX30" s="20">
        <v>0</v>
      </c>
      <c r="BY30" s="20">
        <v>0</v>
      </c>
      <c r="BZ30" s="20">
        <v>0</v>
      </c>
      <c r="CA30" s="20">
        <v>0</v>
      </c>
      <c r="CB30" s="20">
        <v>0</v>
      </c>
      <c r="CC30" s="20">
        <v>0</v>
      </c>
      <c r="CD30" s="20">
        <v>0</v>
      </c>
      <c r="CE30" s="20">
        <v>0</v>
      </c>
      <c r="CF30" s="20">
        <v>0</v>
      </c>
      <c r="CG30" s="20">
        <v>0</v>
      </c>
      <c r="CH30" s="20">
        <v>0</v>
      </c>
      <c r="CI30" s="20">
        <v>0</v>
      </c>
      <c r="CJ30" s="20">
        <v>0</v>
      </c>
      <c r="CK30" s="20">
        <v>0</v>
      </c>
      <c r="CL30" s="20">
        <v>0</v>
      </c>
      <c r="CM30" s="20">
        <v>0</v>
      </c>
      <c r="CN30" s="20">
        <v>0</v>
      </c>
      <c r="CO30" s="20">
        <v>0</v>
      </c>
      <c r="CP30" s="20">
        <v>0</v>
      </c>
      <c r="CQ30" s="20">
        <v>0</v>
      </c>
      <c r="CR30" s="20">
        <v>0</v>
      </c>
      <c r="CS30" s="20">
        <v>0</v>
      </c>
      <c r="CT30" s="20">
        <v>0</v>
      </c>
      <c r="CU30" s="20">
        <v>0</v>
      </c>
      <c r="CV30" s="20">
        <v>0</v>
      </c>
      <c r="CW30" s="20">
        <v>0</v>
      </c>
      <c r="CX30" s="20">
        <v>0</v>
      </c>
      <c r="CY30" s="20">
        <v>0</v>
      </c>
      <c r="CZ30" s="20">
        <v>0</v>
      </c>
      <c r="DA30" s="20">
        <v>0</v>
      </c>
      <c r="DB30" s="20">
        <v>0</v>
      </c>
      <c r="DC30" s="20">
        <v>0</v>
      </c>
      <c r="DD30" s="20">
        <v>0</v>
      </c>
      <c r="DE30" s="20">
        <v>0</v>
      </c>
      <c r="DF30" s="20">
        <v>0</v>
      </c>
      <c r="DG30" s="16">
        <f t="shared" si="4"/>
        <v>0</v>
      </c>
      <c r="DH30" s="16">
        <f t="shared" si="5"/>
        <v>0</v>
      </c>
      <c r="DI30" s="17" t="str">
        <f t="shared" si="6"/>
        <v/>
      </c>
      <c r="DJ30" s="119" t="s">
        <v>718</v>
      </c>
      <c r="DK30" s="44" t="s">
        <v>718</v>
      </c>
    </row>
    <row r="31" spans="1:117">
      <c r="A31" s="32" t="str">
        <f t="shared" si="7"/>
        <v>Powercor--&gt; 132 kV</v>
      </c>
      <c r="B31" s="32" t="str">
        <f t="shared" si="8"/>
        <v>Powercor</v>
      </c>
      <c r="C31" s="416"/>
      <c r="D31" s="14"/>
      <c r="E31" s="15" t="s">
        <v>176</v>
      </c>
      <c r="F31" s="18">
        <v>0</v>
      </c>
      <c r="G31" s="18">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0">
        <v>0</v>
      </c>
      <c r="AY31" s="20">
        <v>0</v>
      </c>
      <c r="AZ31" s="20">
        <v>0</v>
      </c>
      <c r="BA31" s="20">
        <v>0</v>
      </c>
      <c r="BB31" s="20">
        <v>0</v>
      </c>
      <c r="BC31" s="20">
        <v>0</v>
      </c>
      <c r="BD31" s="20">
        <v>0</v>
      </c>
      <c r="BE31" s="20">
        <v>0</v>
      </c>
      <c r="BF31" s="20">
        <v>0</v>
      </c>
      <c r="BG31" s="20">
        <v>0</v>
      </c>
      <c r="BH31" s="20">
        <v>0</v>
      </c>
      <c r="BI31" s="20">
        <v>0</v>
      </c>
      <c r="BJ31" s="20">
        <v>0</v>
      </c>
      <c r="BK31" s="20">
        <v>0</v>
      </c>
      <c r="BL31" s="20">
        <v>0</v>
      </c>
      <c r="BM31" s="20">
        <v>0</v>
      </c>
      <c r="BN31" s="20">
        <v>0</v>
      </c>
      <c r="BO31" s="20">
        <v>0</v>
      </c>
      <c r="BP31" s="20">
        <v>0</v>
      </c>
      <c r="BQ31" s="20">
        <v>0</v>
      </c>
      <c r="BR31" s="20">
        <v>0</v>
      </c>
      <c r="BS31" s="20">
        <v>0</v>
      </c>
      <c r="BT31" s="20">
        <v>0</v>
      </c>
      <c r="BU31" s="20">
        <v>0</v>
      </c>
      <c r="BV31" s="20">
        <v>0</v>
      </c>
      <c r="BW31" s="20">
        <v>0</v>
      </c>
      <c r="BX31" s="20">
        <v>0</v>
      </c>
      <c r="BY31" s="20">
        <v>0</v>
      </c>
      <c r="BZ31" s="20">
        <v>0</v>
      </c>
      <c r="CA31" s="20">
        <v>0</v>
      </c>
      <c r="CB31" s="20">
        <v>0</v>
      </c>
      <c r="CC31" s="20">
        <v>0</v>
      </c>
      <c r="CD31" s="20">
        <v>0</v>
      </c>
      <c r="CE31" s="20">
        <v>0</v>
      </c>
      <c r="CF31" s="20">
        <v>0</v>
      </c>
      <c r="CG31" s="20">
        <v>0</v>
      </c>
      <c r="CH31" s="20">
        <v>0</v>
      </c>
      <c r="CI31" s="20">
        <v>0</v>
      </c>
      <c r="CJ31" s="20">
        <v>0</v>
      </c>
      <c r="CK31" s="20">
        <v>0</v>
      </c>
      <c r="CL31" s="20">
        <v>0</v>
      </c>
      <c r="CM31" s="20">
        <v>0</v>
      </c>
      <c r="CN31" s="20">
        <v>0</v>
      </c>
      <c r="CO31" s="20">
        <v>0</v>
      </c>
      <c r="CP31" s="20">
        <v>0</v>
      </c>
      <c r="CQ31" s="20">
        <v>0</v>
      </c>
      <c r="CR31" s="20">
        <v>0</v>
      </c>
      <c r="CS31" s="20">
        <v>0</v>
      </c>
      <c r="CT31" s="20">
        <v>0</v>
      </c>
      <c r="CU31" s="20">
        <v>0</v>
      </c>
      <c r="CV31" s="20">
        <v>0</v>
      </c>
      <c r="CW31" s="20">
        <v>0</v>
      </c>
      <c r="CX31" s="20">
        <v>0</v>
      </c>
      <c r="CY31" s="20">
        <v>0</v>
      </c>
      <c r="CZ31" s="20">
        <v>0</v>
      </c>
      <c r="DA31" s="20">
        <v>0</v>
      </c>
      <c r="DB31" s="20">
        <v>0</v>
      </c>
      <c r="DC31" s="20">
        <v>0</v>
      </c>
      <c r="DD31" s="20">
        <v>0</v>
      </c>
      <c r="DE31" s="20">
        <v>0</v>
      </c>
      <c r="DF31" s="20">
        <v>0</v>
      </c>
      <c r="DG31" s="16">
        <f t="shared" si="4"/>
        <v>0</v>
      </c>
      <c r="DH31" s="16">
        <f t="shared" si="5"/>
        <v>0</v>
      </c>
      <c r="DI31" s="17" t="str">
        <f t="shared" si="6"/>
        <v/>
      </c>
      <c r="DJ31" s="119" t="s">
        <v>718</v>
      </c>
      <c r="DK31" s="44" t="s">
        <v>718</v>
      </c>
    </row>
    <row r="32" spans="1:117">
      <c r="A32" s="32" t="str">
        <f t="shared" si="7"/>
        <v>Powercor--PUBLIC LIGHTING CONDUCTOR</v>
      </c>
      <c r="B32" s="32" t="str">
        <f t="shared" si="8"/>
        <v>Powercor</v>
      </c>
      <c r="C32" s="416"/>
      <c r="D32" s="14"/>
      <c r="E32" s="15" t="s">
        <v>180</v>
      </c>
      <c r="F32" s="18">
        <v>40.9</v>
      </c>
      <c r="G32" s="18">
        <v>13.4</v>
      </c>
      <c r="H32" s="20">
        <v>1</v>
      </c>
      <c r="I32" s="20">
        <v>0.1</v>
      </c>
      <c r="J32" s="20">
        <v>0.1</v>
      </c>
      <c r="K32" s="20">
        <v>0.1</v>
      </c>
      <c r="L32" s="20">
        <v>0.1</v>
      </c>
      <c r="M32" s="20">
        <v>0.1</v>
      </c>
      <c r="N32" s="20">
        <v>0.1</v>
      </c>
      <c r="O32" s="20">
        <v>0.1</v>
      </c>
      <c r="P32" s="20">
        <v>0.1</v>
      </c>
      <c r="Q32" s="20">
        <v>0.1</v>
      </c>
      <c r="R32" s="20">
        <v>0.1</v>
      </c>
      <c r="S32" s="20">
        <v>0.1</v>
      </c>
      <c r="T32" s="20">
        <v>0.1</v>
      </c>
      <c r="U32" s="20">
        <v>0.1</v>
      </c>
      <c r="V32" s="20">
        <v>0.1</v>
      </c>
      <c r="W32" s="20">
        <v>0</v>
      </c>
      <c r="X32" s="20">
        <v>0.1</v>
      </c>
      <c r="Y32" s="20">
        <v>0</v>
      </c>
      <c r="Z32" s="20">
        <v>0.1</v>
      </c>
      <c r="AA32" s="20">
        <v>0.1</v>
      </c>
      <c r="AB32" s="20">
        <v>0.2</v>
      </c>
      <c r="AC32" s="20">
        <v>0.2</v>
      </c>
      <c r="AD32" s="20">
        <v>0.1</v>
      </c>
      <c r="AE32" s="20">
        <v>0.2</v>
      </c>
      <c r="AF32" s="20">
        <v>0.5</v>
      </c>
      <c r="AG32" s="20">
        <v>0.5</v>
      </c>
      <c r="AH32" s="20">
        <v>0.4</v>
      </c>
      <c r="AI32" s="20">
        <v>0.7</v>
      </c>
      <c r="AJ32" s="20">
        <v>0.6</v>
      </c>
      <c r="AK32" s="20">
        <v>0.6</v>
      </c>
      <c r="AL32" s="20">
        <v>0.5</v>
      </c>
      <c r="AM32" s="20">
        <v>0.4</v>
      </c>
      <c r="AN32" s="20">
        <v>0.5</v>
      </c>
      <c r="AO32" s="20">
        <v>0.9</v>
      </c>
      <c r="AP32" s="20">
        <v>0.3</v>
      </c>
      <c r="AQ32" s="20">
        <v>0.5</v>
      </c>
      <c r="AR32" s="20">
        <v>0.3</v>
      </c>
      <c r="AS32" s="20">
        <v>0.6</v>
      </c>
      <c r="AT32" s="20">
        <v>0.5</v>
      </c>
      <c r="AU32" s="20">
        <v>0.4</v>
      </c>
      <c r="AV32" s="20">
        <v>0.7</v>
      </c>
      <c r="AW32" s="20">
        <v>0.5</v>
      </c>
      <c r="AX32" s="20">
        <v>0.3</v>
      </c>
      <c r="AY32" s="20">
        <v>0.4</v>
      </c>
      <c r="AZ32" s="20">
        <v>0.5</v>
      </c>
      <c r="BA32" s="20">
        <v>0.5</v>
      </c>
      <c r="BB32" s="20">
        <v>0.5</v>
      </c>
      <c r="BC32" s="20">
        <v>0.3</v>
      </c>
      <c r="BD32" s="20">
        <v>0.4</v>
      </c>
      <c r="BE32" s="20">
        <v>0.4</v>
      </c>
      <c r="BF32" s="20">
        <v>0.2</v>
      </c>
      <c r="BG32" s="20">
        <v>0.3</v>
      </c>
      <c r="BH32" s="20">
        <v>0.2</v>
      </c>
      <c r="BI32" s="20">
        <v>0.2</v>
      </c>
      <c r="BJ32" s="20">
        <v>0.2</v>
      </c>
      <c r="BK32" s="20">
        <v>0.2</v>
      </c>
      <c r="BL32" s="20">
        <v>0.2</v>
      </c>
      <c r="BM32" s="20">
        <v>0</v>
      </c>
      <c r="BN32" s="20">
        <v>0.1</v>
      </c>
      <c r="BO32" s="20">
        <v>0.1</v>
      </c>
      <c r="BP32" s="20">
        <v>0.1</v>
      </c>
      <c r="BQ32" s="20">
        <v>0.1</v>
      </c>
      <c r="BR32" s="20">
        <v>0.1</v>
      </c>
      <c r="BS32" s="20">
        <v>0.1</v>
      </c>
      <c r="BT32" s="20">
        <v>0</v>
      </c>
      <c r="BU32" s="20">
        <v>0</v>
      </c>
      <c r="BV32" s="20">
        <v>0</v>
      </c>
      <c r="BW32" s="20">
        <v>0</v>
      </c>
      <c r="BX32" s="20">
        <v>0</v>
      </c>
      <c r="BY32" s="20">
        <v>0</v>
      </c>
      <c r="BZ32" s="20">
        <v>0</v>
      </c>
      <c r="CA32" s="20">
        <v>0</v>
      </c>
      <c r="CB32" s="20">
        <v>0.1</v>
      </c>
      <c r="CC32" s="20">
        <v>0.1</v>
      </c>
      <c r="CD32" s="20">
        <v>0.1</v>
      </c>
      <c r="CE32" s="20">
        <v>0.1</v>
      </c>
      <c r="CF32" s="20">
        <v>0</v>
      </c>
      <c r="CG32" s="20">
        <v>0</v>
      </c>
      <c r="CH32" s="20">
        <v>0</v>
      </c>
      <c r="CI32" s="20">
        <v>0</v>
      </c>
      <c r="CJ32" s="20">
        <v>0</v>
      </c>
      <c r="CK32" s="20">
        <v>0</v>
      </c>
      <c r="CL32" s="20">
        <v>0</v>
      </c>
      <c r="CM32" s="20">
        <v>0</v>
      </c>
      <c r="CN32" s="20">
        <v>0</v>
      </c>
      <c r="CO32" s="20">
        <v>0</v>
      </c>
      <c r="CP32" s="20">
        <v>0</v>
      </c>
      <c r="CQ32" s="20">
        <v>0</v>
      </c>
      <c r="CR32" s="20">
        <v>0</v>
      </c>
      <c r="CS32" s="20">
        <v>0</v>
      </c>
      <c r="CT32" s="20">
        <v>0</v>
      </c>
      <c r="CU32" s="20">
        <v>0</v>
      </c>
      <c r="CV32" s="20">
        <v>0</v>
      </c>
      <c r="CW32" s="20">
        <v>0</v>
      </c>
      <c r="CX32" s="20">
        <v>0</v>
      </c>
      <c r="CY32" s="20">
        <v>0</v>
      </c>
      <c r="CZ32" s="20">
        <v>0</v>
      </c>
      <c r="DA32" s="20">
        <v>0</v>
      </c>
      <c r="DB32" s="20">
        <v>0</v>
      </c>
      <c r="DC32" s="20">
        <v>0</v>
      </c>
      <c r="DD32" s="20">
        <v>0</v>
      </c>
      <c r="DE32" s="20">
        <v>0</v>
      </c>
      <c r="DF32" s="20">
        <v>0</v>
      </c>
      <c r="DG32" s="16">
        <f t="shared" si="4"/>
        <v>18.600000000000016</v>
      </c>
      <c r="DH32" s="16">
        <f t="shared" si="5"/>
        <v>649.5</v>
      </c>
      <c r="DI32" s="17">
        <f t="shared" si="6"/>
        <v>34.919354838709651</v>
      </c>
      <c r="DJ32" s="119" t="s">
        <v>718</v>
      </c>
      <c r="DK32" s="44" t="s">
        <v>718</v>
      </c>
    </row>
    <row r="33" spans="1:115">
      <c r="A33" s="32" t="str">
        <f t="shared" si="7"/>
        <v>Powercor--OTHER - PLEASE ADD A ROW IF NECESSARY AND NOMINATE THE CATEGORY</v>
      </c>
      <c r="B33" s="32" t="str">
        <f t="shared" si="8"/>
        <v>Powercor</v>
      </c>
      <c r="C33" s="416"/>
      <c r="D33" s="14"/>
      <c r="E33" s="15" t="s">
        <v>170</v>
      </c>
      <c r="F33" s="18"/>
      <c r="G33" s="18"/>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16">
        <f t="shared" si="4"/>
        <v>0</v>
      </c>
      <c r="DH33" s="16">
        <f t="shared" si="5"/>
        <v>0</v>
      </c>
      <c r="DI33" s="17" t="str">
        <f t="shared" si="6"/>
        <v/>
      </c>
      <c r="DJ33" s="119" t="s">
        <v>718</v>
      </c>
      <c r="DK33" s="44" t="s">
        <v>718</v>
      </c>
    </row>
    <row r="34" spans="1:115" ht="30">
      <c r="A34" s="32" t="str">
        <f t="shared" si="7"/>
        <v>Powercor-UNDERGROUND CABLES BY: 
HIGHEST OPERATING VOLTAGE-˂ = 1 kV</v>
      </c>
      <c r="B34" s="32" t="str">
        <f t="shared" si="8"/>
        <v>Powercor</v>
      </c>
      <c r="C34" s="416"/>
      <c r="D34" s="14" t="s">
        <v>539</v>
      </c>
      <c r="E34" s="15" t="s">
        <v>171</v>
      </c>
      <c r="F34" s="18">
        <v>70</v>
      </c>
      <c r="G34" s="18">
        <v>8.3699999999999992</v>
      </c>
      <c r="H34" s="20">
        <v>111.36</v>
      </c>
      <c r="I34" s="20">
        <v>157.51</v>
      </c>
      <c r="J34" s="20">
        <v>235.81</v>
      </c>
      <c r="K34" s="20">
        <v>264.83999999999997</v>
      </c>
      <c r="L34" s="20">
        <v>60.09</v>
      </c>
      <c r="M34" s="20">
        <v>197.06</v>
      </c>
      <c r="N34" s="20">
        <v>157.91</v>
      </c>
      <c r="O34" s="20">
        <v>165.2</v>
      </c>
      <c r="P34" s="20">
        <v>174.61</v>
      </c>
      <c r="Q34" s="20">
        <v>156.80000000000001</v>
      </c>
      <c r="R34" s="20">
        <v>226.1</v>
      </c>
      <c r="S34" s="20">
        <v>226.2</v>
      </c>
      <c r="T34" s="20">
        <v>120.79</v>
      </c>
      <c r="U34" s="20">
        <v>140.72</v>
      </c>
      <c r="V34" s="20">
        <v>145.57</v>
      </c>
      <c r="W34" s="20">
        <v>106.32</v>
      </c>
      <c r="X34" s="20">
        <v>68.08</v>
      </c>
      <c r="Y34" s="20">
        <v>42.29</v>
      </c>
      <c r="Z34" s="20">
        <v>48.25</v>
      </c>
      <c r="AA34" s="20">
        <v>61.1</v>
      </c>
      <c r="AB34" s="20">
        <v>73.44</v>
      </c>
      <c r="AC34" s="20">
        <v>56.95</v>
      </c>
      <c r="AD34" s="20">
        <v>55.74</v>
      </c>
      <c r="AE34" s="20">
        <v>63.02</v>
      </c>
      <c r="AF34" s="20">
        <v>60.29</v>
      </c>
      <c r="AG34" s="20">
        <v>50.58</v>
      </c>
      <c r="AH34" s="20">
        <v>33.18</v>
      </c>
      <c r="AI34" s="20">
        <v>37.53</v>
      </c>
      <c r="AJ34" s="20">
        <v>25.7</v>
      </c>
      <c r="AK34" s="20">
        <v>19.32</v>
      </c>
      <c r="AL34" s="20">
        <v>6.78</v>
      </c>
      <c r="AM34" s="20">
        <v>11.43</v>
      </c>
      <c r="AN34" s="20">
        <v>8.09</v>
      </c>
      <c r="AO34" s="20">
        <v>15.17</v>
      </c>
      <c r="AP34" s="20">
        <v>16.39</v>
      </c>
      <c r="AQ34" s="20">
        <v>12.65</v>
      </c>
      <c r="AR34" s="20">
        <v>26</v>
      </c>
      <c r="AS34" s="20">
        <v>36.72</v>
      </c>
      <c r="AT34" s="20">
        <v>7.99</v>
      </c>
      <c r="AU34" s="20">
        <v>2.12</v>
      </c>
      <c r="AV34" s="20">
        <v>12.85</v>
      </c>
      <c r="AW34" s="20">
        <v>1.82</v>
      </c>
      <c r="AX34" s="20">
        <v>1.32</v>
      </c>
      <c r="AY34" s="20">
        <v>1.01</v>
      </c>
      <c r="AZ34" s="20">
        <v>0.71</v>
      </c>
      <c r="BA34" s="20">
        <v>0.1</v>
      </c>
      <c r="BB34" s="20">
        <v>0.2</v>
      </c>
      <c r="BC34" s="20">
        <v>1.72</v>
      </c>
      <c r="BD34" s="20">
        <v>1.01</v>
      </c>
      <c r="BE34" s="20">
        <v>0.1</v>
      </c>
      <c r="BF34" s="20">
        <v>0</v>
      </c>
      <c r="BG34" s="20">
        <v>0</v>
      </c>
      <c r="BH34" s="20">
        <v>0</v>
      </c>
      <c r="BI34" s="20">
        <v>0</v>
      </c>
      <c r="BJ34" s="20">
        <v>0</v>
      </c>
      <c r="BK34" s="20">
        <v>0</v>
      </c>
      <c r="BL34" s="20">
        <v>0</v>
      </c>
      <c r="BM34" s="20">
        <v>0.81</v>
      </c>
      <c r="BN34" s="20">
        <v>0</v>
      </c>
      <c r="BO34" s="20">
        <v>0</v>
      </c>
      <c r="BP34" s="20">
        <v>0</v>
      </c>
      <c r="BQ34" s="20">
        <v>0</v>
      </c>
      <c r="BR34" s="20">
        <v>0</v>
      </c>
      <c r="BS34" s="20">
        <v>0</v>
      </c>
      <c r="BT34" s="20">
        <v>0</v>
      </c>
      <c r="BU34" s="20">
        <v>0</v>
      </c>
      <c r="BV34" s="20">
        <v>0</v>
      </c>
      <c r="BW34" s="20">
        <v>0</v>
      </c>
      <c r="BX34" s="20">
        <v>0</v>
      </c>
      <c r="BY34" s="20">
        <v>0</v>
      </c>
      <c r="BZ34" s="20">
        <v>0</v>
      </c>
      <c r="CA34" s="20">
        <v>0</v>
      </c>
      <c r="CB34" s="20">
        <v>0</v>
      </c>
      <c r="CC34" s="20">
        <v>0</v>
      </c>
      <c r="CD34" s="20">
        <v>0</v>
      </c>
      <c r="CE34" s="20">
        <v>0</v>
      </c>
      <c r="CF34" s="20">
        <v>0</v>
      </c>
      <c r="CG34" s="20">
        <v>0</v>
      </c>
      <c r="CH34" s="20">
        <v>0</v>
      </c>
      <c r="CI34" s="20">
        <v>0</v>
      </c>
      <c r="CJ34" s="20">
        <v>0</v>
      </c>
      <c r="CK34" s="20">
        <v>0</v>
      </c>
      <c r="CL34" s="20">
        <v>0</v>
      </c>
      <c r="CM34" s="20">
        <v>0</v>
      </c>
      <c r="CN34" s="20">
        <v>0</v>
      </c>
      <c r="CO34" s="20">
        <v>0</v>
      </c>
      <c r="CP34" s="20">
        <v>0</v>
      </c>
      <c r="CQ34" s="20">
        <v>0</v>
      </c>
      <c r="CR34" s="20">
        <v>0</v>
      </c>
      <c r="CS34" s="20">
        <v>0</v>
      </c>
      <c r="CT34" s="20">
        <v>0</v>
      </c>
      <c r="CU34" s="20">
        <v>0</v>
      </c>
      <c r="CV34" s="20">
        <v>0</v>
      </c>
      <c r="CW34" s="20">
        <v>0</v>
      </c>
      <c r="CX34" s="20">
        <v>0</v>
      </c>
      <c r="CY34" s="20">
        <v>0</v>
      </c>
      <c r="CZ34" s="20">
        <v>0</v>
      </c>
      <c r="DA34" s="20">
        <v>0</v>
      </c>
      <c r="DB34" s="20">
        <v>0</v>
      </c>
      <c r="DC34" s="20">
        <v>0</v>
      </c>
      <c r="DD34" s="20">
        <v>0</v>
      </c>
      <c r="DE34" s="20">
        <v>0</v>
      </c>
      <c r="DF34" s="20">
        <v>0</v>
      </c>
      <c r="DG34" s="16">
        <f t="shared" si="4"/>
        <v>3507.3499999999995</v>
      </c>
      <c r="DH34" s="16">
        <f t="shared" si="5"/>
        <v>43685.840000000018</v>
      </c>
      <c r="DI34" s="17">
        <f t="shared" si="6"/>
        <v>12.455511996236481</v>
      </c>
      <c r="DJ34" s="119" t="s">
        <v>572</v>
      </c>
      <c r="DK34" t="s">
        <v>572</v>
      </c>
    </row>
    <row r="35" spans="1:115">
      <c r="A35" s="32" t="str">
        <f t="shared" si="7"/>
        <v>Powercor--&gt; 1 kV &amp; &lt; = 11 kV</v>
      </c>
      <c r="B35" s="32" t="str">
        <f t="shared" si="8"/>
        <v>Powercor</v>
      </c>
      <c r="C35" s="416"/>
      <c r="D35" s="14"/>
      <c r="E35" s="15" t="s">
        <v>172</v>
      </c>
      <c r="F35" s="18">
        <v>70</v>
      </c>
      <c r="G35" s="18">
        <v>8.3699999999999992</v>
      </c>
      <c r="H35" s="20">
        <v>0.17</v>
      </c>
      <c r="I35" s="20">
        <v>0</v>
      </c>
      <c r="J35" s="20">
        <v>0</v>
      </c>
      <c r="K35" s="20">
        <v>0</v>
      </c>
      <c r="L35" s="20">
        <v>0.3</v>
      </c>
      <c r="M35" s="20">
        <v>0.71</v>
      </c>
      <c r="N35" s="20">
        <v>0.3</v>
      </c>
      <c r="O35" s="20">
        <v>0.61</v>
      </c>
      <c r="P35" s="20">
        <v>0.2</v>
      </c>
      <c r="Q35" s="20">
        <v>0.71</v>
      </c>
      <c r="R35" s="20">
        <v>0</v>
      </c>
      <c r="S35" s="20">
        <v>0</v>
      </c>
      <c r="T35" s="20">
        <v>0</v>
      </c>
      <c r="U35" s="20">
        <v>5.05</v>
      </c>
      <c r="V35" s="20">
        <v>0</v>
      </c>
      <c r="W35" s="20">
        <v>0.3</v>
      </c>
      <c r="X35" s="20">
        <v>3.23</v>
      </c>
      <c r="Y35" s="20">
        <v>0.1</v>
      </c>
      <c r="Z35" s="20">
        <v>0</v>
      </c>
      <c r="AA35" s="20">
        <v>0.1</v>
      </c>
      <c r="AB35" s="20">
        <v>0</v>
      </c>
      <c r="AC35" s="20">
        <v>0</v>
      </c>
      <c r="AD35" s="20">
        <v>0.4</v>
      </c>
      <c r="AE35" s="20">
        <v>0</v>
      </c>
      <c r="AF35" s="20">
        <v>0.2</v>
      </c>
      <c r="AG35" s="20">
        <v>0.1</v>
      </c>
      <c r="AH35" s="20">
        <v>0</v>
      </c>
      <c r="AI35" s="20">
        <v>1.72</v>
      </c>
      <c r="AJ35" s="20">
        <v>0</v>
      </c>
      <c r="AK35" s="20">
        <v>0</v>
      </c>
      <c r="AL35" s="20">
        <v>0</v>
      </c>
      <c r="AM35" s="20">
        <v>0</v>
      </c>
      <c r="AN35" s="20">
        <v>0.1</v>
      </c>
      <c r="AO35" s="20">
        <v>0</v>
      </c>
      <c r="AP35" s="20">
        <v>1.72</v>
      </c>
      <c r="AQ35" s="20">
        <v>0.1</v>
      </c>
      <c r="AR35" s="20">
        <v>0</v>
      </c>
      <c r="AS35" s="20">
        <v>0</v>
      </c>
      <c r="AT35" s="20">
        <v>0</v>
      </c>
      <c r="AU35" s="20">
        <v>0</v>
      </c>
      <c r="AV35" s="20">
        <v>0.2</v>
      </c>
      <c r="AW35" s="20">
        <v>0</v>
      </c>
      <c r="AX35" s="20">
        <v>0</v>
      </c>
      <c r="AY35" s="20">
        <v>0</v>
      </c>
      <c r="AZ35" s="20">
        <v>0</v>
      </c>
      <c r="BA35" s="20">
        <v>0</v>
      </c>
      <c r="BB35" s="20">
        <v>0</v>
      </c>
      <c r="BC35" s="20">
        <v>0</v>
      </c>
      <c r="BD35" s="20">
        <v>0</v>
      </c>
      <c r="BE35" s="20">
        <v>0</v>
      </c>
      <c r="BF35" s="20">
        <v>0</v>
      </c>
      <c r="BG35" s="20">
        <v>0</v>
      </c>
      <c r="BH35" s="20">
        <v>0</v>
      </c>
      <c r="BI35" s="20">
        <v>0</v>
      </c>
      <c r="BJ35" s="20">
        <v>0</v>
      </c>
      <c r="BK35" s="20">
        <v>0</v>
      </c>
      <c r="BL35" s="20">
        <v>0</v>
      </c>
      <c r="BM35" s="20">
        <v>0</v>
      </c>
      <c r="BN35" s="20">
        <v>0</v>
      </c>
      <c r="BO35" s="20">
        <v>0</v>
      </c>
      <c r="BP35" s="20">
        <v>0</v>
      </c>
      <c r="BQ35" s="20">
        <v>0</v>
      </c>
      <c r="BR35" s="20">
        <v>0</v>
      </c>
      <c r="BS35" s="20">
        <v>0</v>
      </c>
      <c r="BT35" s="20">
        <v>0</v>
      </c>
      <c r="BU35" s="20">
        <v>0</v>
      </c>
      <c r="BV35" s="20">
        <v>0</v>
      </c>
      <c r="BW35" s="20">
        <v>0</v>
      </c>
      <c r="BX35" s="20">
        <v>0</v>
      </c>
      <c r="BY35" s="20">
        <v>0</v>
      </c>
      <c r="BZ35" s="20">
        <v>0</v>
      </c>
      <c r="CA35" s="20">
        <v>0</v>
      </c>
      <c r="CB35" s="20">
        <v>0</v>
      </c>
      <c r="CC35" s="20">
        <v>0</v>
      </c>
      <c r="CD35" s="20">
        <v>0</v>
      </c>
      <c r="CE35" s="20">
        <v>0</v>
      </c>
      <c r="CF35" s="20">
        <v>0</v>
      </c>
      <c r="CG35" s="20">
        <v>0</v>
      </c>
      <c r="CH35" s="20">
        <v>0</v>
      </c>
      <c r="CI35" s="20">
        <v>0</v>
      </c>
      <c r="CJ35" s="20">
        <v>0</v>
      </c>
      <c r="CK35" s="20">
        <v>0</v>
      </c>
      <c r="CL35" s="20">
        <v>0</v>
      </c>
      <c r="CM35" s="20">
        <v>0</v>
      </c>
      <c r="CN35" s="20">
        <v>0</v>
      </c>
      <c r="CO35" s="20">
        <v>0</v>
      </c>
      <c r="CP35" s="20">
        <v>0</v>
      </c>
      <c r="CQ35" s="20">
        <v>0</v>
      </c>
      <c r="CR35" s="20">
        <v>0</v>
      </c>
      <c r="CS35" s="20">
        <v>0</v>
      </c>
      <c r="CT35" s="20">
        <v>0</v>
      </c>
      <c r="CU35" s="20">
        <v>0</v>
      </c>
      <c r="CV35" s="20">
        <v>0</v>
      </c>
      <c r="CW35" s="20">
        <v>0</v>
      </c>
      <c r="CX35" s="20">
        <v>0</v>
      </c>
      <c r="CY35" s="20">
        <v>0</v>
      </c>
      <c r="CZ35" s="20">
        <v>0</v>
      </c>
      <c r="DA35" s="20">
        <v>0</v>
      </c>
      <c r="DB35" s="20">
        <v>0</v>
      </c>
      <c r="DC35" s="20">
        <v>0</v>
      </c>
      <c r="DD35" s="20">
        <v>0</v>
      </c>
      <c r="DE35" s="20">
        <v>0</v>
      </c>
      <c r="DF35" s="20">
        <v>0</v>
      </c>
      <c r="DG35" s="16">
        <f t="shared" si="4"/>
        <v>16.32</v>
      </c>
      <c r="DH35" s="16">
        <f t="shared" si="5"/>
        <v>296.28000000000003</v>
      </c>
      <c r="DI35" s="17">
        <f t="shared" si="6"/>
        <v>18.154411764705884</v>
      </c>
      <c r="DJ35" s="119" t="s">
        <v>572</v>
      </c>
      <c r="DK35" s="44" t="s">
        <v>572</v>
      </c>
    </row>
    <row r="36" spans="1:115">
      <c r="A36" s="32" t="str">
        <f t="shared" si="7"/>
        <v>Powercor--&gt; 11 kV &amp; &lt; = 22 kV</v>
      </c>
      <c r="B36" s="32" t="str">
        <f t="shared" si="8"/>
        <v>Powercor</v>
      </c>
      <c r="C36" s="416"/>
      <c r="D36" s="14"/>
      <c r="E36" s="15" t="s">
        <v>181</v>
      </c>
      <c r="F36" s="18">
        <v>70</v>
      </c>
      <c r="G36" s="18">
        <v>8.3699999999999992</v>
      </c>
      <c r="H36" s="20">
        <v>76.14</v>
      </c>
      <c r="I36" s="20">
        <v>44.6</v>
      </c>
      <c r="J36" s="20">
        <v>82.11</v>
      </c>
      <c r="K36" s="20">
        <v>80.81</v>
      </c>
      <c r="L36" s="20">
        <v>39.700000000000003</v>
      </c>
      <c r="M36" s="20">
        <v>111.91</v>
      </c>
      <c r="N36" s="20">
        <v>80.510000000000005</v>
      </c>
      <c r="O36" s="20">
        <v>82.91</v>
      </c>
      <c r="P36" s="20">
        <v>86.81</v>
      </c>
      <c r="Q36" s="20">
        <v>67.41</v>
      </c>
      <c r="R36" s="20">
        <v>82.11</v>
      </c>
      <c r="S36" s="20">
        <v>70.510000000000005</v>
      </c>
      <c r="T36" s="20">
        <v>52.1</v>
      </c>
      <c r="U36" s="20">
        <v>73.510000000000005</v>
      </c>
      <c r="V36" s="20">
        <v>71.709999999999994</v>
      </c>
      <c r="W36" s="20">
        <v>47.4</v>
      </c>
      <c r="X36" s="20">
        <v>44.6</v>
      </c>
      <c r="Y36" s="20">
        <v>32.6</v>
      </c>
      <c r="Z36" s="20">
        <v>24.1</v>
      </c>
      <c r="AA36" s="20">
        <v>37.1</v>
      </c>
      <c r="AB36" s="20">
        <v>30.9</v>
      </c>
      <c r="AC36" s="20">
        <v>16.5</v>
      </c>
      <c r="AD36" s="20">
        <v>21.1</v>
      </c>
      <c r="AE36" s="20">
        <v>19.600000000000001</v>
      </c>
      <c r="AF36" s="20">
        <v>16</v>
      </c>
      <c r="AG36" s="20">
        <v>22.6</v>
      </c>
      <c r="AH36" s="20">
        <v>11.3</v>
      </c>
      <c r="AI36" s="20">
        <v>14.1</v>
      </c>
      <c r="AJ36" s="20">
        <v>11.7</v>
      </c>
      <c r="AK36" s="20">
        <v>9.6</v>
      </c>
      <c r="AL36" s="20">
        <v>5.3</v>
      </c>
      <c r="AM36" s="20">
        <v>5</v>
      </c>
      <c r="AN36" s="20">
        <v>4</v>
      </c>
      <c r="AO36" s="20">
        <v>5.4</v>
      </c>
      <c r="AP36" s="20">
        <v>6.8</v>
      </c>
      <c r="AQ36" s="20">
        <v>4.9000000000000004</v>
      </c>
      <c r="AR36" s="20">
        <v>8.1</v>
      </c>
      <c r="AS36" s="20">
        <v>9.5</v>
      </c>
      <c r="AT36" s="20">
        <v>0.8</v>
      </c>
      <c r="AU36" s="20">
        <v>3.5</v>
      </c>
      <c r="AV36" s="20">
        <v>0.8</v>
      </c>
      <c r="AW36" s="20">
        <v>0.7</v>
      </c>
      <c r="AX36" s="20">
        <v>0.9</v>
      </c>
      <c r="AY36" s="20">
        <v>1.2</v>
      </c>
      <c r="AZ36" s="20">
        <v>0.7</v>
      </c>
      <c r="BA36" s="20">
        <v>3</v>
      </c>
      <c r="BB36" s="20">
        <v>0.2</v>
      </c>
      <c r="BC36" s="20">
        <v>6.1</v>
      </c>
      <c r="BD36" s="20">
        <v>0.1</v>
      </c>
      <c r="BE36" s="20">
        <v>0</v>
      </c>
      <c r="BF36" s="20">
        <v>0.1</v>
      </c>
      <c r="BG36" s="20">
        <v>0</v>
      </c>
      <c r="BH36" s="20">
        <v>0</v>
      </c>
      <c r="BI36" s="20">
        <v>0.1</v>
      </c>
      <c r="BJ36" s="20">
        <v>0</v>
      </c>
      <c r="BK36" s="20">
        <v>0.1</v>
      </c>
      <c r="BL36" s="20">
        <v>0</v>
      </c>
      <c r="BM36" s="20">
        <v>0.7</v>
      </c>
      <c r="BN36" s="20">
        <v>0</v>
      </c>
      <c r="BO36" s="20">
        <v>0</v>
      </c>
      <c r="BP36" s="20">
        <v>0</v>
      </c>
      <c r="BQ36" s="20">
        <v>0.1</v>
      </c>
      <c r="BR36" s="20">
        <v>0</v>
      </c>
      <c r="BS36" s="20">
        <v>0</v>
      </c>
      <c r="BT36" s="20">
        <v>0.1</v>
      </c>
      <c r="BU36" s="20">
        <v>0</v>
      </c>
      <c r="BV36" s="20">
        <v>0</v>
      </c>
      <c r="BW36" s="20">
        <v>0</v>
      </c>
      <c r="BX36" s="20">
        <v>0</v>
      </c>
      <c r="BY36" s="20">
        <v>0</v>
      </c>
      <c r="BZ36" s="20">
        <v>0</v>
      </c>
      <c r="CA36" s="20">
        <v>0</v>
      </c>
      <c r="CB36" s="20">
        <v>0</v>
      </c>
      <c r="CC36" s="20">
        <v>0</v>
      </c>
      <c r="CD36" s="20">
        <v>0</v>
      </c>
      <c r="CE36" s="20">
        <v>0</v>
      </c>
      <c r="CF36" s="20">
        <v>0</v>
      </c>
      <c r="CG36" s="20">
        <v>0</v>
      </c>
      <c r="CH36" s="20">
        <v>0</v>
      </c>
      <c r="CI36" s="20">
        <v>0</v>
      </c>
      <c r="CJ36" s="20">
        <v>0</v>
      </c>
      <c r="CK36" s="20">
        <v>0</v>
      </c>
      <c r="CL36" s="20">
        <v>0</v>
      </c>
      <c r="CM36" s="20">
        <v>0</v>
      </c>
      <c r="CN36" s="20">
        <v>0</v>
      </c>
      <c r="CO36" s="20">
        <v>0</v>
      </c>
      <c r="CP36" s="20">
        <v>0</v>
      </c>
      <c r="CQ36" s="20">
        <v>0</v>
      </c>
      <c r="CR36" s="20">
        <v>0</v>
      </c>
      <c r="CS36" s="20">
        <v>0</v>
      </c>
      <c r="CT36" s="20">
        <v>0</v>
      </c>
      <c r="CU36" s="20">
        <v>0</v>
      </c>
      <c r="CV36" s="20">
        <v>0</v>
      </c>
      <c r="CW36" s="20">
        <v>0</v>
      </c>
      <c r="CX36" s="20">
        <v>0</v>
      </c>
      <c r="CY36" s="20">
        <v>0</v>
      </c>
      <c r="CZ36" s="20">
        <v>0</v>
      </c>
      <c r="DA36" s="20">
        <v>0</v>
      </c>
      <c r="DB36" s="20">
        <v>0</v>
      </c>
      <c r="DC36" s="20">
        <v>0</v>
      </c>
      <c r="DD36" s="20">
        <v>0</v>
      </c>
      <c r="DE36" s="20">
        <v>0</v>
      </c>
      <c r="DF36" s="20">
        <v>0</v>
      </c>
      <c r="DG36" s="16">
        <f t="shared" si="4"/>
        <v>1530.2499999999991</v>
      </c>
      <c r="DH36" s="16">
        <f t="shared" si="5"/>
        <v>18990.129999999997</v>
      </c>
      <c r="DI36" s="17">
        <f t="shared" si="6"/>
        <v>12.409821924522143</v>
      </c>
      <c r="DJ36" s="119" t="s">
        <v>572</v>
      </c>
      <c r="DK36" s="44" t="s">
        <v>572</v>
      </c>
    </row>
    <row r="37" spans="1:115">
      <c r="A37" s="32" t="str">
        <f t="shared" si="7"/>
        <v>Powercor--&gt; 22 kV &amp; &lt; = 33 kV</v>
      </c>
      <c r="B37" s="32" t="str">
        <f t="shared" si="8"/>
        <v>Powercor</v>
      </c>
      <c r="C37" s="416"/>
      <c r="D37" s="14"/>
      <c r="E37" s="15" t="s">
        <v>182</v>
      </c>
      <c r="F37" s="18">
        <v>0</v>
      </c>
      <c r="G37" s="18">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0">
        <v>0</v>
      </c>
      <c r="AY37" s="20">
        <v>0</v>
      </c>
      <c r="AZ37" s="20">
        <v>0</v>
      </c>
      <c r="BA37" s="20">
        <v>0</v>
      </c>
      <c r="BB37" s="20">
        <v>0</v>
      </c>
      <c r="BC37" s="20">
        <v>0</v>
      </c>
      <c r="BD37" s="20">
        <v>0</v>
      </c>
      <c r="BE37" s="20">
        <v>0</v>
      </c>
      <c r="BF37" s="20">
        <v>0</v>
      </c>
      <c r="BG37" s="20">
        <v>0</v>
      </c>
      <c r="BH37" s="20">
        <v>0</v>
      </c>
      <c r="BI37" s="20">
        <v>0</v>
      </c>
      <c r="BJ37" s="20">
        <v>0</v>
      </c>
      <c r="BK37" s="20">
        <v>0</v>
      </c>
      <c r="BL37" s="20">
        <v>0</v>
      </c>
      <c r="BM37" s="20">
        <v>0</v>
      </c>
      <c r="BN37" s="20">
        <v>0</v>
      </c>
      <c r="BO37" s="20">
        <v>0</v>
      </c>
      <c r="BP37" s="20">
        <v>0</v>
      </c>
      <c r="BQ37" s="20">
        <v>0</v>
      </c>
      <c r="BR37" s="20">
        <v>0</v>
      </c>
      <c r="BS37" s="20">
        <v>0</v>
      </c>
      <c r="BT37" s="20">
        <v>0</v>
      </c>
      <c r="BU37" s="20">
        <v>0</v>
      </c>
      <c r="BV37" s="20">
        <v>0</v>
      </c>
      <c r="BW37" s="20">
        <v>0</v>
      </c>
      <c r="BX37" s="20">
        <v>0</v>
      </c>
      <c r="BY37" s="20">
        <v>0</v>
      </c>
      <c r="BZ37" s="20">
        <v>0</v>
      </c>
      <c r="CA37" s="20">
        <v>0</v>
      </c>
      <c r="CB37" s="20">
        <v>0</v>
      </c>
      <c r="CC37" s="20">
        <v>0</v>
      </c>
      <c r="CD37" s="20">
        <v>0</v>
      </c>
      <c r="CE37" s="20">
        <v>0</v>
      </c>
      <c r="CF37" s="20">
        <v>0</v>
      </c>
      <c r="CG37" s="20">
        <v>0</v>
      </c>
      <c r="CH37" s="20">
        <v>0</v>
      </c>
      <c r="CI37" s="20">
        <v>0</v>
      </c>
      <c r="CJ37" s="20">
        <v>0</v>
      </c>
      <c r="CK37" s="20">
        <v>0</v>
      </c>
      <c r="CL37" s="20">
        <v>0</v>
      </c>
      <c r="CM37" s="20">
        <v>0</v>
      </c>
      <c r="CN37" s="20">
        <v>0</v>
      </c>
      <c r="CO37" s="20">
        <v>0</v>
      </c>
      <c r="CP37" s="20">
        <v>0</v>
      </c>
      <c r="CQ37" s="20">
        <v>0</v>
      </c>
      <c r="CR37" s="20">
        <v>0</v>
      </c>
      <c r="CS37" s="20">
        <v>0</v>
      </c>
      <c r="CT37" s="20">
        <v>0</v>
      </c>
      <c r="CU37" s="20">
        <v>0</v>
      </c>
      <c r="CV37" s="20">
        <v>0</v>
      </c>
      <c r="CW37" s="20">
        <v>0</v>
      </c>
      <c r="CX37" s="20">
        <v>0</v>
      </c>
      <c r="CY37" s="20">
        <v>0</v>
      </c>
      <c r="CZ37" s="20">
        <v>0</v>
      </c>
      <c r="DA37" s="20">
        <v>0</v>
      </c>
      <c r="DB37" s="20">
        <v>0</v>
      </c>
      <c r="DC37" s="20">
        <v>0</v>
      </c>
      <c r="DD37" s="20">
        <v>0</v>
      </c>
      <c r="DE37" s="20">
        <v>0</v>
      </c>
      <c r="DF37" s="20">
        <v>0</v>
      </c>
      <c r="DG37" s="16">
        <f t="shared" si="4"/>
        <v>0</v>
      </c>
      <c r="DH37" s="16">
        <f t="shared" si="5"/>
        <v>0</v>
      </c>
      <c r="DI37" s="17" t="str">
        <f t="shared" si="6"/>
        <v/>
      </c>
      <c r="DJ37" s="119" t="s">
        <v>572</v>
      </c>
      <c r="DK37" s="44" t="s">
        <v>572</v>
      </c>
    </row>
    <row r="38" spans="1:115">
      <c r="A38" s="32" t="str">
        <f t="shared" si="7"/>
        <v>Powercor--&gt; 33 kV &amp; &lt; = 66 kV</v>
      </c>
      <c r="B38" s="32" t="str">
        <f t="shared" si="8"/>
        <v>Powercor</v>
      </c>
      <c r="C38" s="416"/>
      <c r="D38" s="14"/>
      <c r="E38" s="15" t="s">
        <v>183</v>
      </c>
      <c r="F38" s="18">
        <v>70</v>
      </c>
      <c r="G38" s="18">
        <v>8.3699999999999992</v>
      </c>
      <c r="H38" s="20">
        <v>0</v>
      </c>
      <c r="I38" s="20">
        <v>0</v>
      </c>
      <c r="J38" s="20">
        <v>0</v>
      </c>
      <c r="K38" s="20">
        <v>0</v>
      </c>
      <c r="L38" s="20">
        <v>0</v>
      </c>
      <c r="M38" s="20">
        <v>0</v>
      </c>
      <c r="N38" s="20">
        <v>0.09</v>
      </c>
      <c r="O38" s="20">
        <v>0</v>
      </c>
      <c r="P38" s="20">
        <v>0.26</v>
      </c>
      <c r="Q38" s="20">
        <v>1.79</v>
      </c>
      <c r="R38" s="20">
        <v>0.26</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0.17</v>
      </c>
      <c r="AJ38" s="20">
        <v>0</v>
      </c>
      <c r="AK38" s="20">
        <v>0</v>
      </c>
      <c r="AL38" s="20">
        <v>0</v>
      </c>
      <c r="AM38" s="20">
        <v>0</v>
      </c>
      <c r="AN38" s="20">
        <v>0</v>
      </c>
      <c r="AO38" s="20">
        <v>0</v>
      </c>
      <c r="AP38" s="20">
        <v>0</v>
      </c>
      <c r="AQ38" s="20">
        <v>0</v>
      </c>
      <c r="AR38" s="20">
        <v>0</v>
      </c>
      <c r="AS38" s="20">
        <v>0</v>
      </c>
      <c r="AT38" s="20">
        <v>0</v>
      </c>
      <c r="AU38" s="20">
        <v>0</v>
      </c>
      <c r="AV38" s="20">
        <v>0</v>
      </c>
      <c r="AW38" s="20">
        <v>0</v>
      </c>
      <c r="AX38" s="20">
        <v>0</v>
      </c>
      <c r="AY38" s="20">
        <v>0</v>
      </c>
      <c r="AZ38" s="20">
        <v>0</v>
      </c>
      <c r="BA38" s="20">
        <v>0</v>
      </c>
      <c r="BB38" s="20">
        <v>0</v>
      </c>
      <c r="BC38" s="20">
        <v>0</v>
      </c>
      <c r="BD38" s="20">
        <v>0</v>
      </c>
      <c r="BE38" s="20">
        <v>0</v>
      </c>
      <c r="BF38" s="20">
        <v>0</v>
      </c>
      <c r="BG38" s="20">
        <v>0</v>
      </c>
      <c r="BH38" s="20">
        <v>0</v>
      </c>
      <c r="BI38" s="20">
        <v>0</v>
      </c>
      <c r="BJ38" s="20">
        <v>0</v>
      </c>
      <c r="BK38" s="20">
        <v>0</v>
      </c>
      <c r="BL38" s="20">
        <v>0</v>
      </c>
      <c r="BM38" s="20">
        <v>0</v>
      </c>
      <c r="BN38" s="20">
        <v>0</v>
      </c>
      <c r="BO38" s="20">
        <v>0</v>
      </c>
      <c r="BP38" s="20">
        <v>0</v>
      </c>
      <c r="BQ38" s="20">
        <v>0</v>
      </c>
      <c r="BR38" s="20">
        <v>0</v>
      </c>
      <c r="BS38" s="20">
        <v>0</v>
      </c>
      <c r="BT38" s="20">
        <v>0</v>
      </c>
      <c r="BU38" s="20">
        <v>0</v>
      </c>
      <c r="BV38" s="20">
        <v>0</v>
      </c>
      <c r="BW38" s="20">
        <v>0</v>
      </c>
      <c r="BX38" s="20">
        <v>0</v>
      </c>
      <c r="BY38" s="20">
        <v>0</v>
      </c>
      <c r="BZ38" s="20">
        <v>0</v>
      </c>
      <c r="CA38" s="20">
        <v>0</v>
      </c>
      <c r="CB38" s="20">
        <v>0</v>
      </c>
      <c r="CC38" s="20">
        <v>0</v>
      </c>
      <c r="CD38" s="20">
        <v>0</v>
      </c>
      <c r="CE38" s="20">
        <v>0</v>
      </c>
      <c r="CF38" s="20">
        <v>0</v>
      </c>
      <c r="CG38" s="20">
        <v>0</v>
      </c>
      <c r="CH38" s="20">
        <v>0</v>
      </c>
      <c r="CI38" s="20">
        <v>0</v>
      </c>
      <c r="CJ38" s="20">
        <v>0</v>
      </c>
      <c r="CK38" s="20">
        <v>0</v>
      </c>
      <c r="CL38" s="20">
        <v>0</v>
      </c>
      <c r="CM38" s="20">
        <v>0</v>
      </c>
      <c r="CN38" s="20">
        <v>0</v>
      </c>
      <c r="CO38" s="20">
        <v>0</v>
      </c>
      <c r="CP38" s="20">
        <v>0</v>
      </c>
      <c r="CQ38" s="20">
        <v>0</v>
      </c>
      <c r="CR38" s="20">
        <v>0</v>
      </c>
      <c r="CS38" s="20">
        <v>0</v>
      </c>
      <c r="CT38" s="20">
        <v>0</v>
      </c>
      <c r="CU38" s="20">
        <v>0</v>
      </c>
      <c r="CV38" s="20">
        <v>0</v>
      </c>
      <c r="CW38" s="20">
        <v>0</v>
      </c>
      <c r="CX38" s="20">
        <v>0</v>
      </c>
      <c r="CY38" s="20">
        <v>0</v>
      </c>
      <c r="CZ38" s="20">
        <v>0</v>
      </c>
      <c r="DA38" s="20">
        <v>0</v>
      </c>
      <c r="DB38" s="20">
        <v>0</v>
      </c>
      <c r="DC38" s="20">
        <v>0</v>
      </c>
      <c r="DD38" s="20">
        <v>0</v>
      </c>
      <c r="DE38" s="20">
        <v>0</v>
      </c>
      <c r="DF38" s="20">
        <v>0</v>
      </c>
      <c r="DG38" s="16">
        <f t="shared" si="4"/>
        <v>2.5700000000000003</v>
      </c>
      <c r="DH38" s="16">
        <f t="shared" si="5"/>
        <v>28.49</v>
      </c>
      <c r="DI38" s="17">
        <f t="shared" si="6"/>
        <v>11.085603112840465</v>
      </c>
      <c r="DJ38" s="119" t="s">
        <v>572</v>
      </c>
      <c r="DK38" s="44" t="s">
        <v>572</v>
      </c>
    </row>
    <row r="39" spans="1:115">
      <c r="A39" s="32" t="str">
        <f t="shared" si="7"/>
        <v>Powercor--&gt; 66 kV &amp; &lt; = 132 kV</v>
      </c>
      <c r="B39" s="32" t="str">
        <f t="shared" si="8"/>
        <v>Powercor</v>
      </c>
      <c r="C39" s="416"/>
      <c r="D39" s="14"/>
      <c r="E39" s="15" t="s">
        <v>175</v>
      </c>
      <c r="F39" s="18">
        <v>0</v>
      </c>
      <c r="G39" s="18">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0">
        <v>0</v>
      </c>
      <c r="AY39" s="20">
        <v>0</v>
      </c>
      <c r="AZ39" s="20">
        <v>0</v>
      </c>
      <c r="BA39" s="20">
        <v>0</v>
      </c>
      <c r="BB39" s="20">
        <v>0</v>
      </c>
      <c r="BC39" s="20">
        <v>0</v>
      </c>
      <c r="BD39" s="20">
        <v>0</v>
      </c>
      <c r="BE39" s="20">
        <v>0</v>
      </c>
      <c r="BF39" s="20">
        <v>0</v>
      </c>
      <c r="BG39" s="20">
        <v>0</v>
      </c>
      <c r="BH39" s="20">
        <v>0</v>
      </c>
      <c r="BI39" s="20">
        <v>0</v>
      </c>
      <c r="BJ39" s="20">
        <v>0</v>
      </c>
      <c r="BK39" s="20">
        <v>0</v>
      </c>
      <c r="BL39" s="20">
        <v>0</v>
      </c>
      <c r="BM39" s="20">
        <v>0</v>
      </c>
      <c r="BN39" s="20">
        <v>0</v>
      </c>
      <c r="BO39" s="20">
        <v>0</v>
      </c>
      <c r="BP39" s="20">
        <v>0</v>
      </c>
      <c r="BQ39" s="20">
        <v>0</v>
      </c>
      <c r="BR39" s="20">
        <v>0</v>
      </c>
      <c r="BS39" s="20">
        <v>0</v>
      </c>
      <c r="BT39" s="20">
        <v>0</v>
      </c>
      <c r="BU39" s="20">
        <v>0</v>
      </c>
      <c r="BV39" s="20">
        <v>0</v>
      </c>
      <c r="BW39" s="20">
        <v>0</v>
      </c>
      <c r="BX39" s="20">
        <v>0</v>
      </c>
      <c r="BY39" s="20">
        <v>0</v>
      </c>
      <c r="BZ39" s="20">
        <v>0</v>
      </c>
      <c r="CA39" s="20">
        <v>0</v>
      </c>
      <c r="CB39" s="20">
        <v>0</v>
      </c>
      <c r="CC39" s="20">
        <v>0</v>
      </c>
      <c r="CD39" s="20">
        <v>0</v>
      </c>
      <c r="CE39" s="20">
        <v>0</v>
      </c>
      <c r="CF39" s="20">
        <v>0</v>
      </c>
      <c r="CG39" s="20">
        <v>0</v>
      </c>
      <c r="CH39" s="20">
        <v>0</v>
      </c>
      <c r="CI39" s="20">
        <v>0</v>
      </c>
      <c r="CJ39" s="20">
        <v>0</v>
      </c>
      <c r="CK39" s="20">
        <v>0</v>
      </c>
      <c r="CL39" s="20">
        <v>0</v>
      </c>
      <c r="CM39" s="20">
        <v>0</v>
      </c>
      <c r="CN39" s="20">
        <v>0</v>
      </c>
      <c r="CO39" s="20">
        <v>0</v>
      </c>
      <c r="CP39" s="20">
        <v>0</v>
      </c>
      <c r="CQ39" s="20">
        <v>0</v>
      </c>
      <c r="CR39" s="20">
        <v>0</v>
      </c>
      <c r="CS39" s="20">
        <v>0</v>
      </c>
      <c r="CT39" s="20">
        <v>0</v>
      </c>
      <c r="CU39" s="20">
        <v>0</v>
      </c>
      <c r="CV39" s="20">
        <v>0</v>
      </c>
      <c r="CW39" s="20">
        <v>0</v>
      </c>
      <c r="CX39" s="20">
        <v>0</v>
      </c>
      <c r="CY39" s="20">
        <v>0</v>
      </c>
      <c r="CZ39" s="20">
        <v>0</v>
      </c>
      <c r="DA39" s="20">
        <v>0</v>
      </c>
      <c r="DB39" s="20">
        <v>0</v>
      </c>
      <c r="DC39" s="20">
        <v>0</v>
      </c>
      <c r="DD39" s="20">
        <v>0</v>
      </c>
      <c r="DE39" s="20">
        <v>0</v>
      </c>
      <c r="DF39" s="20">
        <v>0</v>
      </c>
      <c r="DG39" s="16">
        <f t="shared" si="4"/>
        <v>0</v>
      </c>
      <c r="DH39" s="16">
        <f t="shared" si="5"/>
        <v>0</v>
      </c>
      <c r="DI39" s="17" t="str">
        <f t="shared" si="6"/>
        <v/>
      </c>
      <c r="DJ39" s="119" t="s">
        <v>572</v>
      </c>
      <c r="DK39" s="44" t="s">
        <v>572</v>
      </c>
    </row>
    <row r="40" spans="1:115">
      <c r="A40" s="32" t="str">
        <f t="shared" si="7"/>
        <v>Powercor--&gt;  132 kV</v>
      </c>
      <c r="B40" s="32" t="str">
        <f t="shared" si="8"/>
        <v>Powercor</v>
      </c>
      <c r="C40" s="416"/>
      <c r="D40" s="14"/>
      <c r="E40" s="15" t="s">
        <v>184</v>
      </c>
      <c r="F40" s="18">
        <v>0</v>
      </c>
      <c r="G40" s="18">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v>
      </c>
      <c r="AT40" s="20">
        <v>0</v>
      </c>
      <c r="AU40" s="20">
        <v>0</v>
      </c>
      <c r="AV40" s="20">
        <v>0</v>
      </c>
      <c r="AW40" s="20">
        <v>0</v>
      </c>
      <c r="AX40" s="20">
        <v>0</v>
      </c>
      <c r="AY40" s="20">
        <v>0</v>
      </c>
      <c r="AZ40" s="20">
        <v>0</v>
      </c>
      <c r="BA40" s="20">
        <v>0</v>
      </c>
      <c r="BB40" s="20">
        <v>0</v>
      </c>
      <c r="BC40" s="20">
        <v>0</v>
      </c>
      <c r="BD40" s="20">
        <v>0</v>
      </c>
      <c r="BE40" s="20">
        <v>0</v>
      </c>
      <c r="BF40" s="20">
        <v>0</v>
      </c>
      <c r="BG40" s="20">
        <v>0</v>
      </c>
      <c r="BH40" s="20">
        <v>0</v>
      </c>
      <c r="BI40" s="20">
        <v>0</v>
      </c>
      <c r="BJ40" s="20">
        <v>0</v>
      </c>
      <c r="BK40" s="20">
        <v>0</v>
      </c>
      <c r="BL40" s="20">
        <v>0</v>
      </c>
      <c r="BM40" s="20">
        <v>0</v>
      </c>
      <c r="BN40" s="20">
        <v>0</v>
      </c>
      <c r="BO40" s="20">
        <v>0</v>
      </c>
      <c r="BP40" s="20">
        <v>0</v>
      </c>
      <c r="BQ40" s="20">
        <v>0</v>
      </c>
      <c r="BR40" s="20">
        <v>0</v>
      </c>
      <c r="BS40" s="20">
        <v>0</v>
      </c>
      <c r="BT40" s="20">
        <v>0</v>
      </c>
      <c r="BU40" s="20">
        <v>0</v>
      </c>
      <c r="BV40" s="20">
        <v>0</v>
      </c>
      <c r="BW40" s="20">
        <v>0</v>
      </c>
      <c r="BX40" s="20">
        <v>0</v>
      </c>
      <c r="BY40" s="20">
        <v>0</v>
      </c>
      <c r="BZ40" s="20">
        <v>0</v>
      </c>
      <c r="CA40" s="20">
        <v>0</v>
      </c>
      <c r="CB40" s="20">
        <v>0</v>
      </c>
      <c r="CC40" s="20">
        <v>0</v>
      </c>
      <c r="CD40" s="20">
        <v>0</v>
      </c>
      <c r="CE40" s="20">
        <v>0</v>
      </c>
      <c r="CF40" s="20">
        <v>0</v>
      </c>
      <c r="CG40" s="20">
        <v>0</v>
      </c>
      <c r="CH40" s="20">
        <v>0</v>
      </c>
      <c r="CI40" s="20">
        <v>0</v>
      </c>
      <c r="CJ40" s="20">
        <v>0</v>
      </c>
      <c r="CK40" s="20">
        <v>0</v>
      </c>
      <c r="CL40" s="20">
        <v>0</v>
      </c>
      <c r="CM40" s="20">
        <v>0</v>
      </c>
      <c r="CN40" s="20">
        <v>0</v>
      </c>
      <c r="CO40" s="20">
        <v>0</v>
      </c>
      <c r="CP40" s="20">
        <v>0</v>
      </c>
      <c r="CQ40" s="20">
        <v>0</v>
      </c>
      <c r="CR40" s="20">
        <v>0</v>
      </c>
      <c r="CS40" s="20">
        <v>0</v>
      </c>
      <c r="CT40" s="20">
        <v>0</v>
      </c>
      <c r="CU40" s="20">
        <v>0</v>
      </c>
      <c r="CV40" s="20">
        <v>0</v>
      </c>
      <c r="CW40" s="20">
        <v>0</v>
      </c>
      <c r="CX40" s="20">
        <v>0</v>
      </c>
      <c r="CY40" s="20">
        <v>0</v>
      </c>
      <c r="CZ40" s="20">
        <v>0</v>
      </c>
      <c r="DA40" s="20">
        <v>0</v>
      </c>
      <c r="DB40" s="20">
        <v>0</v>
      </c>
      <c r="DC40" s="20">
        <v>0</v>
      </c>
      <c r="DD40" s="20">
        <v>0</v>
      </c>
      <c r="DE40" s="20">
        <v>0</v>
      </c>
      <c r="DF40" s="20">
        <v>0</v>
      </c>
      <c r="DG40" s="16">
        <f t="shared" si="4"/>
        <v>0</v>
      </c>
      <c r="DH40" s="16">
        <f t="shared" si="5"/>
        <v>0</v>
      </c>
      <c r="DI40" s="17" t="str">
        <f t="shared" si="6"/>
        <v/>
      </c>
      <c r="DJ40" s="119" t="s">
        <v>572</v>
      </c>
      <c r="DK40" s="44" t="s">
        <v>572</v>
      </c>
    </row>
    <row r="41" spans="1:115">
      <c r="A41" s="32" t="str">
        <f t="shared" si="7"/>
        <v>Powercor--PUBLIC LIGHTING UNDERGROUND CABLE</v>
      </c>
      <c r="B41" s="32" t="str">
        <f t="shared" si="8"/>
        <v>Powercor</v>
      </c>
      <c r="C41" s="416"/>
      <c r="D41" s="14"/>
      <c r="E41" s="15" t="s">
        <v>540</v>
      </c>
      <c r="F41" s="18">
        <v>70</v>
      </c>
      <c r="G41" s="18">
        <v>8.3699999999999992</v>
      </c>
      <c r="H41" s="20">
        <v>28.83</v>
      </c>
      <c r="I41" s="20">
        <v>38.229999999999997</v>
      </c>
      <c r="J41" s="20">
        <v>57.24</v>
      </c>
      <c r="K41" s="20">
        <v>64.28</v>
      </c>
      <c r="L41" s="20">
        <v>21.73</v>
      </c>
      <c r="M41" s="20">
        <v>72.53</v>
      </c>
      <c r="N41" s="20">
        <v>49.9</v>
      </c>
      <c r="O41" s="20">
        <v>63.27</v>
      </c>
      <c r="P41" s="20">
        <v>62.97</v>
      </c>
      <c r="Q41" s="20">
        <v>58.75</v>
      </c>
      <c r="R41" s="20">
        <v>84.4</v>
      </c>
      <c r="S41" s="20">
        <v>70.92</v>
      </c>
      <c r="T41" s="20">
        <v>44.66</v>
      </c>
      <c r="U41" s="20">
        <v>46.47</v>
      </c>
      <c r="V41" s="20">
        <v>55.13</v>
      </c>
      <c r="W41" s="20">
        <v>36.01</v>
      </c>
      <c r="X41" s="20">
        <v>21.12</v>
      </c>
      <c r="Y41" s="20">
        <v>20.62</v>
      </c>
      <c r="Z41" s="20">
        <v>17.100000000000001</v>
      </c>
      <c r="AA41" s="20">
        <v>20.72</v>
      </c>
      <c r="AB41" s="20">
        <v>27.36</v>
      </c>
      <c r="AC41" s="20">
        <v>20.22</v>
      </c>
      <c r="AD41" s="20">
        <v>24.34</v>
      </c>
      <c r="AE41" s="20">
        <v>19.21</v>
      </c>
      <c r="AF41" s="20">
        <v>21.83</v>
      </c>
      <c r="AG41" s="20">
        <v>14.28</v>
      </c>
      <c r="AH41" s="20">
        <v>15.79</v>
      </c>
      <c r="AI41" s="20">
        <v>6.74</v>
      </c>
      <c r="AJ41" s="20">
        <v>10.36</v>
      </c>
      <c r="AK41" s="20">
        <v>13.28</v>
      </c>
      <c r="AL41" s="20">
        <v>4.0199999999999996</v>
      </c>
      <c r="AM41" s="20">
        <v>7.54</v>
      </c>
      <c r="AN41" s="20">
        <v>10.16</v>
      </c>
      <c r="AO41" s="20">
        <v>11.27</v>
      </c>
      <c r="AP41" s="20">
        <v>3.92</v>
      </c>
      <c r="AQ41" s="20">
        <v>5.43</v>
      </c>
      <c r="AR41" s="20">
        <v>8.65</v>
      </c>
      <c r="AS41" s="20">
        <v>12.88</v>
      </c>
      <c r="AT41" s="20">
        <v>5.43</v>
      </c>
      <c r="AU41" s="20">
        <v>0.3</v>
      </c>
      <c r="AV41" s="20">
        <v>0.7</v>
      </c>
      <c r="AW41" s="20">
        <v>5.43</v>
      </c>
      <c r="AX41" s="20">
        <v>0.91</v>
      </c>
      <c r="AY41" s="20">
        <v>0.8</v>
      </c>
      <c r="AZ41" s="20">
        <v>0.8</v>
      </c>
      <c r="BA41" s="20">
        <v>0</v>
      </c>
      <c r="BB41" s="20">
        <v>1.01</v>
      </c>
      <c r="BC41" s="20">
        <v>0.5</v>
      </c>
      <c r="BD41" s="20">
        <v>0</v>
      </c>
      <c r="BE41" s="20">
        <v>0.5</v>
      </c>
      <c r="BF41" s="20">
        <v>0</v>
      </c>
      <c r="BG41" s="20">
        <v>0</v>
      </c>
      <c r="BH41" s="20">
        <v>0</v>
      </c>
      <c r="BI41" s="20">
        <v>0</v>
      </c>
      <c r="BJ41" s="20">
        <v>0</v>
      </c>
      <c r="BK41" s="20">
        <v>0</v>
      </c>
      <c r="BL41" s="20">
        <v>0</v>
      </c>
      <c r="BM41" s="20">
        <v>0.1</v>
      </c>
      <c r="BN41" s="20">
        <v>0</v>
      </c>
      <c r="BO41" s="20">
        <v>0</v>
      </c>
      <c r="BP41" s="20">
        <v>0</v>
      </c>
      <c r="BQ41" s="20">
        <v>0</v>
      </c>
      <c r="BR41" s="20">
        <v>0</v>
      </c>
      <c r="BS41" s="20">
        <v>0</v>
      </c>
      <c r="BT41" s="20">
        <v>0</v>
      </c>
      <c r="BU41" s="20">
        <v>0</v>
      </c>
      <c r="BV41" s="20">
        <v>0</v>
      </c>
      <c r="BW41" s="20">
        <v>0</v>
      </c>
      <c r="BX41" s="20">
        <v>0</v>
      </c>
      <c r="BY41" s="20">
        <v>0</v>
      </c>
      <c r="BZ41" s="20">
        <v>0</v>
      </c>
      <c r="CA41" s="20">
        <v>0</v>
      </c>
      <c r="CB41" s="20">
        <v>0</v>
      </c>
      <c r="CC41" s="20">
        <v>0</v>
      </c>
      <c r="CD41" s="20">
        <v>0</v>
      </c>
      <c r="CE41" s="20">
        <v>0</v>
      </c>
      <c r="CF41" s="20">
        <v>0</v>
      </c>
      <c r="CG41" s="20">
        <v>0</v>
      </c>
      <c r="CH41" s="20">
        <v>0</v>
      </c>
      <c r="CI41" s="20">
        <v>0</v>
      </c>
      <c r="CJ41" s="20">
        <v>0</v>
      </c>
      <c r="CK41" s="20">
        <v>0</v>
      </c>
      <c r="CL41" s="20">
        <v>0</v>
      </c>
      <c r="CM41" s="20">
        <v>0</v>
      </c>
      <c r="CN41" s="20">
        <v>0</v>
      </c>
      <c r="CO41" s="20">
        <v>0</v>
      </c>
      <c r="CP41" s="20">
        <v>0</v>
      </c>
      <c r="CQ41" s="20">
        <v>0</v>
      </c>
      <c r="CR41" s="20">
        <v>0</v>
      </c>
      <c r="CS41" s="20">
        <v>0</v>
      </c>
      <c r="CT41" s="20">
        <v>0</v>
      </c>
      <c r="CU41" s="20">
        <v>0</v>
      </c>
      <c r="CV41" s="20">
        <v>0</v>
      </c>
      <c r="CW41" s="20">
        <v>0</v>
      </c>
      <c r="CX41" s="20">
        <v>0</v>
      </c>
      <c r="CY41" s="20">
        <v>0</v>
      </c>
      <c r="CZ41" s="20">
        <v>0</v>
      </c>
      <c r="DA41" s="20">
        <v>0</v>
      </c>
      <c r="DB41" s="20">
        <v>0</v>
      </c>
      <c r="DC41" s="20">
        <v>0</v>
      </c>
      <c r="DD41" s="20">
        <v>0</v>
      </c>
      <c r="DE41" s="20">
        <v>0</v>
      </c>
      <c r="DF41" s="20">
        <v>0</v>
      </c>
      <c r="DG41" s="16">
        <f t="shared" si="4"/>
        <v>1188.6400000000001</v>
      </c>
      <c r="DH41" s="16">
        <f t="shared" si="5"/>
        <v>16161.7</v>
      </c>
      <c r="DI41" s="17">
        <f t="shared" si="6"/>
        <v>13.596799703863239</v>
      </c>
      <c r="DJ41" s="119" t="s">
        <v>572</v>
      </c>
      <c r="DK41" s="44" t="s">
        <v>572</v>
      </c>
    </row>
    <row r="42" spans="1:115">
      <c r="A42" s="32" t="str">
        <f t="shared" si="7"/>
        <v>Powercor--OTHER - PLEASE ADD A ROW IF NECESSARY AND NOMINATE THE CATEGORY</v>
      </c>
      <c r="B42" s="32" t="str">
        <f t="shared" si="8"/>
        <v>Powercor</v>
      </c>
      <c r="C42" s="416"/>
      <c r="D42" s="14"/>
      <c r="E42" s="15" t="s">
        <v>170</v>
      </c>
      <c r="F42" s="18"/>
      <c r="G42" s="18"/>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16">
        <f t="shared" si="4"/>
        <v>0</v>
      </c>
      <c r="DH42" s="16">
        <f t="shared" si="5"/>
        <v>0</v>
      </c>
      <c r="DI42" s="17" t="str">
        <f t="shared" si="6"/>
        <v/>
      </c>
      <c r="DJ42" s="119" t="s">
        <v>572</v>
      </c>
      <c r="DK42" s="44" t="s">
        <v>572</v>
      </c>
    </row>
    <row r="43" spans="1:115" ht="60">
      <c r="A43" s="32" t="str">
        <f t="shared" si="7"/>
        <v xml:space="preserve">Powercor-SERVICE LINES BY: 
CONNECTION VOLTAGE; CUSTOMER TYPE; CONNECTION COMPLEXITY -˂ = 11 kV ; RESIDENTIAL ; SIMPLE TYPE </v>
      </c>
      <c r="B43" s="32" t="str">
        <f t="shared" si="8"/>
        <v>Powercor</v>
      </c>
      <c r="C43" s="416"/>
      <c r="D43" s="14" t="s">
        <v>541</v>
      </c>
      <c r="E43" s="15" t="s">
        <v>186</v>
      </c>
      <c r="F43" s="18">
        <v>0</v>
      </c>
      <c r="G43" s="18">
        <v>0</v>
      </c>
      <c r="H43" s="20">
        <v>0</v>
      </c>
      <c r="I43" s="20">
        <v>0</v>
      </c>
      <c r="J43" s="20">
        <v>0</v>
      </c>
      <c r="K43" s="20">
        <v>0</v>
      </c>
      <c r="L43" s="20">
        <v>0</v>
      </c>
      <c r="M43" s="20">
        <v>0</v>
      </c>
      <c r="N43" s="20">
        <v>0</v>
      </c>
      <c r="O43" s="20">
        <v>0</v>
      </c>
      <c r="P43" s="20">
        <v>0</v>
      </c>
      <c r="Q43" s="20">
        <v>0</v>
      </c>
      <c r="R43" s="20">
        <v>0</v>
      </c>
      <c r="S43" s="20">
        <v>0</v>
      </c>
      <c r="T43" s="20">
        <v>0</v>
      </c>
      <c r="U43" s="20">
        <v>0</v>
      </c>
      <c r="V43" s="20">
        <v>0</v>
      </c>
      <c r="W43" s="20">
        <v>0</v>
      </c>
      <c r="X43" s="20">
        <v>0</v>
      </c>
      <c r="Y43" s="20">
        <v>0</v>
      </c>
      <c r="Z43" s="20">
        <v>0</v>
      </c>
      <c r="AA43" s="20">
        <v>0</v>
      </c>
      <c r="AB43" s="20">
        <v>0</v>
      </c>
      <c r="AC43" s="20">
        <v>0</v>
      </c>
      <c r="AD43" s="20">
        <v>0</v>
      </c>
      <c r="AE43" s="20">
        <v>0</v>
      </c>
      <c r="AF43" s="20">
        <v>0</v>
      </c>
      <c r="AG43" s="20">
        <v>0</v>
      </c>
      <c r="AH43" s="20">
        <v>0</v>
      </c>
      <c r="AI43" s="20">
        <v>0</v>
      </c>
      <c r="AJ43" s="20">
        <v>0</v>
      </c>
      <c r="AK43" s="20">
        <v>0</v>
      </c>
      <c r="AL43" s="20">
        <v>0</v>
      </c>
      <c r="AM43" s="20">
        <v>0</v>
      </c>
      <c r="AN43" s="20">
        <v>0</v>
      </c>
      <c r="AO43" s="20">
        <v>0</v>
      </c>
      <c r="AP43" s="20">
        <v>0</v>
      </c>
      <c r="AQ43" s="20">
        <v>0</v>
      </c>
      <c r="AR43" s="20">
        <v>0</v>
      </c>
      <c r="AS43" s="20">
        <v>0</v>
      </c>
      <c r="AT43" s="20">
        <v>0</v>
      </c>
      <c r="AU43" s="20">
        <v>0</v>
      </c>
      <c r="AV43" s="20">
        <v>0</v>
      </c>
      <c r="AW43" s="20">
        <v>0</v>
      </c>
      <c r="AX43" s="20">
        <v>0</v>
      </c>
      <c r="AY43" s="20">
        <v>0</v>
      </c>
      <c r="AZ43" s="20">
        <v>0</v>
      </c>
      <c r="BA43" s="20">
        <v>0</v>
      </c>
      <c r="BB43" s="20">
        <v>0</v>
      </c>
      <c r="BC43" s="20">
        <v>0</v>
      </c>
      <c r="BD43" s="20">
        <v>0</v>
      </c>
      <c r="BE43" s="20">
        <v>0</v>
      </c>
      <c r="BF43" s="20">
        <v>0</v>
      </c>
      <c r="BG43" s="20">
        <v>0</v>
      </c>
      <c r="BH43" s="20">
        <v>0</v>
      </c>
      <c r="BI43" s="20">
        <v>0</v>
      </c>
      <c r="BJ43" s="20">
        <v>0</v>
      </c>
      <c r="BK43" s="20">
        <v>0</v>
      </c>
      <c r="BL43" s="20">
        <v>0</v>
      </c>
      <c r="BM43" s="20">
        <v>0</v>
      </c>
      <c r="BN43" s="20">
        <v>0</v>
      </c>
      <c r="BO43" s="20">
        <v>0</v>
      </c>
      <c r="BP43" s="20">
        <v>0</v>
      </c>
      <c r="BQ43" s="20">
        <v>0</v>
      </c>
      <c r="BR43" s="20">
        <v>0</v>
      </c>
      <c r="BS43" s="20">
        <v>0</v>
      </c>
      <c r="BT43" s="20">
        <v>0</v>
      </c>
      <c r="BU43" s="20">
        <v>0</v>
      </c>
      <c r="BV43" s="20">
        <v>0</v>
      </c>
      <c r="BW43" s="20">
        <v>0</v>
      </c>
      <c r="BX43" s="20">
        <v>0</v>
      </c>
      <c r="BY43" s="20">
        <v>0</v>
      </c>
      <c r="BZ43" s="20">
        <v>0</v>
      </c>
      <c r="CA43" s="20">
        <v>0</v>
      </c>
      <c r="CB43" s="20">
        <v>0</v>
      </c>
      <c r="CC43" s="20">
        <v>0</v>
      </c>
      <c r="CD43" s="20">
        <v>0</v>
      </c>
      <c r="CE43" s="20">
        <v>0</v>
      </c>
      <c r="CF43" s="20">
        <v>0</v>
      </c>
      <c r="CG43" s="20">
        <v>0</v>
      </c>
      <c r="CH43" s="20">
        <v>0</v>
      </c>
      <c r="CI43" s="20">
        <v>0</v>
      </c>
      <c r="CJ43" s="20">
        <v>0</v>
      </c>
      <c r="CK43" s="20">
        <v>0</v>
      </c>
      <c r="CL43" s="20">
        <v>0</v>
      </c>
      <c r="CM43" s="20">
        <v>0</v>
      </c>
      <c r="CN43" s="20">
        <v>0</v>
      </c>
      <c r="CO43" s="20">
        <v>0</v>
      </c>
      <c r="CP43" s="20">
        <v>0</v>
      </c>
      <c r="CQ43" s="20">
        <v>0</v>
      </c>
      <c r="CR43" s="20">
        <v>0</v>
      </c>
      <c r="CS43" s="20">
        <v>0</v>
      </c>
      <c r="CT43" s="20">
        <v>0</v>
      </c>
      <c r="CU43" s="20">
        <v>0</v>
      </c>
      <c r="CV43" s="20">
        <v>0</v>
      </c>
      <c r="CW43" s="20">
        <v>0</v>
      </c>
      <c r="CX43" s="20">
        <v>0</v>
      </c>
      <c r="CY43" s="20">
        <v>0</v>
      </c>
      <c r="CZ43" s="20">
        <v>0</v>
      </c>
      <c r="DA43" s="20">
        <v>0</v>
      </c>
      <c r="DB43" s="20">
        <v>0</v>
      </c>
      <c r="DC43" s="20">
        <v>0</v>
      </c>
      <c r="DD43" s="20">
        <v>0</v>
      </c>
      <c r="DE43" s="20">
        <v>0</v>
      </c>
      <c r="DF43" s="20">
        <v>0</v>
      </c>
      <c r="DG43" s="16">
        <f t="shared" si="4"/>
        <v>0</v>
      </c>
      <c r="DH43" s="16">
        <f t="shared" si="5"/>
        <v>0</v>
      </c>
      <c r="DI43" s="17" t="str">
        <f t="shared" si="6"/>
        <v/>
      </c>
      <c r="DJ43" s="119" t="s">
        <v>719</v>
      </c>
      <c r="DK43" t="s">
        <v>719</v>
      </c>
    </row>
    <row r="44" spans="1:115">
      <c r="A44" s="32" t="str">
        <f t="shared" si="7"/>
        <v xml:space="preserve">Powercor--˂ = 11 kV ; COMMERCIAL &amp; INDUSTRIAL ; SIMPLE TYPE </v>
      </c>
      <c r="B44" s="32" t="str">
        <f t="shared" si="8"/>
        <v>Powercor</v>
      </c>
      <c r="C44" s="416"/>
      <c r="D44" s="14"/>
      <c r="E44" s="15" t="s">
        <v>187</v>
      </c>
      <c r="F44" s="18">
        <v>0</v>
      </c>
      <c r="G44" s="18">
        <v>0</v>
      </c>
      <c r="H44" s="20">
        <v>0</v>
      </c>
      <c r="I44" s="20">
        <v>0</v>
      </c>
      <c r="J44" s="20">
        <v>0</v>
      </c>
      <c r="K44" s="20">
        <v>0</v>
      </c>
      <c r="L44" s="20">
        <v>0</v>
      </c>
      <c r="M44" s="20">
        <v>0</v>
      </c>
      <c r="N44" s="20">
        <v>0</v>
      </c>
      <c r="O44" s="20">
        <v>0</v>
      </c>
      <c r="P44" s="20">
        <v>0</v>
      </c>
      <c r="Q44" s="20">
        <v>0</v>
      </c>
      <c r="R44" s="20">
        <v>0</v>
      </c>
      <c r="S44" s="20">
        <v>0</v>
      </c>
      <c r="T44" s="20">
        <v>0</v>
      </c>
      <c r="U44" s="20">
        <v>0</v>
      </c>
      <c r="V44" s="20">
        <v>0</v>
      </c>
      <c r="W44" s="20">
        <v>0</v>
      </c>
      <c r="X44" s="20">
        <v>0</v>
      </c>
      <c r="Y44" s="20">
        <v>0</v>
      </c>
      <c r="Z44" s="20">
        <v>0</v>
      </c>
      <c r="AA44" s="20">
        <v>0</v>
      </c>
      <c r="AB44" s="20">
        <v>0</v>
      </c>
      <c r="AC44" s="20">
        <v>0</v>
      </c>
      <c r="AD44" s="20">
        <v>0</v>
      </c>
      <c r="AE44" s="20">
        <v>0</v>
      </c>
      <c r="AF44" s="20">
        <v>0</v>
      </c>
      <c r="AG44" s="20">
        <v>0</v>
      </c>
      <c r="AH44" s="20">
        <v>0</v>
      </c>
      <c r="AI44" s="20">
        <v>0</v>
      </c>
      <c r="AJ44" s="20">
        <v>0</v>
      </c>
      <c r="AK44" s="20">
        <v>0</v>
      </c>
      <c r="AL44" s="20">
        <v>0</v>
      </c>
      <c r="AM44" s="20">
        <v>0</v>
      </c>
      <c r="AN44" s="20">
        <v>0</v>
      </c>
      <c r="AO44" s="20">
        <v>0</v>
      </c>
      <c r="AP44" s="20">
        <v>0</v>
      </c>
      <c r="AQ44" s="20">
        <v>0</v>
      </c>
      <c r="AR44" s="20">
        <v>0</v>
      </c>
      <c r="AS44" s="20">
        <v>0</v>
      </c>
      <c r="AT44" s="20">
        <v>0</v>
      </c>
      <c r="AU44" s="20">
        <v>0</v>
      </c>
      <c r="AV44" s="20">
        <v>0</v>
      </c>
      <c r="AW44" s="20">
        <v>0</v>
      </c>
      <c r="AX44" s="20">
        <v>0</v>
      </c>
      <c r="AY44" s="20">
        <v>0</v>
      </c>
      <c r="AZ44" s="20">
        <v>0</v>
      </c>
      <c r="BA44" s="20">
        <v>0</v>
      </c>
      <c r="BB44" s="20">
        <v>0</v>
      </c>
      <c r="BC44" s="20">
        <v>0</v>
      </c>
      <c r="BD44" s="20">
        <v>0</v>
      </c>
      <c r="BE44" s="20">
        <v>0</v>
      </c>
      <c r="BF44" s="20">
        <v>0</v>
      </c>
      <c r="BG44" s="20">
        <v>0</v>
      </c>
      <c r="BH44" s="20">
        <v>0</v>
      </c>
      <c r="BI44" s="20">
        <v>0</v>
      </c>
      <c r="BJ44" s="20">
        <v>0</v>
      </c>
      <c r="BK44" s="20">
        <v>0</v>
      </c>
      <c r="BL44" s="20">
        <v>0</v>
      </c>
      <c r="BM44" s="20">
        <v>0</v>
      </c>
      <c r="BN44" s="20">
        <v>0</v>
      </c>
      <c r="BO44" s="20">
        <v>0</v>
      </c>
      <c r="BP44" s="20">
        <v>0</v>
      </c>
      <c r="BQ44" s="20">
        <v>0</v>
      </c>
      <c r="BR44" s="20">
        <v>0</v>
      </c>
      <c r="BS44" s="20">
        <v>0</v>
      </c>
      <c r="BT44" s="20">
        <v>0</v>
      </c>
      <c r="BU44" s="20">
        <v>0</v>
      </c>
      <c r="BV44" s="20">
        <v>0</v>
      </c>
      <c r="BW44" s="20">
        <v>0</v>
      </c>
      <c r="BX44" s="20">
        <v>0</v>
      </c>
      <c r="BY44" s="20">
        <v>0</v>
      </c>
      <c r="BZ44" s="20">
        <v>0</v>
      </c>
      <c r="CA44" s="20">
        <v>0</v>
      </c>
      <c r="CB44" s="20">
        <v>0</v>
      </c>
      <c r="CC44" s="20">
        <v>0</v>
      </c>
      <c r="CD44" s="20">
        <v>0</v>
      </c>
      <c r="CE44" s="20">
        <v>0</v>
      </c>
      <c r="CF44" s="20">
        <v>0</v>
      </c>
      <c r="CG44" s="20">
        <v>0</v>
      </c>
      <c r="CH44" s="20">
        <v>0</v>
      </c>
      <c r="CI44" s="20">
        <v>0</v>
      </c>
      <c r="CJ44" s="20">
        <v>0</v>
      </c>
      <c r="CK44" s="20">
        <v>0</v>
      </c>
      <c r="CL44" s="20">
        <v>0</v>
      </c>
      <c r="CM44" s="20">
        <v>0</v>
      </c>
      <c r="CN44" s="20">
        <v>0</v>
      </c>
      <c r="CO44" s="20">
        <v>0</v>
      </c>
      <c r="CP44" s="20">
        <v>0</v>
      </c>
      <c r="CQ44" s="20">
        <v>0</v>
      </c>
      <c r="CR44" s="20">
        <v>0</v>
      </c>
      <c r="CS44" s="20">
        <v>0</v>
      </c>
      <c r="CT44" s="20">
        <v>0</v>
      </c>
      <c r="CU44" s="20">
        <v>0</v>
      </c>
      <c r="CV44" s="20">
        <v>0</v>
      </c>
      <c r="CW44" s="20">
        <v>0</v>
      </c>
      <c r="CX44" s="20">
        <v>0</v>
      </c>
      <c r="CY44" s="20">
        <v>0</v>
      </c>
      <c r="CZ44" s="20">
        <v>0</v>
      </c>
      <c r="DA44" s="20">
        <v>0</v>
      </c>
      <c r="DB44" s="20">
        <v>0</v>
      </c>
      <c r="DC44" s="20">
        <v>0</v>
      </c>
      <c r="DD44" s="20">
        <v>0</v>
      </c>
      <c r="DE44" s="20">
        <v>0</v>
      </c>
      <c r="DF44" s="20">
        <v>0</v>
      </c>
      <c r="DG44" s="16">
        <f t="shared" si="4"/>
        <v>0</v>
      </c>
      <c r="DH44" s="16">
        <f t="shared" si="5"/>
        <v>0</v>
      </c>
      <c r="DI44" s="17" t="str">
        <f t="shared" si="6"/>
        <v/>
      </c>
      <c r="DJ44" s="119" t="s">
        <v>719</v>
      </c>
      <c r="DK44" s="44" t="s">
        <v>719</v>
      </c>
    </row>
    <row r="45" spans="1:115">
      <c r="A45" s="32" t="str">
        <f t="shared" si="7"/>
        <v xml:space="preserve">Powercor--˂ = 11 kV ; RESIDENTIAL ; COMPLEX TYPE </v>
      </c>
      <c r="B45" s="32" t="str">
        <f t="shared" si="8"/>
        <v>Powercor</v>
      </c>
      <c r="C45" s="416"/>
      <c r="D45" s="14"/>
      <c r="E45" s="15" t="s">
        <v>188</v>
      </c>
      <c r="F45" s="18">
        <v>0</v>
      </c>
      <c r="G45" s="18">
        <v>0</v>
      </c>
      <c r="H45" s="20">
        <v>0</v>
      </c>
      <c r="I45" s="20">
        <v>0</v>
      </c>
      <c r="J45" s="20">
        <v>0</v>
      </c>
      <c r="K45" s="20">
        <v>0</v>
      </c>
      <c r="L45" s="20">
        <v>0</v>
      </c>
      <c r="M45" s="20">
        <v>0</v>
      </c>
      <c r="N45" s="20">
        <v>0</v>
      </c>
      <c r="O45" s="20">
        <v>0</v>
      </c>
      <c r="P45" s="20">
        <v>0</v>
      </c>
      <c r="Q45" s="20">
        <v>0</v>
      </c>
      <c r="R45" s="20">
        <v>0</v>
      </c>
      <c r="S45" s="20">
        <v>0</v>
      </c>
      <c r="T45" s="20">
        <v>0</v>
      </c>
      <c r="U45" s="20">
        <v>0</v>
      </c>
      <c r="V45" s="20">
        <v>0</v>
      </c>
      <c r="W45" s="20">
        <v>0</v>
      </c>
      <c r="X45" s="20">
        <v>0</v>
      </c>
      <c r="Y45" s="20">
        <v>0</v>
      </c>
      <c r="Z45" s="20">
        <v>0</v>
      </c>
      <c r="AA45" s="20">
        <v>0</v>
      </c>
      <c r="AB45" s="20">
        <v>0</v>
      </c>
      <c r="AC45" s="20">
        <v>0</v>
      </c>
      <c r="AD45" s="20">
        <v>0</v>
      </c>
      <c r="AE45" s="20">
        <v>0</v>
      </c>
      <c r="AF45" s="20">
        <v>0</v>
      </c>
      <c r="AG45" s="20">
        <v>0</v>
      </c>
      <c r="AH45" s="20">
        <v>0</v>
      </c>
      <c r="AI45" s="20">
        <v>0</v>
      </c>
      <c r="AJ45" s="20">
        <v>0</v>
      </c>
      <c r="AK45" s="20">
        <v>0</v>
      </c>
      <c r="AL45" s="20">
        <v>0</v>
      </c>
      <c r="AM45" s="20">
        <v>0</v>
      </c>
      <c r="AN45" s="20">
        <v>0</v>
      </c>
      <c r="AO45" s="20">
        <v>0</v>
      </c>
      <c r="AP45" s="20">
        <v>0</v>
      </c>
      <c r="AQ45" s="20">
        <v>0</v>
      </c>
      <c r="AR45" s="20">
        <v>0</v>
      </c>
      <c r="AS45" s="20">
        <v>0</v>
      </c>
      <c r="AT45" s="20">
        <v>0</v>
      </c>
      <c r="AU45" s="20">
        <v>0</v>
      </c>
      <c r="AV45" s="20">
        <v>0</v>
      </c>
      <c r="AW45" s="20">
        <v>0</v>
      </c>
      <c r="AX45" s="20">
        <v>0</v>
      </c>
      <c r="AY45" s="20">
        <v>0</v>
      </c>
      <c r="AZ45" s="20">
        <v>0</v>
      </c>
      <c r="BA45" s="20">
        <v>0</v>
      </c>
      <c r="BB45" s="20">
        <v>0</v>
      </c>
      <c r="BC45" s="20">
        <v>0</v>
      </c>
      <c r="BD45" s="20">
        <v>0</v>
      </c>
      <c r="BE45" s="20">
        <v>0</v>
      </c>
      <c r="BF45" s="20">
        <v>0</v>
      </c>
      <c r="BG45" s="20">
        <v>0</v>
      </c>
      <c r="BH45" s="20">
        <v>0</v>
      </c>
      <c r="BI45" s="20">
        <v>0</v>
      </c>
      <c r="BJ45" s="20">
        <v>0</v>
      </c>
      <c r="BK45" s="20">
        <v>0</v>
      </c>
      <c r="BL45" s="20">
        <v>0</v>
      </c>
      <c r="BM45" s="20">
        <v>0</v>
      </c>
      <c r="BN45" s="20">
        <v>0</v>
      </c>
      <c r="BO45" s="20">
        <v>0</v>
      </c>
      <c r="BP45" s="20">
        <v>0</v>
      </c>
      <c r="BQ45" s="20">
        <v>0</v>
      </c>
      <c r="BR45" s="20">
        <v>0</v>
      </c>
      <c r="BS45" s="20">
        <v>0</v>
      </c>
      <c r="BT45" s="20">
        <v>0</v>
      </c>
      <c r="BU45" s="20">
        <v>0</v>
      </c>
      <c r="BV45" s="20">
        <v>0</v>
      </c>
      <c r="BW45" s="20">
        <v>0</v>
      </c>
      <c r="BX45" s="20">
        <v>0</v>
      </c>
      <c r="BY45" s="20">
        <v>0</v>
      </c>
      <c r="BZ45" s="20">
        <v>0</v>
      </c>
      <c r="CA45" s="20">
        <v>0</v>
      </c>
      <c r="CB45" s="20">
        <v>0</v>
      </c>
      <c r="CC45" s="20">
        <v>0</v>
      </c>
      <c r="CD45" s="20">
        <v>0</v>
      </c>
      <c r="CE45" s="20">
        <v>0</v>
      </c>
      <c r="CF45" s="20">
        <v>0</v>
      </c>
      <c r="CG45" s="20">
        <v>0</v>
      </c>
      <c r="CH45" s="20">
        <v>0</v>
      </c>
      <c r="CI45" s="20">
        <v>0</v>
      </c>
      <c r="CJ45" s="20">
        <v>0</v>
      </c>
      <c r="CK45" s="20">
        <v>0</v>
      </c>
      <c r="CL45" s="20">
        <v>0</v>
      </c>
      <c r="CM45" s="20">
        <v>0</v>
      </c>
      <c r="CN45" s="20">
        <v>0</v>
      </c>
      <c r="CO45" s="20">
        <v>0</v>
      </c>
      <c r="CP45" s="20">
        <v>0</v>
      </c>
      <c r="CQ45" s="20">
        <v>0</v>
      </c>
      <c r="CR45" s="20">
        <v>0</v>
      </c>
      <c r="CS45" s="20">
        <v>0</v>
      </c>
      <c r="CT45" s="20">
        <v>0</v>
      </c>
      <c r="CU45" s="20">
        <v>0</v>
      </c>
      <c r="CV45" s="20">
        <v>0</v>
      </c>
      <c r="CW45" s="20">
        <v>0</v>
      </c>
      <c r="CX45" s="20">
        <v>0</v>
      </c>
      <c r="CY45" s="20">
        <v>0</v>
      </c>
      <c r="CZ45" s="20">
        <v>0</v>
      </c>
      <c r="DA45" s="20">
        <v>0</v>
      </c>
      <c r="DB45" s="20">
        <v>0</v>
      </c>
      <c r="DC45" s="20">
        <v>0</v>
      </c>
      <c r="DD45" s="20">
        <v>0</v>
      </c>
      <c r="DE45" s="20">
        <v>0</v>
      </c>
      <c r="DF45" s="20">
        <v>0</v>
      </c>
      <c r="DG45" s="16">
        <f t="shared" si="4"/>
        <v>0</v>
      </c>
      <c r="DH45" s="16">
        <f t="shared" si="5"/>
        <v>0</v>
      </c>
      <c r="DI45" s="17" t="str">
        <f t="shared" si="6"/>
        <v/>
      </c>
      <c r="DJ45" s="119" t="s">
        <v>719</v>
      </c>
      <c r="DK45" s="44" t="s">
        <v>719</v>
      </c>
    </row>
    <row r="46" spans="1:115">
      <c r="A46" s="32" t="str">
        <f t="shared" si="7"/>
        <v xml:space="preserve">Powercor--˂ = 11 kV ; COMMERCIAL &amp; INDUSTRIAL ; COMPLEX TYPE </v>
      </c>
      <c r="B46" s="32" t="str">
        <f t="shared" si="8"/>
        <v>Powercor</v>
      </c>
      <c r="C46" s="416"/>
      <c r="D46" s="14"/>
      <c r="E46" s="15" t="s">
        <v>189</v>
      </c>
      <c r="F46" s="18">
        <v>0</v>
      </c>
      <c r="G46" s="18">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0">
        <v>0</v>
      </c>
      <c r="AY46" s="20">
        <v>0</v>
      </c>
      <c r="AZ46" s="20">
        <v>0</v>
      </c>
      <c r="BA46" s="20">
        <v>0</v>
      </c>
      <c r="BB46" s="20">
        <v>0</v>
      </c>
      <c r="BC46" s="20">
        <v>0</v>
      </c>
      <c r="BD46" s="20">
        <v>0</v>
      </c>
      <c r="BE46" s="20">
        <v>0</v>
      </c>
      <c r="BF46" s="20">
        <v>0</v>
      </c>
      <c r="BG46" s="20">
        <v>0</v>
      </c>
      <c r="BH46" s="20">
        <v>0</v>
      </c>
      <c r="BI46" s="20">
        <v>0</v>
      </c>
      <c r="BJ46" s="20">
        <v>0</v>
      </c>
      <c r="BK46" s="20">
        <v>0</v>
      </c>
      <c r="BL46" s="20">
        <v>0</v>
      </c>
      <c r="BM46" s="20">
        <v>0</v>
      </c>
      <c r="BN46" s="20">
        <v>0</v>
      </c>
      <c r="BO46" s="20">
        <v>0</v>
      </c>
      <c r="BP46" s="20">
        <v>0</v>
      </c>
      <c r="BQ46" s="20">
        <v>0</v>
      </c>
      <c r="BR46" s="20">
        <v>0</v>
      </c>
      <c r="BS46" s="20">
        <v>0</v>
      </c>
      <c r="BT46" s="20">
        <v>0</v>
      </c>
      <c r="BU46" s="20">
        <v>0</v>
      </c>
      <c r="BV46" s="20">
        <v>0</v>
      </c>
      <c r="BW46" s="20">
        <v>0</v>
      </c>
      <c r="BX46" s="20">
        <v>0</v>
      </c>
      <c r="BY46" s="20">
        <v>0</v>
      </c>
      <c r="BZ46" s="20">
        <v>0</v>
      </c>
      <c r="CA46" s="20">
        <v>0</v>
      </c>
      <c r="CB46" s="20">
        <v>0</v>
      </c>
      <c r="CC46" s="20">
        <v>0</v>
      </c>
      <c r="CD46" s="20">
        <v>0</v>
      </c>
      <c r="CE46" s="20">
        <v>0</v>
      </c>
      <c r="CF46" s="20">
        <v>0</v>
      </c>
      <c r="CG46" s="20">
        <v>0</v>
      </c>
      <c r="CH46" s="20">
        <v>0</v>
      </c>
      <c r="CI46" s="20">
        <v>0</v>
      </c>
      <c r="CJ46" s="20">
        <v>0</v>
      </c>
      <c r="CK46" s="20">
        <v>0</v>
      </c>
      <c r="CL46" s="20">
        <v>0</v>
      </c>
      <c r="CM46" s="20">
        <v>0</v>
      </c>
      <c r="CN46" s="20">
        <v>0</v>
      </c>
      <c r="CO46" s="20">
        <v>0</v>
      </c>
      <c r="CP46" s="20">
        <v>0</v>
      </c>
      <c r="CQ46" s="20">
        <v>0</v>
      </c>
      <c r="CR46" s="20">
        <v>0</v>
      </c>
      <c r="CS46" s="20">
        <v>0</v>
      </c>
      <c r="CT46" s="20">
        <v>0</v>
      </c>
      <c r="CU46" s="20">
        <v>0</v>
      </c>
      <c r="CV46" s="20">
        <v>0</v>
      </c>
      <c r="CW46" s="20">
        <v>0</v>
      </c>
      <c r="CX46" s="20">
        <v>0</v>
      </c>
      <c r="CY46" s="20">
        <v>0</v>
      </c>
      <c r="CZ46" s="20">
        <v>0</v>
      </c>
      <c r="DA46" s="20">
        <v>0</v>
      </c>
      <c r="DB46" s="20">
        <v>0</v>
      </c>
      <c r="DC46" s="20">
        <v>0</v>
      </c>
      <c r="DD46" s="20">
        <v>0</v>
      </c>
      <c r="DE46" s="20">
        <v>0</v>
      </c>
      <c r="DF46" s="20">
        <v>0</v>
      </c>
      <c r="DG46" s="16">
        <f t="shared" si="4"/>
        <v>0</v>
      </c>
      <c r="DH46" s="16">
        <f t="shared" si="5"/>
        <v>0</v>
      </c>
      <c r="DI46" s="17" t="str">
        <f t="shared" si="6"/>
        <v/>
      </c>
      <c r="DJ46" s="119" t="s">
        <v>719</v>
      </c>
      <c r="DK46" s="44" t="s">
        <v>719</v>
      </c>
    </row>
    <row r="47" spans="1:115">
      <c r="A47" s="32" t="str">
        <f t="shared" si="7"/>
        <v xml:space="preserve">Powercor--˂ = 11 kV ; SUBDIVISION ; COMPLEX TYPE </v>
      </c>
      <c r="B47" s="32" t="str">
        <f t="shared" si="8"/>
        <v>Powercor</v>
      </c>
      <c r="C47" s="416"/>
      <c r="D47" s="14"/>
      <c r="E47" s="15" t="s">
        <v>190</v>
      </c>
      <c r="F47" s="18">
        <v>0</v>
      </c>
      <c r="G47" s="18">
        <v>0</v>
      </c>
      <c r="H47" s="20">
        <v>0</v>
      </c>
      <c r="I47" s="20">
        <v>0</v>
      </c>
      <c r="J47" s="20">
        <v>0</v>
      </c>
      <c r="K47" s="20">
        <v>0</v>
      </c>
      <c r="L47" s="20">
        <v>0</v>
      </c>
      <c r="M47" s="20">
        <v>0</v>
      </c>
      <c r="N47" s="20">
        <v>0</v>
      </c>
      <c r="O47" s="20">
        <v>0</v>
      </c>
      <c r="P47" s="20">
        <v>0</v>
      </c>
      <c r="Q47" s="20">
        <v>0</v>
      </c>
      <c r="R47" s="20">
        <v>0</v>
      </c>
      <c r="S47" s="20">
        <v>0</v>
      </c>
      <c r="T47" s="20">
        <v>0</v>
      </c>
      <c r="U47" s="20">
        <v>0</v>
      </c>
      <c r="V47" s="20">
        <v>0</v>
      </c>
      <c r="W47" s="20">
        <v>0</v>
      </c>
      <c r="X47" s="20">
        <v>0</v>
      </c>
      <c r="Y47" s="20">
        <v>0</v>
      </c>
      <c r="Z47" s="20">
        <v>0</v>
      </c>
      <c r="AA47" s="20">
        <v>0</v>
      </c>
      <c r="AB47" s="20">
        <v>0</v>
      </c>
      <c r="AC47" s="20">
        <v>0</v>
      </c>
      <c r="AD47" s="20">
        <v>0</v>
      </c>
      <c r="AE47" s="20">
        <v>0</v>
      </c>
      <c r="AF47" s="20">
        <v>0</v>
      </c>
      <c r="AG47" s="20">
        <v>0</v>
      </c>
      <c r="AH47" s="20">
        <v>0</v>
      </c>
      <c r="AI47" s="20">
        <v>0</v>
      </c>
      <c r="AJ47" s="20">
        <v>0</v>
      </c>
      <c r="AK47" s="20">
        <v>0</v>
      </c>
      <c r="AL47" s="20">
        <v>0</v>
      </c>
      <c r="AM47" s="20">
        <v>0</v>
      </c>
      <c r="AN47" s="20">
        <v>0</v>
      </c>
      <c r="AO47" s="20">
        <v>0</v>
      </c>
      <c r="AP47" s="20">
        <v>0</v>
      </c>
      <c r="AQ47" s="20">
        <v>0</v>
      </c>
      <c r="AR47" s="20">
        <v>0</v>
      </c>
      <c r="AS47" s="20">
        <v>0</v>
      </c>
      <c r="AT47" s="20">
        <v>0</v>
      </c>
      <c r="AU47" s="20">
        <v>0</v>
      </c>
      <c r="AV47" s="20">
        <v>0</v>
      </c>
      <c r="AW47" s="20">
        <v>0</v>
      </c>
      <c r="AX47" s="20">
        <v>0</v>
      </c>
      <c r="AY47" s="20">
        <v>0</v>
      </c>
      <c r="AZ47" s="20">
        <v>0</v>
      </c>
      <c r="BA47" s="20">
        <v>0</v>
      </c>
      <c r="BB47" s="20">
        <v>0</v>
      </c>
      <c r="BC47" s="20">
        <v>0</v>
      </c>
      <c r="BD47" s="20">
        <v>0</v>
      </c>
      <c r="BE47" s="20">
        <v>0</v>
      </c>
      <c r="BF47" s="20">
        <v>0</v>
      </c>
      <c r="BG47" s="20">
        <v>0</v>
      </c>
      <c r="BH47" s="20">
        <v>0</v>
      </c>
      <c r="BI47" s="20">
        <v>0</v>
      </c>
      <c r="BJ47" s="20">
        <v>0</v>
      </c>
      <c r="BK47" s="20">
        <v>0</v>
      </c>
      <c r="BL47" s="20">
        <v>0</v>
      </c>
      <c r="BM47" s="20">
        <v>0</v>
      </c>
      <c r="BN47" s="20">
        <v>0</v>
      </c>
      <c r="BO47" s="20">
        <v>0</v>
      </c>
      <c r="BP47" s="20">
        <v>0</v>
      </c>
      <c r="BQ47" s="20">
        <v>0</v>
      </c>
      <c r="BR47" s="20">
        <v>0</v>
      </c>
      <c r="BS47" s="20">
        <v>0</v>
      </c>
      <c r="BT47" s="20">
        <v>0</v>
      </c>
      <c r="BU47" s="20">
        <v>0</v>
      </c>
      <c r="BV47" s="20">
        <v>0</v>
      </c>
      <c r="BW47" s="20">
        <v>0</v>
      </c>
      <c r="BX47" s="20">
        <v>0</v>
      </c>
      <c r="BY47" s="20">
        <v>0</v>
      </c>
      <c r="BZ47" s="20">
        <v>0</v>
      </c>
      <c r="CA47" s="20">
        <v>0</v>
      </c>
      <c r="CB47" s="20">
        <v>0</v>
      </c>
      <c r="CC47" s="20">
        <v>0</v>
      </c>
      <c r="CD47" s="20">
        <v>0</v>
      </c>
      <c r="CE47" s="20">
        <v>0</v>
      </c>
      <c r="CF47" s="20">
        <v>0</v>
      </c>
      <c r="CG47" s="20">
        <v>0</v>
      </c>
      <c r="CH47" s="20">
        <v>0</v>
      </c>
      <c r="CI47" s="20">
        <v>0</v>
      </c>
      <c r="CJ47" s="20">
        <v>0</v>
      </c>
      <c r="CK47" s="20">
        <v>0</v>
      </c>
      <c r="CL47" s="20">
        <v>0</v>
      </c>
      <c r="CM47" s="20">
        <v>0</v>
      </c>
      <c r="CN47" s="20">
        <v>0</v>
      </c>
      <c r="CO47" s="20">
        <v>0</v>
      </c>
      <c r="CP47" s="20">
        <v>0</v>
      </c>
      <c r="CQ47" s="20">
        <v>0</v>
      </c>
      <c r="CR47" s="20">
        <v>0</v>
      </c>
      <c r="CS47" s="20">
        <v>0</v>
      </c>
      <c r="CT47" s="20">
        <v>0</v>
      </c>
      <c r="CU47" s="20">
        <v>0</v>
      </c>
      <c r="CV47" s="20">
        <v>0</v>
      </c>
      <c r="CW47" s="20">
        <v>0</v>
      </c>
      <c r="CX47" s="20">
        <v>0</v>
      </c>
      <c r="CY47" s="20">
        <v>0</v>
      </c>
      <c r="CZ47" s="20">
        <v>0</v>
      </c>
      <c r="DA47" s="20">
        <v>0</v>
      </c>
      <c r="DB47" s="20">
        <v>0</v>
      </c>
      <c r="DC47" s="20">
        <v>0</v>
      </c>
      <c r="DD47" s="20">
        <v>0</v>
      </c>
      <c r="DE47" s="20">
        <v>0</v>
      </c>
      <c r="DF47" s="20">
        <v>0</v>
      </c>
      <c r="DG47" s="16">
        <f t="shared" si="4"/>
        <v>0</v>
      </c>
      <c r="DH47" s="16">
        <f t="shared" si="5"/>
        <v>0</v>
      </c>
      <c r="DI47" s="17" t="str">
        <f t="shared" si="6"/>
        <v/>
      </c>
      <c r="DJ47" s="119" t="s">
        <v>719</v>
      </c>
      <c r="DK47" s="44" t="s">
        <v>719</v>
      </c>
    </row>
    <row r="48" spans="1:115">
      <c r="A48" s="32" t="str">
        <f t="shared" si="7"/>
        <v xml:space="preserve">Powercor--&gt; 11 kV  &amp; &lt; = 22 kV ; COMMERCIAL &amp; INDUSTRIAL  </v>
      </c>
      <c r="B48" s="32" t="str">
        <f t="shared" si="8"/>
        <v>Powercor</v>
      </c>
      <c r="C48" s="416"/>
      <c r="D48" s="14"/>
      <c r="E48" s="15" t="s">
        <v>191</v>
      </c>
      <c r="F48" s="18">
        <v>0</v>
      </c>
      <c r="G48" s="18">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0">
        <v>0</v>
      </c>
      <c r="AY48" s="20">
        <v>0</v>
      </c>
      <c r="AZ48" s="20">
        <v>0</v>
      </c>
      <c r="BA48" s="20">
        <v>0</v>
      </c>
      <c r="BB48" s="20">
        <v>0</v>
      </c>
      <c r="BC48" s="20">
        <v>0</v>
      </c>
      <c r="BD48" s="20">
        <v>0</v>
      </c>
      <c r="BE48" s="20">
        <v>0</v>
      </c>
      <c r="BF48" s="20">
        <v>0</v>
      </c>
      <c r="BG48" s="20">
        <v>0</v>
      </c>
      <c r="BH48" s="20">
        <v>0</v>
      </c>
      <c r="BI48" s="20">
        <v>0</v>
      </c>
      <c r="BJ48" s="20">
        <v>0</v>
      </c>
      <c r="BK48" s="20">
        <v>0</v>
      </c>
      <c r="BL48" s="20">
        <v>0</v>
      </c>
      <c r="BM48" s="20">
        <v>0</v>
      </c>
      <c r="BN48" s="20">
        <v>0</v>
      </c>
      <c r="BO48" s="20">
        <v>0</v>
      </c>
      <c r="BP48" s="20">
        <v>0</v>
      </c>
      <c r="BQ48" s="20">
        <v>0</v>
      </c>
      <c r="BR48" s="20">
        <v>0</v>
      </c>
      <c r="BS48" s="20">
        <v>0</v>
      </c>
      <c r="BT48" s="20">
        <v>0</v>
      </c>
      <c r="BU48" s="20">
        <v>0</v>
      </c>
      <c r="BV48" s="20">
        <v>0</v>
      </c>
      <c r="BW48" s="20">
        <v>0</v>
      </c>
      <c r="BX48" s="20">
        <v>0</v>
      </c>
      <c r="BY48" s="20">
        <v>0</v>
      </c>
      <c r="BZ48" s="20">
        <v>0</v>
      </c>
      <c r="CA48" s="20">
        <v>0</v>
      </c>
      <c r="CB48" s="20">
        <v>0</v>
      </c>
      <c r="CC48" s="20">
        <v>0</v>
      </c>
      <c r="CD48" s="20">
        <v>0</v>
      </c>
      <c r="CE48" s="20">
        <v>0</v>
      </c>
      <c r="CF48" s="20">
        <v>0</v>
      </c>
      <c r="CG48" s="20">
        <v>0</v>
      </c>
      <c r="CH48" s="20">
        <v>0</v>
      </c>
      <c r="CI48" s="20">
        <v>0</v>
      </c>
      <c r="CJ48" s="20">
        <v>0</v>
      </c>
      <c r="CK48" s="20">
        <v>0</v>
      </c>
      <c r="CL48" s="20">
        <v>0</v>
      </c>
      <c r="CM48" s="20">
        <v>0</v>
      </c>
      <c r="CN48" s="20">
        <v>0</v>
      </c>
      <c r="CO48" s="20">
        <v>0</v>
      </c>
      <c r="CP48" s="20">
        <v>0</v>
      </c>
      <c r="CQ48" s="20">
        <v>0</v>
      </c>
      <c r="CR48" s="20">
        <v>0</v>
      </c>
      <c r="CS48" s="20">
        <v>0</v>
      </c>
      <c r="CT48" s="20">
        <v>0</v>
      </c>
      <c r="CU48" s="20">
        <v>0</v>
      </c>
      <c r="CV48" s="20">
        <v>0</v>
      </c>
      <c r="CW48" s="20">
        <v>0</v>
      </c>
      <c r="CX48" s="20">
        <v>0</v>
      </c>
      <c r="CY48" s="20">
        <v>0</v>
      </c>
      <c r="CZ48" s="20">
        <v>0</v>
      </c>
      <c r="DA48" s="20">
        <v>0</v>
      </c>
      <c r="DB48" s="20">
        <v>0</v>
      </c>
      <c r="DC48" s="20">
        <v>0</v>
      </c>
      <c r="DD48" s="20">
        <v>0</v>
      </c>
      <c r="DE48" s="20">
        <v>0</v>
      </c>
      <c r="DF48" s="20">
        <v>0</v>
      </c>
      <c r="DG48" s="16">
        <f t="shared" si="4"/>
        <v>0</v>
      </c>
      <c r="DH48" s="16">
        <f t="shared" si="5"/>
        <v>0</v>
      </c>
      <c r="DI48" s="17" t="str">
        <f t="shared" si="6"/>
        <v/>
      </c>
      <c r="DJ48" s="119" t="s">
        <v>719</v>
      </c>
      <c r="DK48" s="44" t="s">
        <v>719</v>
      </c>
    </row>
    <row r="49" spans="1:115">
      <c r="A49" s="32" t="str">
        <f t="shared" si="7"/>
        <v xml:space="preserve">Powercor--&gt; 11 kV  &amp; &lt; = 22 kV ; SUBDIVISION  </v>
      </c>
      <c r="B49" s="32" t="str">
        <f t="shared" si="8"/>
        <v>Powercor</v>
      </c>
      <c r="C49" s="416"/>
      <c r="D49" s="14"/>
      <c r="E49" s="15" t="s">
        <v>192</v>
      </c>
      <c r="F49" s="18">
        <v>0</v>
      </c>
      <c r="G49" s="18">
        <v>0</v>
      </c>
      <c r="H49" s="20">
        <v>0</v>
      </c>
      <c r="I49" s="20">
        <v>0</v>
      </c>
      <c r="J49" s="20">
        <v>0</v>
      </c>
      <c r="K49" s="20">
        <v>0</v>
      </c>
      <c r="L49" s="20">
        <v>0</v>
      </c>
      <c r="M49" s="20">
        <v>0</v>
      </c>
      <c r="N49" s="20">
        <v>0</v>
      </c>
      <c r="O49" s="20">
        <v>0</v>
      </c>
      <c r="P49" s="20">
        <v>0</v>
      </c>
      <c r="Q49" s="20">
        <v>0</v>
      </c>
      <c r="R49" s="20">
        <v>0</v>
      </c>
      <c r="S49" s="20">
        <v>0</v>
      </c>
      <c r="T49" s="20">
        <v>0</v>
      </c>
      <c r="U49" s="20">
        <v>0</v>
      </c>
      <c r="V49" s="20">
        <v>0</v>
      </c>
      <c r="W49" s="20">
        <v>0</v>
      </c>
      <c r="X49" s="20">
        <v>0</v>
      </c>
      <c r="Y49" s="20">
        <v>0</v>
      </c>
      <c r="Z49" s="20">
        <v>0</v>
      </c>
      <c r="AA49" s="20">
        <v>0</v>
      </c>
      <c r="AB49" s="20">
        <v>0</v>
      </c>
      <c r="AC49" s="20">
        <v>0</v>
      </c>
      <c r="AD49" s="20">
        <v>0</v>
      </c>
      <c r="AE49" s="20">
        <v>0</v>
      </c>
      <c r="AF49" s="20">
        <v>0</v>
      </c>
      <c r="AG49" s="20">
        <v>0</v>
      </c>
      <c r="AH49" s="20">
        <v>0</v>
      </c>
      <c r="AI49" s="20">
        <v>0</v>
      </c>
      <c r="AJ49" s="20">
        <v>0</v>
      </c>
      <c r="AK49" s="20">
        <v>0</v>
      </c>
      <c r="AL49" s="20">
        <v>0</v>
      </c>
      <c r="AM49" s="20">
        <v>0</v>
      </c>
      <c r="AN49" s="20">
        <v>0</v>
      </c>
      <c r="AO49" s="20">
        <v>0</v>
      </c>
      <c r="AP49" s="20">
        <v>0</v>
      </c>
      <c r="AQ49" s="20">
        <v>0</v>
      </c>
      <c r="AR49" s="20">
        <v>0</v>
      </c>
      <c r="AS49" s="20">
        <v>0</v>
      </c>
      <c r="AT49" s="20">
        <v>0</v>
      </c>
      <c r="AU49" s="20">
        <v>0</v>
      </c>
      <c r="AV49" s="20">
        <v>0</v>
      </c>
      <c r="AW49" s="20">
        <v>0</v>
      </c>
      <c r="AX49" s="20">
        <v>0</v>
      </c>
      <c r="AY49" s="20">
        <v>0</v>
      </c>
      <c r="AZ49" s="20">
        <v>0</v>
      </c>
      <c r="BA49" s="20">
        <v>0</v>
      </c>
      <c r="BB49" s="20">
        <v>0</v>
      </c>
      <c r="BC49" s="20">
        <v>0</v>
      </c>
      <c r="BD49" s="20">
        <v>0</v>
      </c>
      <c r="BE49" s="20">
        <v>0</v>
      </c>
      <c r="BF49" s="20">
        <v>0</v>
      </c>
      <c r="BG49" s="20">
        <v>0</v>
      </c>
      <c r="BH49" s="20">
        <v>0</v>
      </c>
      <c r="BI49" s="20">
        <v>0</v>
      </c>
      <c r="BJ49" s="20">
        <v>0</v>
      </c>
      <c r="BK49" s="20">
        <v>0</v>
      </c>
      <c r="BL49" s="20">
        <v>0</v>
      </c>
      <c r="BM49" s="20">
        <v>0</v>
      </c>
      <c r="BN49" s="20">
        <v>0</v>
      </c>
      <c r="BO49" s="20">
        <v>0</v>
      </c>
      <c r="BP49" s="20">
        <v>0</v>
      </c>
      <c r="BQ49" s="20">
        <v>0</v>
      </c>
      <c r="BR49" s="20">
        <v>0</v>
      </c>
      <c r="BS49" s="20">
        <v>0</v>
      </c>
      <c r="BT49" s="20">
        <v>0</v>
      </c>
      <c r="BU49" s="20">
        <v>0</v>
      </c>
      <c r="BV49" s="20">
        <v>0</v>
      </c>
      <c r="BW49" s="20">
        <v>0</v>
      </c>
      <c r="BX49" s="20">
        <v>0</v>
      </c>
      <c r="BY49" s="20">
        <v>0</v>
      </c>
      <c r="BZ49" s="20">
        <v>0</v>
      </c>
      <c r="CA49" s="20">
        <v>0</v>
      </c>
      <c r="CB49" s="20">
        <v>0</v>
      </c>
      <c r="CC49" s="20">
        <v>0</v>
      </c>
      <c r="CD49" s="20">
        <v>0</v>
      </c>
      <c r="CE49" s="20">
        <v>0</v>
      </c>
      <c r="CF49" s="20">
        <v>0</v>
      </c>
      <c r="CG49" s="20">
        <v>0</v>
      </c>
      <c r="CH49" s="20">
        <v>0</v>
      </c>
      <c r="CI49" s="20">
        <v>0</v>
      </c>
      <c r="CJ49" s="20">
        <v>0</v>
      </c>
      <c r="CK49" s="20">
        <v>0</v>
      </c>
      <c r="CL49" s="20">
        <v>0</v>
      </c>
      <c r="CM49" s="20">
        <v>0</v>
      </c>
      <c r="CN49" s="20">
        <v>0</v>
      </c>
      <c r="CO49" s="20">
        <v>0</v>
      </c>
      <c r="CP49" s="20">
        <v>0</v>
      </c>
      <c r="CQ49" s="20">
        <v>0</v>
      </c>
      <c r="CR49" s="20">
        <v>0</v>
      </c>
      <c r="CS49" s="20">
        <v>0</v>
      </c>
      <c r="CT49" s="20">
        <v>0</v>
      </c>
      <c r="CU49" s="20">
        <v>0</v>
      </c>
      <c r="CV49" s="20">
        <v>0</v>
      </c>
      <c r="CW49" s="20">
        <v>0</v>
      </c>
      <c r="CX49" s="20">
        <v>0</v>
      </c>
      <c r="CY49" s="20">
        <v>0</v>
      </c>
      <c r="CZ49" s="20">
        <v>0</v>
      </c>
      <c r="DA49" s="20">
        <v>0</v>
      </c>
      <c r="DB49" s="20">
        <v>0</v>
      </c>
      <c r="DC49" s="20">
        <v>0</v>
      </c>
      <c r="DD49" s="20">
        <v>0</v>
      </c>
      <c r="DE49" s="20">
        <v>0</v>
      </c>
      <c r="DF49" s="20">
        <v>0</v>
      </c>
      <c r="DG49" s="16">
        <f t="shared" si="4"/>
        <v>0</v>
      </c>
      <c r="DH49" s="16">
        <f t="shared" si="5"/>
        <v>0</v>
      </c>
      <c r="DI49" s="17" t="str">
        <f t="shared" si="6"/>
        <v/>
      </c>
      <c r="DJ49" s="119" t="s">
        <v>719</v>
      </c>
      <c r="DK49" s="44" t="s">
        <v>719</v>
      </c>
    </row>
    <row r="50" spans="1:115">
      <c r="A50" s="32" t="str">
        <f t="shared" si="7"/>
        <v xml:space="preserve">Powercor--&gt; 22 kV &amp; &lt; = 33 kV ; COMMERCIAL &amp; INDUSTRIAL  </v>
      </c>
      <c r="B50" s="32" t="str">
        <f t="shared" si="8"/>
        <v>Powercor</v>
      </c>
      <c r="C50" s="416"/>
      <c r="D50" s="14"/>
      <c r="E50" s="15" t="s">
        <v>193</v>
      </c>
      <c r="F50" s="18">
        <v>0</v>
      </c>
      <c r="G50" s="18">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0">
        <v>0</v>
      </c>
      <c r="AY50" s="20">
        <v>0</v>
      </c>
      <c r="AZ50" s="20">
        <v>0</v>
      </c>
      <c r="BA50" s="20">
        <v>0</v>
      </c>
      <c r="BB50" s="20">
        <v>0</v>
      </c>
      <c r="BC50" s="20">
        <v>0</v>
      </c>
      <c r="BD50" s="20">
        <v>0</v>
      </c>
      <c r="BE50" s="20">
        <v>0</v>
      </c>
      <c r="BF50" s="20">
        <v>0</v>
      </c>
      <c r="BG50" s="20">
        <v>0</v>
      </c>
      <c r="BH50" s="20">
        <v>0</v>
      </c>
      <c r="BI50" s="20">
        <v>0</v>
      </c>
      <c r="BJ50" s="20">
        <v>0</v>
      </c>
      <c r="BK50" s="20">
        <v>0</v>
      </c>
      <c r="BL50" s="20">
        <v>0</v>
      </c>
      <c r="BM50" s="20">
        <v>0</v>
      </c>
      <c r="BN50" s="20">
        <v>0</v>
      </c>
      <c r="BO50" s="20">
        <v>0</v>
      </c>
      <c r="BP50" s="20">
        <v>0</v>
      </c>
      <c r="BQ50" s="20">
        <v>0</v>
      </c>
      <c r="BR50" s="20">
        <v>0</v>
      </c>
      <c r="BS50" s="20">
        <v>0</v>
      </c>
      <c r="BT50" s="20">
        <v>0</v>
      </c>
      <c r="BU50" s="20">
        <v>0</v>
      </c>
      <c r="BV50" s="20">
        <v>0</v>
      </c>
      <c r="BW50" s="20">
        <v>0</v>
      </c>
      <c r="BX50" s="20">
        <v>0</v>
      </c>
      <c r="BY50" s="20">
        <v>0</v>
      </c>
      <c r="BZ50" s="20">
        <v>0</v>
      </c>
      <c r="CA50" s="20">
        <v>0</v>
      </c>
      <c r="CB50" s="20">
        <v>0</v>
      </c>
      <c r="CC50" s="20">
        <v>0</v>
      </c>
      <c r="CD50" s="20">
        <v>0</v>
      </c>
      <c r="CE50" s="20">
        <v>0</v>
      </c>
      <c r="CF50" s="20">
        <v>0</v>
      </c>
      <c r="CG50" s="20">
        <v>0</v>
      </c>
      <c r="CH50" s="20">
        <v>0</v>
      </c>
      <c r="CI50" s="20">
        <v>0</v>
      </c>
      <c r="CJ50" s="20">
        <v>0</v>
      </c>
      <c r="CK50" s="20">
        <v>0</v>
      </c>
      <c r="CL50" s="20">
        <v>0</v>
      </c>
      <c r="CM50" s="20">
        <v>0</v>
      </c>
      <c r="CN50" s="20">
        <v>0</v>
      </c>
      <c r="CO50" s="20">
        <v>0</v>
      </c>
      <c r="CP50" s="20">
        <v>0</v>
      </c>
      <c r="CQ50" s="20">
        <v>0</v>
      </c>
      <c r="CR50" s="20">
        <v>0</v>
      </c>
      <c r="CS50" s="20">
        <v>0</v>
      </c>
      <c r="CT50" s="20">
        <v>0</v>
      </c>
      <c r="CU50" s="20">
        <v>0</v>
      </c>
      <c r="CV50" s="20">
        <v>0</v>
      </c>
      <c r="CW50" s="20">
        <v>0</v>
      </c>
      <c r="CX50" s="20">
        <v>0</v>
      </c>
      <c r="CY50" s="20">
        <v>0</v>
      </c>
      <c r="CZ50" s="20">
        <v>0</v>
      </c>
      <c r="DA50" s="20">
        <v>0</v>
      </c>
      <c r="DB50" s="20">
        <v>0</v>
      </c>
      <c r="DC50" s="20">
        <v>0</v>
      </c>
      <c r="DD50" s="20">
        <v>0</v>
      </c>
      <c r="DE50" s="20">
        <v>0</v>
      </c>
      <c r="DF50" s="20">
        <v>0</v>
      </c>
      <c r="DG50" s="16">
        <f t="shared" si="4"/>
        <v>0</v>
      </c>
      <c r="DH50" s="16">
        <f t="shared" si="5"/>
        <v>0</v>
      </c>
      <c r="DI50" s="17" t="str">
        <f t="shared" si="6"/>
        <v/>
      </c>
      <c r="DJ50" s="119" t="s">
        <v>719</v>
      </c>
      <c r="DK50" s="44" t="s">
        <v>719</v>
      </c>
    </row>
    <row r="51" spans="1:115">
      <c r="A51" s="32" t="str">
        <f t="shared" si="7"/>
        <v xml:space="preserve">Powercor--&gt; 22 kV &amp; &lt; = 33 kV ; SUBDIVISION  </v>
      </c>
      <c r="B51" s="32" t="str">
        <f t="shared" si="8"/>
        <v>Powercor</v>
      </c>
      <c r="C51" s="416"/>
      <c r="D51" s="14"/>
      <c r="E51" s="15" t="s">
        <v>194</v>
      </c>
      <c r="F51" s="18">
        <v>0</v>
      </c>
      <c r="G51" s="18">
        <v>0</v>
      </c>
      <c r="H51" s="20">
        <v>0</v>
      </c>
      <c r="I51" s="20">
        <v>0</v>
      </c>
      <c r="J51" s="20">
        <v>0</v>
      </c>
      <c r="K51" s="20">
        <v>0</v>
      </c>
      <c r="L51" s="20">
        <v>0</v>
      </c>
      <c r="M51" s="20">
        <v>0</v>
      </c>
      <c r="N51" s="20">
        <v>0</v>
      </c>
      <c r="O51" s="20">
        <v>0</v>
      </c>
      <c r="P51" s="20">
        <v>0</v>
      </c>
      <c r="Q51" s="20">
        <v>0</v>
      </c>
      <c r="R51" s="20">
        <v>0</v>
      </c>
      <c r="S51" s="20">
        <v>0</v>
      </c>
      <c r="T51" s="20">
        <v>0</v>
      </c>
      <c r="U51" s="20">
        <v>0</v>
      </c>
      <c r="V51" s="20">
        <v>0</v>
      </c>
      <c r="W51" s="20">
        <v>0</v>
      </c>
      <c r="X51" s="20">
        <v>0</v>
      </c>
      <c r="Y51" s="20">
        <v>0</v>
      </c>
      <c r="Z51" s="20">
        <v>0</v>
      </c>
      <c r="AA51" s="20">
        <v>0</v>
      </c>
      <c r="AB51" s="20">
        <v>0</v>
      </c>
      <c r="AC51" s="20">
        <v>0</v>
      </c>
      <c r="AD51" s="20">
        <v>0</v>
      </c>
      <c r="AE51" s="20">
        <v>0</v>
      </c>
      <c r="AF51" s="20">
        <v>0</v>
      </c>
      <c r="AG51" s="20">
        <v>0</v>
      </c>
      <c r="AH51" s="20">
        <v>0</v>
      </c>
      <c r="AI51" s="20">
        <v>0</v>
      </c>
      <c r="AJ51" s="20">
        <v>0</v>
      </c>
      <c r="AK51" s="20">
        <v>0</v>
      </c>
      <c r="AL51" s="20">
        <v>0</v>
      </c>
      <c r="AM51" s="20">
        <v>0</v>
      </c>
      <c r="AN51" s="20">
        <v>0</v>
      </c>
      <c r="AO51" s="20">
        <v>0</v>
      </c>
      <c r="AP51" s="20">
        <v>0</v>
      </c>
      <c r="AQ51" s="20">
        <v>0</v>
      </c>
      <c r="AR51" s="20">
        <v>0</v>
      </c>
      <c r="AS51" s="20">
        <v>0</v>
      </c>
      <c r="AT51" s="20">
        <v>0</v>
      </c>
      <c r="AU51" s="20">
        <v>0</v>
      </c>
      <c r="AV51" s="20">
        <v>0</v>
      </c>
      <c r="AW51" s="20">
        <v>0</v>
      </c>
      <c r="AX51" s="20">
        <v>0</v>
      </c>
      <c r="AY51" s="20">
        <v>0</v>
      </c>
      <c r="AZ51" s="20">
        <v>0</v>
      </c>
      <c r="BA51" s="20">
        <v>0</v>
      </c>
      <c r="BB51" s="20">
        <v>0</v>
      </c>
      <c r="BC51" s="20">
        <v>0</v>
      </c>
      <c r="BD51" s="20">
        <v>0</v>
      </c>
      <c r="BE51" s="20">
        <v>0</v>
      </c>
      <c r="BF51" s="20">
        <v>0</v>
      </c>
      <c r="BG51" s="20">
        <v>0</v>
      </c>
      <c r="BH51" s="20">
        <v>0</v>
      </c>
      <c r="BI51" s="20">
        <v>0</v>
      </c>
      <c r="BJ51" s="20">
        <v>0</v>
      </c>
      <c r="BK51" s="20">
        <v>0</v>
      </c>
      <c r="BL51" s="20">
        <v>0</v>
      </c>
      <c r="BM51" s="20">
        <v>0</v>
      </c>
      <c r="BN51" s="20">
        <v>0</v>
      </c>
      <c r="BO51" s="20">
        <v>0</v>
      </c>
      <c r="BP51" s="20">
        <v>0</v>
      </c>
      <c r="BQ51" s="20">
        <v>0</v>
      </c>
      <c r="BR51" s="20">
        <v>0</v>
      </c>
      <c r="BS51" s="20">
        <v>0</v>
      </c>
      <c r="BT51" s="20">
        <v>0</v>
      </c>
      <c r="BU51" s="20">
        <v>0</v>
      </c>
      <c r="BV51" s="20">
        <v>0</v>
      </c>
      <c r="BW51" s="20">
        <v>0</v>
      </c>
      <c r="BX51" s="20">
        <v>0</v>
      </c>
      <c r="BY51" s="20">
        <v>0</v>
      </c>
      <c r="BZ51" s="20">
        <v>0</v>
      </c>
      <c r="CA51" s="20">
        <v>0</v>
      </c>
      <c r="CB51" s="20">
        <v>0</v>
      </c>
      <c r="CC51" s="20">
        <v>0</v>
      </c>
      <c r="CD51" s="20">
        <v>0</v>
      </c>
      <c r="CE51" s="20">
        <v>0</v>
      </c>
      <c r="CF51" s="20">
        <v>0</v>
      </c>
      <c r="CG51" s="20">
        <v>0</v>
      </c>
      <c r="CH51" s="20">
        <v>0</v>
      </c>
      <c r="CI51" s="20">
        <v>0</v>
      </c>
      <c r="CJ51" s="20">
        <v>0</v>
      </c>
      <c r="CK51" s="20">
        <v>0</v>
      </c>
      <c r="CL51" s="20">
        <v>0</v>
      </c>
      <c r="CM51" s="20">
        <v>0</v>
      </c>
      <c r="CN51" s="20">
        <v>0</v>
      </c>
      <c r="CO51" s="20">
        <v>0</v>
      </c>
      <c r="CP51" s="20">
        <v>0</v>
      </c>
      <c r="CQ51" s="20">
        <v>0</v>
      </c>
      <c r="CR51" s="20">
        <v>0</v>
      </c>
      <c r="CS51" s="20">
        <v>0</v>
      </c>
      <c r="CT51" s="20">
        <v>0</v>
      </c>
      <c r="CU51" s="20">
        <v>0</v>
      </c>
      <c r="CV51" s="20">
        <v>0</v>
      </c>
      <c r="CW51" s="20">
        <v>0</v>
      </c>
      <c r="CX51" s="20">
        <v>0</v>
      </c>
      <c r="CY51" s="20">
        <v>0</v>
      </c>
      <c r="CZ51" s="20">
        <v>0</v>
      </c>
      <c r="DA51" s="20">
        <v>0</v>
      </c>
      <c r="DB51" s="20">
        <v>0</v>
      </c>
      <c r="DC51" s="20">
        <v>0</v>
      </c>
      <c r="DD51" s="20">
        <v>0</v>
      </c>
      <c r="DE51" s="20">
        <v>0</v>
      </c>
      <c r="DF51" s="20">
        <v>0</v>
      </c>
      <c r="DG51" s="16">
        <f t="shared" si="4"/>
        <v>0</v>
      </c>
      <c r="DH51" s="16">
        <f t="shared" si="5"/>
        <v>0</v>
      </c>
      <c r="DI51" s="17" t="str">
        <f t="shared" si="6"/>
        <v/>
      </c>
      <c r="DJ51" s="119" t="s">
        <v>719</v>
      </c>
      <c r="DK51" s="44" t="s">
        <v>719</v>
      </c>
    </row>
    <row r="52" spans="1:115">
      <c r="A52" s="32" t="str">
        <f t="shared" si="7"/>
        <v xml:space="preserve">Powercor--&gt; 33 kV &amp; &lt; = 66 kV ; COMMERCIAL &amp; INDUSTRIAL  </v>
      </c>
      <c r="B52" s="32" t="str">
        <f t="shared" si="8"/>
        <v>Powercor</v>
      </c>
      <c r="C52" s="416"/>
      <c r="D52" s="14"/>
      <c r="E52" s="15" t="s">
        <v>195</v>
      </c>
      <c r="F52" s="18">
        <v>0</v>
      </c>
      <c r="G52" s="18">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0">
        <v>0</v>
      </c>
      <c r="AY52" s="20">
        <v>0</v>
      </c>
      <c r="AZ52" s="20">
        <v>0</v>
      </c>
      <c r="BA52" s="20">
        <v>0</v>
      </c>
      <c r="BB52" s="20">
        <v>0</v>
      </c>
      <c r="BC52" s="20">
        <v>0</v>
      </c>
      <c r="BD52" s="20">
        <v>0</v>
      </c>
      <c r="BE52" s="20">
        <v>0</v>
      </c>
      <c r="BF52" s="20">
        <v>0</v>
      </c>
      <c r="BG52" s="20">
        <v>0</v>
      </c>
      <c r="BH52" s="20">
        <v>0</v>
      </c>
      <c r="BI52" s="20">
        <v>0</v>
      </c>
      <c r="BJ52" s="20">
        <v>0</v>
      </c>
      <c r="BK52" s="20">
        <v>0</v>
      </c>
      <c r="BL52" s="20">
        <v>0</v>
      </c>
      <c r="BM52" s="20">
        <v>0</v>
      </c>
      <c r="BN52" s="20">
        <v>0</v>
      </c>
      <c r="BO52" s="20">
        <v>0</v>
      </c>
      <c r="BP52" s="20">
        <v>0</v>
      </c>
      <c r="BQ52" s="20">
        <v>0</v>
      </c>
      <c r="BR52" s="20">
        <v>0</v>
      </c>
      <c r="BS52" s="20">
        <v>0</v>
      </c>
      <c r="BT52" s="20">
        <v>0</v>
      </c>
      <c r="BU52" s="20">
        <v>0</v>
      </c>
      <c r="BV52" s="20">
        <v>0</v>
      </c>
      <c r="BW52" s="20">
        <v>0</v>
      </c>
      <c r="BX52" s="20">
        <v>0</v>
      </c>
      <c r="BY52" s="20">
        <v>0</v>
      </c>
      <c r="BZ52" s="20">
        <v>0</v>
      </c>
      <c r="CA52" s="20">
        <v>0</v>
      </c>
      <c r="CB52" s="20">
        <v>0</v>
      </c>
      <c r="CC52" s="20">
        <v>0</v>
      </c>
      <c r="CD52" s="20">
        <v>0</v>
      </c>
      <c r="CE52" s="20">
        <v>0</v>
      </c>
      <c r="CF52" s="20">
        <v>0</v>
      </c>
      <c r="CG52" s="20">
        <v>0</v>
      </c>
      <c r="CH52" s="20">
        <v>0</v>
      </c>
      <c r="CI52" s="20">
        <v>0</v>
      </c>
      <c r="CJ52" s="20">
        <v>0</v>
      </c>
      <c r="CK52" s="20">
        <v>0</v>
      </c>
      <c r="CL52" s="20">
        <v>0</v>
      </c>
      <c r="CM52" s="20">
        <v>0</v>
      </c>
      <c r="CN52" s="20">
        <v>0</v>
      </c>
      <c r="CO52" s="20">
        <v>0</v>
      </c>
      <c r="CP52" s="20">
        <v>0</v>
      </c>
      <c r="CQ52" s="20">
        <v>0</v>
      </c>
      <c r="CR52" s="20">
        <v>0</v>
      </c>
      <c r="CS52" s="20">
        <v>0</v>
      </c>
      <c r="CT52" s="20">
        <v>0</v>
      </c>
      <c r="CU52" s="20">
        <v>0</v>
      </c>
      <c r="CV52" s="20">
        <v>0</v>
      </c>
      <c r="CW52" s="20">
        <v>0</v>
      </c>
      <c r="CX52" s="20">
        <v>0</v>
      </c>
      <c r="CY52" s="20">
        <v>0</v>
      </c>
      <c r="CZ52" s="20">
        <v>0</v>
      </c>
      <c r="DA52" s="20">
        <v>0</v>
      </c>
      <c r="DB52" s="20">
        <v>0</v>
      </c>
      <c r="DC52" s="20">
        <v>0</v>
      </c>
      <c r="DD52" s="20">
        <v>0</v>
      </c>
      <c r="DE52" s="20">
        <v>0</v>
      </c>
      <c r="DF52" s="20">
        <v>0</v>
      </c>
      <c r="DG52" s="16">
        <f t="shared" si="4"/>
        <v>0</v>
      </c>
      <c r="DH52" s="16">
        <f t="shared" si="5"/>
        <v>0</v>
      </c>
      <c r="DI52" s="17" t="str">
        <f t="shared" si="6"/>
        <v/>
      </c>
      <c r="DJ52" s="119" t="s">
        <v>719</v>
      </c>
      <c r="DK52" s="44" t="s">
        <v>719</v>
      </c>
    </row>
    <row r="53" spans="1:115">
      <c r="A53" s="32" t="str">
        <f t="shared" si="7"/>
        <v xml:space="preserve">Powercor--&gt; 33 kV &amp; &lt; = 66 kV ; SUBDIVISION  </v>
      </c>
      <c r="B53" s="32" t="str">
        <f t="shared" si="8"/>
        <v>Powercor</v>
      </c>
      <c r="C53" s="416"/>
      <c r="D53" s="14"/>
      <c r="E53" s="15" t="s">
        <v>196</v>
      </c>
      <c r="F53" s="18">
        <v>0</v>
      </c>
      <c r="G53" s="18">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0">
        <v>0</v>
      </c>
      <c r="AY53" s="20">
        <v>0</v>
      </c>
      <c r="AZ53" s="20">
        <v>0</v>
      </c>
      <c r="BA53" s="20">
        <v>0</v>
      </c>
      <c r="BB53" s="20">
        <v>0</v>
      </c>
      <c r="BC53" s="20">
        <v>0</v>
      </c>
      <c r="BD53" s="20">
        <v>0</v>
      </c>
      <c r="BE53" s="20">
        <v>0</v>
      </c>
      <c r="BF53" s="20">
        <v>0</v>
      </c>
      <c r="BG53" s="20">
        <v>0</v>
      </c>
      <c r="BH53" s="20">
        <v>0</v>
      </c>
      <c r="BI53" s="20">
        <v>0</v>
      </c>
      <c r="BJ53" s="20">
        <v>0</v>
      </c>
      <c r="BK53" s="20">
        <v>0</v>
      </c>
      <c r="BL53" s="20">
        <v>0</v>
      </c>
      <c r="BM53" s="20">
        <v>0</v>
      </c>
      <c r="BN53" s="20">
        <v>0</v>
      </c>
      <c r="BO53" s="20">
        <v>0</v>
      </c>
      <c r="BP53" s="20">
        <v>0</v>
      </c>
      <c r="BQ53" s="20">
        <v>0</v>
      </c>
      <c r="BR53" s="20">
        <v>0</v>
      </c>
      <c r="BS53" s="20">
        <v>0</v>
      </c>
      <c r="BT53" s="20">
        <v>0</v>
      </c>
      <c r="BU53" s="20">
        <v>0</v>
      </c>
      <c r="BV53" s="20">
        <v>0</v>
      </c>
      <c r="BW53" s="20">
        <v>0</v>
      </c>
      <c r="BX53" s="20">
        <v>0</v>
      </c>
      <c r="BY53" s="20">
        <v>0</v>
      </c>
      <c r="BZ53" s="20">
        <v>0</v>
      </c>
      <c r="CA53" s="20">
        <v>0</v>
      </c>
      <c r="CB53" s="20">
        <v>0</v>
      </c>
      <c r="CC53" s="20">
        <v>0</v>
      </c>
      <c r="CD53" s="20">
        <v>0</v>
      </c>
      <c r="CE53" s="20">
        <v>0</v>
      </c>
      <c r="CF53" s="20">
        <v>0</v>
      </c>
      <c r="CG53" s="20">
        <v>0</v>
      </c>
      <c r="CH53" s="20">
        <v>0</v>
      </c>
      <c r="CI53" s="20">
        <v>0</v>
      </c>
      <c r="CJ53" s="20">
        <v>0</v>
      </c>
      <c r="CK53" s="20">
        <v>0</v>
      </c>
      <c r="CL53" s="20">
        <v>0</v>
      </c>
      <c r="CM53" s="20">
        <v>0</v>
      </c>
      <c r="CN53" s="20">
        <v>0</v>
      </c>
      <c r="CO53" s="20">
        <v>0</v>
      </c>
      <c r="CP53" s="20">
        <v>0</v>
      </c>
      <c r="CQ53" s="20">
        <v>0</v>
      </c>
      <c r="CR53" s="20">
        <v>0</v>
      </c>
      <c r="CS53" s="20">
        <v>0</v>
      </c>
      <c r="CT53" s="20">
        <v>0</v>
      </c>
      <c r="CU53" s="20">
        <v>0</v>
      </c>
      <c r="CV53" s="20">
        <v>0</v>
      </c>
      <c r="CW53" s="20">
        <v>0</v>
      </c>
      <c r="CX53" s="20">
        <v>0</v>
      </c>
      <c r="CY53" s="20">
        <v>0</v>
      </c>
      <c r="CZ53" s="20">
        <v>0</v>
      </c>
      <c r="DA53" s="20">
        <v>0</v>
      </c>
      <c r="DB53" s="20">
        <v>0</v>
      </c>
      <c r="DC53" s="20">
        <v>0</v>
      </c>
      <c r="DD53" s="20">
        <v>0</v>
      </c>
      <c r="DE53" s="20">
        <v>0</v>
      </c>
      <c r="DF53" s="20">
        <v>0</v>
      </c>
      <c r="DG53" s="16">
        <f t="shared" si="4"/>
        <v>0</v>
      </c>
      <c r="DH53" s="16">
        <f t="shared" si="5"/>
        <v>0</v>
      </c>
      <c r="DI53" s="17" t="str">
        <f t="shared" si="6"/>
        <v/>
      </c>
      <c r="DJ53" s="119" t="s">
        <v>719</v>
      </c>
      <c r="DK53" s="44" t="s">
        <v>719</v>
      </c>
    </row>
    <row r="54" spans="1:115">
      <c r="A54" s="32" t="str">
        <f t="shared" si="7"/>
        <v xml:space="preserve">Powercor--&gt; 66 kV &amp; &lt; = 132 kV ; COMMERCIAL &amp; INDUSTRIAL  </v>
      </c>
      <c r="B54" s="32" t="str">
        <f t="shared" si="8"/>
        <v>Powercor</v>
      </c>
      <c r="C54" s="416"/>
      <c r="D54" s="14"/>
      <c r="E54" s="15" t="s">
        <v>197</v>
      </c>
      <c r="F54" s="18">
        <v>0</v>
      </c>
      <c r="G54" s="18">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0">
        <v>0</v>
      </c>
      <c r="AY54" s="20">
        <v>0</v>
      </c>
      <c r="AZ54" s="20">
        <v>0</v>
      </c>
      <c r="BA54" s="20">
        <v>0</v>
      </c>
      <c r="BB54" s="20">
        <v>0</v>
      </c>
      <c r="BC54" s="20">
        <v>0</v>
      </c>
      <c r="BD54" s="20">
        <v>0</v>
      </c>
      <c r="BE54" s="20">
        <v>0</v>
      </c>
      <c r="BF54" s="20">
        <v>0</v>
      </c>
      <c r="BG54" s="20">
        <v>0</v>
      </c>
      <c r="BH54" s="20">
        <v>0</v>
      </c>
      <c r="BI54" s="20">
        <v>0</v>
      </c>
      <c r="BJ54" s="20">
        <v>0</v>
      </c>
      <c r="BK54" s="20">
        <v>0</v>
      </c>
      <c r="BL54" s="20">
        <v>0</v>
      </c>
      <c r="BM54" s="20">
        <v>0</v>
      </c>
      <c r="BN54" s="20">
        <v>0</v>
      </c>
      <c r="BO54" s="20">
        <v>0</v>
      </c>
      <c r="BP54" s="20">
        <v>0</v>
      </c>
      <c r="BQ54" s="20">
        <v>0</v>
      </c>
      <c r="BR54" s="20">
        <v>0</v>
      </c>
      <c r="BS54" s="20">
        <v>0</v>
      </c>
      <c r="BT54" s="20">
        <v>0</v>
      </c>
      <c r="BU54" s="20">
        <v>0</v>
      </c>
      <c r="BV54" s="20">
        <v>0</v>
      </c>
      <c r="BW54" s="20">
        <v>0</v>
      </c>
      <c r="BX54" s="20">
        <v>0</v>
      </c>
      <c r="BY54" s="20">
        <v>0</v>
      </c>
      <c r="BZ54" s="20">
        <v>0</v>
      </c>
      <c r="CA54" s="20">
        <v>0</v>
      </c>
      <c r="CB54" s="20">
        <v>0</v>
      </c>
      <c r="CC54" s="20">
        <v>0</v>
      </c>
      <c r="CD54" s="20">
        <v>0</v>
      </c>
      <c r="CE54" s="20">
        <v>0</v>
      </c>
      <c r="CF54" s="20">
        <v>0</v>
      </c>
      <c r="CG54" s="20">
        <v>0</v>
      </c>
      <c r="CH54" s="20">
        <v>0</v>
      </c>
      <c r="CI54" s="20">
        <v>0</v>
      </c>
      <c r="CJ54" s="20">
        <v>0</v>
      </c>
      <c r="CK54" s="20">
        <v>0</v>
      </c>
      <c r="CL54" s="20">
        <v>0</v>
      </c>
      <c r="CM54" s="20">
        <v>0</v>
      </c>
      <c r="CN54" s="20">
        <v>0</v>
      </c>
      <c r="CO54" s="20">
        <v>0</v>
      </c>
      <c r="CP54" s="20">
        <v>0</v>
      </c>
      <c r="CQ54" s="20">
        <v>0</v>
      </c>
      <c r="CR54" s="20">
        <v>0</v>
      </c>
      <c r="CS54" s="20">
        <v>0</v>
      </c>
      <c r="CT54" s="20">
        <v>0</v>
      </c>
      <c r="CU54" s="20">
        <v>0</v>
      </c>
      <c r="CV54" s="20">
        <v>0</v>
      </c>
      <c r="CW54" s="20">
        <v>0</v>
      </c>
      <c r="CX54" s="20">
        <v>0</v>
      </c>
      <c r="CY54" s="20">
        <v>0</v>
      </c>
      <c r="CZ54" s="20">
        <v>0</v>
      </c>
      <c r="DA54" s="20">
        <v>0</v>
      </c>
      <c r="DB54" s="20">
        <v>0</v>
      </c>
      <c r="DC54" s="20">
        <v>0</v>
      </c>
      <c r="DD54" s="20">
        <v>0</v>
      </c>
      <c r="DE54" s="20">
        <v>0</v>
      </c>
      <c r="DF54" s="20">
        <v>0</v>
      </c>
      <c r="DG54" s="16">
        <f t="shared" si="4"/>
        <v>0</v>
      </c>
      <c r="DH54" s="16">
        <f t="shared" si="5"/>
        <v>0</v>
      </c>
      <c r="DI54" s="17" t="str">
        <f t="shared" si="6"/>
        <v/>
      </c>
      <c r="DJ54" s="119" t="s">
        <v>719</v>
      </c>
      <c r="DK54" s="44" t="s">
        <v>719</v>
      </c>
    </row>
    <row r="55" spans="1:115">
      <c r="A55" s="32" t="str">
        <f t="shared" si="7"/>
        <v xml:space="preserve">Powercor--&gt; 66 kV &amp; &lt; = 132 kV ; SUBDIVISION  </v>
      </c>
      <c r="B55" s="32" t="str">
        <f t="shared" si="8"/>
        <v>Powercor</v>
      </c>
      <c r="C55" s="416"/>
      <c r="D55" s="14"/>
      <c r="E55" s="15" t="s">
        <v>198</v>
      </c>
      <c r="F55" s="18">
        <v>0</v>
      </c>
      <c r="G55" s="18">
        <v>0</v>
      </c>
      <c r="H55" s="20">
        <v>0</v>
      </c>
      <c r="I55" s="20">
        <v>0</v>
      </c>
      <c r="J55" s="20">
        <v>0</v>
      </c>
      <c r="K55" s="20">
        <v>0</v>
      </c>
      <c r="L55" s="20">
        <v>0</v>
      </c>
      <c r="M55" s="20">
        <v>0</v>
      </c>
      <c r="N55" s="20">
        <v>0</v>
      </c>
      <c r="O55" s="20">
        <v>0</v>
      </c>
      <c r="P55" s="20">
        <v>0</v>
      </c>
      <c r="Q55" s="20">
        <v>0</v>
      </c>
      <c r="R55" s="20">
        <v>0</v>
      </c>
      <c r="S55" s="20">
        <v>0</v>
      </c>
      <c r="T55" s="20">
        <v>0</v>
      </c>
      <c r="U55" s="20">
        <v>0</v>
      </c>
      <c r="V55" s="20">
        <v>0</v>
      </c>
      <c r="W55" s="20">
        <v>0</v>
      </c>
      <c r="X55" s="20">
        <v>0</v>
      </c>
      <c r="Y55" s="20">
        <v>0</v>
      </c>
      <c r="Z55" s="20">
        <v>0</v>
      </c>
      <c r="AA55" s="20">
        <v>0</v>
      </c>
      <c r="AB55" s="20">
        <v>0</v>
      </c>
      <c r="AC55" s="20">
        <v>0</v>
      </c>
      <c r="AD55" s="20">
        <v>0</v>
      </c>
      <c r="AE55" s="20">
        <v>0</v>
      </c>
      <c r="AF55" s="20">
        <v>0</v>
      </c>
      <c r="AG55" s="20">
        <v>0</v>
      </c>
      <c r="AH55" s="20">
        <v>0</v>
      </c>
      <c r="AI55" s="20">
        <v>0</v>
      </c>
      <c r="AJ55" s="20">
        <v>0</v>
      </c>
      <c r="AK55" s="20">
        <v>0</v>
      </c>
      <c r="AL55" s="20">
        <v>0</v>
      </c>
      <c r="AM55" s="20">
        <v>0</v>
      </c>
      <c r="AN55" s="20">
        <v>0</v>
      </c>
      <c r="AO55" s="20">
        <v>0</v>
      </c>
      <c r="AP55" s="20">
        <v>0</v>
      </c>
      <c r="AQ55" s="20">
        <v>0</v>
      </c>
      <c r="AR55" s="20">
        <v>0</v>
      </c>
      <c r="AS55" s="20">
        <v>0</v>
      </c>
      <c r="AT55" s="20">
        <v>0</v>
      </c>
      <c r="AU55" s="20">
        <v>0</v>
      </c>
      <c r="AV55" s="20">
        <v>0</v>
      </c>
      <c r="AW55" s="20">
        <v>0</v>
      </c>
      <c r="AX55" s="20">
        <v>0</v>
      </c>
      <c r="AY55" s="20">
        <v>0</v>
      </c>
      <c r="AZ55" s="20">
        <v>0</v>
      </c>
      <c r="BA55" s="20">
        <v>0</v>
      </c>
      <c r="BB55" s="20">
        <v>0</v>
      </c>
      <c r="BC55" s="20">
        <v>0</v>
      </c>
      <c r="BD55" s="20">
        <v>0</v>
      </c>
      <c r="BE55" s="20">
        <v>0</v>
      </c>
      <c r="BF55" s="20">
        <v>0</v>
      </c>
      <c r="BG55" s="20">
        <v>0</v>
      </c>
      <c r="BH55" s="20">
        <v>0</v>
      </c>
      <c r="BI55" s="20">
        <v>0</v>
      </c>
      <c r="BJ55" s="20">
        <v>0</v>
      </c>
      <c r="BK55" s="20">
        <v>0</v>
      </c>
      <c r="BL55" s="20">
        <v>0</v>
      </c>
      <c r="BM55" s="20">
        <v>0</v>
      </c>
      <c r="BN55" s="20">
        <v>0</v>
      </c>
      <c r="BO55" s="20">
        <v>0</v>
      </c>
      <c r="BP55" s="20">
        <v>0</v>
      </c>
      <c r="BQ55" s="20">
        <v>0</v>
      </c>
      <c r="BR55" s="20">
        <v>0</v>
      </c>
      <c r="BS55" s="20">
        <v>0</v>
      </c>
      <c r="BT55" s="20">
        <v>0</v>
      </c>
      <c r="BU55" s="20">
        <v>0</v>
      </c>
      <c r="BV55" s="20">
        <v>0</v>
      </c>
      <c r="BW55" s="20">
        <v>0</v>
      </c>
      <c r="BX55" s="20">
        <v>0</v>
      </c>
      <c r="BY55" s="20">
        <v>0</v>
      </c>
      <c r="BZ55" s="20">
        <v>0</v>
      </c>
      <c r="CA55" s="20">
        <v>0</v>
      </c>
      <c r="CB55" s="20">
        <v>0</v>
      </c>
      <c r="CC55" s="20">
        <v>0</v>
      </c>
      <c r="CD55" s="20">
        <v>0</v>
      </c>
      <c r="CE55" s="20">
        <v>0</v>
      </c>
      <c r="CF55" s="20">
        <v>0</v>
      </c>
      <c r="CG55" s="20">
        <v>0</v>
      </c>
      <c r="CH55" s="20">
        <v>0</v>
      </c>
      <c r="CI55" s="20">
        <v>0</v>
      </c>
      <c r="CJ55" s="20">
        <v>0</v>
      </c>
      <c r="CK55" s="20">
        <v>0</v>
      </c>
      <c r="CL55" s="20">
        <v>0</v>
      </c>
      <c r="CM55" s="20">
        <v>0</v>
      </c>
      <c r="CN55" s="20">
        <v>0</v>
      </c>
      <c r="CO55" s="20">
        <v>0</v>
      </c>
      <c r="CP55" s="20">
        <v>0</v>
      </c>
      <c r="CQ55" s="20">
        <v>0</v>
      </c>
      <c r="CR55" s="20">
        <v>0</v>
      </c>
      <c r="CS55" s="20">
        <v>0</v>
      </c>
      <c r="CT55" s="20">
        <v>0</v>
      </c>
      <c r="CU55" s="20">
        <v>0</v>
      </c>
      <c r="CV55" s="20">
        <v>0</v>
      </c>
      <c r="CW55" s="20">
        <v>0</v>
      </c>
      <c r="CX55" s="20">
        <v>0</v>
      </c>
      <c r="CY55" s="20">
        <v>0</v>
      </c>
      <c r="CZ55" s="20">
        <v>0</v>
      </c>
      <c r="DA55" s="20">
        <v>0</v>
      </c>
      <c r="DB55" s="20">
        <v>0</v>
      </c>
      <c r="DC55" s="20">
        <v>0</v>
      </c>
      <c r="DD55" s="20">
        <v>0</v>
      </c>
      <c r="DE55" s="20">
        <v>0</v>
      </c>
      <c r="DF55" s="20">
        <v>0</v>
      </c>
      <c r="DG55" s="16">
        <f t="shared" si="4"/>
        <v>0</v>
      </c>
      <c r="DH55" s="16">
        <f t="shared" si="5"/>
        <v>0</v>
      </c>
      <c r="DI55" s="17" t="str">
        <f t="shared" si="6"/>
        <v/>
      </c>
      <c r="DJ55" s="119" t="s">
        <v>719</v>
      </c>
      <c r="DK55" s="44" t="s">
        <v>719</v>
      </c>
    </row>
    <row r="56" spans="1:115">
      <c r="A56" s="32" t="str">
        <f t="shared" si="7"/>
        <v xml:space="preserve">Powercor--&gt; 132 kV ; COMMERCIAL &amp; INDUSTRIAL  </v>
      </c>
      <c r="B56" s="32" t="str">
        <f t="shared" si="8"/>
        <v>Powercor</v>
      </c>
      <c r="C56" s="416"/>
      <c r="D56" s="14"/>
      <c r="E56" s="15" t="s">
        <v>199</v>
      </c>
      <c r="F56" s="18">
        <v>0</v>
      </c>
      <c r="G56" s="18">
        <v>0</v>
      </c>
      <c r="H56" s="20">
        <v>0</v>
      </c>
      <c r="I56" s="20">
        <v>0</v>
      </c>
      <c r="J56" s="20">
        <v>0</v>
      </c>
      <c r="K56" s="20">
        <v>0</v>
      </c>
      <c r="L56" s="20">
        <v>0</v>
      </c>
      <c r="M56" s="20">
        <v>0</v>
      </c>
      <c r="N56" s="20">
        <v>0</v>
      </c>
      <c r="O56" s="20">
        <v>0</v>
      </c>
      <c r="P56" s="20">
        <v>0</v>
      </c>
      <c r="Q56" s="20">
        <v>0</v>
      </c>
      <c r="R56" s="20">
        <v>0</v>
      </c>
      <c r="S56" s="20">
        <v>0</v>
      </c>
      <c r="T56" s="20">
        <v>0</v>
      </c>
      <c r="U56" s="20">
        <v>0</v>
      </c>
      <c r="V56" s="20">
        <v>0</v>
      </c>
      <c r="W56" s="20">
        <v>0</v>
      </c>
      <c r="X56" s="20">
        <v>0</v>
      </c>
      <c r="Y56" s="20">
        <v>0</v>
      </c>
      <c r="Z56" s="20">
        <v>0</v>
      </c>
      <c r="AA56" s="20">
        <v>0</v>
      </c>
      <c r="AB56" s="20">
        <v>0</v>
      </c>
      <c r="AC56" s="20">
        <v>0</v>
      </c>
      <c r="AD56" s="20">
        <v>0</v>
      </c>
      <c r="AE56" s="20">
        <v>0</v>
      </c>
      <c r="AF56" s="20">
        <v>0</v>
      </c>
      <c r="AG56" s="20">
        <v>0</v>
      </c>
      <c r="AH56" s="20">
        <v>0</v>
      </c>
      <c r="AI56" s="20">
        <v>0</v>
      </c>
      <c r="AJ56" s="20">
        <v>0</v>
      </c>
      <c r="AK56" s="20">
        <v>0</v>
      </c>
      <c r="AL56" s="20">
        <v>0</v>
      </c>
      <c r="AM56" s="20">
        <v>0</v>
      </c>
      <c r="AN56" s="20">
        <v>0</v>
      </c>
      <c r="AO56" s="20">
        <v>0</v>
      </c>
      <c r="AP56" s="20">
        <v>0</v>
      </c>
      <c r="AQ56" s="20">
        <v>0</v>
      </c>
      <c r="AR56" s="20">
        <v>0</v>
      </c>
      <c r="AS56" s="20">
        <v>0</v>
      </c>
      <c r="AT56" s="20">
        <v>0</v>
      </c>
      <c r="AU56" s="20">
        <v>0</v>
      </c>
      <c r="AV56" s="20">
        <v>0</v>
      </c>
      <c r="AW56" s="20">
        <v>0</v>
      </c>
      <c r="AX56" s="20">
        <v>0</v>
      </c>
      <c r="AY56" s="20">
        <v>0</v>
      </c>
      <c r="AZ56" s="20">
        <v>0</v>
      </c>
      <c r="BA56" s="20">
        <v>0</v>
      </c>
      <c r="BB56" s="20">
        <v>0</v>
      </c>
      <c r="BC56" s="20">
        <v>0</v>
      </c>
      <c r="BD56" s="20">
        <v>0</v>
      </c>
      <c r="BE56" s="20">
        <v>0</v>
      </c>
      <c r="BF56" s="20">
        <v>0</v>
      </c>
      <c r="BG56" s="20">
        <v>0</v>
      </c>
      <c r="BH56" s="20">
        <v>0</v>
      </c>
      <c r="BI56" s="20">
        <v>0</v>
      </c>
      <c r="BJ56" s="20">
        <v>0</v>
      </c>
      <c r="BK56" s="20">
        <v>0</v>
      </c>
      <c r="BL56" s="20">
        <v>0</v>
      </c>
      <c r="BM56" s="20">
        <v>0</v>
      </c>
      <c r="BN56" s="20">
        <v>0</v>
      </c>
      <c r="BO56" s="20">
        <v>0</v>
      </c>
      <c r="BP56" s="20">
        <v>0</v>
      </c>
      <c r="BQ56" s="20">
        <v>0</v>
      </c>
      <c r="BR56" s="20">
        <v>0</v>
      </c>
      <c r="BS56" s="20">
        <v>0</v>
      </c>
      <c r="BT56" s="20">
        <v>0</v>
      </c>
      <c r="BU56" s="20">
        <v>0</v>
      </c>
      <c r="BV56" s="20">
        <v>0</v>
      </c>
      <c r="BW56" s="20">
        <v>0</v>
      </c>
      <c r="BX56" s="20">
        <v>0</v>
      </c>
      <c r="BY56" s="20">
        <v>0</v>
      </c>
      <c r="BZ56" s="20">
        <v>0</v>
      </c>
      <c r="CA56" s="20">
        <v>0</v>
      </c>
      <c r="CB56" s="20">
        <v>0</v>
      </c>
      <c r="CC56" s="20">
        <v>0</v>
      </c>
      <c r="CD56" s="20">
        <v>0</v>
      </c>
      <c r="CE56" s="20">
        <v>0</v>
      </c>
      <c r="CF56" s="20">
        <v>0</v>
      </c>
      <c r="CG56" s="20">
        <v>0</v>
      </c>
      <c r="CH56" s="20">
        <v>0</v>
      </c>
      <c r="CI56" s="20">
        <v>0</v>
      </c>
      <c r="CJ56" s="20">
        <v>0</v>
      </c>
      <c r="CK56" s="20">
        <v>0</v>
      </c>
      <c r="CL56" s="20">
        <v>0</v>
      </c>
      <c r="CM56" s="20">
        <v>0</v>
      </c>
      <c r="CN56" s="20">
        <v>0</v>
      </c>
      <c r="CO56" s="20">
        <v>0</v>
      </c>
      <c r="CP56" s="20">
        <v>0</v>
      </c>
      <c r="CQ56" s="20">
        <v>0</v>
      </c>
      <c r="CR56" s="20">
        <v>0</v>
      </c>
      <c r="CS56" s="20">
        <v>0</v>
      </c>
      <c r="CT56" s="20">
        <v>0</v>
      </c>
      <c r="CU56" s="20">
        <v>0</v>
      </c>
      <c r="CV56" s="20">
        <v>0</v>
      </c>
      <c r="CW56" s="20">
        <v>0</v>
      </c>
      <c r="CX56" s="20">
        <v>0</v>
      </c>
      <c r="CY56" s="20">
        <v>0</v>
      </c>
      <c r="CZ56" s="20">
        <v>0</v>
      </c>
      <c r="DA56" s="20">
        <v>0</v>
      </c>
      <c r="DB56" s="20">
        <v>0</v>
      </c>
      <c r="DC56" s="20">
        <v>0</v>
      </c>
      <c r="DD56" s="20">
        <v>0</v>
      </c>
      <c r="DE56" s="20">
        <v>0</v>
      </c>
      <c r="DF56" s="20">
        <v>0</v>
      </c>
      <c r="DG56" s="16">
        <f t="shared" si="4"/>
        <v>0</v>
      </c>
      <c r="DH56" s="16">
        <f t="shared" si="5"/>
        <v>0</v>
      </c>
      <c r="DI56" s="17" t="str">
        <f t="shared" si="6"/>
        <v/>
      </c>
      <c r="DJ56" s="119" t="s">
        <v>719</v>
      </c>
      <c r="DK56" s="44" t="s">
        <v>719</v>
      </c>
    </row>
    <row r="57" spans="1:115">
      <c r="A57" s="32" t="str">
        <f t="shared" si="7"/>
        <v xml:space="preserve">Powercor--&gt; 132 kV ; SUBDIVISION  </v>
      </c>
      <c r="B57" s="32" t="str">
        <f t="shared" si="8"/>
        <v>Powercor</v>
      </c>
      <c r="C57" s="416"/>
      <c r="D57" s="14"/>
      <c r="E57" s="15" t="s">
        <v>200</v>
      </c>
      <c r="F57" s="18">
        <v>0</v>
      </c>
      <c r="G57" s="18">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0">
        <v>0</v>
      </c>
      <c r="AY57" s="20">
        <v>0</v>
      </c>
      <c r="AZ57" s="20">
        <v>0</v>
      </c>
      <c r="BA57" s="20">
        <v>0</v>
      </c>
      <c r="BB57" s="20">
        <v>0</v>
      </c>
      <c r="BC57" s="20">
        <v>0</v>
      </c>
      <c r="BD57" s="20">
        <v>0</v>
      </c>
      <c r="BE57" s="20">
        <v>0</v>
      </c>
      <c r="BF57" s="20">
        <v>0</v>
      </c>
      <c r="BG57" s="20">
        <v>0</v>
      </c>
      <c r="BH57" s="20">
        <v>0</v>
      </c>
      <c r="BI57" s="20">
        <v>0</v>
      </c>
      <c r="BJ57" s="20">
        <v>0</v>
      </c>
      <c r="BK57" s="20">
        <v>0</v>
      </c>
      <c r="BL57" s="20">
        <v>0</v>
      </c>
      <c r="BM57" s="20">
        <v>0</v>
      </c>
      <c r="BN57" s="20">
        <v>0</v>
      </c>
      <c r="BO57" s="20">
        <v>0</v>
      </c>
      <c r="BP57" s="20">
        <v>0</v>
      </c>
      <c r="BQ57" s="20">
        <v>0</v>
      </c>
      <c r="BR57" s="20">
        <v>0</v>
      </c>
      <c r="BS57" s="20">
        <v>0</v>
      </c>
      <c r="BT57" s="20">
        <v>0</v>
      </c>
      <c r="BU57" s="20">
        <v>0</v>
      </c>
      <c r="BV57" s="20">
        <v>0</v>
      </c>
      <c r="BW57" s="20">
        <v>0</v>
      </c>
      <c r="BX57" s="20">
        <v>0</v>
      </c>
      <c r="BY57" s="20">
        <v>0</v>
      </c>
      <c r="BZ57" s="20">
        <v>0</v>
      </c>
      <c r="CA57" s="20">
        <v>0</v>
      </c>
      <c r="CB57" s="20">
        <v>0</v>
      </c>
      <c r="CC57" s="20">
        <v>0</v>
      </c>
      <c r="CD57" s="20">
        <v>0</v>
      </c>
      <c r="CE57" s="20">
        <v>0</v>
      </c>
      <c r="CF57" s="20">
        <v>0</v>
      </c>
      <c r="CG57" s="20">
        <v>0</v>
      </c>
      <c r="CH57" s="20">
        <v>0</v>
      </c>
      <c r="CI57" s="20">
        <v>0</v>
      </c>
      <c r="CJ57" s="20">
        <v>0</v>
      </c>
      <c r="CK57" s="20">
        <v>0</v>
      </c>
      <c r="CL57" s="20">
        <v>0</v>
      </c>
      <c r="CM57" s="20">
        <v>0</v>
      </c>
      <c r="CN57" s="20">
        <v>0</v>
      </c>
      <c r="CO57" s="20">
        <v>0</v>
      </c>
      <c r="CP57" s="20">
        <v>0</v>
      </c>
      <c r="CQ57" s="20">
        <v>0</v>
      </c>
      <c r="CR57" s="20">
        <v>0</v>
      </c>
      <c r="CS57" s="20">
        <v>0</v>
      </c>
      <c r="CT57" s="20">
        <v>0</v>
      </c>
      <c r="CU57" s="20">
        <v>0</v>
      </c>
      <c r="CV57" s="20">
        <v>0</v>
      </c>
      <c r="CW57" s="20">
        <v>0</v>
      </c>
      <c r="CX57" s="20">
        <v>0</v>
      </c>
      <c r="CY57" s="20">
        <v>0</v>
      </c>
      <c r="CZ57" s="20">
        <v>0</v>
      </c>
      <c r="DA57" s="20">
        <v>0</v>
      </c>
      <c r="DB57" s="20">
        <v>0</v>
      </c>
      <c r="DC57" s="20">
        <v>0</v>
      </c>
      <c r="DD57" s="20">
        <v>0</v>
      </c>
      <c r="DE57" s="20">
        <v>0</v>
      </c>
      <c r="DF57" s="20">
        <v>0</v>
      </c>
      <c r="DG57" s="16">
        <f t="shared" si="4"/>
        <v>0</v>
      </c>
      <c r="DH57" s="16">
        <f t="shared" si="5"/>
        <v>0</v>
      </c>
      <c r="DI57" s="17" t="str">
        <f t="shared" si="6"/>
        <v/>
      </c>
      <c r="DJ57" s="119" t="s">
        <v>719</v>
      </c>
      <c r="DK57" s="44" t="s">
        <v>719</v>
      </c>
    </row>
    <row r="58" spans="1:115">
      <c r="A58" s="32" t="str">
        <f t="shared" si="7"/>
        <v>Powercor--LV OVERHEAD SERVICE CABLE</v>
      </c>
      <c r="B58" s="32" t="str">
        <f t="shared" si="8"/>
        <v>Powercor</v>
      </c>
      <c r="C58" s="416"/>
      <c r="D58" s="14"/>
      <c r="E58" s="15" t="s">
        <v>542</v>
      </c>
      <c r="F58" s="18">
        <v>40.9</v>
      </c>
      <c r="G58" s="18">
        <v>13.4</v>
      </c>
      <c r="H58" s="20">
        <v>132.30000000000001</v>
      </c>
      <c r="I58" s="20">
        <v>25.9</v>
      </c>
      <c r="J58" s="20">
        <v>38.799999999999997</v>
      </c>
      <c r="K58" s="20">
        <v>43.6</v>
      </c>
      <c r="L58" s="20">
        <v>44.6</v>
      </c>
      <c r="M58" s="20">
        <v>35.299999999999997</v>
      </c>
      <c r="N58" s="20">
        <v>49.3</v>
      </c>
      <c r="O58" s="20">
        <v>44.4</v>
      </c>
      <c r="P58" s="20">
        <v>44.9</v>
      </c>
      <c r="Q58" s="20">
        <v>37.5</v>
      </c>
      <c r="R58" s="20">
        <v>36.700000000000003</v>
      </c>
      <c r="S58" s="20">
        <v>31.1</v>
      </c>
      <c r="T58" s="20">
        <v>50</v>
      </c>
      <c r="U58" s="20">
        <v>45.5</v>
      </c>
      <c r="V58" s="20">
        <v>37.1</v>
      </c>
      <c r="W58" s="20">
        <v>17</v>
      </c>
      <c r="X58" s="20">
        <v>22.6</v>
      </c>
      <c r="Y58" s="20">
        <v>9.4</v>
      </c>
      <c r="Z58" s="20">
        <v>33.200000000000003</v>
      </c>
      <c r="AA58" s="20">
        <v>48.9</v>
      </c>
      <c r="AB58" s="20">
        <v>95.4</v>
      </c>
      <c r="AC58" s="20">
        <v>83</v>
      </c>
      <c r="AD58" s="20">
        <v>57.3</v>
      </c>
      <c r="AE58" s="20">
        <v>98.4</v>
      </c>
      <c r="AF58" s="20">
        <v>205.3</v>
      </c>
      <c r="AG58" s="20">
        <v>213.1</v>
      </c>
      <c r="AH58" s="20">
        <v>166.4</v>
      </c>
      <c r="AI58" s="20">
        <v>294.89999999999998</v>
      </c>
      <c r="AJ58" s="20">
        <v>228.5</v>
      </c>
      <c r="AK58" s="20">
        <v>207.3</v>
      </c>
      <c r="AL58" s="20">
        <v>164.1</v>
      </c>
      <c r="AM58" s="20">
        <v>120.3</v>
      </c>
      <c r="AN58" s="20">
        <v>163.9</v>
      </c>
      <c r="AO58" s="20">
        <v>279.5</v>
      </c>
      <c r="AP58" s="20">
        <v>117.2</v>
      </c>
      <c r="AQ58" s="20">
        <v>192.8</v>
      </c>
      <c r="AR58" s="20">
        <v>140.4</v>
      </c>
      <c r="AS58" s="20">
        <v>240.5</v>
      </c>
      <c r="AT58" s="20">
        <v>207.3</v>
      </c>
      <c r="AU58" s="20">
        <v>167.4</v>
      </c>
      <c r="AV58" s="20">
        <v>229.7</v>
      </c>
      <c r="AW58" s="20">
        <v>185.4</v>
      </c>
      <c r="AX58" s="20">
        <v>137.9</v>
      </c>
      <c r="AY58" s="20">
        <v>147.80000000000001</v>
      </c>
      <c r="AZ58" s="20">
        <v>205.8</v>
      </c>
      <c r="BA58" s="20">
        <v>199.7</v>
      </c>
      <c r="BB58" s="20">
        <v>210.3</v>
      </c>
      <c r="BC58" s="20">
        <v>141.30000000000001</v>
      </c>
      <c r="BD58" s="20">
        <v>165.6</v>
      </c>
      <c r="BE58" s="20">
        <v>163.9</v>
      </c>
      <c r="BF58" s="20">
        <v>96.3</v>
      </c>
      <c r="BG58" s="20">
        <v>110.3</v>
      </c>
      <c r="BH58" s="20">
        <v>99.1</v>
      </c>
      <c r="BI58" s="20">
        <v>93.4</v>
      </c>
      <c r="BJ58" s="20">
        <v>79.599999999999994</v>
      </c>
      <c r="BK58" s="20">
        <v>69.400000000000006</v>
      </c>
      <c r="BL58" s="20">
        <v>74.5</v>
      </c>
      <c r="BM58" s="20">
        <v>18.7</v>
      </c>
      <c r="BN58" s="20">
        <v>23.8</v>
      </c>
      <c r="BO58" s="20">
        <v>16.8</v>
      </c>
      <c r="BP58" s="20">
        <v>23.3</v>
      </c>
      <c r="BQ58" s="20">
        <v>30.7</v>
      </c>
      <c r="BR58" s="20">
        <v>24</v>
      </c>
      <c r="BS58" s="20">
        <v>37.5</v>
      </c>
      <c r="BT58" s="20">
        <v>13.8</v>
      </c>
      <c r="BU58" s="20">
        <v>7.6</v>
      </c>
      <c r="BV58" s="20">
        <v>7.3</v>
      </c>
      <c r="BW58" s="20">
        <v>6.1</v>
      </c>
      <c r="BX58" s="20">
        <v>3.7</v>
      </c>
      <c r="BY58" s="20">
        <v>2.1</v>
      </c>
      <c r="BZ58" s="20">
        <v>1.7</v>
      </c>
      <c r="CA58" s="20">
        <v>5.2</v>
      </c>
      <c r="CB58" s="20">
        <v>22.1</v>
      </c>
      <c r="CC58" s="20">
        <v>43.8</v>
      </c>
      <c r="CD58" s="20">
        <v>26.3</v>
      </c>
      <c r="CE58" s="20">
        <v>46.9</v>
      </c>
      <c r="CF58" s="20">
        <v>10.5</v>
      </c>
      <c r="CG58" s="20">
        <v>7.4</v>
      </c>
      <c r="CH58" s="20">
        <v>2.5</v>
      </c>
      <c r="CI58" s="20">
        <v>5.9</v>
      </c>
      <c r="CJ58" s="20">
        <v>2.1</v>
      </c>
      <c r="CK58" s="20">
        <v>1.6</v>
      </c>
      <c r="CL58" s="20">
        <v>0.9</v>
      </c>
      <c r="CM58" s="20">
        <v>1.4</v>
      </c>
      <c r="CN58" s="20">
        <v>0</v>
      </c>
      <c r="CO58" s="20">
        <v>0</v>
      </c>
      <c r="CP58" s="20">
        <v>0</v>
      </c>
      <c r="CQ58" s="20">
        <v>0</v>
      </c>
      <c r="CR58" s="20">
        <v>0</v>
      </c>
      <c r="CS58" s="20">
        <v>0</v>
      </c>
      <c r="CT58" s="20">
        <v>0</v>
      </c>
      <c r="CU58" s="20">
        <v>0</v>
      </c>
      <c r="CV58" s="20">
        <v>0</v>
      </c>
      <c r="CW58" s="20">
        <v>0</v>
      </c>
      <c r="CX58" s="20">
        <v>0</v>
      </c>
      <c r="CY58" s="20">
        <v>0</v>
      </c>
      <c r="CZ58" s="20">
        <v>0</v>
      </c>
      <c r="DA58" s="20">
        <v>0</v>
      </c>
      <c r="DB58" s="20">
        <v>0</v>
      </c>
      <c r="DC58" s="20">
        <v>0</v>
      </c>
      <c r="DD58" s="20">
        <v>0</v>
      </c>
      <c r="DE58" s="20">
        <v>0</v>
      </c>
      <c r="DF58" s="20">
        <v>0</v>
      </c>
      <c r="DG58" s="16">
        <f t="shared" si="4"/>
        <v>7074.8000000000011</v>
      </c>
      <c r="DH58" s="16">
        <f t="shared" si="5"/>
        <v>256614.70000000004</v>
      </c>
      <c r="DI58" s="17">
        <f t="shared" si="6"/>
        <v>36.271654322383675</v>
      </c>
      <c r="DJ58" s="119" t="s">
        <v>719</v>
      </c>
      <c r="DK58" s="44" t="s">
        <v>719</v>
      </c>
    </row>
    <row r="59" spans="1:115">
      <c r="A59" s="32" t="str">
        <f t="shared" si="7"/>
        <v>Powercor--LV UNDERGROUND SERVICE CABLE</v>
      </c>
      <c r="B59" s="32" t="str">
        <f t="shared" si="8"/>
        <v>Powercor</v>
      </c>
      <c r="C59" s="416"/>
      <c r="D59" s="14"/>
      <c r="E59" s="15" t="s">
        <v>543</v>
      </c>
      <c r="F59" s="18">
        <v>70</v>
      </c>
      <c r="G59" s="18">
        <v>8.3699999999999992</v>
      </c>
      <c r="H59" s="20">
        <v>146.78</v>
      </c>
      <c r="I59" s="20">
        <v>194.4</v>
      </c>
      <c r="J59" s="20">
        <v>290.97000000000003</v>
      </c>
      <c r="K59" s="20">
        <v>326.74</v>
      </c>
      <c r="L59" s="20">
        <v>83.54</v>
      </c>
      <c r="M59" s="20">
        <v>227.67</v>
      </c>
      <c r="N59" s="20">
        <v>206.81</v>
      </c>
      <c r="O59" s="20">
        <v>208.37</v>
      </c>
      <c r="P59" s="20">
        <v>197.21</v>
      </c>
      <c r="Q59" s="20">
        <v>186.68</v>
      </c>
      <c r="R59" s="20">
        <v>244.98</v>
      </c>
      <c r="S59" s="20">
        <v>215.57</v>
      </c>
      <c r="T59" s="20">
        <v>129.22</v>
      </c>
      <c r="U59" s="20">
        <v>146.63</v>
      </c>
      <c r="V59" s="20">
        <v>138.08000000000001</v>
      </c>
      <c r="W59" s="20">
        <v>97.09</v>
      </c>
      <c r="X59" s="20">
        <v>59.45</v>
      </c>
      <c r="Y59" s="20">
        <v>33.89</v>
      </c>
      <c r="Z59" s="20">
        <v>45.68</v>
      </c>
      <c r="AA59" s="20">
        <v>50.89</v>
      </c>
      <c r="AB59" s="20">
        <v>65.08</v>
      </c>
      <c r="AC59" s="20">
        <v>52.46</v>
      </c>
      <c r="AD59" s="20">
        <v>51.62</v>
      </c>
      <c r="AE59" s="20">
        <v>55.48</v>
      </c>
      <c r="AF59" s="20">
        <v>47.66</v>
      </c>
      <c r="AG59" s="20">
        <v>39.630000000000003</v>
      </c>
      <c r="AH59" s="20">
        <v>31.29</v>
      </c>
      <c r="AI59" s="20">
        <v>24.09</v>
      </c>
      <c r="AJ59" s="20">
        <v>18.04</v>
      </c>
      <c r="AK59" s="20">
        <v>16.16</v>
      </c>
      <c r="AL59" s="20">
        <v>5.1100000000000003</v>
      </c>
      <c r="AM59" s="20">
        <v>6.26</v>
      </c>
      <c r="AN59" s="20">
        <v>4.59</v>
      </c>
      <c r="AO59" s="20">
        <v>14.29</v>
      </c>
      <c r="AP59" s="20">
        <v>9.07</v>
      </c>
      <c r="AQ59" s="20">
        <v>9.49</v>
      </c>
      <c r="AR59" s="20">
        <v>12.1</v>
      </c>
      <c r="AS59" s="20">
        <v>12.31</v>
      </c>
      <c r="AT59" s="20">
        <v>1.67</v>
      </c>
      <c r="AU59" s="20">
        <v>0.63</v>
      </c>
      <c r="AV59" s="20">
        <v>2.09</v>
      </c>
      <c r="AW59" s="20">
        <v>0.1</v>
      </c>
      <c r="AX59" s="20">
        <v>0.52</v>
      </c>
      <c r="AY59" s="20">
        <v>0.31</v>
      </c>
      <c r="AZ59" s="20">
        <v>0.1</v>
      </c>
      <c r="BA59" s="20">
        <v>0</v>
      </c>
      <c r="BB59" s="20">
        <v>0</v>
      </c>
      <c r="BC59" s="20">
        <v>0.21</v>
      </c>
      <c r="BD59" s="20">
        <v>0.1</v>
      </c>
      <c r="BE59" s="20">
        <v>0</v>
      </c>
      <c r="BF59" s="20">
        <v>0</v>
      </c>
      <c r="BG59" s="20">
        <v>0</v>
      </c>
      <c r="BH59" s="20">
        <v>0</v>
      </c>
      <c r="BI59" s="20">
        <v>0</v>
      </c>
      <c r="BJ59" s="20">
        <v>0</v>
      </c>
      <c r="BK59" s="20">
        <v>0</v>
      </c>
      <c r="BL59" s="20">
        <v>0</v>
      </c>
      <c r="BM59" s="20">
        <v>0.31</v>
      </c>
      <c r="BN59" s="20">
        <v>0</v>
      </c>
      <c r="BO59" s="20">
        <v>0</v>
      </c>
      <c r="BP59" s="20">
        <v>0</v>
      </c>
      <c r="BQ59" s="20">
        <v>0</v>
      </c>
      <c r="BR59" s="20">
        <v>0</v>
      </c>
      <c r="BS59" s="20">
        <v>0</v>
      </c>
      <c r="BT59" s="20">
        <v>0</v>
      </c>
      <c r="BU59" s="20">
        <v>0</v>
      </c>
      <c r="BV59" s="20">
        <v>0</v>
      </c>
      <c r="BW59" s="20">
        <v>0</v>
      </c>
      <c r="BX59" s="20">
        <v>0</v>
      </c>
      <c r="BY59" s="20">
        <v>0</v>
      </c>
      <c r="BZ59" s="20">
        <v>0</v>
      </c>
      <c r="CA59" s="20">
        <v>0</v>
      </c>
      <c r="CB59" s="20">
        <v>0</v>
      </c>
      <c r="CC59" s="20">
        <v>0</v>
      </c>
      <c r="CD59" s="20">
        <v>0</v>
      </c>
      <c r="CE59" s="20">
        <v>0</v>
      </c>
      <c r="CF59" s="20">
        <v>0</v>
      </c>
      <c r="CG59" s="20">
        <v>0</v>
      </c>
      <c r="CH59" s="20">
        <v>0</v>
      </c>
      <c r="CI59" s="20">
        <v>0</v>
      </c>
      <c r="CJ59" s="20">
        <v>0</v>
      </c>
      <c r="CK59" s="20">
        <v>0</v>
      </c>
      <c r="CL59" s="20">
        <v>0</v>
      </c>
      <c r="CM59" s="20">
        <v>0</v>
      </c>
      <c r="CN59" s="20">
        <v>0</v>
      </c>
      <c r="CO59" s="20">
        <v>0</v>
      </c>
      <c r="CP59" s="20">
        <v>0</v>
      </c>
      <c r="CQ59" s="20">
        <v>0</v>
      </c>
      <c r="CR59" s="20">
        <v>0</v>
      </c>
      <c r="CS59" s="20">
        <v>0</v>
      </c>
      <c r="CT59" s="20">
        <v>0</v>
      </c>
      <c r="CU59" s="20">
        <v>0</v>
      </c>
      <c r="CV59" s="20">
        <v>0</v>
      </c>
      <c r="CW59" s="20">
        <v>0</v>
      </c>
      <c r="CX59" s="20">
        <v>0</v>
      </c>
      <c r="CY59" s="20">
        <v>0</v>
      </c>
      <c r="CZ59" s="20">
        <v>0</v>
      </c>
      <c r="DA59" s="20">
        <v>0</v>
      </c>
      <c r="DB59" s="20">
        <v>0</v>
      </c>
      <c r="DC59" s="20">
        <v>0</v>
      </c>
      <c r="DD59" s="20">
        <v>0</v>
      </c>
      <c r="DE59" s="20">
        <v>0</v>
      </c>
      <c r="DF59" s="20">
        <v>0</v>
      </c>
      <c r="DG59" s="16">
        <f t="shared" si="4"/>
        <v>3711.4199999999996</v>
      </c>
      <c r="DH59" s="16">
        <f t="shared" si="5"/>
        <v>40013.899999999994</v>
      </c>
      <c r="DI59" s="17">
        <f t="shared" si="6"/>
        <v>10.781291257793512</v>
      </c>
      <c r="DJ59" s="119" t="s">
        <v>719</v>
      </c>
      <c r="DK59" s="44" t="s">
        <v>719</v>
      </c>
    </row>
    <row r="60" spans="1:115">
      <c r="A60" s="32" t="str">
        <f t="shared" si="7"/>
        <v>Powercor--OTHER - PLEASE ADD A ROW IF NECESSARY AND NOMINATE THE CATEGORY</v>
      </c>
      <c r="B60" s="32" t="str">
        <f t="shared" si="8"/>
        <v>Powercor</v>
      </c>
      <c r="C60" s="416"/>
      <c r="D60" s="14"/>
      <c r="E60" s="15" t="s">
        <v>170</v>
      </c>
      <c r="F60" s="18"/>
      <c r="G60" s="18"/>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16">
        <f t="shared" si="4"/>
        <v>0</v>
      </c>
      <c r="DH60" s="16">
        <f t="shared" si="5"/>
        <v>0</v>
      </c>
      <c r="DI60" s="17" t="str">
        <f t="shared" si="6"/>
        <v/>
      </c>
      <c r="DJ60" s="119" t="s">
        <v>719</v>
      </c>
      <c r="DK60" s="44" t="s">
        <v>719</v>
      </c>
    </row>
    <row r="61" spans="1:115" ht="75">
      <c r="A61" s="32" t="str">
        <f t="shared" si="7"/>
        <v>Powercor-TRANSFORMERS BY: 
MOUNTING TYPE; HIGHEST OPERATING VOLTAGE ; AMPERE RATING; NUMBER OF PHASES (AT LV)-POLE MOUNTED ; &lt; = 22kV ;  &lt; = 60 kVA ; SINGLE PHASE</v>
      </c>
      <c r="B61" s="32" t="str">
        <f t="shared" si="8"/>
        <v>Powercor</v>
      </c>
      <c r="C61" s="416"/>
      <c r="D61" s="14" t="s">
        <v>544</v>
      </c>
      <c r="E61" s="15" t="s">
        <v>203</v>
      </c>
      <c r="F61" s="18">
        <v>45</v>
      </c>
      <c r="G61" s="18">
        <v>8.6999999999999993</v>
      </c>
      <c r="H61" s="20">
        <v>489</v>
      </c>
      <c r="I61" s="20">
        <v>305</v>
      </c>
      <c r="J61" s="20">
        <v>560</v>
      </c>
      <c r="K61" s="20">
        <v>551</v>
      </c>
      <c r="L61" s="20">
        <v>326</v>
      </c>
      <c r="M61" s="20">
        <v>761</v>
      </c>
      <c r="N61" s="20">
        <v>947</v>
      </c>
      <c r="O61" s="20">
        <v>993</v>
      </c>
      <c r="P61" s="20">
        <v>845</v>
      </c>
      <c r="Q61" s="20">
        <v>699</v>
      </c>
      <c r="R61" s="20">
        <v>723</v>
      </c>
      <c r="S61" s="20">
        <v>669</v>
      </c>
      <c r="T61" s="20">
        <v>739</v>
      </c>
      <c r="U61" s="20">
        <v>642</v>
      </c>
      <c r="V61" s="20">
        <v>655</v>
      </c>
      <c r="W61" s="20">
        <v>703</v>
      </c>
      <c r="X61" s="20">
        <v>590</v>
      </c>
      <c r="Y61" s="20">
        <v>590</v>
      </c>
      <c r="Z61" s="20">
        <v>598</v>
      </c>
      <c r="AA61" s="20">
        <v>651</v>
      </c>
      <c r="AB61" s="20">
        <v>717</v>
      </c>
      <c r="AC61" s="20">
        <v>698</v>
      </c>
      <c r="AD61" s="20">
        <v>785</v>
      </c>
      <c r="AE61" s="20">
        <v>884</v>
      </c>
      <c r="AF61" s="20">
        <v>1044</v>
      </c>
      <c r="AG61" s="20">
        <v>1160</v>
      </c>
      <c r="AH61" s="20">
        <v>1000</v>
      </c>
      <c r="AI61" s="20">
        <v>948</v>
      </c>
      <c r="AJ61" s="20">
        <v>1041</v>
      </c>
      <c r="AK61" s="20">
        <v>875</v>
      </c>
      <c r="AL61" s="20">
        <v>714</v>
      </c>
      <c r="AM61" s="20">
        <v>754</v>
      </c>
      <c r="AN61" s="20">
        <v>837</v>
      </c>
      <c r="AO61" s="20">
        <v>816</v>
      </c>
      <c r="AP61" s="20">
        <v>788</v>
      </c>
      <c r="AQ61" s="20">
        <v>641</v>
      </c>
      <c r="AR61" s="20">
        <v>631</v>
      </c>
      <c r="AS61" s="20">
        <v>879</v>
      </c>
      <c r="AT61" s="20">
        <v>377</v>
      </c>
      <c r="AU61" s="20">
        <v>281</v>
      </c>
      <c r="AV61" s="20">
        <v>337</v>
      </c>
      <c r="AW61" s="20">
        <v>273</v>
      </c>
      <c r="AX61" s="20">
        <v>237</v>
      </c>
      <c r="AY61" s="20">
        <v>441</v>
      </c>
      <c r="AZ61" s="20">
        <v>487</v>
      </c>
      <c r="BA61" s="20">
        <v>508</v>
      </c>
      <c r="BB61" s="20">
        <v>557</v>
      </c>
      <c r="BC61" s="20">
        <v>618</v>
      </c>
      <c r="BD61" s="20">
        <v>555</v>
      </c>
      <c r="BE61" s="20">
        <v>525</v>
      </c>
      <c r="BF61" s="20">
        <v>316</v>
      </c>
      <c r="BG61" s="20">
        <v>273</v>
      </c>
      <c r="BH61" s="20">
        <v>234</v>
      </c>
      <c r="BI61" s="20">
        <v>203</v>
      </c>
      <c r="BJ61" s="20">
        <v>128</v>
      </c>
      <c r="BK61" s="20">
        <v>146</v>
      </c>
      <c r="BL61" s="20">
        <v>95</v>
      </c>
      <c r="BM61" s="20">
        <v>80</v>
      </c>
      <c r="BN61" s="20">
        <v>54</v>
      </c>
      <c r="BO61" s="20">
        <v>36</v>
      </c>
      <c r="BP61" s="20">
        <v>35</v>
      </c>
      <c r="BQ61" s="20">
        <v>24</v>
      </c>
      <c r="BR61" s="20">
        <v>8</v>
      </c>
      <c r="BS61" s="20">
        <v>3</v>
      </c>
      <c r="BT61" s="20">
        <v>0</v>
      </c>
      <c r="BU61" s="20">
        <v>0</v>
      </c>
      <c r="BV61" s="20">
        <v>0</v>
      </c>
      <c r="BW61" s="20">
        <v>0</v>
      </c>
      <c r="BX61" s="20">
        <v>0</v>
      </c>
      <c r="BY61" s="20">
        <v>0</v>
      </c>
      <c r="BZ61" s="20">
        <v>0</v>
      </c>
      <c r="CA61" s="20">
        <v>0</v>
      </c>
      <c r="CB61" s="20">
        <v>0</v>
      </c>
      <c r="CC61" s="20">
        <v>0</v>
      </c>
      <c r="CD61" s="20">
        <v>0</v>
      </c>
      <c r="CE61" s="20">
        <v>0</v>
      </c>
      <c r="CF61" s="20">
        <v>0</v>
      </c>
      <c r="CG61" s="20">
        <v>0</v>
      </c>
      <c r="CH61" s="20">
        <v>0</v>
      </c>
      <c r="CI61" s="20">
        <v>0</v>
      </c>
      <c r="CJ61" s="20">
        <v>0</v>
      </c>
      <c r="CK61" s="20">
        <v>0</v>
      </c>
      <c r="CL61" s="20">
        <v>0</v>
      </c>
      <c r="CM61" s="20">
        <v>0</v>
      </c>
      <c r="CN61" s="20">
        <v>0</v>
      </c>
      <c r="CO61" s="20">
        <v>0</v>
      </c>
      <c r="CP61" s="20">
        <v>0</v>
      </c>
      <c r="CQ61" s="20">
        <v>0</v>
      </c>
      <c r="CR61" s="20">
        <v>0</v>
      </c>
      <c r="CS61" s="20">
        <v>0</v>
      </c>
      <c r="CT61" s="20">
        <v>0</v>
      </c>
      <c r="CU61" s="20">
        <v>0</v>
      </c>
      <c r="CV61" s="20">
        <v>0</v>
      </c>
      <c r="CW61" s="20">
        <v>0</v>
      </c>
      <c r="CX61" s="20">
        <v>0</v>
      </c>
      <c r="CY61" s="20">
        <v>0</v>
      </c>
      <c r="CZ61" s="20">
        <v>0</v>
      </c>
      <c r="DA61" s="20">
        <v>0</v>
      </c>
      <c r="DB61" s="20">
        <v>0</v>
      </c>
      <c r="DC61" s="20">
        <v>0</v>
      </c>
      <c r="DD61" s="20">
        <v>0</v>
      </c>
      <c r="DE61" s="20">
        <v>0</v>
      </c>
      <c r="DF61" s="20">
        <v>0</v>
      </c>
      <c r="DG61" s="16">
        <f t="shared" si="4"/>
        <v>35079</v>
      </c>
      <c r="DH61" s="16">
        <f t="shared" si="5"/>
        <v>909991</v>
      </c>
      <c r="DI61" s="17">
        <f t="shared" si="6"/>
        <v>25.941189885686594</v>
      </c>
      <c r="DJ61" s="119" t="s">
        <v>4</v>
      </c>
      <c r="DK61" t="s">
        <v>4</v>
      </c>
    </row>
    <row r="62" spans="1:115">
      <c r="A62" s="32" t="str">
        <f t="shared" si="7"/>
        <v>Powercor--POLE MOUNTED ; &lt; = 22kV ;  &gt; 60 kVA AND &lt; = 600 kVA ; SINGLE PHASE</v>
      </c>
      <c r="B62" s="32" t="str">
        <f t="shared" si="8"/>
        <v>Powercor</v>
      </c>
      <c r="C62" s="416"/>
      <c r="D62" s="14"/>
      <c r="E62" s="15" t="s">
        <v>204</v>
      </c>
      <c r="F62" s="18">
        <v>45</v>
      </c>
      <c r="G62" s="18">
        <v>8.6999999999999993</v>
      </c>
      <c r="H62" s="20">
        <v>15</v>
      </c>
      <c r="I62" s="20">
        <v>8</v>
      </c>
      <c r="J62" s="20">
        <v>15</v>
      </c>
      <c r="K62" s="20">
        <v>15</v>
      </c>
      <c r="L62" s="20">
        <v>9</v>
      </c>
      <c r="M62" s="20">
        <v>20</v>
      </c>
      <c r="N62" s="20">
        <v>25</v>
      </c>
      <c r="O62" s="20">
        <v>26</v>
      </c>
      <c r="P62" s="20">
        <v>22</v>
      </c>
      <c r="Q62" s="20">
        <v>19</v>
      </c>
      <c r="R62" s="20">
        <v>19</v>
      </c>
      <c r="S62" s="20">
        <v>18</v>
      </c>
      <c r="T62" s="20">
        <v>20</v>
      </c>
      <c r="U62" s="20">
        <v>17</v>
      </c>
      <c r="V62" s="20">
        <v>17</v>
      </c>
      <c r="W62" s="20">
        <v>19</v>
      </c>
      <c r="X62" s="20">
        <v>16</v>
      </c>
      <c r="Y62" s="20">
        <v>16</v>
      </c>
      <c r="Z62" s="20">
        <v>16</v>
      </c>
      <c r="AA62" s="20">
        <v>17</v>
      </c>
      <c r="AB62" s="20">
        <v>19</v>
      </c>
      <c r="AC62" s="20">
        <v>19</v>
      </c>
      <c r="AD62" s="20">
        <v>21</v>
      </c>
      <c r="AE62" s="20">
        <v>24</v>
      </c>
      <c r="AF62" s="20">
        <v>28</v>
      </c>
      <c r="AG62" s="20">
        <v>31</v>
      </c>
      <c r="AH62" s="20">
        <v>27</v>
      </c>
      <c r="AI62" s="20">
        <v>25</v>
      </c>
      <c r="AJ62" s="20">
        <v>28</v>
      </c>
      <c r="AK62" s="20">
        <v>23</v>
      </c>
      <c r="AL62" s="20">
        <v>19</v>
      </c>
      <c r="AM62" s="20">
        <v>20</v>
      </c>
      <c r="AN62" s="20">
        <v>22</v>
      </c>
      <c r="AO62" s="20">
        <v>22</v>
      </c>
      <c r="AP62" s="20">
        <v>21</v>
      </c>
      <c r="AQ62" s="20">
        <v>17</v>
      </c>
      <c r="AR62" s="20">
        <v>17</v>
      </c>
      <c r="AS62" s="20">
        <v>23</v>
      </c>
      <c r="AT62" s="20">
        <v>10</v>
      </c>
      <c r="AU62" s="20">
        <v>7</v>
      </c>
      <c r="AV62" s="20">
        <v>9</v>
      </c>
      <c r="AW62" s="20">
        <v>7</v>
      </c>
      <c r="AX62" s="20">
        <v>6</v>
      </c>
      <c r="AY62" s="20">
        <v>12</v>
      </c>
      <c r="AZ62" s="20">
        <v>13</v>
      </c>
      <c r="BA62" s="20">
        <v>14</v>
      </c>
      <c r="BB62" s="20">
        <v>15</v>
      </c>
      <c r="BC62" s="20">
        <v>16</v>
      </c>
      <c r="BD62" s="20">
        <v>15</v>
      </c>
      <c r="BE62" s="20">
        <v>14</v>
      </c>
      <c r="BF62" s="20">
        <v>8</v>
      </c>
      <c r="BG62" s="20">
        <v>7</v>
      </c>
      <c r="BH62" s="20">
        <v>6</v>
      </c>
      <c r="BI62" s="20">
        <v>5</v>
      </c>
      <c r="BJ62" s="20">
        <v>3</v>
      </c>
      <c r="BK62" s="20">
        <v>4</v>
      </c>
      <c r="BL62" s="20">
        <v>3</v>
      </c>
      <c r="BM62" s="20">
        <v>2</v>
      </c>
      <c r="BN62" s="20">
        <v>1</v>
      </c>
      <c r="BO62" s="20">
        <v>1</v>
      </c>
      <c r="BP62" s="20">
        <v>1</v>
      </c>
      <c r="BQ62" s="20">
        <v>1</v>
      </c>
      <c r="BR62" s="20">
        <v>0</v>
      </c>
      <c r="BS62" s="20">
        <v>0</v>
      </c>
      <c r="BT62" s="20">
        <v>0</v>
      </c>
      <c r="BU62" s="20">
        <v>0</v>
      </c>
      <c r="BV62" s="20">
        <v>0</v>
      </c>
      <c r="BW62" s="20">
        <v>0</v>
      </c>
      <c r="BX62" s="20">
        <v>0</v>
      </c>
      <c r="BY62" s="20">
        <v>0</v>
      </c>
      <c r="BZ62" s="20">
        <v>0</v>
      </c>
      <c r="CA62" s="20">
        <v>0</v>
      </c>
      <c r="CB62" s="20">
        <v>0</v>
      </c>
      <c r="CC62" s="20">
        <v>0</v>
      </c>
      <c r="CD62" s="20">
        <v>0</v>
      </c>
      <c r="CE62" s="20">
        <v>0</v>
      </c>
      <c r="CF62" s="20">
        <v>0</v>
      </c>
      <c r="CG62" s="20">
        <v>0</v>
      </c>
      <c r="CH62" s="20">
        <v>0</v>
      </c>
      <c r="CI62" s="20">
        <v>0</v>
      </c>
      <c r="CJ62" s="20">
        <v>0</v>
      </c>
      <c r="CK62" s="20">
        <v>0</v>
      </c>
      <c r="CL62" s="20">
        <v>0</v>
      </c>
      <c r="CM62" s="20">
        <v>0</v>
      </c>
      <c r="CN62" s="20">
        <v>0</v>
      </c>
      <c r="CO62" s="20">
        <v>0</v>
      </c>
      <c r="CP62" s="20">
        <v>0</v>
      </c>
      <c r="CQ62" s="20">
        <v>0</v>
      </c>
      <c r="CR62" s="20">
        <v>0</v>
      </c>
      <c r="CS62" s="20">
        <v>0</v>
      </c>
      <c r="CT62" s="20">
        <v>0</v>
      </c>
      <c r="CU62" s="20">
        <v>0</v>
      </c>
      <c r="CV62" s="20">
        <v>0</v>
      </c>
      <c r="CW62" s="20">
        <v>0</v>
      </c>
      <c r="CX62" s="20">
        <v>0</v>
      </c>
      <c r="CY62" s="20">
        <v>0</v>
      </c>
      <c r="CZ62" s="20">
        <v>0</v>
      </c>
      <c r="DA62" s="20">
        <v>0</v>
      </c>
      <c r="DB62" s="20">
        <v>0</v>
      </c>
      <c r="DC62" s="20">
        <v>0</v>
      </c>
      <c r="DD62" s="20">
        <v>0</v>
      </c>
      <c r="DE62" s="20">
        <v>0</v>
      </c>
      <c r="DF62" s="20">
        <v>0</v>
      </c>
      <c r="DG62" s="16">
        <f t="shared" si="4"/>
        <v>935</v>
      </c>
      <c r="DH62" s="16">
        <f t="shared" si="5"/>
        <v>24158</v>
      </c>
      <c r="DI62" s="17">
        <f t="shared" si="6"/>
        <v>25.837433155080213</v>
      </c>
      <c r="DJ62" s="119" t="s">
        <v>4</v>
      </c>
      <c r="DK62" s="44" t="s">
        <v>4</v>
      </c>
    </row>
    <row r="63" spans="1:115">
      <c r="A63" s="32" t="str">
        <f t="shared" si="7"/>
        <v>Powercor--POLE MOUNTED ; &lt; = 22kV ;  &gt; 600 kVA ; SINGLE PHASE</v>
      </c>
      <c r="B63" s="32" t="str">
        <f t="shared" si="8"/>
        <v>Powercor</v>
      </c>
      <c r="C63" s="416"/>
      <c r="D63" s="14"/>
      <c r="E63" s="15" t="s">
        <v>205</v>
      </c>
      <c r="F63" s="18">
        <v>0</v>
      </c>
      <c r="G63" s="18">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0">
        <v>0</v>
      </c>
      <c r="AY63" s="20">
        <v>0</v>
      </c>
      <c r="AZ63" s="20">
        <v>0</v>
      </c>
      <c r="BA63" s="20">
        <v>0</v>
      </c>
      <c r="BB63" s="20">
        <v>0</v>
      </c>
      <c r="BC63" s="20">
        <v>0</v>
      </c>
      <c r="BD63" s="20">
        <v>0</v>
      </c>
      <c r="BE63" s="20">
        <v>0</v>
      </c>
      <c r="BF63" s="20">
        <v>0</v>
      </c>
      <c r="BG63" s="20">
        <v>0</v>
      </c>
      <c r="BH63" s="20">
        <v>0</v>
      </c>
      <c r="BI63" s="20">
        <v>0</v>
      </c>
      <c r="BJ63" s="20">
        <v>0</v>
      </c>
      <c r="BK63" s="20">
        <v>0</v>
      </c>
      <c r="BL63" s="20">
        <v>0</v>
      </c>
      <c r="BM63" s="20">
        <v>0</v>
      </c>
      <c r="BN63" s="20">
        <v>0</v>
      </c>
      <c r="BO63" s="20">
        <v>0</v>
      </c>
      <c r="BP63" s="20">
        <v>0</v>
      </c>
      <c r="BQ63" s="20">
        <v>0</v>
      </c>
      <c r="BR63" s="20">
        <v>0</v>
      </c>
      <c r="BS63" s="20">
        <v>0</v>
      </c>
      <c r="BT63" s="20">
        <v>0</v>
      </c>
      <c r="BU63" s="20">
        <v>0</v>
      </c>
      <c r="BV63" s="20">
        <v>0</v>
      </c>
      <c r="BW63" s="20">
        <v>0</v>
      </c>
      <c r="BX63" s="20">
        <v>0</v>
      </c>
      <c r="BY63" s="20">
        <v>0</v>
      </c>
      <c r="BZ63" s="20">
        <v>0</v>
      </c>
      <c r="CA63" s="20">
        <v>0</v>
      </c>
      <c r="CB63" s="20">
        <v>0</v>
      </c>
      <c r="CC63" s="20">
        <v>0</v>
      </c>
      <c r="CD63" s="20">
        <v>0</v>
      </c>
      <c r="CE63" s="20">
        <v>0</v>
      </c>
      <c r="CF63" s="20">
        <v>0</v>
      </c>
      <c r="CG63" s="20">
        <v>0</v>
      </c>
      <c r="CH63" s="20">
        <v>0</v>
      </c>
      <c r="CI63" s="20">
        <v>0</v>
      </c>
      <c r="CJ63" s="20">
        <v>0</v>
      </c>
      <c r="CK63" s="20">
        <v>0</v>
      </c>
      <c r="CL63" s="20">
        <v>0</v>
      </c>
      <c r="CM63" s="20">
        <v>0</v>
      </c>
      <c r="CN63" s="20">
        <v>0</v>
      </c>
      <c r="CO63" s="20">
        <v>0</v>
      </c>
      <c r="CP63" s="20">
        <v>0</v>
      </c>
      <c r="CQ63" s="20">
        <v>0</v>
      </c>
      <c r="CR63" s="20">
        <v>0</v>
      </c>
      <c r="CS63" s="20">
        <v>0</v>
      </c>
      <c r="CT63" s="20">
        <v>0</v>
      </c>
      <c r="CU63" s="20">
        <v>0</v>
      </c>
      <c r="CV63" s="20">
        <v>0</v>
      </c>
      <c r="CW63" s="20">
        <v>0</v>
      </c>
      <c r="CX63" s="20">
        <v>0</v>
      </c>
      <c r="CY63" s="20">
        <v>0</v>
      </c>
      <c r="CZ63" s="20">
        <v>0</v>
      </c>
      <c r="DA63" s="20">
        <v>0</v>
      </c>
      <c r="DB63" s="20">
        <v>0</v>
      </c>
      <c r="DC63" s="20">
        <v>0</v>
      </c>
      <c r="DD63" s="20">
        <v>0</v>
      </c>
      <c r="DE63" s="20">
        <v>0</v>
      </c>
      <c r="DF63" s="20">
        <v>0</v>
      </c>
      <c r="DG63" s="16">
        <f t="shared" si="4"/>
        <v>0</v>
      </c>
      <c r="DH63" s="16">
        <f t="shared" si="5"/>
        <v>0</v>
      </c>
      <c r="DI63" s="17" t="str">
        <f t="shared" si="6"/>
        <v/>
      </c>
      <c r="DJ63" s="119" t="s">
        <v>4</v>
      </c>
      <c r="DK63" s="44" t="s">
        <v>4</v>
      </c>
    </row>
    <row r="64" spans="1:115">
      <c r="A64" s="32" t="str">
        <f t="shared" si="7"/>
        <v>Powercor--POLE MOUNTED ; &lt; = 22kV ;  &lt; = 60 kVA  ; MULTIPLE PHASE</v>
      </c>
      <c r="B64" s="32" t="str">
        <f t="shared" si="8"/>
        <v>Powercor</v>
      </c>
      <c r="C64" s="416"/>
      <c r="D64" s="14"/>
      <c r="E64" s="15" t="s">
        <v>206</v>
      </c>
      <c r="F64" s="18">
        <v>45</v>
      </c>
      <c r="G64" s="18">
        <v>8.6999999999999993</v>
      </c>
      <c r="H64" s="20">
        <v>43</v>
      </c>
      <c r="I64" s="20">
        <v>68</v>
      </c>
      <c r="J64" s="20">
        <v>126</v>
      </c>
      <c r="K64" s="20">
        <v>124</v>
      </c>
      <c r="L64" s="20">
        <v>73</v>
      </c>
      <c r="M64" s="20">
        <v>171</v>
      </c>
      <c r="N64" s="20">
        <v>212</v>
      </c>
      <c r="O64" s="20">
        <v>223</v>
      </c>
      <c r="P64" s="20">
        <v>189</v>
      </c>
      <c r="Q64" s="20">
        <v>157</v>
      </c>
      <c r="R64" s="20">
        <v>162</v>
      </c>
      <c r="S64" s="20">
        <v>150</v>
      </c>
      <c r="T64" s="20">
        <v>166</v>
      </c>
      <c r="U64" s="20">
        <v>144</v>
      </c>
      <c r="V64" s="20">
        <v>147</v>
      </c>
      <c r="W64" s="20">
        <v>158</v>
      </c>
      <c r="X64" s="20">
        <v>132</v>
      </c>
      <c r="Y64" s="20">
        <v>132</v>
      </c>
      <c r="Z64" s="20">
        <v>134</v>
      </c>
      <c r="AA64" s="20">
        <v>146</v>
      </c>
      <c r="AB64" s="20">
        <v>161</v>
      </c>
      <c r="AC64" s="20">
        <v>157</v>
      </c>
      <c r="AD64" s="20">
        <v>176</v>
      </c>
      <c r="AE64" s="20">
        <v>198</v>
      </c>
      <c r="AF64" s="20">
        <v>234</v>
      </c>
      <c r="AG64" s="20">
        <v>260</v>
      </c>
      <c r="AH64" s="20">
        <v>224</v>
      </c>
      <c r="AI64" s="20">
        <v>213</v>
      </c>
      <c r="AJ64" s="20">
        <v>233</v>
      </c>
      <c r="AK64" s="20">
        <v>196</v>
      </c>
      <c r="AL64" s="20">
        <v>160</v>
      </c>
      <c r="AM64" s="20">
        <v>169</v>
      </c>
      <c r="AN64" s="20">
        <v>188</v>
      </c>
      <c r="AO64" s="20">
        <v>183</v>
      </c>
      <c r="AP64" s="20">
        <v>177</v>
      </c>
      <c r="AQ64" s="20">
        <v>144</v>
      </c>
      <c r="AR64" s="20">
        <v>142</v>
      </c>
      <c r="AS64" s="20">
        <v>197</v>
      </c>
      <c r="AT64" s="20">
        <v>85</v>
      </c>
      <c r="AU64" s="20">
        <v>63</v>
      </c>
      <c r="AV64" s="20">
        <v>75</v>
      </c>
      <c r="AW64" s="20">
        <v>61</v>
      </c>
      <c r="AX64" s="20">
        <v>53</v>
      </c>
      <c r="AY64" s="20">
        <v>99</v>
      </c>
      <c r="AZ64" s="20">
        <v>109</v>
      </c>
      <c r="BA64" s="20">
        <v>114</v>
      </c>
      <c r="BB64" s="20">
        <v>125</v>
      </c>
      <c r="BC64" s="20">
        <v>139</v>
      </c>
      <c r="BD64" s="20">
        <v>124</v>
      </c>
      <c r="BE64" s="20">
        <v>118</v>
      </c>
      <c r="BF64" s="20">
        <v>71</v>
      </c>
      <c r="BG64" s="20">
        <v>61</v>
      </c>
      <c r="BH64" s="20">
        <v>53</v>
      </c>
      <c r="BI64" s="20">
        <v>46</v>
      </c>
      <c r="BJ64" s="20">
        <v>29</v>
      </c>
      <c r="BK64" s="20">
        <v>33</v>
      </c>
      <c r="BL64" s="20">
        <v>21</v>
      </c>
      <c r="BM64" s="20">
        <v>18</v>
      </c>
      <c r="BN64" s="20">
        <v>12</v>
      </c>
      <c r="BO64" s="20">
        <v>8</v>
      </c>
      <c r="BP64" s="20">
        <v>8</v>
      </c>
      <c r="BQ64" s="20">
        <v>5</v>
      </c>
      <c r="BR64" s="20">
        <v>2</v>
      </c>
      <c r="BS64" s="20">
        <v>1</v>
      </c>
      <c r="BT64" s="20">
        <v>0</v>
      </c>
      <c r="BU64" s="20">
        <v>0</v>
      </c>
      <c r="BV64" s="20">
        <v>0</v>
      </c>
      <c r="BW64" s="20">
        <v>0</v>
      </c>
      <c r="BX64" s="20">
        <v>0</v>
      </c>
      <c r="BY64" s="20">
        <v>0</v>
      </c>
      <c r="BZ64" s="20">
        <v>0</v>
      </c>
      <c r="CA64" s="20">
        <v>0</v>
      </c>
      <c r="CB64" s="20">
        <v>0</v>
      </c>
      <c r="CC64" s="20">
        <v>0</v>
      </c>
      <c r="CD64" s="20">
        <v>0</v>
      </c>
      <c r="CE64" s="20">
        <v>0</v>
      </c>
      <c r="CF64" s="20">
        <v>0</v>
      </c>
      <c r="CG64" s="20">
        <v>0</v>
      </c>
      <c r="CH64" s="20">
        <v>0</v>
      </c>
      <c r="CI64" s="20">
        <v>0</v>
      </c>
      <c r="CJ64" s="20">
        <v>0</v>
      </c>
      <c r="CK64" s="20">
        <v>0</v>
      </c>
      <c r="CL64" s="20">
        <v>0</v>
      </c>
      <c r="CM64" s="20">
        <v>0</v>
      </c>
      <c r="CN64" s="20">
        <v>0</v>
      </c>
      <c r="CO64" s="20">
        <v>0</v>
      </c>
      <c r="CP64" s="20">
        <v>0</v>
      </c>
      <c r="CQ64" s="20">
        <v>0</v>
      </c>
      <c r="CR64" s="20">
        <v>0</v>
      </c>
      <c r="CS64" s="20">
        <v>0</v>
      </c>
      <c r="CT64" s="20">
        <v>0</v>
      </c>
      <c r="CU64" s="20">
        <v>0</v>
      </c>
      <c r="CV64" s="20">
        <v>0</v>
      </c>
      <c r="CW64" s="20">
        <v>0</v>
      </c>
      <c r="CX64" s="20">
        <v>0</v>
      </c>
      <c r="CY64" s="20">
        <v>0</v>
      </c>
      <c r="CZ64" s="20">
        <v>0</v>
      </c>
      <c r="DA64" s="20">
        <v>0</v>
      </c>
      <c r="DB64" s="20">
        <v>0</v>
      </c>
      <c r="DC64" s="20">
        <v>0</v>
      </c>
      <c r="DD64" s="20">
        <v>0</v>
      </c>
      <c r="DE64" s="20">
        <v>0</v>
      </c>
      <c r="DF64" s="20">
        <v>0</v>
      </c>
      <c r="DG64" s="16">
        <f t="shared" ref="DG64:DG125" si="9">SUM(H64:DF64)</f>
        <v>7802</v>
      </c>
      <c r="DH64" s="16">
        <f t="shared" ref="DH64:DH125" si="10">IFERROR(SUMPRODUCT(H64:DF64,$H$1:$DF$1),"")</f>
        <v>204090</v>
      </c>
      <c r="DI64" s="17">
        <f t="shared" ref="DI64:DI125" si="11">IFERROR(DH64/DG64,"")</f>
        <v>26.158677262240452</v>
      </c>
      <c r="DJ64" s="119" t="s">
        <v>4</v>
      </c>
      <c r="DK64" s="44" t="s">
        <v>4</v>
      </c>
    </row>
    <row r="65" spans="1:115">
      <c r="A65" s="32" t="str">
        <f t="shared" si="7"/>
        <v>Powercor--POLE MOUNTED ; &lt; = 22kV ;  &gt; 60 kVA AND &lt; = 600 kVA  ; MULTIPLE PHASE</v>
      </c>
      <c r="B65" s="32" t="str">
        <f t="shared" si="8"/>
        <v>Powercor</v>
      </c>
      <c r="C65" s="416"/>
      <c r="D65" s="14"/>
      <c r="E65" s="15" t="s">
        <v>207</v>
      </c>
      <c r="F65" s="18">
        <v>45</v>
      </c>
      <c r="G65" s="18">
        <v>8.6999999999999993</v>
      </c>
      <c r="H65" s="20">
        <v>469</v>
      </c>
      <c r="I65" s="20">
        <v>117</v>
      </c>
      <c r="J65" s="20">
        <v>215</v>
      </c>
      <c r="K65" s="20">
        <v>211</v>
      </c>
      <c r="L65" s="20">
        <v>126</v>
      </c>
      <c r="M65" s="20">
        <v>293</v>
      </c>
      <c r="N65" s="20">
        <v>364</v>
      </c>
      <c r="O65" s="20">
        <v>382</v>
      </c>
      <c r="P65" s="20">
        <v>325</v>
      </c>
      <c r="Q65" s="20">
        <v>269</v>
      </c>
      <c r="R65" s="20">
        <v>278</v>
      </c>
      <c r="S65" s="20">
        <v>257</v>
      </c>
      <c r="T65" s="20">
        <v>284</v>
      </c>
      <c r="U65" s="20">
        <v>247</v>
      </c>
      <c r="V65" s="20">
        <v>252</v>
      </c>
      <c r="W65" s="20">
        <v>270</v>
      </c>
      <c r="X65" s="20">
        <v>227</v>
      </c>
      <c r="Y65" s="20">
        <v>227</v>
      </c>
      <c r="Z65" s="20">
        <v>230</v>
      </c>
      <c r="AA65" s="20">
        <v>251</v>
      </c>
      <c r="AB65" s="20">
        <v>276</v>
      </c>
      <c r="AC65" s="20">
        <v>268</v>
      </c>
      <c r="AD65" s="20">
        <v>302</v>
      </c>
      <c r="AE65" s="20">
        <v>339</v>
      </c>
      <c r="AF65" s="20">
        <v>402</v>
      </c>
      <c r="AG65" s="20">
        <v>446</v>
      </c>
      <c r="AH65" s="20">
        <v>385</v>
      </c>
      <c r="AI65" s="20">
        <v>365</v>
      </c>
      <c r="AJ65" s="20">
        <v>400</v>
      </c>
      <c r="AK65" s="20">
        <v>336</v>
      </c>
      <c r="AL65" s="20">
        <v>275</v>
      </c>
      <c r="AM65" s="20">
        <v>290</v>
      </c>
      <c r="AN65" s="20">
        <v>321</v>
      </c>
      <c r="AO65" s="20">
        <v>314</v>
      </c>
      <c r="AP65" s="20">
        <v>303</v>
      </c>
      <c r="AQ65" s="20">
        <v>247</v>
      </c>
      <c r="AR65" s="20">
        <v>243</v>
      </c>
      <c r="AS65" s="20">
        <v>338</v>
      </c>
      <c r="AT65" s="20">
        <v>145</v>
      </c>
      <c r="AU65" s="20">
        <v>108</v>
      </c>
      <c r="AV65" s="20">
        <v>129</v>
      </c>
      <c r="AW65" s="20">
        <v>105</v>
      </c>
      <c r="AX65" s="20">
        <v>92</v>
      </c>
      <c r="AY65" s="20">
        <v>170</v>
      </c>
      <c r="AZ65" s="20">
        <v>187</v>
      </c>
      <c r="BA65" s="20">
        <v>195</v>
      </c>
      <c r="BB65" s="20">
        <v>213</v>
      </c>
      <c r="BC65" s="20">
        <v>238</v>
      </c>
      <c r="BD65" s="20">
        <v>213</v>
      </c>
      <c r="BE65" s="20">
        <v>202</v>
      </c>
      <c r="BF65" s="20">
        <v>121</v>
      </c>
      <c r="BG65" s="20">
        <v>105</v>
      </c>
      <c r="BH65" s="20">
        <v>90</v>
      </c>
      <c r="BI65" s="20">
        <v>79</v>
      </c>
      <c r="BJ65" s="20">
        <v>49</v>
      </c>
      <c r="BK65" s="20">
        <v>56</v>
      </c>
      <c r="BL65" s="20">
        <v>36</v>
      </c>
      <c r="BM65" s="20">
        <v>31</v>
      </c>
      <c r="BN65" s="20">
        <v>20</v>
      </c>
      <c r="BO65" s="20">
        <v>14</v>
      </c>
      <c r="BP65" s="20">
        <v>13</v>
      </c>
      <c r="BQ65" s="20">
        <v>9</v>
      </c>
      <c r="BR65" s="20">
        <v>3</v>
      </c>
      <c r="BS65" s="20">
        <v>1</v>
      </c>
      <c r="BT65" s="20">
        <v>0</v>
      </c>
      <c r="BU65" s="20">
        <v>0</v>
      </c>
      <c r="BV65" s="20">
        <v>0</v>
      </c>
      <c r="BW65" s="20">
        <v>0</v>
      </c>
      <c r="BX65" s="20">
        <v>0</v>
      </c>
      <c r="BY65" s="20">
        <v>0</v>
      </c>
      <c r="BZ65" s="20">
        <v>0</v>
      </c>
      <c r="CA65" s="20">
        <v>0</v>
      </c>
      <c r="CB65" s="20">
        <v>0</v>
      </c>
      <c r="CC65" s="20">
        <v>0</v>
      </c>
      <c r="CD65" s="20">
        <v>0</v>
      </c>
      <c r="CE65" s="20">
        <v>0</v>
      </c>
      <c r="CF65" s="20">
        <v>0</v>
      </c>
      <c r="CG65" s="20">
        <v>0</v>
      </c>
      <c r="CH65" s="20">
        <v>0</v>
      </c>
      <c r="CI65" s="20">
        <v>0</v>
      </c>
      <c r="CJ65" s="20">
        <v>0</v>
      </c>
      <c r="CK65" s="20">
        <v>0</v>
      </c>
      <c r="CL65" s="20">
        <v>0</v>
      </c>
      <c r="CM65" s="20">
        <v>0</v>
      </c>
      <c r="CN65" s="20">
        <v>0</v>
      </c>
      <c r="CO65" s="20">
        <v>0</v>
      </c>
      <c r="CP65" s="20">
        <v>0</v>
      </c>
      <c r="CQ65" s="20">
        <v>0</v>
      </c>
      <c r="CR65" s="20">
        <v>0</v>
      </c>
      <c r="CS65" s="20">
        <v>0</v>
      </c>
      <c r="CT65" s="20">
        <v>0</v>
      </c>
      <c r="CU65" s="20">
        <v>0</v>
      </c>
      <c r="CV65" s="20">
        <v>0</v>
      </c>
      <c r="CW65" s="20">
        <v>0</v>
      </c>
      <c r="CX65" s="20">
        <v>0</v>
      </c>
      <c r="CY65" s="20">
        <v>0</v>
      </c>
      <c r="CZ65" s="20">
        <v>0</v>
      </c>
      <c r="DA65" s="20">
        <v>0</v>
      </c>
      <c r="DB65" s="20">
        <v>0</v>
      </c>
      <c r="DC65" s="20">
        <v>0</v>
      </c>
      <c r="DD65" s="20">
        <v>0</v>
      </c>
      <c r="DE65" s="20">
        <v>0</v>
      </c>
      <c r="DF65" s="20">
        <v>0</v>
      </c>
      <c r="DG65" s="16">
        <f t="shared" si="9"/>
        <v>13768</v>
      </c>
      <c r="DH65" s="16">
        <f t="shared" si="10"/>
        <v>350086</v>
      </c>
      <c r="DI65" s="17">
        <f t="shared" si="11"/>
        <v>25.427513073794305</v>
      </c>
      <c r="DJ65" s="119" t="s">
        <v>4</v>
      </c>
      <c r="DK65" s="44" t="s">
        <v>4</v>
      </c>
    </row>
    <row r="66" spans="1:115">
      <c r="A66" s="32" t="str">
        <f t="shared" si="7"/>
        <v>Powercor--POLE MOUNTED ; &lt; = 22kV ;  &gt; 600 kVA  ; MULTIPLE PHASE</v>
      </c>
      <c r="B66" s="32" t="str">
        <f t="shared" si="8"/>
        <v>Powercor</v>
      </c>
      <c r="C66" s="416"/>
      <c r="D66" s="14"/>
      <c r="E66" s="15" t="s">
        <v>208</v>
      </c>
      <c r="F66" s="18">
        <v>55</v>
      </c>
      <c r="G66" s="18">
        <v>8.6999999999999993</v>
      </c>
      <c r="H66" s="20">
        <v>0</v>
      </c>
      <c r="I66" s="20">
        <v>0</v>
      </c>
      <c r="J66" s="20">
        <v>0</v>
      </c>
      <c r="K66" s="20">
        <v>0</v>
      </c>
      <c r="L66" s="20">
        <v>0</v>
      </c>
      <c r="M66" s="20">
        <v>0</v>
      </c>
      <c r="N66" s="20">
        <v>1</v>
      </c>
      <c r="O66" s="20">
        <v>1</v>
      </c>
      <c r="P66" s="20">
        <v>0</v>
      </c>
      <c r="Q66" s="20">
        <v>0</v>
      </c>
      <c r="R66" s="20">
        <v>0</v>
      </c>
      <c r="S66" s="20">
        <v>0</v>
      </c>
      <c r="T66" s="20">
        <v>0</v>
      </c>
      <c r="U66" s="20">
        <v>0</v>
      </c>
      <c r="V66" s="20">
        <v>0</v>
      </c>
      <c r="W66" s="20">
        <v>0</v>
      </c>
      <c r="X66" s="20">
        <v>0</v>
      </c>
      <c r="Y66" s="20">
        <v>0</v>
      </c>
      <c r="Z66" s="20">
        <v>0</v>
      </c>
      <c r="AA66" s="20">
        <v>0</v>
      </c>
      <c r="AB66" s="20">
        <v>0</v>
      </c>
      <c r="AC66" s="20">
        <v>0</v>
      </c>
      <c r="AD66" s="20">
        <v>0</v>
      </c>
      <c r="AE66" s="20">
        <v>1</v>
      </c>
      <c r="AF66" s="20">
        <v>1</v>
      </c>
      <c r="AG66" s="20">
        <v>1</v>
      </c>
      <c r="AH66" s="20">
        <v>1</v>
      </c>
      <c r="AI66" s="20">
        <v>1</v>
      </c>
      <c r="AJ66" s="20">
        <v>1</v>
      </c>
      <c r="AK66" s="20">
        <v>0</v>
      </c>
      <c r="AL66" s="20">
        <v>0</v>
      </c>
      <c r="AM66" s="20">
        <v>0</v>
      </c>
      <c r="AN66" s="20">
        <v>0</v>
      </c>
      <c r="AO66" s="20">
        <v>0</v>
      </c>
      <c r="AP66" s="20">
        <v>0</v>
      </c>
      <c r="AQ66" s="20">
        <v>0</v>
      </c>
      <c r="AR66" s="20">
        <v>0</v>
      </c>
      <c r="AS66" s="20">
        <v>1</v>
      </c>
      <c r="AT66" s="20">
        <v>0</v>
      </c>
      <c r="AU66" s="20">
        <v>0</v>
      </c>
      <c r="AV66" s="20">
        <v>0</v>
      </c>
      <c r="AW66" s="20">
        <v>0</v>
      </c>
      <c r="AX66" s="20">
        <v>0</v>
      </c>
      <c r="AY66" s="20">
        <v>0</v>
      </c>
      <c r="AZ66" s="20">
        <v>0</v>
      </c>
      <c r="BA66" s="20">
        <v>0</v>
      </c>
      <c r="BB66" s="20">
        <v>0</v>
      </c>
      <c r="BC66" s="20">
        <v>0</v>
      </c>
      <c r="BD66" s="20">
        <v>0</v>
      </c>
      <c r="BE66" s="20">
        <v>0</v>
      </c>
      <c r="BF66" s="20">
        <v>0</v>
      </c>
      <c r="BG66" s="20">
        <v>0</v>
      </c>
      <c r="BH66" s="20">
        <v>0</v>
      </c>
      <c r="BI66" s="20">
        <v>0</v>
      </c>
      <c r="BJ66" s="20">
        <v>0</v>
      </c>
      <c r="BK66" s="20">
        <v>0</v>
      </c>
      <c r="BL66" s="20">
        <v>0</v>
      </c>
      <c r="BM66" s="20">
        <v>0</v>
      </c>
      <c r="BN66" s="20">
        <v>0</v>
      </c>
      <c r="BO66" s="20">
        <v>0</v>
      </c>
      <c r="BP66" s="20">
        <v>0</v>
      </c>
      <c r="BQ66" s="20">
        <v>0</v>
      </c>
      <c r="BR66" s="20">
        <v>0</v>
      </c>
      <c r="BS66" s="20">
        <v>0</v>
      </c>
      <c r="BT66" s="20">
        <v>0</v>
      </c>
      <c r="BU66" s="20">
        <v>0</v>
      </c>
      <c r="BV66" s="20">
        <v>0</v>
      </c>
      <c r="BW66" s="20">
        <v>0</v>
      </c>
      <c r="BX66" s="20">
        <v>0</v>
      </c>
      <c r="BY66" s="20">
        <v>0</v>
      </c>
      <c r="BZ66" s="20">
        <v>0</v>
      </c>
      <c r="CA66" s="20">
        <v>0</v>
      </c>
      <c r="CB66" s="20">
        <v>0</v>
      </c>
      <c r="CC66" s="20">
        <v>0</v>
      </c>
      <c r="CD66" s="20">
        <v>0</v>
      </c>
      <c r="CE66" s="20">
        <v>0</v>
      </c>
      <c r="CF66" s="20">
        <v>0</v>
      </c>
      <c r="CG66" s="20">
        <v>0</v>
      </c>
      <c r="CH66" s="20">
        <v>0</v>
      </c>
      <c r="CI66" s="20">
        <v>0</v>
      </c>
      <c r="CJ66" s="20">
        <v>0</v>
      </c>
      <c r="CK66" s="20">
        <v>0</v>
      </c>
      <c r="CL66" s="20">
        <v>0</v>
      </c>
      <c r="CM66" s="20">
        <v>0</v>
      </c>
      <c r="CN66" s="20">
        <v>0</v>
      </c>
      <c r="CO66" s="20">
        <v>0</v>
      </c>
      <c r="CP66" s="20">
        <v>0</v>
      </c>
      <c r="CQ66" s="20">
        <v>0</v>
      </c>
      <c r="CR66" s="20">
        <v>0</v>
      </c>
      <c r="CS66" s="20">
        <v>0</v>
      </c>
      <c r="CT66" s="20">
        <v>0</v>
      </c>
      <c r="CU66" s="20">
        <v>0</v>
      </c>
      <c r="CV66" s="20">
        <v>0</v>
      </c>
      <c r="CW66" s="20">
        <v>0</v>
      </c>
      <c r="CX66" s="20">
        <v>0</v>
      </c>
      <c r="CY66" s="20">
        <v>0</v>
      </c>
      <c r="CZ66" s="20">
        <v>0</v>
      </c>
      <c r="DA66" s="20">
        <v>0</v>
      </c>
      <c r="DB66" s="20">
        <v>0</v>
      </c>
      <c r="DC66" s="20">
        <v>0</v>
      </c>
      <c r="DD66" s="20">
        <v>0</v>
      </c>
      <c r="DE66" s="20">
        <v>0</v>
      </c>
      <c r="DF66" s="20">
        <v>0</v>
      </c>
      <c r="DG66" s="16">
        <f t="shared" si="9"/>
        <v>9</v>
      </c>
      <c r="DH66" s="16">
        <f t="shared" si="10"/>
        <v>212</v>
      </c>
      <c r="DI66" s="17">
        <f t="shared" si="11"/>
        <v>23.555555555555557</v>
      </c>
      <c r="DJ66" s="119" t="s">
        <v>4</v>
      </c>
      <c r="DK66" s="44" t="s">
        <v>4</v>
      </c>
    </row>
    <row r="67" spans="1:115">
      <c r="A67" s="32" t="str">
        <f t="shared" si="7"/>
        <v xml:space="preserve">Powercor--POLE MOUNTED ; &gt; 22 kV ;  &lt; = 60 kVA </v>
      </c>
      <c r="B67" s="32" t="str">
        <f t="shared" si="8"/>
        <v>Powercor</v>
      </c>
      <c r="C67" s="416"/>
      <c r="D67" s="14"/>
      <c r="E67" s="15" t="s">
        <v>209</v>
      </c>
      <c r="F67" s="18">
        <v>0</v>
      </c>
      <c r="G67" s="18">
        <v>0</v>
      </c>
      <c r="H67" s="20">
        <v>0</v>
      </c>
      <c r="I67" s="20">
        <v>0</v>
      </c>
      <c r="J67" s="20">
        <v>0</v>
      </c>
      <c r="K67" s="20">
        <v>0</v>
      </c>
      <c r="L67" s="20">
        <v>0</v>
      </c>
      <c r="M67" s="20">
        <v>0</v>
      </c>
      <c r="N67" s="20">
        <v>0</v>
      </c>
      <c r="O67" s="20">
        <v>0</v>
      </c>
      <c r="P67" s="20">
        <v>0</v>
      </c>
      <c r="Q67" s="20">
        <v>0</v>
      </c>
      <c r="R67" s="20">
        <v>0</v>
      </c>
      <c r="S67" s="20">
        <v>0</v>
      </c>
      <c r="T67" s="20">
        <v>0</v>
      </c>
      <c r="U67" s="20">
        <v>0</v>
      </c>
      <c r="V67" s="20">
        <v>0</v>
      </c>
      <c r="W67" s="20">
        <v>0</v>
      </c>
      <c r="X67" s="20">
        <v>0</v>
      </c>
      <c r="Y67" s="20">
        <v>0</v>
      </c>
      <c r="Z67" s="20">
        <v>0</v>
      </c>
      <c r="AA67" s="20">
        <v>0</v>
      </c>
      <c r="AB67" s="20">
        <v>0</v>
      </c>
      <c r="AC67" s="20">
        <v>0</v>
      </c>
      <c r="AD67" s="20">
        <v>0</v>
      </c>
      <c r="AE67" s="20">
        <v>0</v>
      </c>
      <c r="AF67" s="20">
        <v>0</v>
      </c>
      <c r="AG67" s="20">
        <v>0</v>
      </c>
      <c r="AH67" s="20">
        <v>0</v>
      </c>
      <c r="AI67" s="20">
        <v>0</v>
      </c>
      <c r="AJ67" s="20">
        <v>0</v>
      </c>
      <c r="AK67" s="20">
        <v>0</v>
      </c>
      <c r="AL67" s="20">
        <v>0</v>
      </c>
      <c r="AM67" s="20">
        <v>0</v>
      </c>
      <c r="AN67" s="20">
        <v>0</v>
      </c>
      <c r="AO67" s="20">
        <v>0</v>
      </c>
      <c r="AP67" s="20">
        <v>0</v>
      </c>
      <c r="AQ67" s="20">
        <v>0</v>
      </c>
      <c r="AR67" s="20">
        <v>0</v>
      </c>
      <c r="AS67" s="20">
        <v>0</v>
      </c>
      <c r="AT67" s="20">
        <v>0</v>
      </c>
      <c r="AU67" s="20">
        <v>0</v>
      </c>
      <c r="AV67" s="20">
        <v>0</v>
      </c>
      <c r="AW67" s="20">
        <v>0</v>
      </c>
      <c r="AX67" s="20">
        <v>0</v>
      </c>
      <c r="AY67" s="20">
        <v>0</v>
      </c>
      <c r="AZ67" s="20">
        <v>0</v>
      </c>
      <c r="BA67" s="20">
        <v>0</v>
      </c>
      <c r="BB67" s="20">
        <v>0</v>
      </c>
      <c r="BC67" s="20">
        <v>0</v>
      </c>
      <c r="BD67" s="20">
        <v>0</v>
      </c>
      <c r="BE67" s="20">
        <v>0</v>
      </c>
      <c r="BF67" s="20">
        <v>0</v>
      </c>
      <c r="BG67" s="20">
        <v>0</v>
      </c>
      <c r="BH67" s="20">
        <v>0</v>
      </c>
      <c r="BI67" s="20">
        <v>0</v>
      </c>
      <c r="BJ67" s="20">
        <v>0</v>
      </c>
      <c r="BK67" s="20">
        <v>0</v>
      </c>
      <c r="BL67" s="20">
        <v>0</v>
      </c>
      <c r="BM67" s="20">
        <v>0</v>
      </c>
      <c r="BN67" s="20">
        <v>0</v>
      </c>
      <c r="BO67" s="20">
        <v>0</v>
      </c>
      <c r="BP67" s="20">
        <v>0</v>
      </c>
      <c r="BQ67" s="20">
        <v>0</v>
      </c>
      <c r="BR67" s="20">
        <v>0</v>
      </c>
      <c r="BS67" s="20">
        <v>0</v>
      </c>
      <c r="BT67" s="20">
        <v>0</v>
      </c>
      <c r="BU67" s="20">
        <v>0</v>
      </c>
      <c r="BV67" s="20">
        <v>0</v>
      </c>
      <c r="BW67" s="20">
        <v>0</v>
      </c>
      <c r="BX67" s="20">
        <v>0</v>
      </c>
      <c r="BY67" s="20">
        <v>0</v>
      </c>
      <c r="BZ67" s="20">
        <v>0</v>
      </c>
      <c r="CA67" s="20">
        <v>0</v>
      </c>
      <c r="CB67" s="20">
        <v>0</v>
      </c>
      <c r="CC67" s="20">
        <v>0</v>
      </c>
      <c r="CD67" s="20">
        <v>0</v>
      </c>
      <c r="CE67" s="20">
        <v>0</v>
      </c>
      <c r="CF67" s="20">
        <v>0</v>
      </c>
      <c r="CG67" s="20">
        <v>0</v>
      </c>
      <c r="CH67" s="20">
        <v>0</v>
      </c>
      <c r="CI67" s="20">
        <v>0</v>
      </c>
      <c r="CJ67" s="20">
        <v>0</v>
      </c>
      <c r="CK67" s="20">
        <v>0</v>
      </c>
      <c r="CL67" s="20">
        <v>0</v>
      </c>
      <c r="CM67" s="20">
        <v>0</v>
      </c>
      <c r="CN67" s="20">
        <v>0</v>
      </c>
      <c r="CO67" s="20">
        <v>0</v>
      </c>
      <c r="CP67" s="20">
        <v>0</v>
      </c>
      <c r="CQ67" s="20">
        <v>0</v>
      </c>
      <c r="CR67" s="20">
        <v>0</v>
      </c>
      <c r="CS67" s="20">
        <v>0</v>
      </c>
      <c r="CT67" s="20">
        <v>0</v>
      </c>
      <c r="CU67" s="20">
        <v>0</v>
      </c>
      <c r="CV67" s="20">
        <v>0</v>
      </c>
      <c r="CW67" s="20">
        <v>0</v>
      </c>
      <c r="CX67" s="20">
        <v>0</v>
      </c>
      <c r="CY67" s="20">
        <v>0</v>
      </c>
      <c r="CZ67" s="20">
        <v>0</v>
      </c>
      <c r="DA67" s="20">
        <v>0</v>
      </c>
      <c r="DB67" s="20">
        <v>0</v>
      </c>
      <c r="DC67" s="20">
        <v>0</v>
      </c>
      <c r="DD67" s="20">
        <v>0</v>
      </c>
      <c r="DE67" s="20">
        <v>0</v>
      </c>
      <c r="DF67" s="20">
        <v>0</v>
      </c>
      <c r="DG67" s="16">
        <f t="shared" si="9"/>
        <v>0</v>
      </c>
      <c r="DH67" s="16">
        <f t="shared" si="10"/>
        <v>0</v>
      </c>
      <c r="DI67" s="17" t="str">
        <f t="shared" si="11"/>
        <v/>
      </c>
      <c r="DJ67" s="119" t="s">
        <v>4</v>
      </c>
      <c r="DK67" s="44" t="s">
        <v>4</v>
      </c>
    </row>
    <row r="68" spans="1:115">
      <c r="A68" s="32" t="str">
        <f t="shared" si="7"/>
        <v xml:space="preserve">Powercor--POLE MOUNTED ; &gt; 22 kV ;  &gt; 60 kVA AND &lt; = 600 kVA </v>
      </c>
      <c r="B68" s="32" t="str">
        <f t="shared" si="8"/>
        <v>Powercor</v>
      </c>
      <c r="C68" s="416"/>
      <c r="D68" s="14"/>
      <c r="E68" s="15" t="s">
        <v>210</v>
      </c>
      <c r="F68" s="18">
        <v>0</v>
      </c>
      <c r="G68" s="18">
        <v>0</v>
      </c>
      <c r="H68" s="20">
        <v>0</v>
      </c>
      <c r="I68" s="20">
        <v>0</v>
      </c>
      <c r="J68" s="20">
        <v>0</v>
      </c>
      <c r="K68" s="20">
        <v>0</v>
      </c>
      <c r="L68" s="20">
        <v>0</v>
      </c>
      <c r="M68" s="20">
        <v>0</v>
      </c>
      <c r="N68" s="20">
        <v>0</v>
      </c>
      <c r="O68" s="20">
        <v>0</v>
      </c>
      <c r="P68" s="20">
        <v>0</v>
      </c>
      <c r="Q68" s="20">
        <v>0</v>
      </c>
      <c r="R68" s="20">
        <v>0</v>
      </c>
      <c r="S68" s="20">
        <v>0</v>
      </c>
      <c r="T68" s="20">
        <v>0</v>
      </c>
      <c r="U68" s="20">
        <v>0</v>
      </c>
      <c r="V68" s="20">
        <v>0</v>
      </c>
      <c r="W68" s="20">
        <v>0</v>
      </c>
      <c r="X68" s="20">
        <v>0</v>
      </c>
      <c r="Y68" s="20">
        <v>0</v>
      </c>
      <c r="Z68" s="20">
        <v>0</v>
      </c>
      <c r="AA68" s="20">
        <v>0</v>
      </c>
      <c r="AB68" s="20">
        <v>0</v>
      </c>
      <c r="AC68" s="20">
        <v>0</v>
      </c>
      <c r="AD68" s="20">
        <v>0</v>
      </c>
      <c r="AE68" s="20">
        <v>0</v>
      </c>
      <c r="AF68" s="20">
        <v>0</v>
      </c>
      <c r="AG68" s="20">
        <v>0</v>
      </c>
      <c r="AH68" s="20">
        <v>0</v>
      </c>
      <c r="AI68" s="20">
        <v>0</v>
      </c>
      <c r="AJ68" s="20">
        <v>0</v>
      </c>
      <c r="AK68" s="20">
        <v>0</v>
      </c>
      <c r="AL68" s="20">
        <v>0</v>
      </c>
      <c r="AM68" s="20">
        <v>0</v>
      </c>
      <c r="AN68" s="20">
        <v>0</v>
      </c>
      <c r="AO68" s="20">
        <v>0</v>
      </c>
      <c r="AP68" s="20">
        <v>0</v>
      </c>
      <c r="AQ68" s="20">
        <v>0</v>
      </c>
      <c r="AR68" s="20">
        <v>0</v>
      </c>
      <c r="AS68" s="20">
        <v>0</v>
      </c>
      <c r="AT68" s="20">
        <v>0</v>
      </c>
      <c r="AU68" s="20">
        <v>0</v>
      </c>
      <c r="AV68" s="20">
        <v>0</v>
      </c>
      <c r="AW68" s="20">
        <v>0</v>
      </c>
      <c r="AX68" s="20">
        <v>0</v>
      </c>
      <c r="AY68" s="20">
        <v>0</v>
      </c>
      <c r="AZ68" s="20">
        <v>0</v>
      </c>
      <c r="BA68" s="20">
        <v>0</v>
      </c>
      <c r="BB68" s="20">
        <v>0</v>
      </c>
      <c r="BC68" s="20">
        <v>0</v>
      </c>
      <c r="BD68" s="20">
        <v>0</v>
      </c>
      <c r="BE68" s="20">
        <v>0</v>
      </c>
      <c r="BF68" s="20">
        <v>0</v>
      </c>
      <c r="BG68" s="20">
        <v>0</v>
      </c>
      <c r="BH68" s="20">
        <v>0</v>
      </c>
      <c r="BI68" s="20">
        <v>0</v>
      </c>
      <c r="BJ68" s="20">
        <v>0</v>
      </c>
      <c r="BK68" s="20">
        <v>0</v>
      </c>
      <c r="BL68" s="20">
        <v>0</v>
      </c>
      <c r="BM68" s="20">
        <v>0</v>
      </c>
      <c r="BN68" s="20">
        <v>0</v>
      </c>
      <c r="BO68" s="20">
        <v>0</v>
      </c>
      <c r="BP68" s="20">
        <v>0</v>
      </c>
      <c r="BQ68" s="20">
        <v>0</v>
      </c>
      <c r="BR68" s="20">
        <v>0</v>
      </c>
      <c r="BS68" s="20">
        <v>0</v>
      </c>
      <c r="BT68" s="20">
        <v>0</v>
      </c>
      <c r="BU68" s="20">
        <v>0</v>
      </c>
      <c r="BV68" s="20">
        <v>0</v>
      </c>
      <c r="BW68" s="20">
        <v>0</v>
      </c>
      <c r="BX68" s="20">
        <v>0</v>
      </c>
      <c r="BY68" s="20">
        <v>0</v>
      </c>
      <c r="BZ68" s="20">
        <v>0</v>
      </c>
      <c r="CA68" s="20">
        <v>0</v>
      </c>
      <c r="CB68" s="20">
        <v>0</v>
      </c>
      <c r="CC68" s="20">
        <v>0</v>
      </c>
      <c r="CD68" s="20">
        <v>0</v>
      </c>
      <c r="CE68" s="20">
        <v>0</v>
      </c>
      <c r="CF68" s="20">
        <v>0</v>
      </c>
      <c r="CG68" s="20">
        <v>0</v>
      </c>
      <c r="CH68" s="20">
        <v>0</v>
      </c>
      <c r="CI68" s="20">
        <v>0</v>
      </c>
      <c r="CJ68" s="20">
        <v>0</v>
      </c>
      <c r="CK68" s="20">
        <v>0</v>
      </c>
      <c r="CL68" s="20">
        <v>0</v>
      </c>
      <c r="CM68" s="20">
        <v>0</v>
      </c>
      <c r="CN68" s="20">
        <v>0</v>
      </c>
      <c r="CO68" s="20">
        <v>0</v>
      </c>
      <c r="CP68" s="20">
        <v>0</v>
      </c>
      <c r="CQ68" s="20">
        <v>0</v>
      </c>
      <c r="CR68" s="20">
        <v>0</v>
      </c>
      <c r="CS68" s="20">
        <v>0</v>
      </c>
      <c r="CT68" s="20">
        <v>0</v>
      </c>
      <c r="CU68" s="20">
        <v>0</v>
      </c>
      <c r="CV68" s="20">
        <v>0</v>
      </c>
      <c r="CW68" s="20">
        <v>0</v>
      </c>
      <c r="CX68" s="20">
        <v>0</v>
      </c>
      <c r="CY68" s="20">
        <v>0</v>
      </c>
      <c r="CZ68" s="20">
        <v>0</v>
      </c>
      <c r="DA68" s="20">
        <v>0</v>
      </c>
      <c r="DB68" s="20">
        <v>0</v>
      </c>
      <c r="DC68" s="20">
        <v>0</v>
      </c>
      <c r="DD68" s="20">
        <v>0</v>
      </c>
      <c r="DE68" s="20">
        <v>0</v>
      </c>
      <c r="DF68" s="20">
        <v>0</v>
      </c>
      <c r="DG68" s="16">
        <f t="shared" si="9"/>
        <v>0</v>
      </c>
      <c r="DH68" s="16">
        <f t="shared" si="10"/>
        <v>0</v>
      </c>
      <c r="DI68" s="17" t="str">
        <f t="shared" si="11"/>
        <v/>
      </c>
      <c r="DJ68" s="119" t="s">
        <v>4</v>
      </c>
      <c r="DK68" s="44" t="s">
        <v>4</v>
      </c>
    </row>
    <row r="69" spans="1:115">
      <c r="A69" s="32" t="str">
        <f t="shared" si="7"/>
        <v>Powercor--POLE MOUNTED ; &gt; 22 kV ;  &gt; 600 kVA</v>
      </c>
      <c r="B69" s="32" t="str">
        <f t="shared" si="8"/>
        <v>Powercor</v>
      </c>
      <c r="C69" s="416"/>
      <c r="D69" s="14"/>
      <c r="E69" s="15" t="s">
        <v>211</v>
      </c>
      <c r="F69" s="18">
        <v>0</v>
      </c>
      <c r="G69" s="18">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0">
        <v>0</v>
      </c>
      <c r="AY69" s="20">
        <v>0</v>
      </c>
      <c r="AZ69" s="20">
        <v>0</v>
      </c>
      <c r="BA69" s="20">
        <v>0</v>
      </c>
      <c r="BB69" s="20">
        <v>0</v>
      </c>
      <c r="BC69" s="20">
        <v>0</v>
      </c>
      <c r="BD69" s="20">
        <v>0</v>
      </c>
      <c r="BE69" s="20">
        <v>0</v>
      </c>
      <c r="BF69" s="20">
        <v>0</v>
      </c>
      <c r="BG69" s="20">
        <v>0</v>
      </c>
      <c r="BH69" s="20">
        <v>0</v>
      </c>
      <c r="BI69" s="20">
        <v>0</v>
      </c>
      <c r="BJ69" s="20">
        <v>0</v>
      </c>
      <c r="BK69" s="20">
        <v>0</v>
      </c>
      <c r="BL69" s="20">
        <v>0</v>
      </c>
      <c r="BM69" s="20">
        <v>0</v>
      </c>
      <c r="BN69" s="20">
        <v>0</v>
      </c>
      <c r="BO69" s="20">
        <v>0</v>
      </c>
      <c r="BP69" s="20">
        <v>0</v>
      </c>
      <c r="BQ69" s="20">
        <v>0</v>
      </c>
      <c r="BR69" s="20">
        <v>0</v>
      </c>
      <c r="BS69" s="20">
        <v>0</v>
      </c>
      <c r="BT69" s="20">
        <v>0</v>
      </c>
      <c r="BU69" s="20">
        <v>0</v>
      </c>
      <c r="BV69" s="20">
        <v>0</v>
      </c>
      <c r="BW69" s="20">
        <v>0</v>
      </c>
      <c r="BX69" s="20">
        <v>0</v>
      </c>
      <c r="BY69" s="20">
        <v>0</v>
      </c>
      <c r="BZ69" s="20">
        <v>0</v>
      </c>
      <c r="CA69" s="20">
        <v>0</v>
      </c>
      <c r="CB69" s="20">
        <v>0</v>
      </c>
      <c r="CC69" s="20">
        <v>0</v>
      </c>
      <c r="CD69" s="20">
        <v>0</v>
      </c>
      <c r="CE69" s="20">
        <v>0</v>
      </c>
      <c r="CF69" s="20">
        <v>0</v>
      </c>
      <c r="CG69" s="20">
        <v>0</v>
      </c>
      <c r="CH69" s="20">
        <v>0</v>
      </c>
      <c r="CI69" s="20">
        <v>0</v>
      </c>
      <c r="CJ69" s="20">
        <v>0</v>
      </c>
      <c r="CK69" s="20">
        <v>0</v>
      </c>
      <c r="CL69" s="20">
        <v>0</v>
      </c>
      <c r="CM69" s="20">
        <v>0</v>
      </c>
      <c r="CN69" s="20">
        <v>0</v>
      </c>
      <c r="CO69" s="20">
        <v>0</v>
      </c>
      <c r="CP69" s="20">
        <v>0</v>
      </c>
      <c r="CQ69" s="20">
        <v>0</v>
      </c>
      <c r="CR69" s="20">
        <v>0</v>
      </c>
      <c r="CS69" s="20">
        <v>0</v>
      </c>
      <c r="CT69" s="20">
        <v>0</v>
      </c>
      <c r="CU69" s="20">
        <v>0</v>
      </c>
      <c r="CV69" s="20">
        <v>0</v>
      </c>
      <c r="CW69" s="20">
        <v>0</v>
      </c>
      <c r="CX69" s="20">
        <v>0</v>
      </c>
      <c r="CY69" s="20">
        <v>0</v>
      </c>
      <c r="CZ69" s="20">
        <v>0</v>
      </c>
      <c r="DA69" s="20">
        <v>0</v>
      </c>
      <c r="DB69" s="20">
        <v>0</v>
      </c>
      <c r="DC69" s="20">
        <v>0</v>
      </c>
      <c r="DD69" s="20">
        <v>0</v>
      </c>
      <c r="DE69" s="20">
        <v>0</v>
      </c>
      <c r="DF69" s="20">
        <v>0</v>
      </c>
      <c r="DG69" s="16">
        <f t="shared" si="9"/>
        <v>0</v>
      </c>
      <c r="DH69" s="16">
        <f t="shared" si="10"/>
        <v>0</v>
      </c>
      <c r="DI69" s="17" t="str">
        <f t="shared" si="11"/>
        <v/>
      </c>
      <c r="DJ69" s="119" t="s">
        <v>4</v>
      </c>
      <c r="DK69" s="44" t="s">
        <v>4</v>
      </c>
    </row>
    <row r="70" spans="1:115">
      <c r="A70" s="32" t="str">
        <f t="shared" si="7"/>
        <v xml:space="preserve">Powercor--POLE MOUNTED ; &gt; 22 kV ;  &lt; = 60 kVA </v>
      </c>
      <c r="B70" s="32" t="str">
        <f t="shared" si="8"/>
        <v>Powercor</v>
      </c>
      <c r="C70" s="416"/>
      <c r="D70" s="14"/>
      <c r="E70" s="15" t="s">
        <v>209</v>
      </c>
      <c r="F70" s="18">
        <v>0</v>
      </c>
      <c r="G70" s="18">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0">
        <v>0</v>
      </c>
      <c r="AY70" s="20">
        <v>0</v>
      </c>
      <c r="AZ70" s="20">
        <v>0</v>
      </c>
      <c r="BA70" s="20">
        <v>0</v>
      </c>
      <c r="BB70" s="20">
        <v>0</v>
      </c>
      <c r="BC70" s="20">
        <v>0</v>
      </c>
      <c r="BD70" s="20">
        <v>0</v>
      </c>
      <c r="BE70" s="20">
        <v>0</v>
      </c>
      <c r="BF70" s="20">
        <v>0</v>
      </c>
      <c r="BG70" s="20">
        <v>0</v>
      </c>
      <c r="BH70" s="20">
        <v>0</v>
      </c>
      <c r="BI70" s="20">
        <v>0</v>
      </c>
      <c r="BJ70" s="20">
        <v>0</v>
      </c>
      <c r="BK70" s="20">
        <v>0</v>
      </c>
      <c r="BL70" s="20">
        <v>0</v>
      </c>
      <c r="BM70" s="20">
        <v>0</v>
      </c>
      <c r="BN70" s="20">
        <v>0</v>
      </c>
      <c r="BO70" s="20">
        <v>0</v>
      </c>
      <c r="BP70" s="20">
        <v>0</v>
      </c>
      <c r="BQ70" s="20">
        <v>0</v>
      </c>
      <c r="BR70" s="20">
        <v>0</v>
      </c>
      <c r="BS70" s="20">
        <v>0</v>
      </c>
      <c r="BT70" s="20">
        <v>0</v>
      </c>
      <c r="BU70" s="20">
        <v>0</v>
      </c>
      <c r="BV70" s="20">
        <v>0</v>
      </c>
      <c r="BW70" s="20">
        <v>0</v>
      </c>
      <c r="BX70" s="20">
        <v>0</v>
      </c>
      <c r="BY70" s="20">
        <v>0</v>
      </c>
      <c r="BZ70" s="20">
        <v>0</v>
      </c>
      <c r="CA70" s="20">
        <v>0</v>
      </c>
      <c r="CB70" s="20">
        <v>0</v>
      </c>
      <c r="CC70" s="20">
        <v>0</v>
      </c>
      <c r="CD70" s="20">
        <v>0</v>
      </c>
      <c r="CE70" s="20">
        <v>0</v>
      </c>
      <c r="CF70" s="20">
        <v>0</v>
      </c>
      <c r="CG70" s="20">
        <v>0</v>
      </c>
      <c r="CH70" s="20">
        <v>0</v>
      </c>
      <c r="CI70" s="20">
        <v>0</v>
      </c>
      <c r="CJ70" s="20">
        <v>0</v>
      </c>
      <c r="CK70" s="20">
        <v>0</v>
      </c>
      <c r="CL70" s="20">
        <v>0</v>
      </c>
      <c r="CM70" s="20">
        <v>0</v>
      </c>
      <c r="CN70" s="20">
        <v>0</v>
      </c>
      <c r="CO70" s="20">
        <v>0</v>
      </c>
      <c r="CP70" s="20">
        <v>0</v>
      </c>
      <c r="CQ70" s="20">
        <v>0</v>
      </c>
      <c r="CR70" s="20">
        <v>0</v>
      </c>
      <c r="CS70" s="20">
        <v>0</v>
      </c>
      <c r="CT70" s="20">
        <v>0</v>
      </c>
      <c r="CU70" s="20">
        <v>0</v>
      </c>
      <c r="CV70" s="20">
        <v>0</v>
      </c>
      <c r="CW70" s="20">
        <v>0</v>
      </c>
      <c r="CX70" s="20">
        <v>0</v>
      </c>
      <c r="CY70" s="20">
        <v>0</v>
      </c>
      <c r="CZ70" s="20">
        <v>0</v>
      </c>
      <c r="DA70" s="20">
        <v>0</v>
      </c>
      <c r="DB70" s="20">
        <v>0</v>
      </c>
      <c r="DC70" s="20">
        <v>0</v>
      </c>
      <c r="DD70" s="20">
        <v>0</v>
      </c>
      <c r="DE70" s="20">
        <v>0</v>
      </c>
      <c r="DF70" s="20">
        <v>0</v>
      </c>
      <c r="DG70" s="16">
        <f t="shared" si="9"/>
        <v>0</v>
      </c>
      <c r="DH70" s="16">
        <f t="shared" si="10"/>
        <v>0</v>
      </c>
      <c r="DI70" s="17" t="str">
        <f t="shared" si="11"/>
        <v/>
      </c>
      <c r="DJ70" s="119" t="s">
        <v>4</v>
      </c>
      <c r="DK70" s="44" t="s">
        <v>4</v>
      </c>
    </row>
    <row r="71" spans="1:115">
      <c r="A71" s="32" t="str">
        <f t="shared" si="7"/>
        <v>Powercor--POLE MOUNTED ; &gt; 22 kV ;  &gt; 60 kVA AND &lt; = 600 kVA</v>
      </c>
      <c r="B71" s="32" t="str">
        <f t="shared" si="8"/>
        <v>Powercor</v>
      </c>
      <c r="C71" s="416"/>
      <c r="D71" s="14"/>
      <c r="E71" s="15" t="s">
        <v>212</v>
      </c>
      <c r="F71" s="18">
        <v>0</v>
      </c>
      <c r="G71" s="18">
        <v>0</v>
      </c>
      <c r="H71" s="20">
        <v>0</v>
      </c>
      <c r="I71" s="20">
        <v>0</v>
      </c>
      <c r="J71" s="20">
        <v>0</v>
      </c>
      <c r="K71" s="20">
        <v>0</v>
      </c>
      <c r="L71" s="20">
        <v>0</v>
      </c>
      <c r="M71" s="20">
        <v>0</v>
      </c>
      <c r="N71" s="20">
        <v>0</v>
      </c>
      <c r="O71" s="20">
        <v>0</v>
      </c>
      <c r="P71" s="20">
        <v>0</v>
      </c>
      <c r="Q71" s="20">
        <v>0</v>
      </c>
      <c r="R71" s="20">
        <v>0</v>
      </c>
      <c r="S71" s="20">
        <v>0</v>
      </c>
      <c r="T71" s="20">
        <v>0</v>
      </c>
      <c r="U71" s="20">
        <v>0</v>
      </c>
      <c r="V71" s="20">
        <v>0</v>
      </c>
      <c r="W71" s="20">
        <v>0</v>
      </c>
      <c r="X71" s="20">
        <v>0</v>
      </c>
      <c r="Y71" s="20">
        <v>0</v>
      </c>
      <c r="Z71" s="20">
        <v>0</v>
      </c>
      <c r="AA71" s="20">
        <v>0</v>
      </c>
      <c r="AB71" s="20">
        <v>0</v>
      </c>
      <c r="AC71" s="20">
        <v>0</v>
      </c>
      <c r="AD71" s="20">
        <v>0</v>
      </c>
      <c r="AE71" s="20">
        <v>0</v>
      </c>
      <c r="AF71" s="20">
        <v>0</v>
      </c>
      <c r="AG71" s="20">
        <v>0</v>
      </c>
      <c r="AH71" s="20">
        <v>0</v>
      </c>
      <c r="AI71" s="20">
        <v>0</v>
      </c>
      <c r="AJ71" s="20">
        <v>0</v>
      </c>
      <c r="AK71" s="20">
        <v>0</v>
      </c>
      <c r="AL71" s="20">
        <v>0</v>
      </c>
      <c r="AM71" s="20">
        <v>0</v>
      </c>
      <c r="AN71" s="20">
        <v>0</v>
      </c>
      <c r="AO71" s="20">
        <v>0</v>
      </c>
      <c r="AP71" s="20">
        <v>0</v>
      </c>
      <c r="AQ71" s="20">
        <v>0</v>
      </c>
      <c r="AR71" s="20">
        <v>0</v>
      </c>
      <c r="AS71" s="20">
        <v>0</v>
      </c>
      <c r="AT71" s="20">
        <v>0</v>
      </c>
      <c r="AU71" s="20">
        <v>0</v>
      </c>
      <c r="AV71" s="20">
        <v>0</v>
      </c>
      <c r="AW71" s="20">
        <v>0</v>
      </c>
      <c r="AX71" s="20">
        <v>0</v>
      </c>
      <c r="AY71" s="20">
        <v>0</v>
      </c>
      <c r="AZ71" s="20">
        <v>0</v>
      </c>
      <c r="BA71" s="20">
        <v>0</v>
      </c>
      <c r="BB71" s="20">
        <v>0</v>
      </c>
      <c r="BC71" s="20">
        <v>0</v>
      </c>
      <c r="BD71" s="20">
        <v>0</v>
      </c>
      <c r="BE71" s="20">
        <v>0</v>
      </c>
      <c r="BF71" s="20">
        <v>0</v>
      </c>
      <c r="BG71" s="20">
        <v>0</v>
      </c>
      <c r="BH71" s="20">
        <v>0</v>
      </c>
      <c r="BI71" s="20">
        <v>0</v>
      </c>
      <c r="BJ71" s="20">
        <v>0</v>
      </c>
      <c r="BK71" s="20">
        <v>0</v>
      </c>
      <c r="BL71" s="20">
        <v>0</v>
      </c>
      <c r="BM71" s="20">
        <v>0</v>
      </c>
      <c r="BN71" s="20">
        <v>0</v>
      </c>
      <c r="BO71" s="20">
        <v>0</v>
      </c>
      <c r="BP71" s="20">
        <v>0</v>
      </c>
      <c r="BQ71" s="20">
        <v>0</v>
      </c>
      <c r="BR71" s="20">
        <v>0</v>
      </c>
      <c r="BS71" s="20">
        <v>0</v>
      </c>
      <c r="BT71" s="20">
        <v>0</v>
      </c>
      <c r="BU71" s="20">
        <v>0</v>
      </c>
      <c r="BV71" s="20">
        <v>0</v>
      </c>
      <c r="BW71" s="20">
        <v>0</v>
      </c>
      <c r="BX71" s="20">
        <v>0</v>
      </c>
      <c r="BY71" s="20">
        <v>0</v>
      </c>
      <c r="BZ71" s="20">
        <v>0</v>
      </c>
      <c r="CA71" s="20">
        <v>0</v>
      </c>
      <c r="CB71" s="20">
        <v>0</v>
      </c>
      <c r="CC71" s="20">
        <v>0</v>
      </c>
      <c r="CD71" s="20">
        <v>0</v>
      </c>
      <c r="CE71" s="20">
        <v>0</v>
      </c>
      <c r="CF71" s="20">
        <v>0</v>
      </c>
      <c r="CG71" s="20">
        <v>0</v>
      </c>
      <c r="CH71" s="20">
        <v>0</v>
      </c>
      <c r="CI71" s="20">
        <v>0</v>
      </c>
      <c r="CJ71" s="20">
        <v>0</v>
      </c>
      <c r="CK71" s="20">
        <v>0</v>
      </c>
      <c r="CL71" s="20">
        <v>0</v>
      </c>
      <c r="CM71" s="20">
        <v>0</v>
      </c>
      <c r="CN71" s="20">
        <v>0</v>
      </c>
      <c r="CO71" s="20">
        <v>0</v>
      </c>
      <c r="CP71" s="20">
        <v>0</v>
      </c>
      <c r="CQ71" s="20">
        <v>0</v>
      </c>
      <c r="CR71" s="20">
        <v>0</v>
      </c>
      <c r="CS71" s="20">
        <v>0</v>
      </c>
      <c r="CT71" s="20">
        <v>0</v>
      </c>
      <c r="CU71" s="20">
        <v>0</v>
      </c>
      <c r="CV71" s="20">
        <v>0</v>
      </c>
      <c r="CW71" s="20">
        <v>0</v>
      </c>
      <c r="CX71" s="20">
        <v>0</v>
      </c>
      <c r="CY71" s="20">
        <v>0</v>
      </c>
      <c r="CZ71" s="20">
        <v>0</v>
      </c>
      <c r="DA71" s="20">
        <v>0</v>
      </c>
      <c r="DB71" s="20">
        <v>0</v>
      </c>
      <c r="DC71" s="20">
        <v>0</v>
      </c>
      <c r="DD71" s="20">
        <v>0</v>
      </c>
      <c r="DE71" s="20">
        <v>0</v>
      </c>
      <c r="DF71" s="20">
        <v>0</v>
      </c>
      <c r="DG71" s="16">
        <f t="shared" si="9"/>
        <v>0</v>
      </c>
      <c r="DH71" s="16">
        <f t="shared" si="10"/>
        <v>0</v>
      </c>
      <c r="DI71" s="17" t="str">
        <f t="shared" si="11"/>
        <v/>
      </c>
      <c r="DJ71" s="119" t="s">
        <v>4</v>
      </c>
      <c r="DK71" s="44" t="s">
        <v>4</v>
      </c>
    </row>
    <row r="72" spans="1:115">
      <c r="A72" s="32" t="str">
        <f t="shared" si="7"/>
        <v>Powercor--POLE MOUNTED ; &gt; 22 kV ;  &gt;  600 kVA</v>
      </c>
      <c r="B72" s="32" t="str">
        <f t="shared" si="8"/>
        <v>Powercor</v>
      </c>
      <c r="C72" s="416"/>
      <c r="D72" s="14"/>
      <c r="E72" s="15" t="s">
        <v>213</v>
      </c>
      <c r="F72" s="18">
        <v>0</v>
      </c>
      <c r="G72" s="18">
        <v>0</v>
      </c>
      <c r="H72" s="20">
        <v>0</v>
      </c>
      <c r="I72" s="20">
        <v>0</v>
      </c>
      <c r="J72" s="20">
        <v>0</v>
      </c>
      <c r="K72" s="20">
        <v>0</v>
      </c>
      <c r="L72" s="20">
        <v>0</v>
      </c>
      <c r="M72" s="20">
        <v>0</v>
      </c>
      <c r="N72" s="20">
        <v>0</v>
      </c>
      <c r="O72" s="20">
        <v>0</v>
      </c>
      <c r="P72" s="20">
        <v>0</v>
      </c>
      <c r="Q72" s="20">
        <v>0</v>
      </c>
      <c r="R72" s="20">
        <v>0</v>
      </c>
      <c r="S72" s="20">
        <v>0</v>
      </c>
      <c r="T72" s="20">
        <v>0</v>
      </c>
      <c r="U72" s="20">
        <v>0</v>
      </c>
      <c r="V72" s="20">
        <v>0</v>
      </c>
      <c r="W72" s="20">
        <v>0</v>
      </c>
      <c r="X72" s="20">
        <v>0</v>
      </c>
      <c r="Y72" s="20">
        <v>0</v>
      </c>
      <c r="Z72" s="20">
        <v>0</v>
      </c>
      <c r="AA72" s="20">
        <v>0</v>
      </c>
      <c r="AB72" s="20">
        <v>0</v>
      </c>
      <c r="AC72" s="20">
        <v>0</v>
      </c>
      <c r="AD72" s="20">
        <v>0</v>
      </c>
      <c r="AE72" s="20">
        <v>0</v>
      </c>
      <c r="AF72" s="20">
        <v>0</v>
      </c>
      <c r="AG72" s="20">
        <v>0</v>
      </c>
      <c r="AH72" s="20">
        <v>0</v>
      </c>
      <c r="AI72" s="20">
        <v>0</v>
      </c>
      <c r="AJ72" s="20">
        <v>0</v>
      </c>
      <c r="AK72" s="20">
        <v>0</v>
      </c>
      <c r="AL72" s="20">
        <v>0</v>
      </c>
      <c r="AM72" s="20">
        <v>0</v>
      </c>
      <c r="AN72" s="20">
        <v>0</v>
      </c>
      <c r="AO72" s="20">
        <v>0</v>
      </c>
      <c r="AP72" s="20">
        <v>0</v>
      </c>
      <c r="AQ72" s="20">
        <v>0</v>
      </c>
      <c r="AR72" s="20">
        <v>0</v>
      </c>
      <c r="AS72" s="20">
        <v>0</v>
      </c>
      <c r="AT72" s="20">
        <v>0</v>
      </c>
      <c r="AU72" s="20">
        <v>0</v>
      </c>
      <c r="AV72" s="20">
        <v>0</v>
      </c>
      <c r="AW72" s="20">
        <v>0</v>
      </c>
      <c r="AX72" s="20">
        <v>0</v>
      </c>
      <c r="AY72" s="20">
        <v>0</v>
      </c>
      <c r="AZ72" s="20">
        <v>0</v>
      </c>
      <c r="BA72" s="20">
        <v>0</v>
      </c>
      <c r="BB72" s="20">
        <v>0</v>
      </c>
      <c r="BC72" s="20">
        <v>0</v>
      </c>
      <c r="BD72" s="20">
        <v>0</v>
      </c>
      <c r="BE72" s="20">
        <v>0</v>
      </c>
      <c r="BF72" s="20">
        <v>0</v>
      </c>
      <c r="BG72" s="20">
        <v>0</v>
      </c>
      <c r="BH72" s="20">
        <v>0</v>
      </c>
      <c r="BI72" s="20">
        <v>0</v>
      </c>
      <c r="BJ72" s="20">
        <v>0</v>
      </c>
      <c r="BK72" s="20">
        <v>0</v>
      </c>
      <c r="BL72" s="20">
        <v>0</v>
      </c>
      <c r="BM72" s="20">
        <v>0</v>
      </c>
      <c r="BN72" s="20">
        <v>0</v>
      </c>
      <c r="BO72" s="20">
        <v>0</v>
      </c>
      <c r="BP72" s="20">
        <v>0</v>
      </c>
      <c r="BQ72" s="20">
        <v>0</v>
      </c>
      <c r="BR72" s="20">
        <v>0</v>
      </c>
      <c r="BS72" s="20">
        <v>0</v>
      </c>
      <c r="BT72" s="20">
        <v>0</v>
      </c>
      <c r="BU72" s="20">
        <v>0</v>
      </c>
      <c r="BV72" s="20">
        <v>0</v>
      </c>
      <c r="BW72" s="20">
        <v>0</v>
      </c>
      <c r="BX72" s="20">
        <v>0</v>
      </c>
      <c r="BY72" s="20">
        <v>0</v>
      </c>
      <c r="BZ72" s="20">
        <v>0</v>
      </c>
      <c r="CA72" s="20">
        <v>0</v>
      </c>
      <c r="CB72" s="20">
        <v>0</v>
      </c>
      <c r="CC72" s="20">
        <v>0</v>
      </c>
      <c r="CD72" s="20">
        <v>0</v>
      </c>
      <c r="CE72" s="20">
        <v>0</v>
      </c>
      <c r="CF72" s="20">
        <v>0</v>
      </c>
      <c r="CG72" s="20">
        <v>0</v>
      </c>
      <c r="CH72" s="20">
        <v>0</v>
      </c>
      <c r="CI72" s="20">
        <v>0</v>
      </c>
      <c r="CJ72" s="20">
        <v>0</v>
      </c>
      <c r="CK72" s="20">
        <v>0</v>
      </c>
      <c r="CL72" s="20">
        <v>0</v>
      </c>
      <c r="CM72" s="20">
        <v>0</v>
      </c>
      <c r="CN72" s="20">
        <v>0</v>
      </c>
      <c r="CO72" s="20">
        <v>0</v>
      </c>
      <c r="CP72" s="20">
        <v>0</v>
      </c>
      <c r="CQ72" s="20">
        <v>0</v>
      </c>
      <c r="CR72" s="20">
        <v>0</v>
      </c>
      <c r="CS72" s="20">
        <v>0</v>
      </c>
      <c r="CT72" s="20">
        <v>0</v>
      </c>
      <c r="CU72" s="20">
        <v>0</v>
      </c>
      <c r="CV72" s="20">
        <v>0</v>
      </c>
      <c r="CW72" s="20">
        <v>0</v>
      </c>
      <c r="CX72" s="20">
        <v>0</v>
      </c>
      <c r="CY72" s="20">
        <v>0</v>
      </c>
      <c r="CZ72" s="20">
        <v>0</v>
      </c>
      <c r="DA72" s="20">
        <v>0</v>
      </c>
      <c r="DB72" s="20">
        <v>0</v>
      </c>
      <c r="DC72" s="20">
        <v>0</v>
      </c>
      <c r="DD72" s="20">
        <v>0</v>
      </c>
      <c r="DE72" s="20">
        <v>0</v>
      </c>
      <c r="DF72" s="20">
        <v>0</v>
      </c>
      <c r="DG72" s="16">
        <f t="shared" si="9"/>
        <v>0</v>
      </c>
      <c r="DH72" s="16">
        <f t="shared" si="10"/>
        <v>0</v>
      </c>
      <c r="DI72" s="17" t="str">
        <f t="shared" si="11"/>
        <v/>
      </c>
      <c r="DJ72" s="119" t="s">
        <v>4</v>
      </c>
      <c r="DK72" s="44" t="s">
        <v>4</v>
      </c>
    </row>
    <row r="73" spans="1:115">
      <c r="A73" s="32" t="str">
        <f t="shared" si="7"/>
        <v>Powercor--KIOSK MOUNTED ; &lt; = 22kV ;  &lt; = 60 kVA ; SINGLE PHASE</v>
      </c>
      <c r="B73" s="32" t="str">
        <f t="shared" si="8"/>
        <v>Powercor</v>
      </c>
      <c r="C73" s="416"/>
      <c r="D73" s="14"/>
      <c r="E73" s="15" t="s">
        <v>214</v>
      </c>
      <c r="F73" s="18">
        <v>0</v>
      </c>
      <c r="G73" s="18">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0">
        <v>0</v>
      </c>
      <c r="AY73" s="20">
        <v>0</v>
      </c>
      <c r="AZ73" s="20">
        <v>0</v>
      </c>
      <c r="BA73" s="20">
        <v>0</v>
      </c>
      <c r="BB73" s="20">
        <v>0</v>
      </c>
      <c r="BC73" s="20">
        <v>0</v>
      </c>
      <c r="BD73" s="20">
        <v>0</v>
      </c>
      <c r="BE73" s="20">
        <v>0</v>
      </c>
      <c r="BF73" s="20">
        <v>0</v>
      </c>
      <c r="BG73" s="20">
        <v>0</v>
      </c>
      <c r="BH73" s="20">
        <v>0</v>
      </c>
      <c r="BI73" s="20">
        <v>0</v>
      </c>
      <c r="BJ73" s="20">
        <v>0</v>
      </c>
      <c r="BK73" s="20">
        <v>0</v>
      </c>
      <c r="BL73" s="20">
        <v>0</v>
      </c>
      <c r="BM73" s="20">
        <v>0</v>
      </c>
      <c r="BN73" s="20">
        <v>0</v>
      </c>
      <c r="BO73" s="20">
        <v>0</v>
      </c>
      <c r="BP73" s="20">
        <v>0</v>
      </c>
      <c r="BQ73" s="20">
        <v>0</v>
      </c>
      <c r="BR73" s="20">
        <v>0</v>
      </c>
      <c r="BS73" s="20">
        <v>0</v>
      </c>
      <c r="BT73" s="20">
        <v>0</v>
      </c>
      <c r="BU73" s="20">
        <v>0</v>
      </c>
      <c r="BV73" s="20">
        <v>0</v>
      </c>
      <c r="BW73" s="20">
        <v>0</v>
      </c>
      <c r="BX73" s="20">
        <v>0</v>
      </c>
      <c r="BY73" s="20">
        <v>0</v>
      </c>
      <c r="BZ73" s="20">
        <v>0</v>
      </c>
      <c r="CA73" s="20">
        <v>0</v>
      </c>
      <c r="CB73" s="20">
        <v>0</v>
      </c>
      <c r="CC73" s="20">
        <v>0</v>
      </c>
      <c r="CD73" s="20">
        <v>0</v>
      </c>
      <c r="CE73" s="20">
        <v>0</v>
      </c>
      <c r="CF73" s="20">
        <v>0</v>
      </c>
      <c r="CG73" s="20">
        <v>0</v>
      </c>
      <c r="CH73" s="20">
        <v>0</v>
      </c>
      <c r="CI73" s="20">
        <v>0</v>
      </c>
      <c r="CJ73" s="20">
        <v>0</v>
      </c>
      <c r="CK73" s="20">
        <v>0</v>
      </c>
      <c r="CL73" s="20">
        <v>0</v>
      </c>
      <c r="CM73" s="20">
        <v>0</v>
      </c>
      <c r="CN73" s="20">
        <v>0</v>
      </c>
      <c r="CO73" s="20">
        <v>0</v>
      </c>
      <c r="CP73" s="20">
        <v>0</v>
      </c>
      <c r="CQ73" s="20">
        <v>0</v>
      </c>
      <c r="CR73" s="20">
        <v>0</v>
      </c>
      <c r="CS73" s="20">
        <v>0</v>
      </c>
      <c r="CT73" s="20">
        <v>0</v>
      </c>
      <c r="CU73" s="20">
        <v>0</v>
      </c>
      <c r="CV73" s="20">
        <v>0</v>
      </c>
      <c r="CW73" s="20">
        <v>0</v>
      </c>
      <c r="CX73" s="20">
        <v>0</v>
      </c>
      <c r="CY73" s="20">
        <v>0</v>
      </c>
      <c r="CZ73" s="20">
        <v>0</v>
      </c>
      <c r="DA73" s="20">
        <v>0</v>
      </c>
      <c r="DB73" s="20">
        <v>0</v>
      </c>
      <c r="DC73" s="20">
        <v>0</v>
      </c>
      <c r="DD73" s="20">
        <v>0</v>
      </c>
      <c r="DE73" s="20">
        <v>0</v>
      </c>
      <c r="DF73" s="20">
        <v>0</v>
      </c>
      <c r="DG73" s="16">
        <f t="shared" si="9"/>
        <v>0</v>
      </c>
      <c r="DH73" s="16">
        <f t="shared" si="10"/>
        <v>0</v>
      </c>
      <c r="DI73" s="17" t="str">
        <f t="shared" si="11"/>
        <v/>
      </c>
      <c r="DJ73" s="119" t="s">
        <v>4</v>
      </c>
      <c r="DK73" s="44" t="s">
        <v>4</v>
      </c>
    </row>
    <row r="74" spans="1:115">
      <c r="A74" s="32" t="str">
        <f t="shared" si="7"/>
        <v>Powercor--KIOSK MOUNTED ; &lt; = 22kV ;  &gt; 60 kVA AND &lt; = 600 kVA ; SINGLE PHASE</v>
      </c>
      <c r="B74" s="32" t="str">
        <f t="shared" si="8"/>
        <v>Powercor</v>
      </c>
      <c r="C74" s="416"/>
      <c r="D74" s="14"/>
      <c r="E74" s="15" t="s">
        <v>215</v>
      </c>
      <c r="F74" s="18">
        <v>55</v>
      </c>
      <c r="G74" s="18">
        <v>8.6999999999999993</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1</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0">
        <v>0</v>
      </c>
      <c r="AY74" s="20">
        <v>0</v>
      </c>
      <c r="AZ74" s="20">
        <v>0</v>
      </c>
      <c r="BA74" s="20">
        <v>0</v>
      </c>
      <c r="BB74" s="20">
        <v>0</v>
      </c>
      <c r="BC74" s="20">
        <v>0</v>
      </c>
      <c r="BD74" s="20">
        <v>0</v>
      </c>
      <c r="BE74" s="20">
        <v>0</v>
      </c>
      <c r="BF74" s="20">
        <v>0</v>
      </c>
      <c r="BG74" s="20">
        <v>0</v>
      </c>
      <c r="BH74" s="20">
        <v>0</v>
      </c>
      <c r="BI74" s="20">
        <v>0</v>
      </c>
      <c r="BJ74" s="20">
        <v>0</v>
      </c>
      <c r="BK74" s="20">
        <v>0</v>
      </c>
      <c r="BL74" s="20">
        <v>0</v>
      </c>
      <c r="BM74" s="20">
        <v>0</v>
      </c>
      <c r="BN74" s="20">
        <v>0</v>
      </c>
      <c r="BO74" s="20">
        <v>0</v>
      </c>
      <c r="BP74" s="20">
        <v>0</v>
      </c>
      <c r="BQ74" s="20">
        <v>0</v>
      </c>
      <c r="BR74" s="20">
        <v>0</v>
      </c>
      <c r="BS74" s="20">
        <v>0</v>
      </c>
      <c r="BT74" s="20">
        <v>0</v>
      </c>
      <c r="BU74" s="20">
        <v>0</v>
      </c>
      <c r="BV74" s="20">
        <v>0</v>
      </c>
      <c r="BW74" s="20">
        <v>0</v>
      </c>
      <c r="BX74" s="20">
        <v>0</v>
      </c>
      <c r="BY74" s="20">
        <v>0</v>
      </c>
      <c r="BZ74" s="20">
        <v>0</v>
      </c>
      <c r="CA74" s="20">
        <v>0</v>
      </c>
      <c r="CB74" s="20">
        <v>0</v>
      </c>
      <c r="CC74" s="20">
        <v>0</v>
      </c>
      <c r="CD74" s="20">
        <v>0</v>
      </c>
      <c r="CE74" s="20">
        <v>0</v>
      </c>
      <c r="CF74" s="20">
        <v>0</v>
      </c>
      <c r="CG74" s="20">
        <v>0</v>
      </c>
      <c r="CH74" s="20">
        <v>0</v>
      </c>
      <c r="CI74" s="20">
        <v>0</v>
      </c>
      <c r="CJ74" s="20">
        <v>0</v>
      </c>
      <c r="CK74" s="20">
        <v>0</v>
      </c>
      <c r="CL74" s="20">
        <v>0</v>
      </c>
      <c r="CM74" s="20">
        <v>0</v>
      </c>
      <c r="CN74" s="20">
        <v>0</v>
      </c>
      <c r="CO74" s="20">
        <v>0</v>
      </c>
      <c r="CP74" s="20">
        <v>0</v>
      </c>
      <c r="CQ74" s="20">
        <v>0</v>
      </c>
      <c r="CR74" s="20">
        <v>0</v>
      </c>
      <c r="CS74" s="20">
        <v>0</v>
      </c>
      <c r="CT74" s="20">
        <v>0</v>
      </c>
      <c r="CU74" s="20">
        <v>0</v>
      </c>
      <c r="CV74" s="20">
        <v>0</v>
      </c>
      <c r="CW74" s="20">
        <v>0</v>
      </c>
      <c r="CX74" s="20">
        <v>0</v>
      </c>
      <c r="CY74" s="20">
        <v>0</v>
      </c>
      <c r="CZ74" s="20">
        <v>0</v>
      </c>
      <c r="DA74" s="20">
        <v>0</v>
      </c>
      <c r="DB74" s="20">
        <v>0</v>
      </c>
      <c r="DC74" s="20">
        <v>0</v>
      </c>
      <c r="DD74" s="20">
        <v>0</v>
      </c>
      <c r="DE74" s="20">
        <v>0</v>
      </c>
      <c r="DF74" s="20">
        <v>0</v>
      </c>
      <c r="DG74" s="16">
        <f t="shared" si="9"/>
        <v>1</v>
      </c>
      <c r="DH74" s="16">
        <f t="shared" si="10"/>
        <v>26</v>
      </c>
      <c r="DI74" s="17">
        <f t="shared" si="11"/>
        <v>26</v>
      </c>
      <c r="DJ74" s="119" t="s">
        <v>4</v>
      </c>
      <c r="DK74" s="44" t="s">
        <v>4</v>
      </c>
    </row>
    <row r="75" spans="1:115">
      <c r="A75" s="32" t="str">
        <f t="shared" si="7"/>
        <v>Powercor--KIOSK MOUNTED ; &lt; = 22kV ;  &gt; 600 kVA ; SINGLE PHASE</v>
      </c>
      <c r="B75" s="32" t="str">
        <f t="shared" si="8"/>
        <v>Powercor</v>
      </c>
      <c r="C75" s="416"/>
      <c r="D75" s="14"/>
      <c r="E75" s="15" t="s">
        <v>216</v>
      </c>
      <c r="F75" s="18">
        <v>0</v>
      </c>
      <c r="G75" s="18">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0">
        <v>0</v>
      </c>
      <c r="AY75" s="20">
        <v>0</v>
      </c>
      <c r="AZ75" s="20">
        <v>0</v>
      </c>
      <c r="BA75" s="20">
        <v>0</v>
      </c>
      <c r="BB75" s="20">
        <v>0</v>
      </c>
      <c r="BC75" s="20">
        <v>0</v>
      </c>
      <c r="BD75" s="20">
        <v>0</v>
      </c>
      <c r="BE75" s="20">
        <v>0</v>
      </c>
      <c r="BF75" s="20">
        <v>0</v>
      </c>
      <c r="BG75" s="20">
        <v>0</v>
      </c>
      <c r="BH75" s="20">
        <v>0</v>
      </c>
      <c r="BI75" s="20">
        <v>0</v>
      </c>
      <c r="BJ75" s="20">
        <v>0</v>
      </c>
      <c r="BK75" s="20">
        <v>0</v>
      </c>
      <c r="BL75" s="20">
        <v>0</v>
      </c>
      <c r="BM75" s="20">
        <v>0</v>
      </c>
      <c r="BN75" s="20">
        <v>0</v>
      </c>
      <c r="BO75" s="20">
        <v>0</v>
      </c>
      <c r="BP75" s="20">
        <v>0</v>
      </c>
      <c r="BQ75" s="20">
        <v>0</v>
      </c>
      <c r="BR75" s="20">
        <v>0</v>
      </c>
      <c r="BS75" s="20">
        <v>0</v>
      </c>
      <c r="BT75" s="20">
        <v>0</v>
      </c>
      <c r="BU75" s="20">
        <v>0</v>
      </c>
      <c r="BV75" s="20">
        <v>0</v>
      </c>
      <c r="BW75" s="20">
        <v>0</v>
      </c>
      <c r="BX75" s="20">
        <v>0</v>
      </c>
      <c r="BY75" s="20">
        <v>0</v>
      </c>
      <c r="BZ75" s="20">
        <v>0</v>
      </c>
      <c r="CA75" s="20">
        <v>0</v>
      </c>
      <c r="CB75" s="20">
        <v>0</v>
      </c>
      <c r="CC75" s="20">
        <v>0</v>
      </c>
      <c r="CD75" s="20">
        <v>0</v>
      </c>
      <c r="CE75" s="20">
        <v>0</v>
      </c>
      <c r="CF75" s="20">
        <v>0</v>
      </c>
      <c r="CG75" s="20">
        <v>0</v>
      </c>
      <c r="CH75" s="20">
        <v>0</v>
      </c>
      <c r="CI75" s="20">
        <v>0</v>
      </c>
      <c r="CJ75" s="20">
        <v>0</v>
      </c>
      <c r="CK75" s="20">
        <v>0</v>
      </c>
      <c r="CL75" s="20">
        <v>0</v>
      </c>
      <c r="CM75" s="20">
        <v>0</v>
      </c>
      <c r="CN75" s="20">
        <v>0</v>
      </c>
      <c r="CO75" s="20">
        <v>0</v>
      </c>
      <c r="CP75" s="20">
        <v>0</v>
      </c>
      <c r="CQ75" s="20">
        <v>0</v>
      </c>
      <c r="CR75" s="20">
        <v>0</v>
      </c>
      <c r="CS75" s="20">
        <v>0</v>
      </c>
      <c r="CT75" s="20">
        <v>0</v>
      </c>
      <c r="CU75" s="20">
        <v>0</v>
      </c>
      <c r="CV75" s="20">
        <v>0</v>
      </c>
      <c r="CW75" s="20">
        <v>0</v>
      </c>
      <c r="CX75" s="20">
        <v>0</v>
      </c>
      <c r="CY75" s="20">
        <v>0</v>
      </c>
      <c r="CZ75" s="20">
        <v>0</v>
      </c>
      <c r="DA75" s="20">
        <v>0</v>
      </c>
      <c r="DB75" s="20">
        <v>0</v>
      </c>
      <c r="DC75" s="20">
        <v>0</v>
      </c>
      <c r="DD75" s="20">
        <v>0</v>
      </c>
      <c r="DE75" s="20">
        <v>0</v>
      </c>
      <c r="DF75" s="20">
        <v>0</v>
      </c>
      <c r="DG75" s="16">
        <f t="shared" si="9"/>
        <v>0</v>
      </c>
      <c r="DH75" s="16">
        <f t="shared" si="10"/>
        <v>0</v>
      </c>
      <c r="DI75" s="17" t="str">
        <f t="shared" si="11"/>
        <v/>
      </c>
      <c r="DJ75" s="119" t="s">
        <v>4</v>
      </c>
      <c r="DK75" s="44" t="s">
        <v>4</v>
      </c>
    </row>
    <row r="76" spans="1:115">
      <c r="A76" s="32" t="str">
        <f t="shared" si="7"/>
        <v>Powercor--KIOSK MOUNTED ; &lt; = 22kV ;  &lt; = 60 kVA  ; MULTIPLE PHASE</v>
      </c>
      <c r="B76" s="32" t="str">
        <f t="shared" si="8"/>
        <v>Powercor</v>
      </c>
      <c r="C76" s="416"/>
      <c r="D76" s="14"/>
      <c r="E76" s="15" t="s">
        <v>217</v>
      </c>
      <c r="F76" s="18">
        <v>55</v>
      </c>
      <c r="G76" s="18">
        <v>8.6999999999999993</v>
      </c>
      <c r="H76" s="20">
        <v>0</v>
      </c>
      <c r="I76" s="20">
        <v>2</v>
      </c>
      <c r="J76" s="20">
        <v>3</v>
      </c>
      <c r="K76" s="20">
        <v>3</v>
      </c>
      <c r="L76" s="20">
        <v>2</v>
      </c>
      <c r="M76" s="20">
        <v>4</v>
      </c>
      <c r="N76" s="20">
        <v>5</v>
      </c>
      <c r="O76" s="20">
        <v>6</v>
      </c>
      <c r="P76" s="20">
        <v>5</v>
      </c>
      <c r="Q76" s="20">
        <v>4</v>
      </c>
      <c r="R76" s="20">
        <v>4</v>
      </c>
      <c r="S76" s="20">
        <v>4</v>
      </c>
      <c r="T76" s="20">
        <v>4</v>
      </c>
      <c r="U76" s="20">
        <v>4</v>
      </c>
      <c r="V76" s="20">
        <v>4</v>
      </c>
      <c r="W76" s="20">
        <v>4</v>
      </c>
      <c r="X76" s="20">
        <v>3</v>
      </c>
      <c r="Y76" s="20">
        <v>3</v>
      </c>
      <c r="Z76" s="20">
        <v>3</v>
      </c>
      <c r="AA76" s="20">
        <v>4</v>
      </c>
      <c r="AB76" s="20">
        <v>4</v>
      </c>
      <c r="AC76" s="20">
        <v>4</v>
      </c>
      <c r="AD76" s="20">
        <v>4</v>
      </c>
      <c r="AE76" s="20">
        <v>5</v>
      </c>
      <c r="AF76" s="20">
        <v>6</v>
      </c>
      <c r="AG76" s="20">
        <v>7</v>
      </c>
      <c r="AH76" s="20">
        <v>6</v>
      </c>
      <c r="AI76" s="20">
        <v>5</v>
      </c>
      <c r="AJ76" s="20">
        <v>6</v>
      </c>
      <c r="AK76" s="20">
        <v>5</v>
      </c>
      <c r="AL76" s="20">
        <v>4</v>
      </c>
      <c r="AM76" s="20">
        <v>4</v>
      </c>
      <c r="AN76" s="20">
        <v>5</v>
      </c>
      <c r="AO76" s="20">
        <v>5</v>
      </c>
      <c r="AP76" s="20">
        <v>4</v>
      </c>
      <c r="AQ76" s="20">
        <v>4</v>
      </c>
      <c r="AR76" s="20">
        <v>4</v>
      </c>
      <c r="AS76" s="20">
        <v>5</v>
      </c>
      <c r="AT76" s="20">
        <v>2</v>
      </c>
      <c r="AU76" s="20">
        <v>2</v>
      </c>
      <c r="AV76" s="20">
        <v>2</v>
      </c>
      <c r="AW76" s="20">
        <v>2</v>
      </c>
      <c r="AX76" s="20">
        <v>1</v>
      </c>
      <c r="AY76" s="20">
        <v>3</v>
      </c>
      <c r="AZ76" s="20">
        <v>3</v>
      </c>
      <c r="BA76" s="20">
        <v>3</v>
      </c>
      <c r="BB76" s="20">
        <v>3</v>
      </c>
      <c r="BC76" s="20">
        <v>4</v>
      </c>
      <c r="BD76" s="20">
        <v>3</v>
      </c>
      <c r="BE76" s="20">
        <v>3</v>
      </c>
      <c r="BF76" s="20">
        <v>2</v>
      </c>
      <c r="BG76" s="20">
        <v>2</v>
      </c>
      <c r="BH76" s="20">
        <v>1</v>
      </c>
      <c r="BI76" s="20">
        <v>1</v>
      </c>
      <c r="BJ76" s="20">
        <v>1</v>
      </c>
      <c r="BK76" s="20">
        <v>1</v>
      </c>
      <c r="BL76" s="20">
        <v>1</v>
      </c>
      <c r="BM76" s="20">
        <v>0</v>
      </c>
      <c r="BN76" s="20">
        <v>0</v>
      </c>
      <c r="BO76" s="20">
        <v>0</v>
      </c>
      <c r="BP76" s="20">
        <v>0</v>
      </c>
      <c r="BQ76" s="20">
        <v>0</v>
      </c>
      <c r="BR76" s="20">
        <v>0</v>
      </c>
      <c r="BS76" s="20">
        <v>0</v>
      </c>
      <c r="BT76" s="20">
        <v>0</v>
      </c>
      <c r="BU76" s="20">
        <v>0</v>
      </c>
      <c r="BV76" s="20">
        <v>0</v>
      </c>
      <c r="BW76" s="20">
        <v>0</v>
      </c>
      <c r="BX76" s="20">
        <v>0</v>
      </c>
      <c r="BY76" s="20">
        <v>0</v>
      </c>
      <c r="BZ76" s="20">
        <v>0</v>
      </c>
      <c r="CA76" s="20">
        <v>0</v>
      </c>
      <c r="CB76" s="20">
        <v>0</v>
      </c>
      <c r="CC76" s="20">
        <v>0</v>
      </c>
      <c r="CD76" s="20">
        <v>0</v>
      </c>
      <c r="CE76" s="20">
        <v>0</v>
      </c>
      <c r="CF76" s="20">
        <v>0</v>
      </c>
      <c r="CG76" s="20">
        <v>0</v>
      </c>
      <c r="CH76" s="20">
        <v>0</v>
      </c>
      <c r="CI76" s="20">
        <v>0</v>
      </c>
      <c r="CJ76" s="20">
        <v>0</v>
      </c>
      <c r="CK76" s="20">
        <v>0</v>
      </c>
      <c r="CL76" s="20">
        <v>0</v>
      </c>
      <c r="CM76" s="20">
        <v>0</v>
      </c>
      <c r="CN76" s="20">
        <v>0</v>
      </c>
      <c r="CO76" s="20">
        <v>0</v>
      </c>
      <c r="CP76" s="20">
        <v>0</v>
      </c>
      <c r="CQ76" s="20">
        <v>0</v>
      </c>
      <c r="CR76" s="20">
        <v>0</v>
      </c>
      <c r="CS76" s="20">
        <v>0</v>
      </c>
      <c r="CT76" s="20">
        <v>0</v>
      </c>
      <c r="CU76" s="20">
        <v>0</v>
      </c>
      <c r="CV76" s="20">
        <v>0</v>
      </c>
      <c r="CW76" s="20">
        <v>0</v>
      </c>
      <c r="CX76" s="20">
        <v>0</v>
      </c>
      <c r="CY76" s="20">
        <v>0</v>
      </c>
      <c r="CZ76" s="20">
        <v>0</v>
      </c>
      <c r="DA76" s="20">
        <v>0</v>
      </c>
      <c r="DB76" s="20">
        <v>0</v>
      </c>
      <c r="DC76" s="20">
        <v>0</v>
      </c>
      <c r="DD76" s="20">
        <v>0</v>
      </c>
      <c r="DE76" s="20">
        <v>0</v>
      </c>
      <c r="DF76" s="20">
        <v>0</v>
      </c>
      <c r="DG76" s="16">
        <f t="shared" si="9"/>
        <v>198</v>
      </c>
      <c r="DH76" s="16">
        <f t="shared" si="10"/>
        <v>5227</v>
      </c>
      <c r="DI76" s="17">
        <f t="shared" si="11"/>
        <v>26.3989898989899</v>
      </c>
      <c r="DJ76" s="119" t="s">
        <v>4</v>
      </c>
      <c r="DK76" s="44" t="s">
        <v>4</v>
      </c>
    </row>
    <row r="77" spans="1:115">
      <c r="A77" s="32" t="str">
        <f t="shared" si="7"/>
        <v>Powercor--KIOSK MOUNTED ; &lt; = 22kV ;  &gt; 60 kVA AND &lt; = 600 kVA  ; MULTIPLE PHASE</v>
      </c>
      <c r="B77" s="32" t="str">
        <f t="shared" si="8"/>
        <v>Powercor</v>
      </c>
      <c r="C77" s="416"/>
      <c r="D77" s="14"/>
      <c r="E77" s="15" t="s">
        <v>218</v>
      </c>
      <c r="F77" s="18">
        <v>55</v>
      </c>
      <c r="G77" s="18">
        <v>8.6999999999999993</v>
      </c>
      <c r="H77" s="20">
        <v>164</v>
      </c>
      <c r="I77" s="20">
        <v>22</v>
      </c>
      <c r="J77" s="20">
        <v>40</v>
      </c>
      <c r="K77" s="20">
        <v>39</v>
      </c>
      <c r="L77" s="20">
        <v>23</v>
      </c>
      <c r="M77" s="20">
        <v>54</v>
      </c>
      <c r="N77" s="20">
        <v>68</v>
      </c>
      <c r="O77" s="20">
        <v>71</v>
      </c>
      <c r="P77" s="20">
        <v>60</v>
      </c>
      <c r="Q77" s="20">
        <v>50</v>
      </c>
      <c r="R77" s="20">
        <v>52</v>
      </c>
      <c r="S77" s="20">
        <v>48</v>
      </c>
      <c r="T77" s="20">
        <v>53</v>
      </c>
      <c r="U77" s="20">
        <v>46</v>
      </c>
      <c r="V77" s="20">
        <v>47</v>
      </c>
      <c r="W77" s="20">
        <v>50</v>
      </c>
      <c r="X77" s="20">
        <v>42</v>
      </c>
      <c r="Y77" s="20">
        <v>42</v>
      </c>
      <c r="Z77" s="20">
        <v>43</v>
      </c>
      <c r="AA77" s="20">
        <v>47</v>
      </c>
      <c r="AB77" s="20">
        <v>51</v>
      </c>
      <c r="AC77" s="20">
        <v>50</v>
      </c>
      <c r="AD77" s="20">
        <v>56</v>
      </c>
      <c r="AE77" s="20">
        <v>63</v>
      </c>
      <c r="AF77" s="20">
        <v>75</v>
      </c>
      <c r="AG77" s="20">
        <v>83</v>
      </c>
      <c r="AH77" s="20">
        <v>71</v>
      </c>
      <c r="AI77" s="20">
        <v>68</v>
      </c>
      <c r="AJ77" s="20">
        <v>74</v>
      </c>
      <c r="AK77" s="20">
        <v>63</v>
      </c>
      <c r="AL77" s="20">
        <v>51</v>
      </c>
      <c r="AM77" s="20">
        <v>54</v>
      </c>
      <c r="AN77" s="20">
        <v>60</v>
      </c>
      <c r="AO77" s="20">
        <v>58</v>
      </c>
      <c r="AP77" s="20">
        <v>56</v>
      </c>
      <c r="AQ77" s="20">
        <v>46</v>
      </c>
      <c r="AR77" s="20">
        <v>45</v>
      </c>
      <c r="AS77" s="20">
        <v>63</v>
      </c>
      <c r="AT77" s="20">
        <v>27</v>
      </c>
      <c r="AU77" s="20">
        <v>20</v>
      </c>
      <c r="AV77" s="20">
        <v>24</v>
      </c>
      <c r="AW77" s="20">
        <v>20</v>
      </c>
      <c r="AX77" s="20">
        <v>17</v>
      </c>
      <c r="AY77" s="20">
        <v>32</v>
      </c>
      <c r="AZ77" s="20">
        <v>35</v>
      </c>
      <c r="BA77" s="20">
        <v>36</v>
      </c>
      <c r="BB77" s="20">
        <v>40</v>
      </c>
      <c r="BC77" s="20">
        <v>44</v>
      </c>
      <c r="BD77" s="20">
        <v>40</v>
      </c>
      <c r="BE77" s="20">
        <v>38</v>
      </c>
      <c r="BF77" s="20">
        <v>23</v>
      </c>
      <c r="BG77" s="20">
        <v>20</v>
      </c>
      <c r="BH77" s="20">
        <v>17</v>
      </c>
      <c r="BI77" s="20">
        <v>15</v>
      </c>
      <c r="BJ77" s="20">
        <v>9</v>
      </c>
      <c r="BK77" s="20">
        <v>10</v>
      </c>
      <c r="BL77" s="20">
        <v>7</v>
      </c>
      <c r="BM77" s="20">
        <v>6</v>
      </c>
      <c r="BN77" s="20">
        <v>4</v>
      </c>
      <c r="BO77" s="20">
        <v>3</v>
      </c>
      <c r="BP77" s="20">
        <v>2</v>
      </c>
      <c r="BQ77" s="20">
        <v>2</v>
      </c>
      <c r="BR77" s="20">
        <v>1</v>
      </c>
      <c r="BS77" s="20">
        <v>0</v>
      </c>
      <c r="BT77" s="20">
        <v>0</v>
      </c>
      <c r="BU77" s="20">
        <v>0</v>
      </c>
      <c r="BV77" s="20">
        <v>0</v>
      </c>
      <c r="BW77" s="20">
        <v>0</v>
      </c>
      <c r="BX77" s="20">
        <v>0</v>
      </c>
      <c r="BY77" s="20">
        <v>0</v>
      </c>
      <c r="BZ77" s="20">
        <v>0</v>
      </c>
      <c r="CA77" s="20">
        <v>0</v>
      </c>
      <c r="CB77" s="20">
        <v>0</v>
      </c>
      <c r="CC77" s="20">
        <v>0</v>
      </c>
      <c r="CD77" s="20">
        <v>0</v>
      </c>
      <c r="CE77" s="20">
        <v>0</v>
      </c>
      <c r="CF77" s="20">
        <v>0</v>
      </c>
      <c r="CG77" s="20">
        <v>0</v>
      </c>
      <c r="CH77" s="20">
        <v>0</v>
      </c>
      <c r="CI77" s="20">
        <v>0</v>
      </c>
      <c r="CJ77" s="20">
        <v>0</v>
      </c>
      <c r="CK77" s="20">
        <v>0</v>
      </c>
      <c r="CL77" s="20">
        <v>0</v>
      </c>
      <c r="CM77" s="20">
        <v>0</v>
      </c>
      <c r="CN77" s="20">
        <v>0</v>
      </c>
      <c r="CO77" s="20">
        <v>0</v>
      </c>
      <c r="CP77" s="20">
        <v>0</v>
      </c>
      <c r="CQ77" s="20">
        <v>0</v>
      </c>
      <c r="CR77" s="20">
        <v>0</v>
      </c>
      <c r="CS77" s="20">
        <v>0</v>
      </c>
      <c r="CT77" s="20">
        <v>0</v>
      </c>
      <c r="CU77" s="20">
        <v>0</v>
      </c>
      <c r="CV77" s="20">
        <v>0</v>
      </c>
      <c r="CW77" s="20">
        <v>0</v>
      </c>
      <c r="CX77" s="20">
        <v>0</v>
      </c>
      <c r="CY77" s="20">
        <v>0</v>
      </c>
      <c r="CZ77" s="20">
        <v>0</v>
      </c>
      <c r="DA77" s="20">
        <v>0</v>
      </c>
      <c r="DB77" s="20">
        <v>0</v>
      </c>
      <c r="DC77" s="20">
        <v>0</v>
      </c>
      <c r="DD77" s="20">
        <v>0</v>
      </c>
      <c r="DE77" s="20">
        <v>0</v>
      </c>
      <c r="DF77" s="20">
        <v>0</v>
      </c>
      <c r="DG77" s="16">
        <f t="shared" si="9"/>
        <v>2640</v>
      </c>
      <c r="DH77" s="16">
        <f t="shared" si="10"/>
        <v>65367</v>
      </c>
      <c r="DI77" s="17">
        <f t="shared" si="11"/>
        <v>24.760227272727274</v>
      </c>
      <c r="DJ77" s="119" t="s">
        <v>4</v>
      </c>
      <c r="DK77" s="44" t="s">
        <v>4</v>
      </c>
    </row>
    <row r="78" spans="1:115">
      <c r="A78" s="32" t="str">
        <f t="shared" si="7"/>
        <v>Powercor--KIOSK MOUNTED ; &lt; = 22kV ;  &gt; 600 kVA  ; MULTIPLE PHASE</v>
      </c>
      <c r="B78" s="32" t="str">
        <f t="shared" si="8"/>
        <v>Powercor</v>
      </c>
      <c r="C78" s="416"/>
      <c r="D78" s="14"/>
      <c r="E78" s="15" t="s">
        <v>219</v>
      </c>
      <c r="F78" s="18">
        <v>55</v>
      </c>
      <c r="G78" s="18">
        <v>8.6999999999999993</v>
      </c>
      <c r="H78" s="20">
        <v>37</v>
      </c>
      <c r="I78" s="20">
        <v>5</v>
      </c>
      <c r="J78" s="20">
        <v>9</v>
      </c>
      <c r="K78" s="20">
        <v>8</v>
      </c>
      <c r="L78" s="20">
        <v>5</v>
      </c>
      <c r="M78" s="20">
        <v>12</v>
      </c>
      <c r="N78" s="20">
        <v>14</v>
      </c>
      <c r="O78" s="20">
        <v>15</v>
      </c>
      <c r="P78" s="20">
        <v>13</v>
      </c>
      <c r="Q78" s="20">
        <v>11</v>
      </c>
      <c r="R78" s="20">
        <v>11</v>
      </c>
      <c r="S78" s="20">
        <v>10</v>
      </c>
      <c r="T78" s="20">
        <v>11</v>
      </c>
      <c r="U78" s="20">
        <v>10</v>
      </c>
      <c r="V78" s="20">
        <v>10</v>
      </c>
      <c r="W78" s="20">
        <v>11</v>
      </c>
      <c r="X78" s="20">
        <v>9</v>
      </c>
      <c r="Y78" s="20">
        <v>9</v>
      </c>
      <c r="Z78" s="20">
        <v>9</v>
      </c>
      <c r="AA78" s="20">
        <v>10</v>
      </c>
      <c r="AB78" s="20">
        <v>11</v>
      </c>
      <c r="AC78" s="20">
        <v>11</v>
      </c>
      <c r="AD78" s="20">
        <v>12</v>
      </c>
      <c r="AE78" s="20">
        <v>14</v>
      </c>
      <c r="AF78" s="20">
        <v>16</v>
      </c>
      <c r="AG78" s="20">
        <v>18</v>
      </c>
      <c r="AH78" s="20">
        <v>15</v>
      </c>
      <c r="AI78" s="20">
        <v>15</v>
      </c>
      <c r="AJ78" s="20">
        <v>16</v>
      </c>
      <c r="AK78" s="20">
        <v>13</v>
      </c>
      <c r="AL78" s="20">
        <v>11</v>
      </c>
      <c r="AM78" s="20">
        <v>12</v>
      </c>
      <c r="AN78" s="20">
        <v>13</v>
      </c>
      <c r="AO78" s="20">
        <v>12</v>
      </c>
      <c r="AP78" s="20">
        <v>12</v>
      </c>
      <c r="AQ78" s="20">
        <v>10</v>
      </c>
      <c r="AR78" s="20">
        <v>10</v>
      </c>
      <c r="AS78" s="20">
        <v>13</v>
      </c>
      <c r="AT78" s="20">
        <v>6</v>
      </c>
      <c r="AU78" s="20">
        <v>4</v>
      </c>
      <c r="AV78" s="20">
        <v>5</v>
      </c>
      <c r="AW78" s="20">
        <v>4</v>
      </c>
      <c r="AX78" s="20">
        <v>4</v>
      </c>
      <c r="AY78" s="20">
        <v>7</v>
      </c>
      <c r="AZ78" s="20">
        <v>7</v>
      </c>
      <c r="BA78" s="20">
        <v>8</v>
      </c>
      <c r="BB78" s="20">
        <v>9</v>
      </c>
      <c r="BC78" s="20">
        <v>9</v>
      </c>
      <c r="BD78" s="20">
        <v>8</v>
      </c>
      <c r="BE78" s="20">
        <v>8</v>
      </c>
      <c r="BF78" s="20">
        <v>5</v>
      </c>
      <c r="BG78" s="20">
        <v>4</v>
      </c>
      <c r="BH78" s="20">
        <v>4</v>
      </c>
      <c r="BI78" s="20">
        <v>3</v>
      </c>
      <c r="BJ78" s="20">
        <v>2</v>
      </c>
      <c r="BK78" s="20">
        <v>2</v>
      </c>
      <c r="BL78" s="20">
        <v>1</v>
      </c>
      <c r="BM78" s="20">
        <v>1</v>
      </c>
      <c r="BN78" s="20">
        <v>1</v>
      </c>
      <c r="BO78" s="20">
        <v>1</v>
      </c>
      <c r="BP78" s="20">
        <v>1</v>
      </c>
      <c r="BQ78" s="20">
        <v>0</v>
      </c>
      <c r="BR78" s="20">
        <v>0</v>
      </c>
      <c r="BS78" s="20">
        <v>0</v>
      </c>
      <c r="BT78" s="20">
        <v>0</v>
      </c>
      <c r="BU78" s="20">
        <v>0</v>
      </c>
      <c r="BV78" s="20">
        <v>0</v>
      </c>
      <c r="BW78" s="20">
        <v>0</v>
      </c>
      <c r="BX78" s="20">
        <v>0</v>
      </c>
      <c r="BY78" s="20">
        <v>0</v>
      </c>
      <c r="BZ78" s="20">
        <v>0</v>
      </c>
      <c r="CA78" s="20">
        <v>0</v>
      </c>
      <c r="CB78" s="20">
        <v>0</v>
      </c>
      <c r="CC78" s="20">
        <v>0</v>
      </c>
      <c r="CD78" s="20">
        <v>0</v>
      </c>
      <c r="CE78" s="20">
        <v>0</v>
      </c>
      <c r="CF78" s="20">
        <v>0</v>
      </c>
      <c r="CG78" s="20">
        <v>0</v>
      </c>
      <c r="CH78" s="20">
        <v>0</v>
      </c>
      <c r="CI78" s="20">
        <v>0</v>
      </c>
      <c r="CJ78" s="20">
        <v>0</v>
      </c>
      <c r="CK78" s="20">
        <v>0</v>
      </c>
      <c r="CL78" s="20">
        <v>0</v>
      </c>
      <c r="CM78" s="20">
        <v>0</v>
      </c>
      <c r="CN78" s="20">
        <v>0</v>
      </c>
      <c r="CO78" s="20">
        <v>0</v>
      </c>
      <c r="CP78" s="20">
        <v>0</v>
      </c>
      <c r="CQ78" s="20">
        <v>0</v>
      </c>
      <c r="CR78" s="20">
        <v>0</v>
      </c>
      <c r="CS78" s="20">
        <v>0</v>
      </c>
      <c r="CT78" s="20">
        <v>0</v>
      </c>
      <c r="CU78" s="20">
        <v>0</v>
      </c>
      <c r="CV78" s="20">
        <v>0</v>
      </c>
      <c r="CW78" s="20">
        <v>0</v>
      </c>
      <c r="CX78" s="20">
        <v>0</v>
      </c>
      <c r="CY78" s="20">
        <v>0</v>
      </c>
      <c r="CZ78" s="20">
        <v>0</v>
      </c>
      <c r="DA78" s="20">
        <v>0</v>
      </c>
      <c r="DB78" s="20">
        <v>0</v>
      </c>
      <c r="DC78" s="20">
        <v>0</v>
      </c>
      <c r="DD78" s="20">
        <v>0</v>
      </c>
      <c r="DE78" s="20">
        <v>0</v>
      </c>
      <c r="DF78" s="20">
        <v>0</v>
      </c>
      <c r="DG78" s="16">
        <f t="shared" si="9"/>
        <v>567</v>
      </c>
      <c r="DH78" s="16">
        <f t="shared" si="10"/>
        <v>13953</v>
      </c>
      <c r="DI78" s="17">
        <f t="shared" si="11"/>
        <v>24.608465608465607</v>
      </c>
      <c r="DJ78" s="119" t="s">
        <v>4</v>
      </c>
      <c r="DK78" s="44" t="s">
        <v>4</v>
      </c>
    </row>
    <row r="79" spans="1:115">
      <c r="A79" s="32" t="str">
        <f t="shared" si="7"/>
        <v xml:space="preserve">Powercor--KIOSK MOUNTED ; &gt; 22 kV ;  &lt; = 60 kVA </v>
      </c>
      <c r="B79" s="32" t="str">
        <f t="shared" si="8"/>
        <v>Powercor</v>
      </c>
      <c r="C79" s="416"/>
      <c r="D79" s="14"/>
      <c r="E79" s="15" t="s">
        <v>220</v>
      </c>
      <c r="F79" s="18">
        <v>0</v>
      </c>
      <c r="G79" s="18">
        <v>0</v>
      </c>
      <c r="H79" s="20">
        <v>0</v>
      </c>
      <c r="I79" s="20">
        <v>0</v>
      </c>
      <c r="J79" s="20">
        <v>0</v>
      </c>
      <c r="K79" s="20">
        <v>0</v>
      </c>
      <c r="L79" s="20">
        <v>0</v>
      </c>
      <c r="M79" s="20">
        <v>0</v>
      </c>
      <c r="N79" s="20">
        <v>0</v>
      </c>
      <c r="O79" s="20">
        <v>0</v>
      </c>
      <c r="P79" s="20">
        <v>0</v>
      </c>
      <c r="Q79" s="20">
        <v>0</v>
      </c>
      <c r="R79" s="20">
        <v>0</v>
      </c>
      <c r="S79" s="20">
        <v>0</v>
      </c>
      <c r="T79" s="20">
        <v>0</v>
      </c>
      <c r="U79" s="20">
        <v>0</v>
      </c>
      <c r="V79" s="20">
        <v>0</v>
      </c>
      <c r="W79" s="20">
        <v>0</v>
      </c>
      <c r="X79" s="20">
        <v>0</v>
      </c>
      <c r="Y79" s="20">
        <v>0</v>
      </c>
      <c r="Z79" s="20">
        <v>0</v>
      </c>
      <c r="AA79" s="20">
        <v>0</v>
      </c>
      <c r="AB79" s="20">
        <v>0</v>
      </c>
      <c r="AC79" s="20">
        <v>0</v>
      </c>
      <c r="AD79" s="20">
        <v>0</v>
      </c>
      <c r="AE79" s="20">
        <v>0</v>
      </c>
      <c r="AF79" s="20">
        <v>0</v>
      </c>
      <c r="AG79" s="20">
        <v>0</v>
      </c>
      <c r="AH79" s="20">
        <v>0</v>
      </c>
      <c r="AI79" s="20">
        <v>0</v>
      </c>
      <c r="AJ79" s="20">
        <v>0</v>
      </c>
      <c r="AK79" s="20">
        <v>0</v>
      </c>
      <c r="AL79" s="20">
        <v>0</v>
      </c>
      <c r="AM79" s="20">
        <v>0</v>
      </c>
      <c r="AN79" s="20">
        <v>0</v>
      </c>
      <c r="AO79" s="20">
        <v>0</v>
      </c>
      <c r="AP79" s="20">
        <v>0</v>
      </c>
      <c r="AQ79" s="20">
        <v>0</v>
      </c>
      <c r="AR79" s="20">
        <v>0</v>
      </c>
      <c r="AS79" s="20">
        <v>0</v>
      </c>
      <c r="AT79" s="20">
        <v>0</v>
      </c>
      <c r="AU79" s="20">
        <v>0</v>
      </c>
      <c r="AV79" s="20">
        <v>0</v>
      </c>
      <c r="AW79" s="20">
        <v>0</v>
      </c>
      <c r="AX79" s="20">
        <v>0</v>
      </c>
      <c r="AY79" s="20">
        <v>0</v>
      </c>
      <c r="AZ79" s="20">
        <v>0</v>
      </c>
      <c r="BA79" s="20">
        <v>0</v>
      </c>
      <c r="BB79" s="20">
        <v>0</v>
      </c>
      <c r="BC79" s="20">
        <v>0</v>
      </c>
      <c r="BD79" s="20">
        <v>0</v>
      </c>
      <c r="BE79" s="20">
        <v>0</v>
      </c>
      <c r="BF79" s="20">
        <v>0</v>
      </c>
      <c r="BG79" s="20">
        <v>0</v>
      </c>
      <c r="BH79" s="20">
        <v>0</v>
      </c>
      <c r="BI79" s="20">
        <v>0</v>
      </c>
      <c r="BJ79" s="20">
        <v>0</v>
      </c>
      <c r="BK79" s="20">
        <v>0</v>
      </c>
      <c r="BL79" s="20">
        <v>0</v>
      </c>
      <c r="BM79" s="20">
        <v>0</v>
      </c>
      <c r="BN79" s="20">
        <v>0</v>
      </c>
      <c r="BO79" s="20">
        <v>0</v>
      </c>
      <c r="BP79" s="20">
        <v>0</v>
      </c>
      <c r="BQ79" s="20">
        <v>0</v>
      </c>
      <c r="BR79" s="20">
        <v>0</v>
      </c>
      <c r="BS79" s="20">
        <v>0</v>
      </c>
      <c r="BT79" s="20">
        <v>0</v>
      </c>
      <c r="BU79" s="20">
        <v>0</v>
      </c>
      <c r="BV79" s="20">
        <v>0</v>
      </c>
      <c r="BW79" s="20">
        <v>0</v>
      </c>
      <c r="BX79" s="20">
        <v>0</v>
      </c>
      <c r="BY79" s="20">
        <v>0</v>
      </c>
      <c r="BZ79" s="20">
        <v>0</v>
      </c>
      <c r="CA79" s="20">
        <v>0</v>
      </c>
      <c r="CB79" s="20">
        <v>0</v>
      </c>
      <c r="CC79" s="20">
        <v>0</v>
      </c>
      <c r="CD79" s="20">
        <v>0</v>
      </c>
      <c r="CE79" s="20">
        <v>0</v>
      </c>
      <c r="CF79" s="20">
        <v>0</v>
      </c>
      <c r="CG79" s="20">
        <v>0</v>
      </c>
      <c r="CH79" s="20">
        <v>0</v>
      </c>
      <c r="CI79" s="20">
        <v>0</v>
      </c>
      <c r="CJ79" s="20">
        <v>0</v>
      </c>
      <c r="CK79" s="20">
        <v>0</v>
      </c>
      <c r="CL79" s="20">
        <v>0</v>
      </c>
      <c r="CM79" s="20">
        <v>0</v>
      </c>
      <c r="CN79" s="20">
        <v>0</v>
      </c>
      <c r="CO79" s="20">
        <v>0</v>
      </c>
      <c r="CP79" s="20">
        <v>0</v>
      </c>
      <c r="CQ79" s="20">
        <v>0</v>
      </c>
      <c r="CR79" s="20">
        <v>0</v>
      </c>
      <c r="CS79" s="20">
        <v>0</v>
      </c>
      <c r="CT79" s="20">
        <v>0</v>
      </c>
      <c r="CU79" s="20">
        <v>0</v>
      </c>
      <c r="CV79" s="20">
        <v>0</v>
      </c>
      <c r="CW79" s="20">
        <v>0</v>
      </c>
      <c r="CX79" s="20">
        <v>0</v>
      </c>
      <c r="CY79" s="20">
        <v>0</v>
      </c>
      <c r="CZ79" s="20">
        <v>0</v>
      </c>
      <c r="DA79" s="20">
        <v>0</v>
      </c>
      <c r="DB79" s="20">
        <v>0</v>
      </c>
      <c r="DC79" s="20">
        <v>0</v>
      </c>
      <c r="DD79" s="20">
        <v>0</v>
      </c>
      <c r="DE79" s="20">
        <v>0</v>
      </c>
      <c r="DF79" s="20">
        <v>0</v>
      </c>
      <c r="DG79" s="16">
        <f t="shared" si="9"/>
        <v>0</v>
      </c>
      <c r="DH79" s="16">
        <f t="shared" si="10"/>
        <v>0</v>
      </c>
      <c r="DI79" s="17" t="str">
        <f t="shared" si="11"/>
        <v/>
      </c>
      <c r="DJ79" s="119" t="s">
        <v>4</v>
      </c>
      <c r="DK79" s="44" t="s">
        <v>4</v>
      </c>
    </row>
    <row r="80" spans="1:115">
      <c r="A80" s="32" t="str">
        <f t="shared" si="7"/>
        <v xml:space="preserve">Powercor--KIOSK MOUNTED ; &gt; 22 kV ;  &gt; 60 kVA AND &lt; = 600 kVA </v>
      </c>
      <c r="B80" s="32" t="str">
        <f t="shared" si="8"/>
        <v>Powercor</v>
      </c>
      <c r="C80" s="416"/>
      <c r="D80" s="14"/>
      <c r="E80" s="15" t="s">
        <v>221</v>
      </c>
      <c r="F80" s="18">
        <v>0</v>
      </c>
      <c r="G80" s="18">
        <v>0</v>
      </c>
      <c r="H80" s="20">
        <v>0</v>
      </c>
      <c r="I80" s="20">
        <v>0</v>
      </c>
      <c r="J80" s="20">
        <v>0</v>
      </c>
      <c r="K80" s="20">
        <v>0</v>
      </c>
      <c r="L80" s="20">
        <v>0</v>
      </c>
      <c r="M80" s="20">
        <v>0</v>
      </c>
      <c r="N80" s="20">
        <v>0</v>
      </c>
      <c r="O80" s="20">
        <v>0</v>
      </c>
      <c r="P80" s="20">
        <v>0</v>
      </c>
      <c r="Q80" s="20">
        <v>0</v>
      </c>
      <c r="R80" s="20">
        <v>0</v>
      </c>
      <c r="S80" s="20">
        <v>0</v>
      </c>
      <c r="T80" s="20">
        <v>0</v>
      </c>
      <c r="U80" s="20">
        <v>0</v>
      </c>
      <c r="V80" s="20">
        <v>0</v>
      </c>
      <c r="W80" s="20">
        <v>0</v>
      </c>
      <c r="X80" s="20">
        <v>0</v>
      </c>
      <c r="Y80" s="20">
        <v>0</v>
      </c>
      <c r="Z80" s="20">
        <v>0</v>
      </c>
      <c r="AA80" s="20">
        <v>0</v>
      </c>
      <c r="AB80" s="20">
        <v>0</v>
      </c>
      <c r="AC80" s="20">
        <v>0</v>
      </c>
      <c r="AD80" s="20">
        <v>0</v>
      </c>
      <c r="AE80" s="20">
        <v>0</v>
      </c>
      <c r="AF80" s="20">
        <v>0</v>
      </c>
      <c r="AG80" s="20">
        <v>0</v>
      </c>
      <c r="AH80" s="20">
        <v>0</v>
      </c>
      <c r="AI80" s="20">
        <v>0</v>
      </c>
      <c r="AJ80" s="20">
        <v>0</v>
      </c>
      <c r="AK80" s="20">
        <v>0</v>
      </c>
      <c r="AL80" s="20">
        <v>0</v>
      </c>
      <c r="AM80" s="20">
        <v>0</v>
      </c>
      <c r="AN80" s="20">
        <v>0</v>
      </c>
      <c r="AO80" s="20">
        <v>0</v>
      </c>
      <c r="AP80" s="20">
        <v>0</v>
      </c>
      <c r="AQ80" s="20">
        <v>0</v>
      </c>
      <c r="AR80" s="20">
        <v>0</v>
      </c>
      <c r="AS80" s="20">
        <v>0</v>
      </c>
      <c r="AT80" s="20">
        <v>0</v>
      </c>
      <c r="AU80" s="20">
        <v>0</v>
      </c>
      <c r="AV80" s="20">
        <v>0</v>
      </c>
      <c r="AW80" s="20">
        <v>0</v>
      </c>
      <c r="AX80" s="20">
        <v>0</v>
      </c>
      <c r="AY80" s="20">
        <v>0</v>
      </c>
      <c r="AZ80" s="20">
        <v>0</v>
      </c>
      <c r="BA80" s="20">
        <v>0</v>
      </c>
      <c r="BB80" s="20">
        <v>0</v>
      </c>
      <c r="BC80" s="20">
        <v>0</v>
      </c>
      <c r="BD80" s="20">
        <v>0</v>
      </c>
      <c r="BE80" s="20">
        <v>0</v>
      </c>
      <c r="BF80" s="20">
        <v>0</v>
      </c>
      <c r="BG80" s="20">
        <v>0</v>
      </c>
      <c r="BH80" s="20">
        <v>0</v>
      </c>
      <c r="BI80" s="20">
        <v>0</v>
      </c>
      <c r="BJ80" s="20">
        <v>0</v>
      </c>
      <c r="BK80" s="20">
        <v>0</v>
      </c>
      <c r="BL80" s="20">
        <v>0</v>
      </c>
      <c r="BM80" s="20">
        <v>0</v>
      </c>
      <c r="BN80" s="20">
        <v>0</v>
      </c>
      <c r="BO80" s="20">
        <v>0</v>
      </c>
      <c r="BP80" s="20">
        <v>0</v>
      </c>
      <c r="BQ80" s="20">
        <v>0</v>
      </c>
      <c r="BR80" s="20">
        <v>0</v>
      </c>
      <c r="BS80" s="20">
        <v>0</v>
      </c>
      <c r="BT80" s="20">
        <v>0</v>
      </c>
      <c r="BU80" s="20">
        <v>0</v>
      </c>
      <c r="BV80" s="20">
        <v>0</v>
      </c>
      <c r="BW80" s="20">
        <v>0</v>
      </c>
      <c r="BX80" s="20">
        <v>0</v>
      </c>
      <c r="BY80" s="20">
        <v>0</v>
      </c>
      <c r="BZ80" s="20">
        <v>0</v>
      </c>
      <c r="CA80" s="20">
        <v>0</v>
      </c>
      <c r="CB80" s="20">
        <v>0</v>
      </c>
      <c r="CC80" s="20">
        <v>0</v>
      </c>
      <c r="CD80" s="20">
        <v>0</v>
      </c>
      <c r="CE80" s="20">
        <v>0</v>
      </c>
      <c r="CF80" s="20">
        <v>0</v>
      </c>
      <c r="CG80" s="20">
        <v>0</v>
      </c>
      <c r="CH80" s="20">
        <v>0</v>
      </c>
      <c r="CI80" s="20">
        <v>0</v>
      </c>
      <c r="CJ80" s="20">
        <v>0</v>
      </c>
      <c r="CK80" s="20">
        <v>0</v>
      </c>
      <c r="CL80" s="20">
        <v>0</v>
      </c>
      <c r="CM80" s="20">
        <v>0</v>
      </c>
      <c r="CN80" s="20">
        <v>0</v>
      </c>
      <c r="CO80" s="20">
        <v>0</v>
      </c>
      <c r="CP80" s="20">
        <v>0</v>
      </c>
      <c r="CQ80" s="20">
        <v>0</v>
      </c>
      <c r="CR80" s="20">
        <v>0</v>
      </c>
      <c r="CS80" s="20">
        <v>0</v>
      </c>
      <c r="CT80" s="20">
        <v>0</v>
      </c>
      <c r="CU80" s="20">
        <v>0</v>
      </c>
      <c r="CV80" s="20">
        <v>0</v>
      </c>
      <c r="CW80" s="20">
        <v>0</v>
      </c>
      <c r="CX80" s="20">
        <v>0</v>
      </c>
      <c r="CY80" s="20">
        <v>0</v>
      </c>
      <c r="CZ80" s="20">
        <v>0</v>
      </c>
      <c r="DA80" s="20">
        <v>0</v>
      </c>
      <c r="DB80" s="20">
        <v>0</v>
      </c>
      <c r="DC80" s="20">
        <v>0</v>
      </c>
      <c r="DD80" s="20">
        <v>0</v>
      </c>
      <c r="DE80" s="20">
        <v>0</v>
      </c>
      <c r="DF80" s="20">
        <v>0</v>
      </c>
      <c r="DG80" s="16">
        <f t="shared" si="9"/>
        <v>0</v>
      </c>
      <c r="DH80" s="16">
        <f t="shared" si="10"/>
        <v>0</v>
      </c>
      <c r="DI80" s="17" t="str">
        <f t="shared" si="11"/>
        <v/>
      </c>
      <c r="DJ80" s="119" t="s">
        <v>4</v>
      </c>
      <c r="DK80" s="44" t="s">
        <v>4</v>
      </c>
    </row>
    <row r="81" spans="1:115">
      <c r="A81" s="32" t="str">
        <f t="shared" si="7"/>
        <v>Powercor--KIOSK MOUNTED ; &gt; 22 kV ;  &gt; 600 kVA</v>
      </c>
      <c r="B81" s="32" t="str">
        <f t="shared" si="8"/>
        <v>Powercor</v>
      </c>
      <c r="C81" s="416"/>
      <c r="D81" s="14"/>
      <c r="E81" s="15" t="s">
        <v>222</v>
      </c>
      <c r="F81" s="18">
        <v>0</v>
      </c>
      <c r="G81" s="18">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0">
        <v>0</v>
      </c>
      <c r="AY81" s="20">
        <v>0</v>
      </c>
      <c r="AZ81" s="20">
        <v>0</v>
      </c>
      <c r="BA81" s="20">
        <v>0</v>
      </c>
      <c r="BB81" s="20">
        <v>0</v>
      </c>
      <c r="BC81" s="20">
        <v>0</v>
      </c>
      <c r="BD81" s="20">
        <v>0</v>
      </c>
      <c r="BE81" s="20">
        <v>0</v>
      </c>
      <c r="BF81" s="20">
        <v>0</v>
      </c>
      <c r="BG81" s="20">
        <v>0</v>
      </c>
      <c r="BH81" s="20">
        <v>0</v>
      </c>
      <c r="BI81" s="20">
        <v>0</v>
      </c>
      <c r="BJ81" s="20">
        <v>0</v>
      </c>
      <c r="BK81" s="20">
        <v>0</v>
      </c>
      <c r="BL81" s="20">
        <v>0</v>
      </c>
      <c r="BM81" s="20">
        <v>0</v>
      </c>
      <c r="BN81" s="20">
        <v>0</v>
      </c>
      <c r="BO81" s="20">
        <v>0</v>
      </c>
      <c r="BP81" s="20">
        <v>0</v>
      </c>
      <c r="BQ81" s="20">
        <v>0</v>
      </c>
      <c r="BR81" s="20">
        <v>0</v>
      </c>
      <c r="BS81" s="20">
        <v>0</v>
      </c>
      <c r="BT81" s="20">
        <v>0</v>
      </c>
      <c r="BU81" s="20">
        <v>0</v>
      </c>
      <c r="BV81" s="20">
        <v>0</v>
      </c>
      <c r="BW81" s="20">
        <v>0</v>
      </c>
      <c r="BX81" s="20">
        <v>0</v>
      </c>
      <c r="BY81" s="20">
        <v>0</v>
      </c>
      <c r="BZ81" s="20">
        <v>0</v>
      </c>
      <c r="CA81" s="20">
        <v>0</v>
      </c>
      <c r="CB81" s="20">
        <v>0</v>
      </c>
      <c r="CC81" s="20">
        <v>0</v>
      </c>
      <c r="CD81" s="20">
        <v>0</v>
      </c>
      <c r="CE81" s="20">
        <v>0</v>
      </c>
      <c r="CF81" s="20">
        <v>0</v>
      </c>
      <c r="CG81" s="20">
        <v>0</v>
      </c>
      <c r="CH81" s="20">
        <v>0</v>
      </c>
      <c r="CI81" s="20">
        <v>0</v>
      </c>
      <c r="CJ81" s="20">
        <v>0</v>
      </c>
      <c r="CK81" s="20">
        <v>0</v>
      </c>
      <c r="CL81" s="20">
        <v>0</v>
      </c>
      <c r="CM81" s="20">
        <v>0</v>
      </c>
      <c r="CN81" s="20">
        <v>0</v>
      </c>
      <c r="CO81" s="20">
        <v>0</v>
      </c>
      <c r="CP81" s="20">
        <v>0</v>
      </c>
      <c r="CQ81" s="20">
        <v>0</v>
      </c>
      <c r="CR81" s="20">
        <v>0</v>
      </c>
      <c r="CS81" s="20">
        <v>0</v>
      </c>
      <c r="CT81" s="20">
        <v>0</v>
      </c>
      <c r="CU81" s="20">
        <v>0</v>
      </c>
      <c r="CV81" s="20">
        <v>0</v>
      </c>
      <c r="CW81" s="20">
        <v>0</v>
      </c>
      <c r="CX81" s="20">
        <v>0</v>
      </c>
      <c r="CY81" s="20">
        <v>0</v>
      </c>
      <c r="CZ81" s="20">
        <v>0</v>
      </c>
      <c r="DA81" s="20">
        <v>0</v>
      </c>
      <c r="DB81" s="20">
        <v>0</v>
      </c>
      <c r="DC81" s="20">
        <v>0</v>
      </c>
      <c r="DD81" s="20">
        <v>0</v>
      </c>
      <c r="DE81" s="20">
        <v>0</v>
      </c>
      <c r="DF81" s="20">
        <v>0</v>
      </c>
      <c r="DG81" s="16">
        <f t="shared" si="9"/>
        <v>0</v>
      </c>
      <c r="DH81" s="16">
        <f t="shared" si="10"/>
        <v>0</v>
      </c>
      <c r="DI81" s="17" t="str">
        <f t="shared" si="11"/>
        <v/>
      </c>
      <c r="DJ81" s="119" t="s">
        <v>4</v>
      </c>
      <c r="DK81" s="44" t="s">
        <v>4</v>
      </c>
    </row>
    <row r="82" spans="1:115">
      <c r="A82" s="32" t="str">
        <f t="shared" si="7"/>
        <v xml:space="preserve">Powercor--KIOSK MOUNTED ; &gt; 22 kV ;  &lt; = 60 kVA </v>
      </c>
      <c r="B82" s="32" t="str">
        <f t="shared" si="8"/>
        <v>Powercor</v>
      </c>
      <c r="C82" s="416"/>
      <c r="D82" s="14"/>
      <c r="E82" s="15" t="s">
        <v>220</v>
      </c>
      <c r="F82" s="18">
        <v>0</v>
      </c>
      <c r="G82" s="18">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0">
        <v>0</v>
      </c>
      <c r="AY82" s="20">
        <v>0</v>
      </c>
      <c r="AZ82" s="20">
        <v>0</v>
      </c>
      <c r="BA82" s="20">
        <v>0</v>
      </c>
      <c r="BB82" s="20">
        <v>0</v>
      </c>
      <c r="BC82" s="20">
        <v>0</v>
      </c>
      <c r="BD82" s="20">
        <v>0</v>
      </c>
      <c r="BE82" s="20">
        <v>0</v>
      </c>
      <c r="BF82" s="20">
        <v>0</v>
      </c>
      <c r="BG82" s="20">
        <v>0</v>
      </c>
      <c r="BH82" s="20">
        <v>0</v>
      </c>
      <c r="BI82" s="20">
        <v>0</v>
      </c>
      <c r="BJ82" s="20">
        <v>0</v>
      </c>
      <c r="BK82" s="20">
        <v>0</v>
      </c>
      <c r="BL82" s="20">
        <v>0</v>
      </c>
      <c r="BM82" s="20">
        <v>0</v>
      </c>
      <c r="BN82" s="20">
        <v>0</v>
      </c>
      <c r="BO82" s="20">
        <v>0</v>
      </c>
      <c r="BP82" s="20">
        <v>0</v>
      </c>
      <c r="BQ82" s="20">
        <v>0</v>
      </c>
      <c r="BR82" s="20">
        <v>0</v>
      </c>
      <c r="BS82" s="20">
        <v>0</v>
      </c>
      <c r="BT82" s="20">
        <v>0</v>
      </c>
      <c r="BU82" s="20">
        <v>0</v>
      </c>
      <c r="BV82" s="20">
        <v>0</v>
      </c>
      <c r="BW82" s="20">
        <v>0</v>
      </c>
      <c r="BX82" s="20">
        <v>0</v>
      </c>
      <c r="BY82" s="20">
        <v>0</v>
      </c>
      <c r="BZ82" s="20">
        <v>0</v>
      </c>
      <c r="CA82" s="20">
        <v>0</v>
      </c>
      <c r="CB82" s="20">
        <v>0</v>
      </c>
      <c r="CC82" s="20">
        <v>0</v>
      </c>
      <c r="CD82" s="20">
        <v>0</v>
      </c>
      <c r="CE82" s="20">
        <v>0</v>
      </c>
      <c r="CF82" s="20">
        <v>0</v>
      </c>
      <c r="CG82" s="20">
        <v>0</v>
      </c>
      <c r="CH82" s="20">
        <v>0</v>
      </c>
      <c r="CI82" s="20">
        <v>0</v>
      </c>
      <c r="CJ82" s="20">
        <v>0</v>
      </c>
      <c r="CK82" s="20">
        <v>0</v>
      </c>
      <c r="CL82" s="20">
        <v>0</v>
      </c>
      <c r="CM82" s="20">
        <v>0</v>
      </c>
      <c r="CN82" s="20">
        <v>0</v>
      </c>
      <c r="CO82" s="20">
        <v>0</v>
      </c>
      <c r="CP82" s="20">
        <v>0</v>
      </c>
      <c r="CQ82" s="20">
        <v>0</v>
      </c>
      <c r="CR82" s="20">
        <v>0</v>
      </c>
      <c r="CS82" s="20">
        <v>0</v>
      </c>
      <c r="CT82" s="20">
        <v>0</v>
      </c>
      <c r="CU82" s="20">
        <v>0</v>
      </c>
      <c r="CV82" s="20">
        <v>0</v>
      </c>
      <c r="CW82" s="20">
        <v>0</v>
      </c>
      <c r="CX82" s="20">
        <v>0</v>
      </c>
      <c r="CY82" s="20">
        <v>0</v>
      </c>
      <c r="CZ82" s="20">
        <v>0</v>
      </c>
      <c r="DA82" s="20">
        <v>0</v>
      </c>
      <c r="DB82" s="20">
        <v>0</v>
      </c>
      <c r="DC82" s="20">
        <v>0</v>
      </c>
      <c r="DD82" s="20">
        <v>0</v>
      </c>
      <c r="DE82" s="20">
        <v>0</v>
      </c>
      <c r="DF82" s="20">
        <v>0</v>
      </c>
      <c r="DG82" s="16">
        <f t="shared" si="9"/>
        <v>0</v>
      </c>
      <c r="DH82" s="16">
        <f t="shared" si="10"/>
        <v>0</v>
      </c>
      <c r="DI82" s="17" t="str">
        <f t="shared" si="11"/>
        <v/>
      </c>
      <c r="DJ82" s="119" t="s">
        <v>4</v>
      </c>
      <c r="DK82" s="44" t="s">
        <v>4</v>
      </c>
    </row>
    <row r="83" spans="1:115">
      <c r="A83" s="32" t="str">
        <f t="shared" si="7"/>
        <v>Powercor--KIOSK MOUNTED ; &gt; 22 kV ;  &gt; 60 kVA AND &lt; = 600 kVA</v>
      </c>
      <c r="B83" s="32" t="str">
        <f t="shared" si="8"/>
        <v>Powercor</v>
      </c>
      <c r="C83" s="416"/>
      <c r="D83" s="14"/>
      <c r="E83" s="15" t="s">
        <v>223</v>
      </c>
      <c r="F83" s="18">
        <v>0</v>
      </c>
      <c r="G83" s="18">
        <v>0</v>
      </c>
      <c r="H83" s="20">
        <v>0</v>
      </c>
      <c r="I83" s="20">
        <v>0</v>
      </c>
      <c r="J83" s="20">
        <v>0</v>
      </c>
      <c r="K83" s="20">
        <v>0</v>
      </c>
      <c r="L83" s="20">
        <v>0</v>
      </c>
      <c r="M83" s="20">
        <v>0</v>
      </c>
      <c r="N83" s="20">
        <v>0</v>
      </c>
      <c r="O83" s="20">
        <v>0</v>
      </c>
      <c r="P83" s="20">
        <v>0</v>
      </c>
      <c r="Q83" s="20">
        <v>0</v>
      </c>
      <c r="R83" s="20">
        <v>0</v>
      </c>
      <c r="S83" s="20">
        <v>0</v>
      </c>
      <c r="T83" s="20">
        <v>0</v>
      </c>
      <c r="U83" s="20">
        <v>0</v>
      </c>
      <c r="V83" s="20">
        <v>0</v>
      </c>
      <c r="W83" s="20">
        <v>0</v>
      </c>
      <c r="X83" s="20">
        <v>0</v>
      </c>
      <c r="Y83" s="20">
        <v>0</v>
      </c>
      <c r="Z83" s="20">
        <v>0</v>
      </c>
      <c r="AA83" s="20">
        <v>0</v>
      </c>
      <c r="AB83" s="20">
        <v>0</v>
      </c>
      <c r="AC83" s="20">
        <v>0</v>
      </c>
      <c r="AD83" s="20">
        <v>0</v>
      </c>
      <c r="AE83" s="20">
        <v>0</v>
      </c>
      <c r="AF83" s="20">
        <v>0</v>
      </c>
      <c r="AG83" s="20">
        <v>0</v>
      </c>
      <c r="AH83" s="20">
        <v>0</v>
      </c>
      <c r="AI83" s="20">
        <v>0</v>
      </c>
      <c r="AJ83" s="20">
        <v>0</v>
      </c>
      <c r="AK83" s="20">
        <v>0</v>
      </c>
      <c r="AL83" s="20">
        <v>0</v>
      </c>
      <c r="AM83" s="20">
        <v>0</v>
      </c>
      <c r="AN83" s="20">
        <v>0</v>
      </c>
      <c r="AO83" s="20">
        <v>0</v>
      </c>
      <c r="AP83" s="20">
        <v>0</v>
      </c>
      <c r="AQ83" s="20">
        <v>0</v>
      </c>
      <c r="AR83" s="20">
        <v>0</v>
      </c>
      <c r="AS83" s="20">
        <v>0</v>
      </c>
      <c r="AT83" s="20">
        <v>0</v>
      </c>
      <c r="AU83" s="20">
        <v>0</v>
      </c>
      <c r="AV83" s="20">
        <v>0</v>
      </c>
      <c r="AW83" s="20">
        <v>0</v>
      </c>
      <c r="AX83" s="20">
        <v>0</v>
      </c>
      <c r="AY83" s="20">
        <v>0</v>
      </c>
      <c r="AZ83" s="20">
        <v>0</v>
      </c>
      <c r="BA83" s="20">
        <v>0</v>
      </c>
      <c r="BB83" s="20">
        <v>0</v>
      </c>
      <c r="BC83" s="20">
        <v>0</v>
      </c>
      <c r="BD83" s="20">
        <v>0</v>
      </c>
      <c r="BE83" s="20">
        <v>0</v>
      </c>
      <c r="BF83" s="20">
        <v>0</v>
      </c>
      <c r="BG83" s="20">
        <v>0</v>
      </c>
      <c r="BH83" s="20">
        <v>0</v>
      </c>
      <c r="BI83" s="20">
        <v>0</v>
      </c>
      <c r="BJ83" s="20">
        <v>0</v>
      </c>
      <c r="BK83" s="20">
        <v>0</v>
      </c>
      <c r="BL83" s="20">
        <v>0</v>
      </c>
      <c r="BM83" s="20">
        <v>0</v>
      </c>
      <c r="BN83" s="20">
        <v>0</v>
      </c>
      <c r="BO83" s="20">
        <v>0</v>
      </c>
      <c r="BP83" s="20">
        <v>0</v>
      </c>
      <c r="BQ83" s="20">
        <v>0</v>
      </c>
      <c r="BR83" s="20">
        <v>0</v>
      </c>
      <c r="BS83" s="20">
        <v>0</v>
      </c>
      <c r="BT83" s="20">
        <v>0</v>
      </c>
      <c r="BU83" s="20">
        <v>0</v>
      </c>
      <c r="BV83" s="20">
        <v>0</v>
      </c>
      <c r="BW83" s="20">
        <v>0</v>
      </c>
      <c r="BX83" s="20">
        <v>0</v>
      </c>
      <c r="BY83" s="20">
        <v>0</v>
      </c>
      <c r="BZ83" s="20">
        <v>0</v>
      </c>
      <c r="CA83" s="20">
        <v>0</v>
      </c>
      <c r="CB83" s="20">
        <v>0</v>
      </c>
      <c r="CC83" s="20">
        <v>0</v>
      </c>
      <c r="CD83" s="20">
        <v>0</v>
      </c>
      <c r="CE83" s="20">
        <v>0</v>
      </c>
      <c r="CF83" s="20">
        <v>0</v>
      </c>
      <c r="CG83" s="20">
        <v>0</v>
      </c>
      <c r="CH83" s="20">
        <v>0</v>
      </c>
      <c r="CI83" s="20">
        <v>0</v>
      </c>
      <c r="CJ83" s="20">
        <v>0</v>
      </c>
      <c r="CK83" s="20">
        <v>0</v>
      </c>
      <c r="CL83" s="20">
        <v>0</v>
      </c>
      <c r="CM83" s="20">
        <v>0</v>
      </c>
      <c r="CN83" s="20">
        <v>0</v>
      </c>
      <c r="CO83" s="20">
        <v>0</v>
      </c>
      <c r="CP83" s="20">
        <v>0</v>
      </c>
      <c r="CQ83" s="20">
        <v>0</v>
      </c>
      <c r="CR83" s="20">
        <v>0</v>
      </c>
      <c r="CS83" s="20">
        <v>0</v>
      </c>
      <c r="CT83" s="20">
        <v>0</v>
      </c>
      <c r="CU83" s="20">
        <v>0</v>
      </c>
      <c r="CV83" s="20">
        <v>0</v>
      </c>
      <c r="CW83" s="20">
        <v>0</v>
      </c>
      <c r="CX83" s="20">
        <v>0</v>
      </c>
      <c r="CY83" s="20">
        <v>0</v>
      </c>
      <c r="CZ83" s="20">
        <v>0</v>
      </c>
      <c r="DA83" s="20">
        <v>0</v>
      </c>
      <c r="DB83" s="20">
        <v>0</v>
      </c>
      <c r="DC83" s="20">
        <v>0</v>
      </c>
      <c r="DD83" s="20">
        <v>0</v>
      </c>
      <c r="DE83" s="20">
        <v>0</v>
      </c>
      <c r="DF83" s="20">
        <v>0</v>
      </c>
      <c r="DG83" s="16">
        <f t="shared" si="9"/>
        <v>0</v>
      </c>
      <c r="DH83" s="16">
        <f t="shared" si="10"/>
        <v>0</v>
      </c>
      <c r="DI83" s="17" t="str">
        <f t="shared" si="11"/>
        <v/>
      </c>
      <c r="DJ83" s="119" t="s">
        <v>4</v>
      </c>
      <c r="DK83" s="44" t="s">
        <v>4</v>
      </c>
    </row>
    <row r="84" spans="1:115">
      <c r="A84" s="32" t="str">
        <f t="shared" si="7"/>
        <v>Powercor--KIOSK MOUNTED ; &gt; 22 kV ;  &gt;  600 kVA</v>
      </c>
      <c r="B84" s="32" t="str">
        <f t="shared" si="8"/>
        <v>Powercor</v>
      </c>
      <c r="C84" s="416"/>
      <c r="D84" s="14"/>
      <c r="E84" s="15" t="s">
        <v>224</v>
      </c>
      <c r="F84" s="18">
        <v>0</v>
      </c>
      <c r="G84" s="18">
        <v>0</v>
      </c>
      <c r="H84" s="20">
        <v>0</v>
      </c>
      <c r="I84" s="20">
        <v>0</v>
      </c>
      <c r="J84" s="20">
        <v>0</v>
      </c>
      <c r="K84" s="20">
        <v>0</v>
      </c>
      <c r="L84" s="20">
        <v>0</v>
      </c>
      <c r="M84" s="20">
        <v>0</v>
      </c>
      <c r="N84" s="20">
        <v>0</v>
      </c>
      <c r="O84" s="20">
        <v>0</v>
      </c>
      <c r="P84" s="20">
        <v>0</v>
      </c>
      <c r="Q84" s="20">
        <v>0</v>
      </c>
      <c r="R84" s="20">
        <v>0</v>
      </c>
      <c r="S84" s="20">
        <v>0</v>
      </c>
      <c r="T84" s="20">
        <v>0</v>
      </c>
      <c r="U84" s="20">
        <v>0</v>
      </c>
      <c r="V84" s="20">
        <v>0</v>
      </c>
      <c r="W84" s="20">
        <v>0</v>
      </c>
      <c r="X84" s="20">
        <v>0</v>
      </c>
      <c r="Y84" s="20">
        <v>0</v>
      </c>
      <c r="Z84" s="20">
        <v>0</v>
      </c>
      <c r="AA84" s="20">
        <v>0</v>
      </c>
      <c r="AB84" s="20">
        <v>0</v>
      </c>
      <c r="AC84" s="20">
        <v>0</v>
      </c>
      <c r="AD84" s="20">
        <v>0</v>
      </c>
      <c r="AE84" s="20">
        <v>0</v>
      </c>
      <c r="AF84" s="20">
        <v>0</v>
      </c>
      <c r="AG84" s="20">
        <v>0</v>
      </c>
      <c r="AH84" s="20">
        <v>0</v>
      </c>
      <c r="AI84" s="20">
        <v>0</v>
      </c>
      <c r="AJ84" s="20">
        <v>0</v>
      </c>
      <c r="AK84" s="20">
        <v>0</v>
      </c>
      <c r="AL84" s="20">
        <v>0</v>
      </c>
      <c r="AM84" s="20">
        <v>0</v>
      </c>
      <c r="AN84" s="20">
        <v>0</v>
      </c>
      <c r="AO84" s="20">
        <v>0</v>
      </c>
      <c r="AP84" s="20">
        <v>0</v>
      </c>
      <c r="AQ84" s="20">
        <v>0</v>
      </c>
      <c r="AR84" s="20">
        <v>0</v>
      </c>
      <c r="AS84" s="20">
        <v>0</v>
      </c>
      <c r="AT84" s="20">
        <v>0</v>
      </c>
      <c r="AU84" s="20">
        <v>0</v>
      </c>
      <c r="AV84" s="20">
        <v>0</v>
      </c>
      <c r="AW84" s="20">
        <v>0</v>
      </c>
      <c r="AX84" s="20">
        <v>0</v>
      </c>
      <c r="AY84" s="20">
        <v>0</v>
      </c>
      <c r="AZ84" s="20">
        <v>0</v>
      </c>
      <c r="BA84" s="20">
        <v>0</v>
      </c>
      <c r="BB84" s="20">
        <v>0</v>
      </c>
      <c r="BC84" s="20">
        <v>0</v>
      </c>
      <c r="BD84" s="20">
        <v>0</v>
      </c>
      <c r="BE84" s="20">
        <v>0</v>
      </c>
      <c r="BF84" s="20">
        <v>0</v>
      </c>
      <c r="BG84" s="20">
        <v>0</v>
      </c>
      <c r="BH84" s="20">
        <v>0</v>
      </c>
      <c r="BI84" s="20">
        <v>0</v>
      </c>
      <c r="BJ84" s="20">
        <v>0</v>
      </c>
      <c r="BK84" s="20">
        <v>0</v>
      </c>
      <c r="BL84" s="20">
        <v>0</v>
      </c>
      <c r="BM84" s="20">
        <v>0</v>
      </c>
      <c r="BN84" s="20">
        <v>0</v>
      </c>
      <c r="BO84" s="20">
        <v>0</v>
      </c>
      <c r="BP84" s="20">
        <v>0</v>
      </c>
      <c r="BQ84" s="20">
        <v>0</v>
      </c>
      <c r="BR84" s="20">
        <v>0</v>
      </c>
      <c r="BS84" s="20">
        <v>0</v>
      </c>
      <c r="BT84" s="20">
        <v>0</v>
      </c>
      <c r="BU84" s="20">
        <v>0</v>
      </c>
      <c r="BV84" s="20">
        <v>0</v>
      </c>
      <c r="BW84" s="20">
        <v>0</v>
      </c>
      <c r="BX84" s="20">
        <v>0</v>
      </c>
      <c r="BY84" s="20">
        <v>0</v>
      </c>
      <c r="BZ84" s="20">
        <v>0</v>
      </c>
      <c r="CA84" s="20">
        <v>0</v>
      </c>
      <c r="CB84" s="20">
        <v>0</v>
      </c>
      <c r="CC84" s="20">
        <v>0</v>
      </c>
      <c r="CD84" s="20">
        <v>0</v>
      </c>
      <c r="CE84" s="20">
        <v>0</v>
      </c>
      <c r="CF84" s="20">
        <v>0</v>
      </c>
      <c r="CG84" s="20">
        <v>0</v>
      </c>
      <c r="CH84" s="20">
        <v>0</v>
      </c>
      <c r="CI84" s="20">
        <v>0</v>
      </c>
      <c r="CJ84" s="20">
        <v>0</v>
      </c>
      <c r="CK84" s="20">
        <v>0</v>
      </c>
      <c r="CL84" s="20">
        <v>0</v>
      </c>
      <c r="CM84" s="20">
        <v>0</v>
      </c>
      <c r="CN84" s="20">
        <v>0</v>
      </c>
      <c r="CO84" s="20">
        <v>0</v>
      </c>
      <c r="CP84" s="20">
        <v>0</v>
      </c>
      <c r="CQ84" s="20">
        <v>0</v>
      </c>
      <c r="CR84" s="20">
        <v>0</v>
      </c>
      <c r="CS84" s="20">
        <v>0</v>
      </c>
      <c r="CT84" s="20">
        <v>0</v>
      </c>
      <c r="CU84" s="20">
        <v>0</v>
      </c>
      <c r="CV84" s="20">
        <v>0</v>
      </c>
      <c r="CW84" s="20">
        <v>0</v>
      </c>
      <c r="CX84" s="20">
        <v>0</v>
      </c>
      <c r="CY84" s="20">
        <v>0</v>
      </c>
      <c r="CZ84" s="20">
        <v>0</v>
      </c>
      <c r="DA84" s="20">
        <v>0</v>
      </c>
      <c r="DB84" s="20">
        <v>0</v>
      </c>
      <c r="DC84" s="20">
        <v>0</v>
      </c>
      <c r="DD84" s="20">
        <v>0</v>
      </c>
      <c r="DE84" s="20">
        <v>0</v>
      </c>
      <c r="DF84" s="20">
        <v>0</v>
      </c>
      <c r="DG84" s="16">
        <f t="shared" si="9"/>
        <v>0</v>
      </c>
      <c r="DH84" s="16">
        <f t="shared" si="10"/>
        <v>0</v>
      </c>
      <c r="DI84" s="17" t="str">
        <f t="shared" si="11"/>
        <v/>
      </c>
      <c r="DJ84" s="119" t="s">
        <v>4</v>
      </c>
      <c r="DK84" s="44" t="s">
        <v>4</v>
      </c>
    </row>
    <row r="85" spans="1:115">
      <c r="A85" s="32" t="str">
        <f t="shared" si="7"/>
        <v>Powercor--GROUND OUTDOOR / INDOOR CHAMBER MOUNTED ; ˂ 22 kV ;  &lt; = 60 kVA ; SINGLE PHASE</v>
      </c>
      <c r="B85" s="32" t="str">
        <f t="shared" si="8"/>
        <v>Powercor</v>
      </c>
      <c r="C85" s="416"/>
      <c r="D85" s="14"/>
      <c r="E85" s="15" t="s">
        <v>225</v>
      </c>
      <c r="F85" s="18">
        <v>45</v>
      </c>
      <c r="G85" s="18">
        <v>8.6999999999999993</v>
      </c>
      <c r="H85" s="20">
        <v>0</v>
      </c>
      <c r="I85" s="20">
        <v>0</v>
      </c>
      <c r="J85" s="20">
        <v>0</v>
      </c>
      <c r="K85" s="20">
        <v>0</v>
      </c>
      <c r="L85" s="20">
        <v>0</v>
      </c>
      <c r="M85" s="20">
        <v>0</v>
      </c>
      <c r="N85" s="20">
        <v>0</v>
      </c>
      <c r="O85" s="20">
        <v>0</v>
      </c>
      <c r="P85" s="20">
        <v>0</v>
      </c>
      <c r="Q85" s="20">
        <v>0</v>
      </c>
      <c r="R85" s="20">
        <v>0</v>
      </c>
      <c r="S85" s="20">
        <v>0</v>
      </c>
      <c r="T85" s="20">
        <v>0</v>
      </c>
      <c r="U85" s="20">
        <v>0</v>
      </c>
      <c r="V85" s="20">
        <v>0</v>
      </c>
      <c r="W85" s="20">
        <v>0</v>
      </c>
      <c r="X85" s="20">
        <v>0</v>
      </c>
      <c r="Y85" s="20">
        <v>0</v>
      </c>
      <c r="Z85" s="20">
        <v>0</v>
      </c>
      <c r="AA85" s="20">
        <v>0</v>
      </c>
      <c r="AB85" s="20">
        <v>0</v>
      </c>
      <c r="AC85" s="20">
        <v>0</v>
      </c>
      <c r="AD85" s="20">
        <v>0</v>
      </c>
      <c r="AE85" s="20">
        <v>0</v>
      </c>
      <c r="AF85" s="20">
        <v>1</v>
      </c>
      <c r="AG85" s="20">
        <v>1</v>
      </c>
      <c r="AH85" s="20">
        <v>0</v>
      </c>
      <c r="AI85" s="20">
        <v>0</v>
      </c>
      <c r="AJ85" s="20">
        <v>0</v>
      </c>
      <c r="AK85" s="20">
        <v>0</v>
      </c>
      <c r="AL85" s="20">
        <v>0</v>
      </c>
      <c r="AM85" s="20">
        <v>0</v>
      </c>
      <c r="AN85" s="20">
        <v>0</v>
      </c>
      <c r="AO85" s="20">
        <v>0</v>
      </c>
      <c r="AP85" s="20">
        <v>0</v>
      </c>
      <c r="AQ85" s="20">
        <v>0</v>
      </c>
      <c r="AR85" s="20">
        <v>0</v>
      </c>
      <c r="AS85" s="20">
        <v>0</v>
      </c>
      <c r="AT85" s="20">
        <v>0</v>
      </c>
      <c r="AU85" s="20">
        <v>0</v>
      </c>
      <c r="AV85" s="20">
        <v>0</v>
      </c>
      <c r="AW85" s="20">
        <v>0</v>
      </c>
      <c r="AX85" s="20">
        <v>0</v>
      </c>
      <c r="AY85" s="20">
        <v>0</v>
      </c>
      <c r="AZ85" s="20">
        <v>0</v>
      </c>
      <c r="BA85" s="20">
        <v>0</v>
      </c>
      <c r="BB85" s="20">
        <v>0</v>
      </c>
      <c r="BC85" s="20">
        <v>0</v>
      </c>
      <c r="BD85" s="20">
        <v>0</v>
      </c>
      <c r="BE85" s="20">
        <v>0</v>
      </c>
      <c r="BF85" s="20">
        <v>0</v>
      </c>
      <c r="BG85" s="20">
        <v>0</v>
      </c>
      <c r="BH85" s="20">
        <v>0</v>
      </c>
      <c r="BI85" s="20">
        <v>0</v>
      </c>
      <c r="BJ85" s="20">
        <v>0</v>
      </c>
      <c r="BK85" s="20">
        <v>0</v>
      </c>
      <c r="BL85" s="20">
        <v>0</v>
      </c>
      <c r="BM85" s="20">
        <v>0</v>
      </c>
      <c r="BN85" s="20">
        <v>0</v>
      </c>
      <c r="BO85" s="20">
        <v>0</v>
      </c>
      <c r="BP85" s="20">
        <v>0</v>
      </c>
      <c r="BQ85" s="20">
        <v>0</v>
      </c>
      <c r="BR85" s="20">
        <v>0</v>
      </c>
      <c r="BS85" s="20">
        <v>0</v>
      </c>
      <c r="BT85" s="20">
        <v>0</v>
      </c>
      <c r="BU85" s="20">
        <v>0</v>
      </c>
      <c r="BV85" s="20">
        <v>0</v>
      </c>
      <c r="BW85" s="20">
        <v>0</v>
      </c>
      <c r="BX85" s="20">
        <v>0</v>
      </c>
      <c r="BY85" s="20">
        <v>0</v>
      </c>
      <c r="BZ85" s="20">
        <v>0</v>
      </c>
      <c r="CA85" s="20">
        <v>0</v>
      </c>
      <c r="CB85" s="20">
        <v>0</v>
      </c>
      <c r="CC85" s="20">
        <v>0</v>
      </c>
      <c r="CD85" s="20">
        <v>0</v>
      </c>
      <c r="CE85" s="20">
        <v>0</v>
      </c>
      <c r="CF85" s="20">
        <v>0</v>
      </c>
      <c r="CG85" s="20">
        <v>0</v>
      </c>
      <c r="CH85" s="20">
        <v>0</v>
      </c>
      <c r="CI85" s="20">
        <v>0</v>
      </c>
      <c r="CJ85" s="20">
        <v>0</v>
      </c>
      <c r="CK85" s="20">
        <v>0</v>
      </c>
      <c r="CL85" s="20">
        <v>0</v>
      </c>
      <c r="CM85" s="20">
        <v>0</v>
      </c>
      <c r="CN85" s="20">
        <v>0</v>
      </c>
      <c r="CO85" s="20">
        <v>0</v>
      </c>
      <c r="CP85" s="20">
        <v>0</v>
      </c>
      <c r="CQ85" s="20">
        <v>0</v>
      </c>
      <c r="CR85" s="20">
        <v>0</v>
      </c>
      <c r="CS85" s="20">
        <v>0</v>
      </c>
      <c r="CT85" s="20">
        <v>0</v>
      </c>
      <c r="CU85" s="20">
        <v>0</v>
      </c>
      <c r="CV85" s="20">
        <v>0</v>
      </c>
      <c r="CW85" s="20">
        <v>0</v>
      </c>
      <c r="CX85" s="20">
        <v>0</v>
      </c>
      <c r="CY85" s="20">
        <v>0</v>
      </c>
      <c r="CZ85" s="20">
        <v>0</v>
      </c>
      <c r="DA85" s="20">
        <v>0</v>
      </c>
      <c r="DB85" s="20">
        <v>0</v>
      </c>
      <c r="DC85" s="20">
        <v>0</v>
      </c>
      <c r="DD85" s="20">
        <v>0</v>
      </c>
      <c r="DE85" s="20">
        <v>0</v>
      </c>
      <c r="DF85" s="20">
        <v>0</v>
      </c>
      <c r="DG85" s="16">
        <f t="shared" si="9"/>
        <v>2</v>
      </c>
      <c r="DH85" s="16">
        <f t="shared" si="10"/>
        <v>51</v>
      </c>
      <c r="DI85" s="17">
        <f t="shared" si="11"/>
        <v>25.5</v>
      </c>
      <c r="DJ85" s="119" t="s">
        <v>4</v>
      </c>
      <c r="DK85" s="44" t="s">
        <v>4</v>
      </c>
    </row>
    <row r="86" spans="1:115">
      <c r="A86" s="32" t="str">
        <f t="shared" si="7"/>
        <v>Powercor--GROUND OUTDOOR / INDOOR CHAMBER MOUNTED ; ˂  22 kV ;  &gt; 60 kVA  AND &lt; = 600 kVA ; SINGLE PHASE</v>
      </c>
      <c r="B86" s="32" t="str">
        <f t="shared" si="8"/>
        <v>Powercor</v>
      </c>
      <c r="C86" s="416"/>
      <c r="D86" s="14"/>
      <c r="E86" s="15" t="s">
        <v>226</v>
      </c>
      <c r="F86" s="18">
        <v>45</v>
      </c>
      <c r="G86" s="18">
        <v>8.6999999999999993</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1</v>
      </c>
      <c r="AG86" s="20">
        <v>1</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0">
        <v>0</v>
      </c>
      <c r="AY86" s="20">
        <v>0</v>
      </c>
      <c r="AZ86" s="20">
        <v>0</v>
      </c>
      <c r="BA86" s="20">
        <v>0</v>
      </c>
      <c r="BB86" s="20">
        <v>0</v>
      </c>
      <c r="BC86" s="20">
        <v>0</v>
      </c>
      <c r="BD86" s="20">
        <v>0</v>
      </c>
      <c r="BE86" s="20">
        <v>0</v>
      </c>
      <c r="BF86" s="20">
        <v>0</v>
      </c>
      <c r="BG86" s="20">
        <v>0</v>
      </c>
      <c r="BH86" s="20">
        <v>0</v>
      </c>
      <c r="BI86" s="20">
        <v>0</v>
      </c>
      <c r="BJ86" s="20">
        <v>0</v>
      </c>
      <c r="BK86" s="20">
        <v>0</v>
      </c>
      <c r="BL86" s="20">
        <v>0</v>
      </c>
      <c r="BM86" s="20">
        <v>0</v>
      </c>
      <c r="BN86" s="20">
        <v>0</v>
      </c>
      <c r="BO86" s="20">
        <v>0</v>
      </c>
      <c r="BP86" s="20">
        <v>0</v>
      </c>
      <c r="BQ86" s="20">
        <v>0</v>
      </c>
      <c r="BR86" s="20">
        <v>0</v>
      </c>
      <c r="BS86" s="20">
        <v>0</v>
      </c>
      <c r="BT86" s="20">
        <v>0</v>
      </c>
      <c r="BU86" s="20">
        <v>0</v>
      </c>
      <c r="BV86" s="20">
        <v>0</v>
      </c>
      <c r="BW86" s="20">
        <v>0</v>
      </c>
      <c r="BX86" s="20">
        <v>0</v>
      </c>
      <c r="BY86" s="20">
        <v>0</v>
      </c>
      <c r="BZ86" s="20">
        <v>0</v>
      </c>
      <c r="CA86" s="20">
        <v>0</v>
      </c>
      <c r="CB86" s="20">
        <v>0</v>
      </c>
      <c r="CC86" s="20">
        <v>0</v>
      </c>
      <c r="CD86" s="20">
        <v>0</v>
      </c>
      <c r="CE86" s="20">
        <v>0</v>
      </c>
      <c r="CF86" s="20">
        <v>0</v>
      </c>
      <c r="CG86" s="20">
        <v>0</v>
      </c>
      <c r="CH86" s="20">
        <v>0</v>
      </c>
      <c r="CI86" s="20">
        <v>0</v>
      </c>
      <c r="CJ86" s="20">
        <v>0</v>
      </c>
      <c r="CK86" s="20">
        <v>0</v>
      </c>
      <c r="CL86" s="20">
        <v>0</v>
      </c>
      <c r="CM86" s="20">
        <v>0</v>
      </c>
      <c r="CN86" s="20">
        <v>0</v>
      </c>
      <c r="CO86" s="20">
        <v>0</v>
      </c>
      <c r="CP86" s="20">
        <v>0</v>
      </c>
      <c r="CQ86" s="20">
        <v>0</v>
      </c>
      <c r="CR86" s="20">
        <v>0</v>
      </c>
      <c r="CS86" s="20">
        <v>0</v>
      </c>
      <c r="CT86" s="20">
        <v>0</v>
      </c>
      <c r="CU86" s="20">
        <v>0</v>
      </c>
      <c r="CV86" s="20">
        <v>0</v>
      </c>
      <c r="CW86" s="20">
        <v>0</v>
      </c>
      <c r="CX86" s="20">
        <v>0</v>
      </c>
      <c r="CY86" s="20">
        <v>0</v>
      </c>
      <c r="CZ86" s="20">
        <v>0</v>
      </c>
      <c r="DA86" s="20">
        <v>0</v>
      </c>
      <c r="DB86" s="20">
        <v>0</v>
      </c>
      <c r="DC86" s="20">
        <v>0</v>
      </c>
      <c r="DD86" s="20">
        <v>0</v>
      </c>
      <c r="DE86" s="20">
        <v>0</v>
      </c>
      <c r="DF86" s="20">
        <v>0</v>
      </c>
      <c r="DG86" s="16">
        <f t="shared" si="9"/>
        <v>2</v>
      </c>
      <c r="DH86" s="16">
        <f t="shared" si="10"/>
        <v>51</v>
      </c>
      <c r="DI86" s="17">
        <f t="shared" si="11"/>
        <v>25.5</v>
      </c>
      <c r="DJ86" s="119" t="s">
        <v>4</v>
      </c>
      <c r="DK86" s="44" t="s">
        <v>4</v>
      </c>
    </row>
    <row r="87" spans="1:115">
      <c r="A87" s="32" t="str">
        <f t="shared" si="7"/>
        <v>Powercor--GROUND OUTDOOR / INDOOR CHAMBER MOUNTED ; ˂  22 kV ;  &gt;  600 kVA ; SINGLE PHASE</v>
      </c>
      <c r="B87" s="32" t="str">
        <f t="shared" si="8"/>
        <v>Powercor</v>
      </c>
      <c r="C87" s="416"/>
      <c r="D87" s="14"/>
      <c r="E87" s="15" t="s">
        <v>227</v>
      </c>
      <c r="F87" s="18">
        <v>55</v>
      </c>
      <c r="G87" s="18">
        <v>8.6999999999999993</v>
      </c>
      <c r="H87" s="20">
        <v>3</v>
      </c>
      <c r="I87" s="20">
        <v>2</v>
      </c>
      <c r="J87" s="20">
        <v>3</v>
      </c>
      <c r="K87" s="20">
        <v>3</v>
      </c>
      <c r="L87" s="20">
        <v>2</v>
      </c>
      <c r="M87" s="20">
        <v>4</v>
      </c>
      <c r="N87" s="20">
        <v>5</v>
      </c>
      <c r="O87" s="20">
        <v>5</v>
      </c>
      <c r="P87" s="20">
        <v>4</v>
      </c>
      <c r="Q87" s="20">
        <v>4</v>
      </c>
      <c r="R87" s="20">
        <v>4</v>
      </c>
      <c r="S87" s="20">
        <v>4</v>
      </c>
      <c r="T87" s="20">
        <v>4</v>
      </c>
      <c r="U87" s="20">
        <v>3</v>
      </c>
      <c r="V87" s="20">
        <v>3</v>
      </c>
      <c r="W87" s="20">
        <v>4</v>
      </c>
      <c r="X87" s="20">
        <v>3</v>
      </c>
      <c r="Y87" s="20">
        <v>3</v>
      </c>
      <c r="Z87" s="20">
        <v>3</v>
      </c>
      <c r="AA87" s="20">
        <v>3</v>
      </c>
      <c r="AB87" s="20">
        <v>4</v>
      </c>
      <c r="AC87" s="20">
        <v>4</v>
      </c>
      <c r="AD87" s="20">
        <v>4</v>
      </c>
      <c r="AE87" s="20">
        <v>5</v>
      </c>
      <c r="AF87" s="20">
        <v>6</v>
      </c>
      <c r="AG87" s="20">
        <v>6</v>
      </c>
      <c r="AH87" s="20">
        <v>5</v>
      </c>
      <c r="AI87" s="20">
        <v>5</v>
      </c>
      <c r="AJ87" s="20">
        <v>5</v>
      </c>
      <c r="AK87" s="20">
        <v>5</v>
      </c>
      <c r="AL87" s="20">
        <v>4</v>
      </c>
      <c r="AM87" s="20">
        <v>4</v>
      </c>
      <c r="AN87" s="20">
        <v>4</v>
      </c>
      <c r="AO87" s="20">
        <v>4</v>
      </c>
      <c r="AP87" s="20">
        <v>4</v>
      </c>
      <c r="AQ87" s="20">
        <v>3</v>
      </c>
      <c r="AR87" s="20">
        <v>3</v>
      </c>
      <c r="AS87" s="20">
        <v>5</v>
      </c>
      <c r="AT87" s="20">
        <v>2</v>
      </c>
      <c r="AU87" s="20">
        <v>1</v>
      </c>
      <c r="AV87" s="20">
        <v>2</v>
      </c>
      <c r="AW87" s="20">
        <v>1</v>
      </c>
      <c r="AX87" s="20">
        <v>1</v>
      </c>
      <c r="AY87" s="20">
        <v>2</v>
      </c>
      <c r="AZ87" s="20">
        <v>3</v>
      </c>
      <c r="BA87" s="20">
        <v>3</v>
      </c>
      <c r="BB87" s="20">
        <v>3</v>
      </c>
      <c r="BC87" s="20">
        <v>3</v>
      </c>
      <c r="BD87" s="20">
        <v>3</v>
      </c>
      <c r="BE87" s="20">
        <v>3</v>
      </c>
      <c r="BF87" s="20">
        <v>2</v>
      </c>
      <c r="BG87" s="20">
        <v>1</v>
      </c>
      <c r="BH87" s="20">
        <v>1</v>
      </c>
      <c r="BI87" s="20">
        <v>1</v>
      </c>
      <c r="BJ87" s="20">
        <v>1</v>
      </c>
      <c r="BK87" s="20">
        <v>1</v>
      </c>
      <c r="BL87" s="20">
        <v>0</v>
      </c>
      <c r="BM87" s="20">
        <v>0</v>
      </c>
      <c r="BN87" s="20">
        <v>0</v>
      </c>
      <c r="BO87" s="20">
        <v>0</v>
      </c>
      <c r="BP87" s="20">
        <v>0</v>
      </c>
      <c r="BQ87" s="20">
        <v>0</v>
      </c>
      <c r="BR87" s="20">
        <v>0</v>
      </c>
      <c r="BS87" s="20">
        <v>0</v>
      </c>
      <c r="BT87" s="20">
        <v>0</v>
      </c>
      <c r="BU87" s="20">
        <v>0</v>
      </c>
      <c r="BV87" s="20">
        <v>0</v>
      </c>
      <c r="BW87" s="20">
        <v>0</v>
      </c>
      <c r="BX87" s="20">
        <v>0</v>
      </c>
      <c r="BY87" s="20">
        <v>0</v>
      </c>
      <c r="BZ87" s="20">
        <v>0</v>
      </c>
      <c r="CA87" s="20">
        <v>0</v>
      </c>
      <c r="CB87" s="20">
        <v>0</v>
      </c>
      <c r="CC87" s="20">
        <v>0</v>
      </c>
      <c r="CD87" s="20">
        <v>0</v>
      </c>
      <c r="CE87" s="20">
        <v>0</v>
      </c>
      <c r="CF87" s="20">
        <v>0</v>
      </c>
      <c r="CG87" s="20">
        <v>0</v>
      </c>
      <c r="CH87" s="20">
        <v>0</v>
      </c>
      <c r="CI87" s="20">
        <v>0</v>
      </c>
      <c r="CJ87" s="20">
        <v>0</v>
      </c>
      <c r="CK87" s="20">
        <v>0</v>
      </c>
      <c r="CL87" s="20">
        <v>0</v>
      </c>
      <c r="CM87" s="20">
        <v>0</v>
      </c>
      <c r="CN87" s="20">
        <v>0</v>
      </c>
      <c r="CO87" s="20">
        <v>0</v>
      </c>
      <c r="CP87" s="20">
        <v>0</v>
      </c>
      <c r="CQ87" s="20">
        <v>0</v>
      </c>
      <c r="CR87" s="20">
        <v>0</v>
      </c>
      <c r="CS87" s="20">
        <v>0</v>
      </c>
      <c r="CT87" s="20">
        <v>0</v>
      </c>
      <c r="CU87" s="20">
        <v>0</v>
      </c>
      <c r="CV87" s="20">
        <v>0</v>
      </c>
      <c r="CW87" s="20">
        <v>0</v>
      </c>
      <c r="CX87" s="20">
        <v>0</v>
      </c>
      <c r="CY87" s="20">
        <v>0</v>
      </c>
      <c r="CZ87" s="20">
        <v>0</v>
      </c>
      <c r="DA87" s="20">
        <v>0</v>
      </c>
      <c r="DB87" s="20">
        <v>0</v>
      </c>
      <c r="DC87" s="20">
        <v>0</v>
      </c>
      <c r="DD87" s="20">
        <v>0</v>
      </c>
      <c r="DE87" s="20">
        <v>0</v>
      </c>
      <c r="DF87" s="20">
        <v>0</v>
      </c>
      <c r="DG87" s="16">
        <f t="shared" si="9"/>
        <v>183</v>
      </c>
      <c r="DH87" s="16">
        <f t="shared" si="10"/>
        <v>4659</v>
      </c>
      <c r="DI87" s="17">
        <f t="shared" si="11"/>
        <v>25.459016393442624</v>
      </c>
      <c r="DJ87" s="119" t="s">
        <v>4</v>
      </c>
      <c r="DK87" s="44" t="s">
        <v>4</v>
      </c>
    </row>
    <row r="88" spans="1:115">
      <c r="A88" s="32" t="str">
        <f t="shared" ref="A88:A151" si="12">B88&amp;"-"&amp;D88&amp;"-"&amp;E88</f>
        <v>Powercor--GROUND OUTDOOR / INDOOR CHAMBER MOUNTED ; ˂  22 kV ;  &lt; = 60 kVA ; MULTIPLE PHASE</v>
      </c>
      <c r="B88" s="32" t="str">
        <f t="shared" ref="B88:B151" si="13">IF(C88&gt;0,C88,B87)</f>
        <v>Powercor</v>
      </c>
      <c r="C88" s="416"/>
      <c r="D88" s="14"/>
      <c r="E88" s="15" t="s">
        <v>228</v>
      </c>
      <c r="F88" s="18">
        <v>45</v>
      </c>
      <c r="G88" s="18">
        <v>8.6999999999999993</v>
      </c>
      <c r="H88" s="20">
        <v>0</v>
      </c>
      <c r="I88" s="20">
        <v>0</v>
      </c>
      <c r="J88" s="20">
        <v>0</v>
      </c>
      <c r="K88" s="20">
        <v>0</v>
      </c>
      <c r="L88" s="20">
        <v>0</v>
      </c>
      <c r="M88" s="20">
        <v>1</v>
      </c>
      <c r="N88" s="20">
        <v>1</v>
      </c>
      <c r="O88" s="20">
        <v>1</v>
      </c>
      <c r="P88" s="20">
        <v>1</v>
      </c>
      <c r="Q88" s="20">
        <v>0</v>
      </c>
      <c r="R88" s="20">
        <v>1</v>
      </c>
      <c r="S88" s="20">
        <v>0</v>
      </c>
      <c r="T88" s="20">
        <v>1</v>
      </c>
      <c r="U88" s="20">
        <v>0</v>
      </c>
      <c r="V88" s="20">
        <v>0</v>
      </c>
      <c r="W88" s="20">
        <v>0</v>
      </c>
      <c r="X88" s="20">
        <v>0</v>
      </c>
      <c r="Y88" s="20">
        <v>0</v>
      </c>
      <c r="Z88" s="20">
        <v>0</v>
      </c>
      <c r="AA88" s="20">
        <v>0</v>
      </c>
      <c r="AB88" s="20">
        <v>0</v>
      </c>
      <c r="AC88" s="20">
        <v>0</v>
      </c>
      <c r="AD88" s="20">
        <v>1</v>
      </c>
      <c r="AE88" s="20">
        <v>1</v>
      </c>
      <c r="AF88" s="20">
        <v>1</v>
      </c>
      <c r="AG88" s="20">
        <v>1</v>
      </c>
      <c r="AH88" s="20">
        <v>1</v>
      </c>
      <c r="AI88" s="20">
        <v>1</v>
      </c>
      <c r="AJ88" s="20">
        <v>1</v>
      </c>
      <c r="AK88" s="20">
        <v>1</v>
      </c>
      <c r="AL88" s="20">
        <v>0</v>
      </c>
      <c r="AM88" s="20">
        <v>1</v>
      </c>
      <c r="AN88" s="20">
        <v>1</v>
      </c>
      <c r="AO88" s="20">
        <v>1</v>
      </c>
      <c r="AP88" s="20">
        <v>1</v>
      </c>
      <c r="AQ88" s="20">
        <v>0</v>
      </c>
      <c r="AR88" s="20">
        <v>0</v>
      </c>
      <c r="AS88" s="20">
        <v>1</v>
      </c>
      <c r="AT88" s="20">
        <v>0</v>
      </c>
      <c r="AU88" s="20">
        <v>0</v>
      </c>
      <c r="AV88" s="20">
        <v>0</v>
      </c>
      <c r="AW88" s="20">
        <v>0</v>
      </c>
      <c r="AX88" s="20">
        <v>0</v>
      </c>
      <c r="AY88" s="20">
        <v>0</v>
      </c>
      <c r="AZ88" s="20">
        <v>0</v>
      </c>
      <c r="BA88" s="20">
        <v>0</v>
      </c>
      <c r="BB88" s="20">
        <v>0</v>
      </c>
      <c r="BC88" s="20">
        <v>0</v>
      </c>
      <c r="BD88" s="20">
        <v>0</v>
      </c>
      <c r="BE88" s="20">
        <v>0</v>
      </c>
      <c r="BF88" s="20">
        <v>0</v>
      </c>
      <c r="BG88" s="20">
        <v>0</v>
      </c>
      <c r="BH88" s="20">
        <v>0</v>
      </c>
      <c r="BI88" s="20">
        <v>0</v>
      </c>
      <c r="BJ88" s="20">
        <v>0</v>
      </c>
      <c r="BK88" s="20">
        <v>0</v>
      </c>
      <c r="BL88" s="20">
        <v>0</v>
      </c>
      <c r="BM88" s="20">
        <v>0</v>
      </c>
      <c r="BN88" s="20">
        <v>0</v>
      </c>
      <c r="BO88" s="20">
        <v>0</v>
      </c>
      <c r="BP88" s="20">
        <v>0</v>
      </c>
      <c r="BQ88" s="20">
        <v>0</v>
      </c>
      <c r="BR88" s="20">
        <v>0</v>
      </c>
      <c r="BS88" s="20">
        <v>0</v>
      </c>
      <c r="BT88" s="20">
        <v>0</v>
      </c>
      <c r="BU88" s="20">
        <v>0</v>
      </c>
      <c r="BV88" s="20">
        <v>0</v>
      </c>
      <c r="BW88" s="20">
        <v>0</v>
      </c>
      <c r="BX88" s="20">
        <v>0</v>
      </c>
      <c r="BY88" s="20">
        <v>0</v>
      </c>
      <c r="BZ88" s="20">
        <v>0</v>
      </c>
      <c r="CA88" s="20">
        <v>0</v>
      </c>
      <c r="CB88" s="20">
        <v>0</v>
      </c>
      <c r="CC88" s="20">
        <v>0</v>
      </c>
      <c r="CD88" s="20">
        <v>0</v>
      </c>
      <c r="CE88" s="20">
        <v>0</v>
      </c>
      <c r="CF88" s="20">
        <v>0</v>
      </c>
      <c r="CG88" s="20">
        <v>0</v>
      </c>
      <c r="CH88" s="20">
        <v>0</v>
      </c>
      <c r="CI88" s="20">
        <v>0</v>
      </c>
      <c r="CJ88" s="20">
        <v>0</v>
      </c>
      <c r="CK88" s="20">
        <v>0</v>
      </c>
      <c r="CL88" s="20">
        <v>0</v>
      </c>
      <c r="CM88" s="20">
        <v>0</v>
      </c>
      <c r="CN88" s="20">
        <v>0</v>
      </c>
      <c r="CO88" s="20">
        <v>0</v>
      </c>
      <c r="CP88" s="20">
        <v>0</v>
      </c>
      <c r="CQ88" s="20">
        <v>0</v>
      </c>
      <c r="CR88" s="20">
        <v>0</v>
      </c>
      <c r="CS88" s="20">
        <v>0</v>
      </c>
      <c r="CT88" s="20">
        <v>0</v>
      </c>
      <c r="CU88" s="20">
        <v>0</v>
      </c>
      <c r="CV88" s="20">
        <v>0</v>
      </c>
      <c r="CW88" s="20">
        <v>0</v>
      </c>
      <c r="CX88" s="20">
        <v>0</v>
      </c>
      <c r="CY88" s="20">
        <v>0</v>
      </c>
      <c r="CZ88" s="20">
        <v>0</v>
      </c>
      <c r="DA88" s="20">
        <v>0</v>
      </c>
      <c r="DB88" s="20">
        <v>0</v>
      </c>
      <c r="DC88" s="20">
        <v>0</v>
      </c>
      <c r="DD88" s="20">
        <v>0</v>
      </c>
      <c r="DE88" s="20">
        <v>0</v>
      </c>
      <c r="DF88" s="20">
        <v>0</v>
      </c>
      <c r="DG88" s="16">
        <f t="shared" si="9"/>
        <v>19</v>
      </c>
      <c r="DH88" s="16">
        <f t="shared" si="10"/>
        <v>438</v>
      </c>
      <c r="DI88" s="17">
        <f t="shared" si="11"/>
        <v>23.05263157894737</v>
      </c>
      <c r="DJ88" s="119" t="s">
        <v>4</v>
      </c>
      <c r="DK88" s="44" t="s">
        <v>4</v>
      </c>
    </row>
    <row r="89" spans="1:115">
      <c r="A89" s="32" t="str">
        <f t="shared" si="12"/>
        <v>Powercor--GROUND OUTDOOR / INDOOR CHAMBER MOUNTED ; ˂  22 kV ;  &gt; 60 kVA  AND &lt; = 600 kVA ; MULTIPLE PHASE</v>
      </c>
      <c r="B89" s="32" t="str">
        <f t="shared" si="13"/>
        <v>Powercor</v>
      </c>
      <c r="C89" s="416"/>
      <c r="D89" s="14"/>
      <c r="E89" s="15" t="s">
        <v>229</v>
      </c>
      <c r="F89" s="18">
        <v>45</v>
      </c>
      <c r="G89" s="18">
        <v>8.6999999999999993</v>
      </c>
      <c r="H89" s="20">
        <v>3</v>
      </c>
      <c r="I89" s="20">
        <v>3</v>
      </c>
      <c r="J89" s="20">
        <v>6</v>
      </c>
      <c r="K89" s="20">
        <v>6</v>
      </c>
      <c r="L89" s="20">
        <v>3</v>
      </c>
      <c r="M89" s="20">
        <v>8</v>
      </c>
      <c r="N89" s="20">
        <v>10</v>
      </c>
      <c r="O89" s="20">
        <v>10</v>
      </c>
      <c r="P89" s="20">
        <v>9</v>
      </c>
      <c r="Q89" s="20">
        <v>7</v>
      </c>
      <c r="R89" s="20">
        <v>7</v>
      </c>
      <c r="S89" s="20">
        <v>7</v>
      </c>
      <c r="T89" s="20">
        <v>8</v>
      </c>
      <c r="U89" s="20">
        <v>7</v>
      </c>
      <c r="V89" s="20">
        <v>7</v>
      </c>
      <c r="W89" s="20">
        <v>7</v>
      </c>
      <c r="X89" s="20">
        <v>6</v>
      </c>
      <c r="Y89" s="20">
        <v>6</v>
      </c>
      <c r="Z89" s="20">
        <v>6</v>
      </c>
      <c r="AA89" s="20">
        <v>7</v>
      </c>
      <c r="AB89" s="20">
        <v>7</v>
      </c>
      <c r="AC89" s="20">
        <v>7</v>
      </c>
      <c r="AD89" s="20">
        <v>8</v>
      </c>
      <c r="AE89" s="20">
        <v>9</v>
      </c>
      <c r="AF89" s="20">
        <v>11</v>
      </c>
      <c r="AG89" s="20">
        <v>12</v>
      </c>
      <c r="AH89" s="20">
        <v>10</v>
      </c>
      <c r="AI89" s="20">
        <v>10</v>
      </c>
      <c r="AJ89" s="20">
        <v>11</v>
      </c>
      <c r="AK89" s="20">
        <v>9</v>
      </c>
      <c r="AL89" s="20">
        <v>7</v>
      </c>
      <c r="AM89" s="20">
        <v>8</v>
      </c>
      <c r="AN89" s="20">
        <v>9</v>
      </c>
      <c r="AO89" s="20">
        <v>8</v>
      </c>
      <c r="AP89" s="20">
        <v>8</v>
      </c>
      <c r="AQ89" s="20">
        <v>7</v>
      </c>
      <c r="AR89" s="20">
        <v>7</v>
      </c>
      <c r="AS89" s="20">
        <v>9</v>
      </c>
      <c r="AT89" s="20">
        <v>4</v>
      </c>
      <c r="AU89" s="20">
        <v>3</v>
      </c>
      <c r="AV89" s="20">
        <v>3</v>
      </c>
      <c r="AW89" s="20">
        <v>3</v>
      </c>
      <c r="AX89" s="20">
        <v>2</v>
      </c>
      <c r="AY89" s="20">
        <v>5</v>
      </c>
      <c r="AZ89" s="20">
        <v>5</v>
      </c>
      <c r="BA89" s="20">
        <v>5</v>
      </c>
      <c r="BB89" s="20">
        <v>6</v>
      </c>
      <c r="BC89" s="20">
        <v>6</v>
      </c>
      <c r="BD89" s="20">
        <v>6</v>
      </c>
      <c r="BE89" s="20">
        <v>5</v>
      </c>
      <c r="BF89" s="20">
        <v>3</v>
      </c>
      <c r="BG89" s="20">
        <v>3</v>
      </c>
      <c r="BH89" s="20">
        <v>2</v>
      </c>
      <c r="BI89" s="20">
        <v>2</v>
      </c>
      <c r="BJ89" s="20">
        <v>1</v>
      </c>
      <c r="BK89" s="20">
        <v>2</v>
      </c>
      <c r="BL89" s="20">
        <v>1</v>
      </c>
      <c r="BM89" s="20">
        <v>1</v>
      </c>
      <c r="BN89" s="20">
        <v>1</v>
      </c>
      <c r="BO89" s="20">
        <v>0</v>
      </c>
      <c r="BP89" s="20">
        <v>0</v>
      </c>
      <c r="BQ89" s="20">
        <v>0</v>
      </c>
      <c r="BR89" s="20">
        <v>0</v>
      </c>
      <c r="BS89" s="20">
        <v>0</v>
      </c>
      <c r="BT89" s="20">
        <v>0</v>
      </c>
      <c r="BU89" s="20">
        <v>0</v>
      </c>
      <c r="BV89" s="20">
        <v>0</v>
      </c>
      <c r="BW89" s="20">
        <v>0</v>
      </c>
      <c r="BX89" s="20">
        <v>0</v>
      </c>
      <c r="BY89" s="20">
        <v>0</v>
      </c>
      <c r="BZ89" s="20">
        <v>0</v>
      </c>
      <c r="CA89" s="20">
        <v>0</v>
      </c>
      <c r="CB89" s="20">
        <v>0</v>
      </c>
      <c r="CC89" s="20">
        <v>0</v>
      </c>
      <c r="CD89" s="20">
        <v>0</v>
      </c>
      <c r="CE89" s="20">
        <v>0</v>
      </c>
      <c r="CF89" s="20">
        <v>0</v>
      </c>
      <c r="CG89" s="20">
        <v>0</v>
      </c>
      <c r="CH89" s="20">
        <v>0</v>
      </c>
      <c r="CI89" s="20">
        <v>0</v>
      </c>
      <c r="CJ89" s="20">
        <v>0</v>
      </c>
      <c r="CK89" s="20">
        <v>0</v>
      </c>
      <c r="CL89" s="20">
        <v>0</v>
      </c>
      <c r="CM89" s="20">
        <v>0</v>
      </c>
      <c r="CN89" s="20">
        <v>0</v>
      </c>
      <c r="CO89" s="20">
        <v>0</v>
      </c>
      <c r="CP89" s="20">
        <v>0</v>
      </c>
      <c r="CQ89" s="20">
        <v>0</v>
      </c>
      <c r="CR89" s="20">
        <v>0</v>
      </c>
      <c r="CS89" s="20">
        <v>0</v>
      </c>
      <c r="CT89" s="20">
        <v>0</v>
      </c>
      <c r="CU89" s="20">
        <v>0</v>
      </c>
      <c r="CV89" s="20">
        <v>0</v>
      </c>
      <c r="CW89" s="20">
        <v>0</v>
      </c>
      <c r="CX89" s="20">
        <v>0</v>
      </c>
      <c r="CY89" s="20">
        <v>0</v>
      </c>
      <c r="CZ89" s="20">
        <v>0</v>
      </c>
      <c r="DA89" s="20">
        <v>0</v>
      </c>
      <c r="DB89" s="20">
        <v>0</v>
      </c>
      <c r="DC89" s="20">
        <v>0</v>
      </c>
      <c r="DD89" s="20">
        <v>0</v>
      </c>
      <c r="DE89" s="20">
        <v>0</v>
      </c>
      <c r="DF89" s="20">
        <v>0</v>
      </c>
      <c r="DG89" s="16">
        <f t="shared" si="9"/>
        <v>359</v>
      </c>
      <c r="DH89" s="16">
        <f t="shared" si="10"/>
        <v>9325</v>
      </c>
      <c r="DI89" s="17">
        <f t="shared" si="11"/>
        <v>25.974930362116993</v>
      </c>
      <c r="DJ89" s="119" t="s">
        <v>4</v>
      </c>
      <c r="DK89" s="44" t="s">
        <v>4</v>
      </c>
    </row>
    <row r="90" spans="1:115">
      <c r="A90" s="32" t="str">
        <f t="shared" si="12"/>
        <v>Powercor--GROUND OUTDOOR / INDOOR CHAMBER MOUNTED ; ˂  22 kV ;  &gt;  600 kVA ; MULTIPLE PHASE</v>
      </c>
      <c r="B90" s="32" t="str">
        <f t="shared" si="13"/>
        <v>Powercor</v>
      </c>
      <c r="C90" s="416"/>
      <c r="D90" s="14"/>
      <c r="E90" s="15" t="s">
        <v>230</v>
      </c>
      <c r="F90" s="18">
        <v>55</v>
      </c>
      <c r="G90" s="18">
        <v>8.6999999999999993</v>
      </c>
      <c r="H90" s="20">
        <v>9</v>
      </c>
      <c r="I90" s="20">
        <v>4</v>
      </c>
      <c r="J90" s="20">
        <v>7</v>
      </c>
      <c r="K90" s="20">
        <v>7</v>
      </c>
      <c r="L90" s="20">
        <v>4</v>
      </c>
      <c r="M90" s="20">
        <v>10</v>
      </c>
      <c r="N90" s="20">
        <v>12</v>
      </c>
      <c r="O90" s="20">
        <v>13</v>
      </c>
      <c r="P90" s="20">
        <v>11</v>
      </c>
      <c r="Q90" s="20">
        <v>9</v>
      </c>
      <c r="R90" s="20">
        <v>10</v>
      </c>
      <c r="S90" s="20">
        <v>9</v>
      </c>
      <c r="T90" s="20">
        <v>10</v>
      </c>
      <c r="U90" s="20">
        <v>8</v>
      </c>
      <c r="V90" s="20">
        <v>9</v>
      </c>
      <c r="W90" s="20">
        <v>9</v>
      </c>
      <c r="X90" s="20">
        <v>8</v>
      </c>
      <c r="Y90" s="20">
        <v>8</v>
      </c>
      <c r="Z90" s="20">
        <v>8</v>
      </c>
      <c r="AA90" s="20">
        <v>9</v>
      </c>
      <c r="AB90" s="20">
        <v>9</v>
      </c>
      <c r="AC90" s="20">
        <v>9</v>
      </c>
      <c r="AD90" s="20">
        <v>10</v>
      </c>
      <c r="AE90" s="20">
        <v>12</v>
      </c>
      <c r="AF90" s="20">
        <v>14</v>
      </c>
      <c r="AG90" s="20">
        <v>15</v>
      </c>
      <c r="AH90" s="20">
        <v>13</v>
      </c>
      <c r="AI90" s="20">
        <v>12</v>
      </c>
      <c r="AJ90" s="20">
        <v>14</v>
      </c>
      <c r="AK90" s="20">
        <v>11</v>
      </c>
      <c r="AL90" s="20">
        <v>9</v>
      </c>
      <c r="AM90" s="20">
        <v>10</v>
      </c>
      <c r="AN90" s="20">
        <v>11</v>
      </c>
      <c r="AO90" s="20">
        <v>11</v>
      </c>
      <c r="AP90" s="20">
        <v>10</v>
      </c>
      <c r="AQ90" s="20">
        <v>8</v>
      </c>
      <c r="AR90" s="20">
        <v>8</v>
      </c>
      <c r="AS90" s="20">
        <v>12</v>
      </c>
      <c r="AT90" s="20">
        <v>5</v>
      </c>
      <c r="AU90" s="20">
        <v>4</v>
      </c>
      <c r="AV90" s="20">
        <v>4</v>
      </c>
      <c r="AW90" s="20">
        <v>4</v>
      </c>
      <c r="AX90" s="20">
        <v>3</v>
      </c>
      <c r="AY90" s="20">
        <v>6</v>
      </c>
      <c r="AZ90" s="20">
        <v>6</v>
      </c>
      <c r="BA90" s="20">
        <v>7</v>
      </c>
      <c r="BB90" s="20">
        <v>7</v>
      </c>
      <c r="BC90" s="20">
        <v>8</v>
      </c>
      <c r="BD90" s="20">
        <v>7</v>
      </c>
      <c r="BE90" s="20">
        <v>7</v>
      </c>
      <c r="BF90" s="20">
        <v>4</v>
      </c>
      <c r="BG90" s="20">
        <v>4</v>
      </c>
      <c r="BH90" s="20">
        <v>3</v>
      </c>
      <c r="BI90" s="20">
        <v>3</v>
      </c>
      <c r="BJ90" s="20">
        <v>2</v>
      </c>
      <c r="BK90" s="20">
        <v>2</v>
      </c>
      <c r="BL90" s="20">
        <v>1</v>
      </c>
      <c r="BM90" s="20">
        <v>1</v>
      </c>
      <c r="BN90" s="20">
        <v>1</v>
      </c>
      <c r="BO90" s="20">
        <v>0</v>
      </c>
      <c r="BP90" s="20">
        <v>0</v>
      </c>
      <c r="BQ90" s="20">
        <v>0</v>
      </c>
      <c r="BR90" s="20">
        <v>0</v>
      </c>
      <c r="BS90" s="20">
        <v>0</v>
      </c>
      <c r="BT90" s="20">
        <v>0</v>
      </c>
      <c r="BU90" s="20">
        <v>0</v>
      </c>
      <c r="BV90" s="20">
        <v>0</v>
      </c>
      <c r="BW90" s="20">
        <v>0</v>
      </c>
      <c r="BX90" s="20">
        <v>0</v>
      </c>
      <c r="BY90" s="20">
        <v>0</v>
      </c>
      <c r="BZ90" s="20">
        <v>0</v>
      </c>
      <c r="CA90" s="20">
        <v>0</v>
      </c>
      <c r="CB90" s="20">
        <v>0</v>
      </c>
      <c r="CC90" s="20">
        <v>0</v>
      </c>
      <c r="CD90" s="20">
        <v>0</v>
      </c>
      <c r="CE90" s="20">
        <v>0</v>
      </c>
      <c r="CF90" s="20">
        <v>0</v>
      </c>
      <c r="CG90" s="20">
        <v>0</v>
      </c>
      <c r="CH90" s="20">
        <v>0</v>
      </c>
      <c r="CI90" s="20">
        <v>0</v>
      </c>
      <c r="CJ90" s="20">
        <v>0</v>
      </c>
      <c r="CK90" s="20">
        <v>0</v>
      </c>
      <c r="CL90" s="20">
        <v>0</v>
      </c>
      <c r="CM90" s="20">
        <v>0</v>
      </c>
      <c r="CN90" s="20">
        <v>0</v>
      </c>
      <c r="CO90" s="20">
        <v>0</v>
      </c>
      <c r="CP90" s="20">
        <v>0</v>
      </c>
      <c r="CQ90" s="20">
        <v>0</v>
      </c>
      <c r="CR90" s="20">
        <v>0</v>
      </c>
      <c r="CS90" s="20">
        <v>0</v>
      </c>
      <c r="CT90" s="20">
        <v>0</v>
      </c>
      <c r="CU90" s="20">
        <v>0</v>
      </c>
      <c r="CV90" s="20">
        <v>0</v>
      </c>
      <c r="CW90" s="20">
        <v>0</v>
      </c>
      <c r="CX90" s="20">
        <v>0</v>
      </c>
      <c r="CY90" s="20">
        <v>0</v>
      </c>
      <c r="CZ90" s="20">
        <v>0</v>
      </c>
      <c r="DA90" s="20">
        <v>0</v>
      </c>
      <c r="DB90" s="20">
        <v>0</v>
      </c>
      <c r="DC90" s="20">
        <v>0</v>
      </c>
      <c r="DD90" s="20">
        <v>0</v>
      </c>
      <c r="DE90" s="20">
        <v>0</v>
      </c>
      <c r="DF90" s="20">
        <v>0</v>
      </c>
      <c r="DG90" s="16">
        <f t="shared" si="9"/>
        <v>461</v>
      </c>
      <c r="DH90" s="16">
        <f t="shared" si="10"/>
        <v>11875</v>
      </c>
      <c r="DI90" s="17">
        <f t="shared" si="11"/>
        <v>25.759219088937094</v>
      </c>
      <c r="DJ90" s="119" t="s">
        <v>4</v>
      </c>
      <c r="DK90" s="44" t="s">
        <v>4</v>
      </c>
    </row>
    <row r="91" spans="1:115">
      <c r="A91" s="32" t="str">
        <f t="shared" si="12"/>
        <v>Powercor--GROUND OUTDOOR / INDOOR CHAMBER MOUNTED ; &gt; = 22 kV &amp; &lt; = 33 kV ;  &lt; = 15 MVA</v>
      </c>
      <c r="B91" s="32" t="str">
        <f t="shared" si="13"/>
        <v>Powercor</v>
      </c>
      <c r="C91" s="416"/>
      <c r="D91" s="14"/>
      <c r="E91" s="15" t="s">
        <v>231</v>
      </c>
      <c r="F91" s="18">
        <v>0</v>
      </c>
      <c r="G91" s="18">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0">
        <v>0</v>
      </c>
      <c r="AY91" s="20">
        <v>0</v>
      </c>
      <c r="AZ91" s="20">
        <v>0</v>
      </c>
      <c r="BA91" s="20">
        <v>0</v>
      </c>
      <c r="BB91" s="20">
        <v>0</v>
      </c>
      <c r="BC91" s="20">
        <v>0</v>
      </c>
      <c r="BD91" s="20">
        <v>0</v>
      </c>
      <c r="BE91" s="20">
        <v>0</v>
      </c>
      <c r="BF91" s="20">
        <v>0</v>
      </c>
      <c r="BG91" s="20">
        <v>0</v>
      </c>
      <c r="BH91" s="20">
        <v>0</v>
      </c>
      <c r="BI91" s="20">
        <v>0</v>
      </c>
      <c r="BJ91" s="20">
        <v>0</v>
      </c>
      <c r="BK91" s="20">
        <v>0</v>
      </c>
      <c r="BL91" s="20">
        <v>0</v>
      </c>
      <c r="BM91" s="20">
        <v>0</v>
      </c>
      <c r="BN91" s="20">
        <v>0</v>
      </c>
      <c r="BO91" s="20">
        <v>0</v>
      </c>
      <c r="BP91" s="20">
        <v>0</v>
      </c>
      <c r="BQ91" s="20">
        <v>0</v>
      </c>
      <c r="BR91" s="20">
        <v>0</v>
      </c>
      <c r="BS91" s="20">
        <v>0</v>
      </c>
      <c r="BT91" s="20">
        <v>0</v>
      </c>
      <c r="BU91" s="20">
        <v>0</v>
      </c>
      <c r="BV91" s="20">
        <v>0</v>
      </c>
      <c r="BW91" s="20">
        <v>0</v>
      </c>
      <c r="BX91" s="20">
        <v>0</v>
      </c>
      <c r="BY91" s="20">
        <v>0</v>
      </c>
      <c r="BZ91" s="20">
        <v>0</v>
      </c>
      <c r="CA91" s="20">
        <v>0</v>
      </c>
      <c r="CB91" s="20">
        <v>0</v>
      </c>
      <c r="CC91" s="20">
        <v>0</v>
      </c>
      <c r="CD91" s="20">
        <v>0</v>
      </c>
      <c r="CE91" s="20">
        <v>0</v>
      </c>
      <c r="CF91" s="20">
        <v>0</v>
      </c>
      <c r="CG91" s="20">
        <v>0</v>
      </c>
      <c r="CH91" s="20">
        <v>0</v>
      </c>
      <c r="CI91" s="20">
        <v>0</v>
      </c>
      <c r="CJ91" s="20">
        <v>0</v>
      </c>
      <c r="CK91" s="20">
        <v>0</v>
      </c>
      <c r="CL91" s="20">
        <v>0</v>
      </c>
      <c r="CM91" s="20">
        <v>0</v>
      </c>
      <c r="CN91" s="20">
        <v>0</v>
      </c>
      <c r="CO91" s="20">
        <v>0</v>
      </c>
      <c r="CP91" s="20">
        <v>0</v>
      </c>
      <c r="CQ91" s="20">
        <v>0</v>
      </c>
      <c r="CR91" s="20">
        <v>0</v>
      </c>
      <c r="CS91" s="20">
        <v>0</v>
      </c>
      <c r="CT91" s="20">
        <v>0</v>
      </c>
      <c r="CU91" s="20">
        <v>0</v>
      </c>
      <c r="CV91" s="20">
        <v>0</v>
      </c>
      <c r="CW91" s="20">
        <v>0</v>
      </c>
      <c r="CX91" s="20">
        <v>0</v>
      </c>
      <c r="CY91" s="20">
        <v>0</v>
      </c>
      <c r="CZ91" s="20">
        <v>0</v>
      </c>
      <c r="DA91" s="20">
        <v>0</v>
      </c>
      <c r="DB91" s="20">
        <v>0</v>
      </c>
      <c r="DC91" s="20">
        <v>0</v>
      </c>
      <c r="DD91" s="20">
        <v>0</v>
      </c>
      <c r="DE91" s="20">
        <v>0</v>
      </c>
      <c r="DF91" s="20">
        <v>0</v>
      </c>
      <c r="DG91" s="16">
        <f t="shared" si="9"/>
        <v>0</v>
      </c>
      <c r="DH91" s="16">
        <f t="shared" si="10"/>
        <v>0</v>
      </c>
      <c r="DI91" s="17" t="str">
        <f t="shared" si="11"/>
        <v/>
      </c>
      <c r="DJ91" s="119" t="s">
        <v>4</v>
      </c>
      <c r="DK91" s="44" t="s">
        <v>1530</v>
      </c>
    </row>
    <row r="92" spans="1:115">
      <c r="A92" s="32" t="str">
        <f t="shared" si="12"/>
        <v>Powercor--GROUND OUTDOOR / INDOOR CHAMBER MOUNTED ; &gt; = 22 kV &amp; &lt; = 33 kV ;  &gt; 15 MVA AND &lt; = 40 MVA</v>
      </c>
      <c r="B92" s="32" t="str">
        <f t="shared" si="13"/>
        <v>Powercor</v>
      </c>
      <c r="C92" s="416"/>
      <c r="D92" s="14"/>
      <c r="E92" s="15" t="s">
        <v>232</v>
      </c>
      <c r="F92" s="18">
        <v>0</v>
      </c>
      <c r="G92" s="18">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0">
        <v>0</v>
      </c>
      <c r="AY92" s="20">
        <v>0</v>
      </c>
      <c r="AZ92" s="20">
        <v>0</v>
      </c>
      <c r="BA92" s="20">
        <v>0</v>
      </c>
      <c r="BB92" s="20">
        <v>0</v>
      </c>
      <c r="BC92" s="20">
        <v>0</v>
      </c>
      <c r="BD92" s="20">
        <v>0</v>
      </c>
      <c r="BE92" s="20">
        <v>0</v>
      </c>
      <c r="BF92" s="20">
        <v>0</v>
      </c>
      <c r="BG92" s="20">
        <v>0</v>
      </c>
      <c r="BH92" s="20">
        <v>0</v>
      </c>
      <c r="BI92" s="20">
        <v>0</v>
      </c>
      <c r="BJ92" s="20">
        <v>0</v>
      </c>
      <c r="BK92" s="20">
        <v>0</v>
      </c>
      <c r="BL92" s="20">
        <v>0</v>
      </c>
      <c r="BM92" s="20">
        <v>0</v>
      </c>
      <c r="BN92" s="20">
        <v>0</v>
      </c>
      <c r="BO92" s="20">
        <v>0</v>
      </c>
      <c r="BP92" s="20">
        <v>0</v>
      </c>
      <c r="BQ92" s="20">
        <v>0</v>
      </c>
      <c r="BR92" s="20">
        <v>0</v>
      </c>
      <c r="BS92" s="20">
        <v>0</v>
      </c>
      <c r="BT92" s="20">
        <v>0</v>
      </c>
      <c r="BU92" s="20">
        <v>0</v>
      </c>
      <c r="BV92" s="20">
        <v>0</v>
      </c>
      <c r="BW92" s="20">
        <v>0</v>
      </c>
      <c r="BX92" s="20">
        <v>0</v>
      </c>
      <c r="BY92" s="20">
        <v>0</v>
      </c>
      <c r="BZ92" s="20">
        <v>0</v>
      </c>
      <c r="CA92" s="20">
        <v>0</v>
      </c>
      <c r="CB92" s="20">
        <v>0</v>
      </c>
      <c r="CC92" s="20">
        <v>0</v>
      </c>
      <c r="CD92" s="20">
        <v>0</v>
      </c>
      <c r="CE92" s="20">
        <v>0</v>
      </c>
      <c r="CF92" s="20">
        <v>0</v>
      </c>
      <c r="CG92" s="20">
        <v>0</v>
      </c>
      <c r="CH92" s="20">
        <v>0</v>
      </c>
      <c r="CI92" s="20">
        <v>0</v>
      </c>
      <c r="CJ92" s="20">
        <v>0</v>
      </c>
      <c r="CK92" s="20">
        <v>0</v>
      </c>
      <c r="CL92" s="20">
        <v>0</v>
      </c>
      <c r="CM92" s="20">
        <v>0</v>
      </c>
      <c r="CN92" s="20">
        <v>0</v>
      </c>
      <c r="CO92" s="20">
        <v>0</v>
      </c>
      <c r="CP92" s="20">
        <v>0</v>
      </c>
      <c r="CQ92" s="20">
        <v>0</v>
      </c>
      <c r="CR92" s="20">
        <v>0</v>
      </c>
      <c r="CS92" s="20">
        <v>0</v>
      </c>
      <c r="CT92" s="20">
        <v>0</v>
      </c>
      <c r="CU92" s="20">
        <v>0</v>
      </c>
      <c r="CV92" s="20">
        <v>0</v>
      </c>
      <c r="CW92" s="20">
        <v>0</v>
      </c>
      <c r="CX92" s="20">
        <v>0</v>
      </c>
      <c r="CY92" s="20">
        <v>0</v>
      </c>
      <c r="CZ92" s="20">
        <v>0</v>
      </c>
      <c r="DA92" s="20">
        <v>0</v>
      </c>
      <c r="DB92" s="20">
        <v>0</v>
      </c>
      <c r="DC92" s="20">
        <v>0</v>
      </c>
      <c r="DD92" s="20">
        <v>0</v>
      </c>
      <c r="DE92" s="20">
        <v>0</v>
      </c>
      <c r="DF92" s="20">
        <v>0</v>
      </c>
      <c r="DG92" s="16">
        <f t="shared" si="9"/>
        <v>0</v>
      </c>
      <c r="DH92" s="16">
        <f t="shared" si="10"/>
        <v>0</v>
      </c>
      <c r="DI92" s="17" t="str">
        <f t="shared" si="11"/>
        <v/>
      </c>
      <c r="DJ92" s="119" t="s">
        <v>4</v>
      </c>
      <c r="DK92" s="119" t="s">
        <v>1530</v>
      </c>
    </row>
    <row r="93" spans="1:115">
      <c r="A93" s="32" t="str">
        <f t="shared" si="12"/>
        <v>Powercor--GROUND OUTDOOR / INDOOR CHAMBER MOUNTED ; &gt; = 22 kV &amp; &lt; = 33 kV ;  &gt; 40 MVA</v>
      </c>
      <c r="B93" s="32" t="str">
        <f t="shared" si="13"/>
        <v>Powercor</v>
      </c>
      <c r="C93" s="416"/>
      <c r="D93" s="14"/>
      <c r="E93" s="15" t="s">
        <v>233</v>
      </c>
      <c r="F93" s="18">
        <v>0</v>
      </c>
      <c r="G93" s="18">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0">
        <v>0</v>
      </c>
      <c r="AY93" s="20">
        <v>0</v>
      </c>
      <c r="AZ93" s="20">
        <v>0</v>
      </c>
      <c r="BA93" s="20">
        <v>0</v>
      </c>
      <c r="BB93" s="20">
        <v>0</v>
      </c>
      <c r="BC93" s="20">
        <v>0</v>
      </c>
      <c r="BD93" s="20">
        <v>0</v>
      </c>
      <c r="BE93" s="20">
        <v>0</v>
      </c>
      <c r="BF93" s="20">
        <v>0</v>
      </c>
      <c r="BG93" s="20">
        <v>0</v>
      </c>
      <c r="BH93" s="20">
        <v>0</v>
      </c>
      <c r="BI93" s="20">
        <v>0</v>
      </c>
      <c r="BJ93" s="20">
        <v>0</v>
      </c>
      <c r="BK93" s="20">
        <v>0</v>
      </c>
      <c r="BL93" s="20">
        <v>0</v>
      </c>
      <c r="BM93" s="20">
        <v>0</v>
      </c>
      <c r="BN93" s="20">
        <v>0</v>
      </c>
      <c r="BO93" s="20">
        <v>0</v>
      </c>
      <c r="BP93" s="20">
        <v>0</v>
      </c>
      <c r="BQ93" s="20">
        <v>0</v>
      </c>
      <c r="BR93" s="20">
        <v>0</v>
      </c>
      <c r="BS93" s="20">
        <v>0</v>
      </c>
      <c r="BT93" s="20">
        <v>0</v>
      </c>
      <c r="BU93" s="20">
        <v>0</v>
      </c>
      <c r="BV93" s="20">
        <v>0</v>
      </c>
      <c r="BW93" s="20">
        <v>0</v>
      </c>
      <c r="BX93" s="20">
        <v>0</v>
      </c>
      <c r="BY93" s="20">
        <v>0</v>
      </c>
      <c r="BZ93" s="20">
        <v>0</v>
      </c>
      <c r="CA93" s="20">
        <v>0</v>
      </c>
      <c r="CB93" s="20">
        <v>0</v>
      </c>
      <c r="CC93" s="20">
        <v>0</v>
      </c>
      <c r="CD93" s="20">
        <v>0</v>
      </c>
      <c r="CE93" s="20">
        <v>0</v>
      </c>
      <c r="CF93" s="20">
        <v>0</v>
      </c>
      <c r="CG93" s="20">
        <v>0</v>
      </c>
      <c r="CH93" s="20">
        <v>0</v>
      </c>
      <c r="CI93" s="20">
        <v>0</v>
      </c>
      <c r="CJ93" s="20">
        <v>0</v>
      </c>
      <c r="CK93" s="20">
        <v>0</v>
      </c>
      <c r="CL93" s="20">
        <v>0</v>
      </c>
      <c r="CM93" s="20">
        <v>0</v>
      </c>
      <c r="CN93" s="20">
        <v>0</v>
      </c>
      <c r="CO93" s="20">
        <v>0</v>
      </c>
      <c r="CP93" s="20">
        <v>0</v>
      </c>
      <c r="CQ93" s="20">
        <v>0</v>
      </c>
      <c r="CR93" s="20">
        <v>0</v>
      </c>
      <c r="CS93" s="20">
        <v>0</v>
      </c>
      <c r="CT93" s="20">
        <v>0</v>
      </c>
      <c r="CU93" s="20">
        <v>0</v>
      </c>
      <c r="CV93" s="20">
        <v>0</v>
      </c>
      <c r="CW93" s="20">
        <v>0</v>
      </c>
      <c r="CX93" s="20">
        <v>0</v>
      </c>
      <c r="CY93" s="20">
        <v>0</v>
      </c>
      <c r="CZ93" s="20">
        <v>0</v>
      </c>
      <c r="DA93" s="20">
        <v>0</v>
      </c>
      <c r="DB93" s="20">
        <v>0</v>
      </c>
      <c r="DC93" s="20">
        <v>0</v>
      </c>
      <c r="DD93" s="20">
        <v>0</v>
      </c>
      <c r="DE93" s="20">
        <v>0</v>
      </c>
      <c r="DF93" s="20">
        <v>0</v>
      </c>
      <c r="DG93" s="16">
        <f t="shared" si="9"/>
        <v>0</v>
      </c>
      <c r="DH93" s="16">
        <f t="shared" si="10"/>
        <v>0</v>
      </c>
      <c r="DI93" s="17" t="str">
        <f t="shared" si="11"/>
        <v/>
      </c>
      <c r="DJ93" s="119" t="s">
        <v>4</v>
      </c>
      <c r="DK93" s="119" t="s">
        <v>1530</v>
      </c>
    </row>
    <row r="94" spans="1:115">
      <c r="A94" s="32" t="str">
        <f t="shared" si="12"/>
        <v>Powercor--GROUND OUTDOOR / INDOOR CHAMBER MOUNTED ; &gt; 33 kV &amp; &lt; = 66 kV ;  &lt; = 15 MVA</v>
      </c>
      <c r="B94" s="32" t="str">
        <f t="shared" si="13"/>
        <v>Powercor</v>
      </c>
      <c r="C94" s="416"/>
      <c r="D94" s="14"/>
      <c r="E94" s="15" t="s">
        <v>234</v>
      </c>
      <c r="F94" s="18">
        <v>50.6</v>
      </c>
      <c r="G94" s="18">
        <v>8.67</v>
      </c>
      <c r="H94" s="20">
        <v>0</v>
      </c>
      <c r="I94" s="20">
        <v>0</v>
      </c>
      <c r="J94" s="20">
        <v>0</v>
      </c>
      <c r="K94" s="20">
        <v>0</v>
      </c>
      <c r="L94" s="20">
        <v>0</v>
      </c>
      <c r="M94" s="20">
        <v>0</v>
      </c>
      <c r="N94" s="20">
        <v>0</v>
      </c>
      <c r="O94" s="20">
        <v>0</v>
      </c>
      <c r="P94" s="20">
        <v>0</v>
      </c>
      <c r="Q94" s="20">
        <v>0</v>
      </c>
      <c r="R94" s="20">
        <v>1</v>
      </c>
      <c r="S94" s="20">
        <v>0</v>
      </c>
      <c r="T94" s="20">
        <v>1</v>
      </c>
      <c r="U94" s="20">
        <v>1</v>
      </c>
      <c r="V94" s="20">
        <v>0</v>
      </c>
      <c r="W94" s="20">
        <v>1</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1</v>
      </c>
      <c r="AP94" s="20">
        <v>0</v>
      </c>
      <c r="AQ94" s="20">
        <v>1</v>
      </c>
      <c r="AR94" s="20">
        <v>0</v>
      </c>
      <c r="AS94" s="20">
        <v>0</v>
      </c>
      <c r="AT94" s="20">
        <v>0</v>
      </c>
      <c r="AU94" s="20">
        <v>0</v>
      </c>
      <c r="AV94" s="20">
        <v>0</v>
      </c>
      <c r="AW94" s="20">
        <v>0</v>
      </c>
      <c r="AX94" s="20">
        <v>0</v>
      </c>
      <c r="AY94" s="20">
        <v>0</v>
      </c>
      <c r="AZ94" s="20">
        <v>0</v>
      </c>
      <c r="BA94" s="20">
        <v>3</v>
      </c>
      <c r="BB94" s="20">
        <v>8</v>
      </c>
      <c r="BC94" s="20">
        <v>3</v>
      </c>
      <c r="BD94" s="20">
        <v>6</v>
      </c>
      <c r="BE94" s="20">
        <v>0</v>
      </c>
      <c r="BF94" s="20">
        <v>4</v>
      </c>
      <c r="BG94" s="20">
        <v>15</v>
      </c>
      <c r="BH94" s="20">
        <v>0</v>
      </c>
      <c r="BI94" s="20">
        <v>6</v>
      </c>
      <c r="BJ94" s="20">
        <v>1</v>
      </c>
      <c r="BK94" s="20">
        <v>2</v>
      </c>
      <c r="BL94" s="20">
        <v>0</v>
      </c>
      <c r="BM94" s="20">
        <v>0</v>
      </c>
      <c r="BN94" s="20">
        <v>0</v>
      </c>
      <c r="BO94" s="20">
        <v>0</v>
      </c>
      <c r="BP94" s="20">
        <v>0</v>
      </c>
      <c r="BQ94" s="20">
        <v>0</v>
      </c>
      <c r="BR94" s="20">
        <v>0</v>
      </c>
      <c r="BS94" s="20">
        <v>6</v>
      </c>
      <c r="BT94" s="20">
        <v>0</v>
      </c>
      <c r="BU94" s="20">
        <v>4</v>
      </c>
      <c r="BV94" s="20">
        <v>1</v>
      </c>
      <c r="BW94" s="20">
        <v>0</v>
      </c>
      <c r="BX94" s="20">
        <v>0</v>
      </c>
      <c r="BY94" s="20">
        <v>0</v>
      </c>
      <c r="BZ94" s="20">
        <v>0</v>
      </c>
      <c r="CA94" s="20">
        <v>0</v>
      </c>
      <c r="CB94" s="20">
        <v>0</v>
      </c>
      <c r="CC94" s="20">
        <v>0</v>
      </c>
      <c r="CD94" s="20">
        <v>0</v>
      </c>
      <c r="CE94" s="20">
        <v>0</v>
      </c>
      <c r="CF94" s="20">
        <v>0</v>
      </c>
      <c r="CG94" s="20">
        <v>0</v>
      </c>
      <c r="CH94" s="20">
        <v>0</v>
      </c>
      <c r="CI94" s="20">
        <v>0</v>
      </c>
      <c r="CJ94" s="20">
        <v>0</v>
      </c>
      <c r="CK94" s="20">
        <v>0</v>
      </c>
      <c r="CL94" s="20">
        <v>0</v>
      </c>
      <c r="CM94" s="20">
        <v>0</v>
      </c>
      <c r="CN94" s="20">
        <v>0</v>
      </c>
      <c r="CO94" s="20">
        <v>0</v>
      </c>
      <c r="CP94" s="20">
        <v>0</v>
      </c>
      <c r="CQ94" s="20">
        <v>0</v>
      </c>
      <c r="CR94" s="20">
        <v>0</v>
      </c>
      <c r="CS94" s="20">
        <v>0</v>
      </c>
      <c r="CT94" s="20">
        <v>0</v>
      </c>
      <c r="CU94" s="20">
        <v>0</v>
      </c>
      <c r="CV94" s="20">
        <v>0</v>
      </c>
      <c r="CW94" s="20">
        <v>0</v>
      </c>
      <c r="CX94" s="20">
        <v>0</v>
      </c>
      <c r="CY94" s="20">
        <v>0</v>
      </c>
      <c r="CZ94" s="20">
        <v>0</v>
      </c>
      <c r="DA94" s="20">
        <v>0</v>
      </c>
      <c r="DB94" s="20">
        <v>0</v>
      </c>
      <c r="DC94" s="20">
        <v>0</v>
      </c>
      <c r="DD94" s="20">
        <v>0</v>
      </c>
      <c r="DE94" s="20">
        <v>0</v>
      </c>
      <c r="DF94" s="20">
        <v>0</v>
      </c>
      <c r="DG94" s="16">
        <f t="shared" si="9"/>
        <v>65</v>
      </c>
      <c r="DH94" s="16">
        <f t="shared" si="10"/>
        <v>3266</v>
      </c>
      <c r="DI94" s="17">
        <f t="shared" si="11"/>
        <v>50.246153846153845</v>
      </c>
      <c r="DJ94" s="119" t="s">
        <v>4</v>
      </c>
      <c r="DK94" s="119" t="s">
        <v>1530</v>
      </c>
    </row>
    <row r="95" spans="1:115">
      <c r="A95" s="32" t="str">
        <f t="shared" si="12"/>
        <v>Powercor--GROUND OUTDOOR / INDOOR CHAMBER MOUNTED ; &gt; 33 kV &amp; &lt; = 66 kV ;  &gt; 15 MVA AND &lt; = 40 MVA</v>
      </c>
      <c r="B95" s="32" t="str">
        <f t="shared" si="13"/>
        <v>Powercor</v>
      </c>
      <c r="C95" s="416"/>
      <c r="D95" s="14"/>
      <c r="E95" s="15" t="s">
        <v>235</v>
      </c>
      <c r="F95" s="18">
        <v>50.6</v>
      </c>
      <c r="G95" s="18">
        <v>8.67</v>
      </c>
      <c r="H95" s="20">
        <v>3</v>
      </c>
      <c r="I95" s="20">
        <v>2</v>
      </c>
      <c r="J95" s="20">
        <v>2</v>
      </c>
      <c r="K95" s="20">
        <v>5</v>
      </c>
      <c r="L95" s="20">
        <v>1</v>
      </c>
      <c r="M95" s="20">
        <v>3</v>
      </c>
      <c r="N95" s="20">
        <v>1</v>
      </c>
      <c r="O95" s="20">
        <v>1</v>
      </c>
      <c r="P95" s="20">
        <v>1</v>
      </c>
      <c r="Q95" s="20">
        <v>2</v>
      </c>
      <c r="R95" s="20">
        <v>2</v>
      </c>
      <c r="S95" s="20">
        <v>0</v>
      </c>
      <c r="T95" s="20">
        <v>3</v>
      </c>
      <c r="U95" s="20">
        <v>0</v>
      </c>
      <c r="V95" s="20">
        <v>1</v>
      </c>
      <c r="W95" s="20">
        <v>0</v>
      </c>
      <c r="X95" s="20">
        <v>0</v>
      </c>
      <c r="Y95" s="20">
        <v>0</v>
      </c>
      <c r="Z95" s="20">
        <v>0</v>
      </c>
      <c r="AA95" s="20">
        <v>0</v>
      </c>
      <c r="AB95" s="20">
        <v>0</v>
      </c>
      <c r="AC95" s="20">
        <v>0</v>
      </c>
      <c r="AD95" s="20">
        <v>0</v>
      </c>
      <c r="AE95" s="20">
        <v>0</v>
      </c>
      <c r="AF95" s="20">
        <v>1</v>
      </c>
      <c r="AG95" s="20">
        <v>0</v>
      </c>
      <c r="AH95" s="20">
        <v>1</v>
      </c>
      <c r="AI95" s="20">
        <v>2</v>
      </c>
      <c r="AJ95" s="20">
        <v>0</v>
      </c>
      <c r="AK95" s="20">
        <v>0</v>
      </c>
      <c r="AL95" s="20">
        <v>0</v>
      </c>
      <c r="AM95" s="20">
        <v>2</v>
      </c>
      <c r="AN95" s="20">
        <v>0</v>
      </c>
      <c r="AO95" s="20">
        <v>6</v>
      </c>
      <c r="AP95" s="20">
        <v>2</v>
      </c>
      <c r="AQ95" s="20">
        <v>11</v>
      </c>
      <c r="AR95" s="20">
        <v>1</v>
      </c>
      <c r="AS95" s="20">
        <v>0</v>
      </c>
      <c r="AT95" s="20">
        <v>3</v>
      </c>
      <c r="AU95" s="20">
        <v>0</v>
      </c>
      <c r="AV95" s="20">
        <v>0</v>
      </c>
      <c r="AW95" s="20">
        <v>0</v>
      </c>
      <c r="AX95" s="20">
        <v>0</v>
      </c>
      <c r="AY95" s="20">
        <v>0</v>
      </c>
      <c r="AZ95" s="20">
        <v>0</v>
      </c>
      <c r="BA95" s="20">
        <v>0</v>
      </c>
      <c r="BB95" s="20">
        <v>1</v>
      </c>
      <c r="BC95" s="20">
        <v>0</v>
      </c>
      <c r="BD95" s="20">
        <v>2</v>
      </c>
      <c r="BE95" s="20">
        <v>2</v>
      </c>
      <c r="BF95" s="20">
        <v>2</v>
      </c>
      <c r="BG95" s="20">
        <v>0</v>
      </c>
      <c r="BH95" s="20">
        <v>1</v>
      </c>
      <c r="BI95" s="20">
        <v>1</v>
      </c>
      <c r="BJ95" s="20">
        <v>1</v>
      </c>
      <c r="BK95" s="20">
        <v>0</v>
      </c>
      <c r="BL95" s="20">
        <v>0</v>
      </c>
      <c r="BM95" s="20">
        <v>0</v>
      </c>
      <c r="BN95" s="20">
        <v>0</v>
      </c>
      <c r="BO95" s="20">
        <v>0</v>
      </c>
      <c r="BP95" s="20">
        <v>0</v>
      </c>
      <c r="BQ95" s="20">
        <v>0</v>
      </c>
      <c r="BR95" s="20">
        <v>0</v>
      </c>
      <c r="BS95" s="20">
        <v>0</v>
      </c>
      <c r="BT95" s="20">
        <v>0</v>
      </c>
      <c r="BU95" s="20">
        <v>0</v>
      </c>
      <c r="BV95" s="20">
        <v>1</v>
      </c>
      <c r="BW95" s="20">
        <v>0</v>
      </c>
      <c r="BX95" s="20">
        <v>0</v>
      </c>
      <c r="BY95" s="20">
        <v>0</v>
      </c>
      <c r="BZ95" s="20">
        <v>0</v>
      </c>
      <c r="CA95" s="20">
        <v>2</v>
      </c>
      <c r="CB95" s="20">
        <v>0</v>
      </c>
      <c r="CC95" s="20">
        <v>0</v>
      </c>
      <c r="CD95" s="20">
        <v>0</v>
      </c>
      <c r="CE95" s="20">
        <v>0</v>
      </c>
      <c r="CF95" s="20">
        <v>0</v>
      </c>
      <c r="CG95" s="20">
        <v>0</v>
      </c>
      <c r="CH95" s="20">
        <v>0</v>
      </c>
      <c r="CI95" s="20">
        <v>0</v>
      </c>
      <c r="CJ95" s="20">
        <v>0</v>
      </c>
      <c r="CK95" s="20">
        <v>0</v>
      </c>
      <c r="CL95" s="20">
        <v>0</v>
      </c>
      <c r="CM95" s="20">
        <v>0</v>
      </c>
      <c r="CN95" s="20">
        <v>0</v>
      </c>
      <c r="CO95" s="20">
        <v>0</v>
      </c>
      <c r="CP95" s="20">
        <v>0</v>
      </c>
      <c r="CQ95" s="20">
        <v>0</v>
      </c>
      <c r="CR95" s="20">
        <v>0</v>
      </c>
      <c r="CS95" s="20">
        <v>0</v>
      </c>
      <c r="CT95" s="20">
        <v>0</v>
      </c>
      <c r="CU95" s="20">
        <v>0</v>
      </c>
      <c r="CV95" s="20">
        <v>0</v>
      </c>
      <c r="CW95" s="20">
        <v>0</v>
      </c>
      <c r="CX95" s="20">
        <v>0</v>
      </c>
      <c r="CY95" s="20">
        <v>0</v>
      </c>
      <c r="CZ95" s="20">
        <v>0</v>
      </c>
      <c r="DA95" s="20">
        <v>0</v>
      </c>
      <c r="DB95" s="20">
        <v>0</v>
      </c>
      <c r="DC95" s="20">
        <v>0</v>
      </c>
      <c r="DD95" s="20">
        <v>0</v>
      </c>
      <c r="DE95" s="20">
        <v>0</v>
      </c>
      <c r="DF95" s="20">
        <v>0</v>
      </c>
      <c r="DG95" s="16">
        <f t="shared" si="9"/>
        <v>69</v>
      </c>
      <c r="DH95" s="16">
        <f t="shared" si="10"/>
        <v>1892</v>
      </c>
      <c r="DI95" s="17">
        <f t="shared" si="11"/>
        <v>27.420289855072465</v>
      </c>
      <c r="DJ95" s="119" t="s">
        <v>4</v>
      </c>
      <c r="DK95" s="119" t="s">
        <v>1530</v>
      </c>
    </row>
    <row r="96" spans="1:115">
      <c r="A96" s="32" t="str">
        <f t="shared" si="12"/>
        <v>Powercor--GROUND OUTDOOR / INDOOR CHAMBER MOUNTED ; &gt; 33 kV &amp; &lt; = 66 kV ;  &gt; 40 MVA</v>
      </c>
      <c r="B96" s="32" t="str">
        <f t="shared" si="13"/>
        <v>Powercor</v>
      </c>
      <c r="C96" s="416"/>
      <c r="D96" s="14"/>
      <c r="E96" s="15" t="s">
        <v>236</v>
      </c>
      <c r="F96" s="18">
        <v>50.6</v>
      </c>
      <c r="G96" s="18">
        <v>8.67</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1</v>
      </c>
      <c r="AR96" s="20">
        <v>0</v>
      </c>
      <c r="AS96" s="20">
        <v>0</v>
      </c>
      <c r="AT96" s="20">
        <v>0</v>
      </c>
      <c r="AU96" s="20">
        <v>0</v>
      </c>
      <c r="AV96" s="20">
        <v>0</v>
      </c>
      <c r="AW96" s="20">
        <v>0</v>
      </c>
      <c r="AX96" s="20">
        <v>0</v>
      </c>
      <c r="AY96" s="20">
        <v>0</v>
      </c>
      <c r="AZ96" s="20">
        <v>0</v>
      </c>
      <c r="BA96" s="20">
        <v>0</v>
      </c>
      <c r="BB96" s="20">
        <v>0</v>
      </c>
      <c r="BC96" s="20">
        <v>4</v>
      </c>
      <c r="BD96" s="20">
        <v>0</v>
      </c>
      <c r="BE96" s="20">
        <v>0</v>
      </c>
      <c r="BF96" s="20">
        <v>0</v>
      </c>
      <c r="BG96" s="20">
        <v>0</v>
      </c>
      <c r="BH96" s="20">
        <v>0</v>
      </c>
      <c r="BI96" s="20">
        <v>0</v>
      </c>
      <c r="BJ96" s="20">
        <v>1</v>
      </c>
      <c r="BK96" s="20">
        <v>0</v>
      </c>
      <c r="BL96" s="20">
        <v>0</v>
      </c>
      <c r="BM96" s="20">
        <v>0</v>
      </c>
      <c r="BN96" s="20">
        <v>0</v>
      </c>
      <c r="BO96" s="20">
        <v>0</v>
      </c>
      <c r="BP96" s="20">
        <v>0</v>
      </c>
      <c r="BQ96" s="20">
        <v>0</v>
      </c>
      <c r="BR96" s="20">
        <v>0</v>
      </c>
      <c r="BS96" s="20">
        <v>0</v>
      </c>
      <c r="BT96" s="20">
        <v>0</v>
      </c>
      <c r="BU96" s="20">
        <v>0</v>
      </c>
      <c r="BV96" s="20">
        <v>0</v>
      </c>
      <c r="BW96" s="20">
        <v>0</v>
      </c>
      <c r="BX96" s="20">
        <v>0</v>
      </c>
      <c r="BY96" s="20">
        <v>0</v>
      </c>
      <c r="BZ96" s="20">
        <v>0</v>
      </c>
      <c r="CA96" s="20">
        <v>0</v>
      </c>
      <c r="CB96" s="20">
        <v>0</v>
      </c>
      <c r="CC96" s="20">
        <v>0</v>
      </c>
      <c r="CD96" s="20">
        <v>0</v>
      </c>
      <c r="CE96" s="20">
        <v>0</v>
      </c>
      <c r="CF96" s="20">
        <v>0</v>
      </c>
      <c r="CG96" s="20">
        <v>0</v>
      </c>
      <c r="CH96" s="20">
        <v>0</v>
      </c>
      <c r="CI96" s="20">
        <v>0</v>
      </c>
      <c r="CJ96" s="20">
        <v>0</v>
      </c>
      <c r="CK96" s="20">
        <v>0</v>
      </c>
      <c r="CL96" s="20">
        <v>0</v>
      </c>
      <c r="CM96" s="20">
        <v>0</v>
      </c>
      <c r="CN96" s="20">
        <v>0</v>
      </c>
      <c r="CO96" s="20">
        <v>0</v>
      </c>
      <c r="CP96" s="20">
        <v>0</v>
      </c>
      <c r="CQ96" s="20">
        <v>0</v>
      </c>
      <c r="CR96" s="20">
        <v>0</v>
      </c>
      <c r="CS96" s="20">
        <v>0</v>
      </c>
      <c r="CT96" s="20">
        <v>0</v>
      </c>
      <c r="CU96" s="20">
        <v>0</v>
      </c>
      <c r="CV96" s="20">
        <v>0</v>
      </c>
      <c r="CW96" s="20">
        <v>0</v>
      </c>
      <c r="CX96" s="20">
        <v>0</v>
      </c>
      <c r="CY96" s="20">
        <v>0</v>
      </c>
      <c r="CZ96" s="20">
        <v>0</v>
      </c>
      <c r="DA96" s="20">
        <v>0</v>
      </c>
      <c r="DB96" s="20">
        <v>0</v>
      </c>
      <c r="DC96" s="20">
        <v>0</v>
      </c>
      <c r="DD96" s="20">
        <v>0</v>
      </c>
      <c r="DE96" s="20">
        <v>0</v>
      </c>
      <c r="DF96" s="20">
        <v>0</v>
      </c>
      <c r="DG96" s="16">
        <f t="shared" si="9"/>
        <v>6</v>
      </c>
      <c r="DH96" s="16">
        <f t="shared" si="10"/>
        <v>283</v>
      </c>
      <c r="DI96" s="17">
        <f t="shared" si="11"/>
        <v>47.166666666666664</v>
      </c>
      <c r="DJ96" s="119" t="s">
        <v>4</v>
      </c>
      <c r="DK96" s="119" t="s">
        <v>1530</v>
      </c>
    </row>
    <row r="97" spans="1:115">
      <c r="A97" s="32" t="str">
        <f t="shared" si="12"/>
        <v>Powercor--GROUND OUTDOOR / INDOOR CHAMBER MOUNTED ; &gt; 66 kV &amp; &lt; = 132 kV ;  &lt; = 100 MVA</v>
      </c>
      <c r="B97" s="32" t="str">
        <f t="shared" si="13"/>
        <v>Powercor</v>
      </c>
      <c r="C97" s="416"/>
      <c r="D97" s="14"/>
      <c r="E97" s="15" t="s">
        <v>237</v>
      </c>
      <c r="F97" s="18">
        <v>0</v>
      </c>
      <c r="G97" s="18">
        <v>0</v>
      </c>
      <c r="H97" s="20">
        <v>0</v>
      </c>
      <c r="I97" s="20">
        <v>0</v>
      </c>
      <c r="J97" s="20">
        <v>0</v>
      </c>
      <c r="K97" s="20">
        <v>0</v>
      </c>
      <c r="L97" s="20">
        <v>0</v>
      </c>
      <c r="M97" s="20">
        <v>0</v>
      </c>
      <c r="N97" s="20">
        <v>0</v>
      </c>
      <c r="O97" s="20">
        <v>0</v>
      </c>
      <c r="P97" s="20">
        <v>0</v>
      </c>
      <c r="Q97" s="20">
        <v>0</v>
      </c>
      <c r="R97" s="20">
        <v>0</v>
      </c>
      <c r="S97" s="20">
        <v>0</v>
      </c>
      <c r="T97" s="20">
        <v>0</v>
      </c>
      <c r="U97" s="20">
        <v>0</v>
      </c>
      <c r="V97" s="20">
        <v>0</v>
      </c>
      <c r="W97" s="20">
        <v>0</v>
      </c>
      <c r="X97" s="20">
        <v>0</v>
      </c>
      <c r="Y97" s="20">
        <v>0</v>
      </c>
      <c r="Z97" s="20">
        <v>0</v>
      </c>
      <c r="AA97" s="20">
        <v>0</v>
      </c>
      <c r="AB97" s="20">
        <v>0</v>
      </c>
      <c r="AC97" s="20">
        <v>0</v>
      </c>
      <c r="AD97" s="20">
        <v>0</v>
      </c>
      <c r="AE97" s="20">
        <v>0</v>
      </c>
      <c r="AF97" s="20">
        <v>0</v>
      </c>
      <c r="AG97" s="20">
        <v>0</v>
      </c>
      <c r="AH97" s="20">
        <v>0</v>
      </c>
      <c r="AI97" s="20">
        <v>0</v>
      </c>
      <c r="AJ97" s="20">
        <v>0</v>
      </c>
      <c r="AK97" s="20">
        <v>0</v>
      </c>
      <c r="AL97" s="20">
        <v>0</v>
      </c>
      <c r="AM97" s="20">
        <v>0</v>
      </c>
      <c r="AN97" s="20">
        <v>0</v>
      </c>
      <c r="AO97" s="20">
        <v>0</v>
      </c>
      <c r="AP97" s="20">
        <v>0</v>
      </c>
      <c r="AQ97" s="20">
        <v>0</v>
      </c>
      <c r="AR97" s="20">
        <v>0</v>
      </c>
      <c r="AS97" s="20">
        <v>0</v>
      </c>
      <c r="AT97" s="20">
        <v>0</v>
      </c>
      <c r="AU97" s="20">
        <v>0</v>
      </c>
      <c r="AV97" s="20">
        <v>0</v>
      </c>
      <c r="AW97" s="20">
        <v>0</v>
      </c>
      <c r="AX97" s="20">
        <v>0</v>
      </c>
      <c r="AY97" s="20">
        <v>0</v>
      </c>
      <c r="AZ97" s="20">
        <v>0</v>
      </c>
      <c r="BA97" s="20">
        <v>0</v>
      </c>
      <c r="BB97" s="20">
        <v>0</v>
      </c>
      <c r="BC97" s="20">
        <v>0</v>
      </c>
      <c r="BD97" s="20">
        <v>0</v>
      </c>
      <c r="BE97" s="20">
        <v>0</v>
      </c>
      <c r="BF97" s="20">
        <v>0</v>
      </c>
      <c r="BG97" s="20">
        <v>0</v>
      </c>
      <c r="BH97" s="20">
        <v>0</v>
      </c>
      <c r="BI97" s="20">
        <v>0</v>
      </c>
      <c r="BJ97" s="20">
        <v>0</v>
      </c>
      <c r="BK97" s="20">
        <v>0</v>
      </c>
      <c r="BL97" s="20">
        <v>0</v>
      </c>
      <c r="BM97" s="20">
        <v>0</v>
      </c>
      <c r="BN97" s="20">
        <v>0</v>
      </c>
      <c r="BO97" s="20">
        <v>0</v>
      </c>
      <c r="BP97" s="20">
        <v>0</v>
      </c>
      <c r="BQ97" s="20">
        <v>0</v>
      </c>
      <c r="BR97" s="20">
        <v>0</v>
      </c>
      <c r="BS97" s="20">
        <v>0</v>
      </c>
      <c r="BT97" s="20">
        <v>0</v>
      </c>
      <c r="BU97" s="20">
        <v>0</v>
      </c>
      <c r="BV97" s="20">
        <v>0</v>
      </c>
      <c r="BW97" s="20">
        <v>0</v>
      </c>
      <c r="BX97" s="20">
        <v>0</v>
      </c>
      <c r="BY97" s="20">
        <v>0</v>
      </c>
      <c r="BZ97" s="20">
        <v>0</v>
      </c>
      <c r="CA97" s="20">
        <v>0</v>
      </c>
      <c r="CB97" s="20">
        <v>0</v>
      </c>
      <c r="CC97" s="20">
        <v>0</v>
      </c>
      <c r="CD97" s="20">
        <v>0</v>
      </c>
      <c r="CE97" s="20">
        <v>0</v>
      </c>
      <c r="CF97" s="20">
        <v>0</v>
      </c>
      <c r="CG97" s="20">
        <v>0</v>
      </c>
      <c r="CH97" s="20">
        <v>0</v>
      </c>
      <c r="CI97" s="20">
        <v>0</v>
      </c>
      <c r="CJ97" s="20">
        <v>0</v>
      </c>
      <c r="CK97" s="20">
        <v>0</v>
      </c>
      <c r="CL97" s="20">
        <v>0</v>
      </c>
      <c r="CM97" s="20">
        <v>0</v>
      </c>
      <c r="CN97" s="20">
        <v>0</v>
      </c>
      <c r="CO97" s="20">
        <v>0</v>
      </c>
      <c r="CP97" s="20">
        <v>0</v>
      </c>
      <c r="CQ97" s="20">
        <v>0</v>
      </c>
      <c r="CR97" s="20">
        <v>0</v>
      </c>
      <c r="CS97" s="20">
        <v>0</v>
      </c>
      <c r="CT97" s="20">
        <v>0</v>
      </c>
      <c r="CU97" s="20">
        <v>0</v>
      </c>
      <c r="CV97" s="20">
        <v>0</v>
      </c>
      <c r="CW97" s="20">
        <v>0</v>
      </c>
      <c r="CX97" s="20">
        <v>0</v>
      </c>
      <c r="CY97" s="20">
        <v>0</v>
      </c>
      <c r="CZ97" s="20">
        <v>0</v>
      </c>
      <c r="DA97" s="20">
        <v>0</v>
      </c>
      <c r="DB97" s="20">
        <v>0</v>
      </c>
      <c r="DC97" s="20">
        <v>0</v>
      </c>
      <c r="DD97" s="20">
        <v>0</v>
      </c>
      <c r="DE97" s="20">
        <v>0</v>
      </c>
      <c r="DF97" s="20">
        <v>0</v>
      </c>
      <c r="DG97" s="16">
        <f t="shared" si="9"/>
        <v>0</v>
      </c>
      <c r="DH97" s="16">
        <f t="shared" si="10"/>
        <v>0</v>
      </c>
      <c r="DI97" s="17" t="str">
        <f t="shared" si="11"/>
        <v/>
      </c>
      <c r="DJ97" s="119" t="s">
        <v>4</v>
      </c>
      <c r="DK97" s="119" t="s">
        <v>1530</v>
      </c>
    </row>
    <row r="98" spans="1:115">
      <c r="A98" s="32" t="str">
        <f t="shared" si="12"/>
        <v>Powercor--GROUND OUTDOOR / INDOOR CHAMBER MOUNTED ; &gt; 66 kV &amp; &lt; = 132 kV ;  &gt; 100 MVA</v>
      </c>
      <c r="B98" s="32" t="str">
        <f t="shared" si="13"/>
        <v>Powercor</v>
      </c>
      <c r="C98" s="416"/>
      <c r="D98" s="14"/>
      <c r="E98" s="15" t="s">
        <v>238</v>
      </c>
      <c r="F98" s="18">
        <v>0</v>
      </c>
      <c r="G98" s="18">
        <v>0</v>
      </c>
      <c r="H98" s="20">
        <v>0</v>
      </c>
      <c r="I98" s="20">
        <v>0</v>
      </c>
      <c r="J98" s="20">
        <v>0</v>
      </c>
      <c r="K98" s="20">
        <v>0</v>
      </c>
      <c r="L98" s="20">
        <v>0</v>
      </c>
      <c r="M98" s="20">
        <v>0</v>
      </c>
      <c r="N98" s="20">
        <v>0</v>
      </c>
      <c r="O98" s="20">
        <v>0</v>
      </c>
      <c r="P98" s="20">
        <v>0</v>
      </c>
      <c r="Q98" s="20">
        <v>0</v>
      </c>
      <c r="R98" s="20">
        <v>0</v>
      </c>
      <c r="S98" s="20">
        <v>0</v>
      </c>
      <c r="T98" s="20">
        <v>0</v>
      </c>
      <c r="U98" s="20">
        <v>0</v>
      </c>
      <c r="V98" s="20">
        <v>0</v>
      </c>
      <c r="W98" s="20">
        <v>0</v>
      </c>
      <c r="X98" s="20">
        <v>0</v>
      </c>
      <c r="Y98" s="20">
        <v>0</v>
      </c>
      <c r="Z98" s="20">
        <v>0</v>
      </c>
      <c r="AA98" s="20">
        <v>0</v>
      </c>
      <c r="AB98" s="20">
        <v>0</v>
      </c>
      <c r="AC98" s="20">
        <v>0</v>
      </c>
      <c r="AD98" s="20">
        <v>0</v>
      </c>
      <c r="AE98" s="20">
        <v>0</v>
      </c>
      <c r="AF98" s="20">
        <v>0</v>
      </c>
      <c r="AG98" s="20">
        <v>0</v>
      </c>
      <c r="AH98" s="20">
        <v>0</v>
      </c>
      <c r="AI98" s="20">
        <v>0</v>
      </c>
      <c r="AJ98" s="20">
        <v>0</v>
      </c>
      <c r="AK98" s="20">
        <v>0</v>
      </c>
      <c r="AL98" s="20">
        <v>0</v>
      </c>
      <c r="AM98" s="20">
        <v>0</v>
      </c>
      <c r="AN98" s="20">
        <v>0</v>
      </c>
      <c r="AO98" s="20">
        <v>0</v>
      </c>
      <c r="AP98" s="20">
        <v>0</v>
      </c>
      <c r="AQ98" s="20">
        <v>0</v>
      </c>
      <c r="AR98" s="20">
        <v>0</v>
      </c>
      <c r="AS98" s="20">
        <v>0</v>
      </c>
      <c r="AT98" s="20">
        <v>0</v>
      </c>
      <c r="AU98" s="20">
        <v>0</v>
      </c>
      <c r="AV98" s="20">
        <v>0</v>
      </c>
      <c r="AW98" s="20">
        <v>0</v>
      </c>
      <c r="AX98" s="20">
        <v>0</v>
      </c>
      <c r="AY98" s="20">
        <v>0</v>
      </c>
      <c r="AZ98" s="20">
        <v>0</v>
      </c>
      <c r="BA98" s="20">
        <v>0</v>
      </c>
      <c r="BB98" s="20">
        <v>0</v>
      </c>
      <c r="BC98" s="20">
        <v>0</v>
      </c>
      <c r="BD98" s="20">
        <v>0</v>
      </c>
      <c r="BE98" s="20">
        <v>0</v>
      </c>
      <c r="BF98" s="20">
        <v>0</v>
      </c>
      <c r="BG98" s="20">
        <v>0</v>
      </c>
      <c r="BH98" s="20">
        <v>0</v>
      </c>
      <c r="BI98" s="20">
        <v>0</v>
      </c>
      <c r="BJ98" s="20">
        <v>0</v>
      </c>
      <c r="BK98" s="20">
        <v>0</v>
      </c>
      <c r="BL98" s="20">
        <v>0</v>
      </c>
      <c r="BM98" s="20">
        <v>0</v>
      </c>
      <c r="BN98" s="20">
        <v>0</v>
      </c>
      <c r="BO98" s="20">
        <v>0</v>
      </c>
      <c r="BP98" s="20">
        <v>0</v>
      </c>
      <c r="BQ98" s="20">
        <v>0</v>
      </c>
      <c r="BR98" s="20">
        <v>0</v>
      </c>
      <c r="BS98" s="20">
        <v>0</v>
      </c>
      <c r="BT98" s="20">
        <v>0</v>
      </c>
      <c r="BU98" s="20">
        <v>0</v>
      </c>
      <c r="BV98" s="20">
        <v>0</v>
      </c>
      <c r="BW98" s="20">
        <v>0</v>
      </c>
      <c r="BX98" s="20">
        <v>0</v>
      </c>
      <c r="BY98" s="20">
        <v>0</v>
      </c>
      <c r="BZ98" s="20">
        <v>0</v>
      </c>
      <c r="CA98" s="20">
        <v>0</v>
      </c>
      <c r="CB98" s="20">
        <v>0</v>
      </c>
      <c r="CC98" s="20">
        <v>0</v>
      </c>
      <c r="CD98" s="20">
        <v>0</v>
      </c>
      <c r="CE98" s="20">
        <v>0</v>
      </c>
      <c r="CF98" s="20">
        <v>0</v>
      </c>
      <c r="CG98" s="20">
        <v>0</v>
      </c>
      <c r="CH98" s="20">
        <v>0</v>
      </c>
      <c r="CI98" s="20">
        <v>0</v>
      </c>
      <c r="CJ98" s="20">
        <v>0</v>
      </c>
      <c r="CK98" s="20">
        <v>0</v>
      </c>
      <c r="CL98" s="20">
        <v>0</v>
      </c>
      <c r="CM98" s="20">
        <v>0</v>
      </c>
      <c r="CN98" s="20">
        <v>0</v>
      </c>
      <c r="CO98" s="20">
        <v>0</v>
      </c>
      <c r="CP98" s="20">
        <v>0</v>
      </c>
      <c r="CQ98" s="20">
        <v>0</v>
      </c>
      <c r="CR98" s="20">
        <v>0</v>
      </c>
      <c r="CS98" s="20">
        <v>0</v>
      </c>
      <c r="CT98" s="20">
        <v>0</v>
      </c>
      <c r="CU98" s="20">
        <v>0</v>
      </c>
      <c r="CV98" s="20">
        <v>0</v>
      </c>
      <c r="CW98" s="20">
        <v>0</v>
      </c>
      <c r="CX98" s="20">
        <v>0</v>
      </c>
      <c r="CY98" s="20">
        <v>0</v>
      </c>
      <c r="CZ98" s="20">
        <v>0</v>
      </c>
      <c r="DA98" s="20">
        <v>0</v>
      </c>
      <c r="DB98" s="20">
        <v>0</v>
      </c>
      <c r="DC98" s="20">
        <v>0</v>
      </c>
      <c r="DD98" s="20">
        <v>0</v>
      </c>
      <c r="DE98" s="20">
        <v>0</v>
      </c>
      <c r="DF98" s="20">
        <v>0</v>
      </c>
      <c r="DG98" s="16">
        <f t="shared" si="9"/>
        <v>0</v>
      </c>
      <c r="DH98" s="16">
        <f t="shared" si="10"/>
        <v>0</v>
      </c>
      <c r="DI98" s="17" t="str">
        <f t="shared" si="11"/>
        <v/>
      </c>
      <c r="DJ98" s="119" t="s">
        <v>4</v>
      </c>
      <c r="DK98" s="119" t="s">
        <v>1530</v>
      </c>
    </row>
    <row r="99" spans="1:115">
      <c r="A99" s="32" t="str">
        <f t="shared" si="12"/>
        <v>Powercor--GROUND OUTDOOR / INDOOR CHAMBER MOUNTED ; &gt; 132 kV ;  &lt; = 100 MVA</v>
      </c>
      <c r="B99" s="32" t="str">
        <f t="shared" si="13"/>
        <v>Powercor</v>
      </c>
      <c r="C99" s="416"/>
      <c r="D99" s="14"/>
      <c r="E99" s="15" t="s">
        <v>239</v>
      </c>
      <c r="F99" s="18">
        <v>0</v>
      </c>
      <c r="G99" s="18">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0">
        <v>0</v>
      </c>
      <c r="AY99" s="20">
        <v>0</v>
      </c>
      <c r="AZ99" s="20">
        <v>0</v>
      </c>
      <c r="BA99" s="20">
        <v>0</v>
      </c>
      <c r="BB99" s="20">
        <v>0</v>
      </c>
      <c r="BC99" s="20">
        <v>0</v>
      </c>
      <c r="BD99" s="20">
        <v>0</v>
      </c>
      <c r="BE99" s="20">
        <v>0</v>
      </c>
      <c r="BF99" s="20">
        <v>0</v>
      </c>
      <c r="BG99" s="20">
        <v>0</v>
      </c>
      <c r="BH99" s="20">
        <v>0</v>
      </c>
      <c r="BI99" s="20">
        <v>0</v>
      </c>
      <c r="BJ99" s="20">
        <v>0</v>
      </c>
      <c r="BK99" s="20">
        <v>0</v>
      </c>
      <c r="BL99" s="20">
        <v>0</v>
      </c>
      <c r="BM99" s="20">
        <v>0</v>
      </c>
      <c r="BN99" s="20">
        <v>0</v>
      </c>
      <c r="BO99" s="20">
        <v>0</v>
      </c>
      <c r="BP99" s="20">
        <v>0</v>
      </c>
      <c r="BQ99" s="20">
        <v>0</v>
      </c>
      <c r="BR99" s="20">
        <v>0</v>
      </c>
      <c r="BS99" s="20">
        <v>0</v>
      </c>
      <c r="BT99" s="20">
        <v>0</v>
      </c>
      <c r="BU99" s="20">
        <v>0</v>
      </c>
      <c r="BV99" s="20">
        <v>0</v>
      </c>
      <c r="BW99" s="20">
        <v>0</v>
      </c>
      <c r="BX99" s="20">
        <v>0</v>
      </c>
      <c r="BY99" s="20">
        <v>0</v>
      </c>
      <c r="BZ99" s="20">
        <v>0</v>
      </c>
      <c r="CA99" s="20">
        <v>0</v>
      </c>
      <c r="CB99" s="20">
        <v>0</v>
      </c>
      <c r="CC99" s="20">
        <v>0</v>
      </c>
      <c r="CD99" s="20">
        <v>0</v>
      </c>
      <c r="CE99" s="20">
        <v>0</v>
      </c>
      <c r="CF99" s="20">
        <v>0</v>
      </c>
      <c r="CG99" s="20">
        <v>0</v>
      </c>
      <c r="CH99" s="20">
        <v>0</v>
      </c>
      <c r="CI99" s="20">
        <v>0</v>
      </c>
      <c r="CJ99" s="20">
        <v>0</v>
      </c>
      <c r="CK99" s="20">
        <v>0</v>
      </c>
      <c r="CL99" s="20">
        <v>0</v>
      </c>
      <c r="CM99" s="20">
        <v>0</v>
      </c>
      <c r="CN99" s="20">
        <v>0</v>
      </c>
      <c r="CO99" s="20">
        <v>0</v>
      </c>
      <c r="CP99" s="20">
        <v>0</v>
      </c>
      <c r="CQ99" s="20">
        <v>0</v>
      </c>
      <c r="CR99" s="20">
        <v>0</v>
      </c>
      <c r="CS99" s="20">
        <v>0</v>
      </c>
      <c r="CT99" s="20">
        <v>0</v>
      </c>
      <c r="CU99" s="20">
        <v>0</v>
      </c>
      <c r="CV99" s="20">
        <v>0</v>
      </c>
      <c r="CW99" s="20">
        <v>0</v>
      </c>
      <c r="CX99" s="20">
        <v>0</v>
      </c>
      <c r="CY99" s="20">
        <v>0</v>
      </c>
      <c r="CZ99" s="20">
        <v>0</v>
      </c>
      <c r="DA99" s="20">
        <v>0</v>
      </c>
      <c r="DB99" s="20">
        <v>0</v>
      </c>
      <c r="DC99" s="20">
        <v>0</v>
      </c>
      <c r="DD99" s="20">
        <v>0</v>
      </c>
      <c r="DE99" s="20">
        <v>0</v>
      </c>
      <c r="DF99" s="20">
        <v>0</v>
      </c>
      <c r="DG99" s="16">
        <f t="shared" si="9"/>
        <v>0</v>
      </c>
      <c r="DH99" s="16">
        <f t="shared" si="10"/>
        <v>0</v>
      </c>
      <c r="DI99" s="17" t="str">
        <f t="shared" si="11"/>
        <v/>
      </c>
      <c r="DJ99" s="119" t="s">
        <v>4</v>
      </c>
      <c r="DK99" s="119" t="s">
        <v>1530</v>
      </c>
    </row>
    <row r="100" spans="1:115">
      <c r="A100" s="32" t="str">
        <f t="shared" si="12"/>
        <v>Powercor--GROUND OUTDOOR / INDOOR CHAMBER MOUNTED ; &gt; 132 kV ;  &gt; 100 MVA</v>
      </c>
      <c r="B100" s="32" t="str">
        <f t="shared" si="13"/>
        <v>Powercor</v>
      </c>
      <c r="C100" s="416"/>
      <c r="D100" s="14"/>
      <c r="E100" s="15" t="s">
        <v>240</v>
      </c>
      <c r="F100" s="18">
        <v>0</v>
      </c>
      <c r="G100" s="18">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0">
        <v>0</v>
      </c>
      <c r="AY100" s="20">
        <v>0</v>
      </c>
      <c r="AZ100" s="20">
        <v>0</v>
      </c>
      <c r="BA100" s="20">
        <v>0</v>
      </c>
      <c r="BB100" s="20">
        <v>0</v>
      </c>
      <c r="BC100" s="20">
        <v>0</v>
      </c>
      <c r="BD100" s="20">
        <v>0</v>
      </c>
      <c r="BE100" s="20">
        <v>0</v>
      </c>
      <c r="BF100" s="20">
        <v>0</v>
      </c>
      <c r="BG100" s="20">
        <v>0</v>
      </c>
      <c r="BH100" s="20">
        <v>0</v>
      </c>
      <c r="BI100" s="20">
        <v>0</v>
      </c>
      <c r="BJ100" s="20">
        <v>0</v>
      </c>
      <c r="BK100" s="20">
        <v>0</v>
      </c>
      <c r="BL100" s="20">
        <v>0</v>
      </c>
      <c r="BM100" s="20">
        <v>0</v>
      </c>
      <c r="BN100" s="20">
        <v>0</v>
      </c>
      <c r="BO100" s="20">
        <v>0</v>
      </c>
      <c r="BP100" s="20">
        <v>0</v>
      </c>
      <c r="BQ100" s="20">
        <v>0</v>
      </c>
      <c r="BR100" s="20">
        <v>0</v>
      </c>
      <c r="BS100" s="20">
        <v>0</v>
      </c>
      <c r="BT100" s="20">
        <v>0</v>
      </c>
      <c r="BU100" s="20">
        <v>0</v>
      </c>
      <c r="BV100" s="20">
        <v>0</v>
      </c>
      <c r="BW100" s="20">
        <v>0</v>
      </c>
      <c r="BX100" s="20">
        <v>0</v>
      </c>
      <c r="BY100" s="20">
        <v>0</v>
      </c>
      <c r="BZ100" s="20">
        <v>0</v>
      </c>
      <c r="CA100" s="20">
        <v>0</v>
      </c>
      <c r="CB100" s="20">
        <v>0</v>
      </c>
      <c r="CC100" s="20">
        <v>0</v>
      </c>
      <c r="CD100" s="20">
        <v>0</v>
      </c>
      <c r="CE100" s="20">
        <v>0</v>
      </c>
      <c r="CF100" s="20">
        <v>0</v>
      </c>
      <c r="CG100" s="20">
        <v>0</v>
      </c>
      <c r="CH100" s="20">
        <v>0</v>
      </c>
      <c r="CI100" s="20">
        <v>0</v>
      </c>
      <c r="CJ100" s="20">
        <v>0</v>
      </c>
      <c r="CK100" s="20">
        <v>0</v>
      </c>
      <c r="CL100" s="20">
        <v>0</v>
      </c>
      <c r="CM100" s="20">
        <v>0</v>
      </c>
      <c r="CN100" s="20">
        <v>0</v>
      </c>
      <c r="CO100" s="20">
        <v>0</v>
      </c>
      <c r="CP100" s="20">
        <v>0</v>
      </c>
      <c r="CQ100" s="20">
        <v>0</v>
      </c>
      <c r="CR100" s="20">
        <v>0</v>
      </c>
      <c r="CS100" s="20">
        <v>0</v>
      </c>
      <c r="CT100" s="20">
        <v>0</v>
      </c>
      <c r="CU100" s="20">
        <v>0</v>
      </c>
      <c r="CV100" s="20">
        <v>0</v>
      </c>
      <c r="CW100" s="20">
        <v>0</v>
      </c>
      <c r="CX100" s="20">
        <v>0</v>
      </c>
      <c r="CY100" s="20">
        <v>0</v>
      </c>
      <c r="CZ100" s="20">
        <v>0</v>
      </c>
      <c r="DA100" s="20">
        <v>0</v>
      </c>
      <c r="DB100" s="20">
        <v>0</v>
      </c>
      <c r="DC100" s="20">
        <v>0</v>
      </c>
      <c r="DD100" s="20">
        <v>0</v>
      </c>
      <c r="DE100" s="20">
        <v>0</v>
      </c>
      <c r="DF100" s="20">
        <v>0</v>
      </c>
      <c r="DG100" s="16">
        <f t="shared" si="9"/>
        <v>0</v>
      </c>
      <c r="DH100" s="16">
        <f t="shared" si="10"/>
        <v>0</v>
      </c>
      <c r="DI100" s="17" t="str">
        <f t="shared" si="11"/>
        <v/>
      </c>
      <c r="DJ100" s="119" t="s">
        <v>4</v>
      </c>
      <c r="DK100" s="119" t="s">
        <v>1530</v>
      </c>
    </row>
    <row r="101" spans="1:115">
      <c r="A101" s="32" t="str">
        <f t="shared" si="12"/>
        <v>Powercor--POLE MOUNTED ; &lt; ≈ 22KV ;  &lt; ≈ 60 KVA ; SWER</v>
      </c>
      <c r="B101" s="32" t="str">
        <f t="shared" si="13"/>
        <v>Powercor</v>
      </c>
      <c r="C101" s="416"/>
      <c r="D101" s="14"/>
      <c r="E101" s="15" t="s">
        <v>241</v>
      </c>
      <c r="F101" s="18">
        <v>50</v>
      </c>
      <c r="G101" s="18">
        <v>7.0710678118654755</v>
      </c>
      <c r="H101" s="20">
        <v>152</v>
      </c>
      <c r="I101" s="20">
        <v>181</v>
      </c>
      <c r="J101" s="20">
        <v>332</v>
      </c>
      <c r="K101" s="20">
        <v>327</v>
      </c>
      <c r="L101" s="20">
        <v>194</v>
      </c>
      <c r="M101" s="20">
        <v>451</v>
      </c>
      <c r="N101" s="20">
        <v>561</v>
      </c>
      <c r="O101" s="20">
        <v>588</v>
      </c>
      <c r="P101" s="20">
        <v>501</v>
      </c>
      <c r="Q101" s="20">
        <v>415</v>
      </c>
      <c r="R101" s="20">
        <v>429</v>
      </c>
      <c r="S101" s="20">
        <v>396</v>
      </c>
      <c r="T101" s="20">
        <v>438</v>
      </c>
      <c r="U101" s="20">
        <v>381</v>
      </c>
      <c r="V101" s="20">
        <v>388</v>
      </c>
      <c r="W101" s="20">
        <v>417</v>
      </c>
      <c r="X101" s="20">
        <v>350</v>
      </c>
      <c r="Y101" s="20">
        <v>350</v>
      </c>
      <c r="Z101" s="20">
        <v>354</v>
      </c>
      <c r="AA101" s="20">
        <v>386</v>
      </c>
      <c r="AB101" s="20">
        <v>425</v>
      </c>
      <c r="AC101" s="20">
        <v>414</v>
      </c>
      <c r="AD101" s="20">
        <v>465</v>
      </c>
      <c r="AE101" s="20">
        <v>524</v>
      </c>
      <c r="AF101" s="20">
        <v>619</v>
      </c>
      <c r="AG101" s="20">
        <v>688</v>
      </c>
      <c r="AH101" s="20">
        <v>593</v>
      </c>
      <c r="AI101" s="20">
        <v>562</v>
      </c>
      <c r="AJ101" s="20">
        <v>617</v>
      </c>
      <c r="AK101" s="20">
        <v>518</v>
      </c>
      <c r="AL101" s="20">
        <v>423</v>
      </c>
      <c r="AM101" s="20">
        <v>447</v>
      </c>
      <c r="AN101" s="20">
        <v>496</v>
      </c>
      <c r="AO101" s="20">
        <v>484</v>
      </c>
      <c r="AP101" s="20">
        <v>467</v>
      </c>
      <c r="AQ101" s="20">
        <v>380</v>
      </c>
      <c r="AR101" s="20">
        <v>374</v>
      </c>
      <c r="AS101" s="20">
        <v>521</v>
      </c>
      <c r="AT101" s="20">
        <v>224</v>
      </c>
      <c r="AU101" s="20">
        <v>167</v>
      </c>
      <c r="AV101" s="20">
        <v>200</v>
      </c>
      <c r="AW101" s="20">
        <v>162</v>
      </c>
      <c r="AX101" s="20">
        <v>141</v>
      </c>
      <c r="AY101" s="20">
        <v>262</v>
      </c>
      <c r="AZ101" s="20">
        <v>289</v>
      </c>
      <c r="BA101" s="20">
        <v>301</v>
      </c>
      <c r="BB101" s="20">
        <v>330</v>
      </c>
      <c r="BC101" s="20">
        <v>367</v>
      </c>
      <c r="BD101" s="20">
        <v>329</v>
      </c>
      <c r="BE101" s="20">
        <v>311</v>
      </c>
      <c r="BF101" s="20">
        <v>187</v>
      </c>
      <c r="BG101" s="20">
        <v>162</v>
      </c>
      <c r="BH101" s="20">
        <v>139</v>
      </c>
      <c r="BI101" s="20">
        <v>121</v>
      </c>
      <c r="BJ101" s="20">
        <v>76</v>
      </c>
      <c r="BK101" s="20">
        <v>87</v>
      </c>
      <c r="BL101" s="20">
        <v>56</v>
      </c>
      <c r="BM101" s="20">
        <v>47</v>
      </c>
      <c r="BN101" s="20">
        <v>32</v>
      </c>
      <c r="BO101" s="20">
        <v>21</v>
      </c>
      <c r="BP101" s="20">
        <v>21</v>
      </c>
      <c r="BQ101" s="20">
        <v>14</v>
      </c>
      <c r="BR101" s="20">
        <v>5</v>
      </c>
      <c r="BS101" s="20">
        <v>2</v>
      </c>
      <c r="BT101" s="20">
        <v>0</v>
      </c>
      <c r="BU101" s="20">
        <v>0</v>
      </c>
      <c r="BV101" s="20">
        <v>0</v>
      </c>
      <c r="BW101" s="20">
        <v>0</v>
      </c>
      <c r="BX101" s="20">
        <v>0</v>
      </c>
      <c r="BY101" s="20">
        <v>0</v>
      </c>
      <c r="BZ101" s="20">
        <v>0</v>
      </c>
      <c r="CA101" s="20">
        <v>0</v>
      </c>
      <c r="CB101" s="20">
        <v>0</v>
      </c>
      <c r="CC101" s="20">
        <v>0</v>
      </c>
      <c r="CD101" s="20">
        <v>0</v>
      </c>
      <c r="CE101" s="20">
        <v>0</v>
      </c>
      <c r="CF101" s="20">
        <v>0</v>
      </c>
      <c r="CG101" s="20">
        <v>0</v>
      </c>
      <c r="CH101" s="20">
        <v>0</v>
      </c>
      <c r="CI101" s="20">
        <v>0</v>
      </c>
      <c r="CJ101" s="20">
        <v>0</v>
      </c>
      <c r="CK101" s="20">
        <v>0</v>
      </c>
      <c r="CL101" s="20">
        <v>0</v>
      </c>
      <c r="CM101" s="20">
        <v>0</v>
      </c>
      <c r="CN101" s="20">
        <v>0</v>
      </c>
      <c r="CO101" s="20">
        <v>0</v>
      </c>
      <c r="CP101" s="20">
        <v>0</v>
      </c>
      <c r="CQ101" s="20">
        <v>0</v>
      </c>
      <c r="CR101" s="20">
        <v>0</v>
      </c>
      <c r="CS101" s="20">
        <v>0</v>
      </c>
      <c r="CT101" s="20">
        <v>0</v>
      </c>
      <c r="CU101" s="20">
        <v>0</v>
      </c>
      <c r="CV101" s="20">
        <v>0</v>
      </c>
      <c r="CW101" s="20">
        <v>0</v>
      </c>
      <c r="CX101" s="20">
        <v>0</v>
      </c>
      <c r="CY101" s="20">
        <v>0</v>
      </c>
      <c r="CZ101" s="20">
        <v>0</v>
      </c>
      <c r="DA101" s="20">
        <v>0</v>
      </c>
      <c r="DB101" s="20">
        <v>0</v>
      </c>
      <c r="DC101" s="20">
        <v>0</v>
      </c>
      <c r="DD101" s="20">
        <v>0</v>
      </c>
      <c r="DE101" s="20">
        <v>0</v>
      </c>
      <c r="DF101" s="20">
        <v>0</v>
      </c>
      <c r="DG101" s="16">
        <f t="shared" si="9"/>
        <v>20661</v>
      </c>
      <c r="DH101" s="16">
        <f t="shared" si="10"/>
        <v>539451</v>
      </c>
      <c r="DI101" s="17">
        <f t="shared" si="11"/>
        <v>26.109626833163933</v>
      </c>
      <c r="DJ101" s="119" t="s">
        <v>4</v>
      </c>
      <c r="DK101" s="44" t="s">
        <v>4</v>
      </c>
    </row>
    <row r="102" spans="1:115">
      <c r="A102" s="32" t="str">
        <f t="shared" si="12"/>
        <v>Powercor--POLE MOUNTED ; &lt; ≈ 22KV ;  &gt; 60 KVA AND &lt; ≈ 600 KVA  ; SWER</v>
      </c>
      <c r="B102" s="32" t="str">
        <f t="shared" si="13"/>
        <v>Powercor</v>
      </c>
      <c r="C102" s="416"/>
      <c r="D102" s="14"/>
      <c r="E102" s="15" t="s">
        <v>242</v>
      </c>
      <c r="F102" s="18">
        <v>50</v>
      </c>
      <c r="G102" s="18">
        <v>7.0710678118654755</v>
      </c>
      <c r="H102" s="20">
        <v>0</v>
      </c>
      <c r="I102" s="20">
        <v>0</v>
      </c>
      <c r="J102" s="20">
        <v>0</v>
      </c>
      <c r="K102" s="20">
        <v>0</v>
      </c>
      <c r="L102" s="20">
        <v>0</v>
      </c>
      <c r="M102" s="20">
        <v>0</v>
      </c>
      <c r="N102" s="20">
        <v>0</v>
      </c>
      <c r="O102" s="20">
        <v>1</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1</v>
      </c>
      <c r="AG102" s="20">
        <v>1</v>
      </c>
      <c r="AH102" s="20">
        <v>1</v>
      </c>
      <c r="AI102" s="20">
        <v>0</v>
      </c>
      <c r="AJ102" s="20">
        <v>1</v>
      </c>
      <c r="AK102" s="20">
        <v>0</v>
      </c>
      <c r="AL102" s="20">
        <v>0</v>
      </c>
      <c r="AM102" s="20">
        <v>0</v>
      </c>
      <c r="AN102" s="20">
        <v>0</v>
      </c>
      <c r="AO102" s="20">
        <v>0</v>
      </c>
      <c r="AP102" s="20">
        <v>0</v>
      </c>
      <c r="AQ102" s="20">
        <v>0</v>
      </c>
      <c r="AR102" s="20">
        <v>0</v>
      </c>
      <c r="AS102" s="20">
        <v>0</v>
      </c>
      <c r="AT102" s="20">
        <v>0</v>
      </c>
      <c r="AU102" s="20">
        <v>0</v>
      </c>
      <c r="AV102" s="20">
        <v>0</v>
      </c>
      <c r="AW102" s="20">
        <v>0</v>
      </c>
      <c r="AX102" s="20">
        <v>0</v>
      </c>
      <c r="AY102" s="20">
        <v>0</v>
      </c>
      <c r="AZ102" s="20">
        <v>0</v>
      </c>
      <c r="BA102" s="20">
        <v>0</v>
      </c>
      <c r="BB102" s="20">
        <v>0</v>
      </c>
      <c r="BC102" s="20">
        <v>0</v>
      </c>
      <c r="BD102" s="20">
        <v>0</v>
      </c>
      <c r="BE102" s="20">
        <v>0</v>
      </c>
      <c r="BF102" s="20">
        <v>0</v>
      </c>
      <c r="BG102" s="20">
        <v>0</v>
      </c>
      <c r="BH102" s="20">
        <v>0</v>
      </c>
      <c r="BI102" s="20">
        <v>0</v>
      </c>
      <c r="BJ102" s="20">
        <v>0</v>
      </c>
      <c r="BK102" s="20">
        <v>0</v>
      </c>
      <c r="BL102" s="20">
        <v>0</v>
      </c>
      <c r="BM102" s="20">
        <v>0</v>
      </c>
      <c r="BN102" s="20">
        <v>0</v>
      </c>
      <c r="BO102" s="20">
        <v>0</v>
      </c>
      <c r="BP102" s="20">
        <v>0</v>
      </c>
      <c r="BQ102" s="20">
        <v>0</v>
      </c>
      <c r="BR102" s="20">
        <v>0</v>
      </c>
      <c r="BS102" s="20">
        <v>0</v>
      </c>
      <c r="BT102" s="20">
        <v>0</v>
      </c>
      <c r="BU102" s="20">
        <v>0</v>
      </c>
      <c r="BV102" s="20">
        <v>0</v>
      </c>
      <c r="BW102" s="20">
        <v>0</v>
      </c>
      <c r="BX102" s="20">
        <v>0</v>
      </c>
      <c r="BY102" s="20">
        <v>0</v>
      </c>
      <c r="BZ102" s="20">
        <v>0</v>
      </c>
      <c r="CA102" s="20">
        <v>0</v>
      </c>
      <c r="CB102" s="20">
        <v>0</v>
      </c>
      <c r="CC102" s="20">
        <v>0</v>
      </c>
      <c r="CD102" s="20">
        <v>0</v>
      </c>
      <c r="CE102" s="20">
        <v>0</v>
      </c>
      <c r="CF102" s="20">
        <v>0</v>
      </c>
      <c r="CG102" s="20">
        <v>0</v>
      </c>
      <c r="CH102" s="20">
        <v>0</v>
      </c>
      <c r="CI102" s="20">
        <v>0</v>
      </c>
      <c r="CJ102" s="20">
        <v>0</v>
      </c>
      <c r="CK102" s="20">
        <v>0</v>
      </c>
      <c r="CL102" s="20">
        <v>0</v>
      </c>
      <c r="CM102" s="20">
        <v>0</v>
      </c>
      <c r="CN102" s="20">
        <v>0</v>
      </c>
      <c r="CO102" s="20">
        <v>0</v>
      </c>
      <c r="CP102" s="20">
        <v>0</v>
      </c>
      <c r="CQ102" s="20">
        <v>0</v>
      </c>
      <c r="CR102" s="20">
        <v>0</v>
      </c>
      <c r="CS102" s="20">
        <v>0</v>
      </c>
      <c r="CT102" s="20">
        <v>0</v>
      </c>
      <c r="CU102" s="20">
        <v>0</v>
      </c>
      <c r="CV102" s="20">
        <v>0</v>
      </c>
      <c r="CW102" s="20">
        <v>0</v>
      </c>
      <c r="CX102" s="20">
        <v>0</v>
      </c>
      <c r="CY102" s="20">
        <v>0</v>
      </c>
      <c r="CZ102" s="20">
        <v>0</v>
      </c>
      <c r="DA102" s="20">
        <v>0</v>
      </c>
      <c r="DB102" s="20">
        <v>0</v>
      </c>
      <c r="DC102" s="20">
        <v>0</v>
      </c>
      <c r="DD102" s="20">
        <v>0</v>
      </c>
      <c r="DE102" s="20">
        <v>0</v>
      </c>
      <c r="DF102" s="20">
        <v>0</v>
      </c>
      <c r="DG102" s="16">
        <f t="shared" si="9"/>
        <v>5</v>
      </c>
      <c r="DH102" s="16">
        <f t="shared" si="10"/>
        <v>115</v>
      </c>
      <c r="DI102" s="17">
        <f t="shared" si="11"/>
        <v>23</v>
      </c>
      <c r="DJ102" s="119" t="s">
        <v>4</v>
      </c>
      <c r="DK102" s="44" t="s">
        <v>4</v>
      </c>
    </row>
    <row r="103" spans="1:115">
      <c r="A103" s="32" t="str">
        <f t="shared" si="12"/>
        <v>Powercor--KIOSK MOUNTED ; &lt; ≈ 22KV ;  &lt; ≈ 60 KVA ; SWER</v>
      </c>
      <c r="B103" s="32" t="str">
        <f t="shared" si="13"/>
        <v>Powercor</v>
      </c>
      <c r="C103" s="416"/>
      <c r="D103" s="14"/>
      <c r="E103" s="15" t="s">
        <v>243</v>
      </c>
      <c r="F103" s="18">
        <v>50</v>
      </c>
      <c r="G103" s="18">
        <v>7.0710678118654755</v>
      </c>
      <c r="H103" s="20">
        <v>1</v>
      </c>
      <c r="I103" s="20">
        <v>1</v>
      </c>
      <c r="J103" s="20">
        <v>1</v>
      </c>
      <c r="K103" s="20">
        <v>1</v>
      </c>
      <c r="L103" s="20">
        <v>1</v>
      </c>
      <c r="M103" s="20">
        <v>2</v>
      </c>
      <c r="N103" s="20">
        <v>2</v>
      </c>
      <c r="O103" s="20">
        <v>2</v>
      </c>
      <c r="P103" s="20">
        <v>2</v>
      </c>
      <c r="Q103" s="20">
        <v>2</v>
      </c>
      <c r="R103" s="20">
        <v>2</v>
      </c>
      <c r="S103" s="20">
        <v>2</v>
      </c>
      <c r="T103" s="20">
        <v>2</v>
      </c>
      <c r="U103" s="20">
        <v>1</v>
      </c>
      <c r="V103" s="20">
        <v>2</v>
      </c>
      <c r="W103" s="20">
        <v>2</v>
      </c>
      <c r="X103" s="20">
        <v>1</v>
      </c>
      <c r="Y103" s="20">
        <v>1</v>
      </c>
      <c r="Z103" s="20">
        <v>1</v>
      </c>
      <c r="AA103" s="20">
        <v>1</v>
      </c>
      <c r="AB103" s="20">
        <v>2</v>
      </c>
      <c r="AC103" s="20">
        <v>2</v>
      </c>
      <c r="AD103" s="20">
        <v>2</v>
      </c>
      <c r="AE103" s="20">
        <v>2</v>
      </c>
      <c r="AF103" s="20">
        <v>2</v>
      </c>
      <c r="AG103" s="20">
        <v>3</v>
      </c>
      <c r="AH103" s="20">
        <v>2</v>
      </c>
      <c r="AI103" s="20">
        <v>2</v>
      </c>
      <c r="AJ103" s="20">
        <v>2</v>
      </c>
      <c r="AK103" s="20">
        <v>2</v>
      </c>
      <c r="AL103" s="20">
        <v>2</v>
      </c>
      <c r="AM103" s="20">
        <v>2</v>
      </c>
      <c r="AN103" s="20">
        <v>2</v>
      </c>
      <c r="AO103" s="20">
        <v>2</v>
      </c>
      <c r="AP103" s="20">
        <v>2</v>
      </c>
      <c r="AQ103" s="20">
        <v>1</v>
      </c>
      <c r="AR103" s="20">
        <v>1</v>
      </c>
      <c r="AS103" s="20">
        <v>2</v>
      </c>
      <c r="AT103" s="20">
        <v>1</v>
      </c>
      <c r="AU103" s="20">
        <v>1</v>
      </c>
      <c r="AV103" s="20">
        <v>1</v>
      </c>
      <c r="AW103" s="20">
        <v>1</v>
      </c>
      <c r="AX103" s="20">
        <v>1</v>
      </c>
      <c r="AY103" s="20">
        <v>1</v>
      </c>
      <c r="AZ103" s="20">
        <v>1</v>
      </c>
      <c r="BA103" s="20">
        <v>1</v>
      </c>
      <c r="BB103" s="20">
        <v>1</v>
      </c>
      <c r="BC103" s="20">
        <v>1</v>
      </c>
      <c r="BD103" s="20">
        <v>1</v>
      </c>
      <c r="BE103" s="20">
        <v>1</v>
      </c>
      <c r="BF103" s="20">
        <v>1</v>
      </c>
      <c r="BG103" s="20">
        <v>1</v>
      </c>
      <c r="BH103" s="20">
        <v>1</v>
      </c>
      <c r="BI103" s="20">
        <v>0</v>
      </c>
      <c r="BJ103" s="20">
        <v>0</v>
      </c>
      <c r="BK103" s="20">
        <v>0</v>
      </c>
      <c r="BL103" s="20">
        <v>0</v>
      </c>
      <c r="BM103" s="20">
        <v>0</v>
      </c>
      <c r="BN103" s="20">
        <v>0</v>
      </c>
      <c r="BO103" s="20">
        <v>0</v>
      </c>
      <c r="BP103" s="20">
        <v>0</v>
      </c>
      <c r="BQ103" s="20">
        <v>0</v>
      </c>
      <c r="BR103" s="20">
        <v>0</v>
      </c>
      <c r="BS103" s="20">
        <v>0</v>
      </c>
      <c r="BT103" s="20">
        <v>0</v>
      </c>
      <c r="BU103" s="20">
        <v>0</v>
      </c>
      <c r="BV103" s="20">
        <v>0</v>
      </c>
      <c r="BW103" s="20">
        <v>0</v>
      </c>
      <c r="BX103" s="20">
        <v>0</v>
      </c>
      <c r="BY103" s="20">
        <v>0</v>
      </c>
      <c r="BZ103" s="20">
        <v>0</v>
      </c>
      <c r="CA103" s="20">
        <v>0</v>
      </c>
      <c r="CB103" s="20">
        <v>0</v>
      </c>
      <c r="CC103" s="20">
        <v>0</v>
      </c>
      <c r="CD103" s="20">
        <v>0</v>
      </c>
      <c r="CE103" s="20">
        <v>0</v>
      </c>
      <c r="CF103" s="20">
        <v>0</v>
      </c>
      <c r="CG103" s="20">
        <v>0</v>
      </c>
      <c r="CH103" s="20">
        <v>0</v>
      </c>
      <c r="CI103" s="20">
        <v>0</v>
      </c>
      <c r="CJ103" s="20">
        <v>0</v>
      </c>
      <c r="CK103" s="20">
        <v>0</v>
      </c>
      <c r="CL103" s="20">
        <v>0</v>
      </c>
      <c r="CM103" s="20">
        <v>0</v>
      </c>
      <c r="CN103" s="20">
        <v>0</v>
      </c>
      <c r="CO103" s="20">
        <v>0</v>
      </c>
      <c r="CP103" s="20">
        <v>0</v>
      </c>
      <c r="CQ103" s="20">
        <v>0</v>
      </c>
      <c r="CR103" s="20">
        <v>0</v>
      </c>
      <c r="CS103" s="20">
        <v>0</v>
      </c>
      <c r="CT103" s="20">
        <v>0</v>
      </c>
      <c r="CU103" s="20">
        <v>0</v>
      </c>
      <c r="CV103" s="20">
        <v>0</v>
      </c>
      <c r="CW103" s="20">
        <v>0</v>
      </c>
      <c r="CX103" s="20">
        <v>0</v>
      </c>
      <c r="CY103" s="20">
        <v>0</v>
      </c>
      <c r="CZ103" s="20">
        <v>0</v>
      </c>
      <c r="DA103" s="20">
        <v>0</v>
      </c>
      <c r="DB103" s="20">
        <v>0</v>
      </c>
      <c r="DC103" s="20">
        <v>0</v>
      </c>
      <c r="DD103" s="20">
        <v>0</v>
      </c>
      <c r="DE103" s="20">
        <v>0</v>
      </c>
      <c r="DF103" s="20">
        <v>0</v>
      </c>
      <c r="DG103" s="16">
        <f t="shared" si="9"/>
        <v>80</v>
      </c>
      <c r="DH103" s="16">
        <f t="shared" si="10"/>
        <v>2022</v>
      </c>
      <c r="DI103" s="17">
        <f t="shared" si="11"/>
        <v>25.274999999999999</v>
      </c>
      <c r="DJ103" s="119" t="s">
        <v>4</v>
      </c>
      <c r="DK103" s="44" t="s">
        <v>4</v>
      </c>
    </row>
    <row r="104" spans="1:115">
      <c r="A104" s="32" t="str">
        <f t="shared" si="12"/>
        <v>Powercor--POLE / GROUND MOUNTED ; &lt; = 22KV ;  &gt; 600 KVA ; REGULATOR</v>
      </c>
      <c r="B104" s="32" t="str">
        <f t="shared" si="13"/>
        <v>Powercor</v>
      </c>
      <c r="C104" s="416"/>
      <c r="D104" s="14"/>
      <c r="E104" s="15" t="s">
        <v>244</v>
      </c>
      <c r="F104" s="18">
        <v>45</v>
      </c>
      <c r="G104" s="18">
        <v>6.7082039324993694</v>
      </c>
      <c r="H104" s="20">
        <v>36</v>
      </c>
      <c r="I104" s="20">
        <v>57</v>
      </c>
      <c r="J104" s="20">
        <v>51</v>
      </c>
      <c r="K104" s="20">
        <v>112</v>
      </c>
      <c r="L104" s="20">
        <v>131</v>
      </c>
      <c r="M104" s="20">
        <v>216</v>
      </c>
      <c r="N104" s="20">
        <v>70</v>
      </c>
      <c r="O104" s="20">
        <v>20</v>
      </c>
      <c r="P104" s="20">
        <v>40</v>
      </c>
      <c r="Q104" s="20">
        <v>41</v>
      </c>
      <c r="R104" s="20">
        <v>49</v>
      </c>
      <c r="S104" s="20">
        <v>57</v>
      </c>
      <c r="T104" s="20">
        <v>58</v>
      </c>
      <c r="U104" s="20">
        <v>74</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20</v>
      </c>
      <c r="AP104" s="20">
        <v>20</v>
      </c>
      <c r="AQ104" s="20">
        <v>15</v>
      </c>
      <c r="AR104" s="20">
        <v>10</v>
      </c>
      <c r="AS104" s="20">
        <v>45</v>
      </c>
      <c r="AT104" s="20">
        <v>0</v>
      </c>
      <c r="AU104" s="20">
        <v>0</v>
      </c>
      <c r="AV104" s="20">
        <v>0</v>
      </c>
      <c r="AW104" s="20">
        <v>0</v>
      </c>
      <c r="AX104" s="20">
        <v>0</v>
      </c>
      <c r="AY104" s="20">
        <v>0</v>
      </c>
      <c r="AZ104" s="20">
        <v>0</v>
      </c>
      <c r="BA104" s="20">
        <v>95</v>
      </c>
      <c r="BB104" s="20">
        <v>60</v>
      </c>
      <c r="BC104" s="20">
        <v>0</v>
      </c>
      <c r="BD104" s="20">
        <v>10</v>
      </c>
      <c r="BE104" s="20">
        <v>20</v>
      </c>
      <c r="BF104" s="20">
        <v>5</v>
      </c>
      <c r="BG104" s="20">
        <v>25</v>
      </c>
      <c r="BH104" s="20">
        <v>5</v>
      </c>
      <c r="BI104" s="20">
        <v>0</v>
      </c>
      <c r="BJ104" s="20">
        <v>0</v>
      </c>
      <c r="BK104" s="20">
        <v>0</v>
      </c>
      <c r="BL104" s="20">
        <v>0</v>
      </c>
      <c r="BM104" s="20">
        <v>0</v>
      </c>
      <c r="BN104" s="20">
        <v>5</v>
      </c>
      <c r="BO104" s="20">
        <v>5</v>
      </c>
      <c r="BP104" s="20">
        <v>10</v>
      </c>
      <c r="BQ104" s="20">
        <v>0</v>
      </c>
      <c r="BR104" s="20">
        <v>0</v>
      </c>
      <c r="BS104" s="20">
        <v>0</v>
      </c>
      <c r="BT104" s="20">
        <v>0</v>
      </c>
      <c r="BU104" s="20">
        <v>10</v>
      </c>
      <c r="BV104" s="20">
        <v>0</v>
      </c>
      <c r="BW104" s="20">
        <v>0</v>
      </c>
      <c r="BX104" s="20">
        <v>0</v>
      </c>
      <c r="BY104" s="20">
        <v>0</v>
      </c>
      <c r="BZ104" s="20">
        <v>0</v>
      </c>
      <c r="CA104" s="20">
        <v>0</v>
      </c>
      <c r="CB104" s="20">
        <v>0</v>
      </c>
      <c r="CC104" s="20">
        <v>0</v>
      </c>
      <c r="CD104" s="20">
        <v>0</v>
      </c>
      <c r="CE104" s="20">
        <v>0</v>
      </c>
      <c r="CF104" s="20">
        <v>0</v>
      </c>
      <c r="CG104" s="20">
        <v>0</v>
      </c>
      <c r="CH104" s="20">
        <v>0</v>
      </c>
      <c r="CI104" s="20">
        <v>0</v>
      </c>
      <c r="CJ104" s="20">
        <v>0</v>
      </c>
      <c r="CK104" s="20">
        <v>0</v>
      </c>
      <c r="CL104" s="20">
        <v>0</v>
      </c>
      <c r="CM104" s="20">
        <v>0</v>
      </c>
      <c r="CN104" s="20">
        <v>0</v>
      </c>
      <c r="CO104" s="20">
        <v>0</v>
      </c>
      <c r="CP104" s="20">
        <v>0</v>
      </c>
      <c r="CQ104" s="20">
        <v>0</v>
      </c>
      <c r="CR104" s="20">
        <v>0</v>
      </c>
      <c r="CS104" s="20">
        <v>0</v>
      </c>
      <c r="CT104" s="20">
        <v>0</v>
      </c>
      <c r="CU104" s="20">
        <v>0</v>
      </c>
      <c r="CV104" s="20">
        <v>0</v>
      </c>
      <c r="CW104" s="20">
        <v>0</v>
      </c>
      <c r="CX104" s="20">
        <v>0</v>
      </c>
      <c r="CY104" s="20">
        <v>0</v>
      </c>
      <c r="CZ104" s="20">
        <v>0</v>
      </c>
      <c r="DA104" s="20">
        <v>0</v>
      </c>
      <c r="DB104" s="20">
        <v>0</v>
      </c>
      <c r="DC104" s="20">
        <v>0</v>
      </c>
      <c r="DD104" s="20">
        <v>0</v>
      </c>
      <c r="DE104" s="20">
        <v>0</v>
      </c>
      <c r="DF104" s="20">
        <v>0</v>
      </c>
      <c r="DG104" s="16">
        <f t="shared" si="9"/>
        <v>1372</v>
      </c>
      <c r="DH104" s="16">
        <f t="shared" si="10"/>
        <v>23500</v>
      </c>
      <c r="DI104" s="17">
        <f t="shared" si="11"/>
        <v>17.128279883381925</v>
      </c>
      <c r="DJ104" s="119" t="s">
        <v>4</v>
      </c>
      <c r="DK104" s="44" t="s">
        <v>4</v>
      </c>
    </row>
    <row r="105" spans="1:115">
      <c r="A105" s="32" t="str">
        <f t="shared" si="12"/>
        <v>Powercor--AUTO TRANSFORMERS</v>
      </c>
      <c r="B105" s="32" t="str">
        <f t="shared" si="13"/>
        <v>Powercor</v>
      </c>
      <c r="C105" s="416"/>
      <c r="D105" s="14"/>
      <c r="E105" s="15" t="s">
        <v>245</v>
      </c>
      <c r="F105" s="18">
        <v>55</v>
      </c>
      <c r="G105" s="18">
        <v>7.416198487095663</v>
      </c>
      <c r="H105" s="20">
        <v>0</v>
      </c>
      <c r="I105" s="20">
        <v>0</v>
      </c>
      <c r="J105" s="20">
        <v>1</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0">
        <v>0</v>
      </c>
      <c r="AY105" s="20">
        <v>0</v>
      </c>
      <c r="AZ105" s="20">
        <v>0</v>
      </c>
      <c r="BA105" s="20">
        <v>0</v>
      </c>
      <c r="BB105" s="20">
        <v>0</v>
      </c>
      <c r="BC105" s="20">
        <v>0</v>
      </c>
      <c r="BD105" s="20">
        <v>0</v>
      </c>
      <c r="BE105" s="20">
        <v>0</v>
      </c>
      <c r="BF105" s="20">
        <v>0</v>
      </c>
      <c r="BG105" s="20">
        <v>0</v>
      </c>
      <c r="BH105" s="20">
        <v>0</v>
      </c>
      <c r="BI105" s="20">
        <v>0</v>
      </c>
      <c r="BJ105" s="20">
        <v>0</v>
      </c>
      <c r="BK105" s="20">
        <v>0</v>
      </c>
      <c r="BL105" s="20">
        <v>0</v>
      </c>
      <c r="BM105" s="20">
        <v>0</v>
      </c>
      <c r="BN105" s="20">
        <v>0</v>
      </c>
      <c r="BO105" s="20">
        <v>0</v>
      </c>
      <c r="BP105" s="20">
        <v>0</v>
      </c>
      <c r="BQ105" s="20">
        <v>0</v>
      </c>
      <c r="BR105" s="20">
        <v>0</v>
      </c>
      <c r="BS105" s="20">
        <v>0</v>
      </c>
      <c r="BT105" s="20">
        <v>0</v>
      </c>
      <c r="BU105" s="20">
        <v>0</v>
      </c>
      <c r="BV105" s="20">
        <v>0</v>
      </c>
      <c r="BW105" s="20">
        <v>0</v>
      </c>
      <c r="BX105" s="20">
        <v>0</v>
      </c>
      <c r="BY105" s="20">
        <v>0</v>
      </c>
      <c r="BZ105" s="20">
        <v>0</v>
      </c>
      <c r="CA105" s="20">
        <v>0</v>
      </c>
      <c r="CB105" s="20">
        <v>0</v>
      </c>
      <c r="CC105" s="20">
        <v>0</v>
      </c>
      <c r="CD105" s="20">
        <v>0</v>
      </c>
      <c r="CE105" s="20">
        <v>0</v>
      </c>
      <c r="CF105" s="20">
        <v>0</v>
      </c>
      <c r="CG105" s="20">
        <v>0</v>
      </c>
      <c r="CH105" s="20">
        <v>0</v>
      </c>
      <c r="CI105" s="20">
        <v>0</v>
      </c>
      <c r="CJ105" s="20">
        <v>0</v>
      </c>
      <c r="CK105" s="20">
        <v>0</v>
      </c>
      <c r="CL105" s="20">
        <v>0</v>
      </c>
      <c r="CM105" s="20">
        <v>0</v>
      </c>
      <c r="CN105" s="20">
        <v>0</v>
      </c>
      <c r="CO105" s="20">
        <v>0</v>
      </c>
      <c r="CP105" s="20">
        <v>0</v>
      </c>
      <c r="CQ105" s="20">
        <v>0</v>
      </c>
      <c r="CR105" s="20">
        <v>0</v>
      </c>
      <c r="CS105" s="20">
        <v>0</v>
      </c>
      <c r="CT105" s="20">
        <v>0</v>
      </c>
      <c r="CU105" s="20">
        <v>0</v>
      </c>
      <c r="CV105" s="20">
        <v>0</v>
      </c>
      <c r="CW105" s="20">
        <v>0</v>
      </c>
      <c r="CX105" s="20">
        <v>0</v>
      </c>
      <c r="CY105" s="20">
        <v>0</v>
      </c>
      <c r="CZ105" s="20">
        <v>0</v>
      </c>
      <c r="DA105" s="20">
        <v>0</v>
      </c>
      <c r="DB105" s="20">
        <v>0</v>
      </c>
      <c r="DC105" s="20">
        <v>0</v>
      </c>
      <c r="DD105" s="20">
        <v>0</v>
      </c>
      <c r="DE105" s="20">
        <v>0</v>
      </c>
      <c r="DF105" s="20">
        <v>0</v>
      </c>
      <c r="DG105" s="16">
        <f t="shared" si="9"/>
        <v>1</v>
      </c>
      <c r="DH105" s="16">
        <f t="shared" si="10"/>
        <v>3</v>
      </c>
      <c r="DI105" s="17">
        <f t="shared" si="11"/>
        <v>3</v>
      </c>
      <c r="DJ105" s="119" t="s">
        <v>4</v>
      </c>
      <c r="DK105" s="44" t="s">
        <v>4</v>
      </c>
    </row>
    <row r="106" spans="1:115">
      <c r="A106" s="32" t="str">
        <f t="shared" si="12"/>
        <v>Powercor--OTHER - PLEASE ADD A ROW IF NECESSARY AND NOMINATE THE CATEGORY</v>
      </c>
      <c r="B106" s="32" t="str">
        <f t="shared" si="13"/>
        <v>Powercor</v>
      </c>
      <c r="C106" s="416"/>
      <c r="D106" s="14"/>
      <c r="E106" s="15" t="s">
        <v>170</v>
      </c>
      <c r="F106" s="18"/>
      <c r="G106" s="18"/>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16">
        <f t="shared" si="9"/>
        <v>0</v>
      </c>
      <c r="DH106" s="16">
        <f t="shared" si="10"/>
        <v>0</v>
      </c>
      <c r="DI106" s="17" t="str">
        <f t="shared" si="11"/>
        <v/>
      </c>
      <c r="DJ106" s="119" t="s">
        <v>4</v>
      </c>
      <c r="DK106" s="44" t="s">
        <v>4</v>
      </c>
    </row>
    <row r="107" spans="1:115" ht="45">
      <c r="A107" s="32" t="str">
        <f t="shared" si="12"/>
        <v>Powercor-SWITCHGEAR BY: 
HIGHEST OPERATING VOLTAGE ; SWITCH FUNCTION-˂ = 11 kV ;  FUSE</v>
      </c>
      <c r="B107" s="32" t="str">
        <f t="shared" si="13"/>
        <v>Powercor</v>
      </c>
      <c r="C107" s="416"/>
      <c r="D107" s="14" t="s">
        <v>545</v>
      </c>
      <c r="E107" s="15" t="s">
        <v>246</v>
      </c>
      <c r="F107" s="18">
        <v>0</v>
      </c>
      <c r="G107" s="18">
        <v>0</v>
      </c>
      <c r="H107" s="20">
        <v>0</v>
      </c>
      <c r="I107" s="20">
        <v>0</v>
      </c>
      <c r="J107" s="20">
        <v>0</v>
      </c>
      <c r="K107" s="20">
        <v>0</v>
      </c>
      <c r="L107" s="20">
        <v>0</v>
      </c>
      <c r="M107" s="20">
        <v>0</v>
      </c>
      <c r="N107" s="20">
        <v>0</v>
      </c>
      <c r="O107" s="20">
        <v>0</v>
      </c>
      <c r="P107" s="20">
        <v>0</v>
      </c>
      <c r="Q107" s="20">
        <v>0</v>
      </c>
      <c r="R107" s="20">
        <v>0</v>
      </c>
      <c r="S107" s="20">
        <v>0</v>
      </c>
      <c r="T107" s="20">
        <v>0</v>
      </c>
      <c r="U107" s="20">
        <v>0</v>
      </c>
      <c r="V107" s="20">
        <v>0</v>
      </c>
      <c r="W107" s="20">
        <v>0</v>
      </c>
      <c r="X107" s="20">
        <v>0</v>
      </c>
      <c r="Y107" s="20">
        <v>0</v>
      </c>
      <c r="Z107" s="20">
        <v>0</v>
      </c>
      <c r="AA107" s="20">
        <v>0</v>
      </c>
      <c r="AB107" s="20">
        <v>0</v>
      </c>
      <c r="AC107" s="20">
        <v>0</v>
      </c>
      <c r="AD107" s="20">
        <v>0</v>
      </c>
      <c r="AE107" s="20">
        <v>0</v>
      </c>
      <c r="AF107" s="20">
        <v>0</v>
      </c>
      <c r="AG107" s="20">
        <v>0</v>
      </c>
      <c r="AH107" s="20">
        <v>0</v>
      </c>
      <c r="AI107" s="20">
        <v>0</v>
      </c>
      <c r="AJ107" s="20">
        <v>0</v>
      </c>
      <c r="AK107" s="20">
        <v>0</v>
      </c>
      <c r="AL107" s="20">
        <v>0</v>
      </c>
      <c r="AM107" s="20">
        <v>0</v>
      </c>
      <c r="AN107" s="20">
        <v>0</v>
      </c>
      <c r="AO107" s="20">
        <v>0</v>
      </c>
      <c r="AP107" s="20">
        <v>0</v>
      </c>
      <c r="AQ107" s="20">
        <v>0</v>
      </c>
      <c r="AR107" s="20">
        <v>0</v>
      </c>
      <c r="AS107" s="20">
        <v>0</v>
      </c>
      <c r="AT107" s="20">
        <v>0</v>
      </c>
      <c r="AU107" s="20">
        <v>0</v>
      </c>
      <c r="AV107" s="20">
        <v>0</v>
      </c>
      <c r="AW107" s="20">
        <v>0</v>
      </c>
      <c r="AX107" s="20">
        <v>0</v>
      </c>
      <c r="AY107" s="20">
        <v>0</v>
      </c>
      <c r="AZ107" s="20">
        <v>0</v>
      </c>
      <c r="BA107" s="20">
        <v>0</v>
      </c>
      <c r="BB107" s="20">
        <v>0</v>
      </c>
      <c r="BC107" s="20">
        <v>0</v>
      </c>
      <c r="BD107" s="20">
        <v>0</v>
      </c>
      <c r="BE107" s="20">
        <v>0</v>
      </c>
      <c r="BF107" s="20">
        <v>0</v>
      </c>
      <c r="BG107" s="20">
        <v>0</v>
      </c>
      <c r="BH107" s="20">
        <v>0</v>
      </c>
      <c r="BI107" s="20">
        <v>0</v>
      </c>
      <c r="BJ107" s="20">
        <v>0</v>
      </c>
      <c r="BK107" s="20">
        <v>0</v>
      </c>
      <c r="BL107" s="20">
        <v>0</v>
      </c>
      <c r="BM107" s="20">
        <v>0</v>
      </c>
      <c r="BN107" s="20">
        <v>0</v>
      </c>
      <c r="BO107" s="20">
        <v>0</v>
      </c>
      <c r="BP107" s="20">
        <v>0</v>
      </c>
      <c r="BQ107" s="20">
        <v>0</v>
      </c>
      <c r="BR107" s="20">
        <v>0</v>
      </c>
      <c r="BS107" s="20">
        <v>0</v>
      </c>
      <c r="BT107" s="20">
        <v>0</v>
      </c>
      <c r="BU107" s="20">
        <v>0</v>
      </c>
      <c r="BV107" s="20">
        <v>0</v>
      </c>
      <c r="BW107" s="20">
        <v>0</v>
      </c>
      <c r="BX107" s="20">
        <v>0</v>
      </c>
      <c r="BY107" s="20">
        <v>0</v>
      </c>
      <c r="BZ107" s="20">
        <v>0</v>
      </c>
      <c r="CA107" s="20">
        <v>0</v>
      </c>
      <c r="CB107" s="20">
        <v>0</v>
      </c>
      <c r="CC107" s="20">
        <v>0</v>
      </c>
      <c r="CD107" s="20">
        <v>0</v>
      </c>
      <c r="CE107" s="20">
        <v>0</v>
      </c>
      <c r="CF107" s="20">
        <v>0</v>
      </c>
      <c r="CG107" s="20">
        <v>0</v>
      </c>
      <c r="CH107" s="20">
        <v>0</v>
      </c>
      <c r="CI107" s="20">
        <v>0</v>
      </c>
      <c r="CJ107" s="20">
        <v>0</v>
      </c>
      <c r="CK107" s="20">
        <v>0</v>
      </c>
      <c r="CL107" s="20">
        <v>0</v>
      </c>
      <c r="CM107" s="20">
        <v>0</v>
      </c>
      <c r="CN107" s="20">
        <v>0</v>
      </c>
      <c r="CO107" s="20">
        <v>0</v>
      </c>
      <c r="CP107" s="20">
        <v>0</v>
      </c>
      <c r="CQ107" s="20">
        <v>0</v>
      </c>
      <c r="CR107" s="20">
        <v>0</v>
      </c>
      <c r="CS107" s="20">
        <v>0</v>
      </c>
      <c r="CT107" s="20">
        <v>0</v>
      </c>
      <c r="CU107" s="20">
        <v>0</v>
      </c>
      <c r="CV107" s="20">
        <v>0</v>
      </c>
      <c r="CW107" s="20">
        <v>0</v>
      </c>
      <c r="CX107" s="20">
        <v>0</v>
      </c>
      <c r="CY107" s="20">
        <v>0</v>
      </c>
      <c r="CZ107" s="20">
        <v>0</v>
      </c>
      <c r="DA107" s="20">
        <v>0</v>
      </c>
      <c r="DB107" s="20">
        <v>0</v>
      </c>
      <c r="DC107" s="20">
        <v>0</v>
      </c>
      <c r="DD107" s="20">
        <v>0</v>
      </c>
      <c r="DE107" s="20">
        <v>0</v>
      </c>
      <c r="DF107" s="20">
        <v>0</v>
      </c>
      <c r="DG107" s="16">
        <f t="shared" si="9"/>
        <v>0</v>
      </c>
      <c r="DH107" s="16">
        <f t="shared" si="10"/>
        <v>0</v>
      </c>
      <c r="DI107" s="17" t="str">
        <f t="shared" si="11"/>
        <v/>
      </c>
      <c r="DJ107" s="119" t="s">
        <v>2</v>
      </c>
      <c r="DK107" t="s">
        <v>2</v>
      </c>
    </row>
    <row r="108" spans="1:115">
      <c r="A108" s="32" t="str">
        <f t="shared" si="12"/>
        <v>Powercor--˂ = 11 kV  ; SWITCH</v>
      </c>
      <c r="B108" s="32" t="str">
        <f t="shared" si="13"/>
        <v>Powercor</v>
      </c>
      <c r="C108" s="416"/>
      <c r="D108" s="14"/>
      <c r="E108" s="15" t="s">
        <v>247</v>
      </c>
      <c r="F108" s="18">
        <v>50</v>
      </c>
      <c r="G108" s="18">
        <v>7.0710678118654755</v>
      </c>
      <c r="H108" s="20">
        <v>1</v>
      </c>
      <c r="I108" s="20">
        <v>7</v>
      </c>
      <c r="J108" s="20">
        <v>7</v>
      </c>
      <c r="K108" s="20">
        <v>4</v>
      </c>
      <c r="L108" s="20">
        <v>4</v>
      </c>
      <c r="M108" s="20">
        <v>7</v>
      </c>
      <c r="N108" s="20">
        <v>8</v>
      </c>
      <c r="O108" s="20">
        <v>9</v>
      </c>
      <c r="P108" s="20">
        <v>5</v>
      </c>
      <c r="Q108" s="20">
        <v>11</v>
      </c>
      <c r="R108" s="20">
        <v>7</v>
      </c>
      <c r="S108" s="20">
        <v>5</v>
      </c>
      <c r="T108" s="20">
        <v>9</v>
      </c>
      <c r="U108" s="20">
        <v>2</v>
      </c>
      <c r="V108" s="20">
        <v>4</v>
      </c>
      <c r="W108" s="20">
        <v>0</v>
      </c>
      <c r="X108" s="20">
        <v>0</v>
      </c>
      <c r="Y108" s="20">
        <v>0</v>
      </c>
      <c r="Z108" s="20">
        <v>0</v>
      </c>
      <c r="AA108" s="20">
        <v>1</v>
      </c>
      <c r="AB108" s="20">
        <v>0</v>
      </c>
      <c r="AC108" s="20">
        <v>0</v>
      </c>
      <c r="AD108" s="20">
        <v>0</v>
      </c>
      <c r="AE108" s="20">
        <v>0</v>
      </c>
      <c r="AF108" s="20">
        <v>4</v>
      </c>
      <c r="AG108" s="20">
        <v>1</v>
      </c>
      <c r="AH108" s="20">
        <v>9</v>
      </c>
      <c r="AI108" s="20">
        <v>2</v>
      </c>
      <c r="AJ108" s="20">
        <v>6</v>
      </c>
      <c r="AK108" s="20">
        <v>9</v>
      </c>
      <c r="AL108" s="20">
        <v>1</v>
      </c>
      <c r="AM108" s="20">
        <v>0</v>
      </c>
      <c r="AN108" s="20">
        <v>7</v>
      </c>
      <c r="AO108" s="20">
        <v>0</v>
      </c>
      <c r="AP108" s="20">
        <v>10</v>
      </c>
      <c r="AQ108" s="20">
        <v>26</v>
      </c>
      <c r="AR108" s="20">
        <v>0</v>
      </c>
      <c r="AS108" s="20">
        <v>16</v>
      </c>
      <c r="AT108" s="20">
        <v>9</v>
      </c>
      <c r="AU108" s="20">
        <v>0</v>
      </c>
      <c r="AV108" s="20">
        <v>0</v>
      </c>
      <c r="AW108" s="20">
        <v>0</v>
      </c>
      <c r="AX108" s="20">
        <v>0</v>
      </c>
      <c r="AY108" s="20">
        <v>3</v>
      </c>
      <c r="AZ108" s="20">
        <v>20</v>
      </c>
      <c r="BA108" s="20">
        <v>8</v>
      </c>
      <c r="BB108" s="20">
        <v>12</v>
      </c>
      <c r="BC108" s="20">
        <v>4</v>
      </c>
      <c r="BD108" s="20">
        <v>8</v>
      </c>
      <c r="BE108" s="20">
        <v>5</v>
      </c>
      <c r="BF108" s="20">
        <v>4</v>
      </c>
      <c r="BG108" s="20">
        <v>14</v>
      </c>
      <c r="BH108" s="20">
        <v>0</v>
      </c>
      <c r="BI108" s="20">
        <v>6</v>
      </c>
      <c r="BJ108" s="20">
        <v>11</v>
      </c>
      <c r="BK108" s="20">
        <v>10</v>
      </c>
      <c r="BL108" s="20">
        <v>0</v>
      </c>
      <c r="BM108" s="20">
        <v>0</v>
      </c>
      <c r="BN108" s="20">
        <v>2</v>
      </c>
      <c r="BO108" s="20">
        <v>6</v>
      </c>
      <c r="BP108" s="20">
        <v>0</v>
      </c>
      <c r="BQ108" s="20">
        <v>1</v>
      </c>
      <c r="BR108" s="20">
        <v>0</v>
      </c>
      <c r="BS108" s="20">
        <v>0</v>
      </c>
      <c r="BT108" s="20">
        <v>0</v>
      </c>
      <c r="BU108" s="20">
        <v>0</v>
      </c>
      <c r="BV108" s="20">
        <v>0</v>
      </c>
      <c r="BW108" s="20">
        <v>0</v>
      </c>
      <c r="BX108" s="20">
        <v>0</v>
      </c>
      <c r="BY108" s="20">
        <v>0</v>
      </c>
      <c r="BZ108" s="20">
        <v>0</v>
      </c>
      <c r="CA108" s="20">
        <v>0</v>
      </c>
      <c r="CB108" s="20">
        <v>0</v>
      </c>
      <c r="CC108" s="20">
        <v>0</v>
      </c>
      <c r="CD108" s="20">
        <v>0</v>
      </c>
      <c r="CE108" s="20">
        <v>0</v>
      </c>
      <c r="CF108" s="20">
        <v>0</v>
      </c>
      <c r="CG108" s="20">
        <v>0</v>
      </c>
      <c r="CH108" s="20">
        <v>0</v>
      </c>
      <c r="CI108" s="20">
        <v>0</v>
      </c>
      <c r="CJ108" s="20">
        <v>0</v>
      </c>
      <c r="CK108" s="20">
        <v>0</v>
      </c>
      <c r="CL108" s="20">
        <v>0</v>
      </c>
      <c r="CM108" s="20">
        <v>0</v>
      </c>
      <c r="CN108" s="20">
        <v>0</v>
      </c>
      <c r="CO108" s="20">
        <v>0</v>
      </c>
      <c r="CP108" s="20">
        <v>0</v>
      </c>
      <c r="CQ108" s="20">
        <v>0</v>
      </c>
      <c r="CR108" s="20">
        <v>0</v>
      </c>
      <c r="CS108" s="20">
        <v>0</v>
      </c>
      <c r="CT108" s="20">
        <v>0</v>
      </c>
      <c r="CU108" s="20">
        <v>0</v>
      </c>
      <c r="CV108" s="20">
        <v>0</v>
      </c>
      <c r="CW108" s="20">
        <v>0</v>
      </c>
      <c r="CX108" s="20">
        <v>0</v>
      </c>
      <c r="CY108" s="20">
        <v>0</v>
      </c>
      <c r="CZ108" s="20">
        <v>0</v>
      </c>
      <c r="DA108" s="20">
        <v>0</v>
      </c>
      <c r="DB108" s="20">
        <v>0</v>
      </c>
      <c r="DC108" s="20">
        <v>0</v>
      </c>
      <c r="DD108" s="20">
        <v>0</v>
      </c>
      <c r="DE108" s="20">
        <v>0</v>
      </c>
      <c r="DF108" s="20">
        <v>0</v>
      </c>
      <c r="DG108" s="16">
        <f t="shared" si="9"/>
        <v>305</v>
      </c>
      <c r="DH108" s="16">
        <f t="shared" si="10"/>
        <v>9894</v>
      </c>
      <c r="DI108" s="17">
        <f t="shared" si="11"/>
        <v>32.43934426229508</v>
      </c>
      <c r="DJ108" s="119" t="s">
        <v>2</v>
      </c>
      <c r="DK108" s="44" t="s">
        <v>2</v>
      </c>
    </row>
    <row r="109" spans="1:115">
      <c r="A109" s="32" t="str">
        <f t="shared" si="12"/>
        <v>Powercor--˂ = 11 kV ;  CIRCUIT BREAKER</v>
      </c>
      <c r="B109" s="32" t="str">
        <f t="shared" si="13"/>
        <v>Powercor</v>
      </c>
      <c r="C109" s="416"/>
      <c r="D109" s="14"/>
      <c r="E109" s="15" t="s">
        <v>248</v>
      </c>
      <c r="F109" s="18">
        <v>45</v>
      </c>
      <c r="G109" s="18">
        <v>6.7082039324993694</v>
      </c>
      <c r="H109" s="20">
        <v>0</v>
      </c>
      <c r="I109" s="20">
        <v>0</v>
      </c>
      <c r="J109" s="20">
        <v>1</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3</v>
      </c>
      <c r="AB109" s="20">
        <v>0</v>
      </c>
      <c r="AC109" s="20">
        <v>0</v>
      </c>
      <c r="AD109" s="20">
        <v>0</v>
      </c>
      <c r="AE109" s="20">
        <v>1</v>
      </c>
      <c r="AF109" s="20">
        <v>3</v>
      </c>
      <c r="AG109" s="20">
        <v>3</v>
      </c>
      <c r="AH109" s="20">
        <v>3</v>
      </c>
      <c r="AI109" s="20">
        <v>0</v>
      </c>
      <c r="AJ109" s="20">
        <v>0</v>
      </c>
      <c r="AK109" s="20">
        <v>25</v>
      </c>
      <c r="AL109" s="20">
        <v>0</v>
      </c>
      <c r="AM109" s="20">
        <v>0</v>
      </c>
      <c r="AN109" s="20">
        <v>0</v>
      </c>
      <c r="AO109" s="20">
        <v>0</v>
      </c>
      <c r="AP109" s="20">
        <v>0</v>
      </c>
      <c r="AQ109" s="20">
        <v>0</v>
      </c>
      <c r="AR109" s="20">
        <v>0</v>
      </c>
      <c r="AS109" s="20">
        <v>0</v>
      </c>
      <c r="AT109" s="20">
        <v>0</v>
      </c>
      <c r="AU109" s="20">
        <v>0</v>
      </c>
      <c r="AV109" s="20">
        <v>0</v>
      </c>
      <c r="AW109" s="20">
        <v>0</v>
      </c>
      <c r="AX109" s="20">
        <v>0</v>
      </c>
      <c r="AY109" s="20">
        <v>0</v>
      </c>
      <c r="AZ109" s="20">
        <v>0</v>
      </c>
      <c r="BA109" s="20">
        <v>0</v>
      </c>
      <c r="BB109" s="20">
        <v>0</v>
      </c>
      <c r="BC109" s="20">
        <v>0</v>
      </c>
      <c r="BD109" s="20">
        <v>0</v>
      </c>
      <c r="BE109" s="20">
        <v>10</v>
      </c>
      <c r="BF109" s="20">
        <v>0</v>
      </c>
      <c r="BG109" s="20">
        <v>1</v>
      </c>
      <c r="BH109" s="20">
        <v>0</v>
      </c>
      <c r="BI109" s="20">
        <v>1</v>
      </c>
      <c r="BJ109" s="20">
        <v>0</v>
      </c>
      <c r="BK109" s="20">
        <v>15</v>
      </c>
      <c r="BL109" s="20">
        <v>0</v>
      </c>
      <c r="BM109" s="20">
        <v>0</v>
      </c>
      <c r="BN109" s="20">
        <v>0</v>
      </c>
      <c r="BO109" s="20">
        <v>0</v>
      </c>
      <c r="BP109" s="20">
        <v>0</v>
      </c>
      <c r="BQ109" s="20">
        <v>0</v>
      </c>
      <c r="BR109" s="20">
        <v>0</v>
      </c>
      <c r="BS109" s="20">
        <v>0</v>
      </c>
      <c r="BT109" s="20">
        <v>0</v>
      </c>
      <c r="BU109" s="20">
        <v>0</v>
      </c>
      <c r="BV109" s="20">
        <v>0</v>
      </c>
      <c r="BW109" s="20">
        <v>0</v>
      </c>
      <c r="BX109" s="20">
        <v>0</v>
      </c>
      <c r="BY109" s="20">
        <v>0</v>
      </c>
      <c r="BZ109" s="20">
        <v>0</v>
      </c>
      <c r="CA109" s="20">
        <v>0</v>
      </c>
      <c r="CB109" s="20">
        <v>0</v>
      </c>
      <c r="CC109" s="20">
        <v>0</v>
      </c>
      <c r="CD109" s="20">
        <v>0</v>
      </c>
      <c r="CE109" s="20">
        <v>0</v>
      </c>
      <c r="CF109" s="20">
        <v>0</v>
      </c>
      <c r="CG109" s="20">
        <v>0</v>
      </c>
      <c r="CH109" s="20">
        <v>0</v>
      </c>
      <c r="CI109" s="20">
        <v>0</v>
      </c>
      <c r="CJ109" s="20">
        <v>0</v>
      </c>
      <c r="CK109" s="20">
        <v>0</v>
      </c>
      <c r="CL109" s="20">
        <v>0</v>
      </c>
      <c r="CM109" s="20">
        <v>0</v>
      </c>
      <c r="CN109" s="20">
        <v>0</v>
      </c>
      <c r="CO109" s="20">
        <v>0</v>
      </c>
      <c r="CP109" s="20">
        <v>0</v>
      </c>
      <c r="CQ109" s="20">
        <v>0</v>
      </c>
      <c r="CR109" s="20">
        <v>0</v>
      </c>
      <c r="CS109" s="20">
        <v>0</v>
      </c>
      <c r="CT109" s="20">
        <v>0</v>
      </c>
      <c r="CU109" s="20">
        <v>0</v>
      </c>
      <c r="CV109" s="20">
        <v>0</v>
      </c>
      <c r="CW109" s="20">
        <v>0</v>
      </c>
      <c r="CX109" s="20">
        <v>0</v>
      </c>
      <c r="CY109" s="20">
        <v>0</v>
      </c>
      <c r="CZ109" s="20">
        <v>0</v>
      </c>
      <c r="DA109" s="20">
        <v>0</v>
      </c>
      <c r="DB109" s="20">
        <v>0</v>
      </c>
      <c r="DC109" s="20">
        <v>0</v>
      </c>
      <c r="DD109" s="20">
        <v>0</v>
      </c>
      <c r="DE109" s="20">
        <v>0</v>
      </c>
      <c r="DF109" s="20">
        <v>0</v>
      </c>
      <c r="DG109" s="16">
        <f t="shared" si="9"/>
        <v>66</v>
      </c>
      <c r="DH109" s="16">
        <f t="shared" si="10"/>
        <v>2517</v>
      </c>
      <c r="DI109" s="17">
        <f t="shared" si="11"/>
        <v>38.136363636363633</v>
      </c>
      <c r="DJ109" s="119" t="s">
        <v>2</v>
      </c>
      <c r="DK109" s="44" t="s">
        <v>2</v>
      </c>
    </row>
    <row r="110" spans="1:115">
      <c r="A110" s="32" t="str">
        <f t="shared" si="12"/>
        <v>Powercor--&gt; 11 kV &amp; &lt; = 22 kV  ; SWITCH</v>
      </c>
      <c r="B110" s="32" t="str">
        <f t="shared" si="13"/>
        <v>Powercor</v>
      </c>
      <c r="C110" s="416"/>
      <c r="D110" s="14"/>
      <c r="E110" s="15" t="s">
        <v>249</v>
      </c>
      <c r="F110" s="18">
        <v>50</v>
      </c>
      <c r="G110" s="18">
        <v>7.0710678118654755</v>
      </c>
      <c r="H110" s="20">
        <v>68</v>
      </c>
      <c r="I110" s="20">
        <v>316</v>
      </c>
      <c r="J110" s="20">
        <v>337</v>
      </c>
      <c r="K110" s="20">
        <v>203</v>
      </c>
      <c r="L110" s="20">
        <v>180</v>
      </c>
      <c r="M110" s="20">
        <v>316</v>
      </c>
      <c r="N110" s="20">
        <v>361</v>
      </c>
      <c r="O110" s="20">
        <v>406</v>
      </c>
      <c r="P110" s="20">
        <v>248</v>
      </c>
      <c r="Q110" s="20">
        <v>519</v>
      </c>
      <c r="R110" s="20">
        <v>338</v>
      </c>
      <c r="S110" s="20">
        <v>248</v>
      </c>
      <c r="T110" s="20">
        <v>406</v>
      </c>
      <c r="U110" s="20">
        <v>113</v>
      </c>
      <c r="V110" s="20">
        <v>203</v>
      </c>
      <c r="W110" s="20">
        <v>0</v>
      </c>
      <c r="X110" s="20">
        <v>23</v>
      </c>
      <c r="Y110" s="20">
        <v>23</v>
      </c>
      <c r="Z110" s="20">
        <v>0</v>
      </c>
      <c r="AA110" s="20">
        <v>42</v>
      </c>
      <c r="AB110" s="20">
        <v>0</v>
      </c>
      <c r="AC110" s="20">
        <v>0</v>
      </c>
      <c r="AD110" s="20">
        <v>23</v>
      </c>
      <c r="AE110" s="20">
        <v>21</v>
      </c>
      <c r="AF110" s="20">
        <v>177</v>
      </c>
      <c r="AG110" s="20">
        <v>42</v>
      </c>
      <c r="AH110" s="20">
        <v>403</v>
      </c>
      <c r="AI110" s="20">
        <v>90</v>
      </c>
      <c r="AJ110" s="20">
        <v>271</v>
      </c>
      <c r="AK110" s="20">
        <v>418</v>
      </c>
      <c r="AL110" s="20">
        <v>45</v>
      </c>
      <c r="AM110" s="20">
        <v>0</v>
      </c>
      <c r="AN110" s="20">
        <v>338</v>
      </c>
      <c r="AO110" s="20">
        <v>0</v>
      </c>
      <c r="AP110" s="20">
        <v>451</v>
      </c>
      <c r="AQ110" s="20">
        <v>1218</v>
      </c>
      <c r="AR110" s="20">
        <v>0</v>
      </c>
      <c r="AS110" s="20">
        <v>744</v>
      </c>
      <c r="AT110" s="20">
        <v>428</v>
      </c>
      <c r="AU110" s="20">
        <v>0</v>
      </c>
      <c r="AV110" s="20">
        <v>0</v>
      </c>
      <c r="AW110" s="20">
        <v>0</v>
      </c>
      <c r="AX110" s="20">
        <v>0</v>
      </c>
      <c r="AY110" s="20">
        <v>158</v>
      </c>
      <c r="AZ110" s="20">
        <v>924</v>
      </c>
      <c r="BA110" s="20">
        <v>361</v>
      </c>
      <c r="BB110" s="20">
        <v>541</v>
      </c>
      <c r="BC110" s="20">
        <v>180</v>
      </c>
      <c r="BD110" s="20">
        <v>361</v>
      </c>
      <c r="BE110" s="20">
        <v>212</v>
      </c>
      <c r="BF110" s="20">
        <v>203</v>
      </c>
      <c r="BG110" s="20">
        <v>630</v>
      </c>
      <c r="BH110" s="20">
        <v>23</v>
      </c>
      <c r="BI110" s="20">
        <v>291</v>
      </c>
      <c r="BJ110" s="20">
        <v>496</v>
      </c>
      <c r="BK110" s="20">
        <v>476</v>
      </c>
      <c r="BL110" s="20">
        <v>0</v>
      </c>
      <c r="BM110" s="20">
        <v>0</v>
      </c>
      <c r="BN110" s="20">
        <v>90</v>
      </c>
      <c r="BO110" s="20">
        <v>271</v>
      </c>
      <c r="BP110" s="20">
        <v>0</v>
      </c>
      <c r="BQ110" s="20">
        <v>45</v>
      </c>
      <c r="BR110" s="20">
        <v>0</v>
      </c>
      <c r="BS110" s="20">
        <v>0</v>
      </c>
      <c r="BT110" s="20">
        <v>0</v>
      </c>
      <c r="BU110" s="20">
        <v>0</v>
      </c>
      <c r="BV110" s="20">
        <v>0</v>
      </c>
      <c r="BW110" s="20">
        <v>0</v>
      </c>
      <c r="BX110" s="20">
        <v>0</v>
      </c>
      <c r="BY110" s="20">
        <v>0</v>
      </c>
      <c r="BZ110" s="20">
        <v>0</v>
      </c>
      <c r="CA110" s="20">
        <v>0</v>
      </c>
      <c r="CB110" s="20">
        <v>0</v>
      </c>
      <c r="CC110" s="20">
        <v>0</v>
      </c>
      <c r="CD110" s="20">
        <v>0</v>
      </c>
      <c r="CE110" s="20">
        <v>0</v>
      </c>
      <c r="CF110" s="20">
        <v>0</v>
      </c>
      <c r="CG110" s="20">
        <v>0</v>
      </c>
      <c r="CH110" s="20">
        <v>0</v>
      </c>
      <c r="CI110" s="20">
        <v>0</v>
      </c>
      <c r="CJ110" s="20">
        <v>0</v>
      </c>
      <c r="CK110" s="20">
        <v>0</v>
      </c>
      <c r="CL110" s="20">
        <v>0</v>
      </c>
      <c r="CM110" s="20">
        <v>0</v>
      </c>
      <c r="CN110" s="20">
        <v>0</v>
      </c>
      <c r="CO110" s="20">
        <v>0</v>
      </c>
      <c r="CP110" s="20">
        <v>0</v>
      </c>
      <c r="CQ110" s="20">
        <v>0</v>
      </c>
      <c r="CR110" s="20">
        <v>0</v>
      </c>
      <c r="CS110" s="20">
        <v>0</v>
      </c>
      <c r="CT110" s="20">
        <v>0</v>
      </c>
      <c r="CU110" s="20">
        <v>0</v>
      </c>
      <c r="CV110" s="20">
        <v>0</v>
      </c>
      <c r="CW110" s="20">
        <v>0</v>
      </c>
      <c r="CX110" s="20">
        <v>0</v>
      </c>
      <c r="CY110" s="20">
        <v>0</v>
      </c>
      <c r="CZ110" s="20">
        <v>0</v>
      </c>
      <c r="DA110" s="20">
        <v>0</v>
      </c>
      <c r="DB110" s="20">
        <v>0</v>
      </c>
      <c r="DC110" s="20">
        <v>0</v>
      </c>
      <c r="DD110" s="20">
        <v>0</v>
      </c>
      <c r="DE110" s="20">
        <v>0</v>
      </c>
      <c r="DF110" s="20">
        <v>0</v>
      </c>
      <c r="DG110" s="16">
        <f t="shared" si="9"/>
        <v>14281</v>
      </c>
      <c r="DH110" s="16">
        <f t="shared" si="10"/>
        <v>460092</v>
      </c>
      <c r="DI110" s="17">
        <f t="shared" si="11"/>
        <v>32.217071633639101</v>
      </c>
      <c r="DJ110" s="119" t="s">
        <v>2</v>
      </c>
      <c r="DK110" s="44" t="s">
        <v>2</v>
      </c>
    </row>
    <row r="111" spans="1:115">
      <c r="A111" s="32" t="str">
        <f t="shared" si="12"/>
        <v>Powercor--&gt; 11 kV &amp; &lt; = 22 kV  ; CIRCUIT BREAKER</v>
      </c>
      <c r="B111" s="32" t="str">
        <f t="shared" si="13"/>
        <v>Powercor</v>
      </c>
      <c r="C111" s="416"/>
      <c r="D111" s="14"/>
      <c r="E111" s="15" t="s">
        <v>250</v>
      </c>
      <c r="F111" s="18">
        <v>52.4</v>
      </c>
      <c r="G111" s="18">
        <v>8.6999999999999993</v>
      </c>
      <c r="H111" s="20">
        <v>4</v>
      </c>
      <c r="I111" s="20">
        <v>19</v>
      </c>
      <c r="J111" s="20">
        <v>19</v>
      </c>
      <c r="K111" s="20">
        <v>12</v>
      </c>
      <c r="L111" s="20">
        <v>11</v>
      </c>
      <c r="M111" s="20">
        <v>19</v>
      </c>
      <c r="N111" s="20">
        <v>21</v>
      </c>
      <c r="O111" s="20">
        <v>24</v>
      </c>
      <c r="P111" s="20">
        <v>15</v>
      </c>
      <c r="Q111" s="20">
        <v>31</v>
      </c>
      <c r="R111" s="20">
        <v>20</v>
      </c>
      <c r="S111" s="20">
        <v>15</v>
      </c>
      <c r="T111" s="20">
        <v>24</v>
      </c>
      <c r="U111" s="20">
        <v>7</v>
      </c>
      <c r="V111" s="20">
        <v>12</v>
      </c>
      <c r="W111" s="20">
        <v>0</v>
      </c>
      <c r="X111" s="20">
        <v>1</v>
      </c>
      <c r="Y111" s="20">
        <v>1</v>
      </c>
      <c r="Z111" s="20">
        <v>0</v>
      </c>
      <c r="AA111" s="20">
        <v>0</v>
      </c>
      <c r="AB111" s="20">
        <v>0</v>
      </c>
      <c r="AC111" s="20">
        <v>0</v>
      </c>
      <c r="AD111" s="20">
        <v>1</v>
      </c>
      <c r="AE111" s="20">
        <v>0</v>
      </c>
      <c r="AF111" s="20">
        <v>8</v>
      </c>
      <c r="AG111" s="20">
        <v>0</v>
      </c>
      <c r="AH111" s="20">
        <v>21</v>
      </c>
      <c r="AI111" s="20">
        <v>5</v>
      </c>
      <c r="AJ111" s="20">
        <v>16</v>
      </c>
      <c r="AK111" s="20">
        <v>0</v>
      </c>
      <c r="AL111" s="20">
        <v>3</v>
      </c>
      <c r="AM111" s="20">
        <v>0</v>
      </c>
      <c r="AN111" s="20">
        <v>20</v>
      </c>
      <c r="AO111" s="20">
        <v>0</v>
      </c>
      <c r="AP111" s="20">
        <v>27</v>
      </c>
      <c r="AQ111" s="20">
        <v>72</v>
      </c>
      <c r="AR111" s="20">
        <v>0</v>
      </c>
      <c r="AS111" s="20">
        <v>44</v>
      </c>
      <c r="AT111" s="20">
        <v>25</v>
      </c>
      <c r="AU111" s="20">
        <v>0</v>
      </c>
      <c r="AV111" s="20">
        <v>0</v>
      </c>
      <c r="AW111" s="20">
        <v>0</v>
      </c>
      <c r="AX111" s="20">
        <v>0</v>
      </c>
      <c r="AY111" s="20">
        <v>9</v>
      </c>
      <c r="AZ111" s="20">
        <v>55</v>
      </c>
      <c r="BA111" s="20">
        <v>21</v>
      </c>
      <c r="BB111" s="20">
        <v>32</v>
      </c>
      <c r="BC111" s="20">
        <v>11</v>
      </c>
      <c r="BD111" s="20">
        <v>21</v>
      </c>
      <c r="BE111" s="20">
        <v>3</v>
      </c>
      <c r="BF111" s="20">
        <v>12</v>
      </c>
      <c r="BG111" s="20">
        <v>36</v>
      </c>
      <c r="BH111" s="20">
        <v>1</v>
      </c>
      <c r="BI111" s="20">
        <v>16</v>
      </c>
      <c r="BJ111" s="20">
        <v>29</v>
      </c>
      <c r="BK111" s="20">
        <v>13</v>
      </c>
      <c r="BL111" s="20">
        <v>0</v>
      </c>
      <c r="BM111" s="20">
        <v>0</v>
      </c>
      <c r="BN111" s="20">
        <v>5</v>
      </c>
      <c r="BO111" s="20">
        <v>16</v>
      </c>
      <c r="BP111" s="20">
        <v>0</v>
      </c>
      <c r="BQ111" s="20">
        <v>3</v>
      </c>
      <c r="BR111" s="20">
        <v>0</v>
      </c>
      <c r="BS111" s="20">
        <v>0</v>
      </c>
      <c r="BT111" s="20">
        <v>0</v>
      </c>
      <c r="BU111" s="20">
        <v>0</v>
      </c>
      <c r="BV111" s="20">
        <v>0</v>
      </c>
      <c r="BW111" s="20">
        <v>0</v>
      </c>
      <c r="BX111" s="20">
        <v>0</v>
      </c>
      <c r="BY111" s="20">
        <v>0</v>
      </c>
      <c r="BZ111" s="20">
        <v>0</v>
      </c>
      <c r="CA111" s="20">
        <v>0</v>
      </c>
      <c r="CB111" s="20">
        <v>0</v>
      </c>
      <c r="CC111" s="20">
        <v>0</v>
      </c>
      <c r="CD111" s="20">
        <v>0</v>
      </c>
      <c r="CE111" s="20">
        <v>0</v>
      </c>
      <c r="CF111" s="20">
        <v>0</v>
      </c>
      <c r="CG111" s="20">
        <v>0</v>
      </c>
      <c r="CH111" s="20">
        <v>0</v>
      </c>
      <c r="CI111" s="20">
        <v>0</v>
      </c>
      <c r="CJ111" s="20">
        <v>0</v>
      </c>
      <c r="CK111" s="20">
        <v>0</v>
      </c>
      <c r="CL111" s="20">
        <v>0</v>
      </c>
      <c r="CM111" s="20">
        <v>0</v>
      </c>
      <c r="CN111" s="20">
        <v>0</v>
      </c>
      <c r="CO111" s="20">
        <v>0</v>
      </c>
      <c r="CP111" s="20">
        <v>0</v>
      </c>
      <c r="CQ111" s="20">
        <v>0</v>
      </c>
      <c r="CR111" s="20">
        <v>0</v>
      </c>
      <c r="CS111" s="20">
        <v>0</v>
      </c>
      <c r="CT111" s="20">
        <v>0</v>
      </c>
      <c r="CU111" s="20">
        <v>0</v>
      </c>
      <c r="CV111" s="20">
        <v>0</v>
      </c>
      <c r="CW111" s="20">
        <v>0</v>
      </c>
      <c r="CX111" s="20">
        <v>0</v>
      </c>
      <c r="CY111" s="20">
        <v>0</v>
      </c>
      <c r="CZ111" s="20">
        <v>0</v>
      </c>
      <c r="DA111" s="20">
        <v>0</v>
      </c>
      <c r="DB111" s="20">
        <v>0</v>
      </c>
      <c r="DC111" s="20">
        <v>0</v>
      </c>
      <c r="DD111" s="20">
        <v>0</v>
      </c>
      <c r="DE111" s="20">
        <v>0</v>
      </c>
      <c r="DF111" s="20">
        <v>0</v>
      </c>
      <c r="DG111" s="16">
        <f t="shared" si="9"/>
        <v>780</v>
      </c>
      <c r="DH111" s="16">
        <f t="shared" si="10"/>
        <v>24669</v>
      </c>
      <c r="DI111" s="17">
        <f t="shared" si="11"/>
        <v>31.626923076923077</v>
      </c>
      <c r="DJ111" s="119" t="s">
        <v>2</v>
      </c>
      <c r="DK111" s="44" t="s">
        <v>2</v>
      </c>
    </row>
    <row r="112" spans="1:115">
      <c r="A112" s="32" t="str">
        <f t="shared" si="12"/>
        <v>Powercor--&gt; 22 kV &amp; &lt; = 33 kV ; SWITCH</v>
      </c>
      <c r="B112" s="32" t="str">
        <f t="shared" si="13"/>
        <v>Powercor</v>
      </c>
      <c r="C112" s="416"/>
      <c r="D112" s="14"/>
      <c r="E112" s="15" t="s">
        <v>251</v>
      </c>
      <c r="F112" s="18">
        <v>0</v>
      </c>
      <c r="G112" s="18">
        <v>0</v>
      </c>
      <c r="H112" s="20">
        <v>0</v>
      </c>
      <c r="I112" s="20">
        <v>0</v>
      </c>
      <c r="J112" s="20">
        <v>0</v>
      </c>
      <c r="K112" s="20">
        <v>0</v>
      </c>
      <c r="L112" s="20">
        <v>0</v>
      </c>
      <c r="M112" s="20">
        <v>0</v>
      </c>
      <c r="N112" s="20">
        <v>0</v>
      </c>
      <c r="O112" s="20">
        <v>0</v>
      </c>
      <c r="P112" s="20">
        <v>0</v>
      </c>
      <c r="Q112" s="20">
        <v>0</v>
      </c>
      <c r="R112" s="20">
        <v>0</v>
      </c>
      <c r="S112" s="20">
        <v>0</v>
      </c>
      <c r="T112" s="20">
        <v>0</v>
      </c>
      <c r="U112" s="20">
        <v>0</v>
      </c>
      <c r="V112" s="20">
        <v>0</v>
      </c>
      <c r="W112" s="20">
        <v>0</v>
      </c>
      <c r="X112" s="20">
        <v>0</v>
      </c>
      <c r="Y112" s="20">
        <v>0</v>
      </c>
      <c r="Z112" s="20">
        <v>0</v>
      </c>
      <c r="AA112" s="20">
        <v>0</v>
      </c>
      <c r="AB112" s="20">
        <v>0</v>
      </c>
      <c r="AC112" s="20">
        <v>0</v>
      </c>
      <c r="AD112" s="20">
        <v>0</v>
      </c>
      <c r="AE112" s="20">
        <v>0</v>
      </c>
      <c r="AF112" s="20">
        <v>0</v>
      </c>
      <c r="AG112" s="20">
        <v>0</v>
      </c>
      <c r="AH112" s="20">
        <v>0</v>
      </c>
      <c r="AI112" s="20">
        <v>0</v>
      </c>
      <c r="AJ112" s="20">
        <v>0</v>
      </c>
      <c r="AK112" s="20">
        <v>0</v>
      </c>
      <c r="AL112" s="20">
        <v>0</v>
      </c>
      <c r="AM112" s="20">
        <v>0</v>
      </c>
      <c r="AN112" s="20">
        <v>0</v>
      </c>
      <c r="AO112" s="20">
        <v>0</v>
      </c>
      <c r="AP112" s="20">
        <v>0</v>
      </c>
      <c r="AQ112" s="20">
        <v>0</v>
      </c>
      <c r="AR112" s="20">
        <v>0</v>
      </c>
      <c r="AS112" s="20">
        <v>0</v>
      </c>
      <c r="AT112" s="20">
        <v>0</v>
      </c>
      <c r="AU112" s="20">
        <v>0</v>
      </c>
      <c r="AV112" s="20">
        <v>0</v>
      </c>
      <c r="AW112" s="20">
        <v>0</v>
      </c>
      <c r="AX112" s="20">
        <v>0</v>
      </c>
      <c r="AY112" s="20">
        <v>0</v>
      </c>
      <c r="AZ112" s="20">
        <v>0</v>
      </c>
      <c r="BA112" s="20">
        <v>0</v>
      </c>
      <c r="BB112" s="20">
        <v>0</v>
      </c>
      <c r="BC112" s="20">
        <v>0</v>
      </c>
      <c r="BD112" s="20">
        <v>0</v>
      </c>
      <c r="BE112" s="20">
        <v>0</v>
      </c>
      <c r="BF112" s="20">
        <v>0</v>
      </c>
      <c r="BG112" s="20">
        <v>0</v>
      </c>
      <c r="BH112" s="20">
        <v>0</v>
      </c>
      <c r="BI112" s="20">
        <v>0</v>
      </c>
      <c r="BJ112" s="20">
        <v>0</v>
      </c>
      <c r="BK112" s="20">
        <v>0</v>
      </c>
      <c r="BL112" s="20">
        <v>0</v>
      </c>
      <c r="BM112" s="20">
        <v>0</v>
      </c>
      <c r="BN112" s="20">
        <v>0</v>
      </c>
      <c r="BO112" s="20">
        <v>0</v>
      </c>
      <c r="BP112" s="20">
        <v>0</v>
      </c>
      <c r="BQ112" s="20">
        <v>0</v>
      </c>
      <c r="BR112" s="20">
        <v>0</v>
      </c>
      <c r="BS112" s="20">
        <v>0</v>
      </c>
      <c r="BT112" s="20">
        <v>0</v>
      </c>
      <c r="BU112" s="20">
        <v>0</v>
      </c>
      <c r="BV112" s="20">
        <v>0</v>
      </c>
      <c r="BW112" s="20">
        <v>0</v>
      </c>
      <c r="BX112" s="20">
        <v>0</v>
      </c>
      <c r="BY112" s="20">
        <v>0</v>
      </c>
      <c r="BZ112" s="20">
        <v>0</v>
      </c>
      <c r="CA112" s="20">
        <v>0</v>
      </c>
      <c r="CB112" s="20">
        <v>0</v>
      </c>
      <c r="CC112" s="20">
        <v>0</v>
      </c>
      <c r="CD112" s="20">
        <v>0</v>
      </c>
      <c r="CE112" s="20">
        <v>0</v>
      </c>
      <c r="CF112" s="20">
        <v>0</v>
      </c>
      <c r="CG112" s="20">
        <v>0</v>
      </c>
      <c r="CH112" s="20">
        <v>0</v>
      </c>
      <c r="CI112" s="20">
        <v>0</v>
      </c>
      <c r="CJ112" s="20">
        <v>0</v>
      </c>
      <c r="CK112" s="20">
        <v>0</v>
      </c>
      <c r="CL112" s="20">
        <v>0</v>
      </c>
      <c r="CM112" s="20">
        <v>0</v>
      </c>
      <c r="CN112" s="20">
        <v>0</v>
      </c>
      <c r="CO112" s="20">
        <v>0</v>
      </c>
      <c r="CP112" s="20">
        <v>0</v>
      </c>
      <c r="CQ112" s="20">
        <v>0</v>
      </c>
      <c r="CR112" s="20">
        <v>0</v>
      </c>
      <c r="CS112" s="20">
        <v>0</v>
      </c>
      <c r="CT112" s="20">
        <v>0</v>
      </c>
      <c r="CU112" s="20">
        <v>0</v>
      </c>
      <c r="CV112" s="20">
        <v>0</v>
      </c>
      <c r="CW112" s="20">
        <v>0</v>
      </c>
      <c r="CX112" s="20">
        <v>0</v>
      </c>
      <c r="CY112" s="20">
        <v>0</v>
      </c>
      <c r="CZ112" s="20">
        <v>0</v>
      </c>
      <c r="DA112" s="20">
        <v>0</v>
      </c>
      <c r="DB112" s="20">
        <v>0</v>
      </c>
      <c r="DC112" s="20">
        <v>0</v>
      </c>
      <c r="DD112" s="20">
        <v>0</v>
      </c>
      <c r="DE112" s="20">
        <v>0</v>
      </c>
      <c r="DF112" s="20">
        <v>0</v>
      </c>
      <c r="DG112" s="16">
        <f t="shared" si="9"/>
        <v>0</v>
      </c>
      <c r="DH112" s="16">
        <f t="shared" si="10"/>
        <v>0</v>
      </c>
      <c r="DI112" s="17" t="str">
        <f t="shared" si="11"/>
        <v/>
      </c>
      <c r="DJ112" s="119" t="s">
        <v>2</v>
      </c>
      <c r="DK112" s="44" t="s">
        <v>2</v>
      </c>
    </row>
    <row r="113" spans="1:116">
      <c r="A113" s="32" t="str">
        <f t="shared" si="12"/>
        <v>Powercor--&gt; 22 kV &amp; &lt; = 33 kV ; CIRCUIT BREAKER</v>
      </c>
      <c r="B113" s="32" t="str">
        <f t="shared" si="13"/>
        <v>Powercor</v>
      </c>
      <c r="C113" s="416"/>
      <c r="D113" s="14"/>
      <c r="E113" s="15" t="s">
        <v>252</v>
      </c>
      <c r="F113" s="18">
        <v>0</v>
      </c>
      <c r="G113" s="18">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0">
        <v>0</v>
      </c>
      <c r="AY113" s="20">
        <v>0</v>
      </c>
      <c r="AZ113" s="20">
        <v>0</v>
      </c>
      <c r="BA113" s="20">
        <v>0</v>
      </c>
      <c r="BB113" s="20">
        <v>0</v>
      </c>
      <c r="BC113" s="20">
        <v>0</v>
      </c>
      <c r="BD113" s="20">
        <v>0</v>
      </c>
      <c r="BE113" s="20">
        <v>0</v>
      </c>
      <c r="BF113" s="20">
        <v>0</v>
      </c>
      <c r="BG113" s="20">
        <v>0</v>
      </c>
      <c r="BH113" s="20">
        <v>0</v>
      </c>
      <c r="BI113" s="20">
        <v>0</v>
      </c>
      <c r="BJ113" s="20">
        <v>0</v>
      </c>
      <c r="BK113" s="20">
        <v>0</v>
      </c>
      <c r="BL113" s="20">
        <v>0</v>
      </c>
      <c r="BM113" s="20">
        <v>0</v>
      </c>
      <c r="BN113" s="20">
        <v>0</v>
      </c>
      <c r="BO113" s="20">
        <v>0</v>
      </c>
      <c r="BP113" s="20">
        <v>0</v>
      </c>
      <c r="BQ113" s="20">
        <v>0</v>
      </c>
      <c r="BR113" s="20">
        <v>0</v>
      </c>
      <c r="BS113" s="20">
        <v>0</v>
      </c>
      <c r="BT113" s="20">
        <v>0</v>
      </c>
      <c r="BU113" s="20">
        <v>0</v>
      </c>
      <c r="BV113" s="20">
        <v>0</v>
      </c>
      <c r="BW113" s="20">
        <v>0</v>
      </c>
      <c r="BX113" s="20">
        <v>0</v>
      </c>
      <c r="BY113" s="20">
        <v>0</v>
      </c>
      <c r="BZ113" s="20">
        <v>0</v>
      </c>
      <c r="CA113" s="20">
        <v>0</v>
      </c>
      <c r="CB113" s="20">
        <v>0</v>
      </c>
      <c r="CC113" s="20">
        <v>0</v>
      </c>
      <c r="CD113" s="20">
        <v>0</v>
      </c>
      <c r="CE113" s="20">
        <v>0</v>
      </c>
      <c r="CF113" s="20">
        <v>0</v>
      </c>
      <c r="CG113" s="20">
        <v>0</v>
      </c>
      <c r="CH113" s="20">
        <v>0</v>
      </c>
      <c r="CI113" s="20">
        <v>0</v>
      </c>
      <c r="CJ113" s="20">
        <v>0</v>
      </c>
      <c r="CK113" s="20">
        <v>0</v>
      </c>
      <c r="CL113" s="20">
        <v>0</v>
      </c>
      <c r="CM113" s="20">
        <v>0</v>
      </c>
      <c r="CN113" s="20">
        <v>0</v>
      </c>
      <c r="CO113" s="20">
        <v>0</v>
      </c>
      <c r="CP113" s="20">
        <v>0</v>
      </c>
      <c r="CQ113" s="20">
        <v>0</v>
      </c>
      <c r="CR113" s="20">
        <v>0</v>
      </c>
      <c r="CS113" s="20">
        <v>0</v>
      </c>
      <c r="CT113" s="20">
        <v>0</v>
      </c>
      <c r="CU113" s="20">
        <v>0</v>
      </c>
      <c r="CV113" s="20">
        <v>0</v>
      </c>
      <c r="CW113" s="20">
        <v>0</v>
      </c>
      <c r="CX113" s="20">
        <v>0</v>
      </c>
      <c r="CY113" s="20">
        <v>0</v>
      </c>
      <c r="CZ113" s="20">
        <v>0</v>
      </c>
      <c r="DA113" s="20">
        <v>0</v>
      </c>
      <c r="DB113" s="20">
        <v>0</v>
      </c>
      <c r="DC113" s="20">
        <v>0</v>
      </c>
      <c r="DD113" s="20">
        <v>0</v>
      </c>
      <c r="DE113" s="20">
        <v>0</v>
      </c>
      <c r="DF113" s="20">
        <v>0</v>
      </c>
      <c r="DG113" s="16">
        <f t="shared" si="9"/>
        <v>0</v>
      </c>
      <c r="DH113" s="16">
        <f t="shared" si="10"/>
        <v>0</v>
      </c>
      <c r="DI113" s="17" t="str">
        <f t="shared" si="11"/>
        <v/>
      </c>
      <c r="DJ113" s="119" t="s">
        <v>2</v>
      </c>
      <c r="DK113" s="44" t="s">
        <v>2</v>
      </c>
    </row>
    <row r="114" spans="1:116">
      <c r="A114" s="32" t="str">
        <f t="shared" si="12"/>
        <v>Powercor--&gt; 33 kV &amp; &lt; = 66 kV ; SWITCH</v>
      </c>
      <c r="B114" s="32" t="str">
        <f t="shared" si="13"/>
        <v>Powercor</v>
      </c>
      <c r="C114" s="416"/>
      <c r="D114" s="14"/>
      <c r="E114" s="15" t="s">
        <v>253</v>
      </c>
      <c r="F114" s="18">
        <v>55</v>
      </c>
      <c r="G114" s="18">
        <v>7.416198487095663</v>
      </c>
      <c r="H114" s="20">
        <v>5</v>
      </c>
      <c r="I114" s="20">
        <v>25</v>
      </c>
      <c r="J114" s="20">
        <v>27</v>
      </c>
      <c r="K114" s="20">
        <v>16</v>
      </c>
      <c r="L114" s="20">
        <v>14</v>
      </c>
      <c r="M114" s="20">
        <v>25</v>
      </c>
      <c r="N114" s="20">
        <v>29</v>
      </c>
      <c r="O114" s="20">
        <v>32</v>
      </c>
      <c r="P114" s="20">
        <v>20</v>
      </c>
      <c r="Q114" s="20">
        <v>41</v>
      </c>
      <c r="R114" s="20">
        <v>27</v>
      </c>
      <c r="S114" s="20">
        <v>20</v>
      </c>
      <c r="T114" s="20">
        <v>32</v>
      </c>
      <c r="U114" s="20">
        <v>9</v>
      </c>
      <c r="V114" s="20">
        <v>16</v>
      </c>
      <c r="W114" s="20">
        <v>0</v>
      </c>
      <c r="X114" s="20">
        <v>2</v>
      </c>
      <c r="Y114" s="20">
        <v>2</v>
      </c>
      <c r="Z114" s="20">
        <v>0</v>
      </c>
      <c r="AA114" s="20">
        <v>3</v>
      </c>
      <c r="AB114" s="20">
        <v>0</v>
      </c>
      <c r="AC114" s="20">
        <v>0</v>
      </c>
      <c r="AD114" s="20">
        <v>2</v>
      </c>
      <c r="AE114" s="20">
        <v>2</v>
      </c>
      <c r="AF114" s="20">
        <v>14</v>
      </c>
      <c r="AG114" s="20">
        <v>3</v>
      </c>
      <c r="AH114" s="20">
        <v>32</v>
      </c>
      <c r="AI114" s="20">
        <v>7</v>
      </c>
      <c r="AJ114" s="20">
        <v>21</v>
      </c>
      <c r="AK114" s="20">
        <v>33</v>
      </c>
      <c r="AL114" s="20">
        <v>4</v>
      </c>
      <c r="AM114" s="20">
        <v>0</v>
      </c>
      <c r="AN114" s="20">
        <v>27</v>
      </c>
      <c r="AO114" s="20">
        <v>0</v>
      </c>
      <c r="AP114" s="20">
        <v>36</v>
      </c>
      <c r="AQ114" s="20">
        <v>97</v>
      </c>
      <c r="AR114" s="20">
        <v>0</v>
      </c>
      <c r="AS114" s="20">
        <v>59</v>
      </c>
      <c r="AT114" s="20">
        <v>34</v>
      </c>
      <c r="AU114" s="20">
        <v>0</v>
      </c>
      <c r="AV114" s="20">
        <v>0</v>
      </c>
      <c r="AW114" s="20">
        <v>0</v>
      </c>
      <c r="AX114" s="20">
        <v>0</v>
      </c>
      <c r="AY114" s="20">
        <v>13</v>
      </c>
      <c r="AZ114" s="20">
        <v>73</v>
      </c>
      <c r="BA114" s="20">
        <v>29</v>
      </c>
      <c r="BB114" s="20">
        <v>43</v>
      </c>
      <c r="BC114" s="20">
        <v>14</v>
      </c>
      <c r="BD114" s="20">
        <v>29</v>
      </c>
      <c r="BE114" s="20">
        <v>17</v>
      </c>
      <c r="BF114" s="20">
        <v>16</v>
      </c>
      <c r="BG114" s="20">
        <v>50</v>
      </c>
      <c r="BH114" s="20">
        <v>2</v>
      </c>
      <c r="BI114" s="20">
        <v>23</v>
      </c>
      <c r="BJ114" s="20">
        <v>39</v>
      </c>
      <c r="BK114" s="20">
        <v>38</v>
      </c>
      <c r="BL114" s="20">
        <v>0</v>
      </c>
      <c r="BM114" s="20">
        <v>0</v>
      </c>
      <c r="BN114" s="20">
        <v>7</v>
      </c>
      <c r="BO114" s="20">
        <v>21</v>
      </c>
      <c r="BP114" s="20">
        <v>0</v>
      </c>
      <c r="BQ114" s="20">
        <v>4</v>
      </c>
      <c r="BR114" s="20">
        <v>0</v>
      </c>
      <c r="BS114" s="20">
        <v>0</v>
      </c>
      <c r="BT114" s="20">
        <v>0</v>
      </c>
      <c r="BU114" s="20">
        <v>0</v>
      </c>
      <c r="BV114" s="20">
        <v>0</v>
      </c>
      <c r="BW114" s="20">
        <v>0</v>
      </c>
      <c r="BX114" s="20">
        <v>0</v>
      </c>
      <c r="BY114" s="20">
        <v>0</v>
      </c>
      <c r="BZ114" s="20">
        <v>0</v>
      </c>
      <c r="CA114" s="20">
        <v>0</v>
      </c>
      <c r="CB114" s="20">
        <v>0</v>
      </c>
      <c r="CC114" s="20">
        <v>0</v>
      </c>
      <c r="CD114" s="20">
        <v>0</v>
      </c>
      <c r="CE114" s="20">
        <v>0</v>
      </c>
      <c r="CF114" s="20">
        <v>0</v>
      </c>
      <c r="CG114" s="20">
        <v>0</v>
      </c>
      <c r="CH114" s="20">
        <v>0</v>
      </c>
      <c r="CI114" s="20">
        <v>0</v>
      </c>
      <c r="CJ114" s="20">
        <v>0</v>
      </c>
      <c r="CK114" s="20">
        <v>0</v>
      </c>
      <c r="CL114" s="20">
        <v>0</v>
      </c>
      <c r="CM114" s="20">
        <v>0</v>
      </c>
      <c r="CN114" s="20">
        <v>0</v>
      </c>
      <c r="CO114" s="20">
        <v>0</v>
      </c>
      <c r="CP114" s="20">
        <v>0</v>
      </c>
      <c r="CQ114" s="20">
        <v>0</v>
      </c>
      <c r="CR114" s="20">
        <v>0</v>
      </c>
      <c r="CS114" s="20">
        <v>0</v>
      </c>
      <c r="CT114" s="20">
        <v>0</v>
      </c>
      <c r="CU114" s="20">
        <v>0</v>
      </c>
      <c r="CV114" s="20">
        <v>0</v>
      </c>
      <c r="CW114" s="20">
        <v>0</v>
      </c>
      <c r="CX114" s="20">
        <v>0</v>
      </c>
      <c r="CY114" s="20">
        <v>0</v>
      </c>
      <c r="CZ114" s="20">
        <v>0</v>
      </c>
      <c r="DA114" s="20">
        <v>0</v>
      </c>
      <c r="DB114" s="20">
        <v>0</v>
      </c>
      <c r="DC114" s="20">
        <v>0</v>
      </c>
      <c r="DD114" s="20">
        <v>0</v>
      </c>
      <c r="DE114" s="20">
        <v>0</v>
      </c>
      <c r="DF114" s="20">
        <v>0</v>
      </c>
      <c r="DG114" s="16">
        <f t="shared" si="9"/>
        <v>1134</v>
      </c>
      <c r="DH114" s="16">
        <f t="shared" si="10"/>
        <v>36547</v>
      </c>
      <c r="DI114" s="17">
        <f t="shared" si="11"/>
        <v>32.228395061728392</v>
      </c>
      <c r="DJ114" s="119" t="s">
        <v>2</v>
      </c>
      <c r="DK114" s="44" t="s">
        <v>2</v>
      </c>
    </row>
    <row r="115" spans="1:116">
      <c r="A115" s="32" t="str">
        <f t="shared" si="12"/>
        <v>Powercor--&gt; 33 kV &amp; &lt; = 66 kV ; CIRCUIT BREAKER</v>
      </c>
      <c r="B115" s="32" t="str">
        <f t="shared" si="13"/>
        <v>Powercor</v>
      </c>
      <c r="C115" s="416"/>
      <c r="D115" s="14"/>
      <c r="E115" s="15" t="s">
        <v>254</v>
      </c>
      <c r="F115" s="18">
        <v>47.2</v>
      </c>
      <c r="G115" s="18">
        <v>7.9</v>
      </c>
      <c r="H115" s="20">
        <v>5</v>
      </c>
      <c r="I115" s="20">
        <v>0</v>
      </c>
      <c r="J115" s="20">
        <v>6</v>
      </c>
      <c r="K115" s="20">
        <v>9</v>
      </c>
      <c r="L115" s="20">
        <v>8</v>
      </c>
      <c r="M115" s="20">
        <v>4</v>
      </c>
      <c r="N115" s="20">
        <v>3</v>
      </c>
      <c r="O115" s="20">
        <v>4</v>
      </c>
      <c r="P115" s="20">
        <v>7</v>
      </c>
      <c r="Q115" s="20">
        <v>6</v>
      </c>
      <c r="R115" s="20">
        <v>5</v>
      </c>
      <c r="S115" s="20">
        <v>2</v>
      </c>
      <c r="T115" s="20">
        <v>5</v>
      </c>
      <c r="U115" s="20">
        <v>2</v>
      </c>
      <c r="V115" s="20">
        <v>1</v>
      </c>
      <c r="W115" s="20">
        <v>1</v>
      </c>
      <c r="X115" s="20">
        <v>0</v>
      </c>
      <c r="Y115" s="20">
        <v>0</v>
      </c>
      <c r="Z115" s="20">
        <v>0</v>
      </c>
      <c r="AA115" s="20">
        <v>0</v>
      </c>
      <c r="AB115" s="20">
        <v>0</v>
      </c>
      <c r="AC115" s="20">
        <v>0</v>
      </c>
      <c r="AD115" s="20">
        <v>0</v>
      </c>
      <c r="AE115" s="20">
        <v>0</v>
      </c>
      <c r="AF115" s="20">
        <v>1</v>
      </c>
      <c r="AG115" s="20">
        <v>0</v>
      </c>
      <c r="AH115" s="20">
        <v>0</v>
      </c>
      <c r="AI115" s="20">
        <v>2</v>
      </c>
      <c r="AJ115" s="20">
        <v>0</v>
      </c>
      <c r="AK115" s="20">
        <v>3</v>
      </c>
      <c r="AL115" s="20">
        <v>0</v>
      </c>
      <c r="AM115" s="20">
        <v>19</v>
      </c>
      <c r="AN115" s="20">
        <v>0</v>
      </c>
      <c r="AO115" s="20">
        <v>0</v>
      </c>
      <c r="AP115" s="20">
        <v>0</v>
      </c>
      <c r="AQ115" s="20">
        <v>0</v>
      </c>
      <c r="AR115" s="20">
        <v>22</v>
      </c>
      <c r="AS115" s="20">
        <v>0</v>
      </c>
      <c r="AT115" s="20">
        <v>18</v>
      </c>
      <c r="AU115" s="20">
        <v>0</v>
      </c>
      <c r="AV115" s="20">
        <v>0</v>
      </c>
      <c r="AW115" s="20">
        <v>0</v>
      </c>
      <c r="AX115" s="20">
        <v>0</v>
      </c>
      <c r="AY115" s="20">
        <v>0</v>
      </c>
      <c r="AZ115" s="20">
        <v>5</v>
      </c>
      <c r="BA115" s="20">
        <v>0</v>
      </c>
      <c r="BB115" s="20">
        <v>6</v>
      </c>
      <c r="BC115" s="20">
        <v>0</v>
      </c>
      <c r="BD115" s="20">
        <v>5</v>
      </c>
      <c r="BE115" s="20">
        <v>5</v>
      </c>
      <c r="BF115" s="20">
        <v>12</v>
      </c>
      <c r="BG115" s="20">
        <v>11</v>
      </c>
      <c r="BH115" s="20">
        <v>0</v>
      </c>
      <c r="BI115" s="20">
        <v>6</v>
      </c>
      <c r="BJ115" s="20">
        <v>1</v>
      </c>
      <c r="BK115" s="20">
        <v>0</v>
      </c>
      <c r="BL115" s="20">
        <v>0</v>
      </c>
      <c r="BM115" s="20">
        <v>0</v>
      </c>
      <c r="BN115" s="20">
        <v>0</v>
      </c>
      <c r="BO115" s="20">
        <v>0</v>
      </c>
      <c r="BP115" s="20">
        <v>0</v>
      </c>
      <c r="BQ115" s="20">
        <v>0</v>
      </c>
      <c r="BR115" s="20">
        <v>0</v>
      </c>
      <c r="BS115" s="20">
        <v>0</v>
      </c>
      <c r="BT115" s="20">
        <v>0</v>
      </c>
      <c r="BU115" s="20">
        <v>0</v>
      </c>
      <c r="BV115" s="20">
        <v>0</v>
      </c>
      <c r="BW115" s="20">
        <v>0</v>
      </c>
      <c r="BX115" s="20">
        <v>0</v>
      </c>
      <c r="BY115" s="20">
        <v>0</v>
      </c>
      <c r="BZ115" s="20">
        <v>0</v>
      </c>
      <c r="CA115" s="20">
        <v>0</v>
      </c>
      <c r="CB115" s="20">
        <v>0</v>
      </c>
      <c r="CC115" s="20">
        <v>0</v>
      </c>
      <c r="CD115" s="20">
        <v>0</v>
      </c>
      <c r="CE115" s="20">
        <v>0</v>
      </c>
      <c r="CF115" s="20">
        <v>0</v>
      </c>
      <c r="CG115" s="20">
        <v>0</v>
      </c>
      <c r="CH115" s="20">
        <v>0</v>
      </c>
      <c r="CI115" s="20">
        <v>0</v>
      </c>
      <c r="CJ115" s="20">
        <v>0</v>
      </c>
      <c r="CK115" s="20">
        <v>0</v>
      </c>
      <c r="CL115" s="20">
        <v>0</v>
      </c>
      <c r="CM115" s="20">
        <v>0</v>
      </c>
      <c r="CN115" s="20">
        <v>0</v>
      </c>
      <c r="CO115" s="20">
        <v>0</v>
      </c>
      <c r="CP115" s="20">
        <v>0</v>
      </c>
      <c r="CQ115" s="20">
        <v>0</v>
      </c>
      <c r="CR115" s="20">
        <v>0</v>
      </c>
      <c r="CS115" s="20">
        <v>0</v>
      </c>
      <c r="CT115" s="20">
        <v>0</v>
      </c>
      <c r="CU115" s="20">
        <v>0</v>
      </c>
      <c r="CV115" s="20">
        <v>0</v>
      </c>
      <c r="CW115" s="20">
        <v>0</v>
      </c>
      <c r="CX115" s="20">
        <v>0</v>
      </c>
      <c r="CY115" s="20">
        <v>0</v>
      </c>
      <c r="CZ115" s="20">
        <v>0</v>
      </c>
      <c r="DA115" s="20">
        <v>0</v>
      </c>
      <c r="DB115" s="20">
        <v>0</v>
      </c>
      <c r="DC115" s="20">
        <v>0</v>
      </c>
      <c r="DD115" s="20">
        <v>0</v>
      </c>
      <c r="DE115" s="20">
        <v>0</v>
      </c>
      <c r="DF115" s="20">
        <v>0</v>
      </c>
      <c r="DG115" s="16">
        <f t="shared" si="9"/>
        <v>184</v>
      </c>
      <c r="DH115" s="16">
        <f t="shared" si="10"/>
        <v>5362</v>
      </c>
      <c r="DI115" s="17">
        <f t="shared" si="11"/>
        <v>29.141304347826086</v>
      </c>
      <c r="DJ115" s="119" t="s">
        <v>2</v>
      </c>
      <c r="DK115" s="44" t="s">
        <v>2</v>
      </c>
    </row>
    <row r="116" spans="1:116">
      <c r="A116" s="32" t="str">
        <f t="shared" si="12"/>
        <v>Powercor--&gt; 66 kV &amp; &lt; = 132 kV ; SWITCH</v>
      </c>
      <c r="B116" s="32" t="str">
        <f t="shared" si="13"/>
        <v>Powercor</v>
      </c>
      <c r="C116" s="416"/>
      <c r="D116" s="14"/>
      <c r="E116" s="15" t="s">
        <v>255</v>
      </c>
      <c r="F116" s="18">
        <v>0</v>
      </c>
      <c r="G116" s="18">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0">
        <v>0</v>
      </c>
      <c r="AY116" s="20">
        <v>0</v>
      </c>
      <c r="AZ116" s="20">
        <v>0</v>
      </c>
      <c r="BA116" s="20">
        <v>0</v>
      </c>
      <c r="BB116" s="20">
        <v>0</v>
      </c>
      <c r="BC116" s="20">
        <v>0</v>
      </c>
      <c r="BD116" s="20">
        <v>0</v>
      </c>
      <c r="BE116" s="20">
        <v>0</v>
      </c>
      <c r="BF116" s="20">
        <v>0</v>
      </c>
      <c r="BG116" s="20">
        <v>0</v>
      </c>
      <c r="BH116" s="20">
        <v>0</v>
      </c>
      <c r="BI116" s="20">
        <v>0</v>
      </c>
      <c r="BJ116" s="20">
        <v>0</v>
      </c>
      <c r="BK116" s="20">
        <v>0</v>
      </c>
      <c r="BL116" s="20">
        <v>0</v>
      </c>
      <c r="BM116" s="20">
        <v>0</v>
      </c>
      <c r="BN116" s="20">
        <v>0</v>
      </c>
      <c r="BO116" s="20">
        <v>0</v>
      </c>
      <c r="BP116" s="20">
        <v>0</v>
      </c>
      <c r="BQ116" s="20">
        <v>0</v>
      </c>
      <c r="BR116" s="20">
        <v>0</v>
      </c>
      <c r="BS116" s="20">
        <v>0</v>
      </c>
      <c r="BT116" s="20">
        <v>0</v>
      </c>
      <c r="BU116" s="20">
        <v>0</v>
      </c>
      <c r="BV116" s="20">
        <v>0</v>
      </c>
      <c r="BW116" s="20">
        <v>0</v>
      </c>
      <c r="BX116" s="20">
        <v>0</v>
      </c>
      <c r="BY116" s="20">
        <v>0</v>
      </c>
      <c r="BZ116" s="20">
        <v>0</v>
      </c>
      <c r="CA116" s="20">
        <v>0</v>
      </c>
      <c r="CB116" s="20">
        <v>0</v>
      </c>
      <c r="CC116" s="20">
        <v>0</v>
      </c>
      <c r="CD116" s="20">
        <v>0</v>
      </c>
      <c r="CE116" s="20">
        <v>0</v>
      </c>
      <c r="CF116" s="20">
        <v>0</v>
      </c>
      <c r="CG116" s="20">
        <v>0</v>
      </c>
      <c r="CH116" s="20">
        <v>0</v>
      </c>
      <c r="CI116" s="20">
        <v>0</v>
      </c>
      <c r="CJ116" s="20">
        <v>0</v>
      </c>
      <c r="CK116" s="20">
        <v>0</v>
      </c>
      <c r="CL116" s="20">
        <v>0</v>
      </c>
      <c r="CM116" s="20">
        <v>0</v>
      </c>
      <c r="CN116" s="20">
        <v>0</v>
      </c>
      <c r="CO116" s="20">
        <v>0</v>
      </c>
      <c r="CP116" s="20">
        <v>0</v>
      </c>
      <c r="CQ116" s="20">
        <v>0</v>
      </c>
      <c r="CR116" s="20">
        <v>0</v>
      </c>
      <c r="CS116" s="20">
        <v>0</v>
      </c>
      <c r="CT116" s="20">
        <v>0</v>
      </c>
      <c r="CU116" s="20">
        <v>0</v>
      </c>
      <c r="CV116" s="20">
        <v>0</v>
      </c>
      <c r="CW116" s="20">
        <v>0</v>
      </c>
      <c r="CX116" s="20">
        <v>0</v>
      </c>
      <c r="CY116" s="20">
        <v>0</v>
      </c>
      <c r="CZ116" s="20">
        <v>0</v>
      </c>
      <c r="DA116" s="20">
        <v>0</v>
      </c>
      <c r="DB116" s="20">
        <v>0</v>
      </c>
      <c r="DC116" s="20">
        <v>0</v>
      </c>
      <c r="DD116" s="20">
        <v>0</v>
      </c>
      <c r="DE116" s="20">
        <v>0</v>
      </c>
      <c r="DF116" s="20">
        <v>0</v>
      </c>
      <c r="DG116" s="16">
        <f t="shared" si="9"/>
        <v>0</v>
      </c>
      <c r="DH116" s="16">
        <f t="shared" si="10"/>
        <v>0</v>
      </c>
      <c r="DI116" s="17" t="str">
        <f t="shared" si="11"/>
        <v/>
      </c>
      <c r="DJ116" s="119" t="s">
        <v>2</v>
      </c>
      <c r="DK116" s="44" t="s">
        <v>2</v>
      </c>
    </row>
    <row r="117" spans="1:116">
      <c r="A117" s="32" t="str">
        <f t="shared" si="12"/>
        <v>Powercor--&gt; 66 kV &amp; &lt; = 132 kV  ; CIRCUIT BREAKER</v>
      </c>
      <c r="B117" s="32" t="str">
        <f t="shared" si="13"/>
        <v>Powercor</v>
      </c>
      <c r="C117" s="416"/>
      <c r="D117" s="14"/>
      <c r="E117" s="15" t="s">
        <v>256</v>
      </c>
      <c r="F117" s="18">
        <v>0</v>
      </c>
      <c r="G117" s="18">
        <v>0</v>
      </c>
      <c r="H117" s="20">
        <v>0</v>
      </c>
      <c r="I117" s="20">
        <v>0</v>
      </c>
      <c r="J117" s="20">
        <v>0</v>
      </c>
      <c r="K117" s="20">
        <v>0</v>
      </c>
      <c r="L117" s="20">
        <v>0</v>
      </c>
      <c r="M117" s="20">
        <v>0</v>
      </c>
      <c r="N117" s="20">
        <v>0</v>
      </c>
      <c r="O117" s="20">
        <v>0</v>
      </c>
      <c r="P117" s="20">
        <v>0</v>
      </c>
      <c r="Q117" s="20">
        <v>0</v>
      </c>
      <c r="R117" s="20">
        <v>0</v>
      </c>
      <c r="S117" s="20">
        <v>0</v>
      </c>
      <c r="T117" s="20">
        <v>0</v>
      </c>
      <c r="U117" s="20">
        <v>0</v>
      </c>
      <c r="V117" s="20">
        <v>0</v>
      </c>
      <c r="W117" s="20">
        <v>0</v>
      </c>
      <c r="X117" s="20">
        <v>0</v>
      </c>
      <c r="Y117" s="20">
        <v>0</v>
      </c>
      <c r="Z117" s="20">
        <v>0</v>
      </c>
      <c r="AA117" s="20">
        <v>0</v>
      </c>
      <c r="AB117" s="20">
        <v>0</v>
      </c>
      <c r="AC117" s="20">
        <v>0</v>
      </c>
      <c r="AD117" s="20">
        <v>0</v>
      </c>
      <c r="AE117" s="20">
        <v>0</v>
      </c>
      <c r="AF117" s="20">
        <v>0</v>
      </c>
      <c r="AG117" s="20">
        <v>0</v>
      </c>
      <c r="AH117" s="20">
        <v>0</v>
      </c>
      <c r="AI117" s="20">
        <v>0</v>
      </c>
      <c r="AJ117" s="20">
        <v>0</v>
      </c>
      <c r="AK117" s="20">
        <v>0</v>
      </c>
      <c r="AL117" s="20">
        <v>0</v>
      </c>
      <c r="AM117" s="20">
        <v>0</v>
      </c>
      <c r="AN117" s="20">
        <v>0</v>
      </c>
      <c r="AO117" s="20">
        <v>0</v>
      </c>
      <c r="AP117" s="20">
        <v>0</v>
      </c>
      <c r="AQ117" s="20">
        <v>0</v>
      </c>
      <c r="AR117" s="20">
        <v>0</v>
      </c>
      <c r="AS117" s="20">
        <v>0</v>
      </c>
      <c r="AT117" s="20">
        <v>0</v>
      </c>
      <c r="AU117" s="20">
        <v>0</v>
      </c>
      <c r="AV117" s="20">
        <v>0</v>
      </c>
      <c r="AW117" s="20">
        <v>0</v>
      </c>
      <c r="AX117" s="20">
        <v>0</v>
      </c>
      <c r="AY117" s="20">
        <v>0</v>
      </c>
      <c r="AZ117" s="20">
        <v>0</v>
      </c>
      <c r="BA117" s="20">
        <v>0</v>
      </c>
      <c r="BB117" s="20">
        <v>0</v>
      </c>
      <c r="BC117" s="20">
        <v>0</v>
      </c>
      <c r="BD117" s="20">
        <v>0</v>
      </c>
      <c r="BE117" s="20">
        <v>0</v>
      </c>
      <c r="BF117" s="20">
        <v>0</v>
      </c>
      <c r="BG117" s="20">
        <v>0</v>
      </c>
      <c r="BH117" s="20">
        <v>0</v>
      </c>
      <c r="BI117" s="20">
        <v>0</v>
      </c>
      <c r="BJ117" s="20">
        <v>0</v>
      </c>
      <c r="BK117" s="20">
        <v>0</v>
      </c>
      <c r="BL117" s="20">
        <v>0</v>
      </c>
      <c r="BM117" s="20">
        <v>0</v>
      </c>
      <c r="BN117" s="20">
        <v>0</v>
      </c>
      <c r="BO117" s="20">
        <v>0</v>
      </c>
      <c r="BP117" s="20">
        <v>0</v>
      </c>
      <c r="BQ117" s="20">
        <v>0</v>
      </c>
      <c r="BR117" s="20">
        <v>0</v>
      </c>
      <c r="BS117" s="20">
        <v>0</v>
      </c>
      <c r="BT117" s="20">
        <v>0</v>
      </c>
      <c r="BU117" s="20">
        <v>0</v>
      </c>
      <c r="BV117" s="20">
        <v>0</v>
      </c>
      <c r="BW117" s="20">
        <v>0</v>
      </c>
      <c r="BX117" s="20">
        <v>0</v>
      </c>
      <c r="BY117" s="20">
        <v>0</v>
      </c>
      <c r="BZ117" s="20">
        <v>0</v>
      </c>
      <c r="CA117" s="20">
        <v>0</v>
      </c>
      <c r="CB117" s="20">
        <v>0</v>
      </c>
      <c r="CC117" s="20">
        <v>0</v>
      </c>
      <c r="CD117" s="20">
        <v>0</v>
      </c>
      <c r="CE117" s="20">
        <v>0</v>
      </c>
      <c r="CF117" s="20">
        <v>0</v>
      </c>
      <c r="CG117" s="20">
        <v>0</v>
      </c>
      <c r="CH117" s="20">
        <v>0</v>
      </c>
      <c r="CI117" s="20">
        <v>0</v>
      </c>
      <c r="CJ117" s="20">
        <v>0</v>
      </c>
      <c r="CK117" s="20">
        <v>0</v>
      </c>
      <c r="CL117" s="20">
        <v>0</v>
      </c>
      <c r="CM117" s="20">
        <v>0</v>
      </c>
      <c r="CN117" s="20">
        <v>0</v>
      </c>
      <c r="CO117" s="20">
        <v>0</v>
      </c>
      <c r="CP117" s="20">
        <v>0</v>
      </c>
      <c r="CQ117" s="20">
        <v>0</v>
      </c>
      <c r="CR117" s="20">
        <v>0</v>
      </c>
      <c r="CS117" s="20">
        <v>0</v>
      </c>
      <c r="CT117" s="20">
        <v>0</v>
      </c>
      <c r="CU117" s="20">
        <v>0</v>
      </c>
      <c r="CV117" s="20">
        <v>0</v>
      </c>
      <c r="CW117" s="20">
        <v>0</v>
      </c>
      <c r="CX117" s="20">
        <v>0</v>
      </c>
      <c r="CY117" s="20">
        <v>0</v>
      </c>
      <c r="CZ117" s="20">
        <v>0</v>
      </c>
      <c r="DA117" s="20">
        <v>0</v>
      </c>
      <c r="DB117" s="20">
        <v>0</v>
      </c>
      <c r="DC117" s="20">
        <v>0</v>
      </c>
      <c r="DD117" s="20">
        <v>0</v>
      </c>
      <c r="DE117" s="20">
        <v>0</v>
      </c>
      <c r="DF117" s="20">
        <v>0</v>
      </c>
      <c r="DG117" s="16">
        <f t="shared" si="9"/>
        <v>0</v>
      </c>
      <c r="DH117" s="16">
        <f t="shared" si="10"/>
        <v>0</v>
      </c>
      <c r="DI117" s="17" t="str">
        <f t="shared" si="11"/>
        <v/>
      </c>
      <c r="DJ117" s="119" t="s">
        <v>2</v>
      </c>
      <c r="DK117" s="44" t="s">
        <v>2</v>
      </c>
    </row>
    <row r="118" spans="1:116">
      <c r="A118" s="32" t="str">
        <f t="shared" si="12"/>
        <v>Powercor--&gt; 132 kV ; SWITCH</v>
      </c>
      <c r="B118" s="32" t="str">
        <f t="shared" si="13"/>
        <v>Powercor</v>
      </c>
      <c r="C118" s="416"/>
      <c r="D118" s="14"/>
      <c r="E118" s="15" t="s">
        <v>257</v>
      </c>
      <c r="F118" s="18">
        <v>0</v>
      </c>
      <c r="G118" s="18">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0">
        <v>0</v>
      </c>
      <c r="AY118" s="20">
        <v>0</v>
      </c>
      <c r="AZ118" s="20">
        <v>0</v>
      </c>
      <c r="BA118" s="20">
        <v>0</v>
      </c>
      <c r="BB118" s="20">
        <v>0</v>
      </c>
      <c r="BC118" s="20">
        <v>0</v>
      </c>
      <c r="BD118" s="20">
        <v>0</v>
      </c>
      <c r="BE118" s="20">
        <v>0</v>
      </c>
      <c r="BF118" s="20">
        <v>0</v>
      </c>
      <c r="BG118" s="20">
        <v>0</v>
      </c>
      <c r="BH118" s="20">
        <v>0</v>
      </c>
      <c r="BI118" s="20">
        <v>0</v>
      </c>
      <c r="BJ118" s="20">
        <v>0</v>
      </c>
      <c r="BK118" s="20">
        <v>0</v>
      </c>
      <c r="BL118" s="20">
        <v>0</v>
      </c>
      <c r="BM118" s="20">
        <v>0</v>
      </c>
      <c r="BN118" s="20">
        <v>0</v>
      </c>
      <c r="BO118" s="20">
        <v>0</v>
      </c>
      <c r="BP118" s="20">
        <v>0</v>
      </c>
      <c r="BQ118" s="20">
        <v>0</v>
      </c>
      <c r="BR118" s="20">
        <v>0</v>
      </c>
      <c r="BS118" s="20">
        <v>0</v>
      </c>
      <c r="BT118" s="20">
        <v>0</v>
      </c>
      <c r="BU118" s="20">
        <v>0</v>
      </c>
      <c r="BV118" s="20">
        <v>0</v>
      </c>
      <c r="BW118" s="20">
        <v>0</v>
      </c>
      <c r="BX118" s="20">
        <v>0</v>
      </c>
      <c r="BY118" s="20">
        <v>0</v>
      </c>
      <c r="BZ118" s="20">
        <v>0</v>
      </c>
      <c r="CA118" s="20">
        <v>0</v>
      </c>
      <c r="CB118" s="20">
        <v>0</v>
      </c>
      <c r="CC118" s="20">
        <v>0</v>
      </c>
      <c r="CD118" s="20">
        <v>0</v>
      </c>
      <c r="CE118" s="20">
        <v>0</v>
      </c>
      <c r="CF118" s="20">
        <v>0</v>
      </c>
      <c r="CG118" s="20">
        <v>0</v>
      </c>
      <c r="CH118" s="20">
        <v>0</v>
      </c>
      <c r="CI118" s="20">
        <v>0</v>
      </c>
      <c r="CJ118" s="20">
        <v>0</v>
      </c>
      <c r="CK118" s="20">
        <v>0</v>
      </c>
      <c r="CL118" s="20">
        <v>0</v>
      </c>
      <c r="CM118" s="20">
        <v>0</v>
      </c>
      <c r="CN118" s="20">
        <v>0</v>
      </c>
      <c r="CO118" s="20">
        <v>0</v>
      </c>
      <c r="CP118" s="20">
        <v>0</v>
      </c>
      <c r="CQ118" s="20">
        <v>0</v>
      </c>
      <c r="CR118" s="20">
        <v>0</v>
      </c>
      <c r="CS118" s="20">
        <v>0</v>
      </c>
      <c r="CT118" s="20">
        <v>0</v>
      </c>
      <c r="CU118" s="20">
        <v>0</v>
      </c>
      <c r="CV118" s="20">
        <v>0</v>
      </c>
      <c r="CW118" s="20">
        <v>0</v>
      </c>
      <c r="CX118" s="20">
        <v>0</v>
      </c>
      <c r="CY118" s="20">
        <v>0</v>
      </c>
      <c r="CZ118" s="20">
        <v>0</v>
      </c>
      <c r="DA118" s="20">
        <v>0</v>
      </c>
      <c r="DB118" s="20">
        <v>0</v>
      </c>
      <c r="DC118" s="20">
        <v>0</v>
      </c>
      <c r="DD118" s="20">
        <v>0</v>
      </c>
      <c r="DE118" s="20">
        <v>0</v>
      </c>
      <c r="DF118" s="20">
        <v>0</v>
      </c>
      <c r="DG118" s="16">
        <f t="shared" si="9"/>
        <v>0</v>
      </c>
      <c r="DH118" s="16">
        <f t="shared" si="10"/>
        <v>0</v>
      </c>
      <c r="DI118" s="17" t="str">
        <f t="shared" si="11"/>
        <v/>
      </c>
      <c r="DJ118" s="119" t="s">
        <v>2</v>
      </c>
      <c r="DK118" s="44" t="s">
        <v>2</v>
      </c>
    </row>
    <row r="119" spans="1:116">
      <c r="A119" s="32" t="str">
        <f t="shared" si="12"/>
        <v>Powercor--&gt; 132 kV ; CIRCUIT BREAKER</v>
      </c>
      <c r="B119" s="32" t="str">
        <f t="shared" si="13"/>
        <v>Powercor</v>
      </c>
      <c r="C119" s="416"/>
      <c r="D119" s="14"/>
      <c r="E119" s="15" t="s">
        <v>258</v>
      </c>
      <c r="F119" s="18">
        <v>0</v>
      </c>
      <c r="G119" s="18">
        <v>0</v>
      </c>
      <c r="H119" s="20">
        <v>0</v>
      </c>
      <c r="I119" s="20">
        <v>0</v>
      </c>
      <c r="J119" s="20">
        <v>0</v>
      </c>
      <c r="K119" s="20">
        <v>0</v>
      </c>
      <c r="L119" s="20">
        <v>0</v>
      </c>
      <c r="M119" s="20">
        <v>0</v>
      </c>
      <c r="N119" s="20">
        <v>0</v>
      </c>
      <c r="O119" s="20">
        <v>0</v>
      </c>
      <c r="P119" s="20">
        <v>0</v>
      </c>
      <c r="Q119" s="20">
        <v>0</v>
      </c>
      <c r="R119" s="20">
        <v>0</v>
      </c>
      <c r="S119" s="20">
        <v>0</v>
      </c>
      <c r="T119" s="20">
        <v>0</v>
      </c>
      <c r="U119" s="20">
        <v>0</v>
      </c>
      <c r="V119" s="20">
        <v>0</v>
      </c>
      <c r="W119" s="20">
        <v>0</v>
      </c>
      <c r="X119" s="20">
        <v>0</v>
      </c>
      <c r="Y119" s="20">
        <v>0</v>
      </c>
      <c r="Z119" s="20">
        <v>0</v>
      </c>
      <c r="AA119" s="20">
        <v>0</v>
      </c>
      <c r="AB119" s="20">
        <v>0</v>
      </c>
      <c r="AC119" s="20">
        <v>0</v>
      </c>
      <c r="AD119" s="20">
        <v>0</v>
      </c>
      <c r="AE119" s="20">
        <v>0</v>
      </c>
      <c r="AF119" s="20">
        <v>0</v>
      </c>
      <c r="AG119" s="20">
        <v>0</v>
      </c>
      <c r="AH119" s="20">
        <v>0</v>
      </c>
      <c r="AI119" s="20">
        <v>0</v>
      </c>
      <c r="AJ119" s="20">
        <v>0</v>
      </c>
      <c r="AK119" s="20">
        <v>0</v>
      </c>
      <c r="AL119" s="20">
        <v>0</v>
      </c>
      <c r="AM119" s="20">
        <v>0</v>
      </c>
      <c r="AN119" s="20">
        <v>0</v>
      </c>
      <c r="AO119" s="20">
        <v>0</v>
      </c>
      <c r="AP119" s="20">
        <v>0</v>
      </c>
      <c r="AQ119" s="20">
        <v>0</v>
      </c>
      <c r="AR119" s="20">
        <v>0</v>
      </c>
      <c r="AS119" s="20">
        <v>0</v>
      </c>
      <c r="AT119" s="20">
        <v>0</v>
      </c>
      <c r="AU119" s="20">
        <v>0</v>
      </c>
      <c r="AV119" s="20">
        <v>0</v>
      </c>
      <c r="AW119" s="20">
        <v>0</v>
      </c>
      <c r="AX119" s="20">
        <v>0</v>
      </c>
      <c r="AY119" s="20">
        <v>0</v>
      </c>
      <c r="AZ119" s="20">
        <v>0</v>
      </c>
      <c r="BA119" s="20">
        <v>0</v>
      </c>
      <c r="BB119" s="20">
        <v>0</v>
      </c>
      <c r="BC119" s="20">
        <v>0</v>
      </c>
      <c r="BD119" s="20">
        <v>0</v>
      </c>
      <c r="BE119" s="20">
        <v>0</v>
      </c>
      <c r="BF119" s="20">
        <v>0</v>
      </c>
      <c r="BG119" s="20">
        <v>0</v>
      </c>
      <c r="BH119" s="20">
        <v>0</v>
      </c>
      <c r="BI119" s="20">
        <v>0</v>
      </c>
      <c r="BJ119" s="20">
        <v>0</v>
      </c>
      <c r="BK119" s="20">
        <v>0</v>
      </c>
      <c r="BL119" s="20">
        <v>0</v>
      </c>
      <c r="BM119" s="20">
        <v>0</v>
      </c>
      <c r="BN119" s="20">
        <v>0</v>
      </c>
      <c r="BO119" s="20">
        <v>0</v>
      </c>
      <c r="BP119" s="20">
        <v>0</v>
      </c>
      <c r="BQ119" s="20">
        <v>0</v>
      </c>
      <c r="BR119" s="20">
        <v>0</v>
      </c>
      <c r="BS119" s="20">
        <v>0</v>
      </c>
      <c r="BT119" s="20">
        <v>0</v>
      </c>
      <c r="BU119" s="20">
        <v>0</v>
      </c>
      <c r="BV119" s="20">
        <v>0</v>
      </c>
      <c r="BW119" s="20">
        <v>0</v>
      </c>
      <c r="BX119" s="20">
        <v>0</v>
      </c>
      <c r="BY119" s="20">
        <v>0</v>
      </c>
      <c r="BZ119" s="20">
        <v>0</v>
      </c>
      <c r="CA119" s="20">
        <v>0</v>
      </c>
      <c r="CB119" s="20">
        <v>0</v>
      </c>
      <c r="CC119" s="20">
        <v>0</v>
      </c>
      <c r="CD119" s="20">
        <v>0</v>
      </c>
      <c r="CE119" s="20">
        <v>0</v>
      </c>
      <c r="CF119" s="20">
        <v>0</v>
      </c>
      <c r="CG119" s="20">
        <v>0</v>
      </c>
      <c r="CH119" s="20">
        <v>0</v>
      </c>
      <c r="CI119" s="20">
        <v>0</v>
      </c>
      <c r="CJ119" s="20">
        <v>0</v>
      </c>
      <c r="CK119" s="20">
        <v>0</v>
      </c>
      <c r="CL119" s="20">
        <v>0</v>
      </c>
      <c r="CM119" s="20">
        <v>0</v>
      </c>
      <c r="CN119" s="20">
        <v>0</v>
      </c>
      <c r="CO119" s="20">
        <v>0</v>
      </c>
      <c r="CP119" s="20">
        <v>0</v>
      </c>
      <c r="CQ119" s="20">
        <v>0</v>
      </c>
      <c r="CR119" s="20">
        <v>0</v>
      </c>
      <c r="CS119" s="20">
        <v>0</v>
      </c>
      <c r="CT119" s="20">
        <v>0</v>
      </c>
      <c r="CU119" s="20">
        <v>0</v>
      </c>
      <c r="CV119" s="20">
        <v>0</v>
      </c>
      <c r="CW119" s="20">
        <v>0</v>
      </c>
      <c r="CX119" s="20">
        <v>0</v>
      </c>
      <c r="CY119" s="20">
        <v>0</v>
      </c>
      <c r="CZ119" s="20">
        <v>0</v>
      </c>
      <c r="DA119" s="20">
        <v>0</v>
      </c>
      <c r="DB119" s="20">
        <v>0</v>
      </c>
      <c r="DC119" s="20">
        <v>0</v>
      </c>
      <c r="DD119" s="20">
        <v>0</v>
      </c>
      <c r="DE119" s="20">
        <v>0</v>
      </c>
      <c r="DF119" s="20">
        <v>0</v>
      </c>
      <c r="DG119" s="16">
        <f t="shared" si="9"/>
        <v>0</v>
      </c>
      <c r="DH119" s="16">
        <f t="shared" si="10"/>
        <v>0</v>
      </c>
      <c r="DI119" s="17" t="str">
        <f t="shared" si="11"/>
        <v/>
      </c>
      <c r="DJ119" s="119" t="s">
        <v>2</v>
      </c>
      <c r="DK119" s="44" t="s">
        <v>2</v>
      </c>
    </row>
    <row r="120" spans="1:116">
      <c r="A120" s="32" t="str">
        <f t="shared" si="12"/>
        <v>Powercor--&gt; 11 KV &amp; &lt; ≈ 22 KV  ; ISOLATORS, EARTHING SWITCH</v>
      </c>
      <c r="B120" s="32" t="str">
        <f t="shared" si="13"/>
        <v>Powercor</v>
      </c>
      <c r="C120" s="416"/>
      <c r="D120" s="14"/>
      <c r="E120" s="15" t="s">
        <v>546</v>
      </c>
      <c r="F120" s="18">
        <v>55</v>
      </c>
      <c r="G120" s="18">
        <v>7.416198487095663</v>
      </c>
      <c r="H120" s="20">
        <v>1</v>
      </c>
      <c r="I120" s="20">
        <v>3</v>
      </c>
      <c r="J120" s="20">
        <v>3</v>
      </c>
      <c r="K120" s="20">
        <v>2</v>
      </c>
      <c r="L120" s="20">
        <v>2</v>
      </c>
      <c r="M120" s="20">
        <v>3</v>
      </c>
      <c r="N120" s="20">
        <v>3</v>
      </c>
      <c r="O120" s="20">
        <v>4</v>
      </c>
      <c r="P120" s="20">
        <v>2</v>
      </c>
      <c r="Q120" s="20">
        <v>5</v>
      </c>
      <c r="R120" s="20">
        <v>3</v>
      </c>
      <c r="S120" s="20">
        <v>2</v>
      </c>
      <c r="T120" s="20">
        <v>4</v>
      </c>
      <c r="U120" s="20">
        <v>1</v>
      </c>
      <c r="V120" s="20">
        <v>2</v>
      </c>
      <c r="W120" s="20">
        <v>0</v>
      </c>
      <c r="X120" s="20">
        <v>0</v>
      </c>
      <c r="Y120" s="20">
        <v>0</v>
      </c>
      <c r="Z120" s="20">
        <v>0</v>
      </c>
      <c r="AA120" s="20">
        <v>0</v>
      </c>
      <c r="AB120" s="20">
        <v>0</v>
      </c>
      <c r="AC120" s="20">
        <v>0</v>
      </c>
      <c r="AD120" s="20">
        <v>0</v>
      </c>
      <c r="AE120" s="20">
        <v>0</v>
      </c>
      <c r="AF120" s="20">
        <v>2</v>
      </c>
      <c r="AG120" s="20">
        <v>0</v>
      </c>
      <c r="AH120" s="20">
        <v>4</v>
      </c>
      <c r="AI120" s="20">
        <v>1</v>
      </c>
      <c r="AJ120" s="20">
        <v>3</v>
      </c>
      <c r="AK120" s="20">
        <v>4</v>
      </c>
      <c r="AL120" s="20">
        <v>0</v>
      </c>
      <c r="AM120" s="20">
        <v>0</v>
      </c>
      <c r="AN120" s="20">
        <v>3</v>
      </c>
      <c r="AO120" s="20">
        <v>0</v>
      </c>
      <c r="AP120" s="20">
        <v>4</v>
      </c>
      <c r="AQ120" s="20">
        <v>11</v>
      </c>
      <c r="AR120" s="20">
        <v>0</v>
      </c>
      <c r="AS120" s="20">
        <v>7</v>
      </c>
      <c r="AT120" s="20">
        <v>4</v>
      </c>
      <c r="AU120" s="20">
        <v>0</v>
      </c>
      <c r="AV120" s="20">
        <v>0</v>
      </c>
      <c r="AW120" s="20">
        <v>0</v>
      </c>
      <c r="AX120" s="20">
        <v>0</v>
      </c>
      <c r="AY120" s="20">
        <v>1</v>
      </c>
      <c r="AZ120" s="20">
        <v>9</v>
      </c>
      <c r="BA120" s="20">
        <v>3</v>
      </c>
      <c r="BB120" s="20">
        <v>5</v>
      </c>
      <c r="BC120" s="20">
        <v>2</v>
      </c>
      <c r="BD120" s="20">
        <v>3</v>
      </c>
      <c r="BE120" s="20">
        <v>2</v>
      </c>
      <c r="BF120" s="20">
        <v>2</v>
      </c>
      <c r="BG120" s="20">
        <v>6</v>
      </c>
      <c r="BH120" s="20">
        <v>0</v>
      </c>
      <c r="BI120" s="20">
        <v>3</v>
      </c>
      <c r="BJ120" s="20">
        <v>5</v>
      </c>
      <c r="BK120" s="20">
        <v>4</v>
      </c>
      <c r="BL120" s="20">
        <v>0</v>
      </c>
      <c r="BM120" s="20">
        <v>0</v>
      </c>
      <c r="BN120" s="20">
        <v>1</v>
      </c>
      <c r="BO120" s="20">
        <v>3</v>
      </c>
      <c r="BP120" s="20">
        <v>0</v>
      </c>
      <c r="BQ120" s="20">
        <v>0</v>
      </c>
      <c r="BR120" s="20">
        <v>0</v>
      </c>
      <c r="BS120" s="20">
        <v>0</v>
      </c>
      <c r="BT120" s="20">
        <v>0</v>
      </c>
      <c r="BU120" s="20">
        <v>0</v>
      </c>
      <c r="BV120" s="20">
        <v>0</v>
      </c>
      <c r="BW120" s="20">
        <v>0</v>
      </c>
      <c r="BX120" s="20">
        <v>0</v>
      </c>
      <c r="BY120" s="20">
        <v>0</v>
      </c>
      <c r="BZ120" s="20">
        <v>0</v>
      </c>
      <c r="CA120" s="20">
        <v>0</v>
      </c>
      <c r="CB120" s="20">
        <v>0</v>
      </c>
      <c r="CC120" s="20">
        <v>0</v>
      </c>
      <c r="CD120" s="20">
        <v>0</v>
      </c>
      <c r="CE120" s="20">
        <v>0</v>
      </c>
      <c r="CF120" s="20">
        <v>0</v>
      </c>
      <c r="CG120" s="20">
        <v>0</v>
      </c>
      <c r="CH120" s="20">
        <v>0</v>
      </c>
      <c r="CI120" s="20">
        <v>0</v>
      </c>
      <c r="CJ120" s="20">
        <v>0</v>
      </c>
      <c r="CK120" s="20">
        <v>0</v>
      </c>
      <c r="CL120" s="20">
        <v>0</v>
      </c>
      <c r="CM120" s="20">
        <v>0</v>
      </c>
      <c r="CN120" s="20">
        <v>0</v>
      </c>
      <c r="CO120" s="20">
        <v>0</v>
      </c>
      <c r="CP120" s="20">
        <v>0</v>
      </c>
      <c r="CQ120" s="20">
        <v>0</v>
      </c>
      <c r="CR120" s="20">
        <v>0</v>
      </c>
      <c r="CS120" s="20">
        <v>0</v>
      </c>
      <c r="CT120" s="20">
        <v>0</v>
      </c>
      <c r="CU120" s="20">
        <v>0</v>
      </c>
      <c r="CV120" s="20">
        <v>0</v>
      </c>
      <c r="CW120" s="20">
        <v>0</v>
      </c>
      <c r="CX120" s="20">
        <v>0</v>
      </c>
      <c r="CY120" s="20">
        <v>0</v>
      </c>
      <c r="CZ120" s="20">
        <v>0</v>
      </c>
      <c r="DA120" s="20">
        <v>0</v>
      </c>
      <c r="DB120" s="20">
        <v>0</v>
      </c>
      <c r="DC120" s="20">
        <v>0</v>
      </c>
      <c r="DD120" s="20">
        <v>0</v>
      </c>
      <c r="DE120" s="20">
        <v>0</v>
      </c>
      <c r="DF120" s="20">
        <v>0</v>
      </c>
      <c r="DG120" s="16">
        <f t="shared" si="9"/>
        <v>132</v>
      </c>
      <c r="DH120" s="16">
        <f t="shared" si="10"/>
        <v>4255</v>
      </c>
      <c r="DI120" s="17">
        <f t="shared" si="11"/>
        <v>32.234848484848484</v>
      </c>
      <c r="DJ120" s="119" t="s">
        <v>2</v>
      </c>
      <c r="DK120" s="44" t="s">
        <v>2</v>
      </c>
    </row>
    <row r="121" spans="1:116">
      <c r="A121" s="32" t="str">
        <f t="shared" si="12"/>
        <v>Powercor--&gt; 33 KV &amp; &lt; ≈ 66 KV ; ISOLATORS, EARTHING SWITCH</v>
      </c>
      <c r="B121" s="32" t="str">
        <f t="shared" si="13"/>
        <v>Powercor</v>
      </c>
      <c r="C121" s="416"/>
      <c r="D121" s="14"/>
      <c r="E121" s="15" t="s">
        <v>260</v>
      </c>
      <c r="F121" s="18">
        <v>55</v>
      </c>
      <c r="G121" s="18">
        <v>7.416198487095663</v>
      </c>
      <c r="H121" s="20">
        <v>1</v>
      </c>
      <c r="I121" s="20">
        <v>7</v>
      </c>
      <c r="J121" s="20">
        <v>7</v>
      </c>
      <c r="K121" s="20">
        <v>4</v>
      </c>
      <c r="L121" s="20">
        <v>4</v>
      </c>
      <c r="M121" s="20">
        <v>7</v>
      </c>
      <c r="N121" s="20">
        <v>8</v>
      </c>
      <c r="O121" s="20">
        <v>9</v>
      </c>
      <c r="P121" s="20">
        <v>5</v>
      </c>
      <c r="Q121" s="20">
        <v>11</v>
      </c>
      <c r="R121" s="20">
        <v>7</v>
      </c>
      <c r="S121" s="20">
        <v>5</v>
      </c>
      <c r="T121" s="20">
        <v>9</v>
      </c>
      <c r="U121" s="20">
        <v>2</v>
      </c>
      <c r="V121" s="20">
        <v>4</v>
      </c>
      <c r="W121" s="20">
        <v>0</v>
      </c>
      <c r="X121" s="20">
        <v>0</v>
      </c>
      <c r="Y121" s="20">
        <v>0</v>
      </c>
      <c r="Z121" s="20">
        <v>0</v>
      </c>
      <c r="AA121" s="20">
        <v>1</v>
      </c>
      <c r="AB121" s="20">
        <v>0</v>
      </c>
      <c r="AC121" s="20">
        <v>0</v>
      </c>
      <c r="AD121" s="20">
        <v>0</v>
      </c>
      <c r="AE121" s="20">
        <v>0</v>
      </c>
      <c r="AF121" s="20">
        <v>4</v>
      </c>
      <c r="AG121" s="20">
        <v>1</v>
      </c>
      <c r="AH121" s="20">
        <v>9</v>
      </c>
      <c r="AI121" s="20">
        <v>2</v>
      </c>
      <c r="AJ121" s="20">
        <v>6</v>
      </c>
      <c r="AK121" s="20">
        <v>9</v>
      </c>
      <c r="AL121" s="20">
        <v>1</v>
      </c>
      <c r="AM121" s="20">
        <v>0</v>
      </c>
      <c r="AN121" s="20">
        <v>7</v>
      </c>
      <c r="AO121" s="20">
        <v>0</v>
      </c>
      <c r="AP121" s="20">
        <v>10</v>
      </c>
      <c r="AQ121" s="20">
        <v>26</v>
      </c>
      <c r="AR121" s="20">
        <v>0</v>
      </c>
      <c r="AS121" s="20">
        <v>16</v>
      </c>
      <c r="AT121" s="20">
        <v>9</v>
      </c>
      <c r="AU121" s="20">
        <v>0</v>
      </c>
      <c r="AV121" s="20">
        <v>0</v>
      </c>
      <c r="AW121" s="20">
        <v>0</v>
      </c>
      <c r="AX121" s="20">
        <v>0</v>
      </c>
      <c r="AY121" s="20">
        <v>3</v>
      </c>
      <c r="AZ121" s="20">
        <v>20</v>
      </c>
      <c r="BA121" s="20">
        <v>8</v>
      </c>
      <c r="BB121" s="20">
        <v>12</v>
      </c>
      <c r="BC121" s="20">
        <v>4</v>
      </c>
      <c r="BD121" s="20">
        <v>8</v>
      </c>
      <c r="BE121" s="20">
        <v>5</v>
      </c>
      <c r="BF121" s="20">
        <v>4</v>
      </c>
      <c r="BG121" s="20">
        <v>13</v>
      </c>
      <c r="BH121" s="20">
        <v>0</v>
      </c>
      <c r="BI121" s="20">
        <v>6</v>
      </c>
      <c r="BJ121" s="20">
        <v>11</v>
      </c>
      <c r="BK121" s="20">
        <v>10</v>
      </c>
      <c r="BL121" s="20">
        <v>0</v>
      </c>
      <c r="BM121" s="20">
        <v>0</v>
      </c>
      <c r="BN121" s="20">
        <v>2</v>
      </c>
      <c r="BO121" s="20">
        <v>6</v>
      </c>
      <c r="BP121" s="20">
        <v>0</v>
      </c>
      <c r="BQ121" s="20">
        <v>1</v>
      </c>
      <c r="BR121" s="20">
        <v>0</v>
      </c>
      <c r="BS121" s="20">
        <v>0</v>
      </c>
      <c r="BT121" s="20">
        <v>0</v>
      </c>
      <c r="BU121" s="20">
        <v>0</v>
      </c>
      <c r="BV121" s="20">
        <v>0</v>
      </c>
      <c r="BW121" s="20">
        <v>0</v>
      </c>
      <c r="BX121" s="20">
        <v>0</v>
      </c>
      <c r="BY121" s="20">
        <v>0</v>
      </c>
      <c r="BZ121" s="20">
        <v>0</v>
      </c>
      <c r="CA121" s="20">
        <v>0</v>
      </c>
      <c r="CB121" s="20">
        <v>0</v>
      </c>
      <c r="CC121" s="20">
        <v>0</v>
      </c>
      <c r="CD121" s="20">
        <v>0</v>
      </c>
      <c r="CE121" s="20">
        <v>0</v>
      </c>
      <c r="CF121" s="20">
        <v>0</v>
      </c>
      <c r="CG121" s="20">
        <v>0</v>
      </c>
      <c r="CH121" s="20">
        <v>0</v>
      </c>
      <c r="CI121" s="20">
        <v>0</v>
      </c>
      <c r="CJ121" s="20">
        <v>0</v>
      </c>
      <c r="CK121" s="20">
        <v>0</v>
      </c>
      <c r="CL121" s="20">
        <v>0</v>
      </c>
      <c r="CM121" s="20">
        <v>0</v>
      </c>
      <c r="CN121" s="20">
        <v>0</v>
      </c>
      <c r="CO121" s="20">
        <v>0</v>
      </c>
      <c r="CP121" s="20">
        <v>0</v>
      </c>
      <c r="CQ121" s="20">
        <v>0</v>
      </c>
      <c r="CR121" s="20">
        <v>0</v>
      </c>
      <c r="CS121" s="20">
        <v>0</v>
      </c>
      <c r="CT121" s="20">
        <v>0</v>
      </c>
      <c r="CU121" s="20">
        <v>0</v>
      </c>
      <c r="CV121" s="20">
        <v>0</v>
      </c>
      <c r="CW121" s="20">
        <v>0</v>
      </c>
      <c r="CX121" s="20">
        <v>0</v>
      </c>
      <c r="CY121" s="20">
        <v>0</v>
      </c>
      <c r="CZ121" s="20">
        <v>0</v>
      </c>
      <c r="DA121" s="20">
        <v>0</v>
      </c>
      <c r="DB121" s="20">
        <v>0</v>
      </c>
      <c r="DC121" s="20">
        <v>0</v>
      </c>
      <c r="DD121" s="20">
        <v>0</v>
      </c>
      <c r="DE121" s="20">
        <v>0</v>
      </c>
      <c r="DF121" s="20">
        <v>0</v>
      </c>
      <c r="DG121" s="16">
        <f t="shared" si="9"/>
        <v>304</v>
      </c>
      <c r="DH121" s="16">
        <f t="shared" si="10"/>
        <v>9842</v>
      </c>
      <c r="DI121" s="17">
        <f t="shared" si="11"/>
        <v>32.375</v>
      </c>
      <c r="DJ121" s="119" t="s">
        <v>2</v>
      </c>
      <c r="DK121" s="44" t="s">
        <v>2</v>
      </c>
    </row>
    <row r="122" spans="1:116">
      <c r="A122" s="32" t="str">
        <f t="shared" si="12"/>
        <v>Powercor--HV FUSES AND SURGE DIVERTERS</v>
      </c>
      <c r="B122" s="32" t="str">
        <f t="shared" si="13"/>
        <v>Powercor</v>
      </c>
      <c r="C122" s="416"/>
      <c r="D122" s="14"/>
      <c r="E122" s="15" t="s">
        <v>261</v>
      </c>
      <c r="F122" s="18">
        <v>30</v>
      </c>
      <c r="G122" s="18">
        <v>5.4772255750516612</v>
      </c>
      <c r="H122" s="20">
        <v>205</v>
      </c>
      <c r="I122" s="20">
        <v>205</v>
      </c>
      <c r="J122" s="20">
        <v>7316</v>
      </c>
      <c r="K122" s="20">
        <v>12562</v>
      </c>
      <c r="L122" s="20">
        <v>12357</v>
      </c>
      <c r="M122" s="20">
        <v>12357</v>
      </c>
      <c r="N122" s="20">
        <v>12357</v>
      </c>
      <c r="O122" s="20">
        <v>12357</v>
      </c>
      <c r="P122" s="20">
        <v>12357</v>
      </c>
      <c r="Q122" s="20">
        <v>12357</v>
      </c>
      <c r="R122" s="20">
        <v>12357</v>
      </c>
      <c r="S122" s="20">
        <v>12357</v>
      </c>
      <c r="T122" s="20">
        <v>12354</v>
      </c>
      <c r="U122" s="20">
        <v>7674</v>
      </c>
      <c r="V122" s="20">
        <v>7674</v>
      </c>
      <c r="W122" s="20">
        <v>7674</v>
      </c>
      <c r="X122" s="20">
        <v>7674</v>
      </c>
      <c r="Y122" s="20">
        <v>9099</v>
      </c>
      <c r="Z122" s="20">
        <v>11868</v>
      </c>
      <c r="AA122" s="20">
        <v>6418</v>
      </c>
      <c r="AB122" s="20">
        <v>6418</v>
      </c>
      <c r="AC122" s="20">
        <v>9112</v>
      </c>
      <c r="AD122" s="20">
        <v>9112</v>
      </c>
      <c r="AE122" s="20">
        <v>9589</v>
      </c>
      <c r="AF122" s="20">
        <v>9169</v>
      </c>
      <c r="AG122" s="20">
        <v>9174</v>
      </c>
      <c r="AH122" s="20">
        <v>7833</v>
      </c>
      <c r="AI122" s="20">
        <v>8862</v>
      </c>
      <c r="AJ122" s="20">
        <v>6436</v>
      </c>
      <c r="AK122" s="20">
        <v>6331</v>
      </c>
      <c r="AL122" s="20">
        <v>8399</v>
      </c>
      <c r="AM122" s="20">
        <v>8895</v>
      </c>
      <c r="AN122" s="20">
        <v>4511</v>
      </c>
      <c r="AO122" s="20">
        <v>5829</v>
      </c>
      <c r="AP122" s="20">
        <v>3157</v>
      </c>
      <c r="AQ122" s="20">
        <v>3990</v>
      </c>
      <c r="AR122" s="20">
        <v>3500</v>
      </c>
      <c r="AS122" s="20">
        <v>2970</v>
      </c>
      <c r="AT122" s="20">
        <v>2970</v>
      </c>
      <c r="AU122" s="20">
        <v>2969</v>
      </c>
      <c r="AV122" s="20">
        <v>2970</v>
      </c>
      <c r="AW122" s="20">
        <v>2287</v>
      </c>
      <c r="AX122" s="20">
        <v>59</v>
      </c>
      <c r="AY122" s="20">
        <v>59</v>
      </c>
      <c r="AZ122" s="20">
        <v>59</v>
      </c>
      <c r="BA122" s="20">
        <v>59</v>
      </c>
      <c r="BB122" s="20">
        <v>59</v>
      </c>
      <c r="BC122" s="20">
        <v>59</v>
      </c>
      <c r="BD122" s="20">
        <v>59</v>
      </c>
      <c r="BE122" s="20">
        <v>59</v>
      </c>
      <c r="BF122" s="20">
        <v>59</v>
      </c>
      <c r="BG122" s="20">
        <v>95</v>
      </c>
      <c r="BH122" s="20">
        <v>95</v>
      </c>
      <c r="BI122" s="20">
        <v>59</v>
      </c>
      <c r="BJ122" s="20">
        <v>59</v>
      </c>
      <c r="BK122" s="20">
        <v>59</v>
      </c>
      <c r="BL122" s="20">
        <v>59</v>
      </c>
      <c r="BM122" s="20">
        <v>59</v>
      </c>
      <c r="BN122" s="20">
        <v>59</v>
      </c>
      <c r="BO122" s="20">
        <v>59</v>
      </c>
      <c r="BP122" s="20">
        <v>59</v>
      </c>
      <c r="BQ122" s="20">
        <v>59</v>
      </c>
      <c r="BR122" s="20">
        <v>59</v>
      </c>
      <c r="BS122" s="20">
        <v>59</v>
      </c>
      <c r="BT122" s="20">
        <v>59</v>
      </c>
      <c r="BU122" s="20">
        <v>59</v>
      </c>
      <c r="BV122" s="20">
        <v>59</v>
      </c>
      <c r="BW122" s="20">
        <v>59</v>
      </c>
      <c r="BX122" s="20">
        <v>59</v>
      </c>
      <c r="BY122" s="20">
        <v>69</v>
      </c>
      <c r="BZ122" s="20">
        <v>40</v>
      </c>
      <c r="CA122" s="20">
        <v>33</v>
      </c>
      <c r="CB122" s="20">
        <v>0</v>
      </c>
      <c r="CC122" s="20">
        <v>0</v>
      </c>
      <c r="CD122" s="20">
        <v>0</v>
      </c>
      <c r="CE122" s="20">
        <v>0</v>
      </c>
      <c r="CF122" s="20">
        <v>0</v>
      </c>
      <c r="CG122" s="20">
        <v>0</v>
      </c>
      <c r="CH122" s="20">
        <v>0</v>
      </c>
      <c r="CI122" s="20">
        <v>0</v>
      </c>
      <c r="CJ122" s="20">
        <v>0</v>
      </c>
      <c r="CK122" s="20">
        <v>0</v>
      </c>
      <c r="CL122" s="20">
        <v>0</v>
      </c>
      <c r="CM122" s="20">
        <v>0</v>
      </c>
      <c r="CN122" s="20">
        <v>0</v>
      </c>
      <c r="CO122" s="20">
        <v>0</v>
      </c>
      <c r="CP122" s="20">
        <v>0</v>
      </c>
      <c r="CQ122" s="20">
        <v>0</v>
      </c>
      <c r="CR122" s="20">
        <v>0</v>
      </c>
      <c r="CS122" s="20">
        <v>0</v>
      </c>
      <c r="CT122" s="20">
        <v>0</v>
      </c>
      <c r="CU122" s="20">
        <v>0</v>
      </c>
      <c r="CV122" s="20">
        <v>0</v>
      </c>
      <c r="CW122" s="20">
        <v>0</v>
      </c>
      <c r="CX122" s="20">
        <v>0</v>
      </c>
      <c r="CY122" s="20">
        <v>0</v>
      </c>
      <c r="CZ122" s="20">
        <v>0</v>
      </c>
      <c r="DA122" s="20">
        <v>0</v>
      </c>
      <c r="DB122" s="20">
        <v>0</v>
      </c>
      <c r="DC122" s="20">
        <v>0</v>
      </c>
      <c r="DD122" s="20">
        <v>0</v>
      </c>
      <c r="DE122" s="20">
        <v>0</v>
      </c>
      <c r="DF122" s="20">
        <v>0</v>
      </c>
      <c r="DG122" s="16">
        <f t="shared" si="9"/>
        <v>325869</v>
      </c>
      <c r="DH122" s="16">
        <f t="shared" si="10"/>
        <v>6090016</v>
      </c>
      <c r="DI122" s="17">
        <f t="shared" si="11"/>
        <v>18.688540487128265</v>
      </c>
      <c r="DJ122" s="119" t="s">
        <v>2</v>
      </c>
      <c r="DK122" s="44" t="s">
        <v>2</v>
      </c>
    </row>
    <row r="123" spans="1:116">
      <c r="A123" s="32" t="str">
        <f t="shared" si="12"/>
        <v>Powercor--OTHER - PLEASE ADD A ROW IF NECESSARY AND NOMINATE THE CATEGORY</v>
      </c>
      <c r="B123" s="32" t="str">
        <f t="shared" si="13"/>
        <v>Powercor</v>
      </c>
      <c r="C123" s="416"/>
      <c r="D123" s="14"/>
      <c r="E123" s="15" t="s">
        <v>170</v>
      </c>
      <c r="F123" s="18"/>
      <c r="G123" s="18"/>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16">
        <f t="shared" si="9"/>
        <v>0</v>
      </c>
      <c r="DH123" s="16">
        <f t="shared" si="10"/>
        <v>0</v>
      </c>
      <c r="DI123" s="17" t="str">
        <f t="shared" si="11"/>
        <v/>
      </c>
      <c r="DJ123" s="119" t="s">
        <v>2</v>
      </c>
      <c r="DK123" s="44" t="s">
        <v>2</v>
      </c>
    </row>
    <row r="124" spans="1:116" ht="45">
      <c r="A124" s="32" t="str">
        <f t="shared" si="12"/>
        <v>Powercor-PUBLIC LIGHTING BY: 
ASSET TYPE ; LIGHTING OBLIGATION-LUMINAIRES ;  MAJOR ROAD</v>
      </c>
      <c r="B124" s="32" t="str">
        <f t="shared" si="13"/>
        <v>Powercor</v>
      </c>
      <c r="C124" s="416"/>
      <c r="D124" s="14" t="s">
        <v>547</v>
      </c>
      <c r="E124" s="15" t="s">
        <v>262</v>
      </c>
      <c r="F124" s="18">
        <v>20</v>
      </c>
      <c r="G124" s="18">
        <v>4.4721359549995796</v>
      </c>
      <c r="H124" s="20">
        <v>586</v>
      </c>
      <c r="I124" s="20">
        <v>498</v>
      </c>
      <c r="J124" s="20">
        <v>433</v>
      </c>
      <c r="K124" s="20">
        <v>740</v>
      </c>
      <c r="L124" s="20">
        <v>366</v>
      </c>
      <c r="M124" s="20">
        <v>1336</v>
      </c>
      <c r="N124" s="20">
        <v>1045</v>
      </c>
      <c r="O124" s="20">
        <v>1047</v>
      </c>
      <c r="P124" s="20">
        <v>911</v>
      </c>
      <c r="Q124" s="20">
        <v>885</v>
      </c>
      <c r="R124" s="20">
        <v>704</v>
      </c>
      <c r="S124" s="20">
        <v>512</v>
      </c>
      <c r="T124" s="20">
        <v>505</v>
      </c>
      <c r="U124" s="20">
        <v>532</v>
      </c>
      <c r="V124" s="20">
        <v>690</v>
      </c>
      <c r="W124" s="20">
        <v>386</v>
      </c>
      <c r="X124" s="20">
        <v>718</v>
      </c>
      <c r="Y124" s="20">
        <v>660</v>
      </c>
      <c r="Z124" s="20">
        <v>555</v>
      </c>
      <c r="AA124" s="20">
        <v>668</v>
      </c>
      <c r="AB124" s="20">
        <v>671</v>
      </c>
      <c r="AC124" s="20">
        <v>1390</v>
      </c>
      <c r="AD124" s="20">
        <v>1112</v>
      </c>
      <c r="AE124" s="20">
        <v>901</v>
      </c>
      <c r="AF124" s="20">
        <v>760</v>
      </c>
      <c r="AG124" s="20">
        <v>6</v>
      </c>
      <c r="AH124" s="20">
        <v>9</v>
      </c>
      <c r="AI124" s="20">
        <v>2</v>
      </c>
      <c r="AJ124" s="20">
        <v>1</v>
      </c>
      <c r="AK124" s="20">
        <v>4</v>
      </c>
      <c r="AL124" s="20">
        <v>3</v>
      </c>
      <c r="AM124" s="20">
        <v>0</v>
      </c>
      <c r="AN124" s="20">
        <v>0</v>
      </c>
      <c r="AO124" s="20">
        <v>17</v>
      </c>
      <c r="AP124" s="20">
        <v>0</v>
      </c>
      <c r="AQ124" s="20">
        <v>0</v>
      </c>
      <c r="AR124" s="20">
        <v>0</v>
      </c>
      <c r="AS124" s="20">
        <v>0</v>
      </c>
      <c r="AT124" s="20">
        <v>0</v>
      </c>
      <c r="AU124" s="20">
        <v>0</v>
      </c>
      <c r="AV124" s="20">
        <v>0</v>
      </c>
      <c r="AW124" s="20">
        <v>0</v>
      </c>
      <c r="AX124" s="20">
        <v>0</v>
      </c>
      <c r="AY124" s="20">
        <v>311</v>
      </c>
      <c r="AZ124" s="20">
        <v>0</v>
      </c>
      <c r="BA124" s="20">
        <v>0</v>
      </c>
      <c r="BB124" s="20">
        <v>0</v>
      </c>
      <c r="BC124" s="20">
        <v>0</v>
      </c>
      <c r="BD124" s="20">
        <v>0</v>
      </c>
      <c r="BE124" s="20">
        <v>0</v>
      </c>
      <c r="BF124" s="20">
        <v>0</v>
      </c>
      <c r="BG124" s="20">
        <v>0</v>
      </c>
      <c r="BH124" s="20">
        <v>0</v>
      </c>
      <c r="BI124" s="20">
        <v>1974</v>
      </c>
      <c r="BJ124" s="20">
        <v>0</v>
      </c>
      <c r="BK124" s="20">
        <v>0</v>
      </c>
      <c r="BL124" s="20">
        <v>0</v>
      </c>
      <c r="BM124" s="20">
        <v>0</v>
      </c>
      <c r="BN124" s="20">
        <v>0</v>
      </c>
      <c r="BO124" s="20">
        <v>0</v>
      </c>
      <c r="BP124" s="20">
        <v>0</v>
      </c>
      <c r="BQ124" s="20">
        <v>0</v>
      </c>
      <c r="BR124" s="20">
        <v>0</v>
      </c>
      <c r="BS124" s="20">
        <v>0</v>
      </c>
      <c r="BT124" s="20">
        <v>0</v>
      </c>
      <c r="BU124" s="20">
        <v>0</v>
      </c>
      <c r="BV124" s="20">
        <v>0</v>
      </c>
      <c r="BW124" s="20">
        <v>0</v>
      </c>
      <c r="BX124" s="20">
        <v>0</v>
      </c>
      <c r="BY124" s="20">
        <v>0</v>
      </c>
      <c r="BZ124" s="20">
        <v>0</v>
      </c>
      <c r="CA124" s="20">
        <v>0</v>
      </c>
      <c r="CB124" s="20">
        <v>0</v>
      </c>
      <c r="CC124" s="20">
        <v>0</v>
      </c>
      <c r="CD124" s="20">
        <v>0</v>
      </c>
      <c r="CE124" s="20">
        <v>0</v>
      </c>
      <c r="CF124" s="20">
        <v>0</v>
      </c>
      <c r="CG124" s="20">
        <v>0</v>
      </c>
      <c r="CH124" s="20">
        <v>0</v>
      </c>
      <c r="CI124" s="20">
        <v>0</v>
      </c>
      <c r="CJ124" s="20">
        <v>0</v>
      </c>
      <c r="CK124" s="20">
        <v>0</v>
      </c>
      <c r="CL124" s="20">
        <v>0</v>
      </c>
      <c r="CM124" s="20">
        <v>0</v>
      </c>
      <c r="CN124" s="20">
        <v>0</v>
      </c>
      <c r="CO124" s="20">
        <v>0</v>
      </c>
      <c r="CP124" s="20">
        <v>0</v>
      </c>
      <c r="CQ124" s="20">
        <v>0</v>
      </c>
      <c r="CR124" s="20">
        <v>0</v>
      </c>
      <c r="CS124" s="20">
        <v>0</v>
      </c>
      <c r="CT124" s="20">
        <v>0</v>
      </c>
      <c r="CU124" s="20">
        <v>0</v>
      </c>
      <c r="CV124" s="20">
        <v>0</v>
      </c>
      <c r="CW124" s="20">
        <v>0</v>
      </c>
      <c r="CX124" s="20">
        <v>0</v>
      </c>
      <c r="CY124" s="20">
        <v>0</v>
      </c>
      <c r="CZ124" s="20">
        <v>0</v>
      </c>
      <c r="DA124" s="20">
        <v>0</v>
      </c>
      <c r="DB124" s="20">
        <v>0</v>
      </c>
      <c r="DC124" s="20">
        <v>0</v>
      </c>
      <c r="DD124" s="20">
        <v>0</v>
      </c>
      <c r="DE124" s="20">
        <v>0</v>
      </c>
      <c r="DF124" s="20">
        <v>0</v>
      </c>
      <c r="DG124" s="16">
        <f t="shared" si="9"/>
        <v>20938</v>
      </c>
      <c r="DH124" s="16">
        <f t="shared" si="10"/>
        <v>373271</v>
      </c>
      <c r="DI124" s="17">
        <f t="shared" si="11"/>
        <v>17.827442926736079</v>
      </c>
      <c r="DJ124" s="119" t="s">
        <v>1323</v>
      </c>
      <c r="DK124" s="119" t="s">
        <v>1524</v>
      </c>
      <c r="DL124" s="119" t="s">
        <v>1523</v>
      </c>
    </row>
    <row r="125" spans="1:116">
      <c r="A125" s="32" t="str">
        <f t="shared" si="12"/>
        <v>Powercor--LUMINAIRES ;  MINOR ROAD</v>
      </c>
      <c r="B125" s="32" t="str">
        <f t="shared" si="13"/>
        <v>Powercor</v>
      </c>
      <c r="C125" s="416"/>
      <c r="D125" s="14"/>
      <c r="E125" s="15" t="s">
        <v>263</v>
      </c>
      <c r="F125" s="18">
        <v>20</v>
      </c>
      <c r="G125" s="18">
        <v>4.4721359549995796</v>
      </c>
      <c r="H125" s="20">
        <v>6339</v>
      </c>
      <c r="I125" s="20">
        <v>4555</v>
      </c>
      <c r="J125" s="20">
        <v>5338</v>
      </c>
      <c r="K125" s="20">
        <v>4937</v>
      </c>
      <c r="L125" s="20">
        <v>5650</v>
      </c>
      <c r="M125" s="20">
        <v>7742</v>
      </c>
      <c r="N125" s="20">
        <v>5727</v>
      </c>
      <c r="O125" s="20">
        <v>5857</v>
      </c>
      <c r="P125" s="20">
        <v>5656</v>
      </c>
      <c r="Q125" s="20">
        <v>7184</v>
      </c>
      <c r="R125" s="20">
        <v>6715</v>
      </c>
      <c r="S125" s="20">
        <v>3828</v>
      </c>
      <c r="T125" s="20">
        <v>3346</v>
      </c>
      <c r="U125" s="20">
        <v>3831</v>
      </c>
      <c r="V125" s="20">
        <v>4177</v>
      </c>
      <c r="W125" s="20">
        <v>1922</v>
      </c>
      <c r="X125" s="20">
        <v>3100</v>
      </c>
      <c r="Y125" s="20">
        <v>3495</v>
      </c>
      <c r="Z125" s="20">
        <v>949</v>
      </c>
      <c r="AA125" s="20">
        <v>2147</v>
      </c>
      <c r="AB125" s="20">
        <v>2042</v>
      </c>
      <c r="AC125" s="20">
        <v>1595</v>
      </c>
      <c r="AD125" s="20">
        <v>17097</v>
      </c>
      <c r="AE125" s="20">
        <v>9451</v>
      </c>
      <c r="AF125" s="20">
        <v>7207</v>
      </c>
      <c r="AG125" s="20">
        <v>46</v>
      </c>
      <c r="AH125" s="20">
        <v>16</v>
      </c>
      <c r="AI125" s="20">
        <v>4</v>
      </c>
      <c r="AJ125" s="20">
        <v>6</v>
      </c>
      <c r="AK125" s="20">
        <v>1</v>
      </c>
      <c r="AL125" s="20">
        <v>1</v>
      </c>
      <c r="AM125" s="20">
        <v>2</v>
      </c>
      <c r="AN125" s="20">
        <v>0</v>
      </c>
      <c r="AO125" s="20">
        <v>8</v>
      </c>
      <c r="AP125" s="20">
        <v>1</v>
      </c>
      <c r="AQ125" s="20">
        <v>0</v>
      </c>
      <c r="AR125" s="20">
        <v>3</v>
      </c>
      <c r="AS125" s="20">
        <v>1</v>
      </c>
      <c r="AT125" s="20">
        <v>1</v>
      </c>
      <c r="AU125" s="20">
        <v>1</v>
      </c>
      <c r="AV125" s="20">
        <v>0</v>
      </c>
      <c r="AW125" s="20">
        <v>6</v>
      </c>
      <c r="AX125" s="20">
        <v>0</v>
      </c>
      <c r="AY125" s="20">
        <v>617</v>
      </c>
      <c r="AZ125" s="20">
        <v>0</v>
      </c>
      <c r="BA125" s="20">
        <v>0</v>
      </c>
      <c r="BB125" s="20">
        <v>0</v>
      </c>
      <c r="BC125" s="20">
        <v>0</v>
      </c>
      <c r="BD125" s="20">
        <v>0</v>
      </c>
      <c r="BE125" s="20">
        <v>0</v>
      </c>
      <c r="BF125" s="20">
        <v>0</v>
      </c>
      <c r="BG125" s="20">
        <v>0</v>
      </c>
      <c r="BH125" s="20">
        <v>0</v>
      </c>
      <c r="BI125" s="20">
        <v>5059</v>
      </c>
      <c r="BJ125" s="20">
        <v>0</v>
      </c>
      <c r="BK125" s="20">
        <v>0</v>
      </c>
      <c r="BL125" s="20">
        <v>0</v>
      </c>
      <c r="BM125" s="20">
        <v>0</v>
      </c>
      <c r="BN125" s="20">
        <v>0</v>
      </c>
      <c r="BO125" s="20">
        <v>0</v>
      </c>
      <c r="BP125" s="20">
        <v>0</v>
      </c>
      <c r="BQ125" s="20">
        <v>0</v>
      </c>
      <c r="BR125" s="20">
        <v>0</v>
      </c>
      <c r="BS125" s="20">
        <v>0</v>
      </c>
      <c r="BT125" s="20">
        <v>0</v>
      </c>
      <c r="BU125" s="20">
        <v>0</v>
      </c>
      <c r="BV125" s="20">
        <v>0</v>
      </c>
      <c r="BW125" s="20">
        <v>0</v>
      </c>
      <c r="BX125" s="20">
        <v>0</v>
      </c>
      <c r="BY125" s="20">
        <v>0</v>
      </c>
      <c r="BZ125" s="20">
        <v>0</v>
      </c>
      <c r="CA125" s="20">
        <v>0</v>
      </c>
      <c r="CB125" s="20">
        <v>0</v>
      </c>
      <c r="CC125" s="20">
        <v>0</v>
      </c>
      <c r="CD125" s="20">
        <v>0</v>
      </c>
      <c r="CE125" s="20">
        <v>0</v>
      </c>
      <c r="CF125" s="20">
        <v>0</v>
      </c>
      <c r="CG125" s="20">
        <v>0</v>
      </c>
      <c r="CH125" s="20">
        <v>0</v>
      </c>
      <c r="CI125" s="20">
        <v>0</v>
      </c>
      <c r="CJ125" s="20">
        <v>0</v>
      </c>
      <c r="CK125" s="20">
        <v>0</v>
      </c>
      <c r="CL125" s="20">
        <v>0</v>
      </c>
      <c r="CM125" s="20">
        <v>0</v>
      </c>
      <c r="CN125" s="20">
        <v>0</v>
      </c>
      <c r="CO125" s="20">
        <v>0</v>
      </c>
      <c r="CP125" s="20">
        <v>0</v>
      </c>
      <c r="CQ125" s="20">
        <v>0</v>
      </c>
      <c r="CR125" s="20">
        <v>0</v>
      </c>
      <c r="CS125" s="20">
        <v>0</v>
      </c>
      <c r="CT125" s="20">
        <v>0</v>
      </c>
      <c r="CU125" s="20">
        <v>0</v>
      </c>
      <c r="CV125" s="20">
        <v>0</v>
      </c>
      <c r="CW125" s="20">
        <v>0</v>
      </c>
      <c r="CX125" s="20">
        <v>0</v>
      </c>
      <c r="CY125" s="20">
        <v>0</v>
      </c>
      <c r="CZ125" s="20">
        <v>0</v>
      </c>
      <c r="DA125" s="20">
        <v>0</v>
      </c>
      <c r="DB125" s="20">
        <v>0</v>
      </c>
      <c r="DC125" s="20">
        <v>0</v>
      </c>
      <c r="DD125" s="20">
        <v>0</v>
      </c>
      <c r="DE125" s="20">
        <v>0</v>
      </c>
      <c r="DF125" s="20">
        <v>0</v>
      </c>
      <c r="DG125" s="16">
        <f t="shared" si="9"/>
        <v>135660</v>
      </c>
      <c r="DH125" s="16">
        <f t="shared" si="10"/>
        <v>2003885</v>
      </c>
      <c r="DI125" s="17">
        <f t="shared" si="11"/>
        <v>14.771376971841368</v>
      </c>
      <c r="DJ125" s="119" t="s">
        <v>1323</v>
      </c>
      <c r="DK125" s="119" t="s">
        <v>1524</v>
      </c>
      <c r="DL125" s="119" t="s">
        <v>1523</v>
      </c>
    </row>
    <row r="126" spans="1:116">
      <c r="A126" s="32" t="str">
        <f t="shared" si="12"/>
        <v>Powercor--BRACKETS ; MAJOR ROAD</v>
      </c>
      <c r="B126" s="32" t="str">
        <f t="shared" si="13"/>
        <v>Powercor</v>
      </c>
      <c r="C126" s="416"/>
      <c r="D126" s="14"/>
      <c r="E126" s="15" t="s">
        <v>264</v>
      </c>
      <c r="F126" s="18">
        <v>0</v>
      </c>
      <c r="G126" s="18">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0">
        <v>0</v>
      </c>
      <c r="AY126" s="20">
        <v>0</v>
      </c>
      <c r="AZ126" s="20">
        <v>0</v>
      </c>
      <c r="BA126" s="20">
        <v>0</v>
      </c>
      <c r="BB126" s="20">
        <v>0</v>
      </c>
      <c r="BC126" s="20">
        <v>0</v>
      </c>
      <c r="BD126" s="20">
        <v>0</v>
      </c>
      <c r="BE126" s="20">
        <v>0</v>
      </c>
      <c r="BF126" s="20">
        <v>0</v>
      </c>
      <c r="BG126" s="20">
        <v>0</v>
      </c>
      <c r="BH126" s="20">
        <v>0</v>
      </c>
      <c r="BI126" s="20">
        <v>0</v>
      </c>
      <c r="BJ126" s="20">
        <v>0</v>
      </c>
      <c r="BK126" s="20">
        <v>0</v>
      </c>
      <c r="BL126" s="20">
        <v>0</v>
      </c>
      <c r="BM126" s="20">
        <v>0</v>
      </c>
      <c r="BN126" s="20">
        <v>0</v>
      </c>
      <c r="BO126" s="20">
        <v>0</v>
      </c>
      <c r="BP126" s="20">
        <v>0</v>
      </c>
      <c r="BQ126" s="20">
        <v>0</v>
      </c>
      <c r="BR126" s="20">
        <v>0</v>
      </c>
      <c r="BS126" s="20">
        <v>0</v>
      </c>
      <c r="BT126" s="20">
        <v>0</v>
      </c>
      <c r="BU126" s="20">
        <v>0</v>
      </c>
      <c r="BV126" s="20">
        <v>0</v>
      </c>
      <c r="BW126" s="20">
        <v>0</v>
      </c>
      <c r="BX126" s="20">
        <v>0</v>
      </c>
      <c r="BY126" s="20">
        <v>0</v>
      </c>
      <c r="BZ126" s="20">
        <v>0</v>
      </c>
      <c r="CA126" s="20">
        <v>0</v>
      </c>
      <c r="CB126" s="20">
        <v>0</v>
      </c>
      <c r="CC126" s="20">
        <v>0</v>
      </c>
      <c r="CD126" s="20">
        <v>0</v>
      </c>
      <c r="CE126" s="20">
        <v>0</v>
      </c>
      <c r="CF126" s="20">
        <v>0</v>
      </c>
      <c r="CG126" s="20">
        <v>0</v>
      </c>
      <c r="CH126" s="20">
        <v>0</v>
      </c>
      <c r="CI126" s="20">
        <v>0</v>
      </c>
      <c r="CJ126" s="20">
        <v>0</v>
      </c>
      <c r="CK126" s="20">
        <v>0</v>
      </c>
      <c r="CL126" s="20">
        <v>0</v>
      </c>
      <c r="CM126" s="20">
        <v>0</v>
      </c>
      <c r="CN126" s="20">
        <v>0</v>
      </c>
      <c r="CO126" s="20">
        <v>0</v>
      </c>
      <c r="CP126" s="20">
        <v>0</v>
      </c>
      <c r="CQ126" s="20">
        <v>0</v>
      </c>
      <c r="CR126" s="20">
        <v>0</v>
      </c>
      <c r="CS126" s="20">
        <v>0</v>
      </c>
      <c r="CT126" s="20">
        <v>0</v>
      </c>
      <c r="CU126" s="20">
        <v>0</v>
      </c>
      <c r="CV126" s="20">
        <v>0</v>
      </c>
      <c r="CW126" s="20">
        <v>0</v>
      </c>
      <c r="CX126" s="20">
        <v>0</v>
      </c>
      <c r="CY126" s="20">
        <v>0</v>
      </c>
      <c r="CZ126" s="20">
        <v>0</v>
      </c>
      <c r="DA126" s="20">
        <v>0</v>
      </c>
      <c r="DB126" s="20">
        <v>0</v>
      </c>
      <c r="DC126" s="20">
        <v>0</v>
      </c>
      <c r="DD126" s="20">
        <v>0</v>
      </c>
      <c r="DE126" s="20">
        <v>0</v>
      </c>
      <c r="DF126" s="20">
        <v>0</v>
      </c>
      <c r="DG126" s="16">
        <f t="shared" ref="DG126:DG186" si="14">SUM(H126:DF126)</f>
        <v>0</v>
      </c>
      <c r="DH126" s="16">
        <f t="shared" ref="DH126:DH186" si="15">IFERROR(SUMPRODUCT(H126:DF126,$H$1:$DF$1),"")</f>
        <v>0</v>
      </c>
      <c r="DI126" s="17" t="str">
        <f t="shared" ref="DI126:DI186" si="16">IFERROR(DH126/DG126,"")</f>
        <v/>
      </c>
      <c r="DJ126" s="119" t="s">
        <v>1323</v>
      </c>
      <c r="DK126" s="44" t="s">
        <v>1525</v>
      </c>
      <c r="DL126" s="119"/>
    </row>
    <row r="127" spans="1:116">
      <c r="A127" s="32" t="str">
        <f t="shared" si="12"/>
        <v>Powercor--BRACKETS ; MINOR ROAD</v>
      </c>
      <c r="B127" s="32" t="str">
        <f t="shared" si="13"/>
        <v>Powercor</v>
      </c>
      <c r="C127" s="416"/>
      <c r="D127" s="14"/>
      <c r="E127" s="15" t="s">
        <v>265</v>
      </c>
      <c r="F127" s="18">
        <v>0</v>
      </c>
      <c r="G127" s="18">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0">
        <v>0</v>
      </c>
      <c r="AY127" s="20">
        <v>0</v>
      </c>
      <c r="AZ127" s="20">
        <v>0</v>
      </c>
      <c r="BA127" s="20">
        <v>0</v>
      </c>
      <c r="BB127" s="20">
        <v>0</v>
      </c>
      <c r="BC127" s="20">
        <v>0</v>
      </c>
      <c r="BD127" s="20">
        <v>0</v>
      </c>
      <c r="BE127" s="20">
        <v>0</v>
      </c>
      <c r="BF127" s="20">
        <v>0</v>
      </c>
      <c r="BG127" s="20">
        <v>0</v>
      </c>
      <c r="BH127" s="20">
        <v>0</v>
      </c>
      <c r="BI127" s="20">
        <v>0</v>
      </c>
      <c r="BJ127" s="20">
        <v>0</v>
      </c>
      <c r="BK127" s="20">
        <v>0</v>
      </c>
      <c r="BL127" s="20">
        <v>0</v>
      </c>
      <c r="BM127" s="20">
        <v>0</v>
      </c>
      <c r="BN127" s="20">
        <v>0</v>
      </c>
      <c r="BO127" s="20">
        <v>0</v>
      </c>
      <c r="BP127" s="20">
        <v>0</v>
      </c>
      <c r="BQ127" s="20">
        <v>0</v>
      </c>
      <c r="BR127" s="20">
        <v>0</v>
      </c>
      <c r="BS127" s="20">
        <v>0</v>
      </c>
      <c r="BT127" s="20">
        <v>0</v>
      </c>
      <c r="BU127" s="20">
        <v>0</v>
      </c>
      <c r="BV127" s="20">
        <v>0</v>
      </c>
      <c r="BW127" s="20">
        <v>0</v>
      </c>
      <c r="BX127" s="20">
        <v>0</v>
      </c>
      <c r="BY127" s="20">
        <v>0</v>
      </c>
      <c r="BZ127" s="20">
        <v>0</v>
      </c>
      <c r="CA127" s="20">
        <v>0</v>
      </c>
      <c r="CB127" s="20">
        <v>0</v>
      </c>
      <c r="CC127" s="20">
        <v>0</v>
      </c>
      <c r="CD127" s="20">
        <v>0</v>
      </c>
      <c r="CE127" s="20">
        <v>0</v>
      </c>
      <c r="CF127" s="20">
        <v>0</v>
      </c>
      <c r="CG127" s="20">
        <v>0</v>
      </c>
      <c r="CH127" s="20">
        <v>0</v>
      </c>
      <c r="CI127" s="20">
        <v>0</v>
      </c>
      <c r="CJ127" s="20">
        <v>0</v>
      </c>
      <c r="CK127" s="20">
        <v>0</v>
      </c>
      <c r="CL127" s="20">
        <v>0</v>
      </c>
      <c r="CM127" s="20">
        <v>0</v>
      </c>
      <c r="CN127" s="20">
        <v>0</v>
      </c>
      <c r="CO127" s="20">
        <v>0</v>
      </c>
      <c r="CP127" s="20">
        <v>0</v>
      </c>
      <c r="CQ127" s="20">
        <v>0</v>
      </c>
      <c r="CR127" s="20">
        <v>0</v>
      </c>
      <c r="CS127" s="20">
        <v>0</v>
      </c>
      <c r="CT127" s="20">
        <v>0</v>
      </c>
      <c r="CU127" s="20">
        <v>0</v>
      </c>
      <c r="CV127" s="20">
        <v>0</v>
      </c>
      <c r="CW127" s="20">
        <v>0</v>
      </c>
      <c r="CX127" s="20">
        <v>0</v>
      </c>
      <c r="CY127" s="20">
        <v>0</v>
      </c>
      <c r="CZ127" s="20">
        <v>0</v>
      </c>
      <c r="DA127" s="20">
        <v>0</v>
      </c>
      <c r="DB127" s="20">
        <v>0</v>
      </c>
      <c r="DC127" s="20">
        <v>0</v>
      </c>
      <c r="DD127" s="20">
        <v>0</v>
      </c>
      <c r="DE127" s="20">
        <v>0</v>
      </c>
      <c r="DF127" s="20">
        <v>0</v>
      </c>
      <c r="DG127" s="16">
        <f t="shared" si="14"/>
        <v>0</v>
      </c>
      <c r="DH127" s="16">
        <f t="shared" si="15"/>
        <v>0</v>
      </c>
      <c r="DI127" s="17" t="str">
        <f t="shared" si="16"/>
        <v/>
      </c>
      <c r="DJ127" s="119" t="s">
        <v>1323</v>
      </c>
      <c r="DK127" s="119" t="s">
        <v>1525</v>
      </c>
      <c r="DL127" s="119"/>
    </row>
    <row r="128" spans="1:116">
      <c r="A128" s="32" t="str">
        <f t="shared" si="12"/>
        <v>Powercor--LAMPS ; MAJOR ROAD</v>
      </c>
      <c r="B128" s="32" t="str">
        <f t="shared" si="13"/>
        <v>Powercor</v>
      </c>
      <c r="C128" s="416"/>
      <c r="D128" s="14"/>
      <c r="E128" s="15" t="s">
        <v>266</v>
      </c>
      <c r="F128" s="18">
        <v>30</v>
      </c>
      <c r="G128" s="18">
        <v>5.4772255750516612</v>
      </c>
      <c r="H128" s="20">
        <v>1104</v>
      </c>
      <c r="I128" s="20">
        <v>1380</v>
      </c>
      <c r="J128" s="20">
        <v>2642</v>
      </c>
      <c r="K128" s="20">
        <v>2701</v>
      </c>
      <c r="L128" s="20">
        <v>2945</v>
      </c>
      <c r="M128" s="20">
        <v>4308</v>
      </c>
      <c r="N128" s="20">
        <v>3227</v>
      </c>
      <c r="O128" s="20">
        <v>863</v>
      </c>
      <c r="P128" s="20">
        <v>1224</v>
      </c>
      <c r="Q128" s="20">
        <v>187</v>
      </c>
      <c r="R128" s="20">
        <v>22</v>
      </c>
      <c r="S128" s="20">
        <v>24</v>
      </c>
      <c r="T128" s="20">
        <v>22</v>
      </c>
      <c r="U128" s="20">
        <v>19</v>
      </c>
      <c r="V128" s="20">
        <v>24</v>
      </c>
      <c r="W128" s="20">
        <v>10</v>
      </c>
      <c r="X128" s="20">
        <v>18</v>
      </c>
      <c r="Y128" s="20">
        <v>40</v>
      </c>
      <c r="Z128" s="20">
        <v>1</v>
      </c>
      <c r="AA128" s="20">
        <v>3</v>
      </c>
      <c r="AB128" s="20">
        <v>0</v>
      </c>
      <c r="AC128" s="20">
        <v>1</v>
      </c>
      <c r="AD128" s="20">
        <v>3</v>
      </c>
      <c r="AE128" s="20">
        <v>0</v>
      </c>
      <c r="AF128" s="20">
        <v>0</v>
      </c>
      <c r="AG128" s="20">
        <v>0</v>
      </c>
      <c r="AH128" s="20">
        <v>0</v>
      </c>
      <c r="AI128" s="20">
        <v>0</v>
      </c>
      <c r="AJ128" s="20">
        <v>0</v>
      </c>
      <c r="AK128" s="20">
        <v>1</v>
      </c>
      <c r="AL128" s="20">
        <v>0</v>
      </c>
      <c r="AM128" s="20">
        <v>0</v>
      </c>
      <c r="AN128" s="20">
        <v>0</v>
      </c>
      <c r="AO128" s="20">
        <v>0</v>
      </c>
      <c r="AP128" s="20">
        <v>10</v>
      </c>
      <c r="AQ128" s="20">
        <v>0</v>
      </c>
      <c r="AR128" s="20">
        <v>0</v>
      </c>
      <c r="AS128" s="20">
        <v>0</v>
      </c>
      <c r="AT128" s="20">
        <v>0</v>
      </c>
      <c r="AU128" s="20">
        <v>0</v>
      </c>
      <c r="AV128" s="20">
        <v>0</v>
      </c>
      <c r="AW128" s="20">
        <v>0</v>
      </c>
      <c r="AX128" s="20">
        <v>0</v>
      </c>
      <c r="AY128" s="20">
        <v>0</v>
      </c>
      <c r="AZ128" s="20">
        <v>98</v>
      </c>
      <c r="BA128" s="20">
        <v>0</v>
      </c>
      <c r="BB128" s="20">
        <v>0</v>
      </c>
      <c r="BC128" s="20">
        <v>0</v>
      </c>
      <c r="BD128" s="20">
        <v>0</v>
      </c>
      <c r="BE128" s="20">
        <v>0</v>
      </c>
      <c r="BF128" s="20">
        <v>0</v>
      </c>
      <c r="BG128" s="20">
        <v>0</v>
      </c>
      <c r="BH128" s="20">
        <v>0</v>
      </c>
      <c r="BI128" s="20">
        <v>0</v>
      </c>
      <c r="BJ128" s="20">
        <v>143</v>
      </c>
      <c r="BK128" s="20">
        <v>0</v>
      </c>
      <c r="BL128" s="20">
        <v>0</v>
      </c>
      <c r="BM128" s="20">
        <v>0</v>
      </c>
      <c r="BN128" s="20">
        <v>0</v>
      </c>
      <c r="BO128" s="20">
        <v>0</v>
      </c>
      <c r="BP128" s="20">
        <v>0</v>
      </c>
      <c r="BQ128" s="20">
        <v>0</v>
      </c>
      <c r="BR128" s="20">
        <v>0</v>
      </c>
      <c r="BS128" s="20">
        <v>0</v>
      </c>
      <c r="BT128" s="20">
        <v>0</v>
      </c>
      <c r="BU128" s="20">
        <v>0</v>
      </c>
      <c r="BV128" s="20">
        <v>0</v>
      </c>
      <c r="BW128" s="20">
        <v>0</v>
      </c>
      <c r="BX128" s="20">
        <v>0</v>
      </c>
      <c r="BY128" s="20">
        <v>0</v>
      </c>
      <c r="BZ128" s="20">
        <v>0</v>
      </c>
      <c r="CA128" s="20">
        <v>0</v>
      </c>
      <c r="CB128" s="20">
        <v>0</v>
      </c>
      <c r="CC128" s="20">
        <v>0</v>
      </c>
      <c r="CD128" s="20">
        <v>0</v>
      </c>
      <c r="CE128" s="20">
        <v>0</v>
      </c>
      <c r="CF128" s="20">
        <v>0</v>
      </c>
      <c r="CG128" s="20">
        <v>0</v>
      </c>
      <c r="CH128" s="20">
        <v>0</v>
      </c>
      <c r="CI128" s="20">
        <v>0</v>
      </c>
      <c r="CJ128" s="20">
        <v>0</v>
      </c>
      <c r="CK128" s="20">
        <v>0</v>
      </c>
      <c r="CL128" s="20">
        <v>0</v>
      </c>
      <c r="CM128" s="20">
        <v>0</v>
      </c>
      <c r="CN128" s="20">
        <v>0</v>
      </c>
      <c r="CO128" s="20">
        <v>0</v>
      </c>
      <c r="CP128" s="20">
        <v>0</v>
      </c>
      <c r="CQ128" s="20">
        <v>0</v>
      </c>
      <c r="CR128" s="20">
        <v>0</v>
      </c>
      <c r="CS128" s="20">
        <v>0</v>
      </c>
      <c r="CT128" s="20">
        <v>0</v>
      </c>
      <c r="CU128" s="20">
        <v>0</v>
      </c>
      <c r="CV128" s="20">
        <v>0</v>
      </c>
      <c r="CW128" s="20">
        <v>0</v>
      </c>
      <c r="CX128" s="20">
        <v>0</v>
      </c>
      <c r="CY128" s="20">
        <v>0</v>
      </c>
      <c r="CZ128" s="20">
        <v>0</v>
      </c>
      <c r="DA128" s="20">
        <v>0</v>
      </c>
      <c r="DB128" s="20">
        <v>0</v>
      </c>
      <c r="DC128" s="20">
        <v>0</v>
      </c>
      <c r="DD128" s="20">
        <v>0</v>
      </c>
      <c r="DE128" s="20">
        <v>0</v>
      </c>
      <c r="DF128" s="20">
        <v>0</v>
      </c>
      <c r="DG128" s="16">
        <f t="shared" si="14"/>
        <v>21020</v>
      </c>
      <c r="DH128" s="16">
        <f t="shared" si="15"/>
        <v>120999</v>
      </c>
      <c r="DI128" s="17">
        <f t="shared" si="16"/>
        <v>5.7563748810656516</v>
      </c>
      <c r="DJ128" s="119" t="s">
        <v>1323</v>
      </c>
      <c r="DK128" s="119" t="s">
        <v>1525</v>
      </c>
      <c r="DL128" s="119"/>
    </row>
    <row r="129" spans="1:116">
      <c r="A129" s="32" t="str">
        <f t="shared" si="12"/>
        <v>Powercor--LAMPS ; MINOR ROAD</v>
      </c>
      <c r="B129" s="32" t="str">
        <f t="shared" si="13"/>
        <v>Powercor</v>
      </c>
      <c r="C129" s="416"/>
      <c r="D129" s="14"/>
      <c r="E129" s="15" t="s">
        <v>267</v>
      </c>
      <c r="F129" s="18">
        <v>30</v>
      </c>
      <c r="G129" s="18">
        <v>5.4772255750516612</v>
      </c>
      <c r="H129" s="20">
        <v>7594</v>
      </c>
      <c r="I129" s="20">
        <v>24906</v>
      </c>
      <c r="J129" s="20">
        <v>27480</v>
      </c>
      <c r="K129" s="20">
        <v>27270</v>
      </c>
      <c r="L129" s="20">
        <v>13613</v>
      </c>
      <c r="M129" s="20">
        <v>11572</v>
      </c>
      <c r="N129" s="20">
        <v>15682</v>
      </c>
      <c r="O129" s="20">
        <v>2379</v>
      </c>
      <c r="P129" s="20">
        <v>2341</v>
      </c>
      <c r="Q129" s="20">
        <v>502</v>
      </c>
      <c r="R129" s="20">
        <v>155</v>
      </c>
      <c r="S129" s="20">
        <v>54</v>
      </c>
      <c r="T129" s="20">
        <v>59</v>
      </c>
      <c r="U129" s="20">
        <v>91</v>
      </c>
      <c r="V129" s="20">
        <v>149</v>
      </c>
      <c r="W129" s="20">
        <v>17</v>
      </c>
      <c r="X129" s="20">
        <v>11</v>
      </c>
      <c r="Y129" s="20">
        <v>105</v>
      </c>
      <c r="Z129" s="20">
        <v>5</v>
      </c>
      <c r="AA129" s="20">
        <v>2</v>
      </c>
      <c r="AB129" s="20">
        <v>5</v>
      </c>
      <c r="AC129" s="20">
        <v>5</v>
      </c>
      <c r="AD129" s="20">
        <v>88</v>
      </c>
      <c r="AE129" s="20">
        <v>2</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0">
        <v>2</v>
      </c>
      <c r="AY129" s="20">
        <v>0</v>
      </c>
      <c r="AZ129" s="20">
        <v>1204</v>
      </c>
      <c r="BA129" s="20">
        <v>0</v>
      </c>
      <c r="BB129" s="20">
        <v>0</v>
      </c>
      <c r="BC129" s="20">
        <v>0</v>
      </c>
      <c r="BD129" s="20">
        <v>0</v>
      </c>
      <c r="BE129" s="20">
        <v>0</v>
      </c>
      <c r="BF129" s="20">
        <v>0</v>
      </c>
      <c r="BG129" s="20">
        <v>0</v>
      </c>
      <c r="BH129" s="20">
        <v>0</v>
      </c>
      <c r="BI129" s="20">
        <v>0</v>
      </c>
      <c r="BJ129" s="20">
        <v>409</v>
      </c>
      <c r="BK129" s="20">
        <v>0</v>
      </c>
      <c r="BL129" s="20">
        <v>0</v>
      </c>
      <c r="BM129" s="20">
        <v>0</v>
      </c>
      <c r="BN129" s="20">
        <v>0</v>
      </c>
      <c r="BO129" s="20">
        <v>0</v>
      </c>
      <c r="BP129" s="20">
        <v>0</v>
      </c>
      <c r="BQ129" s="20">
        <v>0</v>
      </c>
      <c r="BR129" s="20">
        <v>0</v>
      </c>
      <c r="BS129" s="20">
        <v>0</v>
      </c>
      <c r="BT129" s="20">
        <v>0</v>
      </c>
      <c r="BU129" s="20">
        <v>0</v>
      </c>
      <c r="BV129" s="20">
        <v>0</v>
      </c>
      <c r="BW129" s="20">
        <v>0</v>
      </c>
      <c r="BX129" s="20">
        <v>0</v>
      </c>
      <c r="BY129" s="20">
        <v>0</v>
      </c>
      <c r="BZ129" s="20">
        <v>0</v>
      </c>
      <c r="CA129" s="20">
        <v>0</v>
      </c>
      <c r="CB129" s="20">
        <v>0</v>
      </c>
      <c r="CC129" s="20">
        <v>0</v>
      </c>
      <c r="CD129" s="20">
        <v>0</v>
      </c>
      <c r="CE129" s="20">
        <v>0</v>
      </c>
      <c r="CF129" s="20">
        <v>0</v>
      </c>
      <c r="CG129" s="20">
        <v>0</v>
      </c>
      <c r="CH129" s="20">
        <v>0</v>
      </c>
      <c r="CI129" s="20">
        <v>0</v>
      </c>
      <c r="CJ129" s="20">
        <v>0</v>
      </c>
      <c r="CK129" s="20">
        <v>0</v>
      </c>
      <c r="CL129" s="20">
        <v>0</v>
      </c>
      <c r="CM129" s="20">
        <v>0</v>
      </c>
      <c r="CN129" s="20">
        <v>0</v>
      </c>
      <c r="CO129" s="20">
        <v>0</v>
      </c>
      <c r="CP129" s="20">
        <v>0</v>
      </c>
      <c r="CQ129" s="20">
        <v>0</v>
      </c>
      <c r="CR129" s="20">
        <v>0</v>
      </c>
      <c r="CS129" s="20">
        <v>0</v>
      </c>
      <c r="CT129" s="20">
        <v>0</v>
      </c>
      <c r="CU129" s="20">
        <v>0</v>
      </c>
      <c r="CV129" s="20">
        <v>0</v>
      </c>
      <c r="CW129" s="20">
        <v>0</v>
      </c>
      <c r="CX129" s="20">
        <v>0</v>
      </c>
      <c r="CY129" s="20">
        <v>0</v>
      </c>
      <c r="CZ129" s="20">
        <v>0</v>
      </c>
      <c r="DA129" s="20">
        <v>0</v>
      </c>
      <c r="DB129" s="20">
        <v>0</v>
      </c>
      <c r="DC129" s="20">
        <v>0</v>
      </c>
      <c r="DD129" s="20">
        <v>0</v>
      </c>
      <c r="DE129" s="20">
        <v>0</v>
      </c>
      <c r="DF129" s="20">
        <v>0</v>
      </c>
      <c r="DG129" s="16">
        <f t="shared" si="14"/>
        <v>135702</v>
      </c>
      <c r="DH129" s="16">
        <f t="shared" si="15"/>
        <v>629479</v>
      </c>
      <c r="DI129" s="17">
        <f t="shared" si="16"/>
        <v>4.6386862389647909</v>
      </c>
      <c r="DJ129" s="119" t="s">
        <v>1323</v>
      </c>
      <c r="DK129" s="119" t="s">
        <v>1525</v>
      </c>
      <c r="DL129" s="119"/>
    </row>
    <row r="130" spans="1:116">
      <c r="A130" s="32" t="str">
        <f t="shared" si="12"/>
        <v>Powercor--POLES / COLUMNS ; MAJOR ROAD</v>
      </c>
      <c r="B130" s="32" t="str">
        <f t="shared" si="13"/>
        <v>Powercor</v>
      </c>
      <c r="C130" s="416"/>
      <c r="D130" s="14"/>
      <c r="E130" s="15" t="s">
        <v>268</v>
      </c>
      <c r="F130" s="18">
        <v>50</v>
      </c>
      <c r="G130" s="18">
        <v>7.0710678118654755</v>
      </c>
      <c r="H130" s="20">
        <v>186</v>
      </c>
      <c r="I130" s="20">
        <v>306</v>
      </c>
      <c r="J130" s="20">
        <v>331</v>
      </c>
      <c r="K130" s="20">
        <v>376</v>
      </c>
      <c r="L130" s="20">
        <v>408</v>
      </c>
      <c r="M130" s="20">
        <v>421</v>
      </c>
      <c r="N130" s="20">
        <v>472</v>
      </c>
      <c r="O130" s="20">
        <v>375</v>
      </c>
      <c r="P130" s="20">
        <v>436</v>
      </c>
      <c r="Q130" s="20">
        <v>470</v>
      </c>
      <c r="R130" s="20">
        <v>467</v>
      </c>
      <c r="S130" s="20">
        <v>372</v>
      </c>
      <c r="T130" s="20">
        <v>151</v>
      </c>
      <c r="U130" s="20">
        <v>313</v>
      </c>
      <c r="V130" s="20">
        <v>241</v>
      </c>
      <c r="W130" s="20">
        <v>180</v>
      </c>
      <c r="X130" s="20">
        <v>110</v>
      </c>
      <c r="Y130" s="20">
        <v>94</v>
      </c>
      <c r="Z130" s="20">
        <v>84</v>
      </c>
      <c r="AA130" s="20">
        <v>197</v>
      </c>
      <c r="AB130" s="20">
        <v>206</v>
      </c>
      <c r="AC130" s="20">
        <v>105</v>
      </c>
      <c r="AD130" s="20">
        <v>103</v>
      </c>
      <c r="AE130" s="20">
        <v>181</v>
      </c>
      <c r="AF130" s="20">
        <v>222</v>
      </c>
      <c r="AG130" s="20">
        <v>185</v>
      </c>
      <c r="AH130" s="20">
        <v>64</v>
      </c>
      <c r="AI130" s="20">
        <v>97</v>
      </c>
      <c r="AJ130" s="20">
        <v>94</v>
      </c>
      <c r="AK130" s="20">
        <v>52</v>
      </c>
      <c r="AL130" s="20">
        <v>32</v>
      </c>
      <c r="AM130" s="20">
        <v>28</v>
      </c>
      <c r="AN130" s="20">
        <v>44</v>
      </c>
      <c r="AO130" s="20">
        <v>68</v>
      </c>
      <c r="AP130" s="20">
        <v>13</v>
      </c>
      <c r="AQ130" s="20">
        <v>30</v>
      </c>
      <c r="AR130" s="20">
        <v>26</v>
      </c>
      <c r="AS130" s="20">
        <v>57</v>
      </c>
      <c r="AT130" s="20">
        <v>17</v>
      </c>
      <c r="AU130" s="20">
        <v>17</v>
      </c>
      <c r="AV130" s="20">
        <v>18</v>
      </c>
      <c r="AW130" s="20">
        <v>14</v>
      </c>
      <c r="AX130" s="20">
        <v>11</v>
      </c>
      <c r="AY130" s="20">
        <v>12</v>
      </c>
      <c r="AZ130" s="20">
        <v>20</v>
      </c>
      <c r="BA130" s="20">
        <v>15</v>
      </c>
      <c r="BB130" s="20">
        <v>14</v>
      </c>
      <c r="BC130" s="20">
        <v>10</v>
      </c>
      <c r="BD130" s="20">
        <v>10</v>
      </c>
      <c r="BE130" s="20">
        <v>9</v>
      </c>
      <c r="BF130" s="20">
        <v>10</v>
      </c>
      <c r="BG130" s="20">
        <v>5</v>
      </c>
      <c r="BH130" s="20">
        <v>6</v>
      </c>
      <c r="BI130" s="20">
        <v>5</v>
      </c>
      <c r="BJ130" s="20">
        <v>5</v>
      </c>
      <c r="BK130" s="20">
        <v>3</v>
      </c>
      <c r="BL130" s="20">
        <v>2</v>
      </c>
      <c r="BM130" s="20">
        <v>1</v>
      </c>
      <c r="BN130" s="20">
        <v>1</v>
      </c>
      <c r="BO130" s="20">
        <v>1</v>
      </c>
      <c r="BP130" s="20">
        <v>1</v>
      </c>
      <c r="BQ130" s="20">
        <v>1</v>
      </c>
      <c r="BR130" s="20">
        <v>1</v>
      </c>
      <c r="BS130" s="20">
        <v>2</v>
      </c>
      <c r="BT130" s="20">
        <v>0</v>
      </c>
      <c r="BU130" s="20">
        <v>1</v>
      </c>
      <c r="BV130" s="20">
        <v>1</v>
      </c>
      <c r="BW130" s="20">
        <v>0</v>
      </c>
      <c r="BX130" s="20">
        <v>1</v>
      </c>
      <c r="BY130" s="20">
        <v>0</v>
      </c>
      <c r="BZ130" s="20">
        <v>0</v>
      </c>
      <c r="CA130" s="20">
        <v>1</v>
      </c>
      <c r="CB130" s="20">
        <v>1</v>
      </c>
      <c r="CC130" s="20">
        <v>3</v>
      </c>
      <c r="CD130" s="20">
        <v>1</v>
      </c>
      <c r="CE130" s="20">
        <v>2</v>
      </c>
      <c r="CF130" s="20">
        <v>1</v>
      </c>
      <c r="CG130" s="20">
        <v>1</v>
      </c>
      <c r="CH130" s="20">
        <v>1</v>
      </c>
      <c r="CI130" s="20">
        <v>1</v>
      </c>
      <c r="CJ130" s="20">
        <v>1</v>
      </c>
      <c r="CK130" s="20">
        <v>0</v>
      </c>
      <c r="CL130" s="20">
        <v>0</v>
      </c>
      <c r="CM130" s="20">
        <v>0</v>
      </c>
      <c r="CN130" s="20">
        <v>0</v>
      </c>
      <c r="CO130" s="20">
        <v>0</v>
      </c>
      <c r="CP130" s="20">
        <v>0</v>
      </c>
      <c r="CQ130" s="20">
        <v>0</v>
      </c>
      <c r="CR130" s="20">
        <v>0</v>
      </c>
      <c r="CS130" s="20">
        <v>0</v>
      </c>
      <c r="CT130" s="20">
        <v>0</v>
      </c>
      <c r="CU130" s="20">
        <v>0</v>
      </c>
      <c r="CV130" s="20">
        <v>0</v>
      </c>
      <c r="CW130" s="20">
        <v>0</v>
      </c>
      <c r="CX130" s="20">
        <v>0</v>
      </c>
      <c r="CY130" s="20">
        <v>0</v>
      </c>
      <c r="CZ130" s="20">
        <v>0</v>
      </c>
      <c r="DA130" s="20">
        <v>0</v>
      </c>
      <c r="DB130" s="20">
        <v>0</v>
      </c>
      <c r="DC130" s="20">
        <v>0</v>
      </c>
      <c r="DD130" s="20">
        <v>0</v>
      </c>
      <c r="DE130" s="20">
        <v>0</v>
      </c>
      <c r="DF130" s="20">
        <v>0</v>
      </c>
      <c r="DG130" s="16">
        <f t="shared" si="14"/>
        <v>7824</v>
      </c>
      <c r="DH130" s="16">
        <f t="shared" si="15"/>
        <v>108017</v>
      </c>
      <c r="DI130" s="17">
        <f t="shared" si="16"/>
        <v>13.805853783231084</v>
      </c>
      <c r="DJ130" s="119" t="s">
        <v>1323</v>
      </c>
      <c r="DK130" s="119" t="s">
        <v>1</v>
      </c>
      <c r="DL130" s="119" t="s">
        <v>1522</v>
      </c>
    </row>
    <row r="131" spans="1:116">
      <c r="A131" s="32" t="str">
        <f t="shared" si="12"/>
        <v>Powercor--POLES / COLUMNS ; MINOR ROAD</v>
      </c>
      <c r="B131" s="32" t="str">
        <f t="shared" si="13"/>
        <v>Powercor</v>
      </c>
      <c r="C131" s="416"/>
      <c r="D131" s="14"/>
      <c r="E131" s="15" t="s">
        <v>269</v>
      </c>
      <c r="F131" s="18">
        <v>50</v>
      </c>
      <c r="G131" s="18">
        <v>7.0710678118654755</v>
      </c>
      <c r="H131" s="20">
        <v>1242</v>
      </c>
      <c r="I131" s="20">
        <v>2041</v>
      </c>
      <c r="J131" s="20">
        <v>2214</v>
      </c>
      <c r="K131" s="20">
        <v>2510</v>
      </c>
      <c r="L131" s="20">
        <v>2730</v>
      </c>
      <c r="M131" s="20">
        <v>2815</v>
      </c>
      <c r="N131" s="20">
        <v>3155</v>
      </c>
      <c r="O131" s="20">
        <v>2506</v>
      </c>
      <c r="P131" s="20">
        <v>2911</v>
      </c>
      <c r="Q131" s="20">
        <v>3140</v>
      </c>
      <c r="R131" s="20">
        <v>3121</v>
      </c>
      <c r="S131" s="20">
        <v>2487</v>
      </c>
      <c r="T131" s="20">
        <v>1005</v>
      </c>
      <c r="U131" s="20">
        <v>2094</v>
      </c>
      <c r="V131" s="20">
        <v>1608</v>
      </c>
      <c r="W131" s="20">
        <v>1198</v>
      </c>
      <c r="X131" s="20">
        <v>736</v>
      </c>
      <c r="Y131" s="20">
        <v>623</v>
      </c>
      <c r="Z131" s="20">
        <v>562</v>
      </c>
      <c r="AA131" s="20">
        <v>1313</v>
      </c>
      <c r="AB131" s="20">
        <v>1376</v>
      </c>
      <c r="AC131" s="20">
        <v>698</v>
      </c>
      <c r="AD131" s="20">
        <v>684</v>
      </c>
      <c r="AE131" s="20">
        <v>1210</v>
      </c>
      <c r="AF131" s="20">
        <v>1481</v>
      </c>
      <c r="AG131" s="20">
        <v>1233</v>
      </c>
      <c r="AH131" s="20">
        <v>423</v>
      </c>
      <c r="AI131" s="20">
        <v>644</v>
      </c>
      <c r="AJ131" s="20">
        <v>624</v>
      </c>
      <c r="AK131" s="20">
        <v>347</v>
      </c>
      <c r="AL131" s="20">
        <v>210</v>
      </c>
      <c r="AM131" s="20">
        <v>186</v>
      </c>
      <c r="AN131" s="20">
        <v>287</v>
      </c>
      <c r="AO131" s="20">
        <v>454</v>
      </c>
      <c r="AP131" s="20">
        <v>86</v>
      </c>
      <c r="AQ131" s="20">
        <v>198</v>
      </c>
      <c r="AR131" s="20">
        <v>170</v>
      </c>
      <c r="AS131" s="20">
        <v>376</v>
      </c>
      <c r="AT131" s="20">
        <v>112</v>
      </c>
      <c r="AU131" s="20">
        <v>109</v>
      </c>
      <c r="AV131" s="20">
        <v>115</v>
      </c>
      <c r="AW131" s="20">
        <v>89</v>
      </c>
      <c r="AX131" s="20">
        <v>71</v>
      </c>
      <c r="AY131" s="20">
        <v>76</v>
      </c>
      <c r="AZ131" s="20">
        <v>127</v>
      </c>
      <c r="BA131" s="20">
        <v>93</v>
      </c>
      <c r="BB131" s="20">
        <v>93</v>
      </c>
      <c r="BC131" s="20">
        <v>61</v>
      </c>
      <c r="BD131" s="20">
        <v>66</v>
      </c>
      <c r="BE131" s="20">
        <v>55</v>
      </c>
      <c r="BF131" s="20">
        <v>62</v>
      </c>
      <c r="BG131" s="20">
        <v>26</v>
      </c>
      <c r="BH131" s="20">
        <v>39</v>
      </c>
      <c r="BI131" s="20">
        <v>28</v>
      </c>
      <c r="BJ131" s="20">
        <v>27</v>
      </c>
      <c r="BK131" s="20">
        <v>14</v>
      </c>
      <c r="BL131" s="20">
        <v>12</v>
      </c>
      <c r="BM131" s="20">
        <v>2</v>
      </c>
      <c r="BN131" s="20">
        <v>5</v>
      </c>
      <c r="BO131" s="20">
        <v>4</v>
      </c>
      <c r="BP131" s="20">
        <v>3</v>
      </c>
      <c r="BQ131" s="20">
        <v>6</v>
      </c>
      <c r="BR131" s="20">
        <v>3</v>
      </c>
      <c r="BS131" s="20">
        <v>9</v>
      </c>
      <c r="BT131" s="20">
        <v>0</v>
      </c>
      <c r="BU131" s="20">
        <v>1</v>
      </c>
      <c r="BV131" s="20">
        <v>2</v>
      </c>
      <c r="BW131" s="20">
        <v>0</v>
      </c>
      <c r="BX131" s="20">
        <v>1</v>
      </c>
      <c r="BY131" s="20">
        <v>0</v>
      </c>
      <c r="BZ131" s="20">
        <v>0</v>
      </c>
      <c r="CA131" s="20">
        <v>1</v>
      </c>
      <c r="CB131" s="20">
        <v>4</v>
      </c>
      <c r="CC131" s="20">
        <v>13</v>
      </c>
      <c r="CD131" s="20">
        <v>5</v>
      </c>
      <c r="CE131" s="20">
        <v>13</v>
      </c>
      <c r="CF131" s="20">
        <v>3</v>
      </c>
      <c r="CG131" s="20">
        <v>2</v>
      </c>
      <c r="CH131" s="20">
        <v>2</v>
      </c>
      <c r="CI131" s="20">
        <v>4</v>
      </c>
      <c r="CJ131" s="20">
        <v>1</v>
      </c>
      <c r="CK131" s="20">
        <v>0</v>
      </c>
      <c r="CL131" s="20">
        <v>0</v>
      </c>
      <c r="CM131" s="20">
        <v>0</v>
      </c>
      <c r="CN131" s="20">
        <v>0</v>
      </c>
      <c r="CO131" s="20">
        <v>0</v>
      </c>
      <c r="CP131" s="20">
        <v>0</v>
      </c>
      <c r="CQ131" s="20">
        <v>0</v>
      </c>
      <c r="CR131" s="20">
        <v>0</v>
      </c>
      <c r="CS131" s="20">
        <v>0</v>
      </c>
      <c r="CT131" s="20">
        <v>0</v>
      </c>
      <c r="CU131" s="20">
        <v>0</v>
      </c>
      <c r="CV131" s="20">
        <v>0</v>
      </c>
      <c r="CW131" s="20">
        <v>0</v>
      </c>
      <c r="CX131" s="20">
        <v>0</v>
      </c>
      <c r="CY131" s="20">
        <v>0</v>
      </c>
      <c r="CZ131" s="20">
        <v>0</v>
      </c>
      <c r="DA131" s="20">
        <v>0</v>
      </c>
      <c r="DB131" s="20">
        <v>0</v>
      </c>
      <c r="DC131" s="20">
        <v>0</v>
      </c>
      <c r="DD131" s="20">
        <v>0</v>
      </c>
      <c r="DE131" s="20">
        <v>0</v>
      </c>
      <c r="DF131" s="20">
        <v>0</v>
      </c>
      <c r="DG131" s="16">
        <f t="shared" si="14"/>
        <v>52057</v>
      </c>
      <c r="DH131" s="16">
        <f t="shared" si="15"/>
        <v>710712</v>
      </c>
      <c r="DI131" s="17">
        <f t="shared" si="16"/>
        <v>13.652573140980079</v>
      </c>
      <c r="DJ131" s="119" t="s">
        <v>1323</v>
      </c>
      <c r="DK131" s="119" t="s">
        <v>1</v>
      </c>
      <c r="DL131" s="119" t="s">
        <v>1522</v>
      </c>
    </row>
    <row r="132" spans="1:116">
      <c r="A132" s="32" t="str">
        <f t="shared" si="12"/>
        <v>Powercor--OTHER - PLEASE ADD A ROW IF NECESSARY AND NOMINATE THE CATEGORY</v>
      </c>
      <c r="B132" s="32" t="str">
        <f t="shared" si="13"/>
        <v>Powercor</v>
      </c>
      <c r="C132" s="416"/>
      <c r="D132" s="14"/>
      <c r="E132" s="15" t="s">
        <v>170</v>
      </c>
      <c r="F132" s="18"/>
      <c r="G132" s="18"/>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16">
        <f t="shared" si="14"/>
        <v>0</v>
      </c>
      <c r="DH132" s="16">
        <f t="shared" si="15"/>
        <v>0</v>
      </c>
      <c r="DI132" s="17" t="str">
        <f t="shared" si="16"/>
        <v/>
      </c>
      <c r="DJ132" s="119" t="s">
        <v>1323</v>
      </c>
      <c r="DK132" s="119" t="s">
        <v>1525</v>
      </c>
    </row>
    <row r="133" spans="1:116" ht="45">
      <c r="A133" s="32" t="str">
        <f t="shared" si="12"/>
        <v>Powercor-SCADA, NETWORK CONTROL AND PROTECTION SYSTEMS BY: 
FUNCTION-FIELD DEVICES</v>
      </c>
      <c r="B133" s="32" t="str">
        <f t="shared" si="13"/>
        <v>Powercor</v>
      </c>
      <c r="C133" s="416"/>
      <c r="D133" s="14" t="s">
        <v>548</v>
      </c>
      <c r="E133" s="15" t="s">
        <v>272</v>
      </c>
      <c r="F133" s="18">
        <v>19.600000000000001</v>
      </c>
      <c r="G133" s="18">
        <v>4.4000000000000004</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0">
        <v>0</v>
      </c>
      <c r="AY133" s="20">
        <v>0</v>
      </c>
      <c r="AZ133" s="20">
        <v>0</v>
      </c>
      <c r="BA133" s="20">
        <v>0</v>
      </c>
      <c r="BB133" s="20">
        <v>0</v>
      </c>
      <c r="BC133" s="20">
        <v>0</v>
      </c>
      <c r="BD133" s="20">
        <v>0</v>
      </c>
      <c r="BE133" s="20">
        <v>0</v>
      </c>
      <c r="BF133" s="20">
        <v>0</v>
      </c>
      <c r="BG133" s="20">
        <v>0</v>
      </c>
      <c r="BH133" s="20">
        <v>0</v>
      </c>
      <c r="BI133" s="20">
        <v>0</v>
      </c>
      <c r="BJ133" s="20">
        <v>0</v>
      </c>
      <c r="BK133" s="20">
        <v>0</v>
      </c>
      <c r="BL133" s="20">
        <v>0</v>
      </c>
      <c r="BM133" s="20">
        <v>0</v>
      </c>
      <c r="BN133" s="20">
        <v>0</v>
      </c>
      <c r="BO133" s="20">
        <v>0</v>
      </c>
      <c r="BP133" s="20">
        <v>0</v>
      </c>
      <c r="BQ133" s="20">
        <v>0</v>
      </c>
      <c r="BR133" s="20">
        <v>0</v>
      </c>
      <c r="BS133" s="20">
        <v>0</v>
      </c>
      <c r="BT133" s="20">
        <v>0</v>
      </c>
      <c r="BU133" s="20">
        <v>0</v>
      </c>
      <c r="BV133" s="20">
        <v>0</v>
      </c>
      <c r="BW133" s="20">
        <v>0</v>
      </c>
      <c r="BX133" s="20">
        <v>0</v>
      </c>
      <c r="BY133" s="20">
        <v>0</v>
      </c>
      <c r="BZ133" s="20">
        <v>0</v>
      </c>
      <c r="CA133" s="20">
        <v>0</v>
      </c>
      <c r="CB133" s="20">
        <v>0</v>
      </c>
      <c r="CC133" s="20">
        <v>0</v>
      </c>
      <c r="CD133" s="20">
        <v>0</v>
      </c>
      <c r="CE133" s="20">
        <v>0</v>
      </c>
      <c r="CF133" s="20">
        <v>0</v>
      </c>
      <c r="CG133" s="20">
        <v>0</v>
      </c>
      <c r="CH133" s="20">
        <v>0</v>
      </c>
      <c r="CI133" s="20">
        <v>0</v>
      </c>
      <c r="CJ133" s="20">
        <v>0</v>
      </c>
      <c r="CK133" s="20">
        <v>0</v>
      </c>
      <c r="CL133" s="20">
        <v>0</v>
      </c>
      <c r="CM133" s="20">
        <v>0</v>
      </c>
      <c r="CN133" s="20">
        <v>0</v>
      </c>
      <c r="CO133" s="20">
        <v>0</v>
      </c>
      <c r="CP133" s="20">
        <v>0</v>
      </c>
      <c r="CQ133" s="20">
        <v>0</v>
      </c>
      <c r="CR133" s="20">
        <v>0</v>
      </c>
      <c r="CS133" s="20">
        <v>0</v>
      </c>
      <c r="CT133" s="20">
        <v>0</v>
      </c>
      <c r="CU133" s="20">
        <v>0</v>
      </c>
      <c r="CV133" s="20">
        <v>0</v>
      </c>
      <c r="CW133" s="20">
        <v>0</v>
      </c>
      <c r="CX133" s="20">
        <v>0</v>
      </c>
      <c r="CY133" s="20">
        <v>0</v>
      </c>
      <c r="CZ133" s="20">
        <v>0</v>
      </c>
      <c r="DA133" s="20">
        <v>0</v>
      </c>
      <c r="DB133" s="20">
        <v>0</v>
      </c>
      <c r="DC133" s="20">
        <v>0</v>
      </c>
      <c r="DD133" s="20">
        <v>0</v>
      </c>
      <c r="DE133" s="20">
        <v>0</v>
      </c>
      <c r="DF133" s="20">
        <v>0</v>
      </c>
      <c r="DG133" s="16">
        <f t="shared" si="14"/>
        <v>0</v>
      </c>
      <c r="DH133" s="16">
        <f t="shared" si="15"/>
        <v>0</v>
      </c>
      <c r="DI133" s="17" t="str">
        <f t="shared" si="16"/>
        <v/>
      </c>
      <c r="DJ133" s="119" t="s">
        <v>659</v>
      </c>
      <c r="DK133" t="s">
        <v>659</v>
      </c>
    </row>
    <row r="134" spans="1:116">
      <c r="A134" s="32" t="str">
        <f t="shared" si="12"/>
        <v>Powercor--ZONE SUBSTATION RELAYS (ELECTROMECHANICAL)</v>
      </c>
      <c r="B134" s="32" t="str">
        <f t="shared" si="13"/>
        <v>Powercor</v>
      </c>
      <c r="C134" s="416"/>
      <c r="D134" s="14"/>
      <c r="E134" s="15" t="s">
        <v>549</v>
      </c>
      <c r="F134" s="18">
        <v>40</v>
      </c>
      <c r="G134" s="18">
        <v>6.3</v>
      </c>
      <c r="H134" s="20">
        <v>0</v>
      </c>
      <c r="I134" s="20">
        <v>0</v>
      </c>
      <c r="J134" s="20">
        <v>0</v>
      </c>
      <c r="K134" s="20">
        <v>0</v>
      </c>
      <c r="L134" s="20">
        <v>1</v>
      </c>
      <c r="M134" s="20">
        <v>1</v>
      </c>
      <c r="N134" s="20">
        <v>1</v>
      </c>
      <c r="O134" s="20">
        <v>1</v>
      </c>
      <c r="P134" s="20">
        <v>1</v>
      </c>
      <c r="Q134" s="20">
        <v>0</v>
      </c>
      <c r="R134" s="20">
        <v>0</v>
      </c>
      <c r="S134" s="20">
        <v>0</v>
      </c>
      <c r="T134" s="20">
        <v>1</v>
      </c>
      <c r="U134" s="20">
        <v>0</v>
      </c>
      <c r="V134" s="20">
        <v>1</v>
      </c>
      <c r="W134" s="20">
        <v>6</v>
      </c>
      <c r="X134" s="20">
        <v>8</v>
      </c>
      <c r="Y134" s="20">
        <v>8</v>
      </c>
      <c r="Z134" s="20">
        <v>8</v>
      </c>
      <c r="AA134" s="20">
        <v>8</v>
      </c>
      <c r="AB134" s="20">
        <v>8</v>
      </c>
      <c r="AC134" s="20">
        <v>8</v>
      </c>
      <c r="AD134" s="20">
        <v>8</v>
      </c>
      <c r="AE134" s="20">
        <v>8</v>
      </c>
      <c r="AF134" s="20">
        <v>8</v>
      </c>
      <c r="AG134" s="20">
        <v>22</v>
      </c>
      <c r="AH134" s="20">
        <v>22</v>
      </c>
      <c r="AI134" s="20">
        <v>22</v>
      </c>
      <c r="AJ134" s="20">
        <v>22</v>
      </c>
      <c r="AK134" s="20">
        <v>20</v>
      </c>
      <c r="AL134" s="20">
        <v>22</v>
      </c>
      <c r="AM134" s="20">
        <v>22</v>
      </c>
      <c r="AN134" s="20">
        <v>20</v>
      </c>
      <c r="AO134" s="20">
        <v>19</v>
      </c>
      <c r="AP134" s="20">
        <v>22</v>
      </c>
      <c r="AQ134" s="20">
        <v>38</v>
      </c>
      <c r="AR134" s="20">
        <v>35</v>
      </c>
      <c r="AS134" s="20">
        <v>38</v>
      </c>
      <c r="AT134" s="20">
        <v>4</v>
      </c>
      <c r="AU134" s="20">
        <v>38</v>
      </c>
      <c r="AV134" s="20">
        <v>38</v>
      </c>
      <c r="AW134" s="20">
        <v>38</v>
      </c>
      <c r="AX134" s="20">
        <v>20</v>
      </c>
      <c r="AY134" s="20">
        <v>15</v>
      </c>
      <c r="AZ134" s="20">
        <v>15</v>
      </c>
      <c r="BA134" s="20">
        <v>1</v>
      </c>
      <c r="BB134" s="20">
        <v>0</v>
      </c>
      <c r="BC134" s="20">
        <v>9</v>
      </c>
      <c r="BD134" s="20">
        <v>13</v>
      </c>
      <c r="BE134" s="20">
        <v>5</v>
      </c>
      <c r="BF134" s="20">
        <v>26</v>
      </c>
      <c r="BG134" s="20">
        <v>26</v>
      </c>
      <c r="BH134" s="20">
        <v>11</v>
      </c>
      <c r="BI134" s="20">
        <v>26</v>
      </c>
      <c r="BJ134" s="20">
        <v>25</v>
      </c>
      <c r="BK134" s="20">
        <v>13</v>
      </c>
      <c r="BL134" s="20">
        <v>13</v>
      </c>
      <c r="BM134" s="20">
        <v>13</v>
      </c>
      <c r="BN134" s="20">
        <v>13</v>
      </c>
      <c r="BO134" s="20">
        <v>13</v>
      </c>
      <c r="BP134" s="20">
        <v>13</v>
      </c>
      <c r="BQ134" s="20">
        <v>13</v>
      </c>
      <c r="BR134" s="20">
        <v>13</v>
      </c>
      <c r="BS134" s="20">
        <v>12</v>
      </c>
      <c r="BT134" s="20">
        <v>12</v>
      </c>
      <c r="BU134" s="20">
        <v>0</v>
      </c>
      <c r="BV134" s="20">
        <v>0</v>
      </c>
      <c r="BW134" s="20">
        <v>0</v>
      </c>
      <c r="BX134" s="20">
        <v>0</v>
      </c>
      <c r="BY134" s="20">
        <v>0</v>
      </c>
      <c r="BZ134" s="20">
        <v>0</v>
      </c>
      <c r="CA134" s="20">
        <v>0</v>
      </c>
      <c r="CB134" s="20">
        <v>0</v>
      </c>
      <c r="CC134" s="20">
        <v>0</v>
      </c>
      <c r="CD134" s="20">
        <v>0</v>
      </c>
      <c r="CE134" s="20">
        <v>0</v>
      </c>
      <c r="CF134" s="20">
        <v>0</v>
      </c>
      <c r="CG134" s="20">
        <v>0</v>
      </c>
      <c r="CH134" s="20">
        <v>0</v>
      </c>
      <c r="CI134" s="20">
        <v>0</v>
      </c>
      <c r="CJ134" s="20">
        <v>0</v>
      </c>
      <c r="CK134" s="20">
        <v>0</v>
      </c>
      <c r="CL134" s="20">
        <v>0</v>
      </c>
      <c r="CM134" s="20">
        <v>0</v>
      </c>
      <c r="CN134" s="20">
        <v>0</v>
      </c>
      <c r="CO134" s="20">
        <v>0</v>
      </c>
      <c r="CP134" s="20">
        <v>0</v>
      </c>
      <c r="CQ134" s="20">
        <v>0</v>
      </c>
      <c r="CR134" s="20">
        <v>0</v>
      </c>
      <c r="CS134" s="20">
        <v>0</v>
      </c>
      <c r="CT134" s="20">
        <v>0</v>
      </c>
      <c r="CU134" s="20">
        <v>0</v>
      </c>
      <c r="CV134" s="20">
        <v>0</v>
      </c>
      <c r="CW134" s="20">
        <v>0</v>
      </c>
      <c r="CX134" s="20">
        <v>0</v>
      </c>
      <c r="CY134" s="20">
        <v>0</v>
      </c>
      <c r="CZ134" s="20">
        <v>0</v>
      </c>
      <c r="DA134" s="20">
        <v>0</v>
      </c>
      <c r="DB134" s="20">
        <v>0</v>
      </c>
      <c r="DC134" s="20">
        <v>0</v>
      </c>
      <c r="DD134" s="20">
        <v>0</v>
      </c>
      <c r="DE134" s="20">
        <v>0</v>
      </c>
      <c r="DF134" s="20">
        <v>0</v>
      </c>
      <c r="DG134" s="16">
        <f t="shared" si="14"/>
        <v>847</v>
      </c>
      <c r="DH134" s="16">
        <f t="shared" si="15"/>
        <v>34426</v>
      </c>
      <c r="DI134" s="17">
        <f t="shared" si="16"/>
        <v>40.644628099173552</v>
      </c>
      <c r="DJ134" s="119" t="s">
        <v>659</v>
      </c>
      <c r="DK134" s="44" t="s">
        <v>659</v>
      </c>
    </row>
    <row r="135" spans="1:116">
      <c r="A135" s="32" t="str">
        <f t="shared" si="12"/>
        <v>Powercor--ZONE SUBSTATION RELAYS (ELECTRONIC)</v>
      </c>
      <c r="B135" s="32" t="str">
        <f t="shared" si="13"/>
        <v>Powercor</v>
      </c>
      <c r="C135" s="416"/>
      <c r="D135" s="14"/>
      <c r="E135" s="15" t="s">
        <v>550</v>
      </c>
      <c r="F135" s="18">
        <v>15</v>
      </c>
      <c r="G135" s="18">
        <v>3.9</v>
      </c>
      <c r="H135" s="20">
        <v>3</v>
      </c>
      <c r="I135" s="20">
        <v>23</v>
      </c>
      <c r="J135" s="20">
        <v>15</v>
      </c>
      <c r="K135" s="20">
        <v>14</v>
      </c>
      <c r="L135" s="20">
        <v>17</v>
      </c>
      <c r="M135" s="20">
        <v>17</v>
      </c>
      <c r="N135" s="20">
        <v>17</v>
      </c>
      <c r="O135" s="20">
        <v>17</v>
      </c>
      <c r="P135" s="20">
        <v>17</v>
      </c>
      <c r="Q135" s="20">
        <v>16</v>
      </c>
      <c r="R135" s="20">
        <v>17</v>
      </c>
      <c r="S135" s="20">
        <v>17</v>
      </c>
      <c r="T135" s="20">
        <v>17</v>
      </c>
      <c r="U135" s="20">
        <v>15</v>
      </c>
      <c r="V135" s="20">
        <v>17</v>
      </c>
      <c r="W135" s="20">
        <v>37</v>
      </c>
      <c r="X135" s="20">
        <v>37</v>
      </c>
      <c r="Y135" s="20">
        <v>37</v>
      </c>
      <c r="Z135" s="20">
        <v>37</v>
      </c>
      <c r="AA135" s="20">
        <v>37</v>
      </c>
      <c r="AB135" s="20">
        <v>31</v>
      </c>
      <c r="AC135" s="20">
        <v>37</v>
      </c>
      <c r="AD135" s="20">
        <v>37</v>
      </c>
      <c r="AE135" s="20">
        <v>37</v>
      </c>
      <c r="AF135" s="20">
        <v>31</v>
      </c>
      <c r="AG135" s="20">
        <v>91</v>
      </c>
      <c r="AH135" s="20">
        <v>91</v>
      </c>
      <c r="AI135" s="20">
        <v>90</v>
      </c>
      <c r="AJ135" s="20">
        <v>91</v>
      </c>
      <c r="AK135" s="20">
        <v>91</v>
      </c>
      <c r="AL135" s="20">
        <v>79</v>
      </c>
      <c r="AM135" s="20">
        <v>81</v>
      </c>
      <c r="AN135" s="20">
        <v>87</v>
      </c>
      <c r="AO135" s="20">
        <v>91</v>
      </c>
      <c r="AP135" s="20">
        <v>75</v>
      </c>
      <c r="AQ135" s="20">
        <v>9</v>
      </c>
      <c r="AR135" s="20">
        <v>9</v>
      </c>
      <c r="AS135" s="20">
        <v>9</v>
      </c>
      <c r="AT135" s="20">
        <v>6</v>
      </c>
      <c r="AU135" s="20">
        <v>9</v>
      </c>
      <c r="AV135" s="20">
        <v>9</v>
      </c>
      <c r="AW135" s="20">
        <v>9</v>
      </c>
      <c r="AX135" s="20">
        <v>9</v>
      </c>
      <c r="AY135" s="20">
        <v>3</v>
      </c>
      <c r="AZ135" s="20">
        <v>9</v>
      </c>
      <c r="BA135" s="20">
        <v>5</v>
      </c>
      <c r="BB135" s="20">
        <v>1</v>
      </c>
      <c r="BC135" s="20">
        <v>3</v>
      </c>
      <c r="BD135" s="20">
        <v>0</v>
      </c>
      <c r="BE135" s="20">
        <v>5</v>
      </c>
      <c r="BF135" s="20">
        <v>6</v>
      </c>
      <c r="BG135" s="20">
        <v>6</v>
      </c>
      <c r="BH135" s="20">
        <v>4</v>
      </c>
      <c r="BI135" s="20">
        <v>6</v>
      </c>
      <c r="BJ135" s="20">
        <v>5</v>
      </c>
      <c r="BK135" s="20">
        <v>3</v>
      </c>
      <c r="BL135" s="20">
        <v>3</v>
      </c>
      <c r="BM135" s="20">
        <v>3</v>
      </c>
      <c r="BN135" s="20">
        <v>3</v>
      </c>
      <c r="BO135" s="20">
        <v>3</v>
      </c>
      <c r="BP135" s="20">
        <v>3</v>
      </c>
      <c r="BQ135" s="20">
        <v>3</v>
      </c>
      <c r="BR135" s="20">
        <v>3</v>
      </c>
      <c r="BS135" s="20">
        <v>0</v>
      </c>
      <c r="BT135" s="20">
        <v>3</v>
      </c>
      <c r="BU135" s="20">
        <v>0</v>
      </c>
      <c r="BV135" s="20">
        <v>0</v>
      </c>
      <c r="BW135" s="20">
        <v>0</v>
      </c>
      <c r="BX135" s="20">
        <v>0</v>
      </c>
      <c r="BY135" s="20">
        <v>0</v>
      </c>
      <c r="BZ135" s="20">
        <v>0</v>
      </c>
      <c r="CA135" s="20">
        <v>0</v>
      </c>
      <c r="CB135" s="20">
        <v>0</v>
      </c>
      <c r="CC135" s="20">
        <v>0</v>
      </c>
      <c r="CD135" s="20">
        <v>0</v>
      </c>
      <c r="CE135" s="20">
        <v>0</v>
      </c>
      <c r="CF135" s="20">
        <v>0</v>
      </c>
      <c r="CG135" s="20">
        <v>0</v>
      </c>
      <c r="CH135" s="20">
        <v>0</v>
      </c>
      <c r="CI135" s="20">
        <v>0</v>
      </c>
      <c r="CJ135" s="20">
        <v>0</v>
      </c>
      <c r="CK135" s="20">
        <v>0</v>
      </c>
      <c r="CL135" s="20">
        <v>0</v>
      </c>
      <c r="CM135" s="20">
        <v>0</v>
      </c>
      <c r="CN135" s="20">
        <v>0</v>
      </c>
      <c r="CO135" s="20">
        <v>0</v>
      </c>
      <c r="CP135" s="20">
        <v>0</v>
      </c>
      <c r="CQ135" s="20">
        <v>0</v>
      </c>
      <c r="CR135" s="20">
        <v>0</v>
      </c>
      <c r="CS135" s="20">
        <v>0</v>
      </c>
      <c r="CT135" s="20">
        <v>0</v>
      </c>
      <c r="CU135" s="20">
        <v>0</v>
      </c>
      <c r="CV135" s="20">
        <v>0</v>
      </c>
      <c r="CW135" s="20">
        <v>0</v>
      </c>
      <c r="CX135" s="20">
        <v>0</v>
      </c>
      <c r="CY135" s="20">
        <v>0</v>
      </c>
      <c r="CZ135" s="20">
        <v>0</v>
      </c>
      <c r="DA135" s="20">
        <v>0</v>
      </c>
      <c r="DB135" s="20">
        <v>0</v>
      </c>
      <c r="DC135" s="20">
        <v>0</v>
      </c>
      <c r="DD135" s="20">
        <v>0</v>
      </c>
      <c r="DE135" s="20">
        <v>0</v>
      </c>
      <c r="DF135" s="20">
        <v>0</v>
      </c>
      <c r="DG135" s="16">
        <f t="shared" si="14"/>
        <v>1613</v>
      </c>
      <c r="DH135" s="16">
        <f t="shared" si="15"/>
        <v>42621</v>
      </c>
      <c r="DI135" s="17">
        <f t="shared" si="16"/>
        <v>26.423434593924366</v>
      </c>
      <c r="DJ135" s="119" t="s">
        <v>659</v>
      </c>
      <c r="DK135" s="44" t="s">
        <v>659</v>
      </c>
    </row>
    <row r="136" spans="1:116">
      <c r="A136" s="32" t="str">
        <f t="shared" si="12"/>
        <v>Powercor--ZONE SUBSTATION RELAYS (DIGITAL)</v>
      </c>
      <c r="B136" s="32" t="str">
        <f t="shared" si="13"/>
        <v>Powercor</v>
      </c>
      <c r="C136" s="416"/>
      <c r="D136" s="14"/>
      <c r="E136" s="15" t="s">
        <v>551</v>
      </c>
      <c r="F136" s="18">
        <v>15</v>
      </c>
      <c r="G136" s="18">
        <v>3.9</v>
      </c>
      <c r="H136" s="20">
        <v>37</v>
      </c>
      <c r="I136" s="20">
        <v>146</v>
      </c>
      <c r="J136" s="20">
        <v>84</v>
      </c>
      <c r="K136" s="20">
        <v>73</v>
      </c>
      <c r="L136" s="20">
        <v>95</v>
      </c>
      <c r="M136" s="20">
        <v>42</v>
      </c>
      <c r="N136" s="20">
        <v>45</v>
      </c>
      <c r="O136" s="20">
        <v>45</v>
      </c>
      <c r="P136" s="20">
        <v>45</v>
      </c>
      <c r="Q136" s="20">
        <v>44</v>
      </c>
      <c r="R136" s="20">
        <v>44</v>
      </c>
      <c r="S136" s="20">
        <v>45</v>
      </c>
      <c r="T136" s="20">
        <v>45</v>
      </c>
      <c r="U136" s="20">
        <v>44</v>
      </c>
      <c r="V136" s="20">
        <v>45</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0">
        <v>0</v>
      </c>
      <c r="AY136" s="20">
        <v>0</v>
      </c>
      <c r="AZ136" s="20">
        <v>0</v>
      </c>
      <c r="BA136" s="20">
        <v>0</v>
      </c>
      <c r="BB136" s="20">
        <v>0</v>
      </c>
      <c r="BC136" s="20">
        <v>0</v>
      </c>
      <c r="BD136" s="20">
        <v>0</v>
      </c>
      <c r="BE136" s="20">
        <v>0</v>
      </c>
      <c r="BF136" s="20">
        <v>0</v>
      </c>
      <c r="BG136" s="20">
        <v>0</v>
      </c>
      <c r="BH136" s="20">
        <v>0</v>
      </c>
      <c r="BI136" s="20">
        <v>0</v>
      </c>
      <c r="BJ136" s="20">
        <v>0</v>
      </c>
      <c r="BK136" s="20">
        <v>0</v>
      </c>
      <c r="BL136" s="20">
        <v>0</v>
      </c>
      <c r="BM136" s="20">
        <v>0</v>
      </c>
      <c r="BN136" s="20">
        <v>0</v>
      </c>
      <c r="BO136" s="20">
        <v>0</v>
      </c>
      <c r="BP136" s="20">
        <v>0</v>
      </c>
      <c r="BQ136" s="20">
        <v>0</v>
      </c>
      <c r="BR136" s="20">
        <v>0</v>
      </c>
      <c r="BS136" s="20">
        <v>0</v>
      </c>
      <c r="BT136" s="20">
        <v>0</v>
      </c>
      <c r="BU136" s="20">
        <v>0</v>
      </c>
      <c r="BV136" s="20">
        <v>0</v>
      </c>
      <c r="BW136" s="20">
        <v>0</v>
      </c>
      <c r="BX136" s="20">
        <v>0</v>
      </c>
      <c r="BY136" s="20">
        <v>0</v>
      </c>
      <c r="BZ136" s="20">
        <v>0</v>
      </c>
      <c r="CA136" s="20">
        <v>0</v>
      </c>
      <c r="CB136" s="20">
        <v>0</v>
      </c>
      <c r="CC136" s="20">
        <v>0</v>
      </c>
      <c r="CD136" s="20">
        <v>0</v>
      </c>
      <c r="CE136" s="20">
        <v>0</v>
      </c>
      <c r="CF136" s="20">
        <v>0</v>
      </c>
      <c r="CG136" s="20">
        <v>0</v>
      </c>
      <c r="CH136" s="20">
        <v>0</v>
      </c>
      <c r="CI136" s="20">
        <v>0</v>
      </c>
      <c r="CJ136" s="20">
        <v>0</v>
      </c>
      <c r="CK136" s="20">
        <v>0</v>
      </c>
      <c r="CL136" s="20">
        <v>0</v>
      </c>
      <c r="CM136" s="20">
        <v>0</v>
      </c>
      <c r="CN136" s="20">
        <v>0</v>
      </c>
      <c r="CO136" s="20">
        <v>0</v>
      </c>
      <c r="CP136" s="20">
        <v>0</v>
      </c>
      <c r="CQ136" s="20">
        <v>0</v>
      </c>
      <c r="CR136" s="20">
        <v>0</v>
      </c>
      <c r="CS136" s="20">
        <v>0</v>
      </c>
      <c r="CT136" s="20">
        <v>0</v>
      </c>
      <c r="CU136" s="20">
        <v>0</v>
      </c>
      <c r="CV136" s="20">
        <v>0</v>
      </c>
      <c r="CW136" s="20">
        <v>0</v>
      </c>
      <c r="CX136" s="20">
        <v>0</v>
      </c>
      <c r="CY136" s="20">
        <v>0</v>
      </c>
      <c r="CZ136" s="20">
        <v>0</v>
      </c>
      <c r="DA136" s="20">
        <v>0</v>
      </c>
      <c r="DB136" s="20">
        <v>0</v>
      </c>
      <c r="DC136" s="20">
        <v>0</v>
      </c>
      <c r="DD136" s="20">
        <v>0</v>
      </c>
      <c r="DE136" s="20">
        <v>0</v>
      </c>
      <c r="DF136" s="20">
        <v>0</v>
      </c>
      <c r="DG136" s="16">
        <f t="shared" si="14"/>
        <v>879</v>
      </c>
      <c r="DH136" s="16">
        <f t="shared" si="15"/>
        <v>6020</v>
      </c>
      <c r="DI136" s="17">
        <f t="shared" si="16"/>
        <v>6.8486916951080774</v>
      </c>
      <c r="DJ136" s="119" t="s">
        <v>659</v>
      </c>
      <c r="DK136" s="44" t="s">
        <v>659</v>
      </c>
    </row>
    <row r="137" spans="1:116">
      <c r="A137" s="32" t="str">
        <f t="shared" si="12"/>
        <v>Powercor--ZONE SUBSTATION CONTROL</v>
      </c>
      <c r="B137" s="32" t="str">
        <f t="shared" si="13"/>
        <v>Powercor</v>
      </c>
      <c r="C137" s="416"/>
      <c r="D137" s="14"/>
      <c r="E137" s="15" t="s">
        <v>552</v>
      </c>
      <c r="F137" s="18">
        <v>15</v>
      </c>
      <c r="G137" s="18">
        <v>3.9</v>
      </c>
      <c r="H137" s="20">
        <v>14</v>
      </c>
      <c r="I137" s="20">
        <v>24</v>
      </c>
      <c r="J137" s="20">
        <v>14</v>
      </c>
      <c r="K137" s="20">
        <v>12</v>
      </c>
      <c r="L137" s="20">
        <v>6</v>
      </c>
      <c r="M137" s="20">
        <v>8</v>
      </c>
      <c r="N137" s="20">
        <v>8</v>
      </c>
      <c r="O137" s="20">
        <v>3</v>
      </c>
      <c r="P137" s="20">
        <v>12</v>
      </c>
      <c r="Q137" s="20">
        <v>16</v>
      </c>
      <c r="R137" s="20">
        <v>11</v>
      </c>
      <c r="S137" s="20">
        <v>6</v>
      </c>
      <c r="T137" s="20">
        <v>7</v>
      </c>
      <c r="U137" s="20">
        <v>13</v>
      </c>
      <c r="V137" s="20">
        <v>5</v>
      </c>
      <c r="W137" s="20">
        <v>1</v>
      </c>
      <c r="X137" s="20">
        <v>0</v>
      </c>
      <c r="Y137" s="20">
        <v>0</v>
      </c>
      <c r="Z137" s="20">
        <v>0</v>
      </c>
      <c r="AA137" s="20">
        <v>0</v>
      </c>
      <c r="AB137" s="20">
        <v>0</v>
      </c>
      <c r="AC137" s="20">
        <v>0</v>
      </c>
      <c r="AD137" s="20">
        <v>0</v>
      </c>
      <c r="AE137" s="20">
        <v>6</v>
      </c>
      <c r="AF137" s="20">
        <v>3</v>
      </c>
      <c r="AG137" s="20">
        <v>0</v>
      </c>
      <c r="AH137" s="20">
        <v>8</v>
      </c>
      <c r="AI137" s="20">
        <v>1</v>
      </c>
      <c r="AJ137" s="20">
        <v>3</v>
      </c>
      <c r="AK137" s="20">
        <v>5</v>
      </c>
      <c r="AL137" s="20">
        <v>1</v>
      </c>
      <c r="AM137" s="20">
        <v>0</v>
      </c>
      <c r="AN137" s="20">
        <v>7</v>
      </c>
      <c r="AO137" s="20">
        <v>2</v>
      </c>
      <c r="AP137" s="20">
        <v>3</v>
      </c>
      <c r="AQ137" s="20">
        <v>5</v>
      </c>
      <c r="AR137" s="20">
        <v>3</v>
      </c>
      <c r="AS137" s="20">
        <v>0</v>
      </c>
      <c r="AT137" s="20">
        <v>1</v>
      </c>
      <c r="AU137" s="20">
        <v>0</v>
      </c>
      <c r="AV137" s="20">
        <v>0</v>
      </c>
      <c r="AW137" s="20">
        <v>0</v>
      </c>
      <c r="AX137" s="20">
        <v>0</v>
      </c>
      <c r="AY137" s="20">
        <v>2</v>
      </c>
      <c r="AZ137" s="20">
        <v>3</v>
      </c>
      <c r="BA137" s="20">
        <v>3</v>
      </c>
      <c r="BB137" s="20">
        <v>5</v>
      </c>
      <c r="BC137" s="20">
        <v>2</v>
      </c>
      <c r="BD137" s="20">
        <v>2</v>
      </c>
      <c r="BE137" s="20">
        <v>4</v>
      </c>
      <c r="BF137" s="20">
        <v>1</v>
      </c>
      <c r="BG137" s="20">
        <v>3</v>
      </c>
      <c r="BH137" s="20">
        <v>0</v>
      </c>
      <c r="BI137" s="20">
        <v>2</v>
      </c>
      <c r="BJ137" s="20">
        <v>0</v>
      </c>
      <c r="BK137" s="20">
        <v>0</v>
      </c>
      <c r="BL137" s="20">
        <v>0</v>
      </c>
      <c r="BM137" s="20">
        <v>0</v>
      </c>
      <c r="BN137" s="20">
        <v>0</v>
      </c>
      <c r="BO137" s="20">
        <v>0</v>
      </c>
      <c r="BP137" s="20">
        <v>0</v>
      </c>
      <c r="BQ137" s="20">
        <v>0</v>
      </c>
      <c r="BR137" s="20">
        <v>0</v>
      </c>
      <c r="BS137" s="20">
        <v>0</v>
      </c>
      <c r="BT137" s="20">
        <v>0</v>
      </c>
      <c r="BU137" s="20">
        <v>0</v>
      </c>
      <c r="BV137" s="20">
        <v>0</v>
      </c>
      <c r="BW137" s="20">
        <v>0</v>
      </c>
      <c r="BX137" s="20">
        <v>0</v>
      </c>
      <c r="BY137" s="20">
        <v>0</v>
      </c>
      <c r="BZ137" s="20">
        <v>0</v>
      </c>
      <c r="CA137" s="20">
        <v>0</v>
      </c>
      <c r="CB137" s="20">
        <v>0</v>
      </c>
      <c r="CC137" s="20">
        <v>0</v>
      </c>
      <c r="CD137" s="20">
        <v>0</v>
      </c>
      <c r="CE137" s="20">
        <v>0</v>
      </c>
      <c r="CF137" s="20">
        <v>0</v>
      </c>
      <c r="CG137" s="20">
        <v>0</v>
      </c>
      <c r="CH137" s="20">
        <v>0</v>
      </c>
      <c r="CI137" s="20">
        <v>0</v>
      </c>
      <c r="CJ137" s="20">
        <v>0</v>
      </c>
      <c r="CK137" s="20">
        <v>0</v>
      </c>
      <c r="CL137" s="20">
        <v>0</v>
      </c>
      <c r="CM137" s="20">
        <v>0</v>
      </c>
      <c r="CN137" s="20">
        <v>0</v>
      </c>
      <c r="CO137" s="20">
        <v>0</v>
      </c>
      <c r="CP137" s="20">
        <v>0</v>
      </c>
      <c r="CQ137" s="20">
        <v>0</v>
      </c>
      <c r="CR137" s="20">
        <v>0</v>
      </c>
      <c r="CS137" s="20">
        <v>0</v>
      </c>
      <c r="CT137" s="20">
        <v>0</v>
      </c>
      <c r="CU137" s="20">
        <v>0</v>
      </c>
      <c r="CV137" s="20">
        <v>0</v>
      </c>
      <c r="CW137" s="20">
        <v>0</v>
      </c>
      <c r="CX137" s="20">
        <v>0</v>
      </c>
      <c r="CY137" s="20">
        <v>0</v>
      </c>
      <c r="CZ137" s="20">
        <v>0</v>
      </c>
      <c r="DA137" s="20">
        <v>0</v>
      </c>
      <c r="DB137" s="20">
        <v>0</v>
      </c>
      <c r="DC137" s="20">
        <v>0</v>
      </c>
      <c r="DD137" s="20">
        <v>0</v>
      </c>
      <c r="DE137" s="20">
        <v>0</v>
      </c>
      <c r="DF137" s="20">
        <v>0</v>
      </c>
      <c r="DG137" s="16">
        <f t="shared" si="14"/>
        <v>235</v>
      </c>
      <c r="DH137" s="16">
        <f t="shared" si="15"/>
        <v>3905</v>
      </c>
      <c r="DI137" s="17">
        <f t="shared" si="16"/>
        <v>16.617021276595743</v>
      </c>
      <c r="DJ137" s="119" t="s">
        <v>659</v>
      </c>
      <c r="DK137" s="44" t="s">
        <v>659</v>
      </c>
    </row>
    <row r="138" spans="1:116">
      <c r="A138" s="32" t="str">
        <f t="shared" si="12"/>
        <v>Powercor--ZONE SUBSTATION RTU'S</v>
      </c>
      <c r="B138" s="32" t="str">
        <f t="shared" si="13"/>
        <v>Powercor</v>
      </c>
      <c r="C138" s="416"/>
      <c r="D138" s="14"/>
      <c r="E138" s="15" t="s">
        <v>553</v>
      </c>
      <c r="F138" s="18">
        <v>15</v>
      </c>
      <c r="G138" s="18">
        <v>3.9</v>
      </c>
      <c r="H138" s="20">
        <v>6</v>
      </c>
      <c r="I138" s="20">
        <v>37</v>
      </c>
      <c r="J138" s="20">
        <v>2</v>
      </c>
      <c r="K138" s="20">
        <v>2</v>
      </c>
      <c r="L138" s="20">
        <v>2</v>
      </c>
      <c r="M138" s="20">
        <v>2</v>
      </c>
      <c r="N138" s="20">
        <v>1</v>
      </c>
      <c r="O138" s="20">
        <v>1</v>
      </c>
      <c r="P138" s="20">
        <v>1</v>
      </c>
      <c r="Q138" s="20">
        <v>1</v>
      </c>
      <c r="R138" s="20">
        <v>1</v>
      </c>
      <c r="S138" s="20">
        <v>1</v>
      </c>
      <c r="T138" s="20">
        <v>1</v>
      </c>
      <c r="U138" s="20">
        <v>12</v>
      </c>
      <c r="V138" s="20">
        <v>15</v>
      </c>
      <c r="W138" s="20">
        <v>15</v>
      </c>
      <c r="X138" s="20">
        <v>15</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0">
        <v>0</v>
      </c>
      <c r="AY138" s="20">
        <v>0</v>
      </c>
      <c r="AZ138" s="20">
        <v>0</v>
      </c>
      <c r="BA138" s="20">
        <v>0</v>
      </c>
      <c r="BB138" s="20">
        <v>0</v>
      </c>
      <c r="BC138" s="20">
        <v>0</v>
      </c>
      <c r="BD138" s="20">
        <v>0</v>
      </c>
      <c r="BE138" s="20">
        <v>0</v>
      </c>
      <c r="BF138" s="20">
        <v>0</v>
      </c>
      <c r="BG138" s="20">
        <v>0</v>
      </c>
      <c r="BH138" s="20">
        <v>0</v>
      </c>
      <c r="BI138" s="20">
        <v>0</v>
      </c>
      <c r="BJ138" s="20">
        <v>0</v>
      </c>
      <c r="BK138" s="20">
        <v>0</v>
      </c>
      <c r="BL138" s="20">
        <v>0</v>
      </c>
      <c r="BM138" s="20">
        <v>0</v>
      </c>
      <c r="BN138" s="20">
        <v>0</v>
      </c>
      <c r="BO138" s="20">
        <v>0</v>
      </c>
      <c r="BP138" s="20">
        <v>0</v>
      </c>
      <c r="BQ138" s="20">
        <v>0</v>
      </c>
      <c r="BR138" s="20">
        <v>0</v>
      </c>
      <c r="BS138" s="20">
        <v>0</v>
      </c>
      <c r="BT138" s="20">
        <v>0</v>
      </c>
      <c r="BU138" s="20">
        <v>0</v>
      </c>
      <c r="BV138" s="20">
        <v>0</v>
      </c>
      <c r="BW138" s="20">
        <v>0</v>
      </c>
      <c r="BX138" s="20">
        <v>0</v>
      </c>
      <c r="BY138" s="20">
        <v>0</v>
      </c>
      <c r="BZ138" s="20">
        <v>0</v>
      </c>
      <c r="CA138" s="20">
        <v>0</v>
      </c>
      <c r="CB138" s="20">
        <v>0</v>
      </c>
      <c r="CC138" s="20">
        <v>0</v>
      </c>
      <c r="CD138" s="20">
        <v>0</v>
      </c>
      <c r="CE138" s="20">
        <v>0</v>
      </c>
      <c r="CF138" s="20">
        <v>0</v>
      </c>
      <c r="CG138" s="20">
        <v>0</v>
      </c>
      <c r="CH138" s="20">
        <v>0</v>
      </c>
      <c r="CI138" s="20">
        <v>0</v>
      </c>
      <c r="CJ138" s="20">
        <v>0</v>
      </c>
      <c r="CK138" s="20">
        <v>0</v>
      </c>
      <c r="CL138" s="20">
        <v>0</v>
      </c>
      <c r="CM138" s="20">
        <v>0</v>
      </c>
      <c r="CN138" s="20">
        <v>0</v>
      </c>
      <c r="CO138" s="20">
        <v>0</v>
      </c>
      <c r="CP138" s="20">
        <v>0</v>
      </c>
      <c r="CQ138" s="20">
        <v>0</v>
      </c>
      <c r="CR138" s="20">
        <v>0</v>
      </c>
      <c r="CS138" s="20">
        <v>0</v>
      </c>
      <c r="CT138" s="20">
        <v>0</v>
      </c>
      <c r="CU138" s="20">
        <v>0</v>
      </c>
      <c r="CV138" s="20">
        <v>0</v>
      </c>
      <c r="CW138" s="20">
        <v>0</v>
      </c>
      <c r="CX138" s="20">
        <v>0</v>
      </c>
      <c r="CY138" s="20">
        <v>0</v>
      </c>
      <c r="CZ138" s="20">
        <v>0</v>
      </c>
      <c r="DA138" s="20">
        <v>0</v>
      </c>
      <c r="DB138" s="20">
        <v>0</v>
      </c>
      <c r="DC138" s="20">
        <v>0</v>
      </c>
      <c r="DD138" s="20">
        <v>0</v>
      </c>
      <c r="DE138" s="20">
        <v>0</v>
      </c>
      <c r="DF138" s="20">
        <v>0</v>
      </c>
      <c r="DG138" s="16">
        <f t="shared" si="14"/>
        <v>115</v>
      </c>
      <c r="DH138" s="16">
        <f t="shared" si="15"/>
        <v>1074</v>
      </c>
      <c r="DI138" s="17">
        <f t="shared" si="16"/>
        <v>9.339130434782609</v>
      </c>
      <c r="DJ138" s="119" t="s">
        <v>659</v>
      </c>
      <c r="DK138" s="44" t="s">
        <v>659</v>
      </c>
    </row>
    <row r="139" spans="1:116">
      <c r="A139" s="32" t="str">
        <f t="shared" si="12"/>
        <v>Powercor--DISTRIBUTION RTU'S</v>
      </c>
      <c r="B139" s="32" t="str">
        <f t="shared" si="13"/>
        <v>Powercor</v>
      </c>
      <c r="C139" s="416"/>
      <c r="D139" s="14"/>
      <c r="E139" s="15" t="s">
        <v>554</v>
      </c>
      <c r="F139" s="18">
        <v>15</v>
      </c>
      <c r="G139" s="18">
        <v>3.9</v>
      </c>
      <c r="H139" s="20">
        <v>16</v>
      </c>
      <c r="I139" s="20">
        <v>250</v>
      </c>
      <c r="J139" s="20">
        <v>40</v>
      </c>
      <c r="K139" s="20">
        <v>41</v>
      </c>
      <c r="L139" s="20">
        <v>39</v>
      </c>
      <c r="M139" s="20">
        <v>49</v>
      </c>
      <c r="N139" s="20">
        <v>43</v>
      </c>
      <c r="O139" s="20">
        <v>42</v>
      </c>
      <c r="P139" s="20">
        <v>43</v>
      </c>
      <c r="Q139" s="20">
        <v>40</v>
      </c>
      <c r="R139" s="20">
        <v>43</v>
      </c>
      <c r="S139" s="20">
        <v>42</v>
      </c>
      <c r="T139" s="20">
        <v>69</v>
      </c>
      <c r="U139" s="20">
        <v>67</v>
      </c>
      <c r="V139" s="20">
        <v>68</v>
      </c>
      <c r="W139" s="20">
        <v>46</v>
      </c>
      <c r="X139" s="20">
        <v>11</v>
      </c>
      <c r="Y139" s="20">
        <v>12</v>
      </c>
      <c r="Z139" s="20">
        <v>28</v>
      </c>
      <c r="AA139" s="20">
        <v>28</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0">
        <v>0</v>
      </c>
      <c r="AY139" s="20">
        <v>0</v>
      </c>
      <c r="AZ139" s="20">
        <v>0</v>
      </c>
      <c r="BA139" s="20">
        <v>0</v>
      </c>
      <c r="BB139" s="20">
        <v>0</v>
      </c>
      <c r="BC139" s="20">
        <v>0</v>
      </c>
      <c r="BD139" s="20">
        <v>0</v>
      </c>
      <c r="BE139" s="20">
        <v>0</v>
      </c>
      <c r="BF139" s="20">
        <v>0</v>
      </c>
      <c r="BG139" s="20">
        <v>0</v>
      </c>
      <c r="BH139" s="20">
        <v>0</v>
      </c>
      <c r="BI139" s="20">
        <v>0</v>
      </c>
      <c r="BJ139" s="20">
        <v>0</v>
      </c>
      <c r="BK139" s="20">
        <v>0</v>
      </c>
      <c r="BL139" s="20">
        <v>0</v>
      </c>
      <c r="BM139" s="20">
        <v>0</v>
      </c>
      <c r="BN139" s="20">
        <v>0</v>
      </c>
      <c r="BO139" s="20">
        <v>0</v>
      </c>
      <c r="BP139" s="20">
        <v>0</v>
      </c>
      <c r="BQ139" s="20">
        <v>0</v>
      </c>
      <c r="BR139" s="20">
        <v>0</v>
      </c>
      <c r="BS139" s="20">
        <v>0</v>
      </c>
      <c r="BT139" s="20">
        <v>0</v>
      </c>
      <c r="BU139" s="20">
        <v>0</v>
      </c>
      <c r="BV139" s="20">
        <v>0</v>
      </c>
      <c r="BW139" s="20">
        <v>0</v>
      </c>
      <c r="BX139" s="20">
        <v>0</v>
      </c>
      <c r="BY139" s="20">
        <v>0</v>
      </c>
      <c r="BZ139" s="20">
        <v>0</v>
      </c>
      <c r="CA139" s="20">
        <v>0</v>
      </c>
      <c r="CB139" s="20">
        <v>0</v>
      </c>
      <c r="CC139" s="20">
        <v>0</v>
      </c>
      <c r="CD139" s="20">
        <v>0</v>
      </c>
      <c r="CE139" s="20">
        <v>0</v>
      </c>
      <c r="CF139" s="20">
        <v>0</v>
      </c>
      <c r="CG139" s="20">
        <v>0</v>
      </c>
      <c r="CH139" s="20">
        <v>0</v>
      </c>
      <c r="CI139" s="20">
        <v>0</v>
      </c>
      <c r="CJ139" s="20">
        <v>0</v>
      </c>
      <c r="CK139" s="20">
        <v>0</v>
      </c>
      <c r="CL139" s="20">
        <v>0</v>
      </c>
      <c r="CM139" s="20">
        <v>0</v>
      </c>
      <c r="CN139" s="20">
        <v>0</v>
      </c>
      <c r="CO139" s="20">
        <v>0</v>
      </c>
      <c r="CP139" s="20">
        <v>0</v>
      </c>
      <c r="CQ139" s="20">
        <v>0</v>
      </c>
      <c r="CR139" s="20">
        <v>0</v>
      </c>
      <c r="CS139" s="20">
        <v>0</v>
      </c>
      <c r="CT139" s="20">
        <v>0</v>
      </c>
      <c r="CU139" s="20">
        <v>0</v>
      </c>
      <c r="CV139" s="20">
        <v>0</v>
      </c>
      <c r="CW139" s="20">
        <v>0</v>
      </c>
      <c r="CX139" s="20">
        <v>0</v>
      </c>
      <c r="CY139" s="20">
        <v>0</v>
      </c>
      <c r="CZ139" s="20">
        <v>0</v>
      </c>
      <c r="DA139" s="20">
        <v>0</v>
      </c>
      <c r="DB139" s="20">
        <v>0</v>
      </c>
      <c r="DC139" s="20">
        <v>0</v>
      </c>
      <c r="DD139" s="20">
        <v>0</v>
      </c>
      <c r="DE139" s="20">
        <v>0</v>
      </c>
      <c r="DF139" s="20">
        <v>0</v>
      </c>
      <c r="DG139" s="16">
        <f t="shared" si="14"/>
        <v>1017</v>
      </c>
      <c r="DH139" s="16">
        <f t="shared" si="15"/>
        <v>8776</v>
      </c>
      <c r="DI139" s="17">
        <f t="shared" si="16"/>
        <v>8.6293018682399207</v>
      </c>
      <c r="DJ139" s="119" t="s">
        <v>659</v>
      </c>
      <c r="DK139" s="44" t="s">
        <v>659</v>
      </c>
    </row>
    <row r="140" spans="1:116">
      <c r="A140" s="32" t="str">
        <f t="shared" si="12"/>
        <v>Powercor--LOCAL NETWORK WIRING ASSETS</v>
      </c>
      <c r="B140" s="32" t="str">
        <f t="shared" si="13"/>
        <v>Powercor</v>
      </c>
      <c r="C140" s="416"/>
      <c r="D140" s="14"/>
      <c r="E140" s="15" t="s">
        <v>273</v>
      </c>
      <c r="F140" s="18">
        <v>0</v>
      </c>
      <c r="G140" s="18">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0">
        <v>0</v>
      </c>
      <c r="AY140" s="20">
        <v>0</v>
      </c>
      <c r="AZ140" s="20">
        <v>0</v>
      </c>
      <c r="BA140" s="20">
        <v>0</v>
      </c>
      <c r="BB140" s="20">
        <v>0</v>
      </c>
      <c r="BC140" s="20">
        <v>0</v>
      </c>
      <c r="BD140" s="20">
        <v>0</v>
      </c>
      <c r="BE140" s="20">
        <v>0</v>
      </c>
      <c r="BF140" s="20">
        <v>0</v>
      </c>
      <c r="BG140" s="20">
        <v>0</v>
      </c>
      <c r="BH140" s="20">
        <v>0</v>
      </c>
      <c r="BI140" s="20">
        <v>0</v>
      </c>
      <c r="BJ140" s="20">
        <v>0</v>
      </c>
      <c r="BK140" s="20">
        <v>0</v>
      </c>
      <c r="BL140" s="20">
        <v>0</v>
      </c>
      <c r="BM140" s="20">
        <v>0</v>
      </c>
      <c r="BN140" s="20">
        <v>0</v>
      </c>
      <c r="BO140" s="20">
        <v>0</v>
      </c>
      <c r="BP140" s="20">
        <v>0</v>
      </c>
      <c r="BQ140" s="20">
        <v>0</v>
      </c>
      <c r="BR140" s="20">
        <v>0</v>
      </c>
      <c r="BS140" s="20">
        <v>0</v>
      </c>
      <c r="BT140" s="20">
        <v>0</v>
      </c>
      <c r="BU140" s="20">
        <v>0</v>
      </c>
      <c r="BV140" s="20">
        <v>0</v>
      </c>
      <c r="BW140" s="20">
        <v>0</v>
      </c>
      <c r="BX140" s="20">
        <v>0</v>
      </c>
      <c r="BY140" s="20">
        <v>0</v>
      </c>
      <c r="BZ140" s="20">
        <v>0</v>
      </c>
      <c r="CA140" s="20">
        <v>0</v>
      </c>
      <c r="CB140" s="20">
        <v>0</v>
      </c>
      <c r="CC140" s="20">
        <v>0</v>
      </c>
      <c r="CD140" s="20">
        <v>0</v>
      </c>
      <c r="CE140" s="20">
        <v>0</v>
      </c>
      <c r="CF140" s="20">
        <v>0</v>
      </c>
      <c r="CG140" s="20">
        <v>0</v>
      </c>
      <c r="CH140" s="20">
        <v>0</v>
      </c>
      <c r="CI140" s="20">
        <v>0</v>
      </c>
      <c r="CJ140" s="20">
        <v>0</v>
      </c>
      <c r="CK140" s="20">
        <v>0</v>
      </c>
      <c r="CL140" s="20">
        <v>0</v>
      </c>
      <c r="CM140" s="20">
        <v>0</v>
      </c>
      <c r="CN140" s="20">
        <v>0</v>
      </c>
      <c r="CO140" s="20">
        <v>0</v>
      </c>
      <c r="CP140" s="20">
        <v>0</v>
      </c>
      <c r="CQ140" s="20">
        <v>0</v>
      </c>
      <c r="CR140" s="20">
        <v>0</v>
      </c>
      <c r="CS140" s="20">
        <v>0</v>
      </c>
      <c r="CT140" s="20">
        <v>0</v>
      </c>
      <c r="CU140" s="20">
        <v>0</v>
      </c>
      <c r="CV140" s="20">
        <v>0</v>
      </c>
      <c r="CW140" s="20">
        <v>0</v>
      </c>
      <c r="CX140" s="20">
        <v>0</v>
      </c>
      <c r="CY140" s="20">
        <v>0</v>
      </c>
      <c r="CZ140" s="20">
        <v>0</v>
      </c>
      <c r="DA140" s="20">
        <v>0</v>
      </c>
      <c r="DB140" s="20">
        <v>0</v>
      </c>
      <c r="DC140" s="20">
        <v>0</v>
      </c>
      <c r="DD140" s="20">
        <v>0</v>
      </c>
      <c r="DE140" s="20">
        <v>0</v>
      </c>
      <c r="DF140" s="20">
        <v>0</v>
      </c>
      <c r="DG140" s="16">
        <f t="shared" si="14"/>
        <v>0</v>
      </c>
      <c r="DH140" s="16">
        <f t="shared" si="15"/>
        <v>0</v>
      </c>
      <c r="DI140" s="17" t="str">
        <f t="shared" si="16"/>
        <v/>
      </c>
      <c r="DJ140" s="119" t="s">
        <v>659</v>
      </c>
      <c r="DK140" s="44" t="s">
        <v>659</v>
      </c>
    </row>
    <row r="141" spans="1:116">
      <c r="A141" s="32" t="str">
        <f t="shared" si="12"/>
        <v>Powercor--COMMUNICATIONS NETWORK ASSETS</v>
      </c>
      <c r="B141" s="32" t="str">
        <f t="shared" si="13"/>
        <v>Powercor</v>
      </c>
      <c r="C141" s="416"/>
      <c r="D141" s="14"/>
      <c r="E141" s="15" t="s">
        <v>274</v>
      </c>
      <c r="F141" s="18">
        <v>22.6</v>
      </c>
      <c r="G141" s="18">
        <v>4.8</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0">
        <v>0</v>
      </c>
      <c r="AY141" s="20">
        <v>0</v>
      </c>
      <c r="AZ141" s="20">
        <v>0</v>
      </c>
      <c r="BA141" s="20">
        <v>0</v>
      </c>
      <c r="BB141" s="20">
        <v>0</v>
      </c>
      <c r="BC141" s="20">
        <v>0</v>
      </c>
      <c r="BD141" s="20">
        <v>0</v>
      </c>
      <c r="BE141" s="20">
        <v>0</v>
      </c>
      <c r="BF141" s="20">
        <v>0</v>
      </c>
      <c r="BG141" s="20">
        <v>0</v>
      </c>
      <c r="BH141" s="20">
        <v>0</v>
      </c>
      <c r="BI141" s="20">
        <v>0</v>
      </c>
      <c r="BJ141" s="20">
        <v>0</v>
      </c>
      <c r="BK141" s="20">
        <v>0</v>
      </c>
      <c r="BL141" s="20">
        <v>0</v>
      </c>
      <c r="BM141" s="20">
        <v>0</v>
      </c>
      <c r="BN141" s="20">
        <v>0</v>
      </c>
      <c r="BO141" s="20">
        <v>0</v>
      </c>
      <c r="BP141" s="20">
        <v>0</v>
      </c>
      <c r="BQ141" s="20">
        <v>0</v>
      </c>
      <c r="BR141" s="20">
        <v>0</v>
      </c>
      <c r="BS141" s="20">
        <v>0</v>
      </c>
      <c r="BT141" s="20">
        <v>0</v>
      </c>
      <c r="BU141" s="20">
        <v>0</v>
      </c>
      <c r="BV141" s="20">
        <v>0</v>
      </c>
      <c r="BW141" s="20">
        <v>0</v>
      </c>
      <c r="BX141" s="20">
        <v>0</v>
      </c>
      <c r="BY141" s="20">
        <v>0</v>
      </c>
      <c r="BZ141" s="20">
        <v>0</v>
      </c>
      <c r="CA141" s="20">
        <v>0</v>
      </c>
      <c r="CB141" s="20">
        <v>0</v>
      </c>
      <c r="CC141" s="20">
        <v>0</v>
      </c>
      <c r="CD141" s="20">
        <v>0</v>
      </c>
      <c r="CE141" s="20">
        <v>0</v>
      </c>
      <c r="CF141" s="20">
        <v>0</v>
      </c>
      <c r="CG141" s="20">
        <v>0</v>
      </c>
      <c r="CH141" s="20">
        <v>0</v>
      </c>
      <c r="CI141" s="20">
        <v>0</v>
      </c>
      <c r="CJ141" s="20">
        <v>0</v>
      </c>
      <c r="CK141" s="20">
        <v>0</v>
      </c>
      <c r="CL141" s="20">
        <v>0</v>
      </c>
      <c r="CM141" s="20">
        <v>0</v>
      </c>
      <c r="CN141" s="20">
        <v>0</v>
      </c>
      <c r="CO141" s="20">
        <v>0</v>
      </c>
      <c r="CP141" s="20">
        <v>0</v>
      </c>
      <c r="CQ141" s="20">
        <v>0</v>
      </c>
      <c r="CR141" s="20">
        <v>0</v>
      </c>
      <c r="CS141" s="20">
        <v>0</v>
      </c>
      <c r="CT141" s="20">
        <v>0</v>
      </c>
      <c r="CU141" s="20">
        <v>0</v>
      </c>
      <c r="CV141" s="20">
        <v>0</v>
      </c>
      <c r="CW141" s="20">
        <v>0</v>
      </c>
      <c r="CX141" s="20">
        <v>0</v>
      </c>
      <c r="CY141" s="20">
        <v>0</v>
      </c>
      <c r="CZ141" s="20">
        <v>0</v>
      </c>
      <c r="DA141" s="20">
        <v>0</v>
      </c>
      <c r="DB141" s="20">
        <v>0</v>
      </c>
      <c r="DC141" s="20">
        <v>0</v>
      </c>
      <c r="DD141" s="20">
        <v>0</v>
      </c>
      <c r="DE141" s="20">
        <v>0</v>
      </c>
      <c r="DF141" s="20">
        <v>0</v>
      </c>
      <c r="DG141" s="16">
        <f t="shared" si="14"/>
        <v>0</v>
      </c>
      <c r="DH141" s="16">
        <f t="shared" si="15"/>
        <v>0</v>
      </c>
      <c r="DI141" s="17" t="str">
        <f t="shared" si="16"/>
        <v/>
      </c>
      <c r="DJ141" s="119" t="s">
        <v>659</v>
      </c>
      <c r="DK141" s="44" t="s">
        <v>659</v>
      </c>
    </row>
    <row r="142" spans="1:116">
      <c r="A142" s="32" t="str">
        <f t="shared" si="12"/>
        <v>Powercor--ZONE SUBSTATION ANALOGUE COMMUNICATION</v>
      </c>
      <c r="B142" s="32" t="str">
        <f t="shared" si="13"/>
        <v>Powercor</v>
      </c>
      <c r="C142" s="416"/>
      <c r="D142" s="14"/>
      <c r="E142" s="15" t="s">
        <v>555</v>
      </c>
      <c r="F142" s="18">
        <v>15</v>
      </c>
      <c r="G142" s="18">
        <v>3.9</v>
      </c>
      <c r="H142" s="20">
        <v>0</v>
      </c>
      <c r="I142" s="20">
        <v>0</v>
      </c>
      <c r="J142" s="20">
        <v>0</v>
      </c>
      <c r="K142" s="20">
        <v>2</v>
      </c>
      <c r="L142" s="20">
        <v>3</v>
      </c>
      <c r="M142" s="20">
        <v>5</v>
      </c>
      <c r="N142" s="20">
        <v>1</v>
      </c>
      <c r="O142" s="20">
        <v>5</v>
      </c>
      <c r="P142" s="20">
        <v>5</v>
      </c>
      <c r="Q142" s="20">
        <v>2</v>
      </c>
      <c r="R142" s="20">
        <v>6</v>
      </c>
      <c r="S142" s="20">
        <v>5</v>
      </c>
      <c r="T142" s="20">
        <v>2</v>
      </c>
      <c r="U142" s="20">
        <v>8</v>
      </c>
      <c r="V142" s="20">
        <v>1</v>
      </c>
      <c r="W142" s="20">
        <v>4</v>
      </c>
      <c r="X142" s="20">
        <v>23</v>
      </c>
      <c r="Y142" s="20">
        <v>0</v>
      </c>
      <c r="Z142" s="20">
        <v>112</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0">
        <v>0</v>
      </c>
      <c r="AY142" s="20">
        <v>0</v>
      </c>
      <c r="AZ142" s="20">
        <v>0</v>
      </c>
      <c r="BA142" s="20">
        <v>0</v>
      </c>
      <c r="BB142" s="20">
        <v>0</v>
      </c>
      <c r="BC142" s="20">
        <v>0</v>
      </c>
      <c r="BD142" s="20">
        <v>0</v>
      </c>
      <c r="BE142" s="20">
        <v>0</v>
      </c>
      <c r="BF142" s="20">
        <v>0</v>
      </c>
      <c r="BG142" s="20">
        <v>0</v>
      </c>
      <c r="BH142" s="20">
        <v>0</v>
      </c>
      <c r="BI142" s="20">
        <v>0</v>
      </c>
      <c r="BJ142" s="20">
        <v>0</v>
      </c>
      <c r="BK142" s="20">
        <v>0</v>
      </c>
      <c r="BL142" s="20">
        <v>0</v>
      </c>
      <c r="BM142" s="20">
        <v>0</v>
      </c>
      <c r="BN142" s="20">
        <v>0</v>
      </c>
      <c r="BO142" s="20">
        <v>0</v>
      </c>
      <c r="BP142" s="20">
        <v>0</v>
      </c>
      <c r="BQ142" s="20">
        <v>0</v>
      </c>
      <c r="BR142" s="20">
        <v>0</v>
      </c>
      <c r="BS142" s="20">
        <v>0</v>
      </c>
      <c r="BT142" s="20">
        <v>0</v>
      </c>
      <c r="BU142" s="20">
        <v>0</v>
      </c>
      <c r="BV142" s="20">
        <v>0</v>
      </c>
      <c r="BW142" s="20">
        <v>0</v>
      </c>
      <c r="BX142" s="20">
        <v>0</v>
      </c>
      <c r="BY142" s="20">
        <v>0</v>
      </c>
      <c r="BZ142" s="20">
        <v>0</v>
      </c>
      <c r="CA142" s="20">
        <v>0</v>
      </c>
      <c r="CB142" s="20">
        <v>0</v>
      </c>
      <c r="CC142" s="20">
        <v>0</v>
      </c>
      <c r="CD142" s="20">
        <v>0</v>
      </c>
      <c r="CE142" s="20">
        <v>0</v>
      </c>
      <c r="CF142" s="20">
        <v>0</v>
      </c>
      <c r="CG142" s="20">
        <v>0</v>
      </c>
      <c r="CH142" s="20">
        <v>0</v>
      </c>
      <c r="CI142" s="20">
        <v>0</v>
      </c>
      <c r="CJ142" s="20">
        <v>0</v>
      </c>
      <c r="CK142" s="20">
        <v>0</v>
      </c>
      <c r="CL142" s="20">
        <v>0</v>
      </c>
      <c r="CM142" s="20">
        <v>0</v>
      </c>
      <c r="CN142" s="20">
        <v>0</v>
      </c>
      <c r="CO142" s="20">
        <v>0</v>
      </c>
      <c r="CP142" s="20">
        <v>0</v>
      </c>
      <c r="CQ142" s="20">
        <v>0</v>
      </c>
      <c r="CR142" s="20">
        <v>0</v>
      </c>
      <c r="CS142" s="20">
        <v>0</v>
      </c>
      <c r="CT142" s="20">
        <v>0</v>
      </c>
      <c r="CU142" s="20">
        <v>0</v>
      </c>
      <c r="CV142" s="20">
        <v>0</v>
      </c>
      <c r="CW142" s="20">
        <v>0</v>
      </c>
      <c r="CX142" s="20">
        <v>0</v>
      </c>
      <c r="CY142" s="20">
        <v>0</v>
      </c>
      <c r="CZ142" s="20">
        <v>0</v>
      </c>
      <c r="DA142" s="20">
        <v>0</v>
      </c>
      <c r="DB142" s="20">
        <v>0</v>
      </c>
      <c r="DC142" s="20">
        <v>0</v>
      </c>
      <c r="DD142" s="20">
        <v>0</v>
      </c>
      <c r="DE142" s="20">
        <v>0</v>
      </c>
      <c r="DF142" s="20">
        <v>0</v>
      </c>
      <c r="DG142" s="16">
        <f t="shared" si="14"/>
        <v>184</v>
      </c>
      <c r="DH142" s="16">
        <f t="shared" si="15"/>
        <v>3027</v>
      </c>
      <c r="DI142" s="17">
        <f t="shared" si="16"/>
        <v>16.451086956521738</v>
      </c>
      <c r="DJ142" s="119" t="s">
        <v>659</v>
      </c>
      <c r="DK142" s="44" t="s">
        <v>659</v>
      </c>
    </row>
    <row r="143" spans="1:116">
      <c r="A143" s="32" t="str">
        <f t="shared" si="12"/>
        <v>Powercor--ZONE SUBSTATION DIGITAL COMMUNICATION</v>
      </c>
      <c r="B143" s="32" t="str">
        <f t="shared" si="13"/>
        <v>Powercor</v>
      </c>
      <c r="C143" s="416"/>
      <c r="D143" s="14"/>
      <c r="E143" s="15" t="s">
        <v>556</v>
      </c>
      <c r="F143" s="18">
        <v>15</v>
      </c>
      <c r="G143" s="18">
        <v>3.9</v>
      </c>
      <c r="H143" s="20">
        <v>0</v>
      </c>
      <c r="I143" s="20">
        <v>6</v>
      </c>
      <c r="J143" s="20">
        <v>8</v>
      </c>
      <c r="K143" s="20">
        <v>16</v>
      </c>
      <c r="L143" s="20">
        <v>0</v>
      </c>
      <c r="M143" s="20">
        <v>2</v>
      </c>
      <c r="N143" s="20">
        <v>3</v>
      </c>
      <c r="O143" s="20">
        <v>4</v>
      </c>
      <c r="P143" s="20">
        <v>0</v>
      </c>
      <c r="Q143" s="20">
        <v>14</v>
      </c>
      <c r="R143" s="20">
        <v>18</v>
      </c>
      <c r="S143" s="20">
        <v>13</v>
      </c>
      <c r="T143" s="20">
        <v>8</v>
      </c>
      <c r="U143" s="20">
        <v>0</v>
      </c>
      <c r="V143" s="20">
        <v>0</v>
      </c>
      <c r="W143" s="20">
        <v>1</v>
      </c>
      <c r="X143" s="20">
        <v>0</v>
      </c>
      <c r="Y143" s="20">
        <v>0</v>
      </c>
      <c r="Z143" s="20">
        <v>0</v>
      </c>
      <c r="AA143" s="20">
        <v>2</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0">
        <v>0</v>
      </c>
      <c r="AY143" s="20">
        <v>0</v>
      </c>
      <c r="AZ143" s="20">
        <v>0</v>
      </c>
      <c r="BA143" s="20">
        <v>0</v>
      </c>
      <c r="BB143" s="20">
        <v>0</v>
      </c>
      <c r="BC143" s="20">
        <v>0</v>
      </c>
      <c r="BD143" s="20">
        <v>0</v>
      </c>
      <c r="BE143" s="20">
        <v>0</v>
      </c>
      <c r="BF143" s="20">
        <v>0</v>
      </c>
      <c r="BG143" s="20">
        <v>0</v>
      </c>
      <c r="BH143" s="20">
        <v>0</v>
      </c>
      <c r="BI143" s="20">
        <v>0</v>
      </c>
      <c r="BJ143" s="20">
        <v>0</v>
      </c>
      <c r="BK143" s="20">
        <v>0</v>
      </c>
      <c r="BL143" s="20">
        <v>0</v>
      </c>
      <c r="BM143" s="20">
        <v>0</v>
      </c>
      <c r="BN143" s="20">
        <v>0</v>
      </c>
      <c r="BO143" s="20">
        <v>0</v>
      </c>
      <c r="BP143" s="20">
        <v>0</v>
      </c>
      <c r="BQ143" s="20">
        <v>0</v>
      </c>
      <c r="BR143" s="20">
        <v>0</v>
      </c>
      <c r="BS143" s="20">
        <v>0</v>
      </c>
      <c r="BT143" s="20">
        <v>0</v>
      </c>
      <c r="BU143" s="20">
        <v>0</v>
      </c>
      <c r="BV143" s="20">
        <v>0</v>
      </c>
      <c r="BW143" s="20">
        <v>0</v>
      </c>
      <c r="BX143" s="20">
        <v>0</v>
      </c>
      <c r="BY143" s="20">
        <v>0</v>
      </c>
      <c r="BZ143" s="20">
        <v>0</v>
      </c>
      <c r="CA143" s="20">
        <v>0</v>
      </c>
      <c r="CB143" s="20">
        <v>0</v>
      </c>
      <c r="CC143" s="20">
        <v>0</v>
      </c>
      <c r="CD143" s="20">
        <v>0</v>
      </c>
      <c r="CE143" s="20">
        <v>0</v>
      </c>
      <c r="CF143" s="20">
        <v>0</v>
      </c>
      <c r="CG143" s="20">
        <v>0</v>
      </c>
      <c r="CH143" s="20">
        <v>0</v>
      </c>
      <c r="CI143" s="20">
        <v>0</v>
      </c>
      <c r="CJ143" s="20">
        <v>0</v>
      </c>
      <c r="CK143" s="20">
        <v>0</v>
      </c>
      <c r="CL143" s="20">
        <v>0</v>
      </c>
      <c r="CM143" s="20">
        <v>0</v>
      </c>
      <c r="CN143" s="20">
        <v>0</v>
      </c>
      <c r="CO143" s="20">
        <v>0</v>
      </c>
      <c r="CP143" s="20">
        <v>0</v>
      </c>
      <c r="CQ143" s="20">
        <v>0</v>
      </c>
      <c r="CR143" s="20">
        <v>0</v>
      </c>
      <c r="CS143" s="20">
        <v>0</v>
      </c>
      <c r="CT143" s="20">
        <v>0</v>
      </c>
      <c r="CU143" s="20">
        <v>0</v>
      </c>
      <c r="CV143" s="20">
        <v>0</v>
      </c>
      <c r="CW143" s="20">
        <v>0</v>
      </c>
      <c r="CX143" s="20">
        <v>0</v>
      </c>
      <c r="CY143" s="20">
        <v>0</v>
      </c>
      <c r="CZ143" s="20">
        <v>0</v>
      </c>
      <c r="DA143" s="20">
        <v>0</v>
      </c>
      <c r="DB143" s="20">
        <v>0</v>
      </c>
      <c r="DC143" s="20">
        <v>0</v>
      </c>
      <c r="DD143" s="20">
        <v>0</v>
      </c>
      <c r="DE143" s="20">
        <v>0</v>
      </c>
      <c r="DF143" s="20">
        <v>0</v>
      </c>
      <c r="DG143" s="16">
        <f t="shared" si="14"/>
        <v>95</v>
      </c>
      <c r="DH143" s="16">
        <f t="shared" si="15"/>
        <v>819</v>
      </c>
      <c r="DI143" s="17">
        <f t="shared" si="16"/>
        <v>8.621052631578948</v>
      </c>
      <c r="DJ143" s="119" t="s">
        <v>659</v>
      </c>
      <c r="DK143" s="44" t="s">
        <v>659</v>
      </c>
    </row>
    <row r="144" spans="1:116">
      <c r="A144" s="32" t="str">
        <f t="shared" si="12"/>
        <v>Powercor--ZONE SUBSTATION ETHERNET COMMUNICATION</v>
      </c>
      <c r="B144" s="32" t="str">
        <f t="shared" si="13"/>
        <v>Powercor</v>
      </c>
      <c r="C144" s="416"/>
      <c r="D144" s="14"/>
      <c r="E144" s="15" t="s">
        <v>557</v>
      </c>
      <c r="F144" s="18">
        <v>15</v>
      </c>
      <c r="G144" s="18">
        <v>3.9</v>
      </c>
      <c r="H144" s="20">
        <v>42</v>
      </c>
      <c r="I144" s="20">
        <v>2</v>
      </c>
      <c r="J144" s="20">
        <v>23</v>
      </c>
      <c r="K144" s="20">
        <v>86</v>
      </c>
      <c r="L144" s="20">
        <v>0</v>
      </c>
      <c r="M144" s="20">
        <v>44</v>
      </c>
      <c r="N144" s="20">
        <v>0</v>
      </c>
      <c r="O144" s="20">
        <v>0</v>
      </c>
      <c r="P144" s="20">
        <v>0</v>
      </c>
      <c r="Q144" s="20">
        <v>0</v>
      </c>
      <c r="R144" s="20">
        <v>0</v>
      </c>
      <c r="S144" s="20">
        <v>0</v>
      </c>
      <c r="T144" s="20">
        <v>0</v>
      </c>
      <c r="U144" s="20">
        <v>0</v>
      </c>
      <c r="V144" s="20">
        <v>0</v>
      </c>
      <c r="W144" s="20">
        <v>0</v>
      </c>
      <c r="X144" s="20">
        <v>0</v>
      </c>
      <c r="Y144" s="20">
        <v>0</v>
      </c>
      <c r="Z144" s="20">
        <v>0</v>
      </c>
      <c r="AA144" s="20">
        <v>0</v>
      </c>
      <c r="AB144" s="20">
        <v>0</v>
      </c>
      <c r="AC144" s="20">
        <v>0</v>
      </c>
      <c r="AD144" s="20">
        <v>0</v>
      </c>
      <c r="AE144" s="20">
        <v>0</v>
      </c>
      <c r="AF144" s="20">
        <v>0</v>
      </c>
      <c r="AG144" s="20">
        <v>0</v>
      </c>
      <c r="AH144" s="20">
        <v>0</v>
      </c>
      <c r="AI144" s="20">
        <v>0</v>
      </c>
      <c r="AJ144" s="20">
        <v>0</v>
      </c>
      <c r="AK144" s="20">
        <v>0</v>
      </c>
      <c r="AL144" s="20">
        <v>0</v>
      </c>
      <c r="AM144" s="20">
        <v>0</v>
      </c>
      <c r="AN144" s="20">
        <v>0</v>
      </c>
      <c r="AO144" s="20">
        <v>0</v>
      </c>
      <c r="AP144" s="20">
        <v>0</v>
      </c>
      <c r="AQ144" s="20">
        <v>0</v>
      </c>
      <c r="AR144" s="20">
        <v>0</v>
      </c>
      <c r="AS144" s="20">
        <v>0</v>
      </c>
      <c r="AT144" s="20">
        <v>0</v>
      </c>
      <c r="AU144" s="20">
        <v>0</v>
      </c>
      <c r="AV144" s="20">
        <v>0</v>
      </c>
      <c r="AW144" s="20">
        <v>0</v>
      </c>
      <c r="AX144" s="20">
        <v>0</v>
      </c>
      <c r="AY144" s="20">
        <v>0</v>
      </c>
      <c r="AZ144" s="20">
        <v>0</v>
      </c>
      <c r="BA144" s="20">
        <v>0</v>
      </c>
      <c r="BB144" s="20">
        <v>0</v>
      </c>
      <c r="BC144" s="20">
        <v>0</v>
      </c>
      <c r="BD144" s="20">
        <v>0</v>
      </c>
      <c r="BE144" s="20">
        <v>0</v>
      </c>
      <c r="BF144" s="20">
        <v>0</v>
      </c>
      <c r="BG144" s="20">
        <v>0</v>
      </c>
      <c r="BH144" s="20">
        <v>0</v>
      </c>
      <c r="BI144" s="20">
        <v>0</v>
      </c>
      <c r="BJ144" s="20">
        <v>0</v>
      </c>
      <c r="BK144" s="20">
        <v>0</v>
      </c>
      <c r="BL144" s="20">
        <v>0</v>
      </c>
      <c r="BM144" s="20">
        <v>0</v>
      </c>
      <c r="BN144" s="20">
        <v>0</v>
      </c>
      <c r="BO144" s="20">
        <v>0</v>
      </c>
      <c r="BP144" s="20">
        <v>0</v>
      </c>
      <c r="BQ144" s="20">
        <v>0</v>
      </c>
      <c r="BR144" s="20">
        <v>0</v>
      </c>
      <c r="BS144" s="20">
        <v>0</v>
      </c>
      <c r="BT144" s="20">
        <v>0</v>
      </c>
      <c r="BU144" s="20">
        <v>0</v>
      </c>
      <c r="BV144" s="20">
        <v>0</v>
      </c>
      <c r="BW144" s="20">
        <v>0</v>
      </c>
      <c r="BX144" s="20">
        <v>0</v>
      </c>
      <c r="BY144" s="20">
        <v>0</v>
      </c>
      <c r="BZ144" s="20">
        <v>0</v>
      </c>
      <c r="CA144" s="20">
        <v>0</v>
      </c>
      <c r="CB144" s="20">
        <v>0</v>
      </c>
      <c r="CC144" s="20">
        <v>0</v>
      </c>
      <c r="CD144" s="20">
        <v>0</v>
      </c>
      <c r="CE144" s="20">
        <v>0</v>
      </c>
      <c r="CF144" s="20">
        <v>0</v>
      </c>
      <c r="CG144" s="20">
        <v>0</v>
      </c>
      <c r="CH144" s="20">
        <v>0</v>
      </c>
      <c r="CI144" s="20">
        <v>0</v>
      </c>
      <c r="CJ144" s="20">
        <v>0</v>
      </c>
      <c r="CK144" s="20">
        <v>0</v>
      </c>
      <c r="CL144" s="20">
        <v>0</v>
      </c>
      <c r="CM144" s="20">
        <v>0</v>
      </c>
      <c r="CN144" s="20">
        <v>0</v>
      </c>
      <c r="CO144" s="20">
        <v>0</v>
      </c>
      <c r="CP144" s="20">
        <v>0</v>
      </c>
      <c r="CQ144" s="20">
        <v>0</v>
      </c>
      <c r="CR144" s="20">
        <v>0</v>
      </c>
      <c r="CS144" s="20">
        <v>0</v>
      </c>
      <c r="CT144" s="20">
        <v>0</v>
      </c>
      <c r="CU144" s="20">
        <v>0</v>
      </c>
      <c r="CV144" s="20">
        <v>0</v>
      </c>
      <c r="CW144" s="20">
        <v>0</v>
      </c>
      <c r="CX144" s="20">
        <v>0</v>
      </c>
      <c r="CY144" s="20">
        <v>0</v>
      </c>
      <c r="CZ144" s="20">
        <v>0</v>
      </c>
      <c r="DA144" s="20">
        <v>0</v>
      </c>
      <c r="DB144" s="20">
        <v>0</v>
      </c>
      <c r="DC144" s="20">
        <v>0</v>
      </c>
      <c r="DD144" s="20">
        <v>0</v>
      </c>
      <c r="DE144" s="20">
        <v>0</v>
      </c>
      <c r="DF144" s="20">
        <v>0</v>
      </c>
      <c r="DG144" s="16">
        <f t="shared" si="14"/>
        <v>197</v>
      </c>
      <c r="DH144" s="16">
        <f t="shared" si="15"/>
        <v>723</v>
      </c>
      <c r="DI144" s="17">
        <f t="shared" si="16"/>
        <v>3.6700507614213196</v>
      </c>
      <c r="DJ144" s="119" t="s">
        <v>659</v>
      </c>
      <c r="DK144" s="44" t="s">
        <v>659</v>
      </c>
    </row>
    <row r="145" spans="1:117">
      <c r="A145" s="32" t="str">
        <f t="shared" si="12"/>
        <v>Powercor--DISTRIBUTION FIELD DEVICE COMMUNICATIONS</v>
      </c>
      <c r="B145" s="32" t="str">
        <f t="shared" si="13"/>
        <v>Powercor</v>
      </c>
      <c r="C145" s="416"/>
      <c r="D145" s="14"/>
      <c r="E145" s="15" t="s">
        <v>558</v>
      </c>
      <c r="F145" s="18">
        <v>15</v>
      </c>
      <c r="G145" s="18">
        <v>3.9</v>
      </c>
      <c r="H145" s="20">
        <v>16</v>
      </c>
      <c r="I145" s="20">
        <v>245</v>
      </c>
      <c r="J145" s="20">
        <v>92</v>
      </c>
      <c r="K145" s="20">
        <v>100</v>
      </c>
      <c r="L145" s="20">
        <v>100</v>
      </c>
      <c r="M145" s="20">
        <v>100</v>
      </c>
      <c r="N145" s="20">
        <v>100</v>
      </c>
      <c r="O145" s="20">
        <v>22</v>
      </c>
      <c r="P145" s="20">
        <v>22</v>
      </c>
      <c r="Q145" s="20">
        <v>21</v>
      </c>
      <c r="R145" s="20">
        <v>21</v>
      </c>
      <c r="S145" s="20">
        <v>24</v>
      </c>
      <c r="T145" s="20">
        <v>24</v>
      </c>
      <c r="U145" s="20">
        <v>24</v>
      </c>
      <c r="V145" s="20">
        <v>24</v>
      </c>
      <c r="W145" s="20">
        <v>24</v>
      </c>
      <c r="X145" s="20">
        <v>24</v>
      </c>
      <c r="Y145" s="20">
        <v>24</v>
      </c>
      <c r="Z145" s="20">
        <v>23</v>
      </c>
      <c r="AA145" s="20">
        <v>22</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0">
        <v>0</v>
      </c>
      <c r="AY145" s="20">
        <v>0</v>
      </c>
      <c r="AZ145" s="20">
        <v>0</v>
      </c>
      <c r="BA145" s="20">
        <v>0</v>
      </c>
      <c r="BB145" s="20">
        <v>0</v>
      </c>
      <c r="BC145" s="20">
        <v>0</v>
      </c>
      <c r="BD145" s="20">
        <v>0</v>
      </c>
      <c r="BE145" s="20">
        <v>0</v>
      </c>
      <c r="BF145" s="20">
        <v>0</v>
      </c>
      <c r="BG145" s="20">
        <v>0</v>
      </c>
      <c r="BH145" s="20">
        <v>0</v>
      </c>
      <c r="BI145" s="20">
        <v>0</v>
      </c>
      <c r="BJ145" s="20">
        <v>0</v>
      </c>
      <c r="BK145" s="20">
        <v>0</v>
      </c>
      <c r="BL145" s="20">
        <v>0</v>
      </c>
      <c r="BM145" s="20">
        <v>0</v>
      </c>
      <c r="BN145" s="20">
        <v>0</v>
      </c>
      <c r="BO145" s="20">
        <v>0</v>
      </c>
      <c r="BP145" s="20">
        <v>0</v>
      </c>
      <c r="BQ145" s="20">
        <v>0</v>
      </c>
      <c r="BR145" s="20">
        <v>0</v>
      </c>
      <c r="BS145" s="20">
        <v>0</v>
      </c>
      <c r="BT145" s="20">
        <v>0</v>
      </c>
      <c r="BU145" s="20">
        <v>0</v>
      </c>
      <c r="BV145" s="20">
        <v>0</v>
      </c>
      <c r="BW145" s="20">
        <v>0</v>
      </c>
      <c r="BX145" s="20">
        <v>0</v>
      </c>
      <c r="BY145" s="20">
        <v>0</v>
      </c>
      <c r="BZ145" s="20">
        <v>0</v>
      </c>
      <c r="CA145" s="20">
        <v>0</v>
      </c>
      <c r="CB145" s="20">
        <v>0</v>
      </c>
      <c r="CC145" s="20">
        <v>0</v>
      </c>
      <c r="CD145" s="20">
        <v>0</v>
      </c>
      <c r="CE145" s="20">
        <v>0</v>
      </c>
      <c r="CF145" s="20">
        <v>0</v>
      </c>
      <c r="CG145" s="20">
        <v>0</v>
      </c>
      <c r="CH145" s="20">
        <v>0</v>
      </c>
      <c r="CI145" s="20">
        <v>0</v>
      </c>
      <c r="CJ145" s="20">
        <v>0</v>
      </c>
      <c r="CK145" s="20">
        <v>0</v>
      </c>
      <c r="CL145" s="20">
        <v>0</v>
      </c>
      <c r="CM145" s="20">
        <v>0</v>
      </c>
      <c r="CN145" s="20">
        <v>0</v>
      </c>
      <c r="CO145" s="20">
        <v>0</v>
      </c>
      <c r="CP145" s="20">
        <v>0</v>
      </c>
      <c r="CQ145" s="20">
        <v>0</v>
      </c>
      <c r="CR145" s="20">
        <v>0</v>
      </c>
      <c r="CS145" s="20">
        <v>0</v>
      </c>
      <c r="CT145" s="20">
        <v>0</v>
      </c>
      <c r="CU145" s="20">
        <v>0</v>
      </c>
      <c r="CV145" s="20">
        <v>0</v>
      </c>
      <c r="CW145" s="20">
        <v>0</v>
      </c>
      <c r="CX145" s="20">
        <v>0</v>
      </c>
      <c r="CY145" s="20">
        <v>0</v>
      </c>
      <c r="CZ145" s="20">
        <v>0</v>
      </c>
      <c r="DA145" s="20">
        <v>0</v>
      </c>
      <c r="DB145" s="20">
        <v>0</v>
      </c>
      <c r="DC145" s="20">
        <v>0</v>
      </c>
      <c r="DD145" s="20">
        <v>0</v>
      </c>
      <c r="DE145" s="20">
        <v>0</v>
      </c>
      <c r="DF145" s="20">
        <v>0</v>
      </c>
      <c r="DG145" s="16">
        <f t="shared" si="14"/>
        <v>1052</v>
      </c>
      <c r="DH145" s="16">
        <f t="shared" si="15"/>
        <v>7194</v>
      </c>
      <c r="DI145" s="17">
        <f t="shared" si="16"/>
        <v>6.838403041825095</v>
      </c>
      <c r="DJ145" s="119" t="s">
        <v>659</v>
      </c>
      <c r="DK145" s="44" t="s">
        <v>659</v>
      </c>
    </row>
    <row r="146" spans="1:117">
      <c r="A146" s="32" t="str">
        <f t="shared" si="12"/>
        <v>Powercor--FIBRE OPTIC CABLE - (KM)</v>
      </c>
      <c r="B146" s="32" t="str">
        <f t="shared" si="13"/>
        <v>Powercor</v>
      </c>
      <c r="C146" s="416"/>
      <c r="D146" s="14"/>
      <c r="E146" s="15" t="s">
        <v>559</v>
      </c>
      <c r="F146" s="18">
        <v>25</v>
      </c>
      <c r="G146" s="18">
        <v>5</v>
      </c>
      <c r="H146" s="20">
        <v>7.8</v>
      </c>
      <c r="I146" s="20">
        <v>3.8</v>
      </c>
      <c r="J146" s="20">
        <v>9.6999999999999993</v>
      </c>
      <c r="K146" s="20">
        <v>57.5</v>
      </c>
      <c r="L146" s="20">
        <v>9.6999999999999993</v>
      </c>
      <c r="M146" s="20">
        <v>9.8000000000000007</v>
      </c>
      <c r="N146" s="20">
        <v>17.899999999999999</v>
      </c>
      <c r="O146" s="20">
        <v>12.3</v>
      </c>
      <c r="P146" s="20">
        <v>0.9</v>
      </c>
      <c r="Q146" s="20">
        <v>1.9</v>
      </c>
      <c r="R146" s="20">
        <v>4.5999999999999996</v>
      </c>
      <c r="S146" s="20">
        <v>35.1</v>
      </c>
      <c r="T146" s="20">
        <v>541</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0">
        <v>0</v>
      </c>
      <c r="AY146" s="20">
        <v>0</v>
      </c>
      <c r="AZ146" s="20">
        <v>0</v>
      </c>
      <c r="BA146" s="20">
        <v>0</v>
      </c>
      <c r="BB146" s="20">
        <v>0</v>
      </c>
      <c r="BC146" s="20">
        <v>0</v>
      </c>
      <c r="BD146" s="20">
        <v>0</v>
      </c>
      <c r="BE146" s="20">
        <v>0</v>
      </c>
      <c r="BF146" s="20">
        <v>0</v>
      </c>
      <c r="BG146" s="20">
        <v>0</v>
      </c>
      <c r="BH146" s="20">
        <v>0</v>
      </c>
      <c r="BI146" s="20">
        <v>0</v>
      </c>
      <c r="BJ146" s="20">
        <v>0</v>
      </c>
      <c r="BK146" s="20">
        <v>0</v>
      </c>
      <c r="BL146" s="20">
        <v>0</v>
      </c>
      <c r="BM146" s="20">
        <v>0</v>
      </c>
      <c r="BN146" s="20">
        <v>0</v>
      </c>
      <c r="BO146" s="20">
        <v>0</v>
      </c>
      <c r="BP146" s="20">
        <v>0</v>
      </c>
      <c r="BQ146" s="20">
        <v>0</v>
      </c>
      <c r="BR146" s="20">
        <v>0</v>
      </c>
      <c r="BS146" s="20">
        <v>0</v>
      </c>
      <c r="BT146" s="20">
        <v>0</v>
      </c>
      <c r="BU146" s="20">
        <v>0</v>
      </c>
      <c r="BV146" s="20">
        <v>0</v>
      </c>
      <c r="BW146" s="20">
        <v>0</v>
      </c>
      <c r="BX146" s="20">
        <v>0</v>
      </c>
      <c r="BY146" s="20">
        <v>0</v>
      </c>
      <c r="BZ146" s="20">
        <v>0</v>
      </c>
      <c r="CA146" s="20">
        <v>0</v>
      </c>
      <c r="CB146" s="20">
        <v>0</v>
      </c>
      <c r="CC146" s="20">
        <v>0</v>
      </c>
      <c r="CD146" s="20">
        <v>0</v>
      </c>
      <c r="CE146" s="20">
        <v>0</v>
      </c>
      <c r="CF146" s="20">
        <v>0</v>
      </c>
      <c r="CG146" s="20">
        <v>0</v>
      </c>
      <c r="CH146" s="20">
        <v>0</v>
      </c>
      <c r="CI146" s="20">
        <v>0</v>
      </c>
      <c r="CJ146" s="20">
        <v>0</v>
      </c>
      <c r="CK146" s="20">
        <v>0</v>
      </c>
      <c r="CL146" s="20">
        <v>0</v>
      </c>
      <c r="CM146" s="20">
        <v>0</v>
      </c>
      <c r="CN146" s="20">
        <v>0</v>
      </c>
      <c r="CO146" s="20">
        <v>0</v>
      </c>
      <c r="CP146" s="20">
        <v>0</v>
      </c>
      <c r="CQ146" s="20">
        <v>0</v>
      </c>
      <c r="CR146" s="20">
        <v>0</v>
      </c>
      <c r="CS146" s="20">
        <v>0</v>
      </c>
      <c r="CT146" s="20">
        <v>0</v>
      </c>
      <c r="CU146" s="20">
        <v>0</v>
      </c>
      <c r="CV146" s="20">
        <v>0</v>
      </c>
      <c r="CW146" s="20">
        <v>0</v>
      </c>
      <c r="CX146" s="20">
        <v>0</v>
      </c>
      <c r="CY146" s="20">
        <v>0</v>
      </c>
      <c r="CZ146" s="20">
        <v>0</v>
      </c>
      <c r="DA146" s="20">
        <v>0</v>
      </c>
      <c r="DB146" s="20">
        <v>0</v>
      </c>
      <c r="DC146" s="20">
        <v>0</v>
      </c>
      <c r="DD146" s="20">
        <v>0</v>
      </c>
      <c r="DE146" s="20">
        <v>0</v>
      </c>
      <c r="DF146" s="20">
        <v>0</v>
      </c>
      <c r="DG146" s="16">
        <f t="shared" si="14"/>
        <v>712</v>
      </c>
      <c r="DH146" s="16">
        <f t="shared" si="15"/>
        <v>8137.4</v>
      </c>
      <c r="DI146" s="17">
        <f t="shared" si="16"/>
        <v>11.428932584269662</v>
      </c>
      <c r="DJ146" s="119" t="s">
        <v>659</v>
      </c>
      <c r="DK146" s="44" t="s">
        <v>659</v>
      </c>
    </row>
    <row r="147" spans="1:117">
      <c r="A147" s="32" t="str">
        <f t="shared" si="12"/>
        <v>Powercor--MASTER STATION ASSETS</v>
      </c>
      <c r="B147" s="32" t="str">
        <f t="shared" si="13"/>
        <v>Powercor</v>
      </c>
      <c r="C147" s="416"/>
      <c r="D147" s="14"/>
      <c r="E147" s="15" t="s">
        <v>275</v>
      </c>
      <c r="F147" s="18">
        <v>5</v>
      </c>
      <c r="G147" s="18">
        <v>2.2000000000000002</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0">
        <v>0</v>
      </c>
      <c r="AY147" s="20">
        <v>0</v>
      </c>
      <c r="AZ147" s="20">
        <v>0</v>
      </c>
      <c r="BA147" s="20">
        <v>0</v>
      </c>
      <c r="BB147" s="20">
        <v>0</v>
      </c>
      <c r="BC147" s="20">
        <v>0</v>
      </c>
      <c r="BD147" s="20">
        <v>0</v>
      </c>
      <c r="BE147" s="20">
        <v>0</v>
      </c>
      <c r="BF147" s="20">
        <v>0</v>
      </c>
      <c r="BG147" s="20">
        <v>0</v>
      </c>
      <c r="BH147" s="20">
        <v>0</v>
      </c>
      <c r="BI147" s="20">
        <v>0</v>
      </c>
      <c r="BJ147" s="20">
        <v>0</v>
      </c>
      <c r="BK147" s="20">
        <v>0</v>
      </c>
      <c r="BL147" s="20">
        <v>0</v>
      </c>
      <c r="BM147" s="20">
        <v>0</v>
      </c>
      <c r="BN147" s="20">
        <v>0</v>
      </c>
      <c r="BO147" s="20">
        <v>0</v>
      </c>
      <c r="BP147" s="20">
        <v>0</v>
      </c>
      <c r="BQ147" s="20">
        <v>0</v>
      </c>
      <c r="BR147" s="20">
        <v>0</v>
      </c>
      <c r="BS147" s="20">
        <v>0</v>
      </c>
      <c r="BT147" s="20">
        <v>0</v>
      </c>
      <c r="BU147" s="20">
        <v>0</v>
      </c>
      <c r="BV147" s="20">
        <v>0</v>
      </c>
      <c r="BW147" s="20">
        <v>0</v>
      </c>
      <c r="BX147" s="20">
        <v>0</v>
      </c>
      <c r="BY147" s="20">
        <v>0</v>
      </c>
      <c r="BZ147" s="20">
        <v>0</v>
      </c>
      <c r="CA147" s="20">
        <v>0</v>
      </c>
      <c r="CB147" s="20">
        <v>0</v>
      </c>
      <c r="CC147" s="20">
        <v>0</v>
      </c>
      <c r="CD147" s="20">
        <v>0</v>
      </c>
      <c r="CE147" s="20">
        <v>0</v>
      </c>
      <c r="CF147" s="20">
        <v>0</v>
      </c>
      <c r="CG147" s="20">
        <v>0</v>
      </c>
      <c r="CH147" s="20">
        <v>0</v>
      </c>
      <c r="CI147" s="20">
        <v>0</v>
      </c>
      <c r="CJ147" s="20">
        <v>0</v>
      </c>
      <c r="CK147" s="20">
        <v>0</v>
      </c>
      <c r="CL147" s="20">
        <v>0</v>
      </c>
      <c r="CM147" s="20">
        <v>0</v>
      </c>
      <c r="CN147" s="20">
        <v>0</v>
      </c>
      <c r="CO147" s="20">
        <v>0</v>
      </c>
      <c r="CP147" s="20">
        <v>0</v>
      </c>
      <c r="CQ147" s="20">
        <v>0</v>
      </c>
      <c r="CR147" s="20">
        <v>0</v>
      </c>
      <c r="CS147" s="20">
        <v>0</v>
      </c>
      <c r="CT147" s="20">
        <v>0</v>
      </c>
      <c r="CU147" s="20">
        <v>0</v>
      </c>
      <c r="CV147" s="20">
        <v>0</v>
      </c>
      <c r="CW147" s="20">
        <v>0</v>
      </c>
      <c r="CX147" s="20">
        <v>0</v>
      </c>
      <c r="CY147" s="20">
        <v>0</v>
      </c>
      <c r="CZ147" s="20">
        <v>0</v>
      </c>
      <c r="DA147" s="20">
        <v>0</v>
      </c>
      <c r="DB147" s="20">
        <v>0</v>
      </c>
      <c r="DC147" s="20">
        <v>0</v>
      </c>
      <c r="DD147" s="20">
        <v>0</v>
      </c>
      <c r="DE147" s="20">
        <v>0</v>
      </c>
      <c r="DF147" s="20">
        <v>0</v>
      </c>
      <c r="DG147" s="16">
        <f t="shared" si="14"/>
        <v>0</v>
      </c>
      <c r="DH147" s="16">
        <f t="shared" si="15"/>
        <v>0</v>
      </c>
      <c r="DI147" s="17" t="str">
        <f t="shared" si="16"/>
        <v/>
      </c>
      <c r="DJ147" s="119" t="s">
        <v>659</v>
      </c>
      <c r="DK147" s="44" t="s">
        <v>659</v>
      </c>
    </row>
    <row r="148" spans="1:117">
      <c r="A148" s="32" t="str">
        <f t="shared" si="12"/>
        <v>Powercor--CLIENT</v>
      </c>
      <c r="B148" s="32" t="str">
        <f t="shared" si="13"/>
        <v>Powercor</v>
      </c>
      <c r="C148" s="416"/>
      <c r="D148" s="14"/>
      <c r="E148" s="15" t="s">
        <v>560</v>
      </c>
      <c r="F148" s="18">
        <v>5</v>
      </c>
      <c r="G148" s="18">
        <v>2.2000000000000002</v>
      </c>
      <c r="H148" s="20">
        <v>10</v>
      </c>
      <c r="I148" s="20">
        <v>12</v>
      </c>
      <c r="J148" s="20">
        <v>3</v>
      </c>
      <c r="K148" s="20">
        <v>6</v>
      </c>
      <c r="L148" s="20">
        <v>1</v>
      </c>
      <c r="M148" s="20">
        <v>10</v>
      </c>
      <c r="N148" s="20">
        <v>0</v>
      </c>
      <c r="O148" s="20">
        <v>1</v>
      </c>
      <c r="P148" s="20">
        <v>0</v>
      </c>
      <c r="Q148" s="20">
        <v>0</v>
      </c>
      <c r="R148" s="20">
        <v>0</v>
      </c>
      <c r="S148" s="20">
        <v>0</v>
      </c>
      <c r="T148" s="20">
        <v>0</v>
      </c>
      <c r="U148" s="20">
        <v>0</v>
      </c>
      <c r="V148" s="20">
        <v>0</v>
      </c>
      <c r="W148" s="20">
        <v>0</v>
      </c>
      <c r="X148" s="20">
        <v>0</v>
      </c>
      <c r="Y148" s="20">
        <v>0</v>
      </c>
      <c r="Z148" s="20">
        <v>0</v>
      </c>
      <c r="AA148" s="20">
        <v>0</v>
      </c>
      <c r="AB148" s="20">
        <v>0</v>
      </c>
      <c r="AC148" s="20">
        <v>0</v>
      </c>
      <c r="AD148" s="20">
        <v>0</v>
      </c>
      <c r="AE148" s="20">
        <v>0</v>
      </c>
      <c r="AF148" s="20">
        <v>0</v>
      </c>
      <c r="AG148" s="20">
        <v>0</v>
      </c>
      <c r="AH148" s="20">
        <v>0</v>
      </c>
      <c r="AI148" s="20">
        <v>0</v>
      </c>
      <c r="AJ148" s="20">
        <v>0</v>
      </c>
      <c r="AK148" s="20">
        <v>0</v>
      </c>
      <c r="AL148" s="20">
        <v>0</v>
      </c>
      <c r="AM148" s="20">
        <v>0</v>
      </c>
      <c r="AN148" s="20">
        <v>0</v>
      </c>
      <c r="AO148" s="20">
        <v>0</v>
      </c>
      <c r="AP148" s="20">
        <v>0</v>
      </c>
      <c r="AQ148" s="20">
        <v>0</v>
      </c>
      <c r="AR148" s="20">
        <v>0</v>
      </c>
      <c r="AS148" s="20">
        <v>0</v>
      </c>
      <c r="AT148" s="20">
        <v>0</v>
      </c>
      <c r="AU148" s="20">
        <v>0</v>
      </c>
      <c r="AV148" s="20">
        <v>0</v>
      </c>
      <c r="AW148" s="20">
        <v>0</v>
      </c>
      <c r="AX148" s="20">
        <v>0</v>
      </c>
      <c r="AY148" s="20">
        <v>0</v>
      </c>
      <c r="AZ148" s="20">
        <v>0</v>
      </c>
      <c r="BA148" s="20">
        <v>0</v>
      </c>
      <c r="BB148" s="20">
        <v>0</v>
      </c>
      <c r="BC148" s="20">
        <v>0</v>
      </c>
      <c r="BD148" s="20">
        <v>0</v>
      </c>
      <c r="BE148" s="20">
        <v>0</v>
      </c>
      <c r="BF148" s="20">
        <v>0</v>
      </c>
      <c r="BG148" s="20">
        <v>0</v>
      </c>
      <c r="BH148" s="20">
        <v>0</v>
      </c>
      <c r="BI148" s="20">
        <v>0</v>
      </c>
      <c r="BJ148" s="20">
        <v>0</v>
      </c>
      <c r="BK148" s="20">
        <v>0</v>
      </c>
      <c r="BL148" s="20">
        <v>0</v>
      </c>
      <c r="BM148" s="20">
        <v>0</v>
      </c>
      <c r="BN148" s="20">
        <v>0</v>
      </c>
      <c r="BO148" s="20">
        <v>0</v>
      </c>
      <c r="BP148" s="20">
        <v>0</v>
      </c>
      <c r="BQ148" s="20">
        <v>0</v>
      </c>
      <c r="BR148" s="20">
        <v>0</v>
      </c>
      <c r="BS148" s="20">
        <v>0</v>
      </c>
      <c r="BT148" s="20">
        <v>0</v>
      </c>
      <c r="BU148" s="20">
        <v>0</v>
      </c>
      <c r="BV148" s="20">
        <v>0</v>
      </c>
      <c r="BW148" s="20">
        <v>0</v>
      </c>
      <c r="BX148" s="20">
        <v>0</v>
      </c>
      <c r="BY148" s="20">
        <v>0</v>
      </c>
      <c r="BZ148" s="20">
        <v>0</v>
      </c>
      <c r="CA148" s="20">
        <v>0</v>
      </c>
      <c r="CB148" s="20">
        <v>0</v>
      </c>
      <c r="CC148" s="20">
        <v>0</v>
      </c>
      <c r="CD148" s="20">
        <v>0</v>
      </c>
      <c r="CE148" s="20">
        <v>0</v>
      </c>
      <c r="CF148" s="20">
        <v>0</v>
      </c>
      <c r="CG148" s="20">
        <v>0</v>
      </c>
      <c r="CH148" s="20">
        <v>0</v>
      </c>
      <c r="CI148" s="20">
        <v>0</v>
      </c>
      <c r="CJ148" s="20">
        <v>0</v>
      </c>
      <c r="CK148" s="20">
        <v>0</v>
      </c>
      <c r="CL148" s="20">
        <v>0</v>
      </c>
      <c r="CM148" s="20">
        <v>0</v>
      </c>
      <c r="CN148" s="20">
        <v>0</v>
      </c>
      <c r="CO148" s="20">
        <v>0</v>
      </c>
      <c r="CP148" s="20">
        <v>0</v>
      </c>
      <c r="CQ148" s="20">
        <v>0</v>
      </c>
      <c r="CR148" s="20">
        <v>0</v>
      </c>
      <c r="CS148" s="20">
        <v>0</v>
      </c>
      <c r="CT148" s="20">
        <v>0</v>
      </c>
      <c r="CU148" s="20">
        <v>0</v>
      </c>
      <c r="CV148" s="20">
        <v>0</v>
      </c>
      <c r="CW148" s="20">
        <v>0</v>
      </c>
      <c r="CX148" s="20">
        <v>0</v>
      </c>
      <c r="CY148" s="20">
        <v>0</v>
      </c>
      <c r="CZ148" s="20">
        <v>0</v>
      </c>
      <c r="DA148" s="20">
        <v>0</v>
      </c>
      <c r="DB148" s="20">
        <v>0</v>
      </c>
      <c r="DC148" s="20">
        <v>0</v>
      </c>
      <c r="DD148" s="20">
        <v>0</v>
      </c>
      <c r="DE148" s="20">
        <v>0</v>
      </c>
      <c r="DF148" s="20">
        <v>0</v>
      </c>
      <c r="DG148" s="16">
        <f t="shared" si="14"/>
        <v>43</v>
      </c>
      <c r="DH148" s="16">
        <f t="shared" si="15"/>
        <v>140</v>
      </c>
      <c r="DI148" s="17">
        <f t="shared" si="16"/>
        <v>3.2558139534883721</v>
      </c>
      <c r="DJ148" s="119" t="s">
        <v>659</v>
      </c>
      <c r="DK148" s="44" t="s">
        <v>659</v>
      </c>
    </row>
    <row r="149" spans="1:117">
      <c r="A149" s="32" t="str">
        <f t="shared" si="12"/>
        <v>Powercor--FEP</v>
      </c>
      <c r="B149" s="32" t="str">
        <f t="shared" si="13"/>
        <v>Powercor</v>
      </c>
      <c r="C149" s="416"/>
      <c r="D149" s="14"/>
      <c r="E149" s="15" t="s">
        <v>561</v>
      </c>
      <c r="F149" s="18">
        <v>5</v>
      </c>
      <c r="G149" s="18">
        <v>2.2000000000000002</v>
      </c>
      <c r="H149" s="20">
        <v>0</v>
      </c>
      <c r="I149" s="20">
        <v>6</v>
      </c>
      <c r="J149" s="20">
        <v>2</v>
      </c>
      <c r="K149" s="20">
        <v>0</v>
      </c>
      <c r="L149" s="20">
        <v>0</v>
      </c>
      <c r="M149" s="20">
        <v>0</v>
      </c>
      <c r="N149" s="20">
        <v>0</v>
      </c>
      <c r="O149" s="20">
        <v>0</v>
      </c>
      <c r="P149" s="20">
        <v>0</v>
      </c>
      <c r="Q149" s="20">
        <v>0</v>
      </c>
      <c r="R149" s="20">
        <v>0</v>
      </c>
      <c r="S149" s="20">
        <v>0</v>
      </c>
      <c r="T149" s="20">
        <v>0</v>
      </c>
      <c r="U149" s="20">
        <v>0</v>
      </c>
      <c r="V149" s="20">
        <v>0</v>
      </c>
      <c r="W149" s="20">
        <v>0</v>
      </c>
      <c r="X149" s="20">
        <v>0</v>
      </c>
      <c r="Y149" s="20">
        <v>0</v>
      </c>
      <c r="Z149" s="20">
        <v>0</v>
      </c>
      <c r="AA149" s="20">
        <v>0</v>
      </c>
      <c r="AB149" s="20">
        <v>0</v>
      </c>
      <c r="AC149" s="20">
        <v>0</v>
      </c>
      <c r="AD149" s="20">
        <v>0</v>
      </c>
      <c r="AE149" s="20">
        <v>0</v>
      </c>
      <c r="AF149" s="20">
        <v>0</v>
      </c>
      <c r="AG149" s="20">
        <v>0</v>
      </c>
      <c r="AH149" s="20">
        <v>0</v>
      </c>
      <c r="AI149" s="20">
        <v>0</v>
      </c>
      <c r="AJ149" s="20">
        <v>0</v>
      </c>
      <c r="AK149" s="20">
        <v>0</v>
      </c>
      <c r="AL149" s="20">
        <v>0</v>
      </c>
      <c r="AM149" s="20">
        <v>0</v>
      </c>
      <c r="AN149" s="20">
        <v>0</v>
      </c>
      <c r="AO149" s="20">
        <v>0</v>
      </c>
      <c r="AP149" s="20">
        <v>0</v>
      </c>
      <c r="AQ149" s="20">
        <v>0</v>
      </c>
      <c r="AR149" s="20">
        <v>0</v>
      </c>
      <c r="AS149" s="20">
        <v>0</v>
      </c>
      <c r="AT149" s="20">
        <v>0</v>
      </c>
      <c r="AU149" s="20">
        <v>0</v>
      </c>
      <c r="AV149" s="20">
        <v>0</v>
      </c>
      <c r="AW149" s="20">
        <v>0</v>
      </c>
      <c r="AX149" s="20">
        <v>0</v>
      </c>
      <c r="AY149" s="20">
        <v>0</v>
      </c>
      <c r="AZ149" s="20">
        <v>0</v>
      </c>
      <c r="BA149" s="20">
        <v>0</v>
      </c>
      <c r="BB149" s="20">
        <v>0</v>
      </c>
      <c r="BC149" s="20">
        <v>0</v>
      </c>
      <c r="BD149" s="20">
        <v>0</v>
      </c>
      <c r="BE149" s="20">
        <v>0</v>
      </c>
      <c r="BF149" s="20">
        <v>0</v>
      </c>
      <c r="BG149" s="20">
        <v>0</v>
      </c>
      <c r="BH149" s="20">
        <v>0</v>
      </c>
      <c r="BI149" s="20">
        <v>0</v>
      </c>
      <c r="BJ149" s="20">
        <v>0</v>
      </c>
      <c r="BK149" s="20">
        <v>0</v>
      </c>
      <c r="BL149" s="20">
        <v>0</v>
      </c>
      <c r="BM149" s="20">
        <v>0</v>
      </c>
      <c r="BN149" s="20">
        <v>0</v>
      </c>
      <c r="BO149" s="20">
        <v>0</v>
      </c>
      <c r="BP149" s="20">
        <v>0</v>
      </c>
      <c r="BQ149" s="20">
        <v>0</v>
      </c>
      <c r="BR149" s="20">
        <v>0</v>
      </c>
      <c r="BS149" s="20">
        <v>0</v>
      </c>
      <c r="BT149" s="20">
        <v>0</v>
      </c>
      <c r="BU149" s="20">
        <v>0</v>
      </c>
      <c r="BV149" s="20">
        <v>0</v>
      </c>
      <c r="BW149" s="20">
        <v>0</v>
      </c>
      <c r="BX149" s="20">
        <v>0</v>
      </c>
      <c r="BY149" s="20">
        <v>0</v>
      </c>
      <c r="BZ149" s="20">
        <v>0</v>
      </c>
      <c r="CA149" s="20">
        <v>0</v>
      </c>
      <c r="CB149" s="20">
        <v>0</v>
      </c>
      <c r="CC149" s="20">
        <v>0</v>
      </c>
      <c r="CD149" s="20">
        <v>0</v>
      </c>
      <c r="CE149" s="20">
        <v>0</v>
      </c>
      <c r="CF149" s="20">
        <v>0</v>
      </c>
      <c r="CG149" s="20">
        <v>0</v>
      </c>
      <c r="CH149" s="20">
        <v>0</v>
      </c>
      <c r="CI149" s="20">
        <v>0</v>
      </c>
      <c r="CJ149" s="20">
        <v>0</v>
      </c>
      <c r="CK149" s="20">
        <v>0</v>
      </c>
      <c r="CL149" s="20">
        <v>0</v>
      </c>
      <c r="CM149" s="20">
        <v>0</v>
      </c>
      <c r="CN149" s="20">
        <v>0</v>
      </c>
      <c r="CO149" s="20">
        <v>0</v>
      </c>
      <c r="CP149" s="20">
        <v>0</v>
      </c>
      <c r="CQ149" s="20">
        <v>0</v>
      </c>
      <c r="CR149" s="20">
        <v>0</v>
      </c>
      <c r="CS149" s="20">
        <v>0</v>
      </c>
      <c r="CT149" s="20">
        <v>0</v>
      </c>
      <c r="CU149" s="20">
        <v>0</v>
      </c>
      <c r="CV149" s="20">
        <v>0</v>
      </c>
      <c r="CW149" s="20">
        <v>0</v>
      </c>
      <c r="CX149" s="20">
        <v>0</v>
      </c>
      <c r="CY149" s="20">
        <v>0</v>
      </c>
      <c r="CZ149" s="20">
        <v>0</v>
      </c>
      <c r="DA149" s="20">
        <v>0</v>
      </c>
      <c r="DB149" s="20">
        <v>0</v>
      </c>
      <c r="DC149" s="20">
        <v>0</v>
      </c>
      <c r="DD149" s="20">
        <v>0</v>
      </c>
      <c r="DE149" s="20">
        <v>0</v>
      </c>
      <c r="DF149" s="20">
        <v>0</v>
      </c>
      <c r="DG149" s="16">
        <f t="shared" si="14"/>
        <v>8</v>
      </c>
      <c r="DH149" s="16">
        <f t="shared" si="15"/>
        <v>18</v>
      </c>
      <c r="DI149" s="17">
        <f t="shared" si="16"/>
        <v>2.25</v>
      </c>
      <c r="DJ149" s="119" t="s">
        <v>659</v>
      </c>
      <c r="DK149" s="44" t="s">
        <v>659</v>
      </c>
    </row>
    <row r="150" spans="1:117">
      <c r="A150" s="32" t="str">
        <f t="shared" si="12"/>
        <v>Powercor--PRINTER</v>
      </c>
      <c r="B150" s="32" t="str">
        <f t="shared" si="13"/>
        <v>Powercor</v>
      </c>
      <c r="C150" s="416"/>
      <c r="D150" s="14"/>
      <c r="E150" s="15" t="s">
        <v>562</v>
      </c>
      <c r="F150" s="18">
        <v>5</v>
      </c>
      <c r="G150" s="18">
        <v>2.2000000000000002</v>
      </c>
      <c r="H150" s="20">
        <v>0</v>
      </c>
      <c r="I150" s="20">
        <v>1</v>
      </c>
      <c r="J150" s="20">
        <v>0</v>
      </c>
      <c r="K150" s="20">
        <v>0</v>
      </c>
      <c r="L150" s="20">
        <v>0</v>
      </c>
      <c r="M150" s="20">
        <v>0</v>
      </c>
      <c r="N150" s="20">
        <v>0</v>
      </c>
      <c r="O150" s="20">
        <v>0</v>
      </c>
      <c r="P150" s="20">
        <v>0</v>
      </c>
      <c r="Q150" s="20">
        <v>0</v>
      </c>
      <c r="R150" s="20">
        <v>0</v>
      </c>
      <c r="S150" s="20">
        <v>0</v>
      </c>
      <c r="T150" s="20">
        <v>0</v>
      </c>
      <c r="U150" s="20">
        <v>0</v>
      </c>
      <c r="V150" s="20">
        <v>0</v>
      </c>
      <c r="W150" s="20">
        <v>0</v>
      </c>
      <c r="X150" s="20">
        <v>0</v>
      </c>
      <c r="Y150" s="20">
        <v>0</v>
      </c>
      <c r="Z150" s="20">
        <v>0</v>
      </c>
      <c r="AA150" s="20">
        <v>0</v>
      </c>
      <c r="AB150" s="20">
        <v>0</v>
      </c>
      <c r="AC150" s="20">
        <v>0</v>
      </c>
      <c r="AD150" s="20">
        <v>0</v>
      </c>
      <c r="AE150" s="20">
        <v>0</v>
      </c>
      <c r="AF150" s="20">
        <v>0</v>
      </c>
      <c r="AG150" s="20">
        <v>0</v>
      </c>
      <c r="AH150" s="20">
        <v>0</v>
      </c>
      <c r="AI150" s="20">
        <v>0</v>
      </c>
      <c r="AJ150" s="20">
        <v>0</v>
      </c>
      <c r="AK150" s="20">
        <v>0</v>
      </c>
      <c r="AL150" s="20">
        <v>0</v>
      </c>
      <c r="AM150" s="20">
        <v>0</v>
      </c>
      <c r="AN150" s="20">
        <v>0</v>
      </c>
      <c r="AO150" s="20">
        <v>0</v>
      </c>
      <c r="AP150" s="20">
        <v>0</v>
      </c>
      <c r="AQ150" s="20">
        <v>0</v>
      </c>
      <c r="AR150" s="20">
        <v>0</v>
      </c>
      <c r="AS150" s="20">
        <v>0</v>
      </c>
      <c r="AT150" s="20">
        <v>0</v>
      </c>
      <c r="AU150" s="20">
        <v>0</v>
      </c>
      <c r="AV150" s="20">
        <v>0</v>
      </c>
      <c r="AW150" s="20">
        <v>0</v>
      </c>
      <c r="AX150" s="20">
        <v>0</v>
      </c>
      <c r="AY150" s="20">
        <v>0</v>
      </c>
      <c r="AZ150" s="20">
        <v>0</v>
      </c>
      <c r="BA150" s="20">
        <v>0</v>
      </c>
      <c r="BB150" s="20">
        <v>0</v>
      </c>
      <c r="BC150" s="20">
        <v>0</v>
      </c>
      <c r="BD150" s="20">
        <v>0</v>
      </c>
      <c r="BE150" s="20">
        <v>0</v>
      </c>
      <c r="BF150" s="20">
        <v>0</v>
      </c>
      <c r="BG150" s="20">
        <v>0</v>
      </c>
      <c r="BH150" s="20">
        <v>0</v>
      </c>
      <c r="BI150" s="20">
        <v>0</v>
      </c>
      <c r="BJ150" s="20">
        <v>0</v>
      </c>
      <c r="BK150" s="20">
        <v>0</v>
      </c>
      <c r="BL150" s="20">
        <v>0</v>
      </c>
      <c r="BM150" s="20">
        <v>0</v>
      </c>
      <c r="BN150" s="20">
        <v>0</v>
      </c>
      <c r="BO150" s="20">
        <v>0</v>
      </c>
      <c r="BP150" s="20">
        <v>0</v>
      </c>
      <c r="BQ150" s="20">
        <v>0</v>
      </c>
      <c r="BR150" s="20">
        <v>0</v>
      </c>
      <c r="BS150" s="20">
        <v>0</v>
      </c>
      <c r="BT150" s="20">
        <v>0</v>
      </c>
      <c r="BU150" s="20">
        <v>0</v>
      </c>
      <c r="BV150" s="20">
        <v>0</v>
      </c>
      <c r="BW150" s="20">
        <v>0</v>
      </c>
      <c r="BX150" s="20">
        <v>0</v>
      </c>
      <c r="BY150" s="20">
        <v>0</v>
      </c>
      <c r="BZ150" s="20">
        <v>0</v>
      </c>
      <c r="CA150" s="20">
        <v>0</v>
      </c>
      <c r="CB150" s="20">
        <v>0</v>
      </c>
      <c r="CC150" s="20">
        <v>0</v>
      </c>
      <c r="CD150" s="20">
        <v>0</v>
      </c>
      <c r="CE150" s="20">
        <v>0</v>
      </c>
      <c r="CF150" s="20">
        <v>0</v>
      </c>
      <c r="CG150" s="20">
        <v>0</v>
      </c>
      <c r="CH150" s="20">
        <v>0</v>
      </c>
      <c r="CI150" s="20">
        <v>0</v>
      </c>
      <c r="CJ150" s="20">
        <v>0</v>
      </c>
      <c r="CK150" s="20">
        <v>0</v>
      </c>
      <c r="CL150" s="20">
        <v>0</v>
      </c>
      <c r="CM150" s="20">
        <v>0</v>
      </c>
      <c r="CN150" s="20">
        <v>0</v>
      </c>
      <c r="CO150" s="20">
        <v>0</v>
      </c>
      <c r="CP150" s="20">
        <v>0</v>
      </c>
      <c r="CQ150" s="20">
        <v>0</v>
      </c>
      <c r="CR150" s="20">
        <v>0</v>
      </c>
      <c r="CS150" s="20">
        <v>0</v>
      </c>
      <c r="CT150" s="20">
        <v>0</v>
      </c>
      <c r="CU150" s="20">
        <v>0</v>
      </c>
      <c r="CV150" s="20">
        <v>0</v>
      </c>
      <c r="CW150" s="20">
        <v>0</v>
      </c>
      <c r="CX150" s="20">
        <v>0</v>
      </c>
      <c r="CY150" s="20">
        <v>0</v>
      </c>
      <c r="CZ150" s="20">
        <v>0</v>
      </c>
      <c r="DA150" s="20">
        <v>0</v>
      </c>
      <c r="DB150" s="20">
        <v>0</v>
      </c>
      <c r="DC150" s="20">
        <v>0</v>
      </c>
      <c r="DD150" s="20">
        <v>0</v>
      </c>
      <c r="DE150" s="20">
        <v>0</v>
      </c>
      <c r="DF150" s="20">
        <v>0</v>
      </c>
      <c r="DG150" s="16">
        <f t="shared" si="14"/>
        <v>1</v>
      </c>
      <c r="DH150" s="16">
        <f t="shared" si="15"/>
        <v>2</v>
      </c>
      <c r="DI150" s="17">
        <f t="shared" si="16"/>
        <v>2</v>
      </c>
      <c r="DJ150" s="119" t="s">
        <v>659</v>
      </c>
      <c r="DK150" s="44" t="s">
        <v>659</v>
      </c>
    </row>
    <row r="151" spans="1:117">
      <c r="A151" s="32" t="str">
        <f t="shared" si="12"/>
        <v>Powercor--ROUTER</v>
      </c>
      <c r="B151" s="32" t="str">
        <f t="shared" si="13"/>
        <v>Powercor</v>
      </c>
      <c r="C151" s="416"/>
      <c r="D151" s="14"/>
      <c r="E151" s="15" t="s">
        <v>563</v>
      </c>
      <c r="F151" s="18">
        <v>5</v>
      </c>
      <c r="G151" s="18">
        <v>2.2000000000000002</v>
      </c>
      <c r="H151" s="20">
        <v>0</v>
      </c>
      <c r="I151" s="20">
        <v>10</v>
      </c>
      <c r="J151" s="20">
        <v>0</v>
      </c>
      <c r="K151" s="20">
        <v>0</v>
      </c>
      <c r="L151" s="20">
        <v>0</v>
      </c>
      <c r="M151" s="20">
        <v>0</v>
      </c>
      <c r="N151" s="20">
        <v>0</v>
      </c>
      <c r="O151" s="20">
        <v>0</v>
      </c>
      <c r="P151" s="20">
        <v>0</v>
      </c>
      <c r="Q151" s="20">
        <v>0</v>
      </c>
      <c r="R151" s="20">
        <v>0</v>
      </c>
      <c r="S151" s="20">
        <v>0</v>
      </c>
      <c r="T151" s="20">
        <v>0</v>
      </c>
      <c r="U151" s="20">
        <v>0</v>
      </c>
      <c r="V151" s="20">
        <v>0</v>
      </c>
      <c r="W151" s="20">
        <v>0</v>
      </c>
      <c r="X151" s="20">
        <v>0</v>
      </c>
      <c r="Y151" s="20">
        <v>0</v>
      </c>
      <c r="Z151" s="20">
        <v>0</v>
      </c>
      <c r="AA151" s="20">
        <v>0</v>
      </c>
      <c r="AB151" s="20">
        <v>0</v>
      </c>
      <c r="AC151" s="20">
        <v>0</v>
      </c>
      <c r="AD151" s="20">
        <v>0</v>
      </c>
      <c r="AE151" s="20">
        <v>0</v>
      </c>
      <c r="AF151" s="20">
        <v>0</v>
      </c>
      <c r="AG151" s="20">
        <v>0</v>
      </c>
      <c r="AH151" s="20">
        <v>0</v>
      </c>
      <c r="AI151" s="20">
        <v>0</v>
      </c>
      <c r="AJ151" s="20">
        <v>0</v>
      </c>
      <c r="AK151" s="20">
        <v>0</v>
      </c>
      <c r="AL151" s="20">
        <v>0</v>
      </c>
      <c r="AM151" s="20">
        <v>0</v>
      </c>
      <c r="AN151" s="20">
        <v>0</v>
      </c>
      <c r="AO151" s="20">
        <v>0</v>
      </c>
      <c r="AP151" s="20">
        <v>0</v>
      </c>
      <c r="AQ151" s="20">
        <v>0</v>
      </c>
      <c r="AR151" s="20">
        <v>0</v>
      </c>
      <c r="AS151" s="20">
        <v>0</v>
      </c>
      <c r="AT151" s="20">
        <v>0</v>
      </c>
      <c r="AU151" s="20">
        <v>0</v>
      </c>
      <c r="AV151" s="20">
        <v>0</v>
      </c>
      <c r="AW151" s="20">
        <v>0</v>
      </c>
      <c r="AX151" s="20">
        <v>0</v>
      </c>
      <c r="AY151" s="20">
        <v>0</v>
      </c>
      <c r="AZ151" s="20">
        <v>0</v>
      </c>
      <c r="BA151" s="20">
        <v>0</v>
      </c>
      <c r="BB151" s="20">
        <v>0</v>
      </c>
      <c r="BC151" s="20">
        <v>0</v>
      </c>
      <c r="BD151" s="20">
        <v>0</v>
      </c>
      <c r="BE151" s="20">
        <v>0</v>
      </c>
      <c r="BF151" s="20">
        <v>0</v>
      </c>
      <c r="BG151" s="20">
        <v>0</v>
      </c>
      <c r="BH151" s="20">
        <v>0</v>
      </c>
      <c r="BI151" s="20">
        <v>0</v>
      </c>
      <c r="BJ151" s="20">
        <v>0</v>
      </c>
      <c r="BK151" s="20">
        <v>0</v>
      </c>
      <c r="BL151" s="20">
        <v>0</v>
      </c>
      <c r="BM151" s="20">
        <v>0</v>
      </c>
      <c r="BN151" s="20">
        <v>0</v>
      </c>
      <c r="BO151" s="20">
        <v>0</v>
      </c>
      <c r="BP151" s="20">
        <v>0</v>
      </c>
      <c r="BQ151" s="20">
        <v>0</v>
      </c>
      <c r="BR151" s="20">
        <v>0</v>
      </c>
      <c r="BS151" s="20">
        <v>0</v>
      </c>
      <c r="BT151" s="20">
        <v>0</v>
      </c>
      <c r="BU151" s="20">
        <v>0</v>
      </c>
      <c r="BV151" s="20">
        <v>0</v>
      </c>
      <c r="BW151" s="20">
        <v>0</v>
      </c>
      <c r="BX151" s="20">
        <v>0</v>
      </c>
      <c r="BY151" s="20">
        <v>0</v>
      </c>
      <c r="BZ151" s="20">
        <v>0</v>
      </c>
      <c r="CA151" s="20">
        <v>0</v>
      </c>
      <c r="CB151" s="20">
        <v>0</v>
      </c>
      <c r="CC151" s="20">
        <v>0</v>
      </c>
      <c r="CD151" s="20">
        <v>0</v>
      </c>
      <c r="CE151" s="20">
        <v>0</v>
      </c>
      <c r="CF151" s="20">
        <v>0</v>
      </c>
      <c r="CG151" s="20">
        <v>0</v>
      </c>
      <c r="CH151" s="20">
        <v>0</v>
      </c>
      <c r="CI151" s="20">
        <v>0</v>
      </c>
      <c r="CJ151" s="20">
        <v>0</v>
      </c>
      <c r="CK151" s="20">
        <v>0</v>
      </c>
      <c r="CL151" s="20">
        <v>0</v>
      </c>
      <c r="CM151" s="20">
        <v>0</v>
      </c>
      <c r="CN151" s="20">
        <v>0</v>
      </c>
      <c r="CO151" s="20">
        <v>0</v>
      </c>
      <c r="CP151" s="20">
        <v>0</v>
      </c>
      <c r="CQ151" s="20">
        <v>0</v>
      </c>
      <c r="CR151" s="20">
        <v>0</v>
      </c>
      <c r="CS151" s="20">
        <v>0</v>
      </c>
      <c r="CT151" s="20">
        <v>0</v>
      </c>
      <c r="CU151" s="20">
        <v>0</v>
      </c>
      <c r="CV151" s="20">
        <v>0</v>
      </c>
      <c r="CW151" s="20">
        <v>0</v>
      </c>
      <c r="CX151" s="20">
        <v>0</v>
      </c>
      <c r="CY151" s="20">
        <v>0</v>
      </c>
      <c r="CZ151" s="20">
        <v>0</v>
      </c>
      <c r="DA151" s="20">
        <v>0</v>
      </c>
      <c r="DB151" s="20">
        <v>0</v>
      </c>
      <c r="DC151" s="20">
        <v>0</v>
      </c>
      <c r="DD151" s="20">
        <v>0</v>
      </c>
      <c r="DE151" s="20">
        <v>0</v>
      </c>
      <c r="DF151" s="20">
        <v>0</v>
      </c>
      <c r="DG151" s="16">
        <f t="shared" si="14"/>
        <v>10</v>
      </c>
      <c r="DH151" s="16">
        <f t="shared" si="15"/>
        <v>20</v>
      </c>
      <c r="DI151" s="17">
        <f t="shared" si="16"/>
        <v>2</v>
      </c>
      <c r="DJ151" s="119" t="s">
        <v>659</v>
      </c>
      <c r="DK151" s="44" t="s">
        <v>659</v>
      </c>
    </row>
    <row r="152" spans="1:117">
      <c r="A152" s="32" t="str">
        <f t="shared" ref="A152:A215" si="17">B152&amp;"-"&amp;D152&amp;"-"&amp;E152</f>
        <v>Powercor--SECURITY DEVICE</v>
      </c>
      <c r="B152" s="32" t="str">
        <f t="shared" ref="B152:B215" si="18">IF(C152&gt;0,C152,B151)</f>
        <v>Powercor</v>
      </c>
      <c r="C152" s="416"/>
      <c r="D152" s="14"/>
      <c r="E152" s="15" t="s">
        <v>564</v>
      </c>
      <c r="F152" s="18">
        <v>5</v>
      </c>
      <c r="G152" s="18">
        <v>2.2000000000000002</v>
      </c>
      <c r="H152" s="20">
        <v>0</v>
      </c>
      <c r="I152" s="20">
        <v>2</v>
      </c>
      <c r="J152" s="20">
        <v>1</v>
      </c>
      <c r="K152" s="20">
        <v>1</v>
      </c>
      <c r="L152" s="20">
        <v>0</v>
      </c>
      <c r="M152" s="20">
        <v>1</v>
      </c>
      <c r="N152" s="20">
        <v>0</v>
      </c>
      <c r="O152" s="20">
        <v>0</v>
      </c>
      <c r="P152" s="20">
        <v>0</v>
      </c>
      <c r="Q152" s="20">
        <v>0</v>
      </c>
      <c r="R152" s="20">
        <v>0</v>
      </c>
      <c r="S152" s="20">
        <v>0</v>
      </c>
      <c r="T152" s="20">
        <v>0</v>
      </c>
      <c r="U152" s="20">
        <v>0</v>
      </c>
      <c r="V152" s="20">
        <v>0</v>
      </c>
      <c r="W152" s="20">
        <v>0</v>
      </c>
      <c r="X152" s="20">
        <v>0</v>
      </c>
      <c r="Y152" s="20">
        <v>0</v>
      </c>
      <c r="Z152" s="20">
        <v>0</v>
      </c>
      <c r="AA152" s="20">
        <v>0</v>
      </c>
      <c r="AB152" s="20">
        <v>0</v>
      </c>
      <c r="AC152" s="20">
        <v>0</v>
      </c>
      <c r="AD152" s="20">
        <v>0</v>
      </c>
      <c r="AE152" s="20">
        <v>0</v>
      </c>
      <c r="AF152" s="20">
        <v>0</v>
      </c>
      <c r="AG152" s="20">
        <v>0</v>
      </c>
      <c r="AH152" s="20">
        <v>0</v>
      </c>
      <c r="AI152" s="20">
        <v>0</v>
      </c>
      <c r="AJ152" s="20">
        <v>0</v>
      </c>
      <c r="AK152" s="20">
        <v>0</v>
      </c>
      <c r="AL152" s="20">
        <v>0</v>
      </c>
      <c r="AM152" s="20">
        <v>0</v>
      </c>
      <c r="AN152" s="20">
        <v>0</v>
      </c>
      <c r="AO152" s="20">
        <v>0</v>
      </c>
      <c r="AP152" s="20">
        <v>0</v>
      </c>
      <c r="AQ152" s="20">
        <v>0</v>
      </c>
      <c r="AR152" s="20">
        <v>0</v>
      </c>
      <c r="AS152" s="20">
        <v>0</v>
      </c>
      <c r="AT152" s="20">
        <v>0</v>
      </c>
      <c r="AU152" s="20">
        <v>0</v>
      </c>
      <c r="AV152" s="20">
        <v>0</v>
      </c>
      <c r="AW152" s="20">
        <v>0</v>
      </c>
      <c r="AX152" s="20">
        <v>0</v>
      </c>
      <c r="AY152" s="20">
        <v>0</v>
      </c>
      <c r="AZ152" s="20">
        <v>0</v>
      </c>
      <c r="BA152" s="20">
        <v>0</v>
      </c>
      <c r="BB152" s="20">
        <v>0</v>
      </c>
      <c r="BC152" s="20">
        <v>0</v>
      </c>
      <c r="BD152" s="20">
        <v>0</v>
      </c>
      <c r="BE152" s="20">
        <v>0</v>
      </c>
      <c r="BF152" s="20">
        <v>0</v>
      </c>
      <c r="BG152" s="20">
        <v>0</v>
      </c>
      <c r="BH152" s="20">
        <v>0</v>
      </c>
      <c r="BI152" s="20">
        <v>0</v>
      </c>
      <c r="BJ152" s="20">
        <v>0</v>
      </c>
      <c r="BK152" s="20">
        <v>0</v>
      </c>
      <c r="BL152" s="20">
        <v>0</v>
      </c>
      <c r="BM152" s="20">
        <v>0</v>
      </c>
      <c r="BN152" s="20">
        <v>0</v>
      </c>
      <c r="BO152" s="20">
        <v>0</v>
      </c>
      <c r="BP152" s="20">
        <v>0</v>
      </c>
      <c r="BQ152" s="20">
        <v>0</v>
      </c>
      <c r="BR152" s="20">
        <v>0</v>
      </c>
      <c r="BS152" s="20">
        <v>0</v>
      </c>
      <c r="BT152" s="20">
        <v>0</v>
      </c>
      <c r="BU152" s="20">
        <v>0</v>
      </c>
      <c r="BV152" s="20">
        <v>0</v>
      </c>
      <c r="BW152" s="20">
        <v>0</v>
      </c>
      <c r="BX152" s="20">
        <v>0</v>
      </c>
      <c r="BY152" s="20">
        <v>0</v>
      </c>
      <c r="BZ152" s="20">
        <v>0</v>
      </c>
      <c r="CA152" s="20">
        <v>0</v>
      </c>
      <c r="CB152" s="20">
        <v>0</v>
      </c>
      <c r="CC152" s="20">
        <v>0</v>
      </c>
      <c r="CD152" s="20">
        <v>0</v>
      </c>
      <c r="CE152" s="20">
        <v>0</v>
      </c>
      <c r="CF152" s="20">
        <v>0</v>
      </c>
      <c r="CG152" s="20">
        <v>0</v>
      </c>
      <c r="CH152" s="20">
        <v>0</v>
      </c>
      <c r="CI152" s="20">
        <v>0</v>
      </c>
      <c r="CJ152" s="20">
        <v>0</v>
      </c>
      <c r="CK152" s="20">
        <v>0</v>
      </c>
      <c r="CL152" s="20">
        <v>0</v>
      </c>
      <c r="CM152" s="20">
        <v>0</v>
      </c>
      <c r="CN152" s="20">
        <v>0</v>
      </c>
      <c r="CO152" s="20">
        <v>0</v>
      </c>
      <c r="CP152" s="20">
        <v>0</v>
      </c>
      <c r="CQ152" s="20">
        <v>0</v>
      </c>
      <c r="CR152" s="20">
        <v>0</v>
      </c>
      <c r="CS152" s="20">
        <v>0</v>
      </c>
      <c r="CT152" s="20">
        <v>0</v>
      </c>
      <c r="CU152" s="20">
        <v>0</v>
      </c>
      <c r="CV152" s="20">
        <v>0</v>
      </c>
      <c r="CW152" s="20">
        <v>0</v>
      </c>
      <c r="CX152" s="20">
        <v>0</v>
      </c>
      <c r="CY152" s="20">
        <v>0</v>
      </c>
      <c r="CZ152" s="20">
        <v>0</v>
      </c>
      <c r="DA152" s="20">
        <v>0</v>
      </c>
      <c r="DB152" s="20">
        <v>0</v>
      </c>
      <c r="DC152" s="20">
        <v>0</v>
      </c>
      <c r="DD152" s="20">
        <v>0</v>
      </c>
      <c r="DE152" s="20">
        <v>0</v>
      </c>
      <c r="DF152" s="20">
        <v>0</v>
      </c>
      <c r="DG152" s="16">
        <f t="shared" si="14"/>
        <v>5</v>
      </c>
      <c r="DH152" s="16">
        <f t="shared" si="15"/>
        <v>17</v>
      </c>
      <c r="DI152" s="17">
        <f t="shared" si="16"/>
        <v>3.4</v>
      </c>
      <c r="DJ152" s="119" t="s">
        <v>659</v>
      </c>
      <c r="DK152" s="44" t="s">
        <v>659</v>
      </c>
    </row>
    <row r="153" spans="1:117">
      <c r="A153" s="32" t="str">
        <f t="shared" si="17"/>
        <v>Powercor--SERVER</v>
      </c>
      <c r="B153" s="32" t="str">
        <f t="shared" si="18"/>
        <v>Powercor</v>
      </c>
      <c r="C153" s="416"/>
      <c r="D153" s="14"/>
      <c r="E153" s="15" t="s">
        <v>565</v>
      </c>
      <c r="F153" s="18">
        <v>5</v>
      </c>
      <c r="G153" s="18">
        <v>2.2000000000000002</v>
      </c>
      <c r="H153" s="20">
        <v>9</v>
      </c>
      <c r="I153" s="20">
        <v>15</v>
      </c>
      <c r="J153" s="20">
        <v>1</v>
      </c>
      <c r="K153" s="20">
        <v>5</v>
      </c>
      <c r="L153" s="20">
        <v>6</v>
      </c>
      <c r="M153" s="20">
        <v>0</v>
      </c>
      <c r="N153" s="20">
        <v>0</v>
      </c>
      <c r="O153" s="20">
        <v>1</v>
      </c>
      <c r="P153" s="20">
        <v>0</v>
      </c>
      <c r="Q153" s="20">
        <v>1</v>
      </c>
      <c r="R153" s="20">
        <v>0</v>
      </c>
      <c r="S153" s="20">
        <v>0</v>
      </c>
      <c r="T153" s="20">
        <v>0</v>
      </c>
      <c r="U153" s="20">
        <v>0</v>
      </c>
      <c r="V153" s="20">
        <v>0</v>
      </c>
      <c r="W153" s="20">
        <v>0</v>
      </c>
      <c r="X153" s="20">
        <v>0</v>
      </c>
      <c r="Y153" s="20">
        <v>0</v>
      </c>
      <c r="Z153" s="20">
        <v>0</v>
      </c>
      <c r="AA153" s="20">
        <v>0</v>
      </c>
      <c r="AB153" s="20">
        <v>0</v>
      </c>
      <c r="AC153" s="20">
        <v>0</v>
      </c>
      <c r="AD153" s="20">
        <v>0</v>
      </c>
      <c r="AE153" s="20">
        <v>0</v>
      </c>
      <c r="AF153" s="20">
        <v>0</v>
      </c>
      <c r="AG153" s="20">
        <v>0</v>
      </c>
      <c r="AH153" s="20">
        <v>0</v>
      </c>
      <c r="AI153" s="20">
        <v>0</v>
      </c>
      <c r="AJ153" s="20">
        <v>0</v>
      </c>
      <c r="AK153" s="20">
        <v>0</v>
      </c>
      <c r="AL153" s="20">
        <v>0</v>
      </c>
      <c r="AM153" s="20">
        <v>0</v>
      </c>
      <c r="AN153" s="20">
        <v>0</v>
      </c>
      <c r="AO153" s="20">
        <v>0</v>
      </c>
      <c r="AP153" s="20">
        <v>0</v>
      </c>
      <c r="AQ153" s="20">
        <v>0</v>
      </c>
      <c r="AR153" s="20">
        <v>0</v>
      </c>
      <c r="AS153" s="20">
        <v>0</v>
      </c>
      <c r="AT153" s="20">
        <v>0</v>
      </c>
      <c r="AU153" s="20">
        <v>0</v>
      </c>
      <c r="AV153" s="20">
        <v>0</v>
      </c>
      <c r="AW153" s="20">
        <v>0</v>
      </c>
      <c r="AX153" s="20">
        <v>0</v>
      </c>
      <c r="AY153" s="20">
        <v>0</v>
      </c>
      <c r="AZ153" s="20">
        <v>0</v>
      </c>
      <c r="BA153" s="20">
        <v>0</v>
      </c>
      <c r="BB153" s="20">
        <v>0</v>
      </c>
      <c r="BC153" s="20">
        <v>0</v>
      </c>
      <c r="BD153" s="20">
        <v>0</v>
      </c>
      <c r="BE153" s="20">
        <v>0</v>
      </c>
      <c r="BF153" s="20">
        <v>0</v>
      </c>
      <c r="BG153" s="20">
        <v>0</v>
      </c>
      <c r="BH153" s="20">
        <v>0</v>
      </c>
      <c r="BI153" s="20">
        <v>0</v>
      </c>
      <c r="BJ153" s="20">
        <v>0</v>
      </c>
      <c r="BK153" s="20">
        <v>0</v>
      </c>
      <c r="BL153" s="20">
        <v>0</v>
      </c>
      <c r="BM153" s="20">
        <v>0</v>
      </c>
      <c r="BN153" s="20">
        <v>0</v>
      </c>
      <c r="BO153" s="20">
        <v>0</v>
      </c>
      <c r="BP153" s="20">
        <v>0</v>
      </c>
      <c r="BQ153" s="20">
        <v>0</v>
      </c>
      <c r="BR153" s="20">
        <v>0</v>
      </c>
      <c r="BS153" s="20">
        <v>0</v>
      </c>
      <c r="BT153" s="20">
        <v>0</v>
      </c>
      <c r="BU153" s="20">
        <v>0</v>
      </c>
      <c r="BV153" s="20">
        <v>0</v>
      </c>
      <c r="BW153" s="20">
        <v>0</v>
      </c>
      <c r="BX153" s="20">
        <v>0</v>
      </c>
      <c r="BY153" s="20">
        <v>0</v>
      </c>
      <c r="BZ153" s="20">
        <v>0</v>
      </c>
      <c r="CA153" s="20">
        <v>0</v>
      </c>
      <c r="CB153" s="20">
        <v>0</v>
      </c>
      <c r="CC153" s="20">
        <v>0</v>
      </c>
      <c r="CD153" s="20">
        <v>0</v>
      </c>
      <c r="CE153" s="20">
        <v>0</v>
      </c>
      <c r="CF153" s="20">
        <v>0</v>
      </c>
      <c r="CG153" s="20">
        <v>0</v>
      </c>
      <c r="CH153" s="20">
        <v>0</v>
      </c>
      <c r="CI153" s="20">
        <v>0</v>
      </c>
      <c r="CJ153" s="20">
        <v>0</v>
      </c>
      <c r="CK153" s="20">
        <v>0</v>
      </c>
      <c r="CL153" s="20">
        <v>0</v>
      </c>
      <c r="CM153" s="20">
        <v>0</v>
      </c>
      <c r="CN153" s="20">
        <v>0</v>
      </c>
      <c r="CO153" s="20">
        <v>0</v>
      </c>
      <c r="CP153" s="20">
        <v>0</v>
      </c>
      <c r="CQ153" s="20">
        <v>0</v>
      </c>
      <c r="CR153" s="20">
        <v>0</v>
      </c>
      <c r="CS153" s="20">
        <v>0</v>
      </c>
      <c r="CT153" s="20">
        <v>0</v>
      </c>
      <c r="CU153" s="20">
        <v>0</v>
      </c>
      <c r="CV153" s="20">
        <v>0</v>
      </c>
      <c r="CW153" s="20">
        <v>0</v>
      </c>
      <c r="CX153" s="20">
        <v>0</v>
      </c>
      <c r="CY153" s="20">
        <v>0</v>
      </c>
      <c r="CZ153" s="20">
        <v>0</v>
      </c>
      <c r="DA153" s="20">
        <v>0</v>
      </c>
      <c r="DB153" s="20">
        <v>0</v>
      </c>
      <c r="DC153" s="20">
        <v>0</v>
      </c>
      <c r="DD153" s="20">
        <v>0</v>
      </c>
      <c r="DE153" s="20">
        <v>0</v>
      </c>
      <c r="DF153" s="20">
        <v>0</v>
      </c>
      <c r="DG153" s="16">
        <f t="shared" si="14"/>
        <v>38</v>
      </c>
      <c r="DH153" s="16">
        <f t="shared" si="15"/>
        <v>110</v>
      </c>
      <c r="DI153" s="17">
        <f t="shared" si="16"/>
        <v>2.8947368421052633</v>
      </c>
      <c r="DJ153" s="119" t="s">
        <v>659</v>
      </c>
      <c r="DK153" s="44" t="s">
        <v>659</v>
      </c>
    </row>
    <row r="154" spans="1:117">
      <c r="A154" s="32" t="str">
        <f t="shared" si="17"/>
        <v>Powercor--SWITCH</v>
      </c>
      <c r="B154" s="32" t="str">
        <f t="shared" si="18"/>
        <v>Powercor</v>
      </c>
      <c r="C154" s="416"/>
      <c r="D154" s="14"/>
      <c r="E154" s="15" t="s">
        <v>566</v>
      </c>
      <c r="F154" s="18">
        <v>5</v>
      </c>
      <c r="G154" s="18">
        <v>2.2000000000000002</v>
      </c>
      <c r="H154" s="20">
        <v>0</v>
      </c>
      <c r="I154" s="20">
        <v>7</v>
      </c>
      <c r="J154" s="20">
        <v>0</v>
      </c>
      <c r="K154" s="20">
        <v>0</v>
      </c>
      <c r="L154" s="20">
        <v>1</v>
      </c>
      <c r="M154" s="20">
        <v>0</v>
      </c>
      <c r="N154" s="20">
        <v>0</v>
      </c>
      <c r="O154" s="20">
        <v>0</v>
      </c>
      <c r="P154" s="20">
        <v>0</v>
      </c>
      <c r="Q154" s="20">
        <v>0</v>
      </c>
      <c r="R154" s="20">
        <v>0</v>
      </c>
      <c r="S154" s="20">
        <v>0</v>
      </c>
      <c r="T154" s="20">
        <v>0</v>
      </c>
      <c r="U154" s="20">
        <v>0</v>
      </c>
      <c r="V154" s="20">
        <v>0</v>
      </c>
      <c r="W154" s="20">
        <v>0</v>
      </c>
      <c r="X154" s="20">
        <v>0</v>
      </c>
      <c r="Y154" s="20">
        <v>0</v>
      </c>
      <c r="Z154" s="20">
        <v>0</v>
      </c>
      <c r="AA154" s="20">
        <v>0</v>
      </c>
      <c r="AB154" s="20">
        <v>0</v>
      </c>
      <c r="AC154" s="20">
        <v>0</v>
      </c>
      <c r="AD154" s="20">
        <v>0</v>
      </c>
      <c r="AE154" s="20">
        <v>0</v>
      </c>
      <c r="AF154" s="20">
        <v>0</v>
      </c>
      <c r="AG154" s="20">
        <v>0</v>
      </c>
      <c r="AH154" s="20">
        <v>0</v>
      </c>
      <c r="AI154" s="20">
        <v>0</v>
      </c>
      <c r="AJ154" s="20">
        <v>0</v>
      </c>
      <c r="AK154" s="20">
        <v>0</v>
      </c>
      <c r="AL154" s="20">
        <v>0</v>
      </c>
      <c r="AM154" s="20">
        <v>0</v>
      </c>
      <c r="AN154" s="20">
        <v>0</v>
      </c>
      <c r="AO154" s="20">
        <v>0</v>
      </c>
      <c r="AP154" s="20">
        <v>0</v>
      </c>
      <c r="AQ154" s="20">
        <v>0</v>
      </c>
      <c r="AR154" s="20">
        <v>0</v>
      </c>
      <c r="AS154" s="20">
        <v>0</v>
      </c>
      <c r="AT154" s="20">
        <v>0</v>
      </c>
      <c r="AU154" s="20">
        <v>0</v>
      </c>
      <c r="AV154" s="20">
        <v>0</v>
      </c>
      <c r="AW154" s="20">
        <v>0</v>
      </c>
      <c r="AX154" s="20">
        <v>0</v>
      </c>
      <c r="AY154" s="20">
        <v>0</v>
      </c>
      <c r="AZ154" s="20">
        <v>0</v>
      </c>
      <c r="BA154" s="20">
        <v>0</v>
      </c>
      <c r="BB154" s="20">
        <v>0</v>
      </c>
      <c r="BC154" s="20">
        <v>0</v>
      </c>
      <c r="BD154" s="20">
        <v>0</v>
      </c>
      <c r="BE154" s="20">
        <v>0</v>
      </c>
      <c r="BF154" s="20">
        <v>0</v>
      </c>
      <c r="BG154" s="20">
        <v>0</v>
      </c>
      <c r="BH154" s="20">
        <v>0</v>
      </c>
      <c r="BI154" s="20">
        <v>0</v>
      </c>
      <c r="BJ154" s="20">
        <v>0</v>
      </c>
      <c r="BK154" s="20">
        <v>0</v>
      </c>
      <c r="BL154" s="20">
        <v>0</v>
      </c>
      <c r="BM154" s="20">
        <v>0</v>
      </c>
      <c r="BN154" s="20">
        <v>0</v>
      </c>
      <c r="BO154" s="20">
        <v>0</v>
      </c>
      <c r="BP154" s="20">
        <v>0</v>
      </c>
      <c r="BQ154" s="20">
        <v>0</v>
      </c>
      <c r="BR154" s="20">
        <v>0</v>
      </c>
      <c r="BS154" s="20">
        <v>0</v>
      </c>
      <c r="BT154" s="20">
        <v>0</v>
      </c>
      <c r="BU154" s="20">
        <v>0</v>
      </c>
      <c r="BV154" s="20">
        <v>0</v>
      </c>
      <c r="BW154" s="20">
        <v>0</v>
      </c>
      <c r="BX154" s="20">
        <v>0</v>
      </c>
      <c r="BY154" s="20">
        <v>0</v>
      </c>
      <c r="BZ154" s="20">
        <v>0</v>
      </c>
      <c r="CA154" s="20">
        <v>0</v>
      </c>
      <c r="CB154" s="20">
        <v>0</v>
      </c>
      <c r="CC154" s="20">
        <v>0</v>
      </c>
      <c r="CD154" s="20">
        <v>0</v>
      </c>
      <c r="CE154" s="20">
        <v>0</v>
      </c>
      <c r="CF154" s="20">
        <v>0</v>
      </c>
      <c r="CG154" s="20">
        <v>0</v>
      </c>
      <c r="CH154" s="20">
        <v>0</v>
      </c>
      <c r="CI154" s="20">
        <v>0</v>
      </c>
      <c r="CJ154" s="20">
        <v>0</v>
      </c>
      <c r="CK154" s="20">
        <v>0</v>
      </c>
      <c r="CL154" s="20">
        <v>0</v>
      </c>
      <c r="CM154" s="20">
        <v>0</v>
      </c>
      <c r="CN154" s="20">
        <v>0</v>
      </c>
      <c r="CO154" s="20">
        <v>0</v>
      </c>
      <c r="CP154" s="20">
        <v>0</v>
      </c>
      <c r="CQ154" s="20">
        <v>0</v>
      </c>
      <c r="CR154" s="20">
        <v>0</v>
      </c>
      <c r="CS154" s="20">
        <v>0</v>
      </c>
      <c r="CT154" s="20">
        <v>0</v>
      </c>
      <c r="CU154" s="20">
        <v>0</v>
      </c>
      <c r="CV154" s="20">
        <v>0</v>
      </c>
      <c r="CW154" s="20">
        <v>0</v>
      </c>
      <c r="CX154" s="20">
        <v>0</v>
      </c>
      <c r="CY154" s="20">
        <v>0</v>
      </c>
      <c r="CZ154" s="20">
        <v>0</v>
      </c>
      <c r="DA154" s="20">
        <v>0</v>
      </c>
      <c r="DB154" s="20">
        <v>0</v>
      </c>
      <c r="DC154" s="20">
        <v>0</v>
      </c>
      <c r="DD154" s="20">
        <v>0</v>
      </c>
      <c r="DE154" s="20">
        <v>0</v>
      </c>
      <c r="DF154" s="20">
        <v>0</v>
      </c>
      <c r="DG154" s="16">
        <f t="shared" si="14"/>
        <v>8</v>
      </c>
      <c r="DH154" s="16">
        <f t="shared" si="15"/>
        <v>19</v>
      </c>
      <c r="DI154" s="17">
        <f t="shared" si="16"/>
        <v>2.375</v>
      </c>
      <c r="DJ154" s="119" t="s">
        <v>659</v>
      </c>
      <c r="DK154" s="44" t="s">
        <v>659</v>
      </c>
    </row>
    <row r="155" spans="1:117">
      <c r="A155" s="32" t="str">
        <f t="shared" si="17"/>
        <v>Powercor--AUTOMATION REPLACEMENT EXPENDITURE</v>
      </c>
      <c r="B155" s="32" t="str">
        <f t="shared" si="18"/>
        <v>Powercor</v>
      </c>
      <c r="C155" s="416"/>
      <c r="D155" s="14"/>
      <c r="E155" s="15" t="s">
        <v>276</v>
      </c>
      <c r="F155" s="18">
        <v>0</v>
      </c>
      <c r="G155" s="18">
        <v>0</v>
      </c>
      <c r="H155" s="20">
        <v>0</v>
      </c>
      <c r="I155" s="20">
        <v>0</v>
      </c>
      <c r="J155" s="20">
        <v>0</v>
      </c>
      <c r="K155" s="20">
        <v>0</v>
      </c>
      <c r="L155" s="20">
        <v>0</v>
      </c>
      <c r="M155" s="20">
        <v>0</v>
      </c>
      <c r="N155" s="20">
        <v>0</v>
      </c>
      <c r="O155" s="20">
        <v>0</v>
      </c>
      <c r="P155" s="20">
        <v>0</v>
      </c>
      <c r="Q155" s="20">
        <v>0</v>
      </c>
      <c r="R155" s="20">
        <v>0</v>
      </c>
      <c r="S155" s="20">
        <v>0</v>
      </c>
      <c r="T155" s="20">
        <v>0</v>
      </c>
      <c r="U155" s="20">
        <v>0</v>
      </c>
      <c r="V155" s="20">
        <v>0</v>
      </c>
      <c r="W155" s="20">
        <v>0</v>
      </c>
      <c r="X155" s="20">
        <v>0</v>
      </c>
      <c r="Y155" s="20">
        <v>0</v>
      </c>
      <c r="Z155" s="20">
        <v>0</v>
      </c>
      <c r="AA155" s="20">
        <v>0</v>
      </c>
      <c r="AB155" s="20">
        <v>0</v>
      </c>
      <c r="AC155" s="20">
        <v>0</v>
      </c>
      <c r="AD155" s="20">
        <v>0</v>
      </c>
      <c r="AE155" s="20">
        <v>0</v>
      </c>
      <c r="AF155" s="20">
        <v>0</v>
      </c>
      <c r="AG155" s="20">
        <v>0</v>
      </c>
      <c r="AH155" s="20">
        <v>0</v>
      </c>
      <c r="AI155" s="20">
        <v>0</v>
      </c>
      <c r="AJ155" s="20">
        <v>0</v>
      </c>
      <c r="AK155" s="20">
        <v>0</v>
      </c>
      <c r="AL155" s="20">
        <v>0</v>
      </c>
      <c r="AM155" s="20">
        <v>0</v>
      </c>
      <c r="AN155" s="20">
        <v>0</v>
      </c>
      <c r="AO155" s="20">
        <v>0</v>
      </c>
      <c r="AP155" s="20">
        <v>0</v>
      </c>
      <c r="AQ155" s="20">
        <v>0</v>
      </c>
      <c r="AR155" s="20">
        <v>0</v>
      </c>
      <c r="AS155" s="20">
        <v>0</v>
      </c>
      <c r="AT155" s="20">
        <v>0</v>
      </c>
      <c r="AU155" s="20">
        <v>0</v>
      </c>
      <c r="AV155" s="20">
        <v>0</v>
      </c>
      <c r="AW155" s="20">
        <v>0</v>
      </c>
      <c r="AX155" s="20">
        <v>0</v>
      </c>
      <c r="AY155" s="20">
        <v>0</v>
      </c>
      <c r="AZ155" s="20">
        <v>0</v>
      </c>
      <c r="BA155" s="20">
        <v>0</v>
      </c>
      <c r="BB155" s="20">
        <v>0</v>
      </c>
      <c r="BC155" s="20">
        <v>0</v>
      </c>
      <c r="BD155" s="20">
        <v>0</v>
      </c>
      <c r="BE155" s="20">
        <v>0</v>
      </c>
      <c r="BF155" s="20">
        <v>0</v>
      </c>
      <c r="BG155" s="20">
        <v>0</v>
      </c>
      <c r="BH155" s="20">
        <v>0</v>
      </c>
      <c r="BI155" s="20">
        <v>0</v>
      </c>
      <c r="BJ155" s="20">
        <v>0</v>
      </c>
      <c r="BK155" s="20">
        <v>0</v>
      </c>
      <c r="BL155" s="20">
        <v>0</v>
      </c>
      <c r="BM155" s="20">
        <v>0</v>
      </c>
      <c r="BN155" s="20">
        <v>0</v>
      </c>
      <c r="BO155" s="20">
        <v>0</v>
      </c>
      <c r="BP155" s="20">
        <v>0</v>
      </c>
      <c r="BQ155" s="20">
        <v>0</v>
      </c>
      <c r="BR155" s="20">
        <v>0</v>
      </c>
      <c r="BS155" s="20">
        <v>0</v>
      </c>
      <c r="BT155" s="20">
        <v>0</v>
      </c>
      <c r="BU155" s="20">
        <v>0</v>
      </c>
      <c r="BV155" s="20">
        <v>0</v>
      </c>
      <c r="BW155" s="20">
        <v>0</v>
      </c>
      <c r="BX155" s="20">
        <v>0</v>
      </c>
      <c r="BY155" s="20">
        <v>0</v>
      </c>
      <c r="BZ155" s="20">
        <v>0</v>
      </c>
      <c r="CA155" s="20">
        <v>0</v>
      </c>
      <c r="CB155" s="20">
        <v>0</v>
      </c>
      <c r="CC155" s="20">
        <v>0</v>
      </c>
      <c r="CD155" s="20">
        <v>0</v>
      </c>
      <c r="CE155" s="20">
        <v>0</v>
      </c>
      <c r="CF155" s="20">
        <v>0</v>
      </c>
      <c r="CG155" s="20">
        <v>0</v>
      </c>
      <c r="CH155" s="20">
        <v>0</v>
      </c>
      <c r="CI155" s="20">
        <v>0</v>
      </c>
      <c r="CJ155" s="20">
        <v>0</v>
      </c>
      <c r="CK155" s="20">
        <v>0</v>
      </c>
      <c r="CL155" s="20">
        <v>0</v>
      </c>
      <c r="CM155" s="20">
        <v>0</v>
      </c>
      <c r="CN155" s="20">
        <v>0</v>
      </c>
      <c r="CO155" s="20">
        <v>0</v>
      </c>
      <c r="CP155" s="20">
        <v>0</v>
      </c>
      <c r="CQ155" s="20">
        <v>0</v>
      </c>
      <c r="CR155" s="20">
        <v>0</v>
      </c>
      <c r="CS155" s="20">
        <v>0</v>
      </c>
      <c r="CT155" s="20">
        <v>0</v>
      </c>
      <c r="CU155" s="20">
        <v>0</v>
      </c>
      <c r="CV155" s="20">
        <v>0</v>
      </c>
      <c r="CW155" s="20">
        <v>0</v>
      </c>
      <c r="CX155" s="20">
        <v>0</v>
      </c>
      <c r="CY155" s="20">
        <v>0</v>
      </c>
      <c r="CZ155" s="20">
        <v>0</v>
      </c>
      <c r="DA155" s="20">
        <v>0</v>
      </c>
      <c r="DB155" s="20">
        <v>0</v>
      </c>
      <c r="DC155" s="20">
        <v>0</v>
      </c>
      <c r="DD155" s="20">
        <v>0</v>
      </c>
      <c r="DE155" s="20">
        <v>0</v>
      </c>
      <c r="DF155" s="20">
        <v>0</v>
      </c>
      <c r="DG155" s="16">
        <f t="shared" si="14"/>
        <v>0</v>
      </c>
      <c r="DH155" s="16">
        <f t="shared" si="15"/>
        <v>0</v>
      </c>
      <c r="DI155" s="17" t="str">
        <f t="shared" si="16"/>
        <v/>
      </c>
      <c r="DJ155" s="119" t="s">
        <v>659</v>
      </c>
      <c r="DK155" s="44" t="s">
        <v>659</v>
      </c>
    </row>
    <row r="156" spans="1:117">
      <c r="A156" s="32" t="str">
        <f t="shared" si="17"/>
        <v>Powercor--OTHER - PLEASE ADD A ROW IF NECESSARY AND NOMINATE THE CATEGORY</v>
      </c>
      <c r="B156" s="32" t="str">
        <f t="shared" si="18"/>
        <v>Powercor</v>
      </c>
      <c r="C156" s="416"/>
      <c r="D156" s="14"/>
      <c r="E156" s="15" t="s">
        <v>170</v>
      </c>
      <c r="F156" s="18"/>
      <c r="G156" s="18"/>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16">
        <f t="shared" si="14"/>
        <v>0</v>
      </c>
      <c r="DH156" s="16">
        <f t="shared" si="15"/>
        <v>0</v>
      </c>
      <c r="DI156" s="17" t="str">
        <f t="shared" si="16"/>
        <v/>
      </c>
      <c r="DJ156" s="119" t="s">
        <v>659</v>
      </c>
      <c r="DK156" s="44" t="s">
        <v>659</v>
      </c>
    </row>
    <row r="157" spans="1:117" ht="60">
      <c r="A157" s="32" t="str">
        <f t="shared" si="17"/>
        <v>AusNet-POLES BY: 
HIGHEST OPERATING VOLTAGE ; MATERIAL TYPE;  STAKING (IF WOOD)-STAKING OF A WOODEN POLE</v>
      </c>
      <c r="B157" s="32" t="str">
        <f t="shared" si="18"/>
        <v>AusNet</v>
      </c>
      <c r="C157" s="425" t="s">
        <v>1674</v>
      </c>
      <c r="D157" s="14" t="s">
        <v>311</v>
      </c>
      <c r="E157" s="15" t="s">
        <v>117</v>
      </c>
      <c r="F157" s="18">
        <v>35</v>
      </c>
      <c r="G157" s="18">
        <v>5</v>
      </c>
      <c r="H157" s="20">
        <v>1379</v>
      </c>
      <c r="I157" s="20">
        <v>778</v>
      </c>
      <c r="J157" s="20">
        <v>443</v>
      </c>
      <c r="K157" s="20">
        <v>599</v>
      </c>
      <c r="L157" s="20">
        <v>569</v>
      </c>
      <c r="M157" s="20">
        <v>814</v>
      </c>
      <c r="N157" s="20">
        <v>469</v>
      </c>
      <c r="O157" s="20">
        <v>336</v>
      </c>
      <c r="P157" s="20">
        <v>514</v>
      </c>
      <c r="Q157" s="20">
        <v>445</v>
      </c>
      <c r="R157" s="20">
        <v>246</v>
      </c>
      <c r="S157" s="20">
        <v>131</v>
      </c>
      <c r="T157" s="20">
        <v>118</v>
      </c>
      <c r="U157" s="20">
        <v>782</v>
      </c>
      <c r="V157" s="20">
        <v>374</v>
      </c>
      <c r="W157" s="20">
        <v>211</v>
      </c>
      <c r="X157" s="20">
        <v>64</v>
      </c>
      <c r="Y157" s="20">
        <v>41</v>
      </c>
      <c r="Z157" s="20">
        <v>70</v>
      </c>
      <c r="AA157" s="20">
        <v>60</v>
      </c>
      <c r="AB157" s="20">
        <v>126</v>
      </c>
      <c r="AC157" s="20">
        <v>172</v>
      </c>
      <c r="AD157" s="20">
        <v>51</v>
      </c>
      <c r="AE157" s="20">
        <v>112</v>
      </c>
      <c r="AF157" s="20">
        <v>127</v>
      </c>
      <c r="AG157" s="20">
        <v>84</v>
      </c>
      <c r="AH157" s="20">
        <v>50</v>
      </c>
      <c r="AI157" s="20">
        <v>73</v>
      </c>
      <c r="AJ157" s="20">
        <v>106</v>
      </c>
      <c r="AK157" s="20">
        <v>61</v>
      </c>
      <c r="AL157" s="20">
        <v>35</v>
      </c>
      <c r="AM157" s="20">
        <v>20</v>
      </c>
      <c r="AN157" s="20">
        <v>51</v>
      </c>
      <c r="AO157" s="20">
        <v>110</v>
      </c>
      <c r="AP157" s="20">
        <v>65</v>
      </c>
      <c r="AQ157" s="20">
        <v>579</v>
      </c>
      <c r="AR157" s="20">
        <v>861</v>
      </c>
      <c r="AS157" s="20">
        <v>667</v>
      </c>
      <c r="AT157" s="20">
        <v>1006</v>
      </c>
      <c r="AU157" s="20">
        <v>738</v>
      </c>
      <c r="AV157" s="20">
        <v>708</v>
      </c>
      <c r="AW157" s="20">
        <v>562</v>
      </c>
      <c r="AX157" s="20">
        <v>1194</v>
      </c>
      <c r="AY157" s="20">
        <v>1476</v>
      </c>
      <c r="AZ157" s="20">
        <v>1422</v>
      </c>
      <c r="BA157" s="20">
        <v>1700</v>
      </c>
      <c r="BB157" s="20">
        <v>1299</v>
      </c>
      <c r="BC157" s="20">
        <v>869</v>
      </c>
      <c r="BD157" s="20">
        <v>986</v>
      </c>
      <c r="BE157" s="20">
        <v>880</v>
      </c>
      <c r="BF157" s="20">
        <v>582</v>
      </c>
      <c r="BG157" s="20">
        <v>704</v>
      </c>
      <c r="BH157" s="20">
        <v>959</v>
      </c>
      <c r="BI157" s="20">
        <v>912</v>
      </c>
      <c r="BJ157" s="20">
        <v>611</v>
      </c>
      <c r="BK157" s="20">
        <v>531</v>
      </c>
      <c r="BL157" s="20">
        <v>733</v>
      </c>
      <c r="BM157" s="20">
        <v>508</v>
      </c>
      <c r="BN157" s="20">
        <v>375</v>
      </c>
      <c r="BO157" s="20">
        <v>293</v>
      </c>
      <c r="BP157" s="20">
        <v>127</v>
      </c>
      <c r="BQ157" s="20">
        <v>146</v>
      </c>
      <c r="BR157" s="20">
        <v>135</v>
      </c>
      <c r="BS157" s="20">
        <v>192</v>
      </c>
      <c r="BT157" s="20">
        <v>121</v>
      </c>
      <c r="BU157" s="20">
        <v>168</v>
      </c>
      <c r="BV157" s="20">
        <v>157</v>
      </c>
      <c r="BW157" s="20">
        <v>230</v>
      </c>
      <c r="BX157" s="20">
        <v>79</v>
      </c>
      <c r="BY157" s="20">
        <v>33</v>
      </c>
      <c r="BZ157" s="20">
        <v>20</v>
      </c>
      <c r="CA157" s="20">
        <v>34</v>
      </c>
      <c r="CB157" s="20">
        <v>71</v>
      </c>
      <c r="CC157" s="20">
        <v>97</v>
      </c>
      <c r="CD157" s="20">
        <v>78</v>
      </c>
      <c r="CE157" s="20">
        <v>152</v>
      </c>
      <c r="CF157" s="20">
        <v>71</v>
      </c>
      <c r="CG157" s="20">
        <v>118</v>
      </c>
      <c r="CH157" s="20">
        <v>44</v>
      </c>
      <c r="CI157" s="20">
        <v>31</v>
      </c>
      <c r="CJ157" s="20">
        <v>23</v>
      </c>
      <c r="CK157" s="20">
        <v>3</v>
      </c>
      <c r="CL157" s="20">
        <v>2</v>
      </c>
      <c r="CM157" s="20">
        <v>7</v>
      </c>
      <c r="CN157" s="20">
        <v>3</v>
      </c>
      <c r="CO157" s="20">
        <v>3</v>
      </c>
      <c r="CP157" s="20">
        <v>1</v>
      </c>
      <c r="CQ157" s="20">
        <v>7</v>
      </c>
      <c r="CR157" s="20">
        <v>0</v>
      </c>
      <c r="CS157" s="20">
        <v>0</v>
      </c>
      <c r="CT157" s="20">
        <v>0</v>
      </c>
      <c r="CU157" s="20">
        <v>0</v>
      </c>
      <c r="CV157" s="20">
        <v>0</v>
      </c>
      <c r="CW157" s="20">
        <v>0</v>
      </c>
      <c r="CX157" s="20">
        <v>0</v>
      </c>
      <c r="CY157" s="20">
        <v>0</v>
      </c>
      <c r="CZ157" s="20">
        <v>0</v>
      </c>
      <c r="DA157" s="20">
        <v>0</v>
      </c>
      <c r="DB157" s="20">
        <v>0</v>
      </c>
      <c r="DC157" s="20">
        <v>0</v>
      </c>
      <c r="DD157" s="20">
        <v>0</v>
      </c>
      <c r="DE157" s="20">
        <v>0</v>
      </c>
      <c r="DF157" s="20">
        <v>2</v>
      </c>
      <c r="DG157" s="16">
        <f t="shared" si="14"/>
        <v>32996</v>
      </c>
      <c r="DH157" s="16">
        <f t="shared" si="15"/>
        <v>1235561</v>
      </c>
      <c r="DI157" s="17">
        <f t="shared" si="16"/>
        <v>37.445781306825069</v>
      </c>
      <c r="DJ157" s="119" t="s">
        <v>1</v>
      </c>
      <c r="DK157" t="s">
        <v>1</v>
      </c>
      <c r="DL157" s="44" t="s">
        <v>117</v>
      </c>
      <c r="DM157" s="44"/>
    </row>
    <row r="158" spans="1:117">
      <c r="A158" s="32" t="str">
        <f t="shared" si="17"/>
        <v>AusNet--˂ = 1 kV; WOOD</v>
      </c>
      <c r="B158" s="32" t="str">
        <f t="shared" si="18"/>
        <v>AusNet</v>
      </c>
      <c r="C158" s="426"/>
      <c r="D158" s="14"/>
      <c r="E158" s="15" t="s">
        <v>119</v>
      </c>
      <c r="F158" s="18">
        <v>45</v>
      </c>
      <c r="G158" s="18">
        <v>8</v>
      </c>
      <c r="H158" s="20">
        <v>222</v>
      </c>
      <c r="I158" s="20">
        <v>205</v>
      </c>
      <c r="J158" s="20">
        <v>105</v>
      </c>
      <c r="K158" s="20">
        <v>120</v>
      </c>
      <c r="L158" s="20">
        <v>145</v>
      </c>
      <c r="M158" s="20">
        <v>262</v>
      </c>
      <c r="N158" s="20">
        <v>283</v>
      </c>
      <c r="O158" s="20">
        <v>251</v>
      </c>
      <c r="P158" s="20">
        <v>295</v>
      </c>
      <c r="Q158" s="20">
        <v>229</v>
      </c>
      <c r="R158" s="20">
        <v>139</v>
      </c>
      <c r="S158" s="20">
        <v>128</v>
      </c>
      <c r="T158" s="20">
        <v>105</v>
      </c>
      <c r="U158" s="20">
        <v>1029</v>
      </c>
      <c r="V158" s="20">
        <v>248</v>
      </c>
      <c r="W158" s="20">
        <v>175</v>
      </c>
      <c r="X158" s="20">
        <v>203</v>
      </c>
      <c r="Y158" s="20">
        <v>104</v>
      </c>
      <c r="Z158" s="20">
        <v>67</v>
      </c>
      <c r="AA158" s="20">
        <v>34</v>
      </c>
      <c r="AB158" s="20">
        <v>65</v>
      </c>
      <c r="AC158" s="20">
        <v>41</v>
      </c>
      <c r="AD158" s="20">
        <v>76</v>
      </c>
      <c r="AE158" s="20">
        <v>445</v>
      </c>
      <c r="AF158" s="20">
        <v>622</v>
      </c>
      <c r="AG158" s="20">
        <v>615</v>
      </c>
      <c r="AH158" s="20">
        <v>521</v>
      </c>
      <c r="AI158" s="20">
        <v>1440</v>
      </c>
      <c r="AJ158" s="20">
        <v>1156</v>
      </c>
      <c r="AK158" s="20">
        <v>1306</v>
      </c>
      <c r="AL158" s="20">
        <v>1090</v>
      </c>
      <c r="AM158" s="20">
        <v>822</v>
      </c>
      <c r="AN158" s="20">
        <v>1253</v>
      </c>
      <c r="AO158" s="20">
        <v>2139</v>
      </c>
      <c r="AP158" s="20">
        <v>1155</v>
      </c>
      <c r="AQ158" s="20">
        <v>1329</v>
      </c>
      <c r="AR158" s="20">
        <v>1043</v>
      </c>
      <c r="AS158" s="20">
        <v>1681</v>
      </c>
      <c r="AT158" s="20">
        <v>1711</v>
      </c>
      <c r="AU158" s="20">
        <v>1439</v>
      </c>
      <c r="AV158" s="20">
        <v>1794</v>
      </c>
      <c r="AW158" s="20">
        <v>1768</v>
      </c>
      <c r="AX158" s="20">
        <v>1284</v>
      </c>
      <c r="AY158" s="20">
        <v>1844</v>
      </c>
      <c r="AZ158" s="20">
        <v>2093</v>
      </c>
      <c r="BA158" s="20">
        <v>2167</v>
      </c>
      <c r="BB158" s="20">
        <v>1898</v>
      </c>
      <c r="BC158" s="20">
        <v>1021</v>
      </c>
      <c r="BD158" s="20">
        <v>1579</v>
      </c>
      <c r="BE158" s="20">
        <v>1175</v>
      </c>
      <c r="BF158" s="20">
        <v>825</v>
      </c>
      <c r="BG158" s="20">
        <v>963</v>
      </c>
      <c r="BH158" s="20">
        <v>892</v>
      </c>
      <c r="BI158" s="20">
        <v>952</v>
      </c>
      <c r="BJ158" s="20">
        <v>818</v>
      </c>
      <c r="BK158" s="20">
        <v>543</v>
      </c>
      <c r="BL158" s="20">
        <v>848</v>
      </c>
      <c r="BM158" s="20">
        <v>247</v>
      </c>
      <c r="BN158" s="20">
        <v>177</v>
      </c>
      <c r="BO158" s="20">
        <v>175</v>
      </c>
      <c r="BP158" s="20">
        <v>122</v>
      </c>
      <c r="BQ158" s="20">
        <v>241</v>
      </c>
      <c r="BR158" s="20">
        <v>141</v>
      </c>
      <c r="BS158" s="20">
        <v>227</v>
      </c>
      <c r="BT158" s="20">
        <v>114</v>
      </c>
      <c r="BU158" s="20">
        <v>84</v>
      </c>
      <c r="BV158" s="20">
        <v>140</v>
      </c>
      <c r="BW158" s="20">
        <v>90</v>
      </c>
      <c r="BX158" s="20">
        <v>43</v>
      </c>
      <c r="BY158" s="20">
        <v>14</v>
      </c>
      <c r="BZ158" s="20">
        <v>30</v>
      </c>
      <c r="CA158" s="20">
        <v>76</v>
      </c>
      <c r="CB158" s="20">
        <v>202</v>
      </c>
      <c r="CC158" s="20">
        <v>211</v>
      </c>
      <c r="CD158" s="20">
        <v>276</v>
      </c>
      <c r="CE158" s="20">
        <v>509</v>
      </c>
      <c r="CF158" s="20">
        <v>276</v>
      </c>
      <c r="CG158" s="20">
        <v>281</v>
      </c>
      <c r="CH158" s="20">
        <v>193</v>
      </c>
      <c r="CI158" s="20">
        <v>201</v>
      </c>
      <c r="CJ158" s="20">
        <v>123</v>
      </c>
      <c r="CK158" s="20">
        <v>23</v>
      </c>
      <c r="CL158" s="20">
        <v>10</v>
      </c>
      <c r="CM158" s="20">
        <v>24</v>
      </c>
      <c r="CN158" s="20">
        <v>9</v>
      </c>
      <c r="CO158" s="20">
        <v>26</v>
      </c>
      <c r="CP158" s="20">
        <v>0</v>
      </c>
      <c r="CQ158" s="20">
        <v>41</v>
      </c>
      <c r="CR158" s="20">
        <v>0</v>
      </c>
      <c r="CS158" s="20">
        <v>0</v>
      </c>
      <c r="CT158" s="20">
        <v>0</v>
      </c>
      <c r="CU158" s="20">
        <v>0</v>
      </c>
      <c r="CV158" s="20">
        <v>0</v>
      </c>
      <c r="CW158" s="20">
        <v>1</v>
      </c>
      <c r="CX158" s="20">
        <v>0</v>
      </c>
      <c r="CY158" s="20">
        <v>0</v>
      </c>
      <c r="CZ158" s="20">
        <v>0</v>
      </c>
      <c r="DA158" s="20">
        <v>0</v>
      </c>
      <c r="DB158" s="20">
        <v>0</v>
      </c>
      <c r="DC158" s="20">
        <v>0</v>
      </c>
      <c r="DD158" s="20">
        <v>0</v>
      </c>
      <c r="DE158" s="20">
        <v>0</v>
      </c>
      <c r="DF158" s="20">
        <v>1</v>
      </c>
      <c r="DG158" s="16">
        <f t="shared" si="14"/>
        <v>51090</v>
      </c>
      <c r="DH158" s="16">
        <f t="shared" si="15"/>
        <v>2081550</v>
      </c>
      <c r="DI158" s="17">
        <f t="shared" si="16"/>
        <v>40.742806811509105</v>
      </c>
      <c r="DJ158" s="119" t="s">
        <v>1</v>
      </c>
      <c r="DK158" s="44" t="s">
        <v>1</v>
      </c>
      <c r="DL158" s="44" t="s">
        <v>1328</v>
      </c>
      <c r="DM158" s="44"/>
    </row>
    <row r="159" spans="1:117">
      <c r="A159" s="32" t="str">
        <f t="shared" si="17"/>
        <v>AusNet--&gt; 1 kV &amp; &lt; = 11 kV; WOOD</v>
      </c>
      <c r="B159" s="32" t="str">
        <f t="shared" si="18"/>
        <v>AusNet</v>
      </c>
      <c r="C159" s="426"/>
      <c r="D159" s="14"/>
      <c r="E159" s="15" t="s">
        <v>121</v>
      </c>
      <c r="F159" s="18">
        <v>45</v>
      </c>
      <c r="G159" s="18">
        <v>8</v>
      </c>
      <c r="H159" s="20">
        <v>8</v>
      </c>
      <c r="I159" s="20">
        <v>8</v>
      </c>
      <c r="J159" s="20">
        <v>13</v>
      </c>
      <c r="K159" s="20"/>
      <c r="L159" s="20">
        <v>3</v>
      </c>
      <c r="M159" s="20">
        <v>6</v>
      </c>
      <c r="N159" s="20">
        <v>5</v>
      </c>
      <c r="O159" s="20">
        <v>0</v>
      </c>
      <c r="P159" s="20">
        <v>3</v>
      </c>
      <c r="Q159" s="20">
        <v>3</v>
      </c>
      <c r="R159" s="20">
        <v>3</v>
      </c>
      <c r="S159" s="20">
        <v>2</v>
      </c>
      <c r="T159" s="20">
        <v>1</v>
      </c>
      <c r="U159" s="20">
        <v>6</v>
      </c>
      <c r="V159" s="20">
        <v>4</v>
      </c>
      <c r="W159" s="20">
        <v>5</v>
      </c>
      <c r="X159" s="20">
        <v>9</v>
      </c>
      <c r="Y159" s="20">
        <v>15</v>
      </c>
      <c r="Z159" s="20">
        <v>8</v>
      </c>
      <c r="AA159" s="20">
        <v>2</v>
      </c>
      <c r="AB159" s="20">
        <v>3</v>
      </c>
      <c r="AC159" s="20"/>
      <c r="AD159" s="20">
        <v>5</v>
      </c>
      <c r="AE159" s="20">
        <v>8</v>
      </c>
      <c r="AF159" s="20">
        <v>20</v>
      </c>
      <c r="AG159" s="20">
        <v>34</v>
      </c>
      <c r="AH159" s="20">
        <v>16</v>
      </c>
      <c r="AI159" s="20">
        <v>47</v>
      </c>
      <c r="AJ159" s="20">
        <v>22</v>
      </c>
      <c r="AK159" s="20">
        <v>29</v>
      </c>
      <c r="AL159" s="20">
        <v>41</v>
      </c>
      <c r="AM159" s="20">
        <v>35</v>
      </c>
      <c r="AN159" s="20">
        <v>29</v>
      </c>
      <c r="AO159" s="20">
        <v>19</v>
      </c>
      <c r="AP159" s="20">
        <v>5</v>
      </c>
      <c r="AQ159" s="20">
        <v>19</v>
      </c>
      <c r="AR159" s="20">
        <v>46</v>
      </c>
      <c r="AS159" s="20">
        <v>81</v>
      </c>
      <c r="AT159" s="20">
        <v>60</v>
      </c>
      <c r="AU159" s="20">
        <v>49</v>
      </c>
      <c r="AV159" s="20">
        <v>10</v>
      </c>
      <c r="AW159" s="20">
        <v>6</v>
      </c>
      <c r="AX159" s="20">
        <v>10</v>
      </c>
      <c r="AY159" s="20">
        <v>24</v>
      </c>
      <c r="AZ159" s="20">
        <v>11</v>
      </c>
      <c r="BA159" s="20">
        <v>12</v>
      </c>
      <c r="BB159" s="20">
        <v>27</v>
      </c>
      <c r="BC159" s="20">
        <v>9</v>
      </c>
      <c r="BD159" s="20">
        <v>23</v>
      </c>
      <c r="BE159" s="20">
        <v>16</v>
      </c>
      <c r="BF159" s="20">
        <v>16</v>
      </c>
      <c r="BG159" s="20">
        <v>14</v>
      </c>
      <c r="BH159" s="20">
        <v>15</v>
      </c>
      <c r="BI159" s="20">
        <v>37</v>
      </c>
      <c r="BJ159" s="20">
        <v>12</v>
      </c>
      <c r="BK159" s="20">
        <v>19</v>
      </c>
      <c r="BL159" s="20">
        <v>8</v>
      </c>
      <c r="BM159" s="20">
        <v>8</v>
      </c>
      <c r="BN159" s="20">
        <v>0</v>
      </c>
      <c r="BO159" s="20">
        <v>6</v>
      </c>
      <c r="BP159" s="20">
        <v>1</v>
      </c>
      <c r="BQ159" s="20">
        <v>1</v>
      </c>
      <c r="BR159" s="20">
        <v>2</v>
      </c>
      <c r="BS159" s="20">
        <v>1</v>
      </c>
      <c r="BT159" s="20">
        <v>16</v>
      </c>
      <c r="BU159" s="20">
        <v>2</v>
      </c>
      <c r="BV159" s="20">
        <v>3</v>
      </c>
      <c r="BW159" s="20">
        <v>0</v>
      </c>
      <c r="BX159" s="20">
        <v>1</v>
      </c>
      <c r="BY159" s="20">
        <v>0</v>
      </c>
      <c r="BZ159" s="20">
        <v>6</v>
      </c>
      <c r="CA159" s="20">
        <v>2</v>
      </c>
      <c r="CB159" s="20">
        <v>17</v>
      </c>
      <c r="CC159" s="20">
        <v>15</v>
      </c>
      <c r="CD159" s="20">
        <v>35</v>
      </c>
      <c r="CE159" s="20">
        <v>43</v>
      </c>
      <c r="CF159" s="20">
        <v>8</v>
      </c>
      <c r="CG159" s="20">
        <v>6</v>
      </c>
      <c r="CH159" s="20">
        <v>12</v>
      </c>
      <c r="CI159" s="20">
        <v>17</v>
      </c>
      <c r="CJ159" s="20">
        <v>3</v>
      </c>
      <c r="CK159" s="20">
        <v>1</v>
      </c>
      <c r="CL159" s="20">
        <v>0</v>
      </c>
      <c r="CM159" s="20">
        <v>1</v>
      </c>
      <c r="CN159" s="20">
        <v>0</v>
      </c>
      <c r="CO159" s="20">
        <v>0</v>
      </c>
      <c r="CP159" s="20">
        <v>0</v>
      </c>
      <c r="CQ159" s="20">
        <v>0</v>
      </c>
      <c r="CR159" s="20">
        <v>0</v>
      </c>
      <c r="CS159" s="20">
        <v>0</v>
      </c>
      <c r="CT159" s="20">
        <v>0</v>
      </c>
      <c r="CU159" s="20">
        <v>0</v>
      </c>
      <c r="CV159" s="20">
        <v>0</v>
      </c>
      <c r="CW159" s="20">
        <v>0</v>
      </c>
      <c r="CX159" s="20">
        <v>0</v>
      </c>
      <c r="CY159" s="20">
        <v>0</v>
      </c>
      <c r="CZ159" s="20">
        <v>0</v>
      </c>
      <c r="DA159" s="20">
        <v>0</v>
      </c>
      <c r="DB159" s="20">
        <v>0</v>
      </c>
      <c r="DC159" s="20">
        <v>0</v>
      </c>
      <c r="DD159" s="20">
        <v>0</v>
      </c>
      <c r="DE159" s="20">
        <v>0</v>
      </c>
      <c r="DF159" s="20">
        <v>0</v>
      </c>
      <c r="DG159" s="16">
        <f t="shared" si="14"/>
        <v>1148</v>
      </c>
      <c r="DH159" s="16">
        <f t="shared" si="15"/>
        <v>48592</v>
      </c>
      <c r="DI159" s="17">
        <f t="shared" si="16"/>
        <v>42.327526132404181</v>
      </c>
      <c r="DJ159" s="119" t="s">
        <v>1</v>
      </c>
      <c r="DK159" s="44" t="s">
        <v>1</v>
      </c>
      <c r="DL159" s="44" t="s">
        <v>1328</v>
      </c>
      <c r="DM159" s="44"/>
    </row>
    <row r="160" spans="1:117">
      <c r="A160" s="32" t="str">
        <f t="shared" si="17"/>
        <v>AusNet--˃ 11 kV &amp; &lt; = 22 kV; WOOD</v>
      </c>
      <c r="B160" s="32" t="str">
        <f t="shared" si="18"/>
        <v>AusNet</v>
      </c>
      <c r="C160" s="426"/>
      <c r="D160" s="14"/>
      <c r="E160" s="15" t="s">
        <v>123</v>
      </c>
      <c r="F160" s="18">
        <v>45</v>
      </c>
      <c r="G160" s="18">
        <v>8</v>
      </c>
      <c r="H160" s="20">
        <v>518</v>
      </c>
      <c r="I160" s="20">
        <v>325</v>
      </c>
      <c r="J160" s="20">
        <v>358</v>
      </c>
      <c r="K160" s="20">
        <v>380</v>
      </c>
      <c r="L160" s="20">
        <v>731</v>
      </c>
      <c r="M160" s="20">
        <v>1420</v>
      </c>
      <c r="N160" s="20">
        <v>1612</v>
      </c>
      <c r="O160" s="20">
        <v>1301</v>
      </c>
      <c r="P160" s="20">
        <v>1254</v>
      </c>
      <c r="Q160" s="20">
        <v>1014</v>
      </c>
      <c r="R160" s="20">
        <v>716</v>
      </c>
      <c r="S160" s="20">
        <v>484</v>
      </c>
      <c r="T160" s="20">
        <v>473</v>
      </c>
      <c r="U160" s="20">
        <v>1940</v>
      </c>
      <c r="V160" s="20">
        <v>701</v>
      </c>
      <c r="W160" s="20">
        <v>549</v>
      </c>
      <c r="X160" s="20">
        <v>553</v>
      </c>
      <c r="Y160" s="20">
        <v>275</v>
      </c>
      <c r="Z160" s="20">
        <v>212</v>
      </c>
      <c r="AA160" s="20">
        <v>227</v>
      </c>
      <c r="AB160" s="20">
        <v>581</v>
      </c>
      <c r="AC160" s="20">
        <v>276</v>
      </c>
      <c r="AD160" s="20">
        <v>762</v>
      </c>
      <c r="AE160" s="20">
        <v>1795</v>
      </c>
      <c r="AF160" s="20">
        <v>1391</v>
      </c>
      <c r="AG160" s="20">
        <v>1858</v>
      </c>
      <c r="AH160" s="20">
        <v>1305</v>
      </c>
      <c r="AI160" s="20">
        <v>3797</v>
      </c>
      <c r="AJ160" s="20">
        <v>2830</v>
      </c>
      <c r="AK160" s="20">
        <v>3303</v>
      </c>
      <c r="AL160" s="20">
        <v>2976</v>
      </c>
      <c r="AM160" s="20">
        <v>2467</v>
      </c>
      <c r="AN160" s="20">
        <v>3995</v>
      </c>
      <c r="AO160" s="20">
        <v>4311</v>
      </c>
      <c r="AP160" s="20">
        <v>2009</v>
      </c>
      <c r="AQ160" s="20">
        <v>3333</v>
      </c>
      <c r="AR160" s="20">
        <v>4084</v>
      </c>
      <c r="AS160" s="20">
        <v>4114</v>
      </c>
      <c r="AT160" s="20">
        <v>2955</v>
      </c>
      <c r="AU160" s="20">
        <v>2370</v>
      </c>
      <c r="AV160" s="20">
        <v>2024</v>
      </c>
      <c r="AW160" s="20">
        <v>2632</v>
      </c>
      <c r="AX160" s="20">
        <v>2650</v>
      </c>
      <c r="AY160" s="20">
        <v>2618</v>
      </c>
      <c r="AZ160" s="20">
        <v>3719</v>
      </c>
      <c r="BA160" s="20">
        <v>3013</v>
      </c>
      <c r="BB160" s="20">
        <v>2798</v>
      </c>
      <c r="BC160" s="20">
        <v>2978</v>
      </c>
      <c r="BD160" s="20">
        <v>3102</v>
      </c>
      <c r="BE160" s="20">
        <v>2559</v>
      </c>
      <c r="BF160" s="20">
        <v>1614</v>
      </c>
      <c r="BG160" s="20">
        <v>1441</v>
      </c>
      <c r="BH160" s="20">
        <v>1752</v>
      </c>
      <c r="BI160" s="20">
        <v>1188</v>
      </c>
      <c r="BJ160" s="20">
        <v>954</v>
      </c>
      <c r="BK160" s="20">
        <v>640</v>
      </c>
      <c r="BL160" s="20">
        <v>1281</v>
      </c>
      <c r="BM160" s="20">
        <v>643</v>
      </c>
      <c r="BN160" s="20">
        <v>456</v>
      </c>
      <c r="BO160" s="20">
        <v>574</v>
      </c>
      <c r="BP160" s="20">
        <v>610</v>
      </c>
      <c r="BQ160" s="20">
        <v>309</v>
      </c>
      <c r="BR160" s="20">
        <v>182</v>
      </c>
      <c r="BS160" s="20">
        <v>344</v>
      </c>
      <c r="BT160" s="20">
        <v>169</v>
      </c>
      <c r="BU160" s="20">
        <v>303</v>
      </c>
      <c r="BV160" s="20">
        <v>98</v>
      </c>
      <c r="BW160" s="20">
        <v>144</v>
      </c>
      <c r="BX160" s="20">
        <v>50</v>
      </c>
      <c r="BY160" s="20">
        <v>42</v>
      </c>
      <c r="BZ160" s="20">
        <v>48</v>
      </c>
      <c r="CA160" s="20">
        <v>130</v>
      </c>
      <c r="CB160" s="20">
        <v>197</v>
      </c>
      <c r="CC160" s="20">
        <v>587</v>
      </c>
      <c r="CD160" s="20">
        <v>503</v>
      </c>
      <c r="CE160" s="20">
        <v>556</v>
      </c>
      <c r="CF160" s="20">
        <v>527</v>
      </c>
      <c r="CG160" s="20">
        <v>565</v>
      </c>
      <c r="CH160" s="20">
        <v>409</v>
      </c>
      <c r="CI160" s="20">
        <v>333</v>
      </c>
      <c r="CJ160" s="20">
        <v>286</v>
      </c>
      <c r="CK160" s="20">
        <v>11</v>
      </c>
      <c r="CL160" s="20">
        <v>4</v>
      </c>
      <c r="CM160" s="20">
        <v>16</v>
      </c>
      <c r="CN160" s="20">
        <v>6</v>
      </c>
      <c r="CO160" s="20">
        <v>68</v>
      </c>
      <c r="CP160" s="20">
        <v>1</v>
      </c>
      <c r="CQ160" s="20">
        <v>10</v>
      </c>
      <c r="CR160" s="20">
        <v>0</v>
      </c>
      <c r="CS160" s="20">
        <v>0</v>
      </c>
      <c r="CT160" s="20">
        <v>1</v>
      </c>
      <c r="CU160" s="20">
        <v>0</v>
      </c>
      <c r="CV160" s="20">
        <v>0</v>
      </c>
      <c r="CW160" s="20">
        <v>2</v>
      </c>
      <c r="CX160" s="20">
        <v>0</v>
      </c>
      <c r="CY160" s="20">
        <v>0</v>
      </c>
      <c r="CZ160" s="20">
        <v>0</v>
      </c>
      <c r="DA160" s="20">
        <v>0</v>
      </c>
      <c r="DB160" s="20">
        <v>0</v>
      </c>
      <c r="DC160" s="20">
        <v>0</v>
      </c>
      <c r="DD160" s="20">
        <v>0</v>
      </c>
      <c r="DE160" s="20">
        <v>0</v>
      </c>
      <c r="DF160" s="20">
        <v>11</v>
      </c>
      <c r="DG160" s="16">
        <f t="shared" si="14"/>
        <v>110713</v>
      </c>
      <c r="DH160" s="16">
        <f t="shared" si="15"/>
        <v>4119806</v>
      </c>
      <c r="DI160" s="17">
        <f t="shared" si="16"/>
        <v>37.211583102255382</v>
      </c>
      <c r="DJ160" s="119" t="s">
        <v>1</v>
      </c>
      <c r="DK160" s="44" t="s">
        <v>1</v>
      </c>
      <c r="DL160" s="44" t="s">
        <v>1328</v>
      </c>
      <c r="DM160" s="44"/>
    </row>
    <row r="161" spans="1:117">
      <c r="A161" s="32" t="str">
        <f t="shared" si="17"/>
        <v>AusNet--&gt; 22 kV &amp; &lt; = 66 kV; WOOD</v>
      </c>
      <c r="B161" s="32" t="str">
        <f t="shared" si="18"/>
        <v>AusNet</v>
      </c>
      <c r="C161" s="426"/>
      <c r="D161" s="14"/>
      <c r="E161" s="15" t="s">
        <v>125</v>
      </c>
      <c r="F161" s="18">
        <v>45</v>
      </c>
      <c r="G161" s="18">
        <v>8</v>
      </c>
      <c r="H161" s="20">
        <v>57</v>
      </c>
      <c r="I161" s="20">
        <v>64</v>
      </c>
      <c r="J161" s="20">
        <v>41</v>
      </c>
      <c r="K161" s="20">
        <v>45</v>
      </c>
      <c r="L161" s="20">
        <v>76</v>
      </c>
      <c r="M161" s="20">
        <v>102</v>
      </c>
      <c r="N161" s="20">
        <v>182</v>
      </c>
      <c r="O161" s="20">
        <v>136</v>
      </c>
      <c r="P161" s="20">
        <v>157</v>
      </c>
      <c r="Q161" s="20">
        <v>54</v>
      </c>
      <c r="R161" s="20">
        <v>54</v>
      </c>
      <c r="S161" s="20">
        <v>86</v>
      </c>
      <c r="T161" s="20">
        <v>53</v>
      </c>
      <c r="U161" s="20">
        <v>180</v>
      </c>
      <c r="V161" s="20">
        <v>60</v>
      </c>
      <c r="W161" s="20">
        <v>29</v>
      </c>
      <c r="X161" s="20">
        <v>24</v>
      </c>
      <c r="Y161" s="20">
        <v>11</v>
      </c>
      <c r="Z161" s="20">
        <v>9</v>
      </c>
      <c r="AA161" s="20">
        <v>23</v>
      </c>
      <c r="AB161" s="20">
        <v>30</v>
      </c>
      <c r="AC161" s="20">
        <v>7</v>
      </c>
      <c r="AD161" s="20">
        <v>30</v>
      </c>
      <c r="AE161" s="20">
        <v>130</v>
      </c>
      <c r="AF161" s="20">
        <v>65</v>
      </c>
      <c r="AG161" s="20">
        <v>60</v>
      </c>
      <c r="AH161" s="20">
        <v>46</v>
      </c>
      <c r="AI161" s="20">
        <v>127</v>
      </c>
      <c r="AJ161" s="20">
        <v>87</v>
      </c>
      <c r="AK161" s="20">
        <v>124</v>
      </c>
      <c r="AL161" s="20">
        <v>223</v>
      </c>
      <c r="AM161" s="20">
        <v>145</v>
      </c>
      <c r="AN161" s="20">
        <v>911</v>
      </c>
      <c r="AO161" s="20">
        <v>288</v>
      </c>
      <c r="AP161" s="20">
        <v>290</v>
      </c>
      <c r="AQ161" s="20">
        <v>220</v>
      </c>
      <c r="AR161" s="20">
        <v>933</v>
      </c>
      <c r="AS161" s="20">
        <v>1459</v>
      </c>
      <c r="AT161" s="20">
        <v>240</v>
      </c>
      <c r="AU161" s="20">
        <v>235</v>
      </c>
      <c r="AV161" s="20">
        <v>260</v>
      </c>
      <c r="AW161" s="20">
        <v>282</v>
      </c>
      <c r="AX161" s="20">
        <v>129</v>
      </c>
      <c r="AY161" s="20">
        <v>162</v>
      </c>
      <c r="AZ161" s="20">
        <v>242</v>
      </c>
      <c r="BA161" s="20">
        <v>150</v>
      </c>
      <c r="BB161" s="20">
        <v>383</v>
      </c>
      <c r="BC161" s="20">
        <v>270</v>
      </c>
      <c r="BD161" s="20">
        <v>233</v>
      </c>
      <c r="BE161" s="20">
        <v>71</v>
      </c>
      <c r="BF161" s="20">
        <v>124</v>
      </c>
      <c r="BG161" s="20">
        <v>45</v>
      </c>
      <c r="BH161" s="20">
        <v>87</v>
      </c>
      <c r="BI161" s="20">
        <v>54</v>
      </c>
      <c r="BJ161" s="20">
        <v>35</v>
      </c>
      <c r="BK161" s="20">
        <v>39</v>
      </c>
      <c r="BL161" s="20">
        <v>72</v>
      </c>
      <c r="BM161" s="20">
        <v>69</v>
      </c>
      <c r="BN161" s="20">
        <v>176</v>
      </c>
      <c r="BO161" s="20">
        <v>8</v>
      </c>
      <c r="BP161" s="20">
        <v>15</v>
      </c>
      <c r="BQ161" s="20">
        <v>6</v>
      </c>
      <c r="BR161" s="20">
        <v>7</v>
      </c>
      <c r="BS161" s="20">
        <v>10</v>
      </c>
      <c r="BT161" s="20">
        <v>18</v>
      </c>
      <c r="BU161" s="20">
        <v>11</v>
      </c>
      <c r="BV161" s="20">
        <v>3</v>
      </c>
      <c r="BW161" s="20">
        <v>5</v>
      </c>
      <c r="BX161" s="20">
        <v>4</v>
      </c>
      <c r="BY161" s="20">
        <v>1</v>
      </c>
      <c r="BZ161" s="20">
        <v>139</v>
      </c>
      <c r="CA161" s="20">
        <v>14</v>
      </c>
      <c r="CB161" s="20">
        <v>32</v>
      </c>
      <c r="CC161" s="20">
        <v>67</v>
      </c>
      <c r="CD161" s="20">
        <v>108</v>
      </c>
      <c r="CE161" s="20">
        <v>112</v>
      </c>
      <c r="CF161" s="20">
        <v>29</v>
      </c>
      <c r="CG161" s="20">
        <v>10</v>
      </c>
      <c r="CH161" s="20">
        <v>5</v>
      </c>
      <c r="CI161" s="20">
        <v>3</v>
      </c>
      <c r="CJ161" s="20">
        <v>3</v>
      </c>
      <c r="CK161" s="20">
        <v>1</v>
      </c>
      <c r="CL161" s="20">
        <v>0</v>
      </c>
      <c r="CM161" s="20">
        <v>0</v>
      </c>
      <c r="CN161" s="20">
        <v>0</v>
      </c>
      <c r="CO161" s="20">
        <v>0</v>
      </c>
      <c r="CP161" s="20">
        <v>0</v>
      </c>
      <c r="CQ161" s="20">
        <v>0</v>
      </c>
      <c r="CR161" s="20">
        <v>0</v>
      </c>
      <c r="CS161" s="20">
        <v>0</v>
      </c>
      <c r="CT161" s="20">
        <v>0</v>
      </c>
      <c r="CU161" s="20">
        <v>0</v>
      </c>
      <c r="CV161" s="20">
        <v>0</v>
      </c>
      <c r="CW161" s="20">
        <v>0</v>
      </c>
      <c r="CX161" s="20">
        <v>0</v>
      </c>
      <c r="CY161" s="20">
        <v>0</v>
      </c>
      <c r="CZ161" s="20">
        <v>0</v>
      </c>
      <c r="DA161" s="20">
        <v>0</v>
      </c>
      <c r="DB161" s="20">
        <v>0</v>
      </c>
      <c r="DC161" s="20">
        <v>0</v>
      </c>
      <c r="DD161" s="20">
        <v>0</v>
      </c>
      <c r="DE161" s="20">
        <v>0</v>
      </c>
      <c r="DF161" s="20">
        <v>1</v>
      </c>
      <c r="DG161" s="16">
        <f t="shared" si="14"/>
        <v>10588</v>
      </c>
      <c r="DH161" s="16">
        <f t="shared" si="15"/>
        <v>392429</v>
      </c>
      <c r="DI161" s="17">
        <f t="shared" si="16"/>
        <v>37.063562523611637</v>
      </c>
      <c r="DJ161" s="119" t="s">
        <v>1</v>
      </c>
      <c r="DK161" s="44" t="s">
        <v>1</v>
      </c>
      <c r="DL161" s="44" t="s">
        <v>1328</v>
      </c>
      <c r="DM161" s="44"/>
    </row>
    <row r="162" spans="1:117">
      <c r="A162" s="32" t="str">
        <f t="shared" si="17"/>
        <v>AusNet--&gt; 66 kV &amp; &lt; = 132 kV; WOOD</v>
      </c>
      <c r="B162" s="32" t="str">
        <f t="shared" si="18"/>
        <v>AusNet</v>
      </c>
      <c r="C162" s="426"/>
      <c r="D162" s="14"/>
      <c r="E162" s="15" t="s">
        <v>127</v>
      </c>
      <c r="F162" s="18">
        <v>0</v>
      </c>
      <c r="G162" s="18">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0">
        <v>0</v>
      </c>
      <c r="AY162" s="20">
        <v>0</v>
      </c>
      <c r="AZ162" s="20">
        <v>0</v>
      </c>
      <c r="BA162" s="20">
        <v>0</v>
      </c>
      <c r="BB162" s="20">
        <v>0</v>
      </c>
      <c r="BC162" s="20">
        <v>0</v>
      </c>
      <c r="BD162" s="20">
        <v>0</v>
      </c>
      <c r="BE162" s="20">
        <v>0</v>
      </c>
      <c r="BF162" s="20">
        <v>0</v>
      </c>
      <c r="BG162" s="20">
        <v>0</v>
      </c>
      <c r="BH162" s="20">
        <v>0</v>
      </c>
      <c r="BI162" s="20">
        <v>0</v>
      </c>
      <c r="BJ162" s="20">
        <v>0</v>
      </c>
      <c r="BK162" s="20">
        <v>0</v>
      </c>
      <c r="BL162" s="20">
        <v>0</v>
      </c>
      <c r="BM162" s="20">
        <v>0</v>
      </c>
      <c r="BN162" s="20">
        <v>0</v>
      </c>
      <c r="BO162" s="20">
        <v>0</v>
      </c>
      <c r="BP162" s="20">
        <v>0</v>
      </c>
      <c r="BQ162" s="20">
        <v>0</v>
      </c>
      <c r="BR162" s="20">
        <v>0</v>
      </c>
      <c r="BS162" s="20">
        <v>0</v>
      </c>
      <c r="BT162" s="20">
        <v>0</v>
      </c>
      <c r="BU162" s="20">
        <v>0</v>
      </c>
      <c r="BV162" s="20">
        <v>0</v>
      </c>
      <c r="BW162" s="20">
        <v>0</v>
      </c>
      <c r="BX162" s="20">
        <v>0</v>
      </c>
      <c r="BY162" s="20">
        <v>0</v>
      </c>
      <c r="BZ162" s="20">
        <v>0</v>
      </c>
      <c r="CA162" s="20">
        <v>0</v>
      </c>
      <c r="CB162" s="20">
        <v>0</v>
      </c>
      <c r="CC162" s="20">
        <v>0</v>
      </c>
      <c r="CD162" s="20">
        <v>0</v>
      </c>
      <c r="CE162" s="20">
        <v>0</v>
      </c>
      <c r="CF162" s="20">
        <v>0</v>
      </c>
      <c r="CG162" s="20">
        <v>0</v>
      </c>
      <c r="CH162" s="20">
        <v>0</v>
      </c>
      <c r="CI162" s="20">
        <v>0</v>
      </c>
      <c r="CJ162" s="20">
        <v>0</v>
      </c>
      <c r="CK162" s="20">
        <v>0</v>
      </c>
      <c r="CL162" s="20">
        <v>0</v>
      </c>
      <c r="CM162" s="20">
        <v>0</v>
      </c>
      <c r="CN162" s="20">
        <v>0</v>
      </c>
      <c r="CO162" s="20">
        <v>0</v>
      </c>
      <c r="CP162" s="20">
        <v>0</v>
      </c>
      <c r="CQ162" s="20">
        <v>0</v>
      </c>
      <c r="CR162" s="20">
        <v>0</v>
      </c>
      <c r="CS162" s="20">
        <v>0</v>
      </c>
      <c r="CT162" s="20">
        <v>0</v>
      </c>
      <c r="CU162" s="20">
        <v>0</v>
      </c>
      <c r="CV162" s="20">
        <v>0</v>
      </c>
      <c r="CW162" s="20">
        <v>0</v>
      </c>
      <c r="CX162" s="20">
        <v>0</v>
      </c>
      <c r="CY162" s="20">
        <v>0</v>
      </c>
      <c r="CZ162" s="20">
        <v>0</v>
      </c>
      <c r="DA162" s="20">
        <v>0</v>
      </c>
      <c r="DB162" s="20">
        <v>0</v>
      </c>
      <c r="DC162" s="20">
        <v>0</v>
      </c>
      <c r="DD162" s="20">
        <v>0</v>
      </c>
      <c r="DE162" s="20">
        <v>0</v>
      </c>
      <c r="DF162" s="20">
        <v>0</v>
      </c>
      <c r="DG162" s="16">
        <f t="shared" si="14"/>
        <v>0</v>
      </c>
      <c r="DH162" s="16">
        <f t="shared" si="15"/>
        <v>0</v>
      </c>
      <c r="DI162" s="17" t="str">
        <f t="shared" si="16"/>
        <v/>
      </c>
      <c r="DJ162" s="119" t="s">
        <v>1</v>
      </c>
      <c r="DK162" s="44" t="s">
        <v>1</v>
      </c>
      <c r="DL162" s="44" t="s">
        <v>1328</v>
      </c>
      <c r="DM162" s="44"/>
    </row>
    <row r="163" spans="1:117">
      <c r="A163" s="32" t="str">
        <f t="shared" si="17"/>
        <v>AusNet--&gt; 132 kV; WOOD</v>
      </c>
      <c r="B163" s="32" t="str">
        <f t="shared" si="18"/>
        <v>AusNet</v>
      </c>
      <c r="C163" s="426"/>
      <c r="D163" s="14"/>
      <c r="E163" s="15" t="s">
        <v>129</v>
      </c>
      <c r="F163" s="18">
        <v>0</v>
      </c>
      <c r="G163" s="18">
        <v>0</v>
      </c>
      <c r="H163" s="20">
        <v>0</v>
      </c>
      <c r="I163" s="20">
        <v>0</v>
      </c>
      <c r="J163" s="20">
        <v>0</v>
      </c>
      <c r="K163" s="20">
        <v>0</v>
      </c>
      <c r="L163" s="20">
        <v>0</v>
      </c>
      <c r="M163" s="20">
        <v>0</v>
      </c>
      <c r="N163" s="20">
        <v>0</v>
      </c>
      <c r="O163" s="20">
        <v>0</v>
      </c>
      <c r="P163" s="20">
        <v>0</v>
      </c>
      <c r="Q163" s="20">
        <v>0</v>
      </c>
      <c r="R163" s="20">
        <v>0</v>
      </c>
      <c r="S163" s="20">
        <v>0</v>
      </c>
      <c r="T163" s="20">
        <v>0</v>
      </c>
      <c r="U163" s="20">
        <v>0</v>
      </c>
      <c r="V163" s="20">
        <v>0</v>
      </c>
      <c r="W163" s="20">
        <v>0</v>
      </c>
      <c r="X163" s="20">
        <v>0</v>
      </c>
      <c r="Y163" s="20">
        <v>0</v>
      </c>
      <c r="Z163" s="20">
        <v>0</v>
      </c>
      <c r="AA163" s="20">
        <v>0</v>
      </c>
      <c r="AB163" s="20">
        <v>0</v>
      </c>
      <c r="AC163" s="20">
        <v>0</v>
      </c>
      <c r="AD163" s="20">
        <v>0</v>
      </c>
      <c r="AE163" s="20">
        <v>0</v>
      </c>
      <c r="AF163" s="20">
        <v>0</v>
      </c>
      <c r="AG163" s="20">
        <v>0</v>
      </c>
      <c r="AH163" s="20">
        <v>0</v>
      </c>
      <c r="AI163" s="20">
        <v>0</v>
      </c>
      <c r="AJ163" s="20">
        <v>0</v>
      </c>
      <c r="AK163" s="20">
        <v>0</v>
      </c>
      <c r="AL163" s="20">
        <v>0</v>
      </c>
      <c r="AM163" s="20">
        <v>0</v>
      </c>
      <c r="AN163" s="20">
        <v>0</v>
      </c>
      <c r="AO163" s="20">
        <v>0</v>
      </c>
      <c r="AP163" s="20">
        <v>0</v>
      </c>
      <c r="AQ163" s="20">
        <v>0</v>
      </c>
      <c r="AR163" s="20">
        <v>0</v>
      </c>
      <c r="AS163" s="20">
        <v>0</v>
      </c>
      <c r="AT163" s="20">
        <v>0</v>
      </c>
      <c r="AU163" s="20">
        <v>0</v>
      </c>
      <c r="AV163" s="20">
        <v>0</v>
      </c>
      <c r="AW163" s="20">
        <v>0</v>
      </c>
      <c r="AX163" s="20">
        <v>0</v>
      </c>
      <c r="AY163" s="20">
        <v>0</v>
      </c>
      <c r="AZ163" s="20">
        <v>0</v>
      </c>
      <c r="BA163" s="20">
        <v>0</v>
      </c>
      <c r="BB163" s="20">
        <v>0</v>
      </c>
      <c r="BC163" s="20">
        <v>0</v>
      </c>
      <c r="BD163" s="20">
        <v>0</v>
      </c>
      <c r="BE163" s="20">
        <v>0</v>
      </c>
      <c r="BF163" s="20">
        <v>0</v>
      </c>
      <c r="BG163" s="20">
        <v>0</v>
      </c>
      <c r="BH163" s="20">
        <v>0</v>
      </c>
      <c r="BI163" s="20">
        <v>0</v>
      </c>
      <c r="BJ163" s="20">
        <v>0</v>
      </c>
      <c r="BK163" s="20">
        <v>0</v>
      </c>
      <c r="BL163" s="20">
        <v>0</v>
      </c>
      <c r="BM163" s="20">
        <v>0</v>
      </c>
      <c r="BN163" s="20">
        <v>0</v>
      </c>
      <c r="BO163" s="20">
        <v>0</v>
      </c>
      <c r="BP163" s="20">
        <v>0</v>
      </c>
      <c r="BQ163" s="20">
        <v>0</v>
      </c>
      <c r="BR163" s="20">
        <v>0</v>
      </c>
      <c r="BS163" s="20">
        <v>0</v>
      </c>
      <c r="BT163" s="20">
        <v>0</v>
      </c>
      <c r="BU163" s="20">
        <v>0</v>
      </c>
      <c r="BV163" s="20">
        <v>0</v>
      </c>
      <c r="BW163" s="20">
        <v>0</v>
      </c>
      <c r="BX163" s="20">
        <v>0</v>
      </c>
      <c r="BY163" s="20">
        <v>0</v>
      </c>
      <c r="BZ163" s="20">
        <v>0</v>
      </c>
      <c r="CA163" s="20">
        <v>0</v>
      </c>
      <c r="CB163" s="20">
        <v>0</v>
      </c>
      <c r="CC163" s="20">
        <v>0</v>
      </c>
      <c r="CD163" s="20">
        <v>0</v>
      </c>
      <c r="CE163" s="20">
        <v>0</v>
      </c>
      <c r="CF163" s="20">
        <v>0</v>
      </c>
      <c r="CG163" s="20">
        <v>0</v>
      </c>
      <c r="CH163" s="20">
        <v>0</v>
      </c>
      <c r="CI163" s="20">
        <v>0</v>
      </c>
      <c r="CJ163" s="20">
        <v>0</v>
      </c>
      <c r="CK163" s="20">
        <v>0</v>
      </c>
      <c r="CL163" s="20">
        <v>0</v>
      </c>
      <c r="CM163" s="20">
        <v>0</v>
      </c>
      <c r="CN163" s="20">
        <v>0</v>
      </c>
      <c r="CO163" s="20">
        <v>0</v>
      </c>
      <c r="CP163" s="20">
        <v>0</v>
      </c>
      <c r="CQ163" s="20">
        <v>0</v>
      </c>
      <c r="CR163" s="20">
        <v>0</v>
      </c>
      <c r="CS163" s="20">
        <v>0</v>
      </c>
      <c r="CT163" s="20">
        <v>0</v>
      </c>
      <c r="CU163" s="20">
        <v>0</v>
      </c>
      <c r="CV163" s="20">
        <v>0</v>
      </c>
      <c r="CW163" s="20">
        <v>0</v>
      </c>
      <c r="CX163" s="20">
        <v>0</v>
      </c>
      <c r="CY163" s="20">
        <v>0</v>
      </c>
      <c r="CZ163" s="20">
        <v>0</v>
      </c>
      <c r="DA163" s="20">
        <v>0</v>
      </c>
      <c r="DB163" s="20">
        <v>0</v>
      </c>
      <c r="DC163" s="20">
        <v>0</v>
      </c>
      <c r="DD163" s="20">
        <v>0</v>
      </c>
      <c r="DE163" s="20">
        <v>0</v>
      </c>
      <c r="DF163" s="20">
        <v>0</v>
      </c>
      <c r="DG163" s="16">
        <f t="shared" si="14"/>
        <v>0</v>
      </c>
      <c r="DH163" s="16">
        <f t="shared" si="15"/>
        <v>0</v>
      </c>
      <c r="DI163" s="17" t="str">
        <f t="shared" si="16"/>
        <v/>
      </c>
      <c r="DJ163" s="119" t="s">
        <v>1</v>
      </c>
      <c r="DK163" s="44" t="s">
        <v>1</v>
      </c>
      <c r="DL163" s="44" t="s">
        <v>1328</v>
      </c>
      <c r="DM163" s="44"/>
    </row>
    <row r="164" spans="1:117">
      <c r="A164" s="32" t="str">
        <f t="shared" si="17"/>
        <v>AusNet--˂ = 1 kV; CONCRETE</v>
      </c>
      <c r="B164" s="32" t="str">
        <f t="shared" si="18"/>
        <v>AusNet</v>
      </c>
      <c r="C164" s="426"/>
      <c r="D164" s="14"/>
      <c r="E164" s="15" t="s">
        <v>131</v>
      </c>
      <c r="F164" s="18">
        <v>60</v>
      </c>
      <c r="G164" s="18">
        <v>10</v>
      </c>
      <c r="H164" s="20">
        <v>436</v>
      </c>
      <c r="I164" s="20">
        <v>350</v>
      </c>
      <c r="J164" s="20">
        <v>139</v>
      </c>
      <c r="K164" s="20">
        <v>116</v>
      </c>
      <c r="L164" s="20">
        <v>161</v>
      </c>
      <c r="M164" s="20">
        <v>125</v>
      </c>
      <c r="N164" s="20">
        <v>55</v>
      </c>
      <c r="O164" s="20">
        <v>51</v>
      </c>
      <c r="P164" s="20">
        <v>45</v>
      </c>
      <c r="Q164" s="20">
        <v>42</v>
      </c>
      <c r="R164" s="20">
        <v>38</v>
      </c>
      <c r="S164" s="20">
        <v>25</v>
      </c>
      <c r="T164" s="20">
        <v>21</v>
      </c>
      <c r="U164" s="20">
        <v>175</v>
      </c>
      <c r="V164" s="20">
        <v>110</v>
      </c>
      <c r="W164" s="20">
        <v>86</v>
      </c>
      <c r="X164" s="20">
        <v>127</v>
      </c>
      <c r="Y164" s="20">
        <v>153</v>
      </c>
      <c r="Z164" s="20">
        <v>587</v>
      </c>
      <c r="AA164" s="20">
        <v>673</v>
      </c>
      <c r="AB164" s="20">
        <v>1208</v>
      </c>
      <c r="AC164" s="20">
        <v>1588</v>
      </c>
      <c r="AD164" s="20">
        <v>1171</v>
      </c>
      <c r="AE164" s="20">
        <v>1118</v>
      </c>
      <c r="AF164" s="20">
        <v>1816</v>
      </c>
      <c r="AG164" s="20">
        <v>1603</v>
      </c>
      <c r="AH164" s="20">
        <v>1111</v>
      </c>
      <c r="AI164" s="20">
        <v>1205</v>
      </c>
      <c r="AJ164" s="20">
        <v>1614</v>
      </c>
      <c r="AK164" s="20">
        <v>1309</v>
      </c>
      <c r="AL164" s="20">
        <v>532</v>
      </c>
      <c r="AM164" s="20">
        <v>198</v>
      </c>
      <c r="AN164" s="20">
        <v>1181</v>
      </c>
      <c r="AO164" s="20">
        <v>769</v>
      </c>
      <c r="AP164" s="20">
        <v>15</v>
      </c>
      <c r="AQ164" s="20">
        <v>786</v>
      </c>
      <c r="AR164" s="20">
        <v>707</v>
      </c>
      <c r="AS164" s="20">
        <v>523</v>
      </c>
      <c r="AT164" s="20">
        <v>176</v>
      </c>
      <c r="AU164" s="20">
        <v>3</v>
      </c>
      <c r="AV164" s="20">
        <v>76</v>
      </c>
      <c r="AW164" s="20">
        <v>85</v>
      </c>
      <c r="AX164" s="20">
        <v>0</v>
      </c>
      <c r="AY164" s="20">
        <v>42</v>
      </c>
      <c r="AZ164" s="20">
        <v>2</v>
      </c>
      <c r="BA164" s="20">
        <v>3</v>
      </c>
      <c r="BB164" s="20">
        <v>2</v>
      </c>
      <c r="BC164" s="20">
        <v>5</v>
      </c>
      <c r="BD164" s="20">
        <v>5</v>
      </c>
      <c r="BE164" s="20">
        <v>2</v>
      </c>
      <c r="BF164" s="20">
        <v>2</v>
      </c>
      <c r="BG164" s="20">
        <v>5</v>
      </c>
      <c r="BH164" s="20">
        <v>2</v>
      </c>
      <c r="BI164" s="20">
        <v>2</v>
      </c>
      <c r="BJ164" s="20">
        <v>1</v>
      </c>
      <c r="BK164" s="20">
        <v>2</v>
      </c>
      <c r="BL164" s="20">
        <v>1</v>
      </c>
      <c r="BM164" s="20">
        <v>1</v>
      </c>
      <c r="BN164" s="20">
        <v>1</v>
      </c>
      <c r="BO164" s="20">
        <v>0</v>
      </c>
      <c r="BP164" s="20">
        <v>1</v>
      </c>
      <c r="BQ164" s="20">
        <v>0</v>
      </c>
      <c r="BR164" s="20">
        <v>1</v>
      </c>
      <c r="BS164" s="20">
        <v>0</v>
      </c>
      <c r="BT164" s="20">
        <v>1</v>
      </c>
      <c r="BU164" s="20">
        <v>0</v>
      </c>
      <c r="BV164" s="20">
        <v>1</v>
      </c>
      <c r="BW164" s="20">
        <v>0</v>
      </c>
      <c r="BX164" s="20">
        <v>0</v>
      </c>
      <c r="BY164" s="20">
        <v>0</v>
      </c>
      <c r="BZ164" s="20">
        <v>0</v>
      </c>
      <c r="CA164" s="20">
        <v>1</v>
      </c>
      <c r="CB164" s="20">
        <v>0</v>
      </c>
      <c r="CC164" s="20">
        <v>0</v>
      </c>
      <c r="CD164" s="20">
        <v>0</v>
      </c>
      <c r="CE164" s="20">
        <v>2</v>
      </c>
      <c r="CF164" s="20">
        <v>1</v>
      </c>
      <c r="CG164" s="20">
        <v>1</v>
      </c>
      <c r="CH164" s="20">
        <v>1</v>
      </c>
      <c r="CI164" s="20">
        <v>0</v>
      </c>
      <c r="CJ164" s="20">
        <v>0</v>
      </c>
      <c r="CK164" s="20">
        <v>0</v>
      </c>
      <c r="CL164" s="20">
        <v>0</v>
      </c>
      <c r="CM164" s="20">
        <v>0</v>
      </c>
      <c r="CN164" s="20">
        <v>0</v>
      </c>
      <c r="CO164" s="20">
        <v>1</v>
      </c>
      <c r="CP164" s="20">
        <v>0</v>
      </c>
      <c r="CQ164" s="20">
        <v>0</v>
      </c>
      <c r="CR164" s="20">
        <v>0</v>
      </c>
      <c r="CS164" s="20">
        <v>0</v>
      </c>
      <c r="CT164" s="20">
        <v>0</v>
      </c>
      <c r="CU164" s="20">
        <v>0</v>
      </c>
      <c r="CV164" s="20">
        <v>0</v>
      </c>
      <c r="CW164" s="20">
        <v>0</v>
      </c>
      <c r="CX164" s="20">
        <v>0</v>
      </c>
      <c r="CY164" s="20">
        <v>0</v>
      </c>
      <c r="CZ164" s="20">
        <v>0</v>
      </c>
      <c r="DA164" s="20">
        <v>0</v>
      </c>
      <c r="DB164" s="20">
        <v>0</v>
      </c>
      <c r="DC164" s="20">
        <v>0</v>
      </c>
      <c r="DD164" s="20">
        <v>0</v>
      </c>
      <c r="DE164" s="20">
        <v>0</v>
      </c>
      <c r="DF164" s="20">
        <v>0</v>
      </c>
      <c r="DG164" s="16">
        <f t="shared" si="14"/>
        <v>22398</v>
      </c>
      <c r="DH164" s="16">
        <f t="shared" si="15"/>
        <v>573086</v>
      </c>
      <c r="DI164" s="17">
        <f t="shared" si="16"/>
        <v>25.586480935797837</v>
      </c>
      <c r="DJ164" s="119" t="s">
        <v>1</v>
      </c>
      <c r="DK164" s="44" t="s">
        <v>1</v>
      </c>
      <c r="DL164" s="44" t="s">
        <v>1329</v>
      </c>
      <c r="DM164" s="44"/>
    </row>
    <row r="165" spans="1:117">
      <c r="A165" s="32" t="str">
        <f t="shared" si="17"/>
        <v>AusNet--&gt; 1 kV &amp; &lt; = 11 kV; CONCRETE</v>
      </c>
      <c r="B165" s="32" t="str">
        <f t="shared" si="18"/>
        <v>AusNet</v>
      </c>
      <c r="C165" s="426"/>
      <c r="D165" s="14"/>
      <c r="E165" s="15" t="s">
        <v>133</v>
      </c>
      <c r="F165" s="18">
        <v>60</v>
      </c>
      <c r="G165" s="18">
        <v>10</v>
      </c>
      <c r="H165" s="20">
        <v>10</v>
      </c>
      <c r="I165" s="20">
        <v>18</v>
      </c>
      <c r="J165" s="20">
        <v>5</v>
      </c>
      <c r="K165" s="20">
        <v>3</v>
      </c>
      <c r="L165" s="20">
        <v>1</v>
      </c>
      <c r="M165" s="20">
        <v>1</v>
      </c>
      <c r="N165" s="20">
        <v>0</v>
      </c>
      <c r="O165" s="20">
        <v>0</v>
      </c>
      <c r="P165" s="20">
        <v>2</v>
      </c>
      <c r="Q165" s="20">
        <v>2</v>
      </c>
      <c r="R165" s="20">
        <v>2</v>
      </c>
      <c r="S165" s="20">
        <v>1</v>
      </c>
      <c r="T165" s="20">
        <v>0</v>
      </c>
      <c r="U165" s="20">
        <v>0</v>
      </c>
      <c r="V165" s="20">
        <v>4</v>
      </c>
      <c r="W165" s="20">
        <v>2</v>
      </c>
      <c r="X165" s="20">
        <v>1</v>
      </c>
      <c r="Y165" s="20">
        <v>4</v>
      </c>
      <c r="Z165" s="20">
        <v>17</v>
      </c>
      <c r="AA165" s="20">
        <v>19</v>
      </c>
      <c r="AB165" s="20">
        <v>15</v>
      </c>
      <c r="AC165" s="20">
        <v>22</v>
      </c>
      <c r="AD165" s="20">
        <v>4</v>
      </c>
      <c r="AE165" s="20">
        <v>7</v>
      </c>
      <c r="AF165" s="20">
        <v>10</v>
      </c>
      <c r="AG165" s="20">
        <v>12</v>
      </c>
      <c r="AH165" s="20">
        <v>9</v>
      </c>
      <c r="AI165" s="20">
        <v>24</v>
      </c>
      <c r="AJ165" s="20">
        <v>24</v>
      </c>
      <c r="AK165" s="20">
        <v>51</v>
      </c>
      <c r="AL165" s="20">
        <v>5</v>
      </c>
      <c r="AM165" s="20">
        <v>7</v>
      </c>
      <c r="AN165" s="20">
        <v>11</v>
      </c>
      <c r="AO165" s="20">
        <v>11</v>
      </c>
      <c r="AP165" s="20">
        <v>0</v>
      </c>
      <c r="AQ165" s="20">
        <v>6</v>
      </c>
      <c r="AR165" s="20">
        <v>7</v>
      </c>
      <c r="AS165" s="20">
        <v>1</v>
      </c>
      <c r="AT165" s="20">
        <v>1</v>
      </c>
      <c r="AU165" s="20">
        <v>0</v>
      </c>
      <c r="AV165" s="20">
        <v>0</v>
      </c>
      <c r="AW165" s="20">
        <v>1</v>
      </c>
      <c r="AX165" s="20">
        <v>0</v>
      </c>
      <c r="AY165" s="20">
        <v>0</v>
      </c>
      <c r="AZ165" s="20">
        <v>5</v>
      </c>
      <c r="BA165" s="20">
        <v>0</v>
      </c>
      <c r="BB165" s="20">
        <v>0</v>
      </c>
      <c r="BC165" s="20">
        <v>0</v>
      </c>
      <c r="BD165" s="20">
        <v>0</v>
      </c>
      <c r="BE165" s="20">
        <v>0</v>
      </c>
      <c r="BF165" s="20">
        <v>0</v>
      </c>
      <c r="BG165" s="20">
        <v>0</v>
      </c>
      <c r="BH165" s="20">
        <v>0</v>
      </c>
      <c r="BI165" s="20">
        <v>0</v>
      </c>
      <c r="BJ165" s="20">
        <v>1</v>
      </c>
      <c r="BK165" s="20">
        <v>0</v>
      </c>
      <c r="BL165" s="20">
        <v>0</v>
      </c>
      <c r="BM165" s="20">
        <v>1</v>
      </c>
      <c r="BN165" s="20">
        <v>0</v>
      </c>
      <c r="BO165" s="20">
        <v>0</v>
      </c>
      <c r="BP165" s="20">
        <v>0</v>
      </c>
      <c r="BQ165" s="20">
        <v>0</v>
      </c>
      <c r="BR165" s="20">
        <v>0</v>
      </c>
      <c r="BS165" s="20">
        <v>0</v>
      </c>
      <c r="BT165" s="20">
        <v>0</v>
      </c>
      <c r="BU165" s="20">
        <v>0</v>
      </c>
      <c r="BV165" s="20">
        <v>0</v>
      </c>
      <c r="BW165" s="20">
        <v>0</v>
      </c>
      <c r="BX165" s="20">
        <v>0</v>
      </c>
      <c r="BY165" s="20">
        <v>0</v>
      </c>
      <c r="BZ165" s="20">
        <v>0</v>
      </c>
      <c r="CA165" s="20">
        <v>0</v>
      </c>
      <c r="CB165" s="20">
        <v>0</v>
      </c>
      <c r="CC165" s="20">
        <v>0</v>
      </c>
      <c r="CD165" s="20">
        <v>0</v>
      </c>
      <c r="CE165" s="20">
        <v>2</v>
      </c>
      <c r="CF165" s="20">
        <v>0</v>
      </c>
      <c r="CG165" s="20">
        <v>0</v>
      </c>
      <c r="CH165" s="20">
        <v>0</v>
      </c>
      <c r="CI165" s="20">
        <v>1</v>
      </c>
      <c r="CJ165" s="20">
        <v>0</v>
      </c>
      <c r="CK165" s="20">
        <v>0</v>
      </c>
      <c r="CL165" s="20">
        <v>0</v>
      </c>
      <c r="CM165" s="20">
        <v>0</v>
      </c>
      <c r="CN165" s="20">
        <v>0</v>
      </c>
      <c r="CO165" s="20">
        <v>0</v>
      </c>
      <c r="CP165" s="20">
        <v>0</v>
      </c>
      <c r="CQ165" s="20">
        <v>0</v>
      </c>
      <c r="CR165" s="20">
        <v>0</v>
      </c>
      <c r="CS165" s="20">
        <v>0</v>
      </c>
      <c r="CT165" s="20">
        <v>0</v>
      </c>
      <c r="CU165" s="20">
        <v>0</v>
      </c>
      <c r="CV165" s="20">
        <v>0</v>
      </c>
      <c r="CW165" s="20">
        <v>0</v>
      </c>
      <c r="CX165" s="20">
        <v>0</v>
      </c>
      <c r="CY165" s="20">
        <v>0</v>
      </c>
      <c r="CZ165" s="20">
        <v>0</v>
      </c>
      <c r="DA165" s="20">
        <v>0</v>
      </c>
      <c r="DB165" s="20">
        <v>0</v>
      </c>
      <c r="DC165" s="20">
        <v>0</v>
      </c>
      <c r="DD165" s="20">
        <v>0</v>
      </c>
      <c r="DE165" s="20">
        <v>0</v>
      </c>
      <c r="DF165" s="20">
        <v>0</v>
      </c>
      <c r="DG165" s="16">
        <f t="shared" si="14"/>
        <v>330</v>
      </c>
      <c r="DH165" s="16">
        <f t="shared" si="15"/>
        <v>8082</v>
      </c>
      <c r="DI165" s="17">
        <f t="shared" si="16"/>
        <v>24.490909090909092</v>
      </c>
      <c r="DJ165" s="119" t="s">
        <v>1</v>
      </c>
      <c r="DK165" s="44" t="s">
        <v>1</v>
      </c>
      <c r="DL165" s="44" t="s">
        <v>1329</v>
      </c>
      <c r="DM165" s="44"/>
    </row>
    <row r="166" spans="1:117">
      <c r="A166" s="32" t="str">
        <f t="shared" si="17"/>
        <v>AusNet--˃ 11 kV &amp; &lt; = 22 kV; CONCRETE</v>
      </c>
      <c r="B166" s="32" t="str">
        <f t="shared" si="18"/>
        <v>AusNet</v>
      </c>
      <c r="C166" s="426"/>
      <c r="D166" s="14"/>
      <c r="E166" s="15" t="s">
        <v>153</v>
      </c>
      <c r="F166" s="18">
        <v>60</v>
      </c>
      <c r="G166" s="18">
        <v>10</v>
      </c>
      <c r="H166" s="20">
        <v>1808</v>
      </c>
      <c r="I166" s="20">
        <v>1279</v>
      </c>
      <c r="J166" s="20">
        <v>1070</v>
      </c>
      <c r="K166" s="20">
        <v>1171</v>
      </c>
      <c r="L166" s="20">
        <v>1016</v>
      </c>
      <c r="M166" s="20">
        <v>623</v>
      </c>
      <c r="N166" s="20">
        <v>311</v>
      </c>
      <c r="O166" s="20">
        <v>311</v>
      </c>
      <c r="P166" s="20">
        <v>334</v>
      </c>
      <c r="Q166" s="20">
        <v>329</v>
      </c>
      <c r="R166" s="20">
        <v>244</v>
      </c>
      <c r="S166" s="20">
        <v>196</v>
      </c>
      <c r="T166" s="20">
        <v>252</v>
      </c>
      <c r="U166" s="20">
        <v>967</v>
      </c>
      <c r="V166" s="20">
        <v>886</v>
      </c>
      <c r="W166" s="20">
        <v>973</v>
      </c>
      <c r="X166" s="20">
        <v>1115</v>
      </c>
      <c r="Y166" s="20">
        <v>952</v>
      </c>
      <c r="Z166" s="20">
        <v>1973</v>
      </c>
      <c r="AA166" s="20">
        <v>2782</v>
      </c>
      <c r="AB166" s="20">
        <v>4603</v>
      </c>
      <c r="AC166" s="20">
        <v>4846</v>
      </c>
      <c r="AD166" s="20">
        <v>4039</v>
      </c>
      <c r="AE166" s="20">
        <v>4806</v>
      </c>
      <c r="AF166" s="20">
        <v>6114</v>
      </c>
      <c r="AG166" s="20">
        <v>4992</v>
      </c>
      <c r="AH166" s="20">
        <v>4943</v>
      </c>
      <c r="AI166" s="20">
        <v>4009</v>
      </c>
      <c r="AJ166" s="20">
        <v>4560</v>
      </c>
      <c r="AK166" s="20">
        <v>4508</v>
      </c>
      <c r="AL166" s="20">
        <v>2056</v>
      </c>
      <c r="AM166" s="20">
        <v>906</v>
      </c>
      <c r="AN166" s="20">
        <v>4182</v>
      </c>
      <c r="AO166" s="20">
        <v>1784</v>
      </c>
      <c r="AP166" s="20">
        <v>60</v>
      </c>
      <c r="AQ166" s="20">
        <v>1180</v>
      </c>
      <c r="AR166" s="20">
        <v>886</v>
      </c>
      <c r="AS166" s="20">
        <v>385</v>
      </c>
      <c r="AT166" s="20">
        <v>159</v>
      </c>
      <c r="AU166" s="20">
        <v>17</v>
      </c>
      <c r="AV166" s="20">
        <v>70</v>
      </c>
      <c r="AW166" s="20">
        <v>74</v>
      </c>
      <c r="AX166" s="20">
        <v>13</v>
      </c>
      <c r="AY166" s="20">
        <v>90</v>
      </c>
      <c r="AZ166" s="20">
        <v>29</v>
      </c>
      <c r="BA166" s="20">
        <v>13</v>
      </c>
      <c r="BB166" s="20">
        <v>42</v>
      </c>
      <c r="BC166" s="20">
        <v>11</v>
      </c>
      <c r="BD166" s="20">
        <v>10</v>
      </c>
      <c r="BE166" s="20">
        <v>7</v>
      </c>
      <c r="BF166" s="20">
        <v>10</v>
      </c>
      <c r="BG166" s="20">
        <v>8</v>
      </c>
      <c r="BH166" s="20">
        <v>9</v>
      </c>
      <c r="BI166" s="20">
        <v>8</v>
      </c>
      <c r="BJ166" s="20">
        <v>3</v>
      </c>
      <c r="BK166" s="20">
        <v>4</v>
      </c>
      <c r="BL166" s="20">
        <v>4</v>
      </c>
      <c r="BM166" s="20">
        <v>15</v>
      </c>
      <c r="BN166" s="20">
        <v>8</v>
      </c>
      <c r="BO166" s="20">
        <v>2</v>
      </c>
      <c r="BP166" s="20">
        <v>1</v>
      </c>
      <c r="BQ166" s="20">
        <v>1</v>
      </c>
      <c r="BR166" s="20">
        <v>4</v>
      </c>
      <c r="BS166" s="20">
        <v>0</v>
      </c>
      <c r="BT166" s="20">
        <v>2</v>
      </c>
      <c r="BU166" s="20">
        <v>0</v>
      </c>
      <c r="BV166" s="20">
        <v>1</v>
      </c>
      <c r="BW166" s="20">
        <v>0</v>
      </c>
      <c r="BX166" s="20">
        <v>0</v>
      </c>
      <c r="BY166" s="20">
        <v>0</v>
      </c>
      <c r="BZ166" s="20">
        <v>0</v>
      </c>
      <c r="CA166" s="20">
        <v>2</v>
      </c>
      <c r="CB166" s="20">
        <v>0</v>
      </c>
      <c r="CC166" s="20">
        <v>3</v>
      </c>
      <c r="CD166" s="20">
        <v>4</v>
      </c>
      <c r="CE166" s="20">
        <v>2</v>
      </c>
      <c r="CF166" s="20">
        <v>3</v>
      </c>
      <c r="CG166" s="20">
        <v>0</v>
      </c>
      <c r="CH166" s="20">
        <v>2</v>
      </c>
      <c r="CI166" s="20">
        <v>14</v>
      </c>
      <c r="CJ166" s="20">
        <v>0</v>
      </c>
      <c r="CK166" s="20">
        <v>0</v>
      </c>
      <c r="CL166" s="20">
        <v>0</v>
      </c>
      <c r="CM166" s="20">
        <v>0</v>
      </c>
      <c r="CN166" s="20">
        <v>0</v>
      </c>
      <c r="CO166" s="20">
        <v>4</v>
      </c>
      <c r="CP166" s="20">
        <v>0</v>
      </c>
      <c r="CQ166" s="20">
        <v>0</v>
      </c>
      <c r="CR166" s="20">
        <v>0</v>
      </c>
      <c r="CS166" s="20">
        <v>0</v>
      </c>
      <c r="CT166" s="20">
        <v>0</v>
      </c>
      <c r="CU166" s="20">
        <v>0</v>
      </c>
      <c r="CV166" s="20">
        <v>0</v>
      </c>
      <c r="CW166" s="20">
        <v>0</v>
      </c>
      <c r="CX166" s="20">
        <v>0</v>
      </c>
      <c r="CY166" s="20">
        <v>0</v>
      </c>
      <c r="CZ166" s="20">
        <v>0</v>
      </c>
      <c r="DA166" s="20">
        <v>0</v>
      </c>
      <c r="DB166" s="20">
        <v>0</v>
      </c>
      <c r="DC166" s="20">
        <v>0</v>
      </c>
      <c r="DD166" s="20">
        <v>0</v>
      </c>
      <c r="DE166" s="20">
        <v>0</v>
      </c>
      <c r="DF166" s="20">
        <v>2</v>
      </c>
      <c r="DG166" s="16">
        <f t="shared" si="14"/>
        <v>78102</v>
      </c>
      <c r="DH166" s="16">
        <f t="shared" si="15"/>
        <v>1832684</v>
      </c>
      <c r="DI166" s="17">
        <f t="shared" si="16"/>
        <v>23.465263373537169</v>
      </c>
      <c r="DJ166" s="119" t="s">
        <v>1</v>
      </c>
      <c r="DK166" s="44" t="s">
        <v>1</v>
      </c>
      <c r="DL166" s="44" t="s">
        <v>1329</v>
      </c>
      <c r="DM166" s="44"/>
    </row>
    <row r="167" spans="1:117">
      <c r="A167" s="32" t="str">
        <f t="shared" si="17"/>
        <v>AusNet--&gt; 22 kV &amp; &lt; = 66 kV; CONCRETE</v>
      </c>
      <c r="B167" s="32" t="str">
        <f t="shared" si="18"/>
        <v>AusNet</v>
      </c>
      <c r="C167" s="426"/>
      <c r="D167" s="14"/>
      <c r="E167" s="15" t="s">
        <v>155</v>
      </c>
      <c r="F167" s="18">
        <v>60</v>
      </c>
      <c r="G167" s="18">
        <v>10</v>
      </c>
      <c r="H167" s="20">
        <v>311</v>
      </c>
      <c r="I167" s="20">
        <v>133</v>
      </c>
      <c r="J167" s="20">
        <v>219</v>
      </c>
      <c r="K167" s="20">
        <v>306</v>
      </c>
      <c r="L167" s="20">
        <v>211</v>
      </c>
      <c r="M167" s="20">
        <v>329</v>
      </c>
      <c r="N167" s="20">
        <v>121</v>
      </c>
      <c r="O167" s="20">
        <v>208</v>
      </c>
      <c r="P167" s="20">
        <v>259</v>
      </c>
      <c r="Q167" s="20">
        <v>89</v>
      </c>
      <c r="R167" s="20">
        <v>55</v>
      </c>
      <c r="S167" s="20">
        <v>36</v>
      </c>
      <c r="T167" s="20">
        <v>33</v>
      </c>
      <c r="U167" s="20">
        <v>160</v>
      </c>
      <c r="V167" s="20">
        <v>182</v>
      </c>
      <c r="W167" s="20">
        <v>62</v>
      </c>
      <c r="X167" s="20">
        <v>75</v>
      </c>
      <c r="Y167" s="20">
        <v>79</v>
      </c>
      <c r="Z167" s="20">
        <v>333</v>
      </c>
      <c r="AA167" s="20">
        <v>230</v>
      </c>
      <c r="AB167" s="20">
        <v>389</v>
      </c>
      <c r="AC167" s="20">
        <v>356</v>
      </c>
      <c r="AD167" s="20">
        <v>259</v>
      </c>
      <c r="AE167" s="20">
        <v>732</v>
      </c>
      <c r="AF167" s="20">
        <v>683</v>
      </c>
      <c r="AG167" s="20">
        <v>565</v>
      </c>
      <c r="AH167" s="20">
        <v>513</v>
      </c>
      <c r="AI167" s="20">
        <v>607</v>
      </c>
      <c r="AJ167" s="20">
        <v>653</v>
      </c>
      <c r="AK167" s="20">
        <v>1273</v>
      </c>
      <c r="AL167" s="20">
        <v>262</v>
      </c>
      <c r="AM167" s="20">
        <v>158</v>
      </c>
      <c r="AN167" s="20">
        <v>895</v>
      </c>
      <c r="AO167" s="20">
        <v>413</v>
      </c>
      <c r="AP167" s="20">
        <v>9</v>
      </c>
      <c r="AQ167" s="20">
        <v>262</v>
      </c>
      <c r="AR167" s="20">
        <v>48</v>
      </c>
      <c r="AS167" s="20">
        <v>34</v>
      </c>
      <c r="AT167" s="20">
        <v>17</v>
      </c>
      <c r="AU167" s="20">
        <v>9</v>
      </c>
      <c r="AV167" s="20">
        <v>8</v>
      </c>
      <c r="AW167" s="20">
        <v>30</v>
      </c>
      <c r="AX167" s="20">
        <v>13</v>
      </c>
      <c r="AY167" s="20">
        <v>27</v>
      </c>
      <c r="AZ167" s="20">
        <v>2</v>
      </c>
      <c r="BA167" s="20">
        <v>1</v>
      </c>
      <c r="BB167" s="20">
        <v>5</v>
      </c>
      <c r="BC167" s="20">
        <v>3</v>
      </c>
      <c r="BD167" s="20">
        <v>20</v>
      </c>
      <c r="BE167" s="20">
        <v>1</v>
      </c>
      <c r="BF167" s="20">
        <v>0</v>
      </c>
      <c r="BG167" s="20">
        <v>2</v>
      </c>
      <c r="BH167" s="20">
        <v>7</v>
      </c>
      <c r="BI167" s="20">
        <v>7</v>
      </c>
      <c r="BJ167" s="20">
        <v>0</v>
      </c>
      <c r="BK167" s="20">
        <v>0</v>
      </c>
      <c r="BL167" s="20">
        <v>1</v>
      </c>
      <c r="BM167" s="20">
        <v>0</v>
      </c>
      <c r="BN167" s="20">
        <v>2</v>
      </c>
      <c r="BO167" s="20">
        <v>2</v>
      </c>
      <c r="BP167" s="20">
        <v>0</v>
      </c>
      <c r="BQ167" s="20">
        <v>1</v>
      </c>
      <c r="BR167" s="20">
        <v>1</v>
      </c>
      <c r="BS167" s="20">
        <v>0</v>
      </c>
      <c r="BT167" s="20">
        <v>0</v>
      </c>
      <c r="BU167" s="20">
        <v>0</v>
      </c>
      <c r="BV167" s="20">
        <v>0</v>
      </c>
      <c r="BW167" s="20">
        <v>0</v>
      </c>
      <c r="BX167" s="20">
        <v>0</v>
      </c>
      <c r="BY167" s="20">
        <v>0</v>
      </c>
      <c r="BZ167" s="20">
        <v>0</v>
      </c>
      <c r="CA167" s="20">
        <v>0</v>
      </c>
      <c r="CB167" s="20">
        <v>0</v>
      </c>
      <c r="CC167" s="20">
        <v>1</v>
      </c>
      <c r="CD167" s="20">
        <v>0</v>
      </c>
      <c r="CE167" s="20">
        <v>0</v>
      </c>
      <c r="CF167" s="20">
        <v>0</v>
      </c>
      <c r="CG167" s="20">
        <v>0</v>
      </c>
      <c r="CH167" s="20">
        <v>0</v>
      </c>
      <c r="CI167" s="20">
        <v>3</v>
      </c>
      <c r="CJ167" s="20">
        <v>0</v>
      </c>
      <c r="CK167" s="20">
        <v>0</v>
      </c>
      <c r="CL167" s="20">
        <v>0</v>
      </c>
      <c r="CM167" s="20">
        <v>0</v>
      </c>
      <c r="CN167" s="20">
        <v>0</v>
      </c>
      <c r="CO167" s="20">
        <v>0</v>
      </c>
      <c r="CP167" s="20">
        <v>0</v>
      </c>
      <c r="CQ167" s="20">
        <v>0</v>
      </c>
      <c r="CR167" s="20">
        <v>0</v>
      </c>
      <c r="CS167" s="20">
        <v>0</v>
      </c>
      <c r="CT167" s="20">
        <v>0</v>
      </c>
      <c r="CU167" s="20">
        <v>0</v>
      </c>
      <c r="CV167" s="20">
        <v>0</v>
      </c>
      <c r="CW167" s="20">
        <v>0</v>
      </c>
      <c r="CX167" s="20">
        <v>0</v>
      </c>
      <c r="CY167" s="20">
        <v>0</v>
      </c>
      <c r="CZ167" s="20">
        <v>0</v>
      </c>
      <c r="DA167" s="20">
        <v>0</v>
      </c>
      <c r="DB167" s="20">
        <v>0</v>
      </c>
      <c r="DC167" s="20">
        <v>0</v>
      </c>
      <c r="DD167" s="20">
        <v>0</v>
      </c>
      <c r="DE167" s="20">
        <v>0</v>
      </c>
      <c r="DF167" s="20">
        <v>1</v>
      </c>
      <c r="DG167" s="16">
        <f t="shared" si="14"/>
        <v>11706</v>
      </c>
      <c r="DH167" s="16">
        <f t="shared" si="15"/>
        <v>268699</v>
      </c>
      <c r="DI167" s="17">
        <f t="shared" si="16"/>
        <v>22.953955236630787</v>
      </c>
      <c r="DJ167" s="119" t="s">
        <v>1</v>
      </c>
      <c r="DK167" s="44" t="s">
        <v>1</v>
      </c>
      <c r="DL167" s="44" t="s">
        <v>1329</v>
      </c>
      <c r="DM167" s="44"/>
    </row>
    <row r="168" spans="1:117">
      <c r="A168" s="32" t="str">
        <f t="shared" si="17"/>
        <v>AusNet--&gt; 66 kV &amp; &lt; = 132 kV; CONCRETE</v>
      </c>
      <c r="B168" s="32" t="str">
        <f t="shared" si="18"/>
        <v>AusNet</v>
      </c>
      <c r="C168" s="426"/>
      <c r="D168" s="14"/>
      <c r="E168" s="15" t="s">
        <v>157</v>
      </c>
      <c r="F168" s="18">
        <v>0</v>
      </c>
      <c r="G168" s="18">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0">
        <v>0</v>
      </c>
      <c r="AY168" s="20">
        <v>0</v>
      </c>
      <c r="AZ168" s="20">
        <v>0</v>
      </c>
      <c r="BA168" s="20">
        <v>0</v>
      </c>
      <c r="BB168" s="20">
        <v>0</v>
      </c>
      <c r="BC168" s="20">
        <v>0</v>
      </c>
      <c r="BD168" s="20">
        <v>0</v>
      </c>
      <c r="BE168" s="20">
        <v>0</v>
      </c>
      <c r="BF168" s="20">
        <v>0</v>
      </c>
      <c r="BG168" s="20">
        <v>0</v>
      </c>
      <c r="BH168" s="20">
        <v>0</v>
      </c>
      <c r="BI168" s="20">
        <v>0</v>
      </c>
      <c r="BJ168" s="20">
        <v>0</v>
      </c>
      <c r="BK168" s="20">
        <v>0</v>
      </c>
      <c r="BL168" s="20">
        <v>0</v>
      </c>
      <c r="BM168" s="20">
        <v>0</v>
      </c>
      <c r="BN168" s="20">
        <v>0</v>
      </c>
      <c r="BO168" s="20">
        <v>0</v>
      </c>
      <c r="BP168" s="20">
        <v>0</v>
      </c>
      <c r="BQ168" s="20">
        <v>0</v>
      </c>
      <c r="BR168" s="20">
        <v>0</v>
      </c>
      <c r="BS168" s="20">
        <v>0</v>
      </c>
      <c r="BT168" s="20">
        <v>0</v>
      </c>
      <c r="BU168" s="20">
        <v>0</v>
      </c>
      <c r="BV168" s="20">
        <v>0</v>
      </c>
      <c r="BW168" s="20">
        <v>0</v>
      </c>
      <c r="BX168" s="20">
        <v>0</v>
      </c>
      <c r="BY168" s="20">
        <v>0</v>
      </c>
      <c r="BZ168" s="20">
        <v>0</v>
      </c>
      <c r="CA168" s="20">
        <v>0</v>
      </c>
      <c r="CB168" s="20">
        <v>0</v>
      </c>
      <c r="CC168" s="20">
        <v>0</v>
      </c>
      <c r="CD168" s="20">
        <v>0</v>
      </c>
      <c r="CE168" s="20">
        <v>0</v>
      </c>
      <c r="CF168" s="20">
        <v>0</v>
      </c>
      <c r="CG168" s="20">
        <v>0</v>
      </c>
      <c r="CH168" s="20">
        <v>0</v>
      </c>
      <c r="CI168" s="20">
        <v>0</v>
      </c>
      <c r="CJ168" s="20">
        <v>0</v>
      </c>
      <c r="CK168" s="20">
        <v>0</v>
      </c>
      <c r="CL168" s="20">
        <v>0</v>
      </c>
      <c r="CM168" s="20">
        <v>0</v>
      </c>
      <c r="CN168" s="20">
        <v>0</v>
      </c>
      <c r="CO168" s="20">
        <v>0</v>
      </c>
      <c r="CP168" s="20">
        <v>0</v>
      </c>
      <c r="CQ168" s="20">
        <v>0</v>
      </c>
      <c r="CR168" s="20">
        <v>0</v>
      </c>
      <c r="CS168" s="20">
        <v>0</v>
      </c>
      <c r="CT168" s="20">
        <v>0</v>
      </c>
      <c r="CU168" s="20">
        <v>0</v>
      </c>
      <c r="CV168" s="20">
        <v>0</v>
      </c>
      <c r="CW168" s="20">
        <v>0</v>
      </c>
      <c r="CX168" s="20">
        <v>0</v>
      </c>
      <c r="CY168" s="20">
        <v>0</v>
      </c>
      <c r="CZ168" s="20">
        <v>0</v>
      </c>
      <c r="DA168" s="20">
        <v>0</v>
      </c>
      <c r="DB168" s="20">
        <v>0</v>
      </c>
      <c r="DC168" s="20">
        <v>0</v>
      </c>
      <c r="DD168" s="20">
        <v>0</v>
      </c>
      <c r="DE168" s="20">
        <v>0</v>
      </c>
      <c r="DF168" s="20">
        <v>0</v>
      </c>
      <c r="DG168" s="16">
        <f t="shared" si="14"/>
        <v>0</v>
      </c>
      <c r="DH168" s="16">
        <f t="shared" si="15"/>
        <v>0</v>
      </c>
      <c r="DI168" s="17" t="str">
        <f t="shared" si="16"/>
        <v/>
      </c>
      <c r="DJ168" s="119" t="s">
        <v>1</v>
      </c>
      <c r="DK168" s="44" t="s">
        <v>1</v>
      </c>
      <c r="DL168" s="44" t="s">
        <v>1329</v>
      </c>
      <c r="DM168" s="44"/>
    </row>
    <row r="169" spans="1:117">
      <c r="A169" s="32" t="str">
        <f t="shared" si="17"/>
        <v>AusNet--&gt; 132 kV; CONCRETE</v>
      </c>
      <c r="B169" s="32" t="str">
        <f t="shared" si="18"/>
        <v>AusNet</v>
      </c>
      <c r="C169" s="426"/>
      <c r="D169" s="14"/>
      <c r="E169" s="15" t="s">
        <v>159</v>
      </c>
      <c r="F169" s="18">
        <v>0</v>
      </c>
      <c r="G169" s="18">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0">
        <v>0</v>
      </c>
      <c r="AY169" s="20">
        <v>0</v>
      </c>
      <c r="AZ169" s="20">
        <v>0</v>
      </c>
      <c r="BA169" s="20">
        <v>0</v>
      </c>
      <c r="BB169" s="20">
        <v>0</v>
      </c>
      <c r="BC169" s="20">
        <v>0</v>
      </c>
      <c r="BD169" s="20">
        <v>0</v>
      </c>
      <c r="BE169" s="20">
        <v>0</v>
      </c>
      <c r="BF169" s="20">
        <v>0</v>
      </c>
      <c r="BG169" s="20">
        <v>0</v>
      </c>
      <c r="BH169" s="20">
        <v>0</v>
      </c>
      <c r="BI169" s="20">
        <v>0</v>
      </c>
      <c r="BJ169" s="20">
        <v>0</v>
      </c>
      <c r="BK169" s="20">
        <v>0</v>
      </c>
      <c r="BL169" s="20">
        <v>0</v>
      </c>
      <c r="BM169" s="20">
        <v>0</v>
      </c>
      <c r="BN169" s="20">
        <v>0</v>
      </c>
      <c r="BO169" s="20">
        <v>0</v>
      </c>
      <c r="BP169" s="20">
        <v>0</v>
      </c>
      <c r="BQ169" s="20">
        <v>0</v>
      </c>
      <c r="BR169" s="20">
        <v>0</v>
      </c>
      <c r="BS169" s="20">
        <v>0</v>
      </c>
      <c r="BT169" s="20">
        <v>0</v>
      </c>
      <c r="BU169" s="20">
        <v>0</v>
      </c>
      <c r="BV169" s="20">
        <v>0</v>
      </c>
      <c r="BW169" s="20">
        <v>0</v>
      </c>
      <c r="BX169" s="20">
        <v>0</v>
      </c>
      <c r="BY169" s="20">
        <v>0</v>
      </c>
      <c r="BZ169" s="20">
        <v>0</v>
      </c>
      <c r="CA169" s="20">
        <v>0</v>
      </c>
      <c r="CB169" s="20">
        <v>0</v>
      </c>
      <c r="CC169" s="20">
        <v>0</v>
      </c>
      <c r="CD169" s="20">
        <v>0</v>
      </c>
      <c r="CE169" s="20">
        <v>0</v>
      </c>
      <c r="CF169" s="20">
        <v>0</v>
      </c>
      <c r="CG169" s="20">
        <v>0</v>
      </c>
      <c r="CH169" s="20">
        <v>0</v>
      </c>
      <c r="CI169" s="20">
        <v>0</v>
      </c>
      <c r="CJ169" s="20">
        <v>0</v>
      </c>
      <c r="CK169" s="20">
        <v>0</v>
      </c>
      <c r="CL169" s="20">
        <v>0</v>
      </c>
      <c r="CM169" s="20">
        <v>0</v>
      </c>
      <c r="CN169" s="20">
        <v>0</v>
      </c>
      <c r="CO169" s="20">
        <v>0</v>
      </c>
      <c r="CP169" s="20">
        <v>0</v>
      </c>
      <c r="CQ169" s="20">
        <v>0</v>
      </c>
      <c r="CR169" s="20">
        <v>0</v>
      </c>
      <c r="CS169" s="20">
        <v>0</v>
      </c>
      <c r="CT169" s="20">
        <v>0</v>
      </c>
      <c r="CU169" s="20">
        <v>0</v>
      </c>
      <c r="CV169" s="20">
        <v>0</v>
      </c>
      <c r="CW169" s="20">
        <v>0</v>
      </c>
      <c r="CX169" s="20">
        <v>0</v>
      </c>
      <c r="CY169" s="20">
        <v>0</v>
      </c>
      <c r="CZ169" s="20">
        <v>0</v>
      </c>
      <c r="DA169" s="20">
        <v>0</v>
      </c>
      <c r="DB169" s="20">
        <v>0</v>
      </c>
      <c r="DC169" s="20">
        <v>0</v>
      </c>
      <c r="DD169" s="20">
        <v>0</v>
      </c>
      <c r="DE169" s="20">
        <v>0</v>
      </c>
      <c r="DF169" s="20">
        <v>0</v>
      </c>
      <c r="DG169" s="16">
        <f t="shared" si="14"/>
        <v>0</v>
      </c>
      <c r="DH169" s="16">
        <f t="shared" si="15"/>
        <v>0</v>
      </c>
      <c r="DI169" s="17" t="str">
        <f t="shared" si="16"/>
        <v/>
      </c>
      <c r="DJ169" s="119" t="s">
        <v>1</v>
      </c>
      <c r="DK169" s="44" t="s">
        <v>1</v>
      </c>
      <c r="DL169" s="44" t="s">
        <v>1329</v>
      </c>
      <c r="DM169" s="44"/>
    </row>
    <row r="170" spans="1:117">
      <c r="A170" s="32" t="str">
        <f t="shared" si="17"/>
        <v>AusNet--˂ = 1 kV; STEEL</v>
      </c>
      <c r="B170" s="32" t="str">
        <f t="shared" si="18"/>
        <v>AusNet</v>
      </c>
      <c r="C170" s="426"/>
      <c r="D170" s="14"/>
      <c r="E170" s="15" t="s">
        <v>161</v>
      </c>
      <c r="F170" s="18">
        <v>35</v>
      </c>
      <c r="G170" s="18">
        <v>10</v>
      </c>
      <c r="H170" s="20">
        <v>1766</v>
      </c>
      <c r="I170" s="20">
        <v>2463</v>
      </c>
      <c r="J170" s="20">
        <v>2610</v>
      </c>
      <c r="K170" s="20">
        <v>1668</v>
      </c>
      <c r="L170" s="20">
        <v>1757</v>
      </c>
      <c r="M170" s="20">
        <v>2135</v>
      </c>
      <c r="N170" s="20">
        <v>1170</v>
      </c>
      <c r="O170" s="20">
        <v>858</v>
      </c>
      <c r="P170" s="20">
        <v>3536</v>
      </c>
      <c r="Q170" s="20">
        <v>1958</v>
      </c>
      <c r="R170" s="20">
        <v>1267</v>
      </c>
      <c r="S170" s="20">
        <v>822</v>
      </c>
      <c r="T170" s="20">
        <v>473</v>
      </c>
      <c r="U170" s="20">
        <v>3141</v>
      </c>
      <c r="V170" s="20">
        <v>1205</v>
      </c>
      <c r="W170" s="20">
        <v>903</v>
      </c>
      <c r="X170" s="20">
        <v>376</v>
      </c>
      <c r="Y170" s="20">
        <v>298</v>
      </c>
      <c r="Z170" s="20">
        <v>323</v>
      </c>
      <c r="AA170" s="20">
        <v>921</v>
      </c>
      <c r="AB170" s="20">
        <v>827</v>
      </c>
      <c r="AC170" s="20">
        <v>485</v>
      </c>
      <c r="AD170" s="20">
        <v>454</v>
      </c>
      <c r="AE170" s="20">
        <v>1036</v>
      </c>
      <c r="AF170" s="20">
        <v>1280</v>
      </c>
      <c r="AG170" s="20">
        <v>1017</v>
      </c>
      <c r="AH170" s="20">
        <v>337</v>
      </c>
      <c r="AI170" s="20">
        <v>872</v>
      </c>
      <c r="AJ170" s="20">
        <v>789</v>
      </c>
      <c r="AK170" s="20">
        <v>126</v>
      </c>
      <c r="AL170" s="20">
        <v>16</v>
      </c>
      <c r="AM170" s="20">
        <v>70</v>
      </c>
      <c r="AN170" s="20">
        <v>7</v>
      </c>
      <c r="AO170" s="20">
        <v>64</v>
      </c>
      <c r="AP170" s="20">
        <v>3</v>
      </c>
      <c r="AQ170" s="20">
        <v>8</v>
      </c>
      <c r="AR170" s="20">
        <v>7</v>
      </c>
      <c r="AS170" s="20">
        <v>3</v>
      </c>
      <c r="AT170" s="20">
        <v>8</v>
      </c>
      <c r="AU170" s="20">
        <v>6</v>
      </c>
      <c r="AV170" s="20">
        <v>7</v>
      </c>
      <c r="AW170" s="20">
        <v>0</v>
      </c>
      <c r="AX170" s="20">
        <v>5</v>
      </c>
      <c r="AY170" s="20">
        <v>2</v>
      </c>
      <c r="AZ170" s="20">
        <v>0</v>
      </c>
      <c r="BA170" s="20">
        <v>0</v>
      </c>
      <c r="BB170" s="20">
        <v>0</v>
      </c>
      <c r="BC170" s="20">
        <v>1</v>
      </c>
      <c r="BD170" s="20">
        <v>0</v>
      </c>
      <c r="BE170" s="20">
        <v>0</v>
      </c>
      <c r="BF170" s="20">
        <v>0</v>
      </c>
      <c r="BG170" s="20">
        <v>0</v>
      </c>
      <c r="BH170" s="20">
        <v>0</v>
      </c>
      <c r="BI170" s="20">
        <v>0</v>
      </c>
      <c r="BJ170" s="20">
        <v>1</v>
      </c>
      <c r="BK170" s="20">
        <v>0</v>
      </c>
      <c r="BL170" s="20">
        <v>0</v>
      </c>
      <c r="BM170" s="20">
        <v>0</v>
      </c>
      <c r="BN170" s="20">
        <v>0</v>
      </c>
      <c r="BO170" s="20">
        <v>0</v>
      </c>
      <c r="BP170" s="20">
        <v>0</v>
      </c>
      <c r="BQ170" s="20">
        <v>0</v>
      </c>
      <c r="BR170" s="20">
        <v>0</v>
      </c>
      <c r="BS170" s="20">
        <v>0</v>
      </c>
      <c r="BT170" s="20">
        <v>0</v>
      </c>
      <c r="BU170" s="20">
        <v>0</v>
      </c>
      <c r="BV170" s="20">
        <v>0</v>
      </c>
      <c r="BW170" s="20">
        <v>1</v>
      </c>
      <c r="BX170" s="20">
        <v>0</v>
      </c>
      <c r="BY170" s="20">
        <v>0</v>
      </c>
      <c r="BZ170" s="20">
        <v>0</v>
      </c>
      <c r="CA170" s="20">
        <v>0</v>
      </c>
      <c r="CB170" s="20">
        <v>0</v>
      </c>
      <c r="CC170" s="20">
        <v>0</v>
      </c>
      <c r="CD170" s="20">
        <v>0</v>
      </c>
      <c r="CE170" s="20">
        <v>0</v>
      </c>
      <c r="CF170" s="20">
        <v>0</v>
      </c>
      <c r="CG170" s="20">
        <v>0</v>
      </c>
      <c r="CH170" s="20">
        <v>0</v>
      </c>
      <c r="CI170" s="20">
        <v>0</v>
      </c>
      <c r="CJ170" s="20">
        <v>0</v>
      </c>
      <c r="CK170" s="20">
        <v>0</v>
      </c>
      <c r="CL170" s="20">
        <v>0</v>
      </c>
      <c r="CM170" s="20">
        <v>0</v>
      </c>
      <c r="CN170" s="20">
        <v>0</v>
      </c>
      <c r="CO170" s="20">
        <v>0</v>
      </c>
      <c r="CP170" s="20">
        <v>0</v>
      </c>
      <c r="CQ170" s="20">
        <v>0</v>
      </c>
      <c r="CR170" s="20">
        <v>0</v>
      </c>
      <c r="CS170" s="20">
        <v>0</v>
      </c>
      <c r="CT170" s="20">
        <v>0</v>
      </c>
      <c r="CU170" s="20">
        <v>0</v>
      </c>
      <c r="CV170" s="20">
        <v>0</v>
      </c>
      <c r="CW170" s="20">
        <v>0</v>
      </c>
      <c r="CX170" s="20">
        <v>0</v>
      </c>
      <c r="CY170" s="20">
        <v>0</v>
      </c>
      <c r="CZ170" s="20">
        <v>0</v>
      </c>
      <c r="DA170" s="20">
        <v>0</v>
      </c>
      <c r="DB170" s="20">
        <v>0</v>
      </c>
      <c r="DC170" s="20">
        <v>0</v>
      </c>
      <c r="DD170" s="20">
        <v>0</v>
      </c>
      <c r="DE170" s="20">
        <v>0</v>
      </c>
      <c r="DF170" s="20">
        <v>113</v>
      </c>
      <c r="DG170" s="16">
        <f t="shared" si="14"/>
        <v>37195</v>
      </c>
      <c r="DH170" s="16">
        <f t="shared" si="15"/>
        <v>452829</v>
      </c>
      <c r="DI170" s="17">
        <f t="shared" si="16"/>
        <v>12.174458932652238</v>
      </c>
      <c r="DJ170" s="119" t="s">
        <v>1</v>
      </c>
      <c r="DK170" s="44" t="s">
        <v>1</v>
      </c>
      <c r="DL170" s="44" t="s">
        <v>1330</v>
      </c>
      <c r="DM170" s="44"/>
    </row>
    <row r="171" spans="1:117">
      <c r="A171" s="32" t="str">
        <f t="shared" si="17"/>
        <v>AusNet--&gt; 1 kV &amp; &lt; = 11 kV; STEEL</v>
      </c>
      <c r="B171" s="32" t="str">
        <f t="shared" si="18"/>
        <v>AusNet</v>
      </c>
      <c r="C171" s="426"/>
      <c r="D171" s="14"/>
      <c r="E171" s="15" t="s">
        <v>163</v>
      </c>
      <c r="F171" s="18">
        <v>35</v>
      </c>
      <c r="G171" s="18">
        <v>10</v>
      </c>
      <c r="H171" s="20">
        <v>0</v>
      </c>
      <c r="I171" s="20">
        <v>0</v>
      </c>
      <c r="J171" s="20">
        <v>0</v>
      </c>
      <c r="K171" s="20">
        <v>0</v>
      </c>
      <c r="L171" s="20">
        <v>0</v>
      </c>
      <c r="M171" s="20">
        <v>0</v>
      </c>
      <c r="N171" s="20">
        <v>0</v>
      </c>
      <c r="O171" s="20">
        <v>1</v>
      </c>
      <c r="P171" s="20">
        <v>5</v>
      </c>
      <c r="Q171" s="20">
        <v>0</v>
      </c>
      <c r="R171" s="20">
        <v>0</v>
      </c>
      <c r="S171" s="20">
        <v>0</v>
      </c>
      <c r="T171" s="20">
        <v>0</v>
      </c>
      <c r="U171" s="20">
        <v>2</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0">
        <v>0</v>
      </c>
      <c r="AY171" s="20">
        <v>0</v>
      </c>
      <c r="AZ171" s="20">
        <v>0</v>
      </c>
      <c r="BA171" s="20">
        <v>0</v>
      </c>
      <c r="BB171" s="20">
        <v>0</v>
      </c>
      <c r="BC171" s="20">
        <v>0</v>
      </c>
      <c r="BD171" s="20">
        <v>0</v>
      </c>
      <c r="BE171" s="20">
        <v>0</v>
      </c>
      <c r="BF171" s="20">
        <v>0</v>
      </c>
      <c r="BG171" s="20">
        <v>0</v>
      </c>
      <c r="BH171" s="20">
        <v>0</v>
      </c>
      <c r="BI171" s="20">
        <v>0</v>
      </c>
      <c r="BJ171" s="20">
        <v>0</v>
      </c>
      <c r="BK171" s="20">
        <v>0</v>
      </c>
      <c r="BL171" s="20">
        <v>0</v>
      </c>
      <c r="BM171" s="20">
        <v>0</v>
      </c>
      <c r="BN171" s="20">
        <v>0</v>
      </c>
      <c r="BO171" s="20">
        <v>0</v>
      </c>
      <c r="BP171" s="20">
        <v>0</v>
      </c>
      <c r="BQ171" s="20">
        <v>0</v>
      </c>
      <c r="BR171" s="20">
        <v>0</v>
      </c>
      <c r="BS171" s="20">
        <v>0</v>
      </c>
      <c r="BT171" s="20">
        <v>0</v>
      </c>
      <c r="BU171" s="20">
        <v>0</v>
      </c>
      <c r="BV171" s="20">
        <v>0</v>
      </c>
      <c r="BW171" s="20">
        <v>0</v>
      </c>
      <c r="BX171" s="20">
        <v>0</v>
      </c>
      <c r="BY171" s="20">
        <v>0</v>
      </c>
      <c r="BZ171" s="20">
        <v>0</v>
      </c>
      <c r="CA171" s="20">
        <v>0</v>
      </c>
      <c r="CB171" s="20">
        <v>0</v>
      </c>
      <c r="CC171" s="20">
        <v>0</v>
      </c>
      <c r="CD171" s="20">
        <v>0</v>
      </c>
      <c r="CE171" s="20">
        <v>0</v>
      </c>
      <c r="CF171" s="20">
        <v>0</v>
      </c>
      <c r="CG171" s="20">
        <v>0</v>
      </c>
      <c r="CH171" s="20">
        <v>0</v>
      </c>
      <c r="CI171" s="20">
        <v>0</v>
      </c>
      <c r="CJ171" s="20">
        <v>0</v>
      </c>
      <c r="CK171" s="20">
        <v>0</v>
      </c>
      <c r="CL171" s="20">
        <v>0</v>
      </c>
      <c r="CM171" s="20">
        <v>0</v>
      </c>
      <c r="CN171" s="20">
        <v>0</v>
      </c>
      <c r="CO171" s="20">
        <v>0</v>
      </c>
      <c r="CP171" s="20">
        <v>0</v>
      </c>
      <c r="CQ171" s="20">
        <v>0</v>
      </c>
      <c r="CR171" s="20">
        <v>0</v>
      </c>
      <c r="CS171" s="20">
        <v>0</v>
      </c>
      <c r="CT171" s="20">
        <v>0</v>
      </c>
      <c r="CU171" s="20">
        <v>0</v>
      </c>
      <c r="CV171" s="20">
        <v>0</v>
      </c>
      <c r="CW171" s="20">
        <v>0</v>
      </c>
      <c r="CX171" s="20">
        <v>0</v>
      </c>
      <c r="CY171" s="20">
        <v>0</v>
      </c>
      <c r="CZ171" s="20">
        <v>0</v>
      </c>
      <c r="DA171" s="20">
        <v>0</v>
      </c>
      <c r="DB171" s="20">
        <v>0</v>
      </c>
      <c r="DC171" s="20">
        <v>0</v>
      </c>
      <c r="DD171" s="20">
        <v>0</v>
      </c>
      <c r="DE171" s="20">
        <v>0</v>
      </c>
      <c r="DF171" s="20">
        <v>0</v>
      </c>
      <c r="DG171" s="16">
        <f t="shared" si="14"/>
        <v>8</v>
      </c>
      <c r="DH171" s="16">
        <f t="shared" si="15"/>
        <v>81</v>
      </c>
      <c r="DI171" s="17">
        <f t="shared" si="16"/>
        <v>10.125</v>
      </c>
      <c r="DJ171" s="119" t="s">
        <v>1</v>
      </c>
      <c r="DK171" s="44" t="s">
        <v>1</v>
      </c>
      <c r="DL171" s="44" t="s">
        <v>1330</v>
      </c>
      <c r="DM171" s="44"/>
    </row>
    <row r="172" spans="1:117">
      <c r="A172" s="32" t="str">
        <f t="shared" si="17"/>
        <v>AusNet--˃ 11 kV &amp; &lt; = 22 kV; STEEL</v>
      </c>
      <c r="B172" s="32" t="str">
        <f t="shared" si="18"/>
        <v>AusNet</v>
      </c>
      <c r="C172" s="426"/>
      <c r="D172" s="14"/>
      <c r="E172" s="15" t="s">
        <v>165</v>
      </c>
      <c r="F172" s="18">
        <v>35</v>
      </c>
      <c r="G172" s="18">
        <v>10</v>
      </c>
      <c r="H172" s="20">
        <v>792</v>
      </c>
      <c r="I172" s="20">
        <v>1305</v>
      </c>
      <c r="J172" s="20">
        <v>1070</v>
      </c>
      <c r="K172" s="20">
        <v>616</v>
      </c>
      <c r="L172" s="20">
        <v>1067</v>
      </c>
      <c r="M172" s="20">
        <v>1050</v>
      </c>
      <c r="N172" s="20">
        <v>487</v>
      </c>
      <c r="O172" s="20">
        <v>387</v>
      </c>
      <c r="P172" s="20">
        <v>1484</v>
      </c>
      <c r="Q172" s="20">
        <v>741</v>
      </c>
      <c r="R172" s="20">
        <v>483</v>
      </c>
      <c r="S172" s="20">
        <v>234</v>
      </c>
      <c r="T172" s="20">
        <v>139</v>
      </c>
      <c r="U172" s="20">
        <v>1063</v>
      </c>
      <c r="V172" s="20">
        <v>478</v>
      </c>
      <c r="W172" s="20">
        <v>327</v>
      </c>
      <c r="X172" s="20">
        <v>109</v>
      </c>
      <c r="Y172" s="20">
        <v>103</v>
      </c>
      <c r="Z172" s="20">
        <v>107</v>
      </c>
      <c r="AA172" s="20">
        <v>277</v>
      </c>
      <c r="AB172" s="20">
        <v>295</v>
      </c>
      <c r="AC172" s="20">
        <v>183</v>
      </c>
      <c r="AD172" s="20">
        <v>151</v>
      </c>
      <c r="AE172" s="20">
        <v>323</v>
      </c>
      <c r="AF172" s="20">
        <v>478</v>
      </c>
      <c r="AG172" s="20">
        <v>410</v>
      </c>
      <c r="AH172" s="20">
        <v>116</v>
      </c>
      <c r="AI172" s="20">
        <v>514</v>
      </c>
      <c r="AJ172" s="20">
        <v>335</v>
      </c>
      <c r="AK172" s="20">
        <v>47</v>
      </c>
      <c r="AL172" s="20">
        <v>8</v>
      </c>
      <c r="AM172" s="20">
        <v>80</v>
      </c>
      <c r="AN172" s="20">
        <v>6</v>
      </c>
      <c r="AO172" s="20">
        <v>33</v>
      </c>
      <c r="AP172" s="20">
        <v>3</v>
      </c>
      <c r="AQ172" s="20">
        <v>9</v>
      </c>
      <c r="AR172" s="20">
        <v>2</v>
      </c>
      <c r="AS172" s="20">
        <v>4</v>
      </c>
      <c r="AT172" s="20">
        <v>14</v>
      </c>
      <c r="AU172" s="20">
        <v>3</v>
      </c>
      <c r="AV172" s="20">
        <v>0</v>
      </c>
      <c r="AW172" s="20">
        <v>1</v>
      </c>
      <c r="AX172" s="20">
        <v>0</v>
      </c>
      <c r="AY172" s="20">
        <v>2</v>
      </c>
      <c r="AZ172" s="20">
        <v>0</v>
      </c>
      <c r="BA172" s="20">
        <v>0</v>
      </c>
      <c r="BB172" s="20">
        <v>0</v>
      </c>
      <c r="BC172" s="20">
        <v>0</v>
      </c>
      <c r="BD172" s="20">
        <v>0</v>
      </c>
      <c r="BE172" s="20">
        <v>0</v>
      </c>
      <c r="BF172" s="20">
        <v>0</v>
      </c>
      <c r="BG172" s="20">
        <v>1</v>
      </c>
      <c r="BH172" s="20">
        <v>0</v>
      </c>
      <c r="BI172" s="20">
        <v>0</v>
      </c>
      <c r="BJ172" s="20">
        <v>0</v>
      </c>
      <c r="BK172" s="20">
        <v>0</v>
      </c>
      <c r="BL172" s="20">
        <v>0</v>
      </c>
      <c r="BM172" s="20">
        <v>0</v>
      </c>
      <c r="BN172" s="20">
        <v>0</v>
      </c>
      <c r="BO172" s="20">
        <v>0</v>
      </c>
      <c r="BP172" s="20">
        <v>0</v>
      </c>
      <c r="BQ172" s="20">
        <v>0</v>
      </c>
      <c r="BR172" s="20">
        <v>0</v>
      </c>
      <c r="BS172" s="20">
        <v>0</v>
      </c>
      <c r="BT172" s="20">
        <v>0</v>
      </c>
      <c r="BU172" s="20">
        <v>0</v>
      </c>
      <c r="BV172" s="20">
        <v>0</v>
      </c>
      <c r="BW172" s="20">
        <v>0</v>
      </c>
      <c r="BX172" s="20">
        <v>0</v>
      </c>
      <c r="BY172" s="20">
        <v>0</v>
      </c>
      <c r="BZ172" s="20">
        <v>0</v>
      </c>
      <c r="CA172" s="20">
        <v>0</v>
      </c>
      <c r="CB172" s="20">
        <v>0</v>
      </c>
      <c r="CC172" s="20">
        <v>0</v>
      </c>
      <c r="CD172" s="20">
        <v>0</v>
      </c>
      <c r="CE172" s="20">
        <v>0</v>
      </c>
      <c r="CF172" s="20">
        <v>0</v>
      </c>
      <c r="CG172" s="20">
        <v>0</v>
      </c>
      <c r="CH172" s="20">
        <v>0</v>
      </c>
      <c r="CI172" s="20">
        <v>0</v>
      </c>
      <c r="CJ172" s="20">
        <v>0</v>
      </c>
      <c r="CK172" s="20">
        <v>0</v>
      </c>
      <c r="CL172" s="20">
        <v>0</v>
      </c>
      <c r="CM172" s="20">
        <v>0</v>
      </c>
      <c r="CN172" s="20">
        <v>0</v>
      </c>
      <c r="CO172" s="20">
        <v>0</v>
      </c>
      <c r="CP172" s="20">
        <v>0</v>
      </c>
      <c r="CQ172" s="20">
        <v>0</v>
      </c>
      <c r="CR172" s="20">
        <v>0</v>
      </c>
      <c r="CS172" s="20">
        <v>0</v>
      </c>
      <c r="CT172" s="20">
        <v>0</v>
      </c>
      <c r="CU172" s="20">
        <v>0</v>
      </c>
      <c r="CV172" s="20">
        <v>0</v>
      </c>
      <c r="CW172" s="20">
        <v>0</v>
      </c>
      <c r="CX172" s="20">
        <v>0</v>
      </c>
      <c r="CY172" s="20">
        <v>0</v>
      </c>
      <c r="CZ172" s="20">
        <v>0</v>
      </c>
      <c r="DA172" s="20">
        <v>0</v>
      </c>
      <c r="DB172" s="20">
        <v>0</v>
      </c>
      <c r="DC172" s="20">
        <v>0</v>
      </c>
      <c r="DD172" s="20">
        <v>0</v>
      </c>
      <c r="DE172" s="20">
        <v>0</v>
      </c>
      <c r="DF172" s="20">
        <v>18</v>
      </c>
      <c r="DG172" s="16">
        <f t="shared" si="14"/>
        <v>15355</v>
      </c>
      <c r="DH172" s="16">
        <f t="shared" si="15"/>
        <v>176664</v>
      </c>
      <c r="DI172" s="17">
        <f t="shared" si="16"/>
        <v>11.50530771735591</v>
      </c>
      <c r="DJ172" s="119" t="s">
        <v>1</v>
      </c>
      <c r="DK172" s="44" t="s">
        <v>1</v>
      </c>
      <c r="DL172" s="44" t="s">
        <v>1330</v>
      </c>
      <c r="DM172" s="44"/>
    </row>
    <row r="173" spans="1:117">
      <c r="A173" s="32" t="str">
        <f t="shared" si="17"/>
        <v>AusNet--&gt; 22 kV &amp; &lt; = 66 kV; STEEL</v>
      </c>
      <c r="B173" s="32" t="str">
        <f t="shared" si="18"/>
        <v>AusNet</v>
      </c>
      <c r="C173" s="426"/>
      <c r="D173" s="14"/>
      <c r="E173" s="15" t="s">
        <v>166</v>
      </c>
      <c r="F173" s="18">
        <v>35</v>
      </c>
      <c r="G173" s="18">
        <v>10</v>
      </c>
      <c r="H173" s="20">
        <v>25</v>
      </c>
      <c r="I173" s="20">
        <v>30</v>
      </c>
      <c r="J173" s="20">
        <v>47</v>
      </c>
      <c r="K173" s="20">
        <v>14</v>
      </c>
      <c r="L173" s="20">
        <v>25</v>
      </c>
      <c r="M173" s="20">
        <v>62</v>
      </c>
      <c r="N173" s="20">
        <v>20</v>
      </c>
      <c r="O173" s="20">
        <v>22</v>
      </c>
      <c r="P173" s="20">
        <v>40</v>
      </c>
      <c r="Q173" s="20">
        <v>7</v>
      </c>
      <c r="R173" s="20">
        <v>8</v>
      </c>
      <c r="S173" s="20">
        <v>17</v>
      </c>
      <c r="T173" s="20">
        <v>0</v>
      </c>
      <c r="U173" s="20">
        <v>52</v>
      </c>
      <c r="V173" s="20">
        <v>29</v>
      </c>
      <c r="W173" s="20">
        <v>7</v>
      </c>
      <c r="X173" s="20">
        <v>8</v>
      </c>
      <c r="Y173" s="20">
        <v>5</v>
      </c>
      <c r="Z173" s="20">
        <v>1</v>
      </c>
      <c r="AA173" s="20">
        <v>11</v>
      </c>
      <c r="AB173" s="20">
        <v>4</v>
      </c>
      <c r="AC173" s="20">
        <v>5</v>
      </c>
      <c r="AD173" s="20">
        <v>2</v>
      </c>
      <c r="AE173" s="20">
        <v>19</v>
      </c>
      <c r="AF173" s="20">
        <v>9</v>
      </c>
      <c r="AG173" s="20">
        <v>3</v>
      </c>
      <c r="AH173" s="20">
        <v>1</v>
      </c>
      <c r="AI173" s="20">
        <v>3</v>
      </c>
      <c r="AJ173" s="20">
        <v>29</v>
      </c>
      <c r="AK173" s="20">
        <v>1</v>
      </c>
      <c r="AL173" s="20">
        <v>0</v>
      </c>
      <c r="AM173" s="20">
        <v>4</v>
      </c>
      <c r="AN173" s="20">
        <v>1</v>
      </c>
      <c r="AO173" s="20">
        <v>1</v>
      </c>
      <c r="AP173" s="20">
        <v>1</v>
      </c>
      <c r="AQ173" s="20">
        <v>1</v>
      </c>
      <c r="AR173" s="20">
        <v>1</v>
      </c>
      <c r="AS173" s="20">
        <v>0</v>
      </c>
      <c r="AT173" s="20">
        <v>0</v>
      </c>
      <c r="AU173" s="20">
        <v>0</v>
      </c>
      <c r="AV173" s="20">
        <v>0</v>
      </c>
      <c r="AW173" s="20">
        <v>0</v>
      </c>
      <c r="AX173" s="20">
        <v>0</v>
      </c>
      <c r="AY173" s="20">
        <v>0</v>
      </c>
      <c r="AZ173" s="20">
        <v>0</v>
      </c>
      <c r="BA173" s="20">
        <v>0</v>
      </c>
      <c r="BB173" s="20">
        <v>0</v>
      </c>
      <c r="BC173" s="20">
        <v>0</v>
      </c>
      <c r="BD173" s="20">
        <v>0</v>
      </c>
      <c r="BE173" s="20">
        <v>0</v>
      </c>
      <c r="BF173" s="20">
        <v>0</v>
      </c>
      <c r="BG173" s="20">
        <v>0</v>
      </c>
      <c r="BH173" s="20">
        <v>0</v>
      </c>
      <c r="BI173" s="20">
        <v>0</v>
      </c>
      <c r="BJ173" s="20">
        <v>0</v>
      </c>
      <c r="BK173" s="20">
        <v>0</v>
      </c>
      <c r="BL173" s="20">
        <v>0</v>
      </c>
      <c r="BM173" s="20">
        <v>0</v>
      </c>
      <c r="BN173" s="20">
        <v>0</v>
      </c>
      <c r="BO173" s="20">
        <v>0</v>
      </c>
      <c r="BP173" s="20">
        <v>0</v>
      </c>
      <c r="BQ173" s="20">
        <v>0</v>
      </c>
      <c r="BR173" s="20">
        <v>0</v>
      </c>
      <c r="BS173" s="20">
        <v>0</v>
      </c>
      <c r="BT173" s="20">
        <v>0</v>
      </c>
      <c r="BU173" s="20">
        <v>0</v>
      </c>
      <c r="BV173" s="20">
        <v>0</v>
      </c>
      <c r="BW173" s="20">
        <v>0</v>
      </c>
      <c r="BX173" s="20">
        <v>0</v>
      </c>
      <c r="BY173" s="20">
        <v>0</v>
      </c>
      <c r="BZ173" s="20">
        <v>0</v>
      </c>
      <c r="CA173" s="20">
        <v>0</v>
      </c>
      <c r="CB173" s="20">
        <v>0</v>
      </c>
      <c r="CC173" s="20">
        <v>0</v>
      </c>
      <c r="CD173" s="20">
        <v>0</v>
      </c>
      <c r="CE173" s="20">
        <v>0</v>
      </c>
      <c r="CF173" s="20">
        <v>0</v>
      </c>
      <c r="CG173" s="20">
        <v>0</v>
      </c>
      <c r="CH173" s="20">
        <v>0</v>
      </c>
      <c r="CI173" s="20">
        <v>0</v>
      </c>
      <c r="CJ173" s="20">
        <v>0</v>
      </c>
      <c r="CK173" s="20">
        <v>0</v>
      </c>
      <c r="CL173" s="20">
        <v>0</v>
      </c>
      <c r="CM173" s="20">
        <v>0</v>
      </c>
      <c r="CN173" s="20">
        <v>0</v>
      </c>
      <c r="CO173" s="20">
        <v>0</v>
      </c>
      <c r="CP173" s="20">
        <v>0</v>
      </c>
      <c r="CQ173" s="20">
        <v>0</v>
      </c>
      <c r="CR173" s="20">
        <v>0</v>
      </c>
      <c r="CS173" s="20">
        <v>0</v>
      </c>
      <c r="CT173" s="20">
        <v>0</v>
      </c>
      <c r="CU173" s="20">
        <v>0</v>
      </c>
      <c r="CV173" s="20">
        <v>0</v>
      </c>
      <c r="CW173" s="20">
        <v>0</v>
      </c>
      <c r="CX173" s="20">
        <v>0</v>
      </c>
      <c r="CY173" s="20">
        <v>0</v>
      </c>
      <c r="CZ173" s="20">
        <v>0</v>
      </c>
      <c r="DA173" s="20">
        <v>0</v>
      </c>
      <c r="DB173" s="20">
        <v>0</v>
      </c>
      <c r="DC173" s="20">
        <v>0</v>
      </c>
      <c r="DD173" s="20">
        <v>0</v>
      </c>
      <c r="DE173" s="20">
        <v>0</v>
      </c>
      <c r="DF173" s="20">
        <v>3</v>
      </c>
      <c r="DG173" s="16">
        <f t="shared" si="14"/>
        <v>518</v>
      </c>
      <c r="DH173" s="16">
        <f t="shared" si="15"/>
        <v>6150</v>
      </c>
      <c r="DI173" s="17">
        <f t="shared" si="16"/>
        <v>11.872586872586872</v>
      </c>
      <c r="DJ173" s="119" t="s">
        <v>1</v>
      </c>
      <c r="DK173" s="44" t="s">
        <v>1</v>
      </c>
      <c r="DL173" s="44" t="s">
        <v>1330</v>
      </c>
      <c r="DM173" s="44"/>
    </row>
    <row r="174" spans="1:117">
      <c r="A174" s="32" t="str">
        <f t="shared" si="17"/>
        <v>AusNet--&gt; 66 kV &amp; &lt; = 132 kV; STEEL</v>
      </c>
      <c r="B174" s="32" t="str">
        <f t="shared" si="18"/>
        <v>AusNet</v>
      </c>
      <c r="C174" s="426"/>
      <c r="D174" s="14"/>
      <c r="E174" s="15" t="s">
        <v>167</v>
      </c>
      <c r="F174" s="18">
        <v>0</v>
      </c>
      <c r="G174" s="18">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0">
        <v>0</v>
      </c>
      <c r="AY174" s="20">
        <v>0</v>
      </c>
      <c r="AZ174" s="20">
        <v>0</v>
      </c>
      <c r="BA174" s="20">
        <v>0</v>
      </c>
      <c r="BB174" s="20">
        <v>0</v>
      </c>
      <c r="BC174" s="20">
        <v>0</v>
      </c>
      <c r="BD174" s="20">
        <v>0</v>
      </c>
      <c r="BE174" s="20">
        <v>0</v>
      </c>
      <c r="BF174" s="20">
        <v>0</v>
      </c>
      <c r="BG174" s="20">
        <v>0</v>
      </c>
      <c r="BH174" s="20">
        <v>0</v>
      </c>
      <c r="BI174" s="20">
        <v>0</v>
      </c>
      <c r="BJ174" s="20">
        <v>0</v>
      </c>
      <c r="BK174" s="20">
        <v>0</v>
      </c>
      <c r="BL174" s="20">
        <v>0</v>
      </c>
      <c r="BM174" s="20">
        <v>0</v>
      </c>
      <c r="BN174" s="20">
        <v>0</v>
      </c>
      <c r="BO174" s="20">
        <v>0</v>
      </c>
      <c r="BP174" s="20">
        <v>0</v>
      </c>
      <c r="BQ174" s="20">
        <v>0</v>
      </c>
      <c r="BR174" s="20">
        <v>0</v>
      </c>
      <c r="BS174" s="20">
        <v>0</v>
      </c>
      <c r="BT174" s="20">
        <v>0</v>
      </c>
      <c r="BU174" s="20">
        <v>0</v>
      </c>
      <c r="BV174" s="20">
        <v>0</v>
      </c>
      <c r="BW174" s="20">
        <v>0</v>
      </c>
      <c r="BX174" s="20">
        <v>0</v>
      </c>
      <c r="BY174" s="20">
        <v>0</v>
      </c>
      <c r="BZ174" s="20">
        <v>0</v>
      </c>
      <c r="CA174" s="20">
        <v>0</v>
      </c>
      <c r="CB174" s="20">
        <v>0</v>
      </c>
      <c r="CC174" s="20">
        <v>0</v>
      </c>
      <c r="CD174" s="20">
        <v>0</v>
      </c>
      <c r="CE174" s="20">
        <v>0</v>
      </c>
      <c r="CF174" s="20">
        <v>0</v>
      </c>
      <c r="CG174" s="20">
        <v>0</v>
      </c>
      <c r="CH174" s="20">
        <v>0</v>
      </c>
      <c r="CI174" s="20">
        <v>0</v>
      </c>
      <c r="CJ174" s="20">
        <v>0</v>
      </c>
      <c r="CK174" s="20">
        <v>0</v>
      </c>
      <c r="CL174" s="20">
        <v>0</v>
      </c>
      <c r="CM174" s="20">
        <v>0</v>
      </c>
      <c r="CN174" s="20">
        <v>0</v>
      </c>
      <c r="CO174" s="20">
        <v>0</v>
      </c>
      <c r="CP174" s="20">
        <v>0</v>
      </c>
      <c r="CQ174" s="20">
        <v>0</v>
      </c>
      <c r="CR174" s="20">
        <v>0</v>
      </c>
      <c r="CS174" s="20">
        <v>0</v>
      </c>
      <c r="CT174" s="20">
        <v>0</v>
      </c>
      <c r="CU174" s="20">
        <v>0</v>
      </c>
      <c r="CV174" s="20">
        <v>0</v>
      </c>
      <c r="CW174" s="20">
        <v>0</v>
      </c>
      <c r="CX174" s="20">
        <v>0</v>
      </c>
      <c r="CY174" s="20">
        <v>0</v>
      </c>
      <c r="CZ174" s="20">
        <v>0</v>
      </c>
      <c r="DA174" s="20">
        <v>0</v>
      </c>
      <c r="DB174" s="20">
        <v>0</v>
      </c>
      <c r="DC174" s="20">
        <v>0</v>
      </c>
      <c r="DD174" s="20">
        <v>0</v>
      </c>
      <c r="DE174" s="20">
        <v>0</v>
      </c>
      <c r="DF174" s="20">
        <v>0</v>
      </c>
      <c r="DG174" s="16">
        <f t="shared" si="14"/>
        <v>0</v>
      </c>
      <c r="DH174" s="16">
        <f t="shared" si="15"/>
        <v>0</v>
      </c>
      <c r="DI174" s="17" t="str">
        <f t="shared" si="16"/>
        <v/>
      </c>
      <c r="DJ174" s="119" t="s">
        <v>1</v>
      </c>
      <c r="DK174" s="44" t="s">
        <v>1</v>
      </c>
      <c r="DL174" s="44" t="s">
        <v>1330</v>
      </c>
      <c r="DM174" s="44"/>
    </row>
    <row r="175" spans="1:117">
      <c r="A175" s="32" t="str">
        <f t="shared" si="17"/>
        <v>AusNet--&gt; 132 kV; STEEL</v>
      </c>
      <c r="B175" s="32" t="str">
        <f t="shared" si="18"/>
        <v>AusNet</v>
      </c>
      <c r="C175" s="426"/>
      <c r="D175" s="14"/>
      <c r="E175" s="15" t="s">
        <v>168</v>
      </c>
      <c r="F175" s="18">
        <v>0</v>
      </c>
      <c r="G175" s="18">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0">
        <v>0</v>
      </c>
      <c r="AY175" s="20">
        <v>0</v>
      </c>
      <c r="AZ175" s="20">
        <v>0</v>
      </c>
      <c r="BA175" s="20">
        <v>0</v>
      </c>
      <c r="BB175" s="20">
        <v>0</v>
      </c>
      <c r="BC175" s="20">
        <v>0</v>
      </c>
      <c r="BD175" s="20">
        <v>0</v>
      </c>
      <c r="BE175" s="20">
        <v>0</v>
      </c>
      <c r="BF175" s="20">
        <v>0</v>
      </c>
      <c r="BG175" s="20">
        <v>0</v>
      </c>
      <c r="BH175" s="20">
        <v>0</v>
      </c>
      <c r="BI175" s="20">
        <v>0</v>
      </c>
      <c r="BJ175" s="20">
        <v>0</v>
      </c>
      <c r="BK175" s="20">
        <v>0</v>
      </c>
      <c r="BL175" s="20">
        <v>0</v>
      </c>
      <c r="BM175" s="20">
        <v>0</v>
      </c>
      <c r="BN175" s="20">
        <v>0</v>
      </c>
      <c r="BO175" s="20">
        <v>0</v>
      </c>
      <c r="BP175" s="20">
        <v>0</v>
      </c>
      <c r="BQ175" s="20">
        <v>0</v>
      </c>
      <c r="BR175" s="20">
        <v>0</v>
      </c>
      <c r="BS175" s="20">
        <v>0</v>
      </c>
      <c r="BT175" s="20">
        <v>0</v>
      </c>
      <c r="BU175" s="20">
        <v>0</v>
      </c>
      <c r="BV175" s="20">
        <v>0</v>
      </c>
      <c r="BW175" s="20">
        <v>0</v>
      </c>
      <c r="BX175" s="20">
        <v>0</v>
      </c>
      <c r="BY175" s="20">
        <v>0</v>
      </c>
      <c r="BZ175" s="20">
        <v>0</v>
      </c>
      <c r="CA175" s="20">
        <v>0</v>
      </c>
      <c r="CB175" s="20">
        <v>0</v>
      </c>
      <c r="CC175" s="20">
        <v>0</v>
      </c>
      <c r="CD175" s="20">
        <v>0</v>
      </c>
      <c r="CE175" s="20">
        <v>0</v>
      </c>
      <c r="CF175" s="20">
        <v>0</v>
      </c>
      <c r="CG175" s="20">
        <v>0</v>
      </c>
      <c r="CH175" s="20">
        <v>0</v>
      </c>
      <c r="CI175" s="20">
        <v>0</v>
      </c>
      <c r="CJ175" s="20">
        <v>0</v>
      </c>
      <c r="CK175" s="20">
        <v>0</v>
      </c>
      <c r="CL175" s="20">
        <v>0</v>
      </c>
      <c r="CM175" s="20">
        <v>0</v>
      </c>
      <c r="CN175" s="20">
        <v>0</v>
      </c>
      <c r="CO175" s="20">
        <v>0</v>
      </c>
      <c r="CP175" s="20">
        <v>0</v>
      </c>
      <c r="CQ175" s="20">
        <v>0</v>
      </c>
      <c r="CR175" s="20">
        <v>0</v>
      </c>
      <c r="CS175" s="20">
        <v>0</v>
      </c>
      <c r="CT175" s="20">
        <v>0</v>
      </c>
      <c r="CU175" s="20">
        <v>0</v>
      </c>
      <c r="CV175" s="20">
        <v>0</v>
      </c>
      <c r="CW175" s="20">
        <v>0</v>
      </c>
      <c r="CX175" s="20">
        <v>0</v>
      </c>
      <c r="CY175" s="20">
        <v>0</v>
      </c>
      <c r="CZ175" s="20">
        <v>0</v>
      </c>
      <c r="DA175" s="20">
        <v>0</v>
      </c>
      <c r="DB175" s="20">
        <v>0</v>
      </c>
      <c r="DC175" s="20">
        <v>0</v>
      </c>
      <c r="DD175" s="20">
        <v>0</v>
      </c>
      <c r="DE175" s="20">
        <v>0</v>
      </c>
      <c r="DF175" s="20">
        <v>0</v>
      </c>
      <c r="DG175" s="16">
        <f t="shared" si="14"/>
        <v>0</v>
      </c>
      <c r="DH175" s="16">
        <f t="shared" si="15"/>
        <v>0</v>
      </c>
      <c r="DI175" s="17" t="str">
        <f t="shared" si="16"/>
        <v/>
      </c>
      <c r="DJ175" s="119" t="s">
        <v>1</v>
      </c>
      <c r="DK175" s="44" t="s">
        <v>1</v>
      </c>
      <c r="DL175" s="44" t="s">
        <v>1330</v>
      </c>
      <c r="DM175" s="44"/>
    </row>
    <row r="176" spans="1:117">
      <c r="A176" s="32" t="str">
        <f t="shared" si="17"/>
        <v>AusNet--</v>
      </c>
      <c r="B176" s="32" t="str">
        <f t="shared" si="18"/>
        <v>AusNet</v>
      </c>
      <c r="C176" s="426"/>
      <c r="D176" s="14"/>
      <c r="E176" s="15"/>
      <c r="F176" s="18"/>
      <c r="G176" s="18"/>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16">
        <f t="shared" si="14"/>
        <v>0</v>
      </c>
      <c r="DH176" s="16">
        <f t="shared" si="15"/>
        <v>0</v>
      </c>
      <c r="DI176" s="17" t="str">
        <f t="shared" si="16"/>
        <v/>
      </c>
      <c r="DJ176" s="119" t="s">
        <v>1</v>
      </c>
      <c r="DK176" s="44" t="s">
        <v>1</v>
      </c>
      <c r="DL176" s="44" t="s">
        <v>720</v>
      </c>
      <c r="DM176" s="44"/>
    </row>
    <row r="177" spans="1:117">
      <c r="A177" s="32" t="str">
        <f t="shared" si="17"/>
        <v>AusNet--OTHER:  ˂ = 1 kV; CROSS ARMS</v>
      </c>
      <c r="B177" s="32" t="str">
        <f t="shared" si="18"/>
        <v>AusNet</v>
      </c>
      <c r="C177" s="426"/>
      <c r="D177" s="14"/>
      <c r="E177" s="15" t="s">
        <v>439</v>
      </c>
      <c r="F177" s="18">
        <v>49</v>
      </c>
      <c r="G177" s="18">
        <v>8</v>
      </c>
      <c r="H177" s="20">
        <v>4511</v>
      </c>
      <c r="I177" s="20">
        <v>5432</v>
      </c>
      <c r="J177" s="20">
        <v>3766</v>
      </c>
      <c r="K177" s="20">
        <v>2164</v>
      </c>
      <c r="L177" s="20">
        <v>1778</v>
      </c>
      <c r="M177" s="20">
        <v>1107</v>
      </c>
      <c r="N177" s="20">
        <v>874</v>
      </c>
      <c r="O177" s="20">
        <v>922</v>
      </c>
      <c r="P177" s="20">
        <v>518</v>
      </c>
      <c r="Q177" s="20">
        <v>289</v>
      </c>
      <c r="R177" s="20">
        <v>408</v>
      </c>
      <c r="S177" s="20">
        <v>397</v>
      </c>
      <c r="T177" s="20">
        <v>479</v>
      </c>
      <c r="U177" s="20">
        <v>1350</v>
      </c>
      <c r="V177" s="20">
        <v>697</v>
      </c>
      <c r="W177" s="20">
        <v>1138</v>
      </c>
      <c r="X177" s="20">
        <v>142</v>
      </c>
      <c r="Y177" s="20">
        <v>110</v>
      </c>
      <c r="Z177" s="20">
        <v>293</v>
      </c>
      <c r="AA177" s="20">
        <v>329</v>
      </c>
      <c r="AB177" s="20">
        <v>598</v>
      </c>
      <c r="AC177" s="20">
        <v>725</v>
      </c>
      <c r="AD177" s="20">
        <v>459</v>
      </c>
      <c r="AE177" s="20">
        <v>565</v>
      </c>
      <c r="AF177" s="20">
        <v>1062</v>
      </c>
      <c r="AG177" s="20">
        <v>1219</v>
      </c>
      <c r="AH177" s="20">
        <v>942</v>
      </c>
      <c r="AI177" s="20">
        <v>1339</v>
      </c>
      <c r="AJ177" s="20">
        <v>1529</v>
      </c>
      <c r="AK177" s="20">
        <v>1204</v>
      </c>
      <c r="AL177" s="20">
        <v>656</v>
      </c>
      <c r="AM177" s="20">
        <v>433</v>
      </c>
      <c r="AN177" s="20">
        <v>1195</v>
      </c>
      <c r="AO177" s="20">
        <v>1440</v>
      </c>
      <c r="AP177" s="20">
        <v>416</v>
      </c>
      <c r="AQ177" s="20">
        <v>1019</v>
      </c>
      <c r="AR177" s="20">
        <v>901</v>
      </c>
      <c r="AS177" s="20">
        <v>888</v>
      </c>
      <c r="AT177" s="20">
        <v>864</v>
      </c>
      <c r="AU177" s="20">
        <v>524</v>
      </c>
      <c r="AV177" s="20">
        <v>619</v>
      </c>
      <c r="AW177" s="20">
        <v>565</v>
      </c>
      <c r="AX177" s="20">
        <v>516</v>
      </c>
      <c r="AY177" s="20">
        <v>660</v>
      </c>
      <c r="AZ177" s="20">
        <v>772</v>
      </c>
      <c r="BA177" s="20">
        <v>868</v>
      </c>
      <c r="BB177" s="20">
        <v>644</v>
      </c>
      <c r="BC177" s="20">
        <v>366</v>
      </c>
      <c r="BD177" s="20">
        <v>515</v>
      </c>
      <c r="BE177" s="20">
        <v>412</v>
      </c>
      <c r="BF177" s="20">
        <v>272</v>
      </c>
      <c r="BG177" s="20">
        <v>284</v>
      </c>
      <c r="BH177" s="20">
        <v>323</v>
      </c>
      <c r="BI177" s="20">
        <v>398</v>
      </c>
      <c r="BJ177" s="20">
        <v>340</v>
      </c>
      <c r="BK177" s="20">
        <v>241</v>
      </c>
      <c r="BL177" s="20">
        <v>335</v>
      </c>
      <c r="BM177" s="20">
        <v>160</v>
      </c>
      <c r="BN177" s="20">
        <v>100</v>
      </c>
      <c r="BO177" s="20">
        <v>87</v>
      </c>
      <c r="BP177" s="20">
        <v>50</v>
      </c>
      <c r="BQ177" s="20">
        <v>120</v>
      </c>
      <c r="BR177" s="20">
        <v>67</v>
      </c>
      <c r="BS177" s="20">
        <v>118</v>
      </c>
      <c r="BT177" s="20">
        <v>57</v>
      </c>
      <c r="BU177" s="20">
        <v>55</v>
      </c>
      <c r="BV177" s="20">
        <v>73</v>
      </c>
      <c r="BW177" s="20">
        <v>59</v>
      </c>
      <c r="BX177" s="20">
        <v>10</v>
      </c>
      <c r="BY177" s="20">
        <v>13</v>
      </c>
      <c r="BZ177" s="20">
        <v>10</v>
      </c>
      <c r="CA177" s="20">
        <v>43</v>
      </c>
      <c r="CB177" s="20">
        <v>77</v>
      </c>
      <c r="CC177" s="20">
        <v>74</v>
      </c>
      <c r="CD177" s="20">
        <v>76</v>
      </c>
      <c r="CE177" s="20">
        <v>191</v>
      </c>
      <c r="CF177" s="20">
        <v>96</v>
      </c>
      <c r="CG177" s="20">
        <v>105</v>
      </c>
      <c r="CH177" s="20">
        <v>51</v>
      </c>
      <c r="CI177" s="20">
        <v>47</v>
      </c>
      <c r="CJ177" s="20">
        <v>34</v>
      </c>
      <c r="CK177" s="20">
        <v>10</v>
      </c>
      <c r="CL177" s="20">
        <v>3</v>
      </c>
      <c r="CM177" s="20">
        <v>11</v>
      </c>
      <c r="CN177" s="20">
        <v>3</v>
      </c>
      <c r="CO177" s="20">
        <v>12</v>
      </c>
      <c r="CP177" s="20">
        <v>0</v>
      </c>
      <c r="CQ177" s="20">
        <v>20</v>
      </c>
      <c r="CR177" s="20">
        <v>0</v>
      </c>
      <c r="CS177" s="20">
        <v>0</v>
      </c>
      <c r="CT177" s="20">
        <v>0</v>
      </c>
      <c r="CU177" s="20">
        <v>0</v>
      </c>
      <c r="CV177" s="20">
        <v>0</v>
      </c>
      <c r="CW177" s="20">
        <v>0</v>
      </c>
      <c r="CX177" s="20">
        <v>0</v>
      </c>
      <c r="CY177" s="20">
        <v>0</v>
      </c>
      <c r="CZ177" s="20">
        <v>0</v>
      </c>
      <c r="DA177" s="20">
        <v>0</v>
      </c>
      <c r="DB177" s="20">
        <v>0</v>
      </c>
      <c r="DC177" s="20">
        <v>0</v>
      </c>
      <c r="DD177" s="20">
        <v>0</v>
      </c>
      <c r="DE177" s="20">
        <v>0</v>
      </c>
      <c r="DF177" s="20">
        <v>9587</v>
      </c>
      <c r="DG177" s="16">
        <f t="shared" si="14"/>
        <v>64231</v>
      </c>
      <c r="DH177" s="16">
        <f t="shared" si="15"/>
        <v>2202778</v>
      </c>
      <c r="DI177" s="17">
        <f t="shared" si="16"/>
        <v>34.294624091170931</v>
      </c>
      <c r="DJ177" s="119" t="s">
        <v>1</v>
      </c>
      <c r="DK177" s="44" t="s">
        <v>1131</v>
      </c>
      <c r="DL177" s="44"/>
      <c r="DM177" s="44"/>
    </row>
    <row r="178" spans="1:117">
      <c r="A178" s="32" t="str">
        <f t="shared" si="17"/>
        <v>AusNet--OTHER: &gt; 1 kV &amp; &lt; = 11 kV; CROSS ARMS</v>
      </c>
      <c r="B178" s="32" t="str">
        <f t="shared" si="18"/>
        <v>AusNet</v>
      </c>
      <c r="C178" s="426"/>
      <c r="D178" s="14"/>
      <c r="E178" s="15" t="s">
        <v>440</v>
      </c>
      <c r="F178" s="18">
        <v>49</v>
      </c>
      <c r="G178" s="18">
        <v>8</v>
      </c>
      <c r="H178" s="20">
        <v>179</v>
      </c>
      <c r="I178" s="20">
        <v>167</v>
      </c>
      <c r="J178" s="20">
        <v>134</v>
      </c>
      <c r="K178" s="20">
        <v>35</v>
      </c>
      <c r="L178" s="20">
        <v>54</v>
      </c>
      <c r="M178" s="20">
        <v>54</v>
      </c>
      <c r="N178" s="20">
        <v>11</v>
      </c>
      <c r="O178" s="20">
        <v>22</v>
      </c>
      <c r="P178" s="20">
        <v>14</v>
      </c>
      <c r="Q178" s="20">
        <v>13</v>
      </c>
      <c r="R178" s="20">
        <v>12</v>
      </c>
      <c r="S178" s="20">
        <v>5</v>
      </c>
      <c r="T178" s="20">
        <v>6</v>
      </c>
      <c r="U178" s="20">
        <v>9</v>
      </c>
      <c r="V178" s="20">
        <v>19</v>
      </c>
      <c r="W178" s="20">
        <v>26</v>
      </c>
      <c r="X178" s="20">
        <v>6</v>
      </c>
      <c r="Y178" s="20">
        <v>13</v>
      </c>
      <c r="Z178" s="20">
        <v>23</v>
      </c>
      <c r="AA178" s="20">
        <v>3</v>
      </c>
      <c r="AB178" s="20">
        <v>7</v>
      </c>
      <c r="AC178" s="20">
        <v>8</v>
      </c>
      <c r="AD178" s="20">
        <v>8</v>
      </c>
      <c r="AE178" s="20">
        <v>14</v>
      </c>
      <c r="AF178" s="20">
        <v>30</v>
      </c>
      <c r="AG178" s="20">
        <v>38</v>
      </c>
      <c r="AH178" s="20">
        <v>26</v>
      </c>
      <c r="AI178" s="20">
        <v>76</v>
      </c>
      <c r="AJ178" s="20">
        <v>42</v>
      </c>
      <c r="AK178" s="20">
        <v>91</v>
      </c>
      <c r="AL178" s="20">
        <v>40</v>
      </c>
      <c r="AM178" s="20">
        <v>40</v>
      </c>
      <c r="AN178" s="20">
        <v>37</v>
      </c>
      <c r="AO178" s="20">
        <v>21</v>
      </c>
      <c r="AP178" s="20">
        <v>5</v>
      </c>
      <c r="AQ178" s="20">
        <v>21</v>
      </c>
      <c r="AR178" s="20">
        <v>28</v>
      </c>
      <c r="AS178" s="20">
        <v>41</v>
      </c>
      <c r="AT178" s="20">
        <v>53</v>
      </c>
      <c r="AU178" s="20">
        <v>26</v>
      </c>
      <c r="AV178" s="20">
        <v>6</v>
      </c>
      <c r="AW178" s="20">
        <v>5</v>
      </c>
      <c r="AX178" s="20">
        <v>8</v>
      </c>
      <c r="AY178" s="20">
        <v>9</v>
      </c>
      <c r="AZ178" s="20">
        <v>3</v>
      </c>
      <c r="BA178" s="20">
        <v>5</v>
      </c>
      <c r="BB178" s="20">
        <v>11</v>
      </c>
      <c r="BC178" s="20">
        <v>3</v>
      </c>
      <c r="BD178" s="20">
        <v>6</v>
      </c>
      <c r="BE178" s="20">
        <v>8</v>
      </c>
      <c r="BF178" s="20">
        <v>11</v>
      </c>
      <c r="BG178" s="20">
        <v>3</v>
      </c>
      <c r="BH178" s="20">
        <v>10</v>
      </c>
      <c r="BI178" s="20">
        <v>8</v>
      </c>
      <c r="BJ178" s="20">
        <v>6</v>
      </c>
      <c r="BK178" s="20">
        <v>3</v>
      </c>
      <c r="BL178" s="20">
        <v>9</v>
      </c>
      <c r="BM178" s="20">
        <v>6</v>
      </c>
      <c r="BN178" s="20">
        <v>0</v>
      </c>
      <c r="BO178" s="20">
        <v>3</v>
      </c>
      <c r="BP178" s="20">
        <v>1</v>
      </c>
      <c r="BQ178" s="20">
        <v>1</v>
      </c>
      <c r="BR178" s="20">
        <v>0</v>
      </c>
      <c r="BS178" s="20">
        <v>0</v>
      </c>
      <c r="BT178" s="20">
        <v>3</v>
      </c>
      <c r="BU178" s="20">
        <v>0</v>
      </c>
      <c r="BV178" s="20">
        <v>3</v>
      </c>
      <c r="BW178" s="20">
        <v>0</v>
      </c>
      <c r="BX178" s="20">
        <v>2</v>
      </c>
      <c r="BY178" s="20">
        <v>0</v>
      </c>
      <c r="BZ178" s="20">
        <v>2</v>
      </c>
      <c r="CA178" s="20">
        <v>0</v>
      </c>
      <c r="CB178" s="20">
        <v>2</v>
      </c>
      <c r="CC178" s="20">
        <v>0</v>
      </c>
      <c r="CD178" s="20">
        <v>18</v>
      </c>
      <c r="CE178" s="20">
        <v>19</v>
      </c>
      <c r="CF178" s="20">
        <v>5</v>
      </c>
      <c r="CG178" s="20">
        <v>1</v>
      </c>
      <c r="CH178" s="20">
        <v>1</v>
      </c>
      <c r="CI178" s="20">
        <v>8</v>
      </c>
      <c r="CJ178" s="20">
        <v>0</v>
      </c>
      <c r="CK178" s="20">
        <v>0</v>
      </c>
      <c r="CL178" s="20">
        <v>0</v>
      </c>
      <c r="CM178" s="20">
        <v>0</v>
      </c>
      <c r="CN178" s="20">
        <v>0</v>
      </c>
      <c r="CO178" s="20">
        <v>0</v>
      </c>
      <c r="CP178" s="20">
        <v>0</v>
      </c>
      <c r="CQ178" s="20">
        <v>0</v>
      </c>
      <c r="CR178" s="20">
        <v>0</v>
      </c>
      <c r="CS178" s="20">
        <v>0</v>
      </c>
      <c r="CT178" s="20">
        <v>0</v>
      </c>
      <c r="CU178" s="20">
        <v>0</v>
      </c>
      <c r="CV178" s="20">
        <v>0</v>
      </c>
      <c r="CW178" s="20">
        <v>0</v>
      </c>
      <c r="CX178" s="20">
        <v>0</v>
      </c>
      <c r="CY178" s="20">
        <v>0</v>
      </c>
      <c r="CZ178" s="20">
        <v>0</v>
      </c>
      <c r="DA178" s="20">
        <v>0</v>
      </c>
      <c r="DB178" s="20">
        <v>0</v>
      </c>
      <c r="DC178" s="20">
        <v>0</v>
      </c>
      <c r="DD178" s="20">
        <v>0</v>
      </c>
      <c r="DE178" s="20">
        <v>0</v>
      </c>
      <c r="DF178" s="20">
        <v>996</v>
      </c>
      <c r="DG178" s="16">
        <f t="shared" si="14"/>
        <v>2642</v>
      </c>
      <c r="DH178" s="16">
        <f t="shared" si="15"/>
        <v>138177</v>
      </c>
      <c r="DI178" s="17">
        <f t="shared" si="16"/>
        <v>52.300151400454205</v>
      </c>
      <c r="DJ178" s="119" t="s">
        <v>1</v>
      </c>
      <c r="DK178" s="119" t="s">
        <v>1131</v>
      </c>
      <c r="DL178" s="44"/>
      <c r="DM178" s="44"/>
    </row>
    <row r="179" spans="1:117">
      <c r="A179" s="32" t="str">
        <f t="shared" si="17"/>
        <v>AusNet--OTHER: ˃ 11 kV &amp; &lt; = 22 kV; CROSS ARMS</v>
      </c>
      <c r="B179" s="32" t="str">
        <f t="shared" si="18"/>
        <v>AusNet</v>
      </c>
      <c r="C179" s="426"/>
      <c r="D179" s="14"/>
      <c r="E179" s="15" t="s">
        <v>441</v>
      </c>
      <c r="F179" s="18">
        <v>49</v>
      </c>
      <c r="G179" s="18">
        <v>8</v>
      </c>
      <c r="H179" s="20">
        <v>15242</v>
      </c>
      <c r="I179" s="20">
        <v>18156</v>
      </c>
      <c r="J179" s="20">
        <v>16563</v>
      </c>
      <c r="K179" s="20">
        <v>10238</v>
      </c>
      <c r="L179" s="20">
        <v>11196</v>
      </c>
      <c r="M179" s="20">
        <v>9621</v>
      </c>
      <c r="N179" s="20">
        <v>5368</v>
      </c>
      <c r="O179" s="20">
        <v>5071</v>
      </c>
      <c r="P179" s="20">
        <v>3852</v>
      </c>
      <c r="Q179" s="20">
        <v>3217</v>
      </c>
      <c r="R179" s="20">
        <v>2569</v>
      </c>
      <c r="S179" s="20">
        <v>2175</v>
      </c>
      <c r="T179" s="20">
        <v>2935</v>
      </c>
      <c r="U179" s="20">
        <v>6578</v>
      </c>
      <c r="V179" s="20">
        <v>4504</v>
      </c>
      <c r="W179" s="20">
        <v>6748</v>
      </c>
      <c r="X179" s="20">
        <v>1842</v>
      </c>
      <c r="Y179" s="20">
        <v>1577</v>
      </c>
      <c r="Z179" s="20">
        <v>2842</v>
      </c>
      <c r="AA179" s="20">
        <v>3638</v>
      </c>
      <c r="AB179" s="20">
        <v>6435</v>
      </c>
      <c r="AC179" s="20">
        <v>6365</v>
      </c>
      <c r="AD179" s="20">
        <v>5804</v>
      </c>
      <c r="AE179" s="20">
        <v>8000</v>
      </c>
      <c r="AF179" s="20">
        <v>9820</v>
      </c>
      <c r="AG179" s="20">
        <v>8595</v>
      </c>
      <c r="AH179" s="20">
        <v>8296</v>
      </c>
      <c r="AI179" s="20">
        <v>9075</v>
      </c>
      <c r="AJ179" s="20">
        <v>9178</v>
      </c>
      <c r="AK179" s="20">
        <v>9662</v>
      </c>
      <c r="AL179" s="20">
        <v>5841</v>
      </c>
      <c r="AM179" s="20">
        <v>3766</v>
      </c>
      <c r="AN179" s="20">
        <v>9385</v>
      </c>
      <c r="AO179" s="20">
        <v>5972</v>
      </c>
      <c r="AP179" s="20">
        <v>1589</v>
      </c>
      <c r="AQ179" s="20">
        <v>4236</v>
      </c>
      <c r="AR179" s="20">
        <v>4505</v>
      </c>
      <c r="AS179" s="20">
        <v>3778</v>
      </c>
      <c r="AT179" s="20">
        <v>11469</v>
      </c>
      <c r="AU179" s="20">
        <v>1586</v>
      </c>
      <c r="AV179" s="20">
        <v>1391</v>
      </c>
      <c r="AW179" s="20">
        <v>1734</v>
      </c>
      <c r="AX179" s="20">
        <v>2073</v>
      </c>
      <c r="AY179" s="20">
        <v>1979</v>
      </c>
      <c r="AZ179" s="20">
        <v>2164</v>
      </c>
      <c r="BA179" s="20">
        <v>1899</v>
      </c>
      <c r="BB179" s="20">
        <v>1461</v>
      </c>
      <c r="BC179" s="20">
        <v>1468</v>
      </c>
      <c r="BD179" s="20">
        <v>1581</v>
      </c>
      <c r="BE179" s="20">
        <v>1277</v>
      </c>
      <c r="BF179" s="20">
        <v>854</v>
      </c>
      <c r="BG179" s="20">
        <v>929</v>
      </c>
      <c r="BH179" s="20">
        <v>1271</v>
      </c>
      <c r="BI179" s="20">
        <v>788</v>
      </c>
      <c r="BJ179" s="20">
        <v>726</v>
      </c>
      <c r="BK179" s="20">
        <v>431</v>
      </c>
      <c r="BL179" s="20">
        <v>855</v>
      </c>
      <c r="BM179" s="20">
        <v>467</v>
      </c>
      <c r="BN179" s="20">
        <v>356</v>
      </c>
      <c r="BO179" s="20">
        <v>516</v>
      </c>
      <c r="BP179" s="20">
        <v>377</v>
      </c>
      <c r="BQ179" s="20">
        <v>225</v>
      </c>
      <c r="BR179" s="20">
        <v>178</v>
      </c>
      <c r="BS179" s="20">
        <v>277</v>
      </c>
      <c r="BT179" s="20">
        <v>113</v>
      </c>
      <c r="BU179" s="20">
        <v>209</v>
      </c>
      <c r="BV179" s="20">
        <v>111</v>
      </c>
      <c r="BW179" s="20">
        <v>168</v>
      </c>
      <c r="BX179" s="20">
        <v>61</v>
      </c>
      <c r="BY179" s="20">
        <v>29</v>
      </c>
      <c r="BZ179" s="20">
        <v>34</v>
      </c>
      <c r="CA179" s="20">
        <v>96</v>
      </c>
      <c r="CB179" s="20">
        <v>123</v>
      </c>
      <c r="CC179" s="20">
        <v>339</v>
      </c>
      <c r="CD179" s="20">
        <v>285</v>
      </c>
      <c r="CE179" s="20">
        <v>340</v>
      </c>
      <c r="CF179" s="20">
        <v>306</v>
      </c>
      <c r="CG179" s="20">
        <v>376</v>
      </c>
      <c r="CH179" s="20">
        <v>178</v>
      </c>
      <c r="CI179" s="20">
        <v>211</v>
      </c>
      <c r="CJ179" s="20">
        <v>220</v>
      </c>
      <c r="CK179" s="20">
        <v>11</v>
      </c>
      <c r="CL179" s="20">
        <v>5</v>
      </c>
      <c r="CM179" s="20">
        <v>6</v>
      </c>
      <c r="CN179" s="20">
        <v>5</v>
      </c>
      <c r="CO179" s="20">
        <v>39</v>
      </c>
      <c r="CP179" s="20">
        <v>0</v>
      </c>
      <c r="CQ179" s="20">
        <v>10</v>
      </c>
      <c r="CR179" s="20">
        <v>0</v>
      </c>
      <c r="CS179" s="20">
        <v>0</v>
      </c>
      <c r="CT179" s="20">
        <v>2</v>
      </c>
      <c r="CU179" s="20">
        <v>0</v>
      </c>
      <c r="CV179" s="20">
        <v>0</v>
      </c>
      <c r="CW179" s="20">
        <v>5</v>
      </c>
      <c r="CX179" s="20">
        <v>0</v>
      </c>
      <c r="CY179" s="20">
        <v>0</v>
      </c>
      <c r="CZ179" s="20">
        <v>0</v>
      </c>
      <c r="DA179" s="20">
        <v>0</v>
      </c>
      <c r="DB179" s="20">
        <v>0</v>
      </c>
      <c r="DC179" s="20">
        <v>0</v>
      </c>
      <c r="DD179" s="20">
        <v>0</v>
      </c>
      <c r="DE179" s="20">
        <v>0</v>
      </c>
      <c r="DF179" s="20">
        <v>31267</v>
      </c>
      <c r="DG179" s="16">
        <f t="shared" si="14"/>
        <v>327115</v>
      </c>
      <c r="DH179" s="16">
        <f t="shared" si="15"/>
        <v>9591548</v>
      </c>
      <c r="DI179" s="17">
        <f t="shared" si="16"/>
        <v>29.321639178882045</v>
      </c>
      <c r="DJ179" s="119" t="s">
        <v>1</v>
      </c>
      <c r="DK179" s="119" t="s">
        <v>1131</v>
      </c>
      <c r="DL179" s="44"/>
      <c r="DM179" s="44"/>
    </row>
    <row r="180" spans="1:117">
      <c r="A180" s="32" t="str">
        <f t="shared" si="17"/>
        <v>AusNet--OTHER: &gt; 22 kV &amp; &lt; = 66 kV; CROSS ARMS</v>
      </c>
      <c r="B180" s="32" t="str">
        <f t="shared" si="18"/>
        <v>AusNet</v>
      </c>
      <c r="C180" s="426"/>
      <c r="D180" s="14"/>
      <c r="E180" s="15" t="s">
        <v>442</v>
      </c>
      <c r="F180" s="18">
        <v>60</v>
      </c>
      <c r="G180" s="18">
        <v>20</v>
      </c>
      <c r="H180" s="20">
        <v>1383</v>
      </c>
      <c r="I180" s="20">
        <v>1694</v>
      </c>
      <c r="J180" s="20">
        <v>1733</v>
      </c>
      <c r="K180" s="20">
        <v>1280</v>
      </c>
      <c r="L180" s="20">
        <v>1704</v>
      </c>
      <c r="M180" s="20">
        <v>1743</v>
      </c>
      <c r="N180" s="20">
        <v>827</v>
      </c>
      <c r="O180" s="20">
        <v>995</v>
      </c>
      <c r="P180" s="20">
        <v>869</v>
      </c>
      <c r="Q180" s="20">
        <v>481</v>
      </c>
      <c r="R180" s="20">
        <v>369</v>
      </c>
      <c r="S180" s="20">
        <v>423</v>
      </c>
      <c r="T180" s="20">
        <v>437</v>
      </c>
      <c r="U180" s="20">
        <v>982</v>
      </c>
      <c r="V180" s="20">
        <v>858</v>
      </c>
      <c r="W180" s="20">
        <v>513</v>
      </c>
      <c r="X180" s="20">
        <v>174</v>
      </c>
      <c r="Y180" s="20">
        <v>172</v>
      </c>
      <c r="Z180" s="20">
        <v>633</v>
      </c>
      <c r="AA180" s="20">
        <v>472</v>
      </c>
      <c r="AB180" s="20">
        <v>917</v>
      </c>
      <c r="AC180" s="20">
        <v>600</v>
      </c>
      <c r="AD180" s="20">
        <v>511</v>
      </c>
      <c r="AE180" s="20">
        <v>1627</v>
      </c>
      <c r="AF180" s="20">
        <v>1447</v>
      </c>
      <c r="AG180" s="20">
        <v>1207</v>
      </c>
      <c r="AH180" s="20">
        <v>996</v>
      </c>
      <c r="AI180" s="20">
        <v>1275</v>
      </c>
      <c r="AJ180" s="20">
        <v>1418</v>
      </c>
      <c r="AK180" s="20">
        <v>2272</v>
      </c>
      <c r="AL180" s="20">
        <v>944</v>
      </c>
      <c r="AM180" s="20">
        <v>526</v>
      </c>
      <c r="AN180" s="20">
        <v>3545</v>
      </c>
      <c r="AO180" s="20">
        <v>1162</v>
      </c>
      <c r="AP180" s="20">
        <v>555</v>
      </c>
      <c r="AQ180" s="20">
        <v>700</v>
      </c>
      <c r="AR180" s="20">
        <v>1653</v>
      </c>
      <c r="AS180" s="20">
        <v>1961</v>
      </c>
      <c r="AT180" s="20">
        <v>3184</v>
      </c>
      <c r="AU180" s="20">
        <v>121</v>
      </c>
      <c r="AV180" s="20">
        <v>121</v>
      </c>
      <c r="AW180" s="20">
        <v>85</v>
      </c>
      <c r="AX180" s="20">
        <v>65</v>
      </c>
      <c r="AY180" s="20">
        <v>87</v>
      </c>
      <c r="AZ180" s="20">
        <v>97</v>
      </c>
      <c r="BA180" s="20">
        <v>82</v>
      </c>
      <c r="BB180" s="20">
        <v>286</v>
      </c>
      <c r="BC180" s="20">
        <v>152</v>
      </c>
      <c r="BD180" s="20">
        <v>108</v>
      </c>
      <c r="BE180" s="20">
        <v>17</v>
      </c>
      <c r="BF180" s="20">
        <v>54</v>
      </c>
      <c r="BG180" s="20">
        <v>9</v>
      </c>
      <c r="BH180" s="20">
        <v>235</v>
      </c>
      <c r="BI180" s="20">
        <v>39</v>
      </c>
      <c r="BJ180" s="20">
        <v>14</v>
      </c>
      <c r="BK180" s="20">
        <v>18</v>
      </c>
      <c r="BL180" s="20">
        <v>40</v>
      </c>
      <c r="BM180" s="20">
        <v>46</v>
      </c>
      <c r="BN180" s="20">
        <v>70</v>
      </c>
      <c r="BO180" s="20">
        <v>4</v>
      </c>
      <c r="BP180" s="20">
        <v>2</v>
      </c>
      <c r="BQ180" s="20">
        <v>2</v>
      </c>
      <c r="BR180" s="20">
        <v>1</v>
      </c>
      <c r="BS180" s="20">
        <v>1</v>
      </c>
      <c r="BT180" s="20">
        <v>9</v>
      </c>
      <c r="BU180" s="20">
        <v>7</v>
      </c>
      <c r="BV180" s="20">
        <v>1</v>
      </c>
      <c r="BW180" s="20">
        <v>5</v>
      </c>
      <c r="BX180" s="20">
        <v>8</v>
      </c>
      <c r="BY180" s="20">
        <v>0</v>
      </c>
      <c r="BZ180" s="20">
        <v>45</v>
      </c>
      <c r="CA180" s="20">
        <v>7</v>
      </c>
      <c r="CB180" s="20">
        <v>23</v>
      </c>
      <c r="CC180" s="20">
        <v>17</v>
      </c>
      <c r="CD180" s="20">
        <v>29</v>
      </c>
      <c r="CE180" s="20">
        <v>52</v>
      </c>
      <c r="CF180" s="20">
        <v>16</v>
      </c>
      <c r="CG180" s="20">
        <v>3</v>
      </c>
      <c r="CH180" s="20">
        <v>4</v>
      </c>
      <c r="CI180" s="20">
        <v>3</v>
      </c>
      <c r="CJ180" s="20">
        <v>2</v>
      </c>
      <c r="CK180" s="20">
        <v>1</v>
      </c>
      <c r="CL180" s="20">
        <v>0</v>
      </c>
      <c r="CM180" s="20">
        <v>0</v>
      </c>
      <c r="CN180" s="20">
        <v>0</v>
      </c>
      <c r="CO180" s="20">
        <v>0</v>
      </c>
      <c r="CP180" s="20">
        <v>0</v>
      </c>
      <c r="CQ180" s="20">
        <v>0</v>
      </c>
      <c r="CR180" s="20">
        <v>0</v>
      </c>
      <c r="CS180" s="20">
        <v>0</v>
      </c>
      <c r="CT180" s="20">
        <v>0</v>
      </c>
      <c r="CU180" s="20">
        <v>0</v>
      </c>
      <c r="CV180" s="20">
        <v>0</v>
      </c>
      <c r="CW180" s="20">
        <v>0</v>
      </c>
      <c r="CX180" s="20">
        <v>0</v>
      </c>
      <c r="CY180" s="20">
        <v>0</v>
      </c>
      <c r="CZ180" s="20">
        <v>0</v>
      </c>
      <c r="DA180" s="20">
        <v>0</v>
      </c>
      <c r="DB180" s="20">
        <v>0</v>
      </c>
      <c r="DC180" s="20">
        <v>0</v>
      </c>
      <c r="DD180" s="20">
        <v>0</v>
      </c>
      <c r="DE180" s="20">
        <v>0</v>
      </c>
      <c r="DF180" s="20">
        <v>2181</v>
      </c>
      <c r="DG180" s="16">
        <f t="shared" si="14"/>
        <v>48411</v>
      </c>
      <c r="DH180" s="16">
        <f t="shared" si="15"/>
        <v>1293310</v>
      </c>
      <c r="DI180" s="17">
        <f t="shared" si="16"/>
        <v>26.715209353246163</v>
      </c>
      <c r="DJ180" s="119" t="s">
        <v>1</v>
      </c>
      <c r="DK180" s="119" t="s">
        <v>1131</v>
      </c>
      <c r="DL180" s="44"/>
      <c r="DM180" s="44"/>
    </row>
    <row r="181" spans="1:117" ht="45">
      <c r="A181" s="32" t="str">
        <f t="shared" si="17"/>
        <v>AusNet-OVERHEAD CONDUCTORS BY: 
HIGHEST OPERATING VOLTAGE; NUMBER OF PHASES (AT HV)-˂ = 1 kV</v>
      </c>
      <c r="B181" s="32" t="str">
        <f t="shared" si="18"/>
        <v>AusNet</v>
      </c>
      <c r="C181" s="426"/>
      <c r="D181" s="14" t="s">
        <v>538</v>
      </c>
      <c r="E181" s="15" t="s">
        <v>171</v>
      </c>
      <c r="F181" s="18">
        <v>45</v>
      </c>
      <c r="G181" s="18">
        <v>10</v>
      </c>
      <c r="H181" s="20">
        <v>11.13161899</v>
      </c>
      <c r="I181" s="20">
        <v>48.11063815</v>
      </c>
      <c r="J181" s="20">
        <v>11.763308</v>
      </c>
      <c r="K181" s="20">
        <v>14.528522669999999</v>
      </c>
      <c r="L181" s="20">
        <v>104.1283755</v>
      </c>
      <c r="M181" s="20">
        <v>23.100592429999999</v>
      </c>
      <c r="N181" s="20">
        <v>15.773851580000001</v>
      </c>
      <c r="O181" s="20">
        <v>16.363381950000001</v>
      </c>
      <c r="P181" s="20">
        <v>18.185546899999999</v>
      </c>
      <c r="Q181" s="20">
        <v>21.56417729</v>
      </c>
      <c r="R181" s="20">
        <v>17.868872530000001</v>
      </c>
      <c r="S181" s="20">
        <v>11.41558551</v>
      </c>
      <c r="T181" s="20">
        <v>22.90749439</v>
      </c>
      <c r="U181" s="20">
        <v>25.76865321</v>
      </c>
      <c r="V181" s="20">
        <v>49.974666169999999</v>
      </c>
      <c r="W181" s="20">
        <v>86.026565759999997</v>
      </c>
      <c r="X181" s="20">
        <v>266.5854152</v>
      </c>
      <c r="Y181" s="20">
        <v>15.6228669</v>
      </c>
      <c r="Z181" s="20">
        <v>32.360697520000002</v>
      </c>
      <c r="AA181" s="20">
        <v>26.838242399999999</v>
      </c>
      <c r="AB181" s="20">
        <v>16.022640160000002</v>
      </c>
      <c r="AC181" s="20">
        <v>19.814667010000001</v>
      </c>
      <c r="AD181" s="20">
        <v>2.9689363040000001</v>
      </c>
      <c r="AE181" s="20">
        <v>4.7361867760000003</v>
      </c>
      <c r="AF181" s="20">
        <v>5.7264764340000003</v>
      </c>
      <c r="AG181" s="20">
        <v>4.4229207439999998</v>
      </c>
      <c r="AH181" s="20">
        <v>4.248195688</v>
      </c>
      <c r="AI181" s="20">
        <v>3.6708412259999998</v>
      </c>
      <c r="AJ181" s="20">
        <v>2.9354693429999998</v>
      </c>
      <c r="AK181" s="20">
        <v>7.8189904300000004</v>
      </c>
      <c r="AL181" s="20">
        <v>7.5778309950000002</v>
      </c>
      <c r="AM181" s="20">
        <v>8.4243073660000007</v>
      </c>
      <c r="AN181" s="20">
        <v>0.10277536399999999</v>
      </c>
      <c r="AO181" s="20">
        <v>5483.6023610000002</v>
      </c>
      <c r="AP181" s="20">
        <v>3.75444047</v>
      </c>
      <c r="AQ181" s="20">
        <v>2.3426538E-2</v>
      </c>
      <c r="AR181" s="20">
        <v>5.2219883000000002E-2</v>
      </c>
      <c r="AS181" s="20">
        <v>0.27574449099999998</v>
      </c>
      <c r="AT181" s="20">
        <v>0</v>
      </c>
      <c r="AU181" s="20">
        <v>0.166275794</v>
      </c>
      <c r="AV181" s="20">
        <v>0</v>
      </c>
      <c r="AW181" s="20">
        <v>0</v>
      </c>
      <c r="AX181" s="20">
        <v>0</v>
      </c>
      <c r="AY181" s="20">
        <v>190.94030789999999</v>
      </c>
      <c r="AZ181" s="20">
        <v>0</v>
      </c>
      <c r="BA181" s="20">
        <v>0.26128668100000002</v>
      </c>
      <c r="BB181" s="20">
        <v>0</v>
      </c>
      <c r="BC181" s="20">
        <v>0</v>
      </c>
      <c r="BD181" s="20">
        <v>6.1266484000000003E-2</v>
      </c>
      <c r="BE181" s="20">
        <v>0</v>
      </c>
      <c r="BF181" s="20">
        <v>0</v>
      </c>
      <c r="BG181" s="20">
        <v>0</v>
      </c>
      <c r="BH181" s="20">
        <v>0</v>
      </c>
      <c r="BI181" s="20">
        <v>5.5837557000000003E-2</v>
      </c>
      <c r="BJ181" s="20">
        <v>0</v>
      </c>
      <c r="BK181" s="20">
        <v>0.348224217</v>
      </c>
      <c r="BL181" s="20">
        <v>0</v>
      </c>
      <c r="BM181" s="20">
        <v>0</v>
      </c>
      <c r="BN181" s="20">
        <v>0.47543842400000003</v>
      </c>
      <c r="BO181" s="20">
        <v>0</v>
      </c>
      <c r="BP181" s="20">
        <v>0</v>
      </c>
      <c r="BQ181" s="20">
        <v>0</v>
      </c>
      <c r="BR181" s="20">
        <v>0</v>
      </c>
      <c r="BS181" s="20">
        <v>0</v>
      </c>
      <c r="BT181" s="20">
        <v>0</v>
      </c>
      <c r="BU181" s="20">
        <v>0</v>
      </c>
      <c r="BV181" s="20">
        <v>0</v>
      </c>
      <c r="BW181" s="20">
        <v>0</v>
      </c>
      <c r="BX181" s="20">
        <v>0</v>
      </c>
      <c r="BY181" s="20">
        <v>0</v>
      </c>
      <c r="BZ181" s="20">
        <v>0</v>
      </c>
      <c r="CA181" s="20">
        <v>0</v>
      </c>
      <c r="CB181" s="20">
        <v>0</v>
      </c>
      <c r="CC181" s="20">
        <v>0</v>
      </c>
      <c r="CD181" s="20">
        <v>0</v>
      </c>
      <c r="CE181" s="20">
        <v>0</v>
      </c>
      <c r="CF181" s="20">
        <v>0</v>
      </c>
      <c r="CG181" s="20">
        <v>0</v>
      </c>
      <c r="CH181" s="20">
        <v>0</v>
      </c>
      <c r="CI181" s="20">
        <v>0</v>
      </c>
      <c r="CJ181" s="20">
        <v>0</v>
      </c>
      <c r="CK181" s="20">
        <v>0</v>
      </c>
      <c r="CL181" s="20">
        <v>0</v>
      </c>
      <c r="CM181" s="20">
        <v>0</v>
      </c>
      <c r="CN181" s="20">
        <v>0</v>
      </c>
      <c r="CO181" s="20">
        <v>0</v>
      </c>
      <c r="CP181" s="20">
        <v>0</v>
      </c>
      <c r="CQ181" s="20">
        <v>0</v>
      </c>
      <c r="CR181" s="20">
        <v>0</v>
      </c>
      <c r="CS181" s="20">
        <v>0</v>
      </c>
      <c r="CT181" s="20">
        <v>0</v>
      </c>
      <c r="CU181" s="20">
        <v>0</v>
      </c>
      <c r="CV181" s="20">
        <v>0</v>
      </c>
      <c r="CW181" s="20">
        <v>0</v>
      </c>
      <c r="CX181" s="20">
        <v>0</v>
      </c>
      <c r="CY181" s="20">
        <v>0</v>
      </c>
      <c r="CZ181" s="20">
        <v>0</v>
      </c>
      <c r="DA181" s="20">
        <v>0</v>
      </c>
      <c r="DB181" s="20">
        <v>0</v>
      </c>
      <c r="DC181" s="20">
        <v>0</v>
      </c>
      <c r="DD181" s="20">
        <v>0</v>
      </c>
      <c r="DE181" s="20">
        <v>0</v>
      </c>
      <c r="DF181" s="20">
        <v>108</v>
      </c>
      <c r="DG181" s="16">
        <f t="shared" si="14"/>
        <v>6716.506140329001</v>
      </c>
      <c r="DH181" s="16">
        <f t="shared" si="15"/>
        <v>219005.89533636498</v>
      </c>
      <c r="DI181" s="17">
        <f t="shared" si="16"/>
        <v>32.607116075030817</v>
      </c>
      <c r="DJ181" s="119" t="s">
        <v>718</v>
      </c>
      <c r="DK181" t="s">
        <v>718</v>
      </c>
    </row>
    <row r="182" spans="1:117">
      <c r="A182" s="32" t="str">
        <f t="shared" si="17"/>
        <v>AusNet--&gt; 1 kV &amp; &lt; = 11 kV</v>
      </c>
      <c r="B182" s="32" t="str">
        <f t="shared" si="18"/>
        <v>AusNet</v>
      </c>
      <c r="C182" s="426"/>
      <c r="D182" s="14"/>
      <c r="E182" s="15" t="s">
        <v>172</v>
      </c>
      <c r="F182" s="18">
        <v>45</v>
      </c>
      <c r="G182" s="18">
        <v>10</v>
      </c>
      <c r="H182" s="20">
        <v>1.0790208130000001</v>
      </c>
      <c r="I182" s="20">
        <v>0.14445392700000001</v>
      </c>
      <c r="J182" s="20">
        <v>3.3742659999999999E-3</v>
      </c>
      <c r="K182" s="20">
        <v>0.1042971</v>
      </c>
      <c r="L182" s="20">
        <v>0.128765033</v>
      </c>
      <c r="M182" s="20">
        <v>0</v>
      </c>
      <c r="N182" s="20">
        <v>1.9808907440000001</v>
      </c>
      <c r="O182" s="20">
        <v>1.597464333</v>
      </c>
      <c r="P182" s="20">
        <v>1.199672793</v>
      </c>
      <c r="Q182" s="20">
        <v>0</v>
      </c>
      <c r="R182" s="20">
        <v>7.5668715999999997E-2</v>
      </c>
      <c r="S182" s="20">
        <v>6.0019130000000002E-3</v>
      </c>
      <c r="T182" s="20">
        <v>0</v>
      </c>
      <c r="U182" s="20">
        <v>0.70519844700000001</v>
      </c>
      <c r="V182" s="20">
        <v>0.222996312</v>
      </c>
      <c r="W182" s="20">
        <v>2.8622466969999998</v>
      </c>
      <c r="X182" s="20">
        <v>4.8451710200000004</v>
      </c>
      <c r="Y182" s="20">
        <v>2.7110309020000001</v>
      </c>
      <c r="Z182" s="20">
        <v>1.574243528</v>
      </c>
      <c r="AA182" s="20">
        <v>0.10250564700000001</v>
      </c>
      <c r="AB182" s="20">
        <v>1.2461928819999999</v>
      </c>
      <c r="AC182" s="20">
        <v>2.3273755880000002</v>
      </c>
      <c r="AD182" s="20">
        <v>1.415980539</v>
      </c>
      <c r="AE182" s="20">
        <v>2.7383588919999999</v>
      </c>
      <c r="AF182" s="20">
        <v>1.9498494</v>
      </c>
      <c r="AG182" s="20">
        <v>2.6766125249999999</v>
      </c>
      <c r="AH182" s="20">
        <v>1.674037483</v>
      </c>
      <c r="AI182" s="20">
        <v>0.92137297299999998</v>
      </c>
      <c r="AJ182" s="20">
        <v>1.096444207</v>
      </c>
      <c r="AK182" s="20">
        <v>1.2232231629999999</v>
      </c>
      <c r="AL182" s="20">
        <v>0.41211095599999997</v>
      </c>
      <c r="AM182" s="20">
        <v>0.52882727799999996</v>
      </c>
      <c r="AN182" s="20">
        <v>0.50853650500000003</v>
      </c>
      <c r="AO182" s="20">
        <v>2.6234067319999999</v>
      </c>
      <c r="AP182" s="20">
        <v>2.1988896000000001E-2</v>
      </c>
      <c r="AQ182" s="20">
        <v>0.126957654</v>
      </c>
      <c r="AR182" s="20">
        <v>2.0047638550000002</v>
      </c>
      <c r="AS182" s="20">
        <v>2.3469205500000001</v>
      </c>
      <c r="AT182" s="20">
        <v>7.6033068510000001</v>
      </c>
      <c r="AU182" s="20">
        <v>1.17193287</v>
      </c>
      <c r="AV182" s="20">
        <v>0.36734609400000001</v>
      </c>
      <c r="AW182" s="20">
        <v>0.39329646400000001</v>
      </c>
      <c r="AX182" s="20">
        <v>1.6665960980000001</v>
      </c>
      <c r="AY182" s="20">
        <v>3.0396018640000002</v>
      </c>
      <c r="AZ182" s="20">
        <v>1.1325178229999999</v>
      </c>
      <c r="BA182" s="20">
        <v>0.61933892000000001</v>
      </c>
      <c r="BB182" s="20">
        <v>1.114305382</v>
      </c>
      <c r="BC182" s="20">
        <v>0.63978554899999995</v>
      </c>
      <c r="BD182" s="20">
        <v>1.1109757339999999</v>
      </c>
      <c r="BE182" s="20">
        <v>0.61002328800000005</v>
      </c>
      <c r="BF182" s="20">
        <v>0.43253144900000001</v>
      </c>
      <c r="BG182" s="20">
        <v>0.24082856</v>
      </c>
      <c r="BH182" s="20">
        <v>0.60879855900000002</v>
      </c>
      <c r="BI182" s="20">
        <v>1.0367903279999999</v>
      </c>
      <c r="BJ182" s="20">
        <v>0.36046819800000002</v>
      </c>
      <c r="BK182" s="20">
        <v>0.58833089000000005</v>
      </c>
      <c r="BL182" s="20">
        <v>0.255643226</v>
      </c>
      <c r="BM182" s="20">
        <v>0.25653357900000001</v>
      </c>
      <c r="BN182" s="20">
        <v>0</v>
      </c>
      <c r="BO182" s="20">
        <v>9.2479746000000002E-2</v>
      </c>
      <c r="BP182" s="20">
        <v>2.1662561E-2</v>
      </c>
      <c r="BQ182" s="20">
        <v>0.16052256500000001</v>
      </c>
      <c r="BR182" s="20">
        <v>0</v>
      </c>
      <c r="BS182" s="20">
        <v>5.8447497000000001E-2</v>
      </c>
      <c r="BT182" s="20">
        <v>0.36060023000000002</v>
      </c>
      <c r="BU182" s="20">
        <v>6.6212202999999997E-2</v>
      </c>
      <c r="BV182" s="20">
        <v>6.1831870999999997E-2</v>
      </c>
      <c r="BW182" s="20">
        <v>0.56031246899999998</v>
      </c>
      <c r="BX182" s="20">
        <v>0</v>
      </c>
      <c r="BY182" s="20">
        <v>0</v>
      </c>
      <c r="BZ182" s="20">
        <v>0</v>
      </c>
      <c r="CA182" s="20">
        <v>0</v>
      </c>
      <c r="CB182" s="20">
        <v>0.656884947</v>
      </c>
      <c r="CC182" s="20">
        <v>0.51349858100000001</v>
      </c>
      <c r="CD182" s="20">
        <v>0.72898930500000003</v>
      </c>
      <c r="CE182" s="20">
        <v>0.96754160199999995</v>
      </c>
      <c r="CF182" s="20">
        <v>0</v>
      </c>
      <c r="CG182" s="20">
        <v>0.28488180499999999</v>
      </c>
      <c r="CH182" s="20">
        <v>0.389722815</v>
      </c>
      <c r="CI182" s="20">
        <v>0.41990475799999999</v>
      </c>
      <c r="CJ182" s="20">
        <v>5.1119019999999998E-3</v>
      </c>
      <c r="CK182" s="20">
        <v>0.47639142499999998</v>
      </c>
      <c r="CL182" s="20">
        <v>2.1472324000000001E-2</v>
      </c>
      <c r="CM182" s="20">
        <v>3.4284422000000002E-2</v>
      </c>
      <c r="CN182" s="20">
        <v>1.2488334E-2</v>
      </c>
      <c r="CO182" s="20">
        <v>8.9890030000000006E-3</v>
      </c>
      <c r="CP182" s="20">
        <v>6.256686E-3</v>
      </c>
      <c r="CQ182" s="20">
        <v>6.0016269999999998E-3</v>
      </c>
      <c r="CR182" s="20">
        <v>2.3323358999999998E-2</v>
      </c>
      <c r="CS182" s="20">
        <v>3.5525016999999999E-2</v>
      </c>
      <c r="CT182" s="20">
        <v>8.1692150000000005E-3</v>
      </c>
      <c r="CU182" s="20">
        <v>7.8440980000000007E-3</v>
      </c>
      <c r="CV182" s="20">
        <v>3.0037079999999999E-3</v>
      </c>
      <c r="CW182" s="20">
        <v>1.7934384000000001E-2</v>
      </c>
      <c r="CX182" s="20">
        <v>0</v>
      </c>
      <c r="CY182" s="20">
        <v>0</v>
      </c>
      <c r="CZ182" s="20">
        <v>0</v>
      </c>
      <c r="DA182" s="20">
        <v>0</v>
      </c>
      <c r="DB182" s="20">
        <v>0</v>
      </c>
      <c r="DC182" s="20">
        <v>0</v>
      </c>
      <c r="DD182" s="20">
        <v>0</v>
      </c>
      <c r="DE182" s="20">
        <v>0</v>
      </c>
      <c r="DF182" s="20">
        <v>1.587989936</v>
      </c>
      <c r="DG182" s="16">
        <f t="shared" si="14"/>
        <v>76.03319238999994</v>
      </c>
      <c r="DH182" s="16">
        <f t="shared" si="15"/>
        <v>2644.4057004150004</v>
      </c>
      <c r="DI182" s="17">
        <f t="shared" si="16"/>
        <v>34.779622126754191</v>
      </c>
      <c r="DJ182" s="119" t="s">
        <v>718</v>
      </c>
      <c r="DK182" s="44" t="s">
        <v>718</v>
      </c>
    </row>
    <row r="183" spans="1:117">
      <c r="A183" s="32" t="str">
        <f t="shared" si="17"/>
        <v>AusNet--˃ 11 kV &amp; &lt; = 22 kV  ; SWER</v>
      </c>
      <c r="B183" s="32" t="str">
        <f t="shared" si="18"/>
        <v>AusNet</v>
      </c>
      <c r="C183" s="426"/>
      <c r="D183" s="14"/>
      <c r="E183" s="15" t="s">
        <v>177</v>
      </c>
      <c r="F183" s="18">
        <v>45</v>
      </c>
      <c r="G183" s="18">
        <v>10</v>
      </c>
      <c r="H183" s="20">
        <v>27.75044948</v>
      </c>
      <c r="I183" s="20">
        <v>71.462777849999995</v>
      </c>
      <c r="J183" s="20">
        <v>16.549020590000001</v>
      </c>
      <c r="K183" s="20">
        <v>13.915811120000001</v>
      </c>
      <c r="L183" s="20">
        <v>15.42871543</v>
      </c>
      <c r="M183" s="20">
        <v>24.692991630000002</v>
      </c>
      <c r="N183" s="20">
        <v>38.64435623</v>
      </c>
      <c r="O183" s="20">
        <v>34.225741829999997</v>
      </c>
      <c r="P183" s="20">
        <v>30.637657440000002</v>
      </c>
      <c r="Q183" s="20">
        <v>25.248380350000001</v>
      </c>
      <c r="R183" s="20">
        <v>30.76287074</v>
      </c>
      <c r="S183" s="20">
        <v>42.800850390000001</v>
      </c>
      <c r="T183" s="20">
        <v>32.660941479999998</v>
      </c>
      <c r="U183" s="20">
        <v>49.6321212</v>
      </c>
      <c r="V183" s="20">
        <v>64.238416400000006</v>
      </c>
      <c r="W183" s="20">
        <v>59.23945835</v>
      </c>
      <c r="X183" s="20">
        <v>81.90579314</v>
      </c>
      <c r="Y183" s="20">
        <v>29.098480250000001</v>
      </c>
      <c r="Z183" s="20">
        <v>22.514379290000001</v>
      </c>
      <c r="AA183" s="20">
        <v>65.34506356</v>
      </c>
      <c r="AB183" s="20">
        <v>51.586020050000002</v>
      </c>
      <c r="AC183" s="20">
        <v>60.141387170000002</v>
      </c>
      <c r="AD183" s="20">
        <v>52.350899130000002</v>
      </c>
      <c r="AE183" s="20">
        <v>125.39591969999999</v>
      </c>
      <c r="AF183" s="20">
        <v>84.657129229999995</v>
      </c>
      <c r="AG183" s="20">
        <v>72.980836310000001</v>
      </c>
      <c r="AH183" s="20">
        <v>43.528695939999999</v>
      </c>
      <c r="AI183" s="20">
        <v>151.73427000000001</v>
      </c>
      <c r="AJ183" s="20">
        <v>94.113006540000001</v>
      </c>
      <c r="AK183" s="20">
        <v>97.86105354</v>
      </c>
      <c r="AL183" s="20">
        <v>85.667419469999999</v>
      </c>
      <c r="AM183" s="20">
        <v>58.80823049</v>
      </c>
      <c r="AN183" s="20">
        <v>124.1047262</v>
      </c>
      <c r="AO183" s="20">
        <v>207.28453999999999</v>
      </c>
      <c r="AP183" s="20">
        <v>48.15604278</v>
      </c>
      <c r="AQ183" s="20">
        <v>100.1255859</v>
      </c>
      <c r="AR183" s="20">
        <v>113.6407475</v>
      </c>
      <c r="AS183" s="20">
        <v>124.9905904</v>
      </c>
      <c r="AT183" s="20">
        <v>140.747747</v>
      </c>
      <c r="AU183" s="20">
        <v>99.9491838</v>
      </c>
      <c r="AV183" s="20">
        <v>70.553272050000004</v>
      </c>
      <c r="AW183" s="20">
        <v>108.8298202</v>
      </c>
      <c r="AX183" s="20">
        <v>100.2889437</v>
      </c>
      <c r="AY183" s="20">
        <v>91.183566420000005</v>
      </c>
      <c r="AZ183" s="20">
        <v>123.50349110000001</v>
      </c>
      <c r="BA183" s="20">
        <v>296.02047090000002</v>
      </c>
      <c r="BB183" s="20">
        <v>226.33073329999999</v>
      </c>
      <c r="BC183" s="20">
        <v>368.19035559999998</v>
      </c>
      <c r="BD183" s="20">
        <v>271.47659670000002</v>
      </c>
      <c r="BE183" s="20">
        <v>324.37568859999999</v>
      </c>
      <c r="BF183" s="20">
        <v>288.07310100000001</v>
      </c>
      <c r="BG183" s="20">
        <v>166.02677209999999</v>
      </c>
      <c r="BH183" s="20">
        <v>201.102462</v>
      </c>
      <c r="BI183" s="20">
        <v>256.64998420000001</v>
      </c>
      <c r="BJ183" s="20">
        <v>150.61577879999999</v>
      </c>
      <c r="BK183" s="20">
        <v>197.91611879999999</v>
      </c>
      <c r="BL183" s="20">
        <v>279.5060474</v>
      </c>
      <c r="BM183" s="20">
        <v>84.034220759999997</v>
      </c>
      <c r="BN183" s="20">
        <v>44.881660449999998</v>
      </c>
      <c r="BO183" s="20">
        <v>4.0660673349999996</v>
      </c>
      <c r="BP183" s="20">
        <v>3.1765370169999998</v>
      </c>
      <c r="BQ183" s="20">
        <v>1.912203479</v>
      </c>
      <c r="BR183" s="20">
        <v>0.425673886</v>
      </c>
      <c r="BS183" s="20">
        <v>1.081496657</v>
      </c>
      <c r="BT183" s="20">
        <v>6.4858495889999999</v>
      </c>
      <c r="BU183" s="20">
        <v>0.46584890299999998</v>
      </c>
      <c r="BV183" s="20">
        <v>4.4532263240000001</v>
      </c>
      <c r="BW183" s="20">
        <v>20.596924489999999</v>
      </c>
      <c r="BX183" s="20">
        <v>0.23012296800000001</v>
      </c>
      <c r="BY183" s="20">
        <v>1.1539861570000001</v>
      </c>
      <c r="BZ183" s="20">
        <v>0</v>
      </c>
      <c r="CA183" s="20">
        <v>0.42884925699999998</v>
      </c>
      <c r="CB183" s="20">
        <v>6.0745932099999997</v>
      </c>
      <c r="CC183" s="20">
        <v>26.706742689999999</v>
      </c>
      <c r="CD183" s="20">
        <v>7.5179019999999999E-3</v>
      </c>
      <c r="CE183" s="20">
        <v>0.327171188</v>
      </c>
      <c r="CF183" s="20">
        <v>0.13787470700000001</v>
      </c>
      <c r="CG183" s="20">
        <v>0.148483013</v>
      </c>
      <c r="CH183" s="20">
        <v>0</v>
      </c>
      <c r="CI183" s="20">
        <v>0</v>
      </c>
      <c r="CJ183" s="20">
        <v>0</v>
      </c>
      <c r="CK183" s="20">
        <v>0</v>
      </c>
      <c r="CL183" s="20">
        <v>0</v>
      </c>
      <c r="CM183" s="20">
        <v>0</v>
      </c>
      <c r="CN183" s="20">
        <v>0</v>
      </c>
      <c r="CO183" s="20">
        <v>0</v>
      </c>
      <c r="CP183" s="20">
        <v>0</v>
      </c>
      <c r="CQ183" s="20">
        <v>0</v>
      </c>
      <c r="CR183" s="20">
        <v>0</v>
      </c>
      <c r="CS183" s="20">
        <v>0</v>
      </c>
      <c r="CT183" s="20">
        <v>0</v>
      </c>
      <c r="CU183" s="20">
        <v>0</v>
      </c>
      <c r="CV183" s="20">
        <v>0</v>
      </c>
      <c r="CW183" s="20">
        <v>0</v>
      </c>
      <c r="CX183" s="20">
        <v>0</v>
      </c>
      <c r="CY183" s="20">
        <v>0</v>
      </c>
      <c r="CZ183" s="20">
        <v>0</v>
      </c>
      <c r="DA183" s="20">
        <v>0</v>
      </c>
      <c r="DB183" s="20">
        <v>0</v>
      </c>
      <c r="DC183" s="20">
        <v>0</v>
      </c>
      <c r="DD183" s="20">
        <v>0</v>
      </c>
      <c r="DE183" s="20">
        <v>0</v>
      </c>
      <c r="DF183" s="20">
        <v>0.560585008</v>
      </c>
      <c r="DG183" s="16">
        <f t="shared" si="14"/>
        <v>6442.5771457599985</v>
      </c>
      <c r="DH183" s="16">
        <f t="shared" si="15"/>
        <v>259156.90853086303</v>
      </c>
      <c r="DI183" s="17">
        <f t="shared" si="16"/>
        <v>40.225658562958749</v>
      </c>
      <c r="DJ183" s="119" t="s">
        <v>718</v>
      </c>
      <c r="DK183" s="44" t="s">
        <v>718</v>
      </c>
    </row>
    <row r="184" spans="1:117">
      <c r="A184" s="32" t="str">
        <f t="shared" si="17"/>
        <v>AusNet--˃ 11 kV &amp; &lt; = 22 kV ; SINGLE-PHASE</v>
      </c>
      <c r="B184" s="32" t="str">
        <f t="shared" si="18"/>
        <v>AusNet</v>
      </c>
      <c r="C184" s="426"/>
      <c r="D184" s="14"/>
      <c r="E184" s="15" t="s">
        <v>178</v>
      </c>
      <c r="F184" s="18">
        <v>0</v>
      </c>
      <c r="G184" s="18">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0">
        <v>0</v>
      </c>
      <c r="AY184" s="20">
        <v>0</v>
      </c>
      <c r="AZ184" s="20">
        <v>0</v>
      </c>
      <c r="BA184" s="20">
        <v>0</v>
      </c>
      <c r="BB184" s="20">
        <v>0</v>
      </c>
      <c r="BC184" s="20">
        <v>0</v>
      </c>
      <c r="BD184" s="20">
        <v>0</v>
      </c>
      <c r="BE184" s="20">
        <v>0</v>
      </c>
      <c r="BF184" s="20">
        <v>0</v>
      </c>
      <c r="BG184" s="20">
        <v>0</v>
      </c>
      <c r="BH184" s="20">
        <v>0</v>
      </c>
      <c r="BI184" s="20">
        <v>0</v>
      </c>
      <c r="BJ184" s="20">
        <v>0</v>
      </c>
      <c r="BK184" s="20">
        <v>0</v>
      </c>
      <c r="BL184" s="20">
        <v>0</v>
      </c>
      <c r="BM184" s="20">
        <v>0</v>
      </c>
      <c r="BN184" s="20">
        <v>0</v>
      </c>
      <c r="BO184" s="20">
        <v>0</v>
      </c>
      <c r="BP184" s="20">
        <v>0</v>
      </c>
      <c r="BQ184" s="20">
        <v>0</v>
      </c>
      <c r="BR184" s="20">
        <v>0</v>
      </c>
      <c r="BS184" s="20">
        <v>0</v>
      </c>
      <c r="BT184" s="20">
        <v>0</v>
      </c>
      <c r="BU184" s="20">
        <v>0</v>
      </c>
      <c r="BV184" s="20">
        <v>0</v>
      </c>
      <c r="BW184" s="20">
        <v>0</v>
      </c>
      <c r="BX184" s="20">
        <v>0</v>
      </c>
      <c r="BY184" s="20">
        <v>0</v>
      </c>
      <c r="BZ184" s="20">
        <v>0</v>
      </c>
      <c r="CA184" s="20">
        <v>0</v>
      </c>
      <c r="CB184" s="20">
        <v>0</v>
      </c>
      <c r="CC184" s="20">
        <v>0</v>
      </c>
      <c r="CD184" s="20">
        <v>0</v>
      </c>
      <c r="CE184" s="20">
        <v>0</v>
      </c>
      <c r="CF184" s="20">
        <v>0</v>
      </c>
      <c r="CG184" s="20">
        <v>0</v>
      </c>
      <c r="CH184" s="20">
        <v>0</v>
      </c>
      <c r="CI184" s="20">
        <v>0</v>
      </c>
      <c r="CJ184" s="20">
        <v>0</v>
      </c>
      <c r="CK184" s="20">
        <v>0</v>
      </c>
      <c r="CL184" s="20">
        <v>0</v>
      </c>
      <c r="CM184" s="20">
        <v>0</v>
      </c>
      <c r="CN184" s="20">
        <v>0</v>
      </c>
      <c r="CO184" s="20">
        <v>0</v>
      </c>
      <c r="CP184" s="20">
        <v>0</v>
      </c>
      <c r="CQ184" s="20">
        <v>0</v>
      </c>
      <c r="CR184" s="20">
        <v>0</v>
      </c>
      <c r="CS184" s="20">
        <v>0</v>
      </c>
      <c r="CT184" s="20">
        <v>0</v>
      </c>
      <c r="CU184" s="20">
        <v>0</v>
      </c>
      <c r="CV184" s="20">
        <v>0</v>
      </c>
      <c r="CW184" s="20">
        <v>0</v>
      </c>
      <c r="CX184" s="20">
        <v>0</v>
      </c>
      <c r="CY184" s="20">
        <v>0</v>
      </c>
      <c r="CZ184" s="20">
        <v>0</v>
      </c>
      <c r="DA184" s="20">
        <v>0</v>
      </c>
      <c r="DB184" s="20">
        <v>0</v>
      </c>
      <c r="DC184" s="20">
        <v>0</v>
      </c>
      <c r="DD184" s="20">
        <v>0</v>
      </c>
      <c r="DE184" s="20">
        <v>0</v>
      </c>
      <c r="DF184" s="20">
        <v>0</v>
      </c>
      <c r="DG184" s="16">
        <f t="shared" si="14"/>
        <v>0</v>
      </c>
      <c r="DH184" s="16">
        <f t="shared" si="15"/>
        <v>0</v>
      </c>
      <c r="DI184" s="17" t="str">
        <f t="shared" si="16"/>
        <v/>
      </c>
      <c r="DJ184" s="119" t="s">
        <v>718</v>
      </c>
      <c r="DK184" s="44" t="s">
        <v>718</v>
      </c>
    </row>
    <row r="185" spans="1:117">
      <c r="A185" s="32" t="str">
        <f t="shared" si="17"/>
        <v>AusNet--˃ 11 kV &amp; &lt; = 22 kV ; MULTIPLE-PHASE</v>
      </c>
      <c r="B185" s="32" t="str">
        <f t="shared" si="18"/>
        <v>AusNet</v>
      </c>
      <c r="C185" s="426"/>
      <c r="D185" s="14"/>
      <c r="E185" s="15" t="s">
        <v>179</v>
      </c>
      <c r="F185" s="18">
        <v>40</v>
      </c>
      <c r="G185" s="18">
        <v>10</v>
      </c>
      <c r="H185" s="20">
        <v>76.434807890000002</v>
      </c>
      <c r="I185" s="20">
        <v>268.86380329999997</v>
      </c>
      <c r="J185" s="20">
        <v>131.21762150000001</v>
      </c>
      <c r="K185" s="20">
        <v>178.15840850000001</v>
      </c>
      <c r="L185" s="20">
        <v>163.4381645</v>
      </c>
      <c r="M185" s="20">
        <v>180.26728550000001</v>
      </c>
      <c r="N185" s="20">
        <v>136.463458</v>
      </c>
      <c r="O185" s="20">
        <v>158.5638357</v>
      </c>
      <c r="P185" s="20">
        <v>188.65543550000001</v>
      </c>
      <c r="Q185" s="20">
        <v>133.79452409999999</v>
      </c>
      <c r="R185" s="20">
        <v>344.42193170000002</v>
      </c>
      <c r="S185" s="20">
        <v>218.14791099999999</v>
      </c>
      <c r="T185" s="20">
        <v>165.6498771</v>
      </c>
      <c r="U185" s="20">
        <v>240.44814740000001</v>
      </c>
      <c r="V185" s="20">
        <v>329.82049519999998</v>
      </c>
      <c r="W185" s="20">
        <v>315.93037459999999</v>
      </c>
      <c r="X185" s="20">
        <v>473.05412960000001</v>
      </c>
      <c r="Y185" s="20">
        <v>109.4711216</v>
      </c>
      <c r="Z185" s="20">
        <v>135.5117218</v>
      </c>
      <c r="AA185" s="20">
        <v>205.35408810000001</v>
      </c>
      <c r="AB185" s="20">
        <v>281.7293487</v>
      </c>
      <c r="AC185" s="20">
        <v>283.59422890000002</v>
      </c>
      <c r="AD185" s="20">
        <v>280.94653419999997</v>
      </c>
      <c r="AE185" s="20">
        <v>418.31455360000001</v>
      </c>
      <c r="AF185" s="20">
        <v>462.5079581</v>
      </c>
      <c r="AG185" s="20">
        <v>428.87561599999998</v>
      </c>
      <c r="AH185" s="20">
        <v>411.61383769999998</v>
      </c>
      <c r="AI185" s="20">
        <v>472.49221749999998</v>
      </c>
      <c r="AJ185" s="20">
        <v>509.0231728</v>
      </c>
      <c r="AK185" s="20">
        <v>577.6423178</v>
      </c>
      <c r="AL185" s="20">
        <v>351.56034770000002</v>
      </c>
      <c r="AM185" s="20">
        <v>242.47892849999999</v>
      </c>
      <c r="AN185" s="20">
        <v>693.28135610000004</v>
      </c>
      <c r="AO185" s="20">
        <v>562.81090319999998</v>
      </c>
      <c r="AP185" s="20">
        <v>188.5086355</v>
      </c>
      <c r="AQ185" s="20">
        <v>400.53964280000002</v>
      </c>
      <c r="AR185" s="20">
        <v>514.80573900000002</v>
      </c>
      <c r="AS185" s="20">
        <v>515.1072762</v>
      </c>
      <c r="AT185" s="20">
        <v>467.7871968</v>
      </c>
      <c r="AU185" s="20">
        <v>415.02864049999999</v>
      </c>
      <c r="AV185" s="20">
        <v>322.83996789999998</v>
      </c>
      <c r="AW185" s="20">
        <v>332.20008860000002</v>
      </c>
      <c r="AX185" s="20">
        <v>458.34290929999997</v>
      </c>
      <c r="AY185" s="20">
        <v>545.77195070000005</v>
      </c>
      <c r="AZ185" s="20">
        <v>641.62046369999996</v>
      </c>
      <c r="BA185" s="20">
        <v>707.5196641</v>
      </c>
      <c r="BB185" s="20">
        <v>686.99259370000004</v>
      </c>
      <c r="BC185" s="20">
        <v>645.23652790000006</v>
      </c>
      <c r="BD185" s="20">
        <v>696.42266659999996</v>
      </c>
      <c r="BE185" s="20">
        <v>505.26636689999998</v>
      </c>
      <c r="BF185" s="20">
        <v>302.9879727</v>
      </c>
      <c r="BG185" s="20">
        <v>282.94191189999998</v>
      </c>
      <c r="BH185" s="20">
        <v>396.7350576</v>
      </c>
      <c r="BI185" s="20">
        <v>279.17400629999997</v>
      </c>
      <c r="BJ185" s="20">
        <v>195.35423349999999</v>
      </c>
      <c r="BK185" s="20">
        <v>199.88712029999999</v>
      </c>
      <c r="BL185" s="20">
        <v>313.03671350000002</v>
      </c>
      <c r="BM185" s="20">
        <v>273.6527021</v>
      </c>
      <c r="BN185" s="20">
        <v>322.58686949999998</v>
      </c>
      <c r="BO185" s="20">
        <v>304.7126591</v>
      </c>
      <c r="BP185" s="20">
        <v>239.21991130000001</v>
      </c>
      <c r="BQ185" s="20">
        <v>175.9331822</v>
      </c>
      <c r="BR185" s="20">
        <v>105.7338302</v>
      </c>
      <c r="BS185" s="20">
        <v>139.2055311</v>
      </c>
      <c r="BT185" s="20">
        <v>149.78551859999999</v>
      </c>
      <c r="BU185" s="20">
        <v>198.1285771</v>
      </c>
      <c r="BV185" s="20">
        <v>127.3800602</v>
      </c>
      <c r="BW185" s="20">
        <v>87.773664940000003</v>
      </c>
      <c r="BX185" s="20">
        <v>33.483691350000001</v>
      </c>
      <c r="BY185" s="20">
        <v>21.591302039999999</v>
      </c>
      <c r="BZ185" s="20">
        <v>14.22407125</v>
      </c>
      <c r="CA185" s="20">
        <v>24.868687609999999</v>
      </c>
      <c r="CB185" s="20">
        <v>53.937963029999999</v>
      </c>
      <c r="CC185" s="20">
        <v>170.41891279999999</v>
      </c>
      <c r="CD185" s="20">
        <v>7.6444971439999998</v>
      </c>
      <c r="CE185" s="20">
        <v>29.945593169999999</v>
      </c>
      <c r="CF185" s="20">
        <v>10.07269653</v>
      </c>
      <c r="CG185" s="20">
        <v>16.691392759999999</v>
      </c>
      <c r="CH185" s="20">
        <v>27.756186190000001</v>
      </c>
      <c r="CI185" s="20">
        <v>10.713548019999999</v>
      </c>
      <c r="CJ185" s="20">
        <v>4.9721148700000004</v>
      </c>
      <c r="CK185" s="20">
        <v>1.2164910149999999</v>
      </c>
      <c r="CL185" s="20">
        <v>4.2328758000000001E-2</v>
      </c>
      <c r="CM185" s="20">
        <v>0.55418029700000004</v>
      </c>
      <c r="CN185" s="20">
        <v>1.8187558E-2</v>
      </c>
      <c r="CO185" s="20">
        <v>1.1760006949999999</v>
      </c>
      <c r="CP185" s="20">
        <v>0</v>
      </c>
      <c r="CQ185" s="20">
        <v>0.74497832100000005</v>
      </c>
      <c r="CR185" s="20">
        <v>0</v>
      </c>
      <c r="CS185" s="20">
        <v>0</v>
      </c>
      <c r="CT185" s="20">
        <v>0</v>
      </c>
      <c r="CU185" s="20">
        <v>0</v>
      </c>
      <c r="CV185" s="20">
        <v>0</v>
      </c>
      <c r="CW185" s="20">
        <v>2.5658310000000002E-3</v>
      </c>
      <c r="CX185" s="20">
        <v>0</v>
      </c>
      <c r="CY185" s="20">
        <v>0</v>
      </c>
      <c r="CZ185" s="20">
        <v>0</v>
      </c>
      <c r="DA185" s="20">
        <v>0</v>
      </c>
      <c r="DB185" s="20">
        <v>0</v>
      </c>
      <c r="DC185" s="20">
        <v>0</v>
      </c>
      <c r="DD185" s="20">
        <v>0</v>
      </c>
      <c r="DE185" s="20">
        <v>0</v>
      </c>
      <c r="DF185" s="20">
        <v>10.613404920000001</v>
      </c>
      <c r="DG185" s="16">
        <f t="shared" si="14"/>
        <v>22709.447109888999</v>
      </c>
      <c r="DH185" s="16">
        <f t="shared" si="15"/>
        <v>836023.73395792453</v>
      </c>
      <c r="DI185" s="17">
        <f t="shared" si="16"/>
        <v>36.813918450435182</v>
      </c>
      <c r="DJ185" s="119" t="s">
        <v>718</v>
      </c>
      <c r="DK185" s="44" t="s">
        <v>718</v>
      </c>
    </row>
    <row r="186" spans="1:117">
      <c r="A186" s="32" t="str">
        <f t="shared" si="17"/>
        <v>AusNet--&gt; 22 kV &amp; &lt; = 66 kV</v>
      </c>
      <c r="B186" s="32" t="str">
        <f t="shared" si="18"/>
        <v>AusNet</v>
      </c>
      <c r="C186" s="426"/>
      <c r="D186" s="14"/>
      <c r="E186" s="15" t="s">
        <v>174</v>
      </c>
      <c r="F186" s="18">
        <v>40</v>
      </c>
      <c r="G186" s="18">
        <v>10</v>
      </c>
      <c r="H186" s="20">
        <v>5.2927635410000002</v>
      </c>
      <c r="I186" s="20">
        <v>44.362056090000003</v>
      </c>
      <c r="J186" s="20">
        <v>9.4009884580000005</v>
      </c>
      <c r="K186" s="20">
        <v>0.93908796999999999</v>
      </c>
      <c r="L186" s="20">
        <v>3.2599785780000001</v>
      </c>
      <c r="M186" s="20">
        <v>12.244993880000001</v>
      </c>
      <c r="N186" s="20">
        <v>3.7031998590000001</v>
      </c>
      <c r="O186" s="20">
        <v>8.5712641349999998</v>
      </c>
      <c r="P186" s="20">
        <v>24.043628569999999</v>
      </c>
      <c r="Q186" s="20">
        <v>8.0982738750000003</v>
      </c>
      <c r="R186" s="20">
        <v>71.342699699999997</v>
      </c>
      <c r="S186" s="20">
        <v>14.725622449999999</v>
      </c>
      <c r="T186" s="20">
        <v>19.342733979999998</v>
      </c>
      <c r="U186" s="20">
        <v>20.90603235</v>
      </c>
      <c r="V186" s="20">
        <v>3.443735931</v>
      </c>
      <c r="W186" s="20">
        <v>84.90308795</v>
      </c>
      <c r="X186" s="20">
        <v>33.209936329999998</v>
      </c>
      <c r="Y186" s="20">
        <v>1.8855867310000001</v>
      </c>
      <c r="Z186" s="20">
        <v>4.5122562569999998</v>
      </c>
      <c r="AA186" s="20">
        <v>0.25879179800000002</v>
      </c>
      <c r="AB186" s="20">
        <v>0.83830839800000001</v>
      </c>
      <c r="AC186" s="20">
        <v>7.726552753</v>
      </c>
      <c r="AD186" s="20">
        <v>3.2634771919999999</v>
      </c>
      <c r="AE186" s="20">
        <v>29.555093129999999</v>
      </c>
      <c r="AF186" s="20">
        <v>6.7639624249999999</v>
      </c>
      <c r="AG186" s="20">
        <v>13.25149964</v>
      </c>
      <c r="AH186" s="20">
        <v>44.437739319999999</v>
      </c>
      <c r="AI186" s="20">
        <v>12.56796705</v>
      </c>
      <c r="AJ186" s="20">
        <v>56.358974109999998</v>
      </c>
      <c r="AK186" s="20">
        <v>116.8937696</v>
      </c>
      <c r="AL186" s="20">
        <v>21.240744970000002</v>
      </c>
      <c r="AM186" s="20">
        <v>0</v>
      </c>
      <c r="AN186" s="20">
        <v>60.467529630000001</v>
      </c>
      <c r="AO186" s="20">
        <v>93.169083740000005</v>
      </c>
      <c r="AP186" s="20">
        <v>37.139385760000003</v>
      </c>
      <c r="AQ186" s="20">
        <v>36.947921909999998</v>
      </c>
      <c r="AR186" s="20">
        <v>3.4234307400000001</v>
      </c>
      <c r="AS186" s="20">
        <v>39.076547859999998</v>
      </c>
      <c r="AT186" s="20">
        <v>90.28449809</v>
      </c>
      <c r="AU186" s="20">
        <v>73.112279740000005</v>
      </c>
      <c r="AV186" s="20">
        <v>107.7054196</v>
      </c>
      <c r="AW186" s="20">
        <v>8.421836485</v>
      </c>
      <c r="AX186" s="20">
        <v>73.824021700000003</v>
      </c>
      <c r="AY186" s="20">
        <v>117.758982</v>
      </c>
      <c r="AZ186" s="20">
        <v>54.950729109999997</v>
      </c>
      <c r="BA186" s="20">
        <v>66.661470140000006</v>
      </c>
      <c r="BB186" s="20">
        <v>110.11209150000001</v>
      </c>
      <c r="BC186" s="20">
        <v>62.805087120000003</v>
      </c>
      <c r="BD186" s="20">
        <v>57.782800180000002</v>
      </c>
      <c r="BE186" s="20">
        <v>14.125689360000001</v>
      </c>
      <c r="BF186" s="20">
        <v>30.440023140000001</v>
      </c>
      <c r="BG186" s="20">
        <v>27.30895872</v>
      </c>
      <c r="BH186" s="20">
        <v>90.833898180000006</v>
      </c>
      <c r="BI186" s="20">
        <v>26.921865189999998</v>
      </c>
      <c r="BJ186" s="20">
        <v>13.37487643</v>
      </c>
      <c r="BK186" s="20">
        <v>33.686478829999999</v>
      </c>
      <c r="BL186" s="20">
        <v>77.94478909</v>
      </c>
      <c r="BM186" s="20">
        <v>6.5557808790000003</v>
      </c>
      <c r="BN186" s="20">
        <v>72.805767729999999</v>
      </c>
      <c r="BO186" s="20">
        <v>12.96577368</v>
      </c>
      <c r="BP186" s="20">
        <v>8.4072463039999992</v>
      </c>
      <c r="BQ186" s="20">
        <v>14.24540773</v>
      </c>
      <c r="BR186" s="20">
        <v>24.162098449999998</v>
      </c>
      <c r="BS186" s="20">
        <v>8.7629523690000006</v>
      </c>
      <c r="BT186" s="20">
        <v>47.295808549999997</v>
      </c>
      <c r="BU186" s="20">
        <v>33.906541400000002</v>
      </c>
      <c r="BV186" s="20">
        <v>13.974944600000001</v>
      </c>
      <c r="BW186" s="20">
        <v>4.5266585399999997</v>
      </c>
      <c r="BX186" s="20">
        <v>44.404493619999997</v>
      </c>
      <c r="BY186" s="20">
        <v>1.159461498</v>
      </c>
      <c r="BZ186" s="20">
        <v>26.246330789999998</v>
      </c>
      <c r="CA186" s="20">
        <v>9.3942383990000007</v>
      </c>
      <c r="CB186" s="20">
        <v>25.704877020000001</v>
      </c>
      <c r="CC186" s="20">
        <v>43.822993220000001</v>
      </c>
      <c r="CD186" s="20">
        <v>0</v>
      </c>
      <c r="CE186" s="20">
        <v>0</v>
      </c>
      <c r="CF186" s="20">
        <v>0</v>
      </c>
      <c r="CG186" s="20">
        <v>0</v>
      </c>
      <c r="CH186" s="20">
        <v>0</v>
      </c>
      <c r="CI186" s="20">
        <v>2.7121777999999999E-2</v>
      </c>
      <c r="CJ186" s="20">
        <v>0</v>
      </c>
      <c r="CK186" s="20">
        <v>0</v>
      </c>
      <c r="CL186" s="20">
        <v>0</v>
      </c>
      <c r="CM186" s="20">
        <v>0</v>
      </c>
      <c r="CN186" s="20">
        <v>0</v>
      </c>
      <c r="CO186" s="20">
        <v>0</v>
      </c>
      <c r="CP186" s="20">
        <v>0</v>
      </c>
      <c r="CQ186" s="20">
        <v>0</v>
      </c>
      <c r="CR186" s="20">
        <v>0</v>
      </c>
      <c r="CS186" s="20">
        <v>0</v>
      </c>
      <c r="CT186" s="20">
        <v>0</v>
      </c>
      <c r="CU186" s="20">
        <v>0</v>
      </c>
      <c r="CV186" s="20">
        <v>1.0108917E-2</v>
      </c>
      <c r="CW186" s="20">
        <v>3.5972588999999999E-2</v>
      </c>
      <c r="CX186" s="20">
        <v>0</v>
      </c>
      <c r="CY186" s="20">
        <v>0</v>
      </c>
      <c r="CZ186" s="20">
        <v>0</v>
      </c>
      <c r="DA186" s="20">
        <v>0</v>
      </c>
      <c r="DB186" s="20">
        <v>0</v>
      </c>
      <c r="DC186" s="20">
        <v>0</v>
      </c>
      <c r="DD186" s="20">
        <v>0</v>
      </c>
      <c r="DE186" s="20">
        <v>0</v>
      </c>
      <c r="DF186" s="20">
        <v>9.2743687030000004</v>
      </c>
      <c r="DG186" s="16">
        <f t="shared" si="14"/>
        <v>2503.3134480319995</v>
      </c>
      <c r="DH186" s="16">
        <f t="shared" si="15"/>
        <v>102852.81555950499</v>
      </c>
      <c r="DI186" s="17">
        <f t="shared" si="16"/>
        <v>41.0866708043947</v>
      </c>
      <c r="DJ186" s="119" t="s">
        <v>718</v>
      </c>
      <c r="DK186" s="44" t="s">
        <v>718</v>
      </c>
    </row>
    <row r="187" spans="1:117">
      <c r="A187" s="32" t="str">
        <f t="shared" si="17"/>
        <v>AusNet--&gt; 66 kV &amp; &lt; = 132 kV</v>
      </c>
      <c r="B187" s="32" t="str">
        <f t="shared" si="18"/>
        <v>AusNet</v>
      </c>
      <c r="C187" s="426"/>
      <c r="D187" s="14"/>
      <c r="E187" s="15" t="s">
        <v>175</v>
      </c>
      <c r="F187" s="18">
        <v>0</v>
      </c>
      <c r="G187" s="18">
        <v>0</v>
      </c>
      <c r="H187" s="20">
        <v>0</v>
      </c>
      <c r="I187" s="20">
        <v>0</v>
      </c>
      <c r="J187" s="20">
        <v>0</v>
      </c>
      <c r="K187" s="20">
        <v>0</v>
      </c>
      <c r="L187" s="20">
        <v>0</v>
      </c>
      <c r="M187" s="20">
        <v>0</v>
      </c>
      <c r="N187" s="20">
        <v>0</v>
      </c>
      <c r="O187" s="20">
        <v>0</v>
      </c>
      <c r="P187" s="20">
        <v>0</v>
      </c>
      <c r="Q187" s="20">
        <v>0</v>
      </c>
      <c r="R187" s="20">
        <v>0</v>
      </c>
      <c r="S187" s="20">
        <v>0</v>
      </c>
      <c r="T187" s="20">
        <v>0</v>
      </c>
      <c r="U187" s="20">
        <v>0</v>
      </c>
      <c r="V187" s="20">
        <v>0</v>
      </c>
      <c r="W187" s="20">
        <v>0</v>
      </c>
      <c r="X187" s="20">
        <v>0</v>
      </c>
      <c r="Y187" s="20">
        <v>0</v>
      </c>
      <c r="Z187" s="20">
        <v>0</v>
      </c>
      <c r="AA187" s="20">
        <v>0</v>
      </c>
      <c r="AB187" s="20">
        <v>0</v>
      </c>
      <c r="AC187" s="20">
        <v>0</v>
      </c>
      <c r="AD187" s="20">
        <v>0</v>
      </c>
      <c r="AE187" s="20">
        <v>0</v>
      </c>
      <c r="AF187" s="20">
        <v>0</v>
      </c>
      <c r="AG187" s="20">
        <v>0</v>
      </c>
      <c r="AH187" s="20">
        <v>0</v>
      </c>
      <c r="AI187" s="20">
        <v>0</v>
      </c>
      <c r="AJ187" s="20">
        <v>0</v>
      </c>
      <c r="AK187" s="20">
        <v>0</v>
      </c>
      <c r="AL187" s="20">
        <v>0</v>
      </c>
      <c r="AM187" s="20">
        <v>0</v>
      </c>
      <c r="AN187" s="20">
        <v>0</v>
      </c>
      <c r="AO187" s="20">
        <v>0</v>
      </c>
      <c r="AP187" s="20">
        <v>0</v>
      </c>
      <c r="AQ187" s="20">
        <v>0</v>
      </c>
      <c r="AR187" s="20">
        <v>0</v>
      </c>
      <c r="AS187" s="20">
        <v>0</v>
      </c>
      <c r="AT187" s="20">
        <v>0</v>
      </c>
      <c r="AU187" s="20">
        <v>0</v>
      </c>
      <c r="AV187" s="20">
        <v>0</v>
      </c>
      <c r="AW187" s="20">
        <v>0</v>
      </c>
      <c r="AX187" s="20">
        <v>0</v>
      </c>
      <c r="AY187" s="20">
        <v>0</v>
      </c>
      <c r="AZ187" s="20">
        <v>0</v>
      </c>
      <c r="BA187" s="20">
        <v>0</v>
      </c>
      <c r="BB187" s="20">
        <v>0</v>
      </c>
      <c r="BC187" s="20">
        <v>0</v>
      </c>
      <c r="BD187" s="20">
        <v>0</v>
      </c>
      <c r="BE187" s="20">
        <v>0</v>
      </c>
      <c r="BF187" s="20">
        <v>0</v>
      </c>
      <c r="BG187" s="20">
        <v>0</v>
      </c>
      <c r="BH187" s="20">
        <v>0</v>
      </c>
      <c r="BI187" s="20">
        <v>0</v>
      </c>
      <c r="BJ187" s="20">
        <v>0</v>
      </c>
      <c r="BK187" s="20">
        <v>0</v>
      </c>
      <c r="BL187" s="20">
        <v>0</v>
      </c>
      <c r="BM187" s="20">
        <v>0</v>
      </c>
      <c r="BN187" s="20">
        <v>0</v>
      </c>
      <c r="BO187" s="20">
        <v>0</v>
      </c>
      <c r="BP187" s="20">
        <v>0</v>
      </c>
      <c r="BQ187" s="20">
        <v>0</v>
      </c>
      <c r="BR187" s="20">
        <v>0</v>
      </c>
      <c r="BS187" s="20">
        <v>0</v>
      </c>
      <c r="BT187" s="20">
        <v>0</v>
      </c>
      <c r="BU187" s="20">
        <v>0</v>
      </c>
      <c r="BV187" s="20">
        <v>0</v>
      </c>
      <c r="BW187" s="20">
        <v>0</v>
      </c>
      <c r="BX187" s="20">
        <v>0</v>
      </c>
      <c r="BY187" s="20">
        <v>0</v>
      </c>
      <c r="BZ187" s="20">
        <v>0</v>
      </c>
      <c r="CA187" s="20">
        <v>0</v>
      </c>
      <c r="CB187" s="20">
        <v>0</v>
      </c>
      <c r="CC187" s="20">
        <v>0</v>
      </c>
      <c r="CD187" s="20">
        <v>0</v>
      </c>
      <c r="CE187" s="20">
        <v>0</v>
      </c>
      <c r="CF187" s="20">
        <v>0</v>
      </c>
      <c r="CG187" s="20">
        <v>0</v>
      </c>
      <c r="CH187" s="20">
        <v>0</v>
      </c>
      <c r="CI187" s="20">
        <v>0</v>
      </c>
      <c r="CJ187" s="20">
        <v>0</v>
      </c>
      <c r="CK187" s="20">
        <v>0</v>
      </c>
      <c r="CL187" s="20">
        <v>0</v>
      </c>
      <c r="CM187" s="20">
        <v>0</v>
      </c>
      <c r="CN187" s="20">
        <v>0</v>
      </c>
      <c r="CO187" s="20">
        <v>0</v>
      </c>
      <c r="CP187" s="20">
        <v>0</v>
      </c>
      <c r="CQ187" s="20">
        <v>0</v>
      </c>
      <c r="CR187" s="20">
        <v>0</v>
      </c>
      <c r="CS187" s="20">
        <v>0</v>
      </c>
      <c r="CT187" s="20">
        <v>0</v>
      </c>
      <c r="CU187" s="20">
        <v>0</v>
      </c>
      <c r="CV187" s="20">
        <v>0</v>
      </c>
      <c r="CW187" s="20">
        <v>0</v>
      </c>
      <c r="CX187" s="20">
        <v>0</v>
      </c>
      <c r="CY187" s="20">
        <v>0</v>
      </c>
      <c r="CZ187" s="20">
        <v>0</v>
      </c>
      <c r="DA187" s="20">
        <v>0</v>
      </c>
      <c r="DB187" s="20">
        <v>0</v>
      </c>
      <c r="DC187" s="20">
        <v>0</v>
      </c>
      <c r="DD187" s="20">
        <v>0</v>
      </c>
      <c r="DE187" s="20">
        <v>0</v>
      </c>
      <c r="DF187" s="20">
        <v>0</v>
      </c>
      <c r="DG187" s="16">
        <f t="shared" ref="DG187:DG246" si="19">SUM(H187:DF187)</f>
        <v>0</v>
      </c>
      <c r="DH187" s="16">
        <f t="shared" ref="DH187:DH246" si="20">IFERROR(SUMPRODUCT(H187:DF187,$H$1:$DF$1),"")</f>
        <v>0</v>
      </c>
      <c r="DI187" s="17" t="str">
        <f t="shared" ref="DI187:DI246" si="21">IFERROR(DH187/DG187,"")</f>
        <v/>
      </c>
      <c r="DJ187" s="119" t="s">
        <v>718</v>
      </c>
      <c r="DK187" s="44" t="s">
        <v>718</v>
      </c>
    </row>
    <row r="188" spans="1:117">
      <c r="A188" s="32" t="str">
        <f t="shared" si="17"/>
        <v>AusNet--&gt; 132 kV</v>
      </c>
      <c r="B188" s="32" t="str">
        <f t="shared" si="18"/>
        <v>AusNet</v>
      </c>
      <c r="C188" s="426"/>
      <c r="D188" s="14"/>
      <c r="E188" s="15" t="s">
        <v>176</v>
      </c>
      <c r="F188" s="18">
        <v>0</v>
      </c>
      <c r="G188" s="18">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0">
        <v>0</v>
      </c>
      <c r="AY188" s="20">
        <v>0</v>
      </c>
      <c r="AZ188" s="20">
        <v>0</v>
      </c>
      <c r="BA188" s="20">
        <v>0</v>
      </c>
      <c r="BB188" s="20">
        <v>0</v>
      </c>
      <c r="BC188" s="20">
        <v>0</v>
      </c>
      <c r="BD188" s="20">
        <v>0</v>
      </c>
      <c r="BE188" s="20">
        <v>0</v>
      </c>
      <c r="BF188" s="20">
        <v>0</v>
      </c>
      <c r="BG188" s="20">
        <v>0</v>
      </c>
      <c r="BH188" s="20">
        <v>0</v>
      </c>
      <c r="BI188" s="20">
        <v>0</v>
      </c>
      <c r="BJ188" s="20">
        <v>0</v>
      </c>
      <c r="BK188" s="20">
        <v>0</v>
      </c>
      <c r="BL188" s="20">
        <v>0</v>
      </c>
      <c r="BM188" s="20">
        <v>0</v>
      </c>
      <c r="BN188" s="20">
        <v>0</v>
      </c>
      <c r="BO188" s="20">
        <v>0</v>
      </c>
      <c r="BP188" s="20">
        <v>0</v>
      </c>
      <c r="BQ188" s="20">
        <v>0</v>
      </c>
      <c r="BR188" s="20">
        <v>0</v>
      </c>
      <c r="BS188" s="20">
        <v>0</v>
      </c>
      <c r="BT188" s="20">
        <v>0</v>
      </c>
      <c r="BU188" s="20">
        <v>0</v>
      </c>
      <c r="BV188" s="20">
        <v>0</v>
      </c>
      <c r="BW188" s="20">
        <v>0</v>
      </c>
      <c r="BX188" s="20">
        <v>0</v>
      </c>
      <c r="BY188" s="20">
        <v>0</v>
      </c>
      <c r="BZ188" s="20">
        <v>0</v>
      </c>
      <c r="CA188" s="20">
        <v>0</v>
      </c>
      <c r="CB188" s="20">
        <v>0</v>
      </c>
      <c r="CC188" s="20">
        <v>0</v>
      </c>
      <c r="CD188" s="20">
        <v>0</v>
      </c>
      <c r="CE188" s="20">
        <v>0</v>
      </c>
      <c r="CF188" s="20">
        <v>0</v>
      </c>
      <c r="CG188" s="20">
        <v>0</v>
      </c>
      <c r="CH188" s="20">
        <v>0</v>
      </c>
      <c r="CI188" s="20">
        <v>0</v>
      </c>
      <c r="CJ188" s="20">
        <v>0</v>
      </c>
      <c r="CK188" s="20">
        <v>0</v>
      </c>
      <c r="CL188" s="20">
        <v>0</v>
      </c>
      <c r="CM188" s="20">
        <v>0</v>
      </c>
      <c r="CN188" s="20">
        <v>0</v>
      </c>
      <c r="CO188" s="20">
        <v>0</v>
      </c>
      <c r="CP188" s="20">
        <v>0</v>
      </c>
      <c r="CQ188" s="20">
        <v>0</v>
      </c>
      <c r="CR188" s="20">
        <v>0</v>
      </c>
      <c r="CS188" s="20">
        <v>0</v>
      </c>
      <c r="CT188" s="20">
        <v>0</v>
      </c>
      <c r="CU188" s="20">
        <v>0</v>
      </c>
      <c r="CV188" s="20">
        <v>0</v>
      </c>
      <c r="CW188" s="20">
        <v>0</v>
      </c>
      <c r="CX188" s="20">
        <v>0</v>
      </c>
      <c r="CY188" s="20">
        <v>0</v>
      </c>
      <c r="CZ188" s="20">
        <v>0</v>
      </c>
      <c r="DA188" s="20">
        <v>0</v>
      </c>
      <c r="DB188" s="20">
        <v>0</v>
      </c>
      <c r="DC188" s="20">
        <v>0</v>
      </c>
      <c r="DD188" s="20">
        <v>0</v>
      </c>
      <c r="DE188" s="20">
        <v>0</v>
      </c>
      <c r="DF188" s="20">
        <v>0</v>
      </c>
      <c r="DG188" s="16">
        <f t="shared" si="19"/>
        <v>0</v>
      </c>
      <c r="DH188" s="16">
        <f t="shared" si="20"/>
        <v>0</v>
      </c>
      <c r="DI188" s="17" t="str">
        <f t="shared" si="21"/>
        <v/>
      </c>
      <c r="DJ188" s="119" t="s">
        <v>718</v>
      </c>
      <c r="DK188" s="44" t="s">
        <v>718</v>
      </c>
    </row>
    <row r="189" spans="1:117">
      <c r="A189" s="32" t="str">
        <f t="shared" si="17"/>
        <v>AusNet--OTHER - PLEASE ADD A ROW IF NECESSARY AND NOMINATE THE CATEGORY</v>
      </c>
      <c r="B189" s="32" t="str">
        <f t="shared" si="18"/>
        <v>AusNet</v>
      </c>
      <c r="C189" s="426"/>
      <c r="D189" s="14"/>
      <c r="E189" s="15" t="s">
        <v>170</v>
      </c>
      <c r="F189" s="18"/>
      <c r="G189" s="18"/>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16">
        <f t="shared" si="19"/>
        <v>0</v>
      </c>
      <c r="DH189" s="16">
        <f t="shared" si="20"/>
        <v>0</v>
      </c>
      <c r="DI189" s="17" t="str">
        <f t="shared" si="21"/>
        <v/>
      </c>
      <c r="DJ189" s="119" t="s">
        <v>718</v>
      </c>
      <c r="DK189" s="44" t="s">
        <v>718</v>
      </c>
    </row>
    <row r="190" spans="1:117" ht="30">
      <c r="A190" s="32" t="str">
        <f t="shared" si="17"/>
        <v>AusNet-UNDERGROUND CABLES BY: 
HIGHEST OPERATING VOLTAGE-˂ = 1 kV</v>
      </c>
      <c r="B190" s="32" t="str">
        <f t="shared" si="18"/>
        <v>AusNet</v>
      </c>
      <c r="C190" s="426"/>
      <c r="D190" s="14" t="s">
        <v>539</v>
      </c>
      <c r="E190" s="15" t="s">
        <v>171</v>
      </c>
      <c r="F190" s="18">
        <v>50</v>
      </c>
      <c r="G190" s="18">
        <v>8</v>
      </c>
      <c r="H190" s="20">
        <v>114.29027910000001</v>
      </c>
      <c r="I190" s="20">
        <v>174.84559279999999</v>
      </c>
      <c r="J190" s="20">
        <v>197.60520890000001</v>
      </c>
      <c r="K190" s="20">
        <v>108.4590796</v>
      </c>
      <c r="L190" s="20">
        <v>86.188092310000002</v>
      </c>
      <c r="M190" s="20">
        <v>48.799965129999997</v>
      </c>
      <c r="N190" s="20">
        <v>48.381234149999997</v>
      </c>
      <c r="O190" s="20">
        <v>62.561715069999998</v>
      </c>
      <c r="P190" s="20">
        <v>70.585966450000001</v>
      </c>
      <c r="Q190" s="20">
        <v>136.86347140000001</v>
      </c>
      <c r="R190" s="20">
        <v>157.67074600000001</v>
      </c>
      <c r="S190" s="20">
        <v>156.65675809999999</v>
      </c>
      <c r="T190" s="20">
        <v>131.95623950000001</v>
      </c>
      <c r="U190" s="20">
        <v>124.8110686</v>
      </c>
      <c r="V190" s="20">
        <v>142.2564515</v>
      </c>
      <c r="W190" s="20">
        <v>110.7033936</v>
      </c>
      <c r="X190" s="20">
        <v>82.373515490000003</v>
      </c>
      <c r="Y190" s="20">
        <v>37.017352649999999</v>
      </c>
      <c r="Z190" s="20">
        <v>24.90044009</v>
      </c>
      <c r="AA190" s="20">
        <v>18.772817660000001</v>
      </c>
      <c r="AB190" s="20">
        <v>19.531317609999999</v>
      </c>
      <c r="AC190" s="20">
        <v>18.98508124</v>
      </c>
      <c r="AD190" s="20">
        <v>8.9755472730000001</v>
      </c>
      <c r="AE190" s="20">
        <v>11.743964890000001</v>
      </c>
      <c r="AF190" s="20">
        <v>13.24317306</v>
      </c>
      <c r="AG190" s="20">
        <v>12.29906267</v>
      </c>
      <c r="AH190" s="20">
        <v>13.959110920000001</v>
      </c>
      <c r="AI190" s="20">
        <v>17.688327220000001</v>
      </c>
      <c r="AJ190" s="20">
        <v>5.9886888779999996</v>
      </c>
      <c r="AK190" s="20">
        <v>9.0280989080000005</v>
      </c>
      <c r="AL190" s="20">
        <v>3.653204992</v>
      </c>
      <c r="AM190" s="20">
        <v>4.7269715860000003</v>
      </c>
      <c r="AN190" s="20">
        <v>4.8472480859999996</v>
      </c>
      <c r="AO190" s="20">
        <v>1141.684135</v>
      </c>
      <c r="AP190" s="20">
        <v>0.33251683199999998</v>
      </c>
      <c r="AQ190" s="20">
        <v>3.2459681800000002</v>
      </c>
      <c r="AR190" s="20">
        <v>6.2786625569999996</v>
      </c>
      <c r="AS190" s="20">
        <v>2.8286114580000001</v>
      </c>
      <c r="AT190" s="20">
        <v>1.6068716489999999</v>
      </c>
      <c r="AU190" s="20">
        <v>2.4697965019999999</v>
      </c>
      <c r="AV190" s="20">
        <v>7.2620651509999998</v>
      </c>
      <c r="AW190" s="20">
        <v>1.850969971</v>
      </c>
      <c r="AX190" s="20">
        <v>1.1317546249999999</v>
      </c>
      <c r="AY190" s="20">
        <v>5.8604687279999998</v>
      </c>
      <c r="AZ190" s="20">
        <v>0.120117891</v>
      </c>
      <c r="BA190" s="20">
        <v>2.2774620999999998E-2</v>
      </c>
      <c r="BB190" s="20">
        <v>8.9353390000000005E-3</v>
      </c>
      <c r="BC190" s="20">
        <v>0</v>
      </c>
      <c r="BD190" s="20">
        <v>5.8480368999999997E-2</v>
      </c>
      <c r="BE190" s="20">
        <v>0</v>
      </c>
      <c r="BF190" s="20">
        <v>0</v>
      </c>
      <c r="BG190" s="20">
        <v>0</v>
      </c>
      <c r="BH190" s="20">
        <v>2.0940648999999999E-2</v>
      </c>
      <c r="BI190" s="20">
        <v>0</v>
      </c>
      <c r="BJ190" s="20">
        <v>0</v>
      </c>
      <c r="BK190" s="20">
        <v>0</v>
      </c>
      <c r="BL190" s="20">
        <v>0</v>
      </c>
      <c r="BM190" s="20">
        <v>0</v>
      </c>
      <c r="BN190" s="20">
        <v>0</v>
      </c>
      <c r="BO190" s="20">
        <v>0</v>
      </c>
      <c r="BP190" s="20">
        <v>0</v>
      </c>
      <c r="BQ190" s="20">
        <v>0</v>
      </c>
      <c r="BR190" s="20">
        <v>0</v>
      </c>
      <c r="BS190" s="20">
        <v>0</v>
      </c>
      <c r="BT190" s="20">
        <v>0</v>
      </c>
      <c r="BU190" s="20">
        <v>0</v>
      </c>
      <c r="BV190" s="20">
        <v>0</v>
      </c>
      <c r="BW190" s="20">
        <v>0</v>
      </c>
      <c r="BX190" s="20">
        <v>0</v>
      </c>
      <c r="BY190" s="20">
        <v>0</v>
      </c>
      <c r="BZ190" s="20">
        <v>0</v>
      </c>
      <c r="CA190" s="20">
        <v>0</v>
      </c>
      <c r="CB190" s="20">
        <v>0</v>
      </c>
      <c r="CC190" s="20">
        <v>0</v>
      </c>
      <c r="CD190" s="20">
        <v>0</v>
      </c>
      <c r="CE190" s="20">
        <v>0</v>
      </c>
      <c r="CF190" s="20">
        <v>0</v>
      </c>
      <c r="CG190" s="20">
        <v>0</v>
      </c>
      <c r="CH190" s="20">
        <v>0</v>
      </c>
      <c r="CI190" s="20">
        <v>0</v>
      </c>
      <c r="CJ190" s="20">
        <v>0</v>
      </c>
      <c r="CK190" s="20">
        <v>0</v>
      </c>
      <c r="CL190" s="20">
        <v>0</v>
      </c>
      <c r="CM190" s="20">
        <v>0</v>
      </c>
      <c r="CN190" s="20">
        <v>0</v>
      </c>
      <c r="CO190" s="20">
        <v>0</v>
      </c>
      <c r="CP190" s="20">
        <v>0</v>
      </c>
      <c r="CQ190" s="20">
        <v>0</v>
      </c>
      <c r="CR190" s="20">
        <v>0</v>
      </c>
      <c r="CS190" s="20">
        <v>0</v>
      </c>
      <c r="CT190" s="20">
        <v>0</v>
      </c>
      <c r="CU190" s="20">
        <v>0</v>
      </c>
      <c r="CV190" s="20">
        <v>0</v>
      </c>
      <c r="CW190" s="20">
        <v>0</v>
      </c>
      <c r="CX190" s="20">
        <v>0</v>
      </c>
      <c r="CY190" s="20">
        <v>0</v>
      </c>
      <c r="CZ190" s="20">
        <v>0</v>
      </c>
      <c r="DA190" s="20">
        <v>0</v>
      </c>
      <c r="DB190" s="20">
        <v>0</v>
      </c>
      <c r="DC190" s="20">
        <v>0</v>
      </c>
      <c r="DD190" s="20">
        <v>0</v>
      </c>
      <c r="DE190" s="20">
        <v>0</v>
      </c>
      <c r="DF190" s="20">
        <v>823.32639400000005</v>
      </c>
      <c r="DG190" s="16">
        <f t="shared" si="19"/>
        <v>4178.4786489549997</v>
      </c>
      <c r="DH190" s="16">
        <f t="shared" si="20"/>
        <v>147605.440092579</v>
      </c>
      <c r="DI190" s="17">
        <f t="shared" si="21"/>
        <v>35.325163173801023</v>
      </c>
      <c r="DJ190" s="119" t="s">
        <v>572</v>
      </c>
      <c r="DK190" t="s">
        <v>572</v>
      </c>
    </row>
    <row r="191" spans="1:117">
      <c r="A191" s="32" t="str">
        <f t="shared" si="17"/>
        <v>AusNet--&gt; 1 kV &amp; &lt; = 11 kV</v>
      </c>
      <c r="B191" s="32" t="str">
        <f t="shared" si="18"/>
        <v>AusNet</v>
      </c>
      <c r="C191" s="426"/>
      <c r="D191" s="14"/>
      <c r="E191" s="15" t="s">
        <v>172</v>
      </c>
      <c r="F191" s="18">
        <v>50</v>
      </c>
      <c r="G191" s="18">
        <v>8</v>
      </c>
      <c r="H191" s="20">
        <v>0</v>
      </c>
      <c r="I191" s="20">
        <v>0</v>
      </c>
      <c r="J191" s="20">
        <v>0</v>
      </c>
      <c r="K191" s="20">
        <v>0</v>
      </c>
      <c r="L191" s="20">
        <v>0</v>
      </c>
      <c r="M191" s="20">
        <v>0</v>
      </c>
      <c r="N191" s="20">
        <v>0</v>
      </c>
      <c r="O191" s="20">
        <v>0</v>
      </c>
      <c r="P191" s="20">
        <v>0</v>
      </c>
      <c r="Q191" s="20">
        <v>0</v>
      </c>
      <c r="R191" s="20">
        <v>0</v>
      </c>
      <c r="S191" s="20">
        <v>0</v>
      </c>
      <c r="T191" s="20">
        <v>0</v>
      </c>
      <c r="U191" s="20">
        <v>0</v>
      </c>
      <c r="V191" s="20">
        <v>0</v>
      </c>
      <c r="W191" s="20">
        <v>1.5255064E-2</v>
      </c>
      <c r="X191" s="20">
        <v>0</v>
      </c>
      <c r="Y191" s="20">
        <v>0</v>
      </c>
      <c r="Z191" s="20">
        <v>0</v>
      </c>
      <c r="AA191" s="20">
        <v>0</v>
      </c>
      <c r="AB191" s="20">
        <v>0</v>
      </c>
      <c r="AC191" s="20">
        <v>0</v>
      </c>
      <c r="AD191" s="20">
        <v>0</v>
      </c>
      <c r="AE191" s="20">
        <v>0</v>
      </c>
      <c r="AF191" s="20">
        <v>0</v>
      </c>
      <c r="AG191" s="20">
        <v>0</v>
      </c>
      <c r="AH191" s="20">
        <v>0</v>
      </c>
      <c r="AI191" s="20">
        <v>0</v>
      </c>
      <c r="AJ191" s="20">
        <v>0</v>
      </c>
      <c r="AK191" s="20">
        <v>0</v>
      </c>
      <c r="AL191" s="20">
        <v>0</v>
      </c>
      <c r="AM191" s="20">
        <v>0</v>
      </c>
      <c r="AN191" s="20">
        <v>0</v>
      </c>
      <c r="AO191" s="20">
        <v>0.101024397</v>
      </c>
      <c r="AP191" s="20">
        <v>0</v>
      </c>
      <c r="AQ191" s="20">
        <v>0</v>
      </c>
      <c r="AR191" s="20">
        <v>0</v>
      </c>
      <c r="AS191" s="20">
        <v>0</v>
      </c>
      <c r="AT191" s="20">
        <v>2.5522618819999998</v>
      </c>
      <c r="AU191" s="20">
        <v>0</v>
      </c>
      <c r="AV191" s="20">
        <v>0</v>
      </c>
      <c r="AW191" s="20">
        <v>0</v>
      </c>
      <c r="AX191" s="20">
        <v>0</v>
      </c>
      <c r="AY191" s="20">
        <v>0.45056160699999998</v>
      </c>
      <c r="AZ191" s="20">
        <v>0</v>
      </c>
      <c r="BA191" s="20">
        <v>0</v>
      </c>
      <c r="BB191" s="20">
        <v>0</v>
      </c>
      <c r="BC191" s="20">
        <v>0</v>
      </c>
      <c r="BD191" s="20">
        <v>0</v>
      </c>
      <c r="BE191" s="20">
        <v>0</v>
      </c>
      <c r="BF191" s="20">
        <v>0</v>
      </c>
      <c r="BG191" s="20">
        <v>0</v>
      </c>
      <c r="BH191" s="20">
        <v>0</v>
      </c>
      <c r="BI191" s="20">
        <v>0</v>
      </c>
      <c r="BJ191" s="20">
        <v>0</v>
      </c>
      <c r="BK191" s="20">
        <v>0</v>
      </c>
      <c r="BL191" s="20">
        <v>0</v>
      </c>
      <c r="BM191" s="20">
        <v>0</v>
      </c>
      <c r="BN191" s="20">
        <v>0</v>
      </c>
      <c r="BO191" s="20">
        <v>0</v>
      </c>
      <c r="BP191" s="20">
        <v>0</v>
      </c>
      <c r="BQ191" s="20">
        <v>0</v>
      </c>
      <c r="BR191" s="20">
        <v>0</v>
      </c>
      <c r="BS191" s="20">
        <v>0</v>
      </c>
      <c r="BT191" s="20">
        <v>0</v>
      </c>
      <c r="BU191" s="20">
        <v>0</v>
      </c>
      <c r="BV191" s="20">
        <v>0</v>
      </c>
      <c r="BW191" s="20">
        <v>0</v>
      </c>
      <c r="BX191" s="20">
        <v>0</v>
      </c>
      <c r="BY191" s="20">
        <v>0</v>
      </c>
      <c r="BZ191" s="20">
        <v>0</v>
      </c>
      <c r="CA191" s="20">
        <v>0</v>
      </c>
      <c r="CB191" s="20">
        <v>0</v>
      </c>
      <c r="CC191" s="20">
        <v>0</v>
      </c>
      <c r="CD191" s="20">
        <v>0</v>
      </c>
      <c r="CE191" s="20">
        <v>0</v>
      </c>
      <c r="CF191" s="20">
        <v>0</v>
      </c>
      <c r="CG191" s="20">
        <v>0</v>
      </c>
      <c r="CH191" s="20">
        <v>0</v>
      </c>
      <c r="CI191" s="20">
        <v>0</v>
      </c>
      <c r="CJ191" s="20">
        <v>0</v>
      </c>
      <c r="CK191" s="20">
        <v>0</v>
      </c>
      <c r="CL191" s="20">
        <v>0</v>
      </c>
      <c r="CM191" s="20">
        <v>0</v>
      </c>
      <c r="CN191" s="20">
        <v>0</v>
      </c>
      <c r="CO191" s="20">
        <v>0</v>
      </c>
      <c r="CP191" s="20">
        <v>0</v>
      </c>
      <c r="CQ191" s="20">
        <v>0</v>
      </c>
      <c r="CR191" s="20">
        <v>0</v>
      </c>
      <c r="CS191" s="20">
        <v>0</v>
      </c>
      <c r="CT191" s="20">
        <v>0</v>
      </c>
      <c r="CU191" s="20">
        <v>0</v>
      </c>
      <c r="CV191" s="20">
        <v>0</v>
      </c>
      <c r="CW191" s="20">
        <v>0</v>
      </c>
      <c r="CX191" s="20">
        <v>0</v>
      </c>
      <c r="CY191" s="20">
        <v>0</v>
      </c>
      <c r="CZ191" s="20">
        <v>0</v>
      </c>
      <c r="DA191" s="20">
        <v>0</v>
      </c>
      <c r="DB191" s="20">
        <v>0</v>
      </c>
      <c r="DC191" s="20">
        <v>0</v>
      </c>
      <c r="DD191" s="20">
        <v>0</v>
      </c>
      <c r="DE191" s="20">
        <v>0</v>
      </c>
      <c r="DF191" s="20">
        <v>1.543313242</v>
      </c>
      <c r="DG191" s="16">
        <f t="shared" si="19"/>
        <v>4.6624161920000002</v>
      </c>
      <c r="DH191" s="16">
        <f t="shared" si="20"/>
        <v>282.00309855399996</v>
      </c>
      <c r="DI191" s="17">
        <f t="shared" si="21"/>
        <v>60.484325495839379</v>
      </c>
      <c r="DJ191" s="119" t="s">
        <v>572</v>
      </c>
      <c r="DK191" s="44" t="s">
        <v>572</v>
      </c>
    </row>
    <row r="192" spans="1:117">
      <c r="A192" s="32" t="str">
        <f t="shared" si="17"/>
        <v>AusNet--&gt; 11 kV &amp; &lt; = 22 kV</v>
      </c>
      <c r="B192" s="32" t="str">
        <f t="shared" si="18"/>
        <v>AusNet</v>
      </c>
      <c r="C192" s="426"/>
      <c r="D192" s="14"/>
      <c r="E192" s="15" t="s">
        <v>181</v>
      </c>
      <c r="F192" s="18">
        <v>50</v>
      </c>
      <c r="G192" s="18">
        <v>8</v>
      </c>
      <c r="H192" s="20">
        <v>63.504149470000002</v>
      </c>
      <c r="I192" s="20">
        <v>88.976616840000005</v>
      </c>
      <c r="J192" s="20">
        <v>70.733853409999995</v>
      </c>
      <c r="K192" s="20">
        <v>47.411898059999999</v>
      </c>
      <c r="L192" s="20">
        <v>45.416751189999999</v>
      </c>
      <c r="M192" s="20">
        <v>35.699987710000002</v>
      </c>
      <c r="N192" s="20">
        <v>36.669597410000002</v>
      </c>
      <c r="O192" s="20">
        <v>31.474873540000001</v>
      </c>
      <c r="P192" s="20">
        <v>43.061916609999997</v>
      </c>
      <c r="Q192" s="20">
        <v>44.136930309999997</v>
      </c>
      <c r="R192" s="20">
        <v>50.291786500000001</v>
      </c>
      <c r="S192" s="20">
        <v>57.682154660000002</v>
      </c>
      <c r="T192" s="20">
        <v>47.622260109999999</v>
      </c>
      <c r="U192" s="20">
        <v>54.931877800000002</v>
      </c>
      <c r="V192" s="20">
        <v>79.361057310000007</v>
      </c>
      <c r="W192" s="20">
        <v>61.720984739999999</v>
      </c>
      <c r="X192" s="20">
        <v>85.52682892</v>
      </c>
      <c r="Y192" s="20">
        <v>28.536200600000001</v>
      </c>
      <c r="Z192" s="20">
        <v>12.721494010000001</v>
      </c>
      <c r="AA192" s="20">
        <v>12.61585039</v>
      </c>
      <c r="AB192" s="20">
        <v>6.4935390499999999</v>
      </c>
      <c r="AC192" s="20">
        <v>6.5069927449999998</v>
      </c>
      <c r="AD192" s="20">
        <v>1.6394868410000001</v>
      </c>
      <c r="AE192" s="20">
        <v>5.0691863450000003</v>
      </c>
      <c r="AF192" s="20">
        <v>5.797392683</v>
      </c>
      <c r="AG192" s="20">
        <v>5.3837701469999999</v>
      </c>
      <c r="AH192" s="20">
        <v>3.890093501</v>
      </c>
      <c r="AI192" s="20">
        <v>6.1417434560000004</v>
      </c>
      <c r="AJ192" s="20">
        <v>1.8781244399999999</v>
      </c>
      <c r="AK192" s="20">
        <v>3.185811561</v>
      </c>
      <c r="AL192" s="20">
        <v>0.77129019399999998</v>
      </c>
      <c r="AM192" s="20">
        <v>1.1164692389999999</v>
      </c>
      <c r="AN192" s="20">
        <v>4.7198625329999997</v>
      </c>
      <c r="AO192" s="20">
        <v>214.87836179999999</v>
      </c>
      <c r="AP192" s="20">
        <v>0</v>
      </c>
      <c r="AQ192" s="20">
        <v>1.1787200040000001</v>
      </c>
      <c r="AR192" s="20">
        <v>1.0574474439999999</v>
      </c>
      <c r="AS192" s="20">
        <v>0.79698118500000004</v>
      </c>
      <c r="AT192" s="20">
        <v>0.69595393800000005</v>
      </c>
      <c r="AU192" s="20">
        <v>1.1110275009999999</v>
      </c>
      <c r="AV192" s="20">
        <v>1.832767429</v>
      </c>
      <c r="AW192" s="20">
        <v>2.0054299659999999</v>
      </c>
      <c r="AX192" s="20">
        <v>0.19409948499999999</v>
      </c>
      <c r="AY192" s="20">
        <v>262.49613870000002</v>
      </c>
      <c r="AZ192" s="20">
        <v>0</v>
      </c>
      <c r="BA192" s="20">
        <v>0.21021931099999999</v>
      </c>
      <c r="BB192" s="20">
        <v>0</v>
      </c>
      <c r="BC192" s="20">
        <v>0</v>
      </c>
      <c r="BD192" s="20">
        <v>0</v>
      </c>
      <c r="BE192" s="20">
        <v>0</v>
      </c>
      <c r="BF192" s="20">
        <v>0</v>
      </c>
      <c r="BG192" s="20">
        <v>0</v>
      </c>
      <c r="BH192" s="20">
        <v>0</v>
      </c>
      <c r="BI192" s="20">
        <v>0</v>
      </c>
      <c r="BJ192" s="20">
        <v>0</v>
      </c>
      <c r="BK192" s="20">
        <v>0</v>
      </c>
      <c r="BL192" s="20">
        <v>0</v>
      </c>
      <c r="BM192" s="20">
        <v>0</v>
      </c>
      <c r="BN192" s="20">
        <v>0</v>
      </c>
      <c r="BO192" s="20">
        <v>0</v>
      </c>
      <c r="BP192" s="20">
        <v>0</v>
      </c>
      <c r="BQ192" s="20">
        <v>0</v>
      </c>
      <c r="BR192" s="20">
        <v>0</v>
      </c>
      <c r="BS192" s="20">
        <v>0</v>
      </c>
      <c r="BT192" s="20">
        <v>0</v>
      </c>
      <c r="BU192" s="20">
        <v>0</v>
      </c>
      <c r="BV192" s="20">
        <v>0</v>
      </c>
      <c r="BW192" s="20">
        <v>0</v>
      </c>
      <c r="BX192" s="20">
        <v>0</v>
      </c>
      <c r="BY192" s="20">
        <v>0</v>
      </c>
      <c r="BZ192" s="20">
        <v>0</v>
      </c>
      <c r="CA192" s="20">
        <v>0</v>
      </c>
      <c r="CB192" s="20">
        <v>0</v>
      </c>
      <c r="CC192" s="20">
        <v>0</v>
      </c>
      <c r="CD192" s="20">
        <v>0</v>
      </c>
      <c r="CE192" s="20">
        <v>0</v>
      </c>
      <c r="CF192" s="20">
        <v>0</v>
      </c>
      <c r="CG192" s="20">
        <v>0</v>
      </c>
      <c r="CH192" s="20">
        <v>0</v>
      </c>
      <c r="CI192" s="20">
        <v>0</v>
      </c>
      <c r="CJ192" s="20">
        <v>0</v>
      </c>
      <c r="CK192" s="20">
        <v>0</v>
      </c>
      <c r="CL192" s="20">
        <v>0</v>
      </c>
      <c r="CM192" s="20">
        <v>0</v>
      </c>
      <c r="CN192" s="20">
        <v>0</v>
      </c>
      <c r="CO192" s="20">
        <v>0</v>
      </c>
      <c r="CP192" s="20">
        <v>0</v>
      </c>
      <c r="CQ192" s="20">
        <v>0</v>
      </c>
      <c r="CR192" s="20">
        <v>0</v>
      </c>
      <c r="CS192" s="20">
        <v>0</v>
      </c>
      <c r="CT192" s="20">
        <v>0</v>
      </c>
      <c r="CU192" s="20">
        <v>0</v>
      </c>
      <c r="CV192" s="20">
        <v>0</v>
      </c>
      <c r="CW192" s="20">
        <v>0</v>
      </c>
      <c r="CX192" s="20">
        <v>0</v>
      </c>
      <c r="CY192" s="20">
        <v>0</v>
      </c>
      <c r="CZ192" s="20">
        <v>0</v>
      </c>
      <c r="DA192" s="20">
        <v>0</v>
      </c>
      <c r="DB192" s="20">
        <v>0</v>
      </c>
      <c r="DC192" s="20">
        <v>0</v>
      </c>
      <c r="DD192" s="20">
        <v>0</v>
      </c>
      <c r="DE192" s="20">
        <v>0</v>
      </c>
      <c r="DF192" s="20">
        <v>432.42913920000001</v>
      </c>
      <c r="DG192" s="16">
        <f t="shared" si="19"/>
        <v>1969.5771182880001</v>
      </c>
      <c r="DH192" s="16">
        <f t="shared" si="20"/>
        <v>74818.063968821996</v>
      </c>
      <c r="DI192" s="17">
        <f t="shared" si="21"/>
        <v>37.986866964546941</v>
      </c>
      <c r="DJ192" s="119" t="s">
        <v>572</v>
      </c>
      <c r="DK192" s="44" t="s">
        <v>572</v>
      </c>
    </row>
    <row r="193" spans="1:115">
      <c r="A193" s="32" t="str">
        <f t="shared" si="17"/>
        <v>AusNet--&gt; 22 kV &amp; &lt; = 33 kV</v>
      </c>
      <c r="B193" s="32" t="str">
        <f t="shared" si="18"/>
        <v>AusNet</v>
      </c>
      <c r="C193" s="426"/>
      <c r="D193" s="14"/>
      <c r="E193" s="15" t="s">
        <v>182</v>
      </c>
      <c r="F193" s="18">
        <v>0</v>
      </c>
      <c r="G193" s="18">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0">
        <v>0</v>
      </c>
      <c r="AY193" s="20">
        <v>0</v>
      </c>
      <c r="AZ193" s="20">
        <v>0</v>
      </c>
      <c r="BA193" s="20">
        <v>0</v>
      </c>
      <c r="BB193" s="20">
        <v>0</v>
      </c>
      <c r="BC193" s="20">
        <v>0</v>
      </c>
      <c r="BD193" s="20">
        <v>0</v>
      </c>
      <c r="BE193" s="20">
        <v>0</v>
      </c>
      <c r="BF193" s="20">
        <v>0</v>
      </c>
      <c r="BG193" s="20">
        <v>0</v>
      </c>
      <c r="BH193" s="20">
        <v>0</v>
      </c>
      <c r="BI193" s="20">
        <v>0</v>
      </c>
      <c r="BJ193" s="20">
        <v>0</v>
      </c>
      <c r="BK193" s="20">
        <v>0</v>
      </c>
      <c r="BL193" s="20">
        <v>0</v>
      </c>
      <c r="BM193" s="20">
        <v>0</v>
      </c>
      <c r="BN193" s="20">
        <v>0</v>
      </c>
      <c r="BO193" s="20">
        <v>0</v>
      </c>
      <c r="BP193" s="20">
        <v>0</v>
      </c>
      <c r="BQ193" s="20">
        <v>0</v>
      </c>
      <c r="BR193" s="20">
        <v>0</v>
      </c>
      <c r="BS193" s="20">
        <v>0</v>
      </c>
      <c r="BT193" s="20">
        <v>0</v>
      </c>
      <c r="BU193" s="20">
        <v>0</v>
      </c>
      <c r="BV193" s="20">
        <v>0</v>
      </c>
      <c r="BW193" s="20">
        <v>0</v>
      </c>
      <c r="BX193" s="20">
        <v>0</v>
      </c>
      <c r="BY193" s="20">
        <v>0</v>
      </c>
      <c r="BZ193" s="20">
        <v>0</v>
      </c>
      <c r="CA193" s="20">
        <v>0</v>
      </c>
      <c r="CB193" s="20">
        <v>0</v>
      </c>
      <c r="CC193" s="20">
        <v>0</v>
      </c>
      <c r="CD193" s="20">
        <v>0</v>
      </c>
      <c r="CE193" s="20">
        <v>0</v>
      </c>
      <c r="CF193" s="20">
        <v>0</v>
      </c>
      <c r="CG193" s="20">
        <v>0</v>
      </c>
      <c r="CH193" s="20">
        <v>0</v>
      </c>
      <c r="CI193" s="20">
        <v>0</v>
      </c>
      <c r="CJ193" s="20">
        <v>0</v>
      </c>
      <c r="CK193" s="20">
        <v>0</v>
      </c>
      <c r="CL193" s="20">
        <v>0</v>
      </c>
      <c r="CM193" s="20">
        <v>0</v>
      </c>
      <c r="CN193" s="20">
        <v>0</v>
      </c>
      <c r="CO193" s="20">
        <v>0</v>
      </c>
      <c r="CP193" s="20">
        <v>0</v>
      </c>
      <c r="CQ193" s="20">
        <v>0</v>
      </c>
      <c r="CR193" s="20">
        <v>0</v>
      </c>
      <c r="CS193" s="20">
        <v>0</v>
      </c>
      <c r="CT193" s="20">
        <v>0</v>
      </c>
      <c r="CU193" s="20">
        <v>0</v>
      </c>
      <c r="CV193" s="20">
        <v>0</v>
      </c>
      <c r="CW193" s="20">
        <v>0</v>
      </c>
      <c r="CX193" s="20">
        <v>0</v>
      </c>
      <c r="CY193" s="20">
        <v>0</v>
      </c>
      <c r="CZ193" s="20">
        <v>0</v>
      </c>
      <c r="DA193" s="20">
        <v>0</v>
      </c>
      <c r="DB193" s="20">
        <v>0</v>
      </c>
      <c r="DC193" s="20">
        <v>0</v>
      </c>
      <c r="DD193" s="20">
        <v>0</v>
      </c>
      <c r="DE193" s="20">
        <v>0</v>
      </c>
      <c r="DF193" s="20">
        <v>0</v>
      </c>
      <c r="DG193" s="16">
        <f t="shared" si="19"/>
        <v>0</v>
      </c>
      <c r="DH193" s="16">
        <f t="shared" si="20"/>
        <v>0</v>
      </c>
      <c r="DI193" s="17" t="str">
        <f t="shared" si="21"/>
        <v/>
      </c>
      <c r="DJ193" s="119" t="s">
        <v>572</v>
      </c>
      <c r="DK193" s="44" t="s">
        <v>572</v>
      </c>
    </row>
    <row r="194" spans="1:115">
      <c r="A194" s="32" t="str">
        <f t="shared" si="17"/>
        <v>AusNet--&gt; 33 kV &amp; &lt; = 66 kV</v>
      </c>
      <c r="B194" s="32" t="str">
        <f t="shared" si="18"/>
        <v>AusNet</v>
      </c>
      <c r="C194" s="426"/>
      <c r="D194" s="14"/>
      <c r="E194" s="15" t="s">
        <v>183</v>
      </c>
      <c r="F194" s="18">
        <v>50</v>
      </c>
      <c r="G194" s="18">
        <v>8</v>
      </c>
      <c r="H194" s="20">
        <v>0</v>
      </c>
      <c r="I194" s="20">
        <v>0</v>
      </c>
      <c r="J194" s="20">
        <v>0</v>
      </c>
      <c r="K194" s="20">
        <v>0</v>
      </c>
      <c r="L194" s="20">
        <v>0</v>
      </c>
      <c r="M194" s="20">
        <v>0</v>
      </c>
      <c r="N194" s="20">
        <v>0</v>
      </c>
      <c r="O194" s="20">
        <v>0</v>
      </c>
      <c r="P194" s="20">
        <v>0.20187771800000001</v>
      </c>
      <c r="Q194" s="20">
        <v>0</v>
      </c>
      <c r="R194" s="20">
        <v>0</v>
      </c>
      <c r="S194" s="20">
        <v>0</v>
      </c>
      <c r="T194" s="20">
        <v>0</v>
      </c>
      <c r="U194" s="20">
        <v>0</v>
      </c>
      <c r="V194" s="20">
        <v>0</v>
      </c>
      <c r="W194" s="20">
        <v>3.6646942870000001</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0">
        <v>0</v>
      </c>
      <c r="AY194" s="20">
        <v>1.07038715</v>
      </c>
      <c r="AZ194" s="20">
        <v>0</v>
      </c>
      <c r="BA194" s="20">
        <v>0</v>
      </c>
      <c r="BB194" s="20">
        <v>0</v>
      </c>
      <c r="BC194" s="20">
        <v>0</v>
      </c>
      <c r="BD194" s="20">
        <v>0</v>
      </c>
      <c r="BE194" s="20">
        <v>0</v>
      </c>
      <c r="BF194" s="20">
        <v>0</v>
      </c>
      <c r="BG194" s="20">
        <v>0</v>
      </c>
      <c r="BH194" s="20">
        <v>0</v>
      </c>
      <c r="BI194" s="20">
        <v>0</v>
      </c>
      <c r="BJ194" s="20">
        <v>0</v>
      </c>
      <c r="BK194" s="20">
        <v>0</v>
      </c>
      <c r="BL194" s="20">
        <v>0</v>
      </c>
      <c r="BM194" s="20">
        <v>0</v>
      </c>
      <c r="BN194" s="20">
        <v>0</v>
      </c>
      <c r="BO194" s="20">
        <v>0</v>
      </c>
      <c r="BP194" s="20">
        <v>0</v>
      </c>
      <c r="BQ194" s="20">
        <v>0</v>
      </c>
      <c r="BR194" s="20">
        <v>0</v>
      </c>
      <c r="BS194" s="20">
        <v>0</v>
      </c>
      <c r="BT194" s="20">
        <v>0</v>
      </c>
      <c r="BU194" s="20">
        <v>0</v>
      </c>
      <c r="BV194" s="20">
        <v>0</v>
      </c>
      <c r="BW194" s="20">
        <v>0</v>
      </c>
      <c r="BX194" s="20">
        <v>0</v>
      </c>
      <c r="BY194" s="20">
        <v>0</v>
      </c>
      <c r="BZ194" s="20">
        <v>0</v>
      </c>
      <c r="CA194" s="20">
        <v>0</v>
      </c>
      <c r="CB194" s="20">
        <v>0</v>
      </c>
      <c r="CC194" s="20">
        <v>0</v>
      </c>
      <c r="CD194" s="20">
        <v>0</v>
      </c>
      <c r="CE194" s="20">
        <v>0</v>
      </c>
      <c r="CF194" s="20">
        <v>0</v>
      </c>
      <c r="CG194" s="20">
        <v>0</v>
      </c>
      <c r="CH194" s="20">
        <v>0</v>
      </c>
      <c r="CI194" s="20">
        <v>0</v>
      </c>
      <c r="CJ194" s="20">
        <v>0</v>
      </c>
      <c r="CK194" s="20">
        <v>0</v>
      </c>
      <c r="CL194" s="20">
        <v>0</v>
      </c>
      <c r="CM194" s="20">
        <v>0</v>
      </c>
      <c r="CN194" s="20">
        <v>0</v>
      </c>
      <c r="CO194" s="20">
        <v>0</v>
      </c>
      <c r="CP194" s="20">
        <v>0</v>
      </c>
      <c r="CQ194" s="20">
        <v>0</v>
      </c>
      <c r="CR194" s="20">
        <v>0</v>
      </c>
      <c r="CS194" s="20">
        <v>0</v>
      </c>
      <c r="CT194" s="20">
        <v>0</v>
      </c>
      <c r="CU194" s="20">
        <v>0</v>
      </c>
      <c r="CV194" s="20">
        <v>0</v>
      </c>
      <c r="CW194" s="20">
        <v>0</v>
      </c>
      <c r="CX194" s="20">
        <v>0</v>
      </c>
      <c r="CY194" s="20">
        <v>0</v>
      </c>
      <c r="CZ194" s="20">
        <v>0</v>
      </c>
      <c r="DA194" s="20">
        <v>0</v>
      </c>
      <c r="DB194" s="20">
        <v>0</v>
      </c>
      <c r="DC194" s="20">
        <v>0</v>
      </c>
      <c r="DD194" s="20">
        <v>0</v>
      </c>
      <c r="DE194" s="20">
        <v>0</v>
      </c>
      <c r="DF194" s="20">
        <v>10.845028449999999</v>
      </c>
      <c r="DG194" s="16">
        <f t="shared" si="19"/>
        <v>15.781987604999999</v>
      </c>
      <c r="DH194" s="16">
        <f t="shared" si="20"/>
        <v>1224.5869730039999</v>
      </c>
      <c r="DI194" s="17">
        <f t="shared" si="21"/>
        <v>77.593963678949422</v>
      </c>
      <c r="DJ194" s="119" t="s">
        <v>572</v>
      </c>
      <c r="DK194" s="44" t="s">
        <v>572</v>
      </c>
    </row>
    <row r="195" spans="1:115">
      <c r="A195" s="32" t="str">
        <f t="shared" si="17"/>
        <v>AusNet--&gt; 66 kV &amp; &lt; = 132 kV</v>
      </c>
      <c r="B195" s="32" t="str">
        <f t="shared" si="18"/>
        <v>AusNet</v>
      </c>
      <c r="C195" s="426"/>
      <c r="D195" s="14"/>
      <c r="E195" s="15" t="s">
        <v>175</v>
      </c>
      <c r="F195" s="18">
        <v>0</v>
      </c>
      <c r="G195" s="18">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0">
        <v>0</v>
      </c>
      <c r="AY195" s="20">
        <v>0</v>
      </c>
      <c r="AZ195" s="20">
        <v>0</v>
      </c>
      <c r="BA195" s="20">
        <v>0</v>
      </c>
      <c r="BB195" s="20">
        <v>0</v>
      </c>
      <c r="BC195" s="20">
        <v>0</v>
      </c>
      <c r="BD195" s="20">
        <v>0</v>
      </c>
      <c r="BE195" s="20">
        <v>0</v>
      </c>
      <c r="BF195" s="20">
        <v>0</v>
      </c>
      <c r="BG195" s="20">
        <v>0</v>
      </c>
      <c r="BH195" s="20">
        <v>0</v>
      </c>
      <c r="BI195" s="20">
        <v>0</v>
      </c>
      <c r="BJ195" s="20">
        <v>0</v>
      </c>
      <c r="BK195" s="20">
        <v>0</v>
      </c>
      <c r="BL195" s="20">
        <v>0</v>
      </c>
      <c r="BM195" s="20">
        <v>0</v>
      </c>
      <c r="BN195" s="20">
        <v>0</v>
      </c>
      <c r="BO195" s="20">
        <v>0</v>
      </c>
      <c r="BP195" s="20">
        <v>0</v>
      </c>
      <c r="BQ195" s="20">
        <v>0</v>
      </c>
      <c r="BR195" s="20">
        <v>0</v>
      </c>
      <c r="BS195" s="20">
        <v>0</v>
      </c>
      <c r="BT195" s="20">
        <v>0</v>
      </c>
      <c r="BU195" s="20">
        <v>0</v>
      </c>
      <c r="BV195" s="20">
        <v>0</v>
      </c>
      <c r="BW195" s="20">
        <v>0</v>
      </c>
      <c r="BX195" s="20">
        <v>0</v>
      </c>
      <c r="BY195" s="20">
        <v>0</v>
      </c>
      <c r="BZ195" s="20">
        <v>0</v>
      </c>
      <c r="CA195" s="20">
        <v>0</v>
      </c>
      <c r="CB195" s="20">
        <v>0</v>
      </c>
      <c r="CC195" s="20">
        <v>0</v>
      </c>
      <c r="CD195" s="20">
        <v>0</v>
      </c>
      <c r="CE195" s="20">
        <v>0</v>
      </c>
      <c r="CF195" s="20">
        <v>0</v>
      </c>
      <c r="CG195" s="20">
        <v>0</v>
      </c>
      <c r="CH195" s="20">
        <v>0</v>
      </c>
      <c r="CI195" s="20">
        <v>0</v>
      </c>
      <c r="CJ195" s="20">
        <v>0</v>
      </c>
      <c r="CK195" s="20">
        <v>0</v>
      </c>
      <c r="CL195" s="20">
        <v>0</v>
      </c>
      <c r="CM195" s="20">
        <v>0</v>
      </c>
      <c r="CN195" s="20">
        <v>0</v>
      </c>
      <c r="CO195" s="20">
        <v>0</v>
      </c>
      <c r="CP195" s="20">
        <v>0</v>
      </c>
      <c r="CQ195" s="20">
        <v>0</v>
      </c>
      <c r="CR195" s="20">
        <v>0</v>
      </c>
      <c r="CS195" s="20">
        <v>0</v>
      </c>
      <c r="CT195" s="20">
        <v>0</v>
      </c>
      <c r="CU195" s="20">
        <v>0</v>
      </c>
      <c r="CV195" s="20">
        <v>0</v>
      </c>
      <c r="CW195" s="20">
        <v>0</v>
      </c>
      <c r="CX195" s="20">
        <v>0</v>
      </c>
      <c r="CY195" s="20">
        <v>0</v>
      </c>
      <c r="CZ195" s="20">
        <v>0</v>
      </c>
      <c r="DA195" s="20">
        <v>0</v>
      </c>
      <c r="DB195" s="20">
        <v>0</v>
      </c>
      <c r="DC195" s="20">
        <v>0</v>
      </c>
      <c r="DD195" s="20">
        <v>0</v>
      </c>
      <c r="DE195" s="20">
        <v>0</v>
      </c>
      <c r="DF195" s="20">
        <v>0</v>
      </c>
      <c r="DG195" s="16">
        <f t="shared" si="19"/>
        <v>0</v>
      </c>
      <c r="DH195" s="16">
        <f t="shared" si="20"/>
        <v>0</v>
      </c>
      <c r="DI195" s="17" t="str">
        <f t="shared" si="21"/>
        <v/>
      </c>
      <c r="DJ195" s="119" t="s">
        <v>572</v>
      </c>
      <c r="DK195" s="44" t="s">
        <v>572</v>
      </c>
    </row>
    <row r="196" spans="1:115">
      <c r="A196" s="32" t="str">
        <f t="shared" si="17"/>
        <v>AusNet--&gt;  132 kV</v>
      </c>
      <c r="B196" s="32" t="str">
        <f t="shared" si="18"/>
        <v>AusNet</v>
      </c>
      <c r="C196" s="426"/>
      <c r="D196" s="14"/>
      <c r="E196" s="15" t="s">
        <v>184</v>
      </c>
      <c r="F196" s="18">
        <v>0</v>
      </c>
      <c r="G196" s="18">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0">
        <v>0</v>
      </c>
      <c r="AY196" s="20">
        <v>0</v>
      </c>
      <c r="AZ196" s="20">
        <v>0</v>
      </c>
      <c r="BA196" s="20">
        <v>0</v>
      </c>
      <c r="BB196" s="20">
        <v>0</v>
      </c>
      <c r="BC196" s="20">
        <v>0</v>
      </c>
      <c r="BD196" s="20">
        <v>0</v>
      </c>
      <c r="BE196" s="20">
        <v>0</v>
      </c>
      <c r="BF196" s="20">
        <v>0</v>
      </c>
      <c r="BG196" s="20">
        <v>0</v>
      </c>
      <c r="BH196" s="20">
        <v>0</v>
      </c>
      <c r="BI196" s="20">
        <v>0</v>
      </c>
      <c r="BJ196" s="20">
        <v>0</v>
      </c>
      <c r="BK196" s="20">
        <v>0</v>
      </c>
      <c r="BL196" s="20">
        <v>0</v>
      </c>
      <c r="BM196" s="20">
        <v>0</v>
      </c>
      <c r="BN196" s="20">
        <v>0</v>
      </c>
      <c r="BO196" s="20">
        <v>0</v>
      </c>
      <c r="BP196" s="20">
        <v>0</v>
      </c>
      <c r="BQ196" s="20">
        <v>0</v>
      </c>
      <c r="BR196" s="20">
        <v>0</v>
      </c>
      <c r="BS196" s="20">
        <v>0</v>
      </c>
      <c r="BT196" s="20">
        <v>0</v>
      </c>
      <c r="BU196" s="20">
        <v>0</v>
      </c>
      <c r="BV196" s="20">
        <v>0</v>
      </c>
      <c r="BW196" s="20">
        <v>0</v>
      </c>
      <c r="BX196" s="20">
        <v>0</v>
      </c>
      <c r="BY196" s="20">
        <v>0</v>
      </c>
      <c r="BZ196" s="20">
        <v>0</v>
      </c>
      <c r="CA196" s="20">
        <v>0</v>
      </c>
      <c r="CB196" s="20">
        <v>0</v>
      </c>
      <c r="CC196" s="20">
        <v>0</v>
      </c>
      <c r="CD196" s="20">
        <v>0</v>
      </c>
      <c r="CE196" s="20">
        <v>0</v>
      </c>
      <c r="CF196" s="20">
        <v>0</v>
      </c>
      <c r="CG196" s="20">
        <v>0</v>
      </c>
      <c r="CH196" s="20">
        <v>0</v>
      </c>
      <c r="CI196" s="20">
        <v>0</v>
      </c>
      <c r="CJ196" s="20">
        <v>0</v>
      </c>
      <c r="CK196" s="20">
        <v>0</v>
      </c>
      <c r="CL196" s="20">
        <v>0</v>
      </c>
      <c r="CM196" s="20">
        <v>0</v>
      </c>
      <c r="CN196" s="20">
        <v>0</v>
      </c>
      <c r="CO196" s="20">
        <v>0</v>
      </c>
      <c r="CP196" s="20">
        <v>0</v>
      </c>
      <c r="CQ196" s="20">
        <v>0</v>
      </c>
      <c r="CR196" s="20">
        <v>0</v>
      </c>
      <c r="CS196" s="20">
        <v>0</v>
      </c>
      <c r="CT196" s="20">
        <v>0</v>
      </c>
      <c r="CU196" s="20">
        <v>0</v>
      </c>
      <c r="CV196" s="20">
        <v>0</v>
      </c>
      <c r="CW196" s="20">
        <v>0</v>
      </c>
      <c r="CX196" s="20">
        <v>0</v>
      </c>
      <c r="CY196" s="20">
        <v>0</v>
      </c>
      <c r="CZ196" s="20">
        <v>0</v>
      </c>
      <c r="DA196" s="20">
        <v>0</v>
      </c>
      <c r="DB196" s="20">
        <v>0</v>
      </c>
      <c r="DC196" s="20">
        <v>0</v>
      </c>
      <c r="DD196" s="20">
        <v>0</v>
      </c>
      <c r="DE196" s="20">
        <v>0</v>
      </c>
      <c r="DF196" s="20">
        <v>0</v>
      </c>
      <c r="DG196" s="16">
        <f t="shared" si="19"/>
        <v>0</v>
      </c>
      <c r="DH196" s="16">
        <f t="shared" si="20"/>
        <v>0</v>
      </c>
      <c r="DI196" s="17" t="str">
        <f t="shared" si="21"/>
        <v/>
      </c>
      <c r="DJ196" s="119" t="s">
        <v>572</v>
      </c>
      <c r="DK196" s="44" t="s">
        <v>572</v>
      </c>
    </row>
    <row r="197" spans="1:115">
      <c r="A197" s="32" t="str">
        <f t="shared" si="17"/>
        <v>AusNet--OTHER - PLEASE ADD A ROW IF NECESSARY AND NOMINATE THE CATEGORY</v>
      </c>
      <c r="B197" s="32" t="str">
        <f t="shared" si="18"/>
        <v>AusNet</v>
      </c>
      <c r="C197" s="426"/>
      <c r="D197" s="14"/>
      <c r="E197" s="15" t="s">
        <v>170</v>
      </c>
      <c r="F197" s="18"/>
      <c r="G197" s="18"/>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16">
        <f t="shared" si="19"/>
        <v>0</v>
      </c>
      <c r="DH197" s="16">
        <f t="shared" si="20"/>
        <v>0</v>
      </c>
      <c r="DI197" s="17" t="str">
        <f t="shared" si="21"/>
        <v/>
      </c>
      <c r="DJ197" s="119" t="s">
        <v>572</v>
      </c>
      <c r="DK197" s="44" t="s">
        <v>572</v>
      </c>
    </row>
    <row r="198" spans="1:115" ht="60">
      <c r="A198" s="32" t="str">
        <f t="shared" si="17"/>
        <v xml:space="preserve">AusNet-SERVICE LINES BY: 
CONNECTION VOLTAGE; CUSTOMER TYPE; CONNECTION COMPLEXITY -˂ = 11 kV ; RESIDENTIAL ; SIMPLE TYPE </v>
      </c>
      <c r="B198" s="32" t="str">
        <f t="shared" si="18"/>
        <v>AusNet</v>
      </c>
      <c r="C198" s="426"/>
      <c r="D198" s="14" t="s">
        <v>541</v>
      </c>
      <c r="E198" s="15" t="s">
        <v>186</v>
      </c>
      <c r="F198" s="18">
        <v>40</v>
      </c>
      <c r="G198" s="18">
        <v>8</v>
      </c>
      <c r="H198" s="20">
        <v>213.77263815309846</v>
      </c>
      <c r="I198" s="20">
        <v>323.4673247468611</v>
      </c>
      <c r="J198" s="20">
        <v>156.35616573511544</v>
      </c>
      <c r="K198" s="20">
        <v>23.94</v>
      </c>
      <c r="L198" s="20">
        <v>40.25</v>
      </c>
      <c r="M198" s="20">
        <v>41.01</v>
      </c>
      <c r="N198" s="20">
        <v>89.19</v>
      </c>
      <c r="O198" s="20">
        <v>85.97</v>
      </c>
      <c r="P198" s="20">
        <v>41.75</v>
      </c>
      <c r="Q198" s="20">
        <v>70.489999999999995</v>
      </c>
      <c r="R198" s="20">
        <v>64.09</v>
      </c>
      <c r="S198" s="20">
        <v>83.85</v>
      </c>
      <c r="T198" s="20">
        <v>93.06</v>
      </c>
      <c r="U198" s="20">
        <v>88.89</v>
      </c>
      <c r="V198" s="20">
        <v>114.69</v>
      </c>
      <c r="W198" s="20">
        <v>122.38</v>
      </c>
      <c r="X198" s="20">
        <v>776.46</v>
      </c>
      <c r="Y198" s="20">
        <v>20.52</v>
      </c>
      <c r="Z198" s="20">
        <v>32.950000000000003</v>
      </c>
      <c r="AA198" s="20">
        <v>6.89</v>
      </c>
      <c r="AB198" s="20">
        <v>2.59</v>
      </c>
      <c r="AC198" s="20">
        <v>14.51</v>
      </c>
      <c r="AD198" s="20">
        <v>12.12</v>
      </c>
      <c r="AE198" s="20">
        <v>7.58</v>
      </c>
      <c r="AF198" s="20">
        <v>10.47</v>
      </c>
      <c r="AG198" s="20">
        <v>5.94</v>
      </c>
      <c r="AH198" s="20">
        <v>4.99</v>
      </c>
      <c r="AI198" s="20">
        <v>3.62</v>
      </c>
      <c r="AJ198" s="20">
        <v>8.2200000000000006</v>
      </c>
      <c r="AK198" s="20">
        <v>6.59</v>
      </c>
      <c r="AL198" s="20">
        <v>4.8499999999999996</v>
      </c>
      <c r="AM198" s="20">
        <v>0.28999999999999998</v>
      </c>
      <c r="AN198" s="20">
        <v>1.36</v>
      </c>
      <c r="AO198" s="20">
        <v>1678.74</v>
      </c>
      <c r="AP198" s="20">
        <v>0</v>
      </c>
      <c r="AQ198" s="20">
        <v>0.24</v>
      </c>
      <c r="AR198" s="20">
        <v>0</v>
      </c>
      <c r="AS198" s="20">
        <v>0</v>
      </c>
      <c r="AT198" s="20">
        <v>0</v>
      </c>
      <c r="AU198" s="20">
        <v>0</v>
      </c>
      <c r="AV198" s="20">
        <v>0.42</v>
      </c>
      <c r="AW198" s="20">
        <v>0</v>
      </c>
      <c r="AX198" s="20">
        <v>0</v>
      </c>
      <c r="AY198" s="20">
        <v>412.88</v>
      </c>
      <c r="AZ198" s="20">
        <v>0</v>
      </c>
      <c r="BA198" s="20">
        <v>0</v>
      </c>
      <c r="BB198" s="20">
        <v>0</v>
      </c>
      <c r="BC198" s="20">
        <v>0</v>
      </c>
      <c r="BD198" s="20">
        <v>0.71</v>
      </c>
      <c r="BE198" s="20">
        <v>0</v>
      </c>
      <c r="BF198" s="20">
        <v>0</v>
      </c>
      <c r="BG198" s="20">
        <v>0</v>
      </c>
      <c r="BH198" s="20">
        <v>0</v>
      </c>
      <c r="BI198" s="20">
        <v>0</v>
      </c>
      <c r="BJ198" s="20">
        <v>0</v>
      </c>
      <c r="BK198" s="20">
        <v>0</v>
      </c>
      <c r="BL198" s="20">
        <v>0</v>
      </c>
      <c r="BM198" s="20">
        <v>0</v>
      </c>
      <c r="BN198" s="20">
        <v>0</v>
      </c>
      <c r="BO198" s="20">
        <v>0</v>
      </c>
      <c r="BP198" s="20">
        <v>0</v>
      </c>
      <c r="BQ198" s="20">
        <v>0</v>
      </c>
      <c r="BR198" s="20">
        <v>0</v>
      </c>
      <c r="BS198" s="20">
        <v>0</v>
      </c>
      <c r="BT198" s="20">
        <v>0</v>
      </c>
      <c r="BU198" s="20">
        <v>0</v>
      </c>
      <c r="BV198" s="20">
        <v>0</v>
      </c>
      <c r="BW198" s="20">
        <v>0</v>
      </c>
      <c r="BX198" s="20">
        <v>0</v>
      </c>
      <c r="BY198" s="20">
        <v>0</v>
      </c>
      <c r="BZ198" s="20">
        <v>0</v>
      </c>
      <c r="CA198" s="20">
        <v>0</v>
      </c>
      <c r="CB198" s="20">
        <v>0</v>
      </c>
      <c r="CC198" s="20">
        <v>0</v>
      </c>
      <c r="CD198" s="20">
        <v>0</v>
      </c>
      <c r="CE198" s="20">
        <v>0</v>
      </c>
      <c r="CF198" s="20">
        <v>0</v>
      </c>
      <c r="CG198" s="20">
        <v>0</v>
      </c>
      <c r="CH198" s="20">
        <v>0</v>
      </c>
      <c r="CI198" s="20">
        <v>0</v>
      </c>
      <c r="CJ198" s="20">
        <v>0</v>
      </c>
      <c r="CK198" s="20">
        <v>0</v>
      </c>
      <c r="CL198" s="20">
        <v>0</v>
      </c>
      <c r="CM198" s="20">
        <v>0</v>
      </c>
      <c r="CN198" s="20">
        <v>0</v>
      </c>
      <c r="CO198" s="20">
        <v>0</v>
      </c>
      <c r="CP198" s="20">
        <v>0</v>
      </c>
      <c r="CQ198" s="20">
        <v>0</v>
      </c>
      <c r="CR198" s="20">
        <v>0</v>
      </c>
      <c r="CS198" s="20">
        <v>0</v>
      </c>
      <c r="CT198" s="20">
        <v>0</v>
      </c>
      <c r="CU198" s="20">
        <v>0</v>
      </c>
      <c r="CV198" s="20">
        <v>0</v>
      </c>
      <c r="CW198" s="20">
        <v>0</v>
      </c>
      <c r="CX198" s="20">
        <v>0</v>
      </c>
      <c r="CY198" s="20">
        <v>0</v>
      </c>
      <c r="CZ198" s="20">
        <v>0</v>
      </c>
      <c r="DA198" s="20">
        <v>0</v>
      </c>
      <c r="DB198" s="20">
        <v>0</v>
      </c>
      <c r="DC198" s="20">
        <v>0</v>
      </c>
      <c r="DD198" s="20">
        <v>0</v>
      </c>
      <c r="DE198" s="20">
        <v>0</v>
      </c>
      <c r="DF198" s="20">
        <v>2192.5138713649249</v>
      </c>
      <c r="DG198" s="16">
        <f t="shared" si="19"/>
        <v>6858.61</v>
      </c>
      <c r="DH198" s="16">
        <f t="shared" si="20"/>
        <v>329703.09453543939</v>
      </c>
      <c r="DI198" s="17">
        <f t="shared" si="21"/>
        <v>48.071416006368551</v>
      </c>
      <c r="DJ198" s="119" t="s">
        <v>719</v>
      </c>
      <c r="DK198" t="s">
        <v>719</v>
      </c>
    </row>
    <row r="199" spans="1:115">
      <c r="A199" s="32" t="str">
        <f t="shared" si="17"/>
        <v xml:space="preserve">AusNet--˂ = 11 kV ; COMMERCIAL &amp; INDUSTRIAL ; SIMPLE TYPE </v>
      </c>
      <c r="B199" s="32" t="str">
        <f t="shared" si="18"/>
        <v>AusNet</v>
      </c>
      <c r="C199" s="426"/>
      <c r="D199" s="14"/>
      <c r="E199" s="15" t="s">
        <v>187</v>
      </c>
      <c r="F199" s="18">
        <v>40</v>
      </c>
      <c r="G199" s="18">
        <v>8</v>
      </c>
      <c r="H199" s="20">
        <v>26.466161846901585</v>
      </c>
      <c r="I199" s="20">
        <v>40.041075253138928</v>
      </c>
      <c r="J199" s="20">
        <v>19.349434264884572</v>
      </c>
      <c r="K199" s="20">
        <v>2.96</v>
      </c>
      <c r="L199" s="20">
        <v>4.47</v>
      </c>
      <c r="M199" s="20">
        <v>4.5599999999999996</v>
      </c>
      <c r="N199" s="20">
        <v>9.91</v>
      </c>
      <c r="O199" s="20">
        <v>9.5500000000000007</v>
      </c>
      <c r="P199" s="20">
        <v>4.6399999999999997</v>
      </c>
      <c r="Q199" s="20">
        <v>7.83</v>
      </c>
      <c r="R199" s="20">
        <v>7.12</v>
      </c>
      <c r="S199" s="20">
        <v>9.32</v>
      </c>
      <c r="T199" s="20">
        <v>10.34</v>
      </c>
      <c r="U199" s="20">
        <v>9.8800000000000008</v>
      </c>
      <c r="V199" s="20">
        <v>12.74</v>
      </c>
      <c r="W199" s="20">
        <v>13.6</v>
      </c>
      <c r="X199" s="20">
        <v>86.27</v>
      </c>
      <c r="Y199" s="20">
        <v>2.2799999999999998</v>
      </c>
      <c r="Z199" s="20">
        <v>3.66</v>
      </c>
      <c r="AA199" s="20">
        <v>0.77</v>
      </c>
      <c r="AB199" s="20">
        <v>0.28999999999999998</v>
      </c>
      <c r="AC199" s="20">
        <v>1.61</v>
      </c>
      <c r="AD199" s="20">
        <v>1.35</v>
      </c>
      <c r="AE199" s="20">
        <v>0.84</v>
      </c>
      <c r="AF199" s="20">
        <v>1.1599999999999999</v>
      </c>
      <c r="AG199" s="20">
        <v>0.66</v>
      </c>
      <c r="AH199" s="20">
        <v>0.55000000000000004</v>
      </c>
      <c r="AI199" s="20">
        <v>0.4</v>
      </c>
      <c r="AJ199" s="20">
        <v>0.91</v>
      </c>
      <c r="AK199" s="20">
        <v>0.73</v>
      </c>
      <c r="AL199" s="20">
        <v>0.54</v>
      </c>
      <c r="AM199" s="20">
        <v>0.03</v>
      </c>
      <c r="AN199" s="20">
        <v>0.15</v>
      </c>
      <c r="AO199" s="20">
        <v>186.53</v>
      </c>
      <c r="AP199" s="20">
        <v>0</v>
      </c>
      <c r="AQ199" s="20">
        <v>0.03</v>
      </c>
      <c r="AR199" s="20">
        <v>0</v>
      </c>
      <c r="AS199" s="20">
        <v>0</v>
      </c>
      <c r="AT199" s="20">
        <v>0</v>
      </c>
      <c r="AU199" s="20">
        <v>0</v>
      </c>
      <c r="AV199" s="20">
        <v>0.05</v>
      </c>
      <c r="AW199" s="20">
        <v>0</v>
      </c>
      <c r="AX199" s="20">
        <v>0</v>
      </c>
      <c r="AY199" s="20">
        <v>45.88</v>
      </c>
      <c r="AZ199" s="20">
        <v>0</v>
      </c>
      <c r="BA199" s="20">
        <v>0</v>
      </c>
      <c r="BB199" s="20">
        <v>0</v>
      </c>
      <c r="BC199" s="20">
        <v>0</v>
      </c>
      <c r="BD199" s="20">
        <v>0.08</v>
      </c>
      <c r="BE199" s="20">
        <v>0</v>
      </c>
      <c r="BF199" s="20">
        <v>0</v>
      </c>
      <c r="BG199" s="20">
        <v>0</v>
      </c>
      <c r="BH199" s="20">
        <v>0</v>
      </c>
      <c r="BI199" s="20">
        <v>0</v>
      </c>
      <c r="BJ199" s="20">
        <v>0</v>
      </c>
      <c r="BK199" s="20">
        <v>0</v>
      </c>
      <c r="BL199" s="20">
        <v>0</v>
      </c>
      <c r="BM199" s="20">
        <v>0</v>
      </c>
      <c r="BN199" s="20">
        <v>0</v>
      </c>
      <c r="BO199" s="20">
        <v>0</v>
      </c>
      <c r="BP199" s="20">
        <v>0</v>
      </c>
      <c r="BQ199" s="20">
        <v>0</v>
      </c>
      <c r="BR199" s="20">
        <v>0</v>
      </c>
      <c r="BS199" s="20">
        <v>0</v>
      </c>
      <c r="BT199" s="20">
        <v>0</v>
      </c>
      <c r="BU199" s="20">
        <v>0</v>
      </c>
      <c r="BV199" s="20">
        <v>0</v>
      </c>
      <c r="BW199" s="20">
        <v>0</v>
      </c>
      <c r="BX199" s="20">
        <v>0</v>
      </c>
      <c r="BY199" s="20">
        <v>0</v>
      </c>
      <c r="BZ199" s="20">
        <v>0</v>
      </c>
      <c r="CA199" s="20">
        <v>0</v>
      </c>
      <c r="CB199" s="20">
        <v>0</v>
      </c>
      <c r="CC199" s="20">
        <v>0</v>
      </c>
      <c r="CD199" s="20">
        <v>0</v>
      </c>
      <c r="CE199" s="20">
        <v>0</v>
      </c>
      <c r="CF199" s="20">
        <v>0</v>
      </c>
      <c r="CG199" s="20">
        <v>0</v>
      </c>
      <c r="CH199" s="20">
        <v>0</v>
      </c>
      <c r="CI199" s="20">
        <v>0</v>
      </c>
      <c r="CJ199" s="20">
        <v>0</v>
      </c>
      <c r="CK199" s="20">
        <v>0</v>
      </c>
      <c r="CL199" s="20">
        <v>0</v>
      </c>
      <c r="CM199" s="20">
        <v>0</v>
      </c>
      <c r="CN199" s="20">
        <v>0</v>
      </c>
      <c r="CO199" s="20">
        <v>0</v>
      </c>
      <c r="CP199" s="20">
        <v>0</v>
      </c>
      <c r="CQ199" s="20">
        <v>0</v>
      </c>
      <c r="CR199" s="20">
        <v>0</v>
      </c>
      <c r="CS199" s="20">
        <v>0</v>
      </c>
      <c r="CT199" s="20">
        <v>0</v>
      </c>
      <c r="CU199" s="20">
        <v>0</v>
      </c>
      <c r="CV199" s="20">
        <v>0</v>
      </c>
      <c r="CW199" s="20">
        <v>0</v>
      </c>
      <c r="CX199" s="20">
        <v>0</v>
      </c>
      <c r="CY199" s="20">
        <v>0</v>
      </c>
      <c r="CZ199" s="20">
        <v>0</v>
      </c>
      <c r="DA199" s="20">
        <v>0</v>
      </c>
      <c r="DB199" s="20">
        <v>0</v>
      </c>
      <c r="DC199" s="20">
        <v>0</v>
      </c>
      <c r="DD199" s="20">
        <v>0</v>
      </c>
      <c r="DE199" s="20">
        <v>0</v>
      </c>
      <c r="DF199" s="20">
        <v>235.82332863507492</v>
      </c>
      <c r="DG199" s="16">
        <f t="shared" si="19"/>
        <v>763.37000000000012</v>
      </c>
      <c r="DH199" s="16">
        <f t="shared" si="20"/>
        <v>35849.609464560548</v>
      </c>
      <c r="DI199" s="17">
        <f t="shared" si="21"/>
        <v>46.962298052792931</v>
      </c>
      <c r="DJ199" s="119" t="s">
        <v>719</v>
      </c>
      <c r="DK199" s="44" t="s">
        <v>719</v>
      </c>
    </row>
    <row r="200" spans="1:115">
      <c r="A200" s="32" t="str">
        <f t="shared" si="17"/>
        <v xml:space="preserve">AusNet--˂ = 11 kV ; RESIDENTIAL ; COMPLEX TYPE </v>
      </c>
      <c r="B200" s="32" t="str">
        <f t="shared" si="18"/>
        <v>AusNet</v>
      </c>
      <c r="C200" s="426"/>
      <c r="D200" s="14"/>
      <c r="E200" s="15" t="s">
        <v>188</v>
      </c>
      <c r="F200" s="18">
        <v>0</v>
      </c>
      <c r="G200" s="18">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0">
        <v>0</v>
      </c>
      <c r="AY200" s="20">
        <v>0</v>
      </c>
      <c r="AZ200" s="20">
        <v>0</v>
      </c>
      <c r="BA200" s="20">
        <v>0</v>
      </c>
      <c r="BB200" s="20">
        <v>0</v>
      </c>
      <c r="BC200" s="20">
        <v>0</v>
      </c>
      <c r="BD200" s="20">
        <v>0</v>
      </c>
      <c r="BE200" s="20">
        <v>0</v>
      </c>
      <c r="BF200" s="20">
        <v>0</v>
      </c>
      <c r="BG200" s="20">
        <v>0</v>
      </c>
      <c r="BH200" s="20">
        <v>0</v>
      </c>
      <c r="BI200" s="20">
        <v>0</v>
      </c>
      <c r="BJ200" s="20">
        <v>0</v>
      </c>
      <c r="BK200" s="20">
        <v>0</v>
      </c>
      <c r="BL200" s="20">
        <v>0</v>
      </c>
      <c r="BM200" s="20">
        <v>0</v>
      </c>
      <c r="BN200" s="20">
        <v>0</v>
      </c>
      <c r="BO200" s="20">
        <v>0</v>
      </c>
      <c r="BP200" s="20">
        <v>0</v>
      </c>
      <c r="BQ200" s="20">
        <v>0</v>
      </c>
      <c r="BR200" s="20">
        <v>0</v>
      </c>
      <c r="BS200" s="20">
        <v>0</v>
      </c>
      <c r="BT200" s="20">
        <v>0</v>
      </c>
      <c r="BU200" s="20">
        <v>0</v>
      </c>
      <c r="BV200" s="20">
        <v>0</v>
      </c>
      <c r="BW200" s="20">
        <v>0</v>
      </c>
      <c r="BX200" s="20">
        <v>0</v>
      </c>
      <c r="BY200" s="20">
        <v>0</v>
      </c>
      <c r="BZ200" s="20">
        <v>0</v>
      </c>
      <c r="CA200" s="20">
        <v>0</v>
      </c>
      <c r="CB200" s="20">
        <v>0</v>
      </c>
      <c r="CC200" s="20">
        <v>0</v>
      </c>
      <c r="CD200" s="20">
        <v>0</v>
      </c>
      <c r="CE200" s="20">
        <v>0</v>
      </c>
      <c r="CF200" s="20">
        <v>0</v>
      </c>
      <c r="CG200" s="20">
        <v>0</v>
      </c>
      <c r="CH200" s="20">
        <v>0</v>
      </c>
      <c r="CI200" s="20">
        <v>0</v>
      </c>
      <c r="CJ200" s="20">
        <v>0</v>
      </c>
      <c r="CK200" s="20">
        <v>0</v>
      </c>
      <c r="CL200" s="20">
        <v>0</v>
      </c>
      <c r="CM200" s="20">
        <v>0</v>
      </c>
      <c r="CN200" s="20">
        <v>0</v>
      </c>
      <c r="CO200" s="20">
        <v>0</v>
      </c>
      <c r="CP200" s="20">
        <v>0</v>
      </c>
      <c r="CQ200" s="20">
        <v>0</v>
      </c>
      <c r="CR200" s="20">
        <v>0</v>
      </c>
      <c r="CS200" s="20">
        <v>0</v>
      </c>
      <c r="CT200" s="20">
        <v>0</v>
      </c>
      <c r="CU200" s="20">
        <v>0</v>
      </c>
      <c r="CV200" s="20">
        <v>0</v>
      </c>
      <c r="CW200" s="20">
        <v>0</v>
      </c>
      <c r="CX200" s="20">
        <v>0</v>
      </c>
      <c r="CY200" s="20">
        <v>0</v>
      </c>
      <c r="CZ200" s="20">
        <v>0</v>
      </c>
      <c r="DA200" s="20">
        <v>0</v>
      </c>
      <c r="DB200" s="20">
        <v>0</v>
      </c>
      <c r="DC200" s="20">
        <v>0</v>
      </c>
      <c r="DD200" s="20">
        <v>0</v>
      </c>
      <c r="DE200" s="20">
        <v>0</v>
      </c>
      <c r="DF200" s="20">
        <v>0</v>
      </c>
      <c r="DG200" s="16">
        <f t="shared" si="19"/>
        <v>0</v>
      </c>
      <c r="DH200" s="16">
        <f t="shared" si="20"/>
        <v>0</v>
      </c>
      <c r="DI200" s="17" t="str">
        <f t="shared" si="21"/>
        <v/>
      </c>
      <c r="DJ200" s="119" t="s">
        <v>719</v>
      </c>
      <c r="DK200" s="44" t="s">
        <v>719</v>
      </c>
    </row>
    <row r="201" spans="1:115">
      <c r="A201" s="32" t="str">
        <f t="shared" si="17"/>
        <v xml:space="preserve">AusNet--˂ = 11 kV ; COMMERCIAL &amp; INDUSTRIAL ; COMPLEX TYPE </v>
      </c>
      <c r="B201" s="32" t="str">
        <f t="shared" si="18"/>
        <v>AusNet</v>
      </c>
      <c r="C201" s="426"/>
      <c r="D201" s="14"/>
      <c r="E201" s="15" t="s">
        <v>189</v>
      </c>
      <c r="F201" s="18">
        <v>0</v>
      </c>
      <c r="G201" s="18">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0">
        <v>0</v>
      </c>
      <c r="AY201" s="20">
        <v>0</v>
      </c>
      <c r="AZ201" s="20">
        <v>0</v>
      </c>
      <c r="BA201" s="20">
        <v>0</v>
      </c>
      <c r="BB201" s="20">
        <v>0</v>
      </c>
      <c r="BC201" s="20">
        <v>0</v>
      </c>
      <c r="BD201" s="20">
        <v>0</v>
      </c>
      <c r="BE201" s="20">
        <v>0</v>
      </c>
      <c r="BF201" s="20">
        <v>0</v>
      </c>
      <c r="BG201" s="20">
        <v>0</v>
      </c>
      <c r="BH201" s="20">
        <v>0</v>
      </c>
      <c r="BI201" s="20">
        <v>0</v>
      </c>
      <c r="BJ201" s="20">
        <v>0</v>
      </c>
      <c r="BK201" s="20">
        <v>0</v>
      </c>
      <c r="BL201" s="20">
        <v>0</v>
      </c>
      <c r="BM201" s="20">
        <v>0</v>
      </c>
      <c r="BN201" s="20">
        <v>0</v>
      </c>
      <c r="BO201" s="20">
        <v>0</v>
      </c>
      <c r="BP201" s="20">
        <v>0</v>
      </c>
      <c r="BQ201" s="20">
        <v>0</v>
      </c>
      <c r="BR201" s="20">
        <v>0</v>
      </c>
      <c r="BS201" s="20">
        <v>0</v>
      </c>
      <c r="BT201" s="20">
        <v>0</v>
      </c>
      <c r="BU201" s="20">
        <v>0</v>
      </c>
      <c r="BV201" s="20">
        <v>0</v>
      </c>
      <c r="BW201" s="20">
        <v>0</v>
      </c>
      <c r="BX201" s="20">
        <v>0</v>
      </c>
      <c r="BY201" s="20">
        <v>0</v>
      </c>
      <c r="BZ201" s="20">
        <v>0</v>
      </c>
      <c r="CA201" s="20">
        <v>0</v>
      </c>
      <c r="CB201" s="20">
        <v>0</v>
      </c>
      <c r="CC201" s="20">
        <v>0</v>
      </c>
      <c r="CD201" s="20">
        <v>0</v>
      </c>
      <c r="CE201" s="20">
        <v>0</v>
      </c>
      <c r="CF201" s="20">
        <v>0</v>
      </c>
      <c r="CG201" s="20">
        <v>0</v>
      </c>
      <c r="CH201" s="20">
        <v>0</v>
      </c>
      <c r="CI201" s="20">
        <v>0</v>
      </c>
      <c r="CJ201" s="20">
        <v>0</v>
      </c>
      <c r="CK201" s="20">
        <v>0</v>
      </c>
      <c r="CL201" s="20">
        <v>0</v>
      </c>
      <c r="CM201" s="20">
        <v>0</v>
      </c>
      <c r="CN201" s="20">
        <v>0</v>
      </c>
      <c r="CO201" s="20">
        <v>0</v>
      </c>
      <c r="CP201" s="20">
        <v>0</v>
      </c>
      <c r="CQ201" s="20">
        <v>0</v>
      </c>
      <c r="CR201" s="20">
        <v>0</v>
      </c>
      <c r="CS201" s="20">
        <v>0</v>
      </c>
      <c r="CT201" s="20">
        <v>0</v>
      </c>
      <c r="CU201" s="20">
        <v>0</v>
      </c>
      <c r="CV201" s="20">
        <v>0</v>
      </c>
      <c r="CW201" s="20">
        <v>0</v>
      </c>
      <c r="CX201" s="20">
        <v>0</v>
      </c>
      <c r="CY201" s="20">
        <v>0</v>
      </c>
      <c r="CZ201" s="20">
        <v>0</v>
      </c>
      <c r="DA201" s="20">
        <v>0</v>
      </c>
      <c r="DB201" s="20">
        <v>0</v>
      </c>
      <c r="DC201" s="20">
        <v>0</v>
      </c>
      <c r="DD201" s="20">
        <v>0</v>
      </c>
      <c r="DE201" s="20">
        <v>0</v>
      </c>
      <c r="DF201" s="20">
        <v>0</v>
      </c>
      <c r="DG201" s="16">
        <f t="shared" si="19"/>
        <v>0</v>
      </c>
      <c r="DH201" s="16">
        <f t="shared" si="20"/>
        <v>0</v>
      </c>
      <c r="DI201" s="17" t="str">
        <f t="shared" si="21"/>
        <v/>
      </c>
      <c r="DJ201" s="119" t="s">
        <v>719</v>
      </c>
      <c r="DK201" s="44" t="s">
        <v>719</v>
      </c>
    </row>
    <row r="202" spans="1:115">
      <c r="A202" s="32" t="str">
        <f t="shared" si="17"/>
        <v xml:space="preserve">AusNet--˂ = 11 kV ; SUBDIVISION ; COMPLEX TYPE </v>
      </c>
      <c r="B202" s="32" t="str">
        <f t="shared" si="18"/>
        <v>AusNet</v>
      </c>
      <c r="C202" s="426"/>
      <c r="D202" s="14"/>
      <c r="E202" s="15" t="s">
        <v>190</v>
      </c>
      <c r="F202" s="18">
        <v>0</v>
      </c>
      <c r="G202" s="18">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0">
        <v>0</v>
      </c>
      <c r="AY202" s="20">
        <v>0</v>
      </c>
      <c r="AZ202" s="20">
        <v>0</v>
      </c>
      <c r="BA202" s="20">
        <v>0</v>
      </c>
      <c r="BB202" s="20">
        <v>0</v>
      </c>
      <c r="BC202" s="20">
        <v>0</v>
      </c>
      <c r="BD202" s="20">
        <v>0</v>
      </c>
      <c r="BE202" s="20">
        <v>0</v>
      </c>
      <c r="BF202" s="20">
        <v>0</v>
      </c>
      <c r="BG202" s="20">
        <v>0</v>
      </c>
      <c r="BH202" s="20">
        <v>0</v>
      </c>
      <c r="BI202" s="20">
        <v>0</v>
      </c>
      <c r="BJ202" s="20">
        <v>0</v>
      </c>
      <c r="BK202" s="20">
        <v>0</v>
      </c>
      <c r="BL202" s="20">
        <v>0</v>
      </c>
      <c r="BM202" s="20">
        <v>0</v>
      </c>
      <c r="BN202" s="20">
        <v>0</v>
      </c>
      <c r="BO202" s="20">
        <v>0</v>
      </c>
      <c r="BP202" s="20">
        <v>0</v>
      </c>
      <c r="BQ202" s="20">
        <v>0</v>
      </c>
      <c r="BR202" s="20">
        <v>0</v>
      </c>
      <c r="BS202" s="20">
        <v>0</v>
      </c>
      <c r="BT202" s="20">
        <v>0</v>
      </c>
      <c r="BU202" s="20">
        <v>0</v>
      </c>
      <c r="BV202" s="20">
        <v>0</v>
      </c>
      <c r="BW202" s="20">
        <v>0</v>
      </c>
      <c r="BX202" s="20">
        <v>0</v>
      </c>
      <c r="BY202" s="20">
        <v>0</v>
      </c>
      <c r="BZ202" s="20">
        <v>0</v>
      </c>
      <c r="CA202" s="20">
        <v>0</v>
      </c>
      <c r="CB202" s="20">
        <v>0</v>
      </c>
      <c r="CC202" s="20">
        <v>0</v>
      </c>
      <c r="CD202" s="20">
        <v>0</v>
      </c>
      <c r="CE202" s="20">
        <v>0</v>
      </c>
      <c r="CF202" s="20">
        <v>0</v>
      </c>
      <c r="CG202" s="20">
        <v>0</v>
      </c>
      <c r="CH202" s="20">
        <v>0</v>
      </c>
      <c r="CI202" s="20">
        <v>0</v>
      </c>
      <c r="CJ202" s="20">
        <v>0</v>
      </c>
      <c r="CK202" s="20">
        <v>0</v>
      </c>
      <c r="CL202" s="20">
        <v>0</v>
      </c>
      <c r="CM202" s="20">
        <v>0</v>
      </c>
      <c r="CN202" s="20">
        <v>0</v>
      </c>
      <c r="CO202" s="20">
        <v>0</v>
      </c>
      <c r="CP202" s="20">
        <v>0</v>
      </c>
      <c r="CQ202" s="20">
        <v>0</v>
      </c>
      <c r="CR202" s="20">
        <v>0</v>
      </c>
      <c r="CS202" s="20">
        <v>0</v>
      </c>
      <c r="CT202" s="20">
        <v>0</v>
      </c>
      <c r="CU202" s="20">
        <v>0</v>
      </c>
      <c r="CV202" s="20">
        <v>0</v>
      </c>
      <c r="CW202" s="20">
        <v>0</v>
      </c>
      <c r="CX202" s="20">
        <v>0</v>
      </c>
      <c r="CY202" s="20">
        <v>0</v>
      </c>
      <c r="CZ202" s="20">
        <v>0</v>
      </c>
      <c r="DA202" s="20">
        <v>0</v>
      </c>
      <c r="DB202" s="20">
        <v>0</v>
      </c>
      <c r="DC202" s="20">
        <v>0</v>
      </c>
      <c r="DD202" s="20">
        <v>0</v>
      </c>
      <c r="DE202" s="20">
        <v>0</v>
      </c>
      <c r="DF202" s="20">
        <v>0</v>
      </c>
      <c r="DG202" s="16">
        <f t="shared" si="19"/>
        <v>0</v>
      </c>
      <c r="DH202" s="16">
        <f t="shared" si="20"/>
        <v>0</v>
      </c>
      <c r="DI202" s="17" t="str">
        <f t="shared" si="21"/>
        <v/>
      </c>
      <c r="DJ202" s="119" t="s">
        <v>719</v>
      </c>
      <c r="DK202" s="44" t="s">
        <v>719</v>
      </c>
    </row>
    <row r="203" spans="1:115">
      <c r="A203" s="32" t="str">
        <f t="shared" si="17"/>
        <v xml:space="preserve">AusNet--&gt; 11 kV  &amp; &lt; = 22 kV ; COMMERCIAL &amp; INDUSTRIAL  </v>
      </c>
      <c r="B203" s="32" t="str">
        <f t="shared" si="18"/>
        <v>AusNet</v>
      </c>
      <c r="C203" s="426"/>
      <c r="D203" s="14"/>
      <c r="E203" s="15" t="s">
        <v>191</v>
      </c>
      <c r="F203" s="18">
        <v>0</v>
      </c>
      <c r="G203" s="18">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0">
        <v>0</v>
      </c>
      <c r="AY203" s="20">
        <v>0</v>
      </c>
      <c r="AZ203" s="20">
        <v>0</v>
      </c>
      <c r="BA203" s="20">
        <v>0</v>
      </c>
      <c r="BB203" s="20">
        <v>0</v>
      </c>
      <c r="BC203" s="20">
        <v>0</v>
      </c>
      <c r="BD203" s="20">
        <v>0</v>
      </c>
      <c r="BE203" s="20">
        <v>0</v>
      </c>
      <c r="BF203" s="20">
        <v>0</v>
      </c>
      <c r="BG203" s="20">
        <v>0</v>
      </c>
      <c r="BH203" s="20">
        <v>0</v>
      </c>
      <c r="BI203" s="20">
        <v>0</v>
      </c>
      <c r="BJ203" s="20">
        <v>0</v>
      </c>
      <c r="BK203" s="20">
        <v>0</v>
      </c>
      <c r="BL203" s="20">
        <v>0</v>
      </c>
      <c r="BM203" s="20">
        <v>0</v>
      </c>
      <c r="BN203" s="20">
        <v>0</v>
      </c>
      <c r="BO203" s="20">
        <v>0</v>
      </c>
      <c r="BP203" s="20">
        <v>0</v>
      </c>
      <c r="BQ203" s="20">
        <v>0</v>
      </c>
      <c r="BR203" s="20">
        <v>0</v>
      </c>
      <c r="BS203" s="20">
        <v>0</v>
      </c>
      <c r="BT203" s="20">
        <v>0</v>
      </c>
      <c r="BU203" s="20">
        <v>0</v>
      </c>
      <c r="BV203" s="20">
        <v>0</v>
      </c>
      <c r="BW203" s="20">
        <v>0</v>
      </c>
      <c r="BX203" s="20">
        <v>0</v>
      </c>
      <c r="BY203" s="20">
        <v>0</v>
      </c>
      <c r="BZ203" s="20">
        <v>0</v>
      </c>
      <c r="CA203" s="20">
        <v>0</v>
      </c>
      <c r="CB203" s="20">
        <v>0</v>
      </c>
      <c r="CC203" s="20">
        <v>0</v>
      </c>
      <c r="CD203" s="20">
        <v>0</v>
      </c>
      <c r="CE203" s="20">
        <v>0</v>
      </c>
      <c r="CF203" s="20">
        <v>0</v>
      </c>
      <c r="CG203" s="20">
        <v>0</v>
      </c>
      <c r="CH203" s="20">
        <v>0</v>
      </c>
      <c r="CI203" s="20">
        <v>0</v>
      </c>
      <c r="CJ203" s="20">
        <v>0</v>
      </c>
      <c r="CK203" s="20">
        <v>0</v>
      </c>
      <c r="CL203" s="20">
        <v>0</v>
      </c>
      <c r="CM203" s="20">
        <v>0</v>
      </c>
      <c r="CN203" s="20">
        <v>0</v>
      </c>
      <c r="CO203" s="20">
        <v>0</v>
      </c>
      <c r="CP203" s="20">
        <v>0</v>
      </c>
      <c r="CQ203" s="20">
        <v>0</v>
      </c>
      <c r="CR203" s="20">
        <v>0</v>
      </c>
      <c r="CS203" s="20">
        <v>0</v>
      </c>
      <c r="CT203" s="20">
        <v>0</v>
      </c>
      <c r="CU203" s="20">
        <v>0</v>
      </c>
      <c r="CV203" s="20">
        <v>0</v>
      </c>
      <c r="CW203" s="20">
        <v>0</v>
      </c>
      <c r="CX203" s="20">
        <v>0</v>
      </c>
      <c r="CY203" s="20">
        <v>0</v>
      </c>
      <c r="CZ203" s="20">
        <v>0</v>
      </c>
      <c r="DA203" s="20">
        <v>0</v>
      </c>
      <c r="DB203" s="20">
        <v>0</v>
      </c>
      <c r="DC203" s="20">
        <v>0</v>
      </c>
      <c r="DD203" s="20">
        <v>0</v>
      </c>
      <c r="DE203" s="20">
        <v>0</v>
      </c>
      <c r="DF203" s="20">
        <v>0</v>
      </c>
      <c r="DG203" s="16">
        <f t="shared" si="19"/>
        <v>0</v>
      </c>
      <c r="DH203" s="16">
        <f t="shared" si="20"/>
        <v>0</v>
      </c>
      <c r="DI203" s="17" t="str">
        <f t="shared" si="21"/>
        <v/>
      </c>
      <c r="DJ203" s="119" t="s">
        <v>719</v>
      </c>
      <c r="DK203" s="44" t="s">
        <v>719</v>
      </c>
    </row>
    <row r="204" spans="1:115">
      <c r="A204" s="32" t="str">
        <f t="shared" si="17"/>
        <v xml:space="preserve">AusNet--&gt; 11 kV  &amp; &lt; = 22 kV ; SUBDIVISION  </v>
      </c>
      <c r="B204" s="32" t="str">
        <f t="shared" si="18"/>
        <v>AusNet</v>
      </c>
      <c r="C204" s="426"/>
      <c r="D204" s="14"/>
      <c r="E204" s="15" t="s">
        <v>192</v>
      </c>
      <c r="F204" s="18">
        <v>0</v>
      </c>
      <c r="G204" s="18">
        <v>0</v>
      </c>
      <c r="H204" s="20">
        <v>0</v>
      </c>
      <c r="I204" s="20">
        <v>0</v>
      </c>
      <c r="J204" s="20">
        <v>0</v>
      </c>
      <c r="K204" s="20">
        <v>0</v>
      </c>
      <c r="L204" s="20">
        <v>0</v>
      </c>
      <c r="M204" s="20">
        <v>0</v>
      </c>
      <c r="N204" s="20">
        <v>0</v>
      </c>
      <c r="O204" s="20">
        <v>0</v>
      </c>
      <c r="P204" s="20">
        <v>0</v>
      </c>
      <c r="Q204" s="20">
        <v>0</v>
      </c>
      <c r="R204" s="20">
        <v>0</v>
      </c>
      <c r="S204" s="20">
        <v>0</v>
      </c>
      <c r="T204" s="20">
        <v>0</v>
      </c>
      <c r="U204" s="20">
        <v>0</v>
      </c>
      <c r="V204" s="20">
        <v>0</v>
      </c>
      <c r="W204" s="20">
        <v>0</v>
      </c>
      <c r="X204" s="20">
        <v>0</v>
      </c>
      <c r="Y204" s="20">
        <v>0</v>
      </c>
      <c r="Z204" s="20">
        <v>0</v>
      </c>
      <c r="AA204" s="20">
        <v>0</v>
      </c>
      <c r="AB204" s="20">
        <v>0</v>
      </c>
      <c r="AC204" s="20">
        <v>0</v>
      </c>
      <c r="AD204" s="20">
        <v>0</v>
      </c>
      <c r="AE204" s="20">
        <v>0</v>
      </c>
      <c r="AF204" s="20">
        <v>0</v>
      </c>
      <c r="AG204" s="20">
        <v>0</v>
      </c>
      <c r="AH204" s="20">
        <v>0</v>
      </c>
      <c r="AI204" s="20">
        <v>0</v>
      </c>
      <c r="AJ204" s="20">
        <v>0</v>
      </c>
      <c r="AK204" s="20">
        <v>0</v>
      </c>
      <c r="AL204" s="20">
        <v>0</v>
      </c>
      <c r="AM204" s="20">
        <v>0</v>
      </c>
      <c r="AN204" s="20">
        <v>0</v>
      </c>
      <c r="AO204" s="20">
        <v>0</v>
      </c>
      <c r="AP204" s="20">
        <v>0</v>
      </c>
      <c r="AQ204" s="20">
        <v>0</v>
      </c>
      <c r="AR204" s="20">
        <v>0</v>
      </c>
      <c r="AS204" s="20">
        <v>0</v>
      </c>
      <c r="AT204" s="20">
        <v>0</v>
      </c>
      <c r="AU204" s="20">
        <v>0</v>
      </c>
      <c r="AV204" s="20">
        <v>0</v>
      </c>
      <c r="AW204" s="20">
        <v>0</v>
      </c>
      <c r="AX204" s="20">
        <v>0</v>
      </c>
      <c r="AY204" s="20">
        <v>0</v>
      </c>
      <c r="AZ204" s="20">
        <v>0</v>
      </c>
      <c r="BA204" s="20">
        <v>0</v>
      </c>
      <c r="BB204" s="20">
        <v>0</v>
      </c>
      <c r="BC204" s="20">
        <v>0</v>
      </c>
      <c r="BD204" s="20">
        <v>0</v>
      </c>
      <c r="BE204" s="20">
        <v>0</v>
      </c>
      <c r="BF204" s="20">
        <v>0</v>
      </c>
      <c r="BG204" s="20">
        <v>0</v>
      </c>
      <c r="BH204" s="20">
        <v>0</v>
      </c>
      <c r="BI204" s="20">
        <v>0</v>
      </c>
      <c r="BJ204" s="20">
        <v>0</v>
      </c>
      <c r="BK204" s="20">
        <v>0</v>
      </c>
      <c r="BL204" s="20">
        <v>0</v>
      </c>
      <c r="BM204" s="20">
        <v>0</v>
      </c>
      <c r="BN204" s="20">
        <v>0</v>
      </c>
      <c r="BO204" s="20">
        <v>0</v>
      </c>
      <c r="BP204" s="20">
        <v>0</v>
      </c>
      <c r="BQ204" s="20">
        <v>0</v>
      </c>
      <c r="BR204" s="20">
        <v>0</v>
      </c>
      <c r="BS204" s="20">
        <v>0</v>
      </c>
      <c r="BT204" s="20">
        <v>0</v>
      </c>
      <c r="BU204" s="20">
        <v>0</v>
      </c>
      <c r="BV204" s="20">
        <v>0</v>
      </c>
      <c r="BW204" s="20">
        <v>0</v>
      </c>
      <c r="BX204" s="20">
        <v>0</v>
      </c>
      <c r="BY204" s="20">
        <v>0</v>
      </c>
      <c r="BZ204" s="20">
        <v>0</v>
      </c>
      <c r="CA204" s="20">
        <v>0</v>
      </c>
      <c r="CB204" s="20">
        <v>0</v>
      </c>
      <c r="CC204" s="20">
        <v>0</v>
      </c>
      <c r="CD204" s="20">
        <v>0</v>
      </c>
      <c r="CE204" s="20">
        <v>0</v>
      </c>
      <c r="CF204" s="20">
        <v>0</v>
      </c>
      <c r="CG204" s="20">
        <v>0</v>
      </c>
      <c r="CH204" s="20">
        <v>0</v>
      </c>
      <c r="CI204" s="20">
        <v>0</v>
      </c>
      <c r="CJ204" s="20">
        <v>0</v>
      </c>
      <c r="CK204" s="20">
        <v>0</v>
      </c>
      <c r="CL204" s="20">
        <v>0</v>
      </c>
      <c r="CM204" s="20">
        <v>0</v>
      </c>
      <c r="CN204" s="20">
        <v>0</v>
      </c>
      <c r="CO204" s="20">
        <v>0</v>
      </c>
      <c r="CP204" s="20">
        <v>0</v>
      </c>
      <c r="CQ204" s="20">
        <v>0</v>
      </c>
      <c r="CR204" s="20">
        <v>0</v>
      </c>
      <c r="CS204" s="20">
        <v>0</v>
      </c>
      <c r="CT204" s="20">
        <v>0</v>
      </c>
      <c r="CU204" s="20">
        <v>0</v>
      </c>
      <c r="CV204" s="20">
        <v>0</v>
      </c>
      <c r="CW204" s="20">
        <v>0</v>
      </c>
      <c r="CX204" s="20">
        <v>0</v>
      </c>
      <c r="CY204" s="20">
        <v>0</v>
      </c>
      <c r="CZ204" s="20">
        <v>0</v>
      </c>
      <c r="DA204" s="20">
        <v>0</v>
      </c>
      <c r="DB204" s="20">
        <v>0</v>
      </c>
      <c r="DC204" s="20">
        <v>0</v>
      </c>
      <c r="DD204" s="20">
        <v>0</v>
      </c>
      <c r="DE204" s="20">
        <v>0</v>
      </c>
      <c r="DF204" s="20">
        <v>0</v>
      </c>
      <c r="DG204" s="16">
        <f t="shared" si="19"/>
        <v>0</v>
      </c>
      <c r="DH204" s="16">
        <f t="shared" si="20"/>
        <v>0</v>
      </c>
      <c r="DI204" s="17" t="str">
        <f t="shared" si="21"/>
        <v/>
      </c>
      <c r="DJ204" s="119" t="s">
        <v>719</v>
      </c>
      <c r="DK204" s="44" t="s">
        <v>719</v>
      </c>
    </row>
    <row r="205" spans="1:115">
      <c r="A205" s="32" t="str">
        <f t="shared" si="17"/>
        <v xml:space="preserve">AusNet--&gt; 22 kV &amp; &lt; = 33 kV ; COMMERCIAL &amp; INDUSTRIAL  </v>
      </c>
      <c r="B205" s="32" t="str">
        <f t="shared" si="18"/>
        <v>AusNet</v>
      </c>
      <c r="C205" s="426"/>
      <c r="D205" s="14"/>
      <c r="E205" s="15" t="s">
        <v>193</v>
      </c>
      <c r="F205" s="18">
        <v>0</v>
      </c>
      <c r="G205" s="18">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0">
        <v>0</v>
      </c>
      <c r="AY205" s="20">
        <v>0</v>
      </c>
      <c r="AZ205" s="20">
        <v>0</v>
      </c>
      <c r="BA205" s="20">
        <v>0</v>
      </c>
      <c r="BB205" s="20">
        <v>0</v>
      </c>
      <c r="BC205" s="20">
        <v>0</v>
      </c>
      <c r="BD205" s="20">
        <v>0</v>
      </c>
      <c r="BE205" s="20">
        <v>0</v>
      </c>
      <c r="BF205" s="20">
        <v>0</v>
      </c>
      <c r="BG205" s="20">
        <v>0</v>
      </c>
      <c r="BH205" s="20">
        <v>0</v>
      </c>
      <c r="BI205" s="20">
        <v>0</v>
      </c>
      <c r="BJ205" s="20">
        <v>0</v>
      </c>
      <c r="BK205" s="20">
        <v>0</v>
      </c>
      <c r="BL205" s="20">
        <v>0</v>
      </c>
      <c r="BM205" s="20">
        <v>0</v>
      </c>
      <c r="BN205" s="20">
        <v>0</v>
      </c>
      <c r="BO205" s="20">
        <v>0</v>
      </c>
      <c r="BP205" s="20">
        <v>0</v>
      </c>
      <c r="BQ205" s="20">
        <v>0</v>
      </c>
      <c r="BR205" s="20">
        <v>0</v>
      </c>
      <c r="BS205" s="20">
        <v>0</v>
      </c>
      <c r="BT205" s="20">
        <v>0</v>
      </c>
      <c r="BU205" s="20">
        <v>0</v>
      </c>
      <c r="BV205" s="20">
        <v>0</v>
      </c>
      <c r="BW205" s="20">
        <v>0</v>
      </c>
      <c r="BX205" s="20">
        <v>0</v>
      </c>
      <c r="BY205" s="20">
        <v>0</v>
      </c>
      <c r="BZ205" s="20">
        <v>0</v>
      </c>
      <c r="CA205" s="20">
        <v>0</v>
      </c>
      <c r="CB205" s="20">
        <v>0</v>
      </c>
      <c r="CC205" s="20">
        <v>0</v>
      </c>
      <c r="CD205" s="20">
        <v>0</v>
      </c>
      <c r="CE205" s="20">
        <v>0</v>
      </c>
      <c r="CF205" s="20">
        <v>0</v>
      </c>
      <c r="CG205" s="20">
        <v>0</v>
      </c>
      <c r="CH205" s="20">
        <v>0</v>
      </c>
      <c r="CI205" s="20">
        <v>0</v>
      </c>
      <c r="CJ205" s="20">
        <v>0</v>
      </c>
      <c r="CK205" s="20">
        <v>0</v>
      </c>
      <c r="CL205" s="20">
        <v>0</v>
      </c>
      <c r="CM205" s="20">
        <v>0</v>
      </c>
      <c r="CN205" s="20">
        <v>0</v>
      </c>
      <c r="CO205" s="20">
        <v>0</v>
      </c>
      <c r="CP205" s="20">
        <v>0</v>
      </c>
      <c r="CQ205" s="20">
        <v>0</v>
      </c>
      <c r="CR205" s="20">
        <v>0</v>
      </c>
      <c r="CS205" s="20">
        <v>0</v>
      </c>
      <c r="CT205" s="20">
        <v>0</v>
      </c>
      <c r="CU205" s="20">
        <v>0</v>
      </c>
      <c r="CV205" s="20">
        <v>0</v>
      </c>
      <c r="CW205" s="20">
        <v>0</v>
      </c>
      <c r="CX205" s="20">
        <v>0</v>
      </c>
      <c r="CY205" s="20">
        <v>0</v>
      </c>
      <c r="CZ205" s="20">
        <v>0</v>
      </c>
      <c r="DA205" s="20">
        <v>0</v>
      </c>
      <c r="DB205" s="20">
        <v>0</v>
      </c>
      <c r="DC205" s="20">
        <v>0</v>
      </c>
      <c r="DD205" s="20">
        <v>0</v>
      </c>
      <c r="DE205" s="20">
        <v>0</v>
      </c>
      <c r="DF205" s="20">
        <v>0</v>
      </c>
      <c r="DG205" s="16">
        <f t="shared" si="19"/>
        <v>0</v>
      </c>
      <c r="DH205" s="16">
        <f t="shared" si="20"/>
        <v>0</v>
      </c>
      <c r="DI205" s="17" t="str">
        <f t="shared" si="21"/>
        <v/>
      </c>
      <c r="DJ205" s="119" t="s">
        <v>719</v>
      </c>
      <c r="DK205" s="44" t="s">
        <v>719</v>
      </c>
    </row>
    <row r="206" spans="1:115">
      <c r="A206" s="32" t="str">
        <f t="shared" si="17"/>
        <v xml:space="preserve">AusNet--&gt; 22 kV &amp; &lt; = 33 kV ; SUBDIVISION  </v>
      </c>
      <c r="B206" s="32" t="str">
        <f t="shared" si="18"/>
        <v>AusNet</v>
      </c>
      <c r="C206" s="426"/>
      <c r="D206" s="14"/>
      <c r="E206" s="15" t="s">
        <v>194</v>
      </c>
      <c r="F206" s="18">
        <v>0</v>
      </c>
      <c r="G206" s="18">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0">
        <v>0</v>
      </c>
      <c r="AY206" s="20">
        <v>0</v>
      </c>
      <c r="AZ206" s="20">
        <v>0</v>
      </c>
      <c r="BA206" s="20">
        <v>0</v>
      </c>
      <c r="BB206" s="20">
        <v>0</v>
      </c>
      <c r="BC206" s="20">
        <v>0</v>
      </c>
      <c r="BD206" s="20">
        <v>0</v>
      </c>
      <c r="BE206" s="20">
        <v>0</v>
      </c>
      <c r="BF206" s="20">
        <v>0</v>
      </c>
      <c r="BG206" s="20">
        <v>0</v>
      </c>
      <c r="BH206" s="20">
        <v>0</v>
      </c>
      <c r="BI206" s="20">
        <v>0</v>
      </c>
      <c r="BJ206" s="20">
        <v>0</v>
      </c>
      <c r="BK206" s="20">
        <v>0</v>
      </c>
      <c r="BL206" s="20">
        <v>0</v>
      </c>
      <c r="BM206" s="20">
        <v>0</v>
      </c>
      <c r="BN206" s="20">
        <v>0</v>
      </c>
      <c r="BO206" s="20">
        <v>0</v>
      </c>
      <c r="BP206" s="20">
        <v>0</v>
      </c>
      <c r="BQ206" s="20">
        <v>0</v>
      </c>
      <c r="BR206" s="20">
        <v>0</v>
      </c>
      <c r="BS206" s="20">
        <v>0</v>
      </c>
      <c r="BT206" s="20">
        <v>0</v>
      </c>
      <c r="BU206" s="20">
        <v>0</v>
      </c>
      <c r="BV206" s="20">
        <v>0</v>
      </c>
      <c r="BW206" s="20">
        <v>0</v>
      </c>
      <c r="BX206" s="20">
        <v>0</v>
      </c>
      <c r="BY206" s="20">
        <v>0</v>
      </c>
      <c r="BZ206" s="20">
        <v>0</v>
      </c>
      <c r="CA206" s="20">
        <v>0</v>
      </c>
      <c r="CB206" s="20">
        <v>0</v>
      </c>
      <c r="CC206" s="20">
        <v>0</v>
      </c>
      <c r="CD206" s="20">
        <v>0</v>
      </c>
      <c r="CE206" s="20">
        <v>0</v>
      </c>
      <c r="CF206" s="20">
        <v>0</v>
      </c>
      <c r="CG206" s="20">
        <v>0</v>
      </c>
      <c r="CH206" s="20">
        <v>0</v>
      </c>
      <c r="CI206" s="20">
        <v>0</v>
      </c>
      <c r="CJ206" s="20">
        <v>0</v>
      </c>
      <c r="CK206" s="20">
        <v>0</v>
      </c>
      <c r="CL206" s="20">
        <v>0</v>
      </c>
      <c r="CM206" s="20">
        <v>0</v>
      </c>
      <c r="CN206" s="20">
        <v>0</v>
      </c>
      <c r="CO206" s="20">
        <v>0</v>
      </c>
      <c r="CP206" s="20">
        <v>0</v>
      </c>
      <c r="CQ206" s="20">
        <v>0</v>
      </c>
      <c r="CR206" s="20">
        <v>0</v>
      </c>
      <c r="CS206" s="20">
        <v>0</v>
      </c>
      <c r="CT206" s="20">
        <v>0</v>
      </c>
      <c r="CU206" s="20">
        <v>0</v>
      </c>
      <c r="CV206" s="20">
        <v>0</v>
      </c>
      <c r="CW206" s="20">
        <v>0</v>
      </c>
      <c r="CX206" s="20">
        <v>0</v>
      </c>
      <c r="CY206" s="20">
        <v>0</v>
      </c>
      <c r="CZ206" s="20">
        <v>0</v>
      </c>
      <c r="DA206" s="20">
        <v>0</v>
      </c>
      <c r="DB206" s="20">
        <v>0</v>
      </c>
      <c r="DC206" s="20">
        <v>0</v>
      </c>
      <c r="DD206" s="20">
        <v>0</v>
      </c>
      <c r="DE206" s="20">
        <v>0</v>
      </c>
      <c r="DF206" s="20">
        <v>0</v>
      </c>
      <c r="DG206" s="16">
        <f t="shared" si="19"/>
        <v>0</v>
      </c>
      <c r="DH206" s="16">
        <f t="shared" si="20"/>
        <v>0</v>
      </c>
      <c r="DI206" s="17" t="str">
        <f t="shared" si="21"/>
        <v/>
      </c>
      <c r="DJ206" s="119" t="s">
        <v>719</v>
      </c>
      <c r="DK206" s="44" t="s">
        <v>719</v>
      </c>
    </row>
    <row r="207" spans="1:115">
      <c r="A207" s="32" t="str">
        <f t="shared" si="17"/>
        <v xml:space="preserve">AusNet--&gt; 33 kV &amp; &lt; = 66 kV ; COMMERCIAL &amp; INDUSTRIAL  </v>
      </c>
      <c r="B207" s="32" t="str">
        <f t="shared" si="18"/>
        <v>AusNet</v>
      </c>
      <c r="C207" s="426"/>
      <c r="D207" s="14"/>
      <c r="E207" s="15" t="s">
        <v>195</v>
      </c>
      <c r="F207" s="18">
        <v>0</v>
      </c>
      <c r="G207" s="18">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0">
        <v>0</v>
      </c>
      <c r="AY207" s="20">
        <v>0</v>
      </c>
      <c r="AZ207" s="20">
        <v>0</v>
      </c>
      <c r="BA207" s="20">
        <v>0</v>
      </c>
      <c r="BB207" s="20">
        <v>0</v>
      </c>
      <c r="BC207" s="20">
        <v>0</v>
      </c>
      <c r="BD207" s="20">
        <v>0</v>
      </c>
      <c r="BE207" s="20">
        <v>0</v>
      </c>
      <c r="BF207" s="20">
        <v>0</v>
      </c>
      <c r="BG207" s="20">
        <v>0</v>
      </c>
      <c r="BH207" s="20">
        <v>0</v>
      </c>
      <c r="BI207" s="20">
        <v>0</v>
      </c>
      <c r="BJ207" s="20">
        <v>0</v>
      </c>
      <c r="BK207" s="20">
        <v>0</v>
      </c>
      <c r="BL207" s="20">
        <v>0</v>
      </c>
      <c r="BM207" s="20">
        <v>0</v>
      </c>
      <c r="BN207" s="20">
        <v>0</v>
      </c>
      <c r="BO207" s="20">
        <v>0</v>
      </c>
      <c r="BP207" s="20">
        <v>0</v>
      </c>
      <c r="BQ207" s="20">
        <v>0</v>
      </c>
      <c r="BR207" s="20">
        <v>0</v>
      </c>
      <c r="BS207" s="20">
        <v>0</v>
      </c>
      <c r="BT207" s="20">
        <v>0</v>
      </c>
      <c r="BU207" s="20">
        <v>0</v>
      </c>
      <c r="BV207" s="20">
        <v>0</v>
      </c>
      <c r="BW207" s="20">
        <v>0</v>
      </c>
      <c r="BX207" s="20">
        <v>0</v>
      </c>
      <c r="BY207" s="20">
        <v>0</v>
      </c>
      <c r="BZ207" s="20">
        <v>0</v>
      </c>
      <c r="CA207" s="20">
        <v>0</v>
      </c>
      <c r="CB207" s="20">
        <v>0</v>
      </c>
      <c r="CC207" s="20">
        <v>0</v>
      </c>
      <c r="CD207" s="20">
        <v>0</v>
      </c>
      <c r="CE207" s="20">
        <v>0</v>
      </c>
      <c r="CF207" s="20">
        <v>0</v>
      </c>
      <c r="CG207" s="20">
        <v>0</v>
      </c>
      <c r="CH207" s="20">
        <v>0</v>
      </c>
      <c r="CI207" s="20">
        <v>0</v>
      </c>
      <c r="CJ207" s="20">
        <v>0</v>
      </c>
      <c r="CK207" s="20">
        <v>0</v>
      </c>
      <c r="CL207" s="20">
        <v>0</v>
      </c>
      <c r="CM207" s="20">
        <v>0</v>
      </c>
      <c r="CN207" s="20">
        <v>0</v>
      </c>
      <c r="CO207" s="20">
        <v>0</v>
      </c>
      <c r="CP207" s="20">
        <v>0</v>
      </c>
      <c r="CQ207" s="20">
        <v>0</v>
      </c>
      <c r="CR207" s="20">
        <v>0</v>
      </c>
      <c r="CS207" s="20">
        <v>0</v>
      </c>
      <c r="CT207" s="20">
        <v>0</v>
      </c>
      <c r="CU207" s="20">
        <v>0</v>
      </c>
      <c r="CV207" s="20">
        <v>0</v>
      </c>
      <c r="CW207" s="20">
        <v>0</v>
      </c>
      <c r="CX207" s="20">
        <v>0</v>
      </c>
      <c r="CY207" s="20">
        <v>0</v>
      </c>
      <c r="CZ207" s="20">
        <v>0</v>
      </c>
      <c r="DA207" s="20">
        <v>0</v>
      </c>
      <c r="DB207" s="20">
        <v>0</v>
      </c>
      <c r="DC207" s="20">
        <v>0</v>
      </c>
      <c r="DD207" s="20">
        <v>0</v>
      </c>
      <c r="DE207" s="20">
        <v>0</v>
      </c>
      <c r="DF207" s="20">
        <v>0</v>
      </c>
      <c r="DG207" s="16">
        <f t="shared" si="19"/>
        <v>0</v>
      </c>
      <c r="DH207" s="16">
        <f t="shared" si="20"/>
        <v>0</v>
      </c>
      <c r="DI207" s="17" t="str">
        <f t="shared" si="21"/>
        <v/>
      </c>
      <c r="DJ207" s="119" t="s">
        <v>719</v>
      </c>
      <c r="DK207" s="44" t="s">
        <v>719</v>
      </c>
    </row>
    <row r="208" spans="1:115">
      <c r="A208" s="32" t="str">
        <f t="shared" si="17"/>
        <v xml:space="preserve">AusNet--&gt; 33 kV &amp; &lt; = 66 kV ; SUBDIVISION  </v>
      </c>
      <c r="B208" s="32" t="str">
        <f t="shared" si="18"/>
        <v>AusNet</v>
      </c>
      <c r="C208" s="426"/>
      <c r="D208" s="14"/>
      <c r="E208" s="15" t="s">
        <v>196</v>
      </c>
      <c r="F208" s="18">
        <v>0</v>
      </c>
      <c r="G208" s="18">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0">
        <v>0</v>
      </c>
      <c r="AY208" s="20">
        <v>0</v>
      </c>
      <c r="AZ208" s="20">
        <v>0</v>
      </c>
      <c r="BA208" s="20">
        <v>0</v>
      </c>
      <c r="BB208" s="20">
        <v>0</v>
      </c>
      <c r="BC208" s="20">
        <v>0</v>
      </c>
      <c r="BD208" s="20">
        <v>0</v>
      </c>
      <c r="BE208" s="20">
        <v>0</v>
      </c>
      <c r="BF208" s="20">
        <v>0</v>
      </c>
      <c r="BG208" s="20">
        <v>0</v>
      </c>
      <c r="BH208" s="20">
        <v>0</v>
      </c>
      <c r="BI208" s="20">
        <v>0</v>
      </c>
      <c r="BJ208" s="20">
        <v>0</v>
      </c>
      <c r="BK208" s="20">
        <v>0</v>
      </c>
      <c r="BL208" s="20">
        <v>0</v>
      </c>
      <c r="BM208" s="20">
        <v>0</v>
      </c>
      <c r="BN208" s="20">
        <v>0</v>
      </c>
      <c r="BO208" s="20">
        <v>0</v>
      </c>
      <c r="BP208" s="20">
        <v>0</v>
      </c>
      <c r="BQ208" s="20">
        <v>0</v>
      </c>
      <c r="BR208" s="20">
        <v>0</v>
      </c>
      <c r="BS208" s="20">
        <v>0</v>
      </c>
      <c r="BT208" s="20">
        <v>0</v>
      </c>
      <c r="BU208" s="20">
        <v>0</v>
      </c>
      <c r="BV208" s="20">
        <v>0</v>
      </c>
      <c r="BW208" s="20">
        <v>0</v>
      </c>
      <c r="BX208" s="20">
        <v>0</v>
      </c>
      <c r="BY208" s="20">
        <v>0</v>
      </c>
      <c r="BZ208" s="20">
        <v>0</v>
      </c>
      <c r="CA208" s="20">
        <v>0</v>
      </c>
      <c r="CB208" s="20">
        <v>0</v>
      </c>
      <c r="CC208" s="20">
        <v>0</v>
      </c>
      <c r="CD208" s="20">
        <v>0</v>
      </c>
      <c r="CE208" s="20">
        <v>0</v>
      </c>
      <c r="CF208" s="20">
        <v>0</v>
      </c>
      <c r="CG208" s="20">
        <v>0</v>
      </c>
      <c r="CH208" s="20">
        <v>0</v>
      </c>
      <c r="CI208" s="20">
        <v>0</v>
      </c>
      <c r="CJ208" s="20">
        <v>0</v>
      </c>
      <c r="CK208" s="20">
        <v>0</v>
      </c>
      <c r="CL208" s="20">
        <v>0</v>
      </c>
      <c r="CM208" s="20">
        <v>0</v>
      </c>
      <c r="CN208" s="20">
        <v>0</v>
      </c>
      <c r="CO208" s="20">
        <v>0</v>
      </c>
      <c r="CP208" s="20">
        <v>0</v>
      </c>
      <c r="CQ208" s="20">
        <v>0</v>
      </c>
      <c r="CR208" s="20">
        <v>0</v>
      </c>
      <c r="CS208" s="20">
        <v>0</v>
      </c>
      <c r="CT208" s="20">
        <v>0</v>
      </c>
      <c r="CU208" s="20">
        <v>0</v>
      </c>
      <c r="CV208" s="20">
        <v>0</v>
      </c>
      <c r="CW208" s="20">
        <v>0</v>
      </c>
      <c r="CX208" s="20">
        <v>0</v>
      </c>
      <c r="CY208" s="20">
        <v>0</v>
      </c>
      <c r="CZ208" s="20">
        <v>0</v>
      </c>
      <c r="DA208" s="20">
        <v>0</v>
      </c>
      <c r="DB208" s="20">
        <v>0</v>
      </c>
      <c r="DC208" s="20">
        <v>0</v>
      </c>
      <c r="DD208" s="20">
        <v>0</v>
      </c>
      <c r="DE208" s="20">
        <v>0</v>
      </c>
      <c r="DF208" s="20">
        <v>0</v>
      </c>
      <c r="DG208" s="16">
        <f t="shared" si="19"/>
        <v>0</v>
      </c>
      <c r="DH208" s="16">
        <f t="shared" si="20"/>
        <v>0</v>
      </c>
      <c r="DI208" s="17" t="str">
        <f t="shared" si="21"/>
        <v/>
      </c>
      <c r="DJ208" s="119" t="s">
        <v>719</v>
      </c>
      <c r="DK208" s="44" t="s">
        <v>719</v>
      </c>
    </row>
    <row r="209" spans="1:115">
      <c r="A209" s="32" t="str">
        <f t="shared" si="17"/>
        <v xml:space="preserve">AusNet--&gt; 66 kV &amp; &lt; = 132 kV ; COMMERCIAL &amp; INDUSTRIAL  </v>
      </c>
      <c r="B209" s="32" t="str">
        <f t="shared" si="18"/>
        <v>AusNet</v>
      </c>
      <c r="C209" s="426"/>
      <c r="D209" s="14"/>
      <c r="E209" s="15" t="s">
        <v>197</v>
      </c>
      <c r="F209" s="18">
        <v>0</v>
      </c>
      <c r="G209" s="18">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0">
        <v>0</v>
      </c>
      <c r="AY209" s="20">
        <v>0</v>
      </c>
      <c r="AZ209" s="20">
        <v>0</v>
      </c>
      <c r="BA209" s="20">
        <v>0</v>
      </c>
      <c r="BB209" s="20">
        <v>0</v>
      </c>
      <c r="BC209" s="20">
        <v>0</v>
      </c>
      <c r="BD209" s="20">
        <v>0</v>
      </c>
      <c r="BE209" s="20">
        <v>0</v>
      </c>
      <c r="BF209" s="20">
        <v>0</v>
      </c>
      <c r="BG209" s="20">
        <v>0</v>
      </c>
      <c r="BH209" s="20">
        <v>0</v>
      </c>
      <c r="BI209" s="20">
        <v>0</v>
      </c>
      <c r="BJ209" s="20">
        <v>0</v>
      </c>
      <c r="BK209" s="20">
        <v>0</v>
      </c>
      <c r="BL209" s="20">
        <v>0</v>
      </c>
      <c r="BM209" s="20">
        <v>0</v>
      </c>
      <c r="BN209" s="20">
        <v>0</v>
      </c>
      <c r="BO209" s="20">
        <v>0</v>
      </c>
      <c r="BP209" s="20">
        <v>0</v>
      </c>
      <c r="BQ209" s="20">
        <v>0</v>
      </c>
      <c r="BR209" s="20">
        <v>0</v>
      </c>
      <c r="BS209" s="20">
        <v>0</v>
      </c>
      <c r="BT209" s="20">
        <v>0</v>
      </c>
      <c r="BU209" s="20">
        <v>0</v>
      </c>
      <c r="BV209" s="20">
        <v>0</v>
      </c>
      <c r="BW209" s="20">
        <v>0</v>
      </c>
      <c r="BX209" s="20">
        <v>0</v>
      </c>
      <c r="BY209" s="20">
        <v>0</v>
      </c>
      <c r="BZ209" s="20">
        <v>0</v>
      </c>
      <c r="CA209" s="20">
        <v>0</v>
      </c>
      <c r="CB209" s="20">
        <v>0</v>
      </c>
      <c r="CC209" s="20">
        <v>0</v>
      </c>
      <c r="CD209" s="20">
        <v>0</v>
      </c>
      <c r="CE209" s="20">
        <v>0</v>
      </c>
      <c r="CF209" s="20">
        <v>0</v>
      </c>
      <c r="CG209" s="20">
        <v>0</v>
      </c>
      <c r="CH209" s="20">
        <v>0</v>
      </c>
      <c r="CI209" s="20">
        <v>0</v>
      </c>
      <c r="CJ209" s="20">
        <v>0</v>
      </c>
      <c r="CK209" s="20">
        <v>0</v>
      </c>
      <c r="CL209" s="20">
        <v>0</v>
      </c>
      <c r="CM209" s="20">
        <v>0</v>
      </c>
      <c r="CN209" s="20">
        <v>0</v>
      </c>
      <c r="CO209" s="20">
        <v>0</v>
      </c>
      <c r="CP209" s="20">
        <v>0</v>
      </c>
      <c r="CQ209" s="20">
        <v>0</v>
      </c>
      <c r="CR209" s="20">
        <v>0</v>
      </c>
      <c r="CS209" s="20">
        <v>0</v>
      </c>
      <c r="CT209" s="20">
        <v>0</v>
      </c>
      <c r="CU209" s="20">
        <v>0</v>
      </c>
      <c r="CV209" s="20">
        <v>0</v>
      </c>
      <c r="CW209" s="20">
        <v>0</v>
      </c>
      <c r="CX209" s="20">
        <v>0</v>
      </c>
      <c r="CY209" s="20">
        <v>0</v>
      </c>
      <c r="CZ209" s="20">
        <v>0</v>
      </c>
      <c r="DA209" s="20">
        <v>0</v>
      </c>
      <c r="DB209" s="20">
        <v>0</v>
      </c>
      <c r="DC209" s="20">
        <v>0</v>
      </c>
      <c r="DD209" s="20">
        <v>0</v>
      </c>
      <c r="DE209" s="20">
        <v>0</v>
      </c>
      <c r="DF209" s="20">
        <v>0</v>
      </c>
      <c r="DG209" s="16">
        <f t="shared" si="19"/>
        <v>0</v>
      </c>
      <c r="DH209" s="16">
        <f t="shared" si="20"/>
        <v>0</v>
      </c>
      <c r="DI209" s="17" t="str">
        <f t="shared" si="21"/>
        <v/>
      </c>
      <c r="DJ209" s="119" t="s">
        <v>719</v>
      </c>
      <c r="DK209" s="44" t="s">
        <v>719</v>
      </c>
    </row>
    <row r="210" spans="1:115">
      <c r="A210" s="32" t="str">
        <f t="shared" si="17"/>
        <v xml:space="preserve">AusNet--&gt; 66 kV &amp; &lt; = 132 kV ; SUBDIVISION  </v>
      </c>
      <c r="B210" s="32" t="str">
        <f t="shared" si="18"/>
        <v>AusNet</v>
      </c>
      <c r="C210" s="426"/>
      <c r="D210" s="14"/>
      <c r="E210" s="15" t="s">
        <v>198</v>
      </c>
      <c r="F210" s="18">
        <v>0</v>
      </c>
      <c r="G210" s="18">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0">
        <v>0</v>
      </c>
      <c r="AY210" s="20">
        <v>0</v>
      </c>
      <c r="AZ210" s="20">
        <v>0</v>
      </c>
      <c r="BA210" s="20">
        <v>0</v>
      </c>
      <c r="BB210" s="20">
        <v>0</v>
      </c>
      <c r="BC210" s="20">
        <v>0</v>
      </c>
      <c r="BD210" s="20">
        <v>0</v>
      </c>
      <c r="BE210" s="20">
        <v>0</v>
      </c>
      <c r="BF210" s="20">
        <v>0</v>
      </c>
      <c r="BG210" s="20">
        <v>0</v>
      </c>
      <c r="BH210" s="20">
        <v>0</v>
      </c>
      <c r="BI210" s="20">
        <v>0</v>
      </c>
      <c r="BJ210" s="20">
        <v>0</v>
      </c>
      <c r="BK210" s="20">
        <v>0</v>
      </c>
      <c r="BL210" s="20">
        <v>0</v>
      </c>
      <c r="BM210" s="20">
        <v>0</v>
      </c>
      <c r="BN210" s="20">
        <v>0</v>
      </c>
      <c r="BO210" s="20">
        <v>0</v>
      </c>
      <c r="BP210" s="20">
        <v>0</v>
      </c>
      <c r="BQ210" s="20">
        <v>0</v>
      </c>
      <c r="BR210" s="20">
        <v>0</v>
      </c>
      <c r="BS210" s="20">
        <v>0</v>
      </c>
      <c r="BT210" s="20">
        <v>0</v>
      </c>
      <c r="BU210" s="20">
        <v>0</v>
      </c>
      <c r="BV210" s="20">
        <v>0</v>
      </c>
      <c r="BW210" s="20">
        <v>0</v>
      </c>
      <c r="BX210" s="20">
        <v>0</v>
      </c>
      <c r="BY210" s="20">
        <v>0</v>
      </c>
      <c r="BZ210" s="20">
        <v>0</v>
      </c>
      <c r="CA210" s="20">
        <v>0</v>
      </c>
      <c r="CB210" s="20">
        <v>0</v>
      </c>
      <c r="CC210" s="20">
        <v>0</v>
      </c>
      <c r="CD210" s="20">
        <v>0</v>
      </c>
      <c r="CE210" s="20">
        <v>0</v>
      </c>
      <c r="CF210" s="20">
        <v>0</v>
      </c>
      <c r="CG210" s="20">
        <v>0</v>
      </c>
      <c r="CH210" s="20">
        <v>0</v>
      </c>
      <c r="CI210" s="20">
        <v>0</v>
      </c>
      <c r="CJ210" s="20">
        <v>0</v>
      </c>
      <c r="CK210" s="20">
        <v>0</v>
      </c>
      <c r="CL210" s="20">
        <v>0</v>
      </c>
      <c r="CM210" s="20">
        <v>0</v>
      </c>
      <c r="CN210" s="20">
        <v>0</v>
      </c>
      <c r="CO210" s="20">
        <v>0</v>
      </c>
      <c r="CP210" s="20">
        <v>0</v>
      </c>
      <c r="CQ210" s="20">
        <v>0</v>
      </c>
      <c r="CR210" s="20">
        <v>0</v>
      </c>
      <c r="CS210" s="20">
        <v>0</v>
      </c>
      <c r="CT210" s="20">
        <v>0</v>
      </c>
      <c r="CU210" s="20">
        <v>0</v>
      </c>
      <c r="CV210" s="20">
        <v>0</v>
      </c>
      <c r="CW210" s="20">
        <v>0</v>
      </c>
      <c r="CX210" s="20">
        <v>0</v>
      </c>
      <c r="CY210" s="20">
        <v>0</v>
      </c>
      <c r="CZ210" s="20">
        <v>0</v>
      </c>
      <c r="DA210" s="20">
        <v>0</v>
      </c>
      <c r="DB210" s="20">
        <v>0</v>
      </c>
      <c r="DC210" s="20">
        <v>0</v>
      </c>
      <c r="DD210" s="20">
        <v>0</v>
      </c>
      <c r="DE210" s="20">
        <v>0</v>
      </c>
      <c r="DF210" s="20">
        <v>0</v>
      </c>
      <c r="DG210" s="16">
        <f t="shared" si="19"/>
        <v>0</v>
      </c>
      <c r="DH210" s="16">
        <f t="shared" si="20"/>
        <v>0</v>
      </c>
      <c r="DI210" s="17" t="str">
        <f t="shared" si="21"/>
        <v/>
      </c>
      <c r="DJ210" s="119" t="s">
        <v>719</v>
      </c>
      <c r="DK210" s="44" t="s">
        <v>719</v>
      </c>
    </row>
    <row r="211" spans="1:115">
      <c r="A211" s="32" t="str">
        <f t="shared" si="17"/>
        <v xml:space="preserve">AusNet--&gt; 132 kV ; COMMERCIAL &amp; INDUSTRIAL  </v>
      </c>
      <c r="B211" s="32" t="str">
        <f t="shared" si="18"/>
        <v>AusNet</v>
      </c>
      <c r="C211" s="426"/>
      <c r="D211" s="14"/>
      <c r="E211" s="15" t="s">
        <v>199</v>
      </c>
      <c r="F211" s="18">
        <v>0</v>
      </c>
      <c r="G211" s="18">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0">
        <v>0</v>
      </c>
      <c r="AY211" s="20">
        <v>0</v>
      </c>
      <c r="AZ211" s="20">
        <v>0</v>
      </c>
      <c r="BA211" s="20">
        <v>0</v>
      </c>
      <c r="BB211" s="20">
        <v>0</v>
      </c>
      <c r="BC211" s="20">
        <v>0</v>
      </c>
      <c r="BD211" s="20">
        <v>0</v>
      </c>
      <c r="BE211" s="20">
        <v>0</v>
      </c>
      <c r="BF211" s="20">
        <v>0</v>
      </c>
      <c r="BG211" s="20">
        <v>0</v>
      </c>
      <c r="BH211" s="20">
        <v>0</v>
      </c>
      <c r="BI211" s="20">
        <v>0</v>
      </c>
      <c r="BJ211" s="20">
        <v>0</v>
      </c>
      <c r="BK211" s="20">
        <v>0</v>
      </c>
      <c r="BL211" s="20">
        <v>0</v>
      </c>
      <c r="BM211" s="20">
        <v>0</v>
      </c>
      <c r="BN211" s="20">
        <v>0</v>
      </c>
      <c r="BO211" s="20">
        <v>0</v>
      </c>
      <c r="BP211" s="20">
        <v>0</v>
      </c>
      <c r="BQ211" s="20">
        <v>0</v>
      </c>
      <c r="BR211" s="20">
        <v>0</v>
      </c>
      <c r="BS211" s="20">
        <v>0</v>
      </c>
      <c r="BT211" s="20">
        <v>0</v>
      </c>
      <c r="BU211" s="20">
        <v>0</v>
      </c>
      <c r="BV211" s="20">
        <v>0</v>
      </c>
      <c r="BW211" s="20">
        <v>0</v>
      </c>
      <c r="BX211" s="20">
        <v>0</v>
      </c>
      <c r="BY211" s="20">
        <v>0</v>
      </c>
      <c r="BZ211" s="20">
        <v>0</v>
      </c>
      <c r="CA211" s="20">
        <v>0</v>
      </c>
      <c r="CB211" s="20">
        <v>0</v>
      </c>
      <c r="CC211" s="20">
        <v>0</v>
      </c>
      <c r="CD211" s="20">
        <v>0</v>
      </c>
      <c r="CE211" s="20">
        <v>0</v>
      </c>
      <c r="CF211" s="20">
        <v>0</v>
      </c>
      <c r="CG211" s="20">
        <v>0</v>
      </c>
      <c r="CH211" s="20">
        <v>0</v>
      </c>
      <c r="CI211" s="20">
        <v>0</v>
      </c>
      <c r="CJ211" s="20">
        <v>0</v>
      </c>
      <c r="CK211" s="20">
        <v>0</v>
      </c>
      <c r="CL211" s="20">
        <v>0</v>
      </c>
      <c r="CM211" s="20">
        <v>0</v>
      </c>
      <c r="CN211" s="20">
        <v>0</v>
      </c>
      <c r="CO211" s="20">
        <v>0</v>
      </c>
      <c r="CP211" s="20">
        <v>0</v>
      </c>
      <c r="CQ211" s="20">
        <v>0</v>
      </c>
      <c r="CR211" s="20">
        <v>0</v>
      </c>
      <c r="CS211" s="20">
        <v>0</v>
      </c>
      <c r="CT211" s="20">
        <v>0</v>
      </c>
      <c r="CU211" s="20">
        <v>0</v>
      </c>
      <c r="CV211" s="20">
        <v>0</v>
      </c>
      <c r="CW211" s="20">
        <v>0</v>
      </c>
      <c r="CX211" s="20">
        <v>0</v>
      </c>
      <c r="CY211" s="20">
        <v>0</v>
      </c>
      <c r="CZ211" s="20">
        <v>0</v>
      </c>
      <c r="DA211" s="20">
        <v>0</v>
      </c>
      <c r="DB211" s="20">
        <v>0</v>
      </c>
      <c r="DC211" s="20">
        <v>0</v>
      </c>
      <c r="DD211" s="20">
        <v>0</v>
      </c>
      <c r="DE211" s="20">
        <v>0</v>
      </c>
      <c r="DF211" s="20">
        <v>0</v>
      </c>
      <c r="DG211" s="16">
        <f t="shared" si="19"/>
        <v>0</v>
      </c>
      <c r="DH211" s="16">
        <f t="shared" si="20"/>
        <v>0</v>
      </c>
      <c r="DI211" s="17" t="str">
        <f t="shared" si="21"/>
        <v/>
      </c>
      <c r="DJ211" s="119" t="s">
        <v>719</v>
      </c>
      <c r="DK211" s="44" t="s">
        <v>719</v>
      </c>
    </row>
    <row r="212" spans="1:115">
      <c r="A212" s="32" t="str">
        <f t="shared" si="17"/>
        <v xml:space="preserve">AusNet--&gt; 132 kV ; SUBDIVISION  </v>
      </c>
      <c r="B212" s="32" t="str">
        <f t="shared" si="18"/>
        <v>AusNet</v>
      </c>
      <c r="C212" s="426"/>
      <c r="D212" s="14"/>
      <c r="E212" s="15" t="s">
        <v>200</v>
      </c>
      <c r="F212" s="18">
        <v>0</v>
      </c>
      <c r="G212" s="18">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0">
        <v>0</v>
      </c>
      <c r="AY212" s="20">
        <v>0</v>
      </c>
      <c r="AZ212" s="20">
        <v>0</v>
      </c>
      <c r="BA212" s="20">
        <v>0</v>
      </c>
      <c r="BB212" s="20">
        <v>0</v>
      </c>
      <c r="BC212" s="20">
        <v>0</v>
      </c>
      <c r="BD212" s="20">
        <v>0</v>
      </c>
      <c r="BE212" s="20">
        <v>0</v>
      </c>
      <c r="BF212" s="20">
        <v>0</v>
      </c>
      <c r="BG212" s="20">
        <v>0</v>
      </c>
      <c r="BH212" s="20">
        <v>0</v>
      </c>
      <c r="BI212" s="20">
        <v>0</v>
      </c>
      <c r="BJ212" s="20">
        <v>0</v>
      </c>
      <c r="BK212" s="20">
        <v>0</v>
      </c>
      <c r="BL212" s="20">
        <v>0</v>
      </c>
      <c r="BM212" s="20">
        <v>0</v>
      </c>
      <c r="BN212" s="20">
        <v>0</v>
      </c>
      <c r="BO212" s="20">
        <v>0</v>
      </c>
      <c r="BP212" s="20">
        <v>0</v>
      </c>
      <c r="BQ212" s="20">
        <v>0</v>
      </c>
      <c r="BR212" s="20">
        <v>0</v>
      </c>
      <c r="BS212" s="20">
        <v>0</v>
      </c>
      <c r="BT212" s="20">
        <v>0</v>
      </c>
      <c r="BU212" s="20">
        <v>0</v>
      </c>
      <c r="BV212" s="20">
        <v>0</v>
      </c>
      <c r="BW212" s="20">
        <v>0</v>
      </c>
      <c r="BX212" s="20">
        <v>0</v>
      </c>
      <c r="BY212" s="20">
        <v>0</v>
      </c>
      <c r="BZ212" s="20">
        <v>0</v>
      </c>
      <c r="CA212" s="20">
        <v>0</v>
      </c>
      <c r="CB212" s="20">
        <v>0</v>
      </c>
      <c r="CC212" s="20">
        <v>0</v>
      </c>
      <c r="CD212" s="20">
        <v>0</v>
      </c>
      <c r="CE212" s="20">
        <v>0</v>
      </c>
      <c r="CF212" s="20">
        <v>0</v>
      </c>
      <c r="CG212" s="20">
        <v>0</v>
      </c>
      <c r="CH212" s="20">
        <v>0</v>
      </c>
      <c r="CI212" s="20">
        <v>0</v>
      </c>
      <c r="CJ212" s="20">
        <v>0</v>
      </c>
      <c r="CK212" s="20">
        <v>0</v>
      </c>
      <c r="CL212" s="20">
        <v>0</v>
      </c>
      <c r="CM212" s="20">
        <v>0</v>
      </c>
      <c r="CN212" s="20">
        <v>0</v>
      </c>
      <c r="CO212" s="20">
        <v>0</v>
      </c>
      <c r="CP212" s="20">
        <v>0</v>
      </c>
      <c r="CQ212" s="20">
        <v>0</v>
      </c>
      <c r="CR212" s="20">
        <v>0</v>
      </c>
      <c r="CS212" s="20">
        <v>0</v>
      </c>
      <c r="CT212" s="20">
        <v>0</v>
      </c>
      <c r="CU212" s="20">
        <v>0</v>
      </c>
      <c r="CV212" s="20">
        <v>0</v>
      </c>
      <c r="CW212" s="20">
        <v>0</v>
      </c>
      <c r="CX212" s="20">
        <v>0</v>
      </c>
      <c r="CY212" s="20">
        <v>0</v>
      </c>
      <c r="CZ212" s="20">
        <v>0</v>
      </c>
      <c r="DA212" s="20">
        <v>0</v>
      </c>
      <c r="DB212" s="20">
        <v>0</v>
      </c>
      <c r="DC212" s="20">
        <v>0</v>
      </c>
      <c r="DD212" s="20">
        <v>0</v>
      </c>
      <c r="DE212" s="20">
        <v>0</v>
      </c>
      <c r="DF212" s="20">
        <v>0</v>
      </c>
      <c r="DG212" s="16">
        <f t="shared" si="19"/>
        <v>0</v>
      </c>
      <c r="DH212" s="16">
        <f t="shared" si="20"/>
        <v>0</v>
      </c>
      <c r="DI212" s="17" t="str">
        <f t="shared" si="21"/>
        <v/>
      </c>
      <c r="DJ212" s="119" t="s">
        <v>719</v>
      </c>
      <c r="DK212" s="44" t="s">
        <v>719</v>
      </c>
    </row>
    <row r="213" spans="1:115">
      <c r="A213" s="32" t="str">
        <f t="shared" si="17"/>
        <v>AusNet--OTHER - PLEASE ADD A ROW IF NECESSARY AND NOMINATE THE CATEGORY</v>
      </c>
      <c r="B213" s="32" t="str">
        <f t="shared" si="18"/>
        <v>AusNet</v>
      </c>
      <c r="C213" s="426"/>
      <c r="D213" s="14"/>
      <c r="E213" s="15" t="s">
        <v>170</v>
      </c>
      <c r="F213" s="18"/>
      <c r="G213" s="18"/>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16">
        <f t="shared" si="19"/>
        <v>0</v>
      </c>
      <c r="DH213" s="16">
        <f t="shared" si="20"/>
        <v>0</v>
      </c>
      <c r="DI213" s="17" t="str">
        <f t="shared" si="21"/>
        <v/>
      </c>
      <c r="DJ213" s="119" t="s">
        <v>719</v>
      </c>
      <c r="DK213" s="44" t="s">
        <v>719</v>
      </c>
    </row>
    <row r="214" spans="1:115" ht="75">
      <c r="A214" s="32" t="str">
        <f t="shared" si="17"/>
        <v>AusNet-TRANSFORMERS BY: 
MOUNTING TYPE; HIGHEST OPERATING VOLTAGE ; AMPERE RATING; NUMBER OF PHASES (AT LV)-POLE MOUNTED ; &lt; = 22kV ;  &lt; = 60 kVA ; SINGLE PHASE</v>
      </c>
      <c r="B214" s="32" t="str">
        <f t="shared" si="18"/>
        <v>AusNet</v>
      </c>
      <c r="C214" s="426"/>
      <c r="D214" s="14" t="s">
        <v>544</v>
      </c>
      <c r="E214" s="15" t="s">
        <v>203</v>
      </c>
      <c r="F214" s="18">
        <v>62</v>
      </c>
      <c r="G214" s="18">
        <v>14</v>
      </c>
      <c r="H214" s="20">
        <v>214</v>
      </c>
      <c r="I214" s="20">
        <v>277</v>
      </c>
      <c r="J214" s="20">
        <v>456</v>
      </c>
      <c r="K214" s="20">
        <v>473</v>
      </c>
      <c r="L214" s="20">
        <v>515</v>
      </c>
      <c r="M214" s="20">
        <v>465</v>
      </c>
      <c r="N214" s="20">
        <v>437</v>
      </c>
      <c r="O214" s="20">
        <v>426</v>
      </c>
      <c r="P214" s="20">
        <v>509</v>
      </c>
      <c r="Q214" s="20">
        <v>466</v>
      </c>
      <c r="R214" s="20">
        <v>575</v>
      </c>
      <c r="S214" s="20">
        <v>543</v>
      </c>
      <c r="T214" s="20">
        <v>511</v>
      </c>
      <c r="U214" s="20">
        <v>607</v>
      </c>
      <c r="V214" s="20">
        <v>721</v>
      </c>
      <c r="W214" s="20">
        <v>696</v>
      </c>
      <c r="X214" s="20">
        <v>553</v>
      </c>
      <c r="Y214" s="20">
        <v>503</v>
      </c>
      <c r="Z214" s="20">
        <v>528</v>
      </c>
      <c r="AA214" s="20">
        <v>699</v>
      </c>
      <c r="AB214" s="20">
        <v>768</v>
      </c>
      <c r="AC214" s="20">
        <v>859</v>
      </c>
      <c r="AD214" s="20">
        <v>793</v>
      </c>
      <c r="AE214" s="20">
        <v>1077</v>
      </c>
      <c r="AF214" s="20">
        <v>1322</v>
      </c>
      <c r="AG214" s="20">
        <v>1178</v>
      </c>
      <c r="AH214" s="20">
        <v>1297</v>
      </c>
      <c r="AI214" s="20">
        <v>1293</v>
      </c>
      <c r="AJ214" s="20">
        <v>1266</v>
      </c>
      <c r="AK214" s="20">
        <v>1155</v>
      </c>
      <c r="AL214" s="20">
        <v>905</v>
      </c>
      <c r="AM214" s="20">
        <v>1033</v>
      </c>
      <c r="AN214" s="20">
        <v>1454</v>
      </c>
      <c r="AO214" s="20">
        <v>1109</v>
      </c>
      <c r="AP214" s="20">
        <v>1081</v>
      </c>
      <c r="AQ214" s="20">
        <v>929</v>
      </c>
      <c r="AR214" s="20">
        <v>858</v>
      </c>
      <c r="AS214" s="20">
        <v>859</v>
      </c>
      <c r="AT214" s="20">
        <v>369</v>
      </c>
      <c r="AU214" s="20">
        <v>328</v>
      </c>
      <c r="AV214" s="20">
        <v>347</v>
      </c>
      <c r="AW214" s="20">
        <v>393</v>
      </c>
      <c r="AX214" s="20">
        <v>381</v>
      </c>
      <c r="AY214" s="20">
        <v>377</v>
      </c>
      <c r="AZ214" s="20">
        <v>366</v>
      </c>
      <c r="BA214" s="20">
        <v>426</v>
      </c>
      <c r="BB214" s="20">
        <v>627</v>
      </c>
      <c r="BC214" s="20">
        <v>448</v>
      </c>
      <c r="BD214" s="20">
        <v>399</v>
      </c>
      <c r="BE214" s="20">
        <v>463</v>
      </c>
      <c r="BF214" s="20">
        <v>345</v>
      </c>
      <c r="BG214" s="20">
        <v>290</v>
      </c>
      <c r="BH214" s="20">
        <v>216</v>
      </c>
      <c r="BI214" s="20">
        <v>139</v>
      </c>
      <c r="BJ214" s="20">
        <v>104</v>
      </c>
      <c r="BK214" s="20">
        <v>95</v>
      </c>
      <c r="BL214" s="20">
        <v>75</v>
      </c>
      <c r="BM214" s="20">
        <v>27</v>
      </c>
      <c r="BN214" s="20">
        <v>23</v>
      </c>
      <c r="BO214" s="20">
        <v>10</v>
      </c>
      <c r="BP214" s="20">
        <v>11</v>
      </c>
      <c r="BQ214" s="20">
        <v>2</v>
      </c>
      <c r="BR214" s="20">
        <v>3</v>
      </c>
      <c r="BS214" s="20">
        <v>30</v>
      </c>
      <c r="BT214" s="20">
        <v>0</v>
      </c>
      <c r="BU214" s="20">
        <v>4</v>
      </c>
      <c r="BV214" s="20">
        <v>4</v>
      </c>
      <c r="BW214" s="20">
        <v>0</v>
      </c>
      <c r="BX214" s="20">
        <v>3</v>
      </c>
      <c r="BY214" s="20">
        <v>0</v>
      </c>
      <c r="BZ214" s="20">
        <v>0</v>
      </c>
      <c r="CA214" s="20">
        <v>0</v>
      </c>
      <c r="CB214" s="20">
        <v>0</v>
      </c>
      <c r="CC214" s="20">
        <v>0</v>
      </c>
      <c r="CD214" s="20">
        <v>2</v>
      </c>
      <c r="CE214" s="20">
        <v>1</v>
      </c>
      <c r="CF214" s="20">
        <v>0</v>
      </c>
      <c r="CG214" s="20">
        <v>2</v>
      </c>
      <c r="CH214" s="20">
        <v>0</v>
      </c>
      <c r="CI214" s="20">
        <v>0</v>
      </c>
      <c r="CJ214" s="20">
        <v>0</v>
      </c>
      <c r="CK214" s="20">
        <v>0</v>
      </c>
      <c r="CL214" s="20">
        <v>0</v>
      </c>
      <c r="CM214" s="20">
        <v>0</v>
      </c>
      <c r="CN214" s="20">
        <v>1</v>
      </c>
      <c r="CO214" s="20">
        <v>0</v>
      </c>
      <c r="CP214" s="20">
        <v>0</v>
      </c>
      <c r="CQ214" s="20">
        <v>0</v>
      </c>
      <c r="CR214" s="20">
        <v>0</v>
      </c>
      <c r="CS214" s="20">
        <v>0</v>
      </c>
      <c r="CT214" s="20">
        <v>0</v>
      </c>
      <c r="CU214" s="20">
        <v>0</v>
      </c>
      <c r="CV214" s="20">
        <v>0</v>
      </c>
      <c r="CW214" s="20">
        <v>0</v>
      </c>
      <c r="CX214" s="20">
        <v>1</v>
      </c>
      <c r="CY214" s="20">
        <v>0</v>
      </c>
      <c r="CZ214" s="20">
        <v>0</v>
      </c>
      <c r="DA214" s="20">
        <v>0</v>
      </c>
      <c r="DB214" s="20">
        <v>0</v>
      </c>
      <c r="DC214" s="20">
        <v>0</v>
      </c>
      <c r="DD214" s="20">
        <v>0</v>
      </c>
      <c r="DE214" s="20">
        <v>1</v>
      </c>
      <c r="DF214" s="20">
        <v>1090</v>
      </c>
      <c r="DG214" s="16">
        <f t="shared" si="19"/>
        <v>36813</v>
      </c>
      <c r="DH214" s="16">
        <f t="shared" si="20"/>
        <v>1093344</v>
      </c>
      <c r="DI214" s="17">
        <f t="shared" si="21"/>
        <v>29.699942954934397</v>
      </c>
      <c r="DJ214" s="119" t="s">
        <v>4</v>
      </c>
      <c r="DK214" t="s">
        <v>4</v>
      </c>
    </row>
    <row r="215" spans="1:115">
      <c r="A215" s="32" t="str">
        <f t="shared" si="17"/>
        <v>AusNet--POLE MOUNTED ; &lt; = 22kV ;  &gt; 60 kVA AND &lt; = 600 kVA ; SINGLE PHASE</v>
      </c>
      <c r="B215" s="32" t="str">
        <f t="shared" si="18"/>
        <v>AusNet</v>
      </c>
      <c r="C215" s="426"/>
      <c r="D215" s="14"/>
      <c r="E215" s="15" t="s">
        <v>204</v>
      </c>
      <c r="F215" s="18">
        <v>62</v>
      </c>
      <c r="G215" s="18">
        <v>14</v>
      </c>
      <c r="H215" s="20">
        <v>24</v>
      </c>
      <c r="I215" s="20">
        <v>15</v>
      </c>
      <c r="J215" s="20">
        <v>9</v>
      </c>
      <c r="K215" s="20">
        <v>5</v>
      </c>
      <c r="L215" s="20">
        <v>23</v>
      </c>
      <c r="M215" s="20">
        <v>6</v>
      </c>
      <c r="N215" s="20">
        <v>5</v>
      </c>
      <c r="O215" s="20">
        <v>4</v>
      </c>
      <c r="P215" s="20">
        <v>4</v>
      </c>
      <c r="Q215" s="20">
        <v>3</v>
      </c>
      <c r="R215" s="20">
        <v>5</v>
      </c>
      <c r="S215" s="20">
        <v>3</v>
      </c>
      <c r="T215" s="20">
        <v>3</v>
      </c>
      <c r="U215" s="20">
        <v>5</v>
      </c>
      <c r="V215" s="20">
        <v>4</v>
      </c>
      <c r="W215" s="20">
        <v>1</v>
      </c>
      <c r="X215" s="20">
        <v>4</v>
      </c>
      <c r="Y215" s="20">
        <v>2</v>
      </c>
      <c r="Z215" s="20">
        <v>0</v>
      </c>
      <c r="AA215" s="20">
        <v>0</v>
      </c>
      <c r="AB215" s="20">
        <v>0</v>
      </c>
      <c r="AC215" s="20">
        <v>0</v>
      </c>
      <c r="AD215" s="20">
        <v>0</v>
      </c>
      <c r="AE215" s="20">
        <v>3</v>
      </c>
      <c r="AF215" s="20">
        <v>1</v>
      </c>
      <c r="AG215" s="20">
        <v>2</v>
      </c>
      <c r="AH215" s="20">
        <v>1</v>
      </c>
      <c r="AI215" s="20">
        <v>0</v>
      </c>
      <c r="AJ215" s="20">
        <v>1</v>
      </c>
      <c r="AK215" s="20">
        <v>0</v>
      </c>
      <c r="AL215" s="20">
        <v>1</v>
      </c>
      <c r="AM215" s="20">
        <v>1</v>
      </c>
      <c r="AN215" s="20">
        <v>1</v>
      </c>
      <c r="AO215" s="20">
        <v>2</v>
      </c>
      <c r="AP215" s="20">
        <v>4</v>
      </c>
      <c r="AQ215" s="20">
        <v>2</v>
      </c>
      <c r="AR215" s="20">
        <v>0</v>
      </c>
      <c r="AS215" s="20">
        <v>1</v>
      </c>
      <c r="AT215" s="20">
        <v>1</v>
      </c>
      <c r="AU215" s="20">
        <v>1</v>
      </c>
      <c r="AV215" s="20">
        <v>0</v>
      </c>
      <c r="AW215" s="20">
        <v>0</v>
      </c>
      <c r="AX215" s="20">
        <v>0</v>
      </c>
      <c r="AY215" s="20">
        <v>1</v>
      </c>
      <c r="AZ215" s="20">
        <v>0</v>
      </c>
      <c r="BA215" s="20">
        <v>1</v>
      </c>
      <c r="BB215" s="20">
        <v>1</v>
      </c>
      <c r="BC215" s="20">
        <v>0</v>
      </c>
      <c r="BD215" s="20">
        <v>0</v>
      </c>
      <c r="BE215" s="20">
        <v>0</v>
      </c>
      <c r="BF215" s="20">
        <v>0</v>
      </c>
      <c r="BG215" s="20">
        <v>0</v>
      </c>
      <c r="BH215" s="20">
        <v>0</v>
      </c>
      <c r="BI215" s="20">
        <v>0</v>
      </c>
      <c r="BJ215" s="20">
        <v>0</v>
      </c>
      <c r="BK215" s="20">
        <v>1</v>
      </c>
      <c r="BL215" s="20">
        <v>0</v>
      </c>
      <c r="BM215" s="20">
        <v>0</v>
      </c>
      <c r="BN215" s="20">
        <v>0</v>
      </c>
      <c r="BO215" s="20">
        <v>0</v>
      </c>
      <c r="BP215" s="20">
        <v>0</v>
      </c>
      <c r="BQ215" s="20">
        <v>0</v>
      </c>
      <c r="BR215" s="20">
        <v>0</v>
      </c>
      <c r="BS215" s="20">
        <v>0</v>
      </c>
      <c r="BT215" s="20">
        <v>0</v>
      </c>
      <c r="BU215" s="20">
        <v>0</v>
      </c>
      <c r="BV215" s="20">
        <v>0</v>
      </c>
      <c r="BW215" s="20">
        <v>0</v>
      </c>
      <c r="BX215" s="20">
        <v>0</v>
      </c>
      <c r="BY215" s="20">
        <v>0</v>
      </c>
      <c r="BZ215" s="20">
        <v>0</v>
      </c>
      <c r="CA215" s="20">
        <v>0</v>
      </c>
      <c r="CB215" s="20">
        <v>0</v>
      </c>
      <c r="CC215" s="20">
        <v>0</v>
      </c>
      <c r="CD215" s="20">
        <v>0</v>
      </c>
      <c r="CE215" s="20">
        <v>0</v>
      </c>
      <c r="CF215" s="20">
        <v>0</v>
      </c>
      <c r="CG215" s="20">
        <v>0</v>
      </c>
      <c r="CH215" s="20">
        <v>0</v>
      </c>
      <c r="CI215" s="20">
        <v>0</v>
      </c>
      <c r="CJ215" s="20">
        <v>0</v>
      </c>
      <c r="CK215" s="20">
        <v>0</v>
      </c>
      <c r="CL215" s="20">
        <v>0</v>
      </c>
      <c r="CM215" s="20">
        <v>0</v>
      </c>
      <c r="CN215" s="20">
        <v>0</v>
      </c>
      <c r="CO215" s="20">
        <v>0</v>
      </c>
      <c r="CP215" s="20">
        <v>0</v>
      </c>
      <c r="CQ215" s="20">
        <v>0</v>
      </c>
      <c r="CR215" s="20">
        <v>0</v>
      </c>
      <c r="CS215" s="20">
        <v>0</v>
      </c>
      <c r="CT215" s="20">
        <v>0</v>
      </c>
      <c r="CU215" s="20">
        <v>0</v>
      </c>
      <c r="CV215" s="20">
        <v>0</v>
      </c>
      <c r="CW215" s="20">
        <v>0</v>
      </c>
      <c r="CX215" s="20">
        <v>0</v>
      </c>
      <c r="CY215" s="20">
        <v>0</v>
      </c>
      <c r="CZ215" s="20">
        <v>0</v>
      </c>
      <c r="DA215" s="20">
        <v>0</v>
      </c>
      <c r="DB215" s="20">
        <v>0</v>
      </c>
      <c r="DC215" s="20">
        <v>0</v>
      </c>
      <c r="DD215" s="20">
        <v>0</v>
      </c>
      <c r="DE215" s="20">
        <v>0</v>
      </c>
      <c r="DF215" s="20">
        <v>5</v>
      </c>
      <c r="DG215" s="16">
        <f t="shared" si="19"/>
        <v>156</v>
      </c>
      <c r="DH215" s="16">
        <f t="shared" si="20"/>
        <v>2171</v>
      </c>
      <c r="DI215" s="17">
        <f t="shared" si="21"/>
        <v>13.916666666666666</v>
      </c>
      <c r="DJ215" s="119" t="s">
        <v>4</v>
      </c>
      <c r="DK215" s="44" t="s">
        <v>4</v>
      </c>
    </row>
    <row r="216" spans="1:115">
      <c r="A216" s="32" t="str">
        <f t="shared" ref="A216:A279" si="22">B216&amp;"-"&amp;D216&amp;"-"&amp;E216</f>
        <v>AusNet--POLE MOUNTED ; &lt; = 22kV ;  &gt; 600 kVA ; SINGLE PHASE</v>
      </c>
      <c r="B216" s="32" t="str">
        <f t="shared" ref="B216:B279" si="23">IF(C216&gt;0,C216,B215)</f>
        <v>AusNet</v>
      </c>
      <c r="C216" s="426"/>
      <c r="D216" s="14"/>
      <c r="E216" s="15" t="s">
        <v>205</v>
      </c>
      <c r="F216" s="18">
        <v>62</v>
      </c>
      <c r="G216" s="18">
        <v>14</v>
      </c>
      <c r="H216" s="20">
        <v>0</v>
      </c>
      <c r="I216" s="20">
        <v>0</v>
      </c>
      <c r="J216" s="20">
        <v>1</v>
      </c>
      <c r="K216" s="20">
        <v>0</v>
      </c>
      <c r="L216" s="20">
        <v>1</v>
      </c>
      <c r="M216" s="20">
        <v>0</v>
      </c>
      <c r="N216" s="20">
        <v>1</v>
      </c>
      <c r="O216" s="20">
        <v>0</v>
      </c>
      <c r="P216" s="20">
        <v>0</v>
      </c>
      <c r="Q216" s="20">
        <v>0</v>
      </c>
      <c r="R216" s="20">
        <v>0</v>
      </c>
      <c r="S216" s="20">
        <v>0</v>
      </c>
      <c r="T216" s="20">
        <v>0</v>
      </c>
      <c r="U216" s="20">
        <v>1</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0">
        <v>0</v>
      </c>
      <c r="AY216" s="20">
        <v>0</v>
      </c>
      <c r="AZ216" s="20">
        <v>0</v>
      </c>
      <c r="BA216" s="20">
        <v>0</v>
      </c>
      <c r="BB216" s="20">
        <v>0</v>
      </c>
      <c r="BC216" s="20">
        <v>0</v>
      </c>
      <c r="BD216" s="20">
        <v>0</v>
      </c>
      <c r="BE216" s="20">
        <v>0</v>
      </c>
      <c r="BF216" s="20">
        <v>0</v>
      </c>
      <c r="BG216" s="20">
        <v>0</v>
      </c>
      <c r="BH216" s="20">
        <v>0</v>
      </c>
      <c r="BI216" s="20">
        <v>0</v>
      </c>
      <c r="BJ216" s="20">
        <v>0</v>
      </c>
      <c r="BK216" s="20">
        <v>0</v>
      </c>
      <c r="BL216" s="20">
        <v>0</v>
      </c>
      <c r="BM216" s="20">
        <v>0</v>
      </c>
      <c r="BN216" s="20">
        <v>0</v>
      </c>
      <c r="BO216" s="20">
        <v>0</v>
      </c>
      <c r="BP216" s="20">
        <v>0</v>
      </c>
      <c r="BQ216" s="20">
        <v>0</v>
      </c>
      <c r="BR216" s="20">
        <v>0</v>
      </c>
      <c r="BS216" s="20">
        <v>0</v>
      </c>
      <c r="BT216" s="20">
        <v>0</v>
      </c>
      <c r="BU216" s="20">
        <v>0</v>
      </c>
      <c r="BV216" s="20">
        <v>0</v>
      </c>
      <c r="BW216" s="20">
        <v>0</v>
      </c>
      <c r="BX216" s="20">
        <v>0</v>
      </c>
      <c r="BY216" s="20">
        <v>0</v>
      </c>
      <c r="BZ216" s="20">
        <v>0</v>
      </c>
      <c r="CA216" s="20">
        <v>0</v>
      </c>
      <c r="CB216" s="20">
        <v>0</v>
      </c>
      <c r="CC216" s="20">
        <v>0</v>
      </c>
      <c r="CD216" s="20">
        <v>0</v>
      </c>
      <c r="CE216" s="20">
        <v>0</v>
      </c>
      <c r="CF216" s="20">
        <v>0</v>
      </c>
      <c r="CG216" s="20">
        <v>0</v>
      </c>
      <c r="CH216" s="20">
        <v>0</v>
      </c>
      <c r="CI216" s="20">
        <v>0</v>
      </c>
      <c r="CJ216" s="20">
        <v>0</v>
      </c>
      <c r="CK216" s="20">
        <v>0</v>
      </c>
      <c r="CL216" s="20">
        <v>0</v>
      </c>
      <c r="CM216" s="20">
        <v>0</v>
      </c>
      <c r="CN216" s="20">
        <v>0</v>
      </c>
      <c r="CO216" s="20">
        <v>0</v>
      </c>
      <c r="CP216" s="20">
        <v>0</v>
      </c>
      <c r="CQ216" s="20">
        <v>0</v>
      </c>
      <c r="CR216" s="20">
        <v>0</v>
      </c>
      <c r="CS216" s="20">
        <v>0</v>
      </c>
      <c r="CT216" s="20">
        <v>0</v>
      </c>
      <c r="CU216" s="20">
        <v>0</v>
      </c>
      <c r="CV216" s="20">
        <v>0</v>
      </c>
      <c r="CW216" s="20">
        <v>0</v>
      </c>
      <c r="CX216" s="20">
        <v>0</v>
      </c>
      <c r="CY216" s="20">
        <v>0</v>
      </c>
      <c r="CZ216" s="20">
        <v>0</v>
      </c>
      <c r="DA216" s="20">
        <v>0</v>
      </c>
      <c r="DB216" s="20">
        <v>0</v>
      </c>
      <c r="DC216" s="20">
        <v>0</v>
      </c>
      <c r="DD216" s="20">
        <v>0</v>
      </c>
      <c r="DE216" s="20">
        <v>0</v>
      </c>
      <c r="DF216" s="20">
        <v>0</v>
      </c>
      <c r="DG216" s="16">
        <f t="shared" si="19"/>
        <v>4</v>
      </c>
      <c r="DH216" s="16">
        <f t="shared" si="20"/>
        <v>29</v>
      </c>
      <c r="DI216" s="17">
        <f t="shared" si="21"/>
        <v>7.25</v>
      </c>
      <c r="DJ216" s="119" t="s">
        <v>4</v>
      </c>
      <c r="DK216" s="44" t="s">
        <v>4</v>
      </c>
    </row>
    <row r="217" spans="1:115">
      <c r="A217" s="32" t="str">
        <f t="shared" si="22"/>
        <v>AusNet--POLE MOUNTED ; &lt; = 22kV ;  &lt; = 60 kVA  ; MULTIPLE PHASE</v>
      </c>
      <c r="B217" s="32" t="str">
        <f t="shared" si="23"/>
        <v>AusNet</v>
      </c>
      <c r="C217" s="426"/>
      <c r="D217" s="14"/>
      <c r="E217" s="15" t="s">
        <v>206</v>
      </c>
      <c r="F217" s="18">
        <v>62</v>
      </c>
      <c r="G217" s="18">
        <v>14</v>
      </c>
      <c r="H217" s="20">
        <v>17</v>
      </c>
      <c r="I217" s="20">
        <v>24</v>
      </c>
      <c r="J217" s="20">
        <v>61</v>
      </c>
      <c r="K217" s="20">
        <v>60</v>
      </c>
      <c r="L217" s="20">
        <v>75</v>
      </c>
      <c r="M217" s="20">
        <v>88</v>
      </c>
      <c r="N217" s="20">
        <v>90</v>
      </c>
      <c r="O217" s="20">
        <v>78</v>
      </c>
      <c r="P217" s="20">
        <v>92</v>
      </c>
      <c r="Q217" s="20">
        <v>102</v>
      </c>
      <c r="R217" s="20">
        <v>81</v>
      </c>
      <c r="S217" s="20">
        <v>104</v>
      </c>
      <c r="T217" s="20">
        <v>181</v>
      </c>
      <c r="U217" s="20">
        <v>254</v>
      </c>
      <c r="V217" s="20">
        <v>262</v>
      </c>
      <c r="W217" s="20">
        <v>257</v>
      </c>
      <c r="X217" s="20">
        <v>171</v>
      </c>
      <c r="Y217" s="20">
        <v>166</v>
      </c>
      <c r="Z217" s="20">
        <v>190</v>
      </c>
      <c r="AA217" s="20">
        <v>262</v>
      </c>
      <c r="AB217" s="20">
        <v>195</v>
      </c>
      <c r="AC217" s="20">
        <v>181</v>
      </c>
      <c r="AD217" s="20">
        <v>214</v>
      </c>
      <c r="AE217" s="20">
        <v>247</v>
      </c>
      <c r="AF217" s="20">
        <v>285</v>
      </c>
      <c r="AG217" s="20">
        <v>189</v>
      </c>
      <c r="AH217" s="20">
        <v>151</v>
      </c>
      <c r="AI217" s="20">
        <v>160</v>
      </c>
      <c r="AJ217" s="20">
        <v>163</v>
      </c>
      <c r="AK217" s="20">
        <v>155</v>
      </c>
      <c r="AL217" s="20">
        <v>145</v>
      </c>
      <c r="AM217" s="20">
        <v>147</v>
      </c>
      <c r="AN217" s="20">
        <v>194</v>
      </c>
      <c r="AO217" s="20">
        <v>123</v>
      </c>
      <c r="AP217" s="20">
        <v>122</v>
      </c>
      <c r="AQ217" s="20">
        <v>104</v>
      </c>
      <c r="AR217" s="20">
        <v>85</v>
      </c>
      <c r="AS217" s="20">
        <v>82</v>
      </c>
      <c r="AT217" s="20">
        <v>35</v>
      </c>
      <c r="AU217" s="20">
        <v>39</v>
      </c>
      <c r="AV217" s="20">
        <v>64</v>
      </c>
      <c r="AW217" s="20">
        <v>47</v>
      </c>
      <c r="AX217" s="20">
        <v>43</v>
      </c>
      <c r="AY217" s="20">
        <v>60</v>
      </c>
      <c r="AZ217" s="20">
        <v>45</v>
      </c>
      <c r="BA217" s="20">
        <v>62</v>
      </c>
      <c r="BB217" s="20">
        <v>42</v>
      </c>
      <c r="BC217" s="20">
        <v>30</v>
      </c>
      <c r="BD217" s="20">
        <v>27</v>
      </c>
      <c r="BE217" s="20">
        <v>20</v>
      </c>
      <c r="BF217" s="20">
        <v>23</v>
      </c>
      <c r="BG217" s="20">
        <v>22</v>
      </c>
      <c r="BH217" s="20">
        <v>13</v>
      </c>
      <c r="BI217" s="20">
        <v>6</v>
      </c>
      <c r="BJ217" s="20">
        <v>4</v>
      </c>
      <c r="BK217" s="20">
        <v>7</v>
      </c>
      <c r="BL217" s="20">
        <v>1</v>
      </c>
      <c r="BM217" s="20">
        <v>0</v>
      </c>
      <c r="BN217" s="20">
        <v>1</v>
      </c>
      <c r="BO217" s="20">
        <v>0</v>
      </c>
      <c r="BP217" s="20">
        <v>0</v>
      </c>
      <c r="BQ217" s="20">
        <v>0</v>
      </c>
      <c r="BR217" s="20">
        <v>0</v>
      </c>
      <c r="BS217" s="20">
        <v>7</v>
      </c>
      <c r="BT217" s="20">
        <v>0</v>
      </c>
      <c r="BU217" s="20">
        <v>0</v>
      </c>
      <c r="BV217" s="20">
        <v>0</v>
      </c>
      <c r="BW217" s="20">
        <v>0</v>
      </c>
      <c r="BX217" s="20">
        <v>0</v>
      </c>
      <c r="BY217" s="20">
        <v>0</v>
      </c>
      <c r="BZ217" s="20">
        <v>0</v>
      </c>
      <c r="CA217" s="20">
        <v>0</v>
      </c>
      <c r="CB217" s="20">
        <v>0</v>
      </c>
      <c r="CC217" s="20">
        <v>0</v>
      </c>
      <c r="CD217" s="20">
        <v>0</v>
      </c>
      <c r="CE217" s="20">
        <v>0</v>
      </c>
      <c r="CF217" s="20">
        <v>0</v>
      </c>
      <c r="CG217" s="20">
        <v>0</v>
      </c>
      <c r="CH217" s="20">
        <v>0</v>
      </c>
      <c r="CI217" s="20">
        <v>0</v>
      </c>
      <c r="CJ217" s="20">
        <v>0</v>
      </c>
      <c r="CK217" s="20">
        <v>0</v>
      </c>
      <c r="CL217" s="20">
        <v>0</v>
      </c>
      <c r="CM217" s="20">
        <v>0</v>
      </c>
      <c r="CN217" s="20">
        <v>0</v>
      </c>
      <c r="CO217" s="20">
        <v>0</v>
      </c>
      <c r="CP217" s="20">
        <v>0</v>
      </c>
      <c r="CQ217" s="20">
        <v>0</v>
      </c>
      <c r="CR217" s="20">
        <v>1</v>
      </c>
      <c r="CS217" s="20">
        <v>0</v>
      </c>
      <c r="CT217" s="20">
        <v>0</v>
      </c>
      <c r="CU217" s="20">
        <v>0</v>
      </c>
      <c r="CV217" s="20">
        <v>0</v>
      </c>
      <c r="CW217" s="20">
        <v>0</v>
      </c>
      <c r="CX217" s="20">
        <v>0</v>
      </c>
      <c r="CY217" s="20">
        <v>0</v>
      </c>
      <c r="CZ217" s="20">
        <v>0</v>
      </c>
      <c r="DA217" s="20">
        <v>0</v>
      </c>
      <c r="DB217" s="20">
        <v>0</v>
      </c>
      <c r="DC217" s="20">
        <v>0</v>
      </c>
      <c r="DD217" s="20">
        <v>0</v>
      </c>
      <c r="DE217" s="20">
        <v>0</v>
      </c>
      <c r="DF217" s="20">
        <v>95</v>
      </c>
      <c r="DG217" s="16">
        <f t="shared" si="19"/>
        <v>6251</v>
      </c>
      <c r="DH217" s="16">
        <f t="shared" si="20"/>
        <v>155292</v>
      </c>
      <c r="DI217" s="17">
        <f t="shared" si="21"/>
        <v>24.842745160774275</v>
      </c>
      <c r="DJ217" s="119" t="s">
        <v>4</v>
      </c>
      <c r="DK217" s="44" t="s">
        <v>4</v>
      </c>
    </row>
    <row r="218" spans="1:115">
      <c r="A218" s="32" t="str">
        <f t="shared" si="22"/>
        <v>AusNet--POLE MOUNTED ; &lt; = 22kV ;  &gt; 60 kVA AND &lt; = 600 kVA  ; MULTIPLE PHASE</v>
      </c>
      <c r="B218" s="32" t="str">
        <f t="shared" si="23"/>
        <v>AusNet</v>
      </c>
      <c r="C218" s="426"/>
      <c r="D218" s="14"/>
      <c r="E218" s="15" t="s">
        <v>207</v>
      </c>
      <c r="F218" s="18">
        <v>62</v>
      </c>
      <c r="G218" s="18">
        <v>14</v>
      </c>
      <c r="H218" s="20">
        <v>254</v>
      </c>
      <c r="I218" s="20">
        <v>362</v>
      </c>
      <c r="J218" s="20">
        <v>541</v>
      </c>
      <c r="K218" s="20">
        <v>737</v>
      </c>
      <c r="L218" s="20">
        <v>548</v>
      </c>
      <c r="M218" s="20">
        <v>483</v>
      </c>
      <c r="N218" s="20">
        <v>520</v>
      </c>
      <c r="O218" s="20">
        <v>485</v>
      </c>
      <c r="P218" s="20">
        <v>438</v>
      </c>
      <c r="Q218" s="20">
        <v>326</v>
      </c>
      <c r="R218" s="20">
        <v>377</v>
      </c>
      <c r="S218" s="20">
        <v>297</v>
      </c>
      <c r="T218" s="20">
        <v>252</v>
      </c>
      <c r="U218" s="20">
        <v>260</v>
      </c>
      <c r="V218" s="20">
        <v>233</v>
      </c>
      <c r="W218" s="20">
        <v>231</v>
      </c>
      <c r="X218" s="20">
        <v>180</v>
      </c>
      <c r="Y218" s="20">
        <v>146</v>
      </c>
      <c r="Z218" s="20">
        <v>159</v>
      </c>
      <c r="AA218" s="20">
        <v>167</v>
      </c>
      <c r="AB218" s="20">
        <v>164</v>
      </c>
      <c r="AC218" s="20">
        <v>173</v>
      </c>
      <c r="AD218" s="20">
        <v>154</v>
      </c>
      <c r="AE218" s="20">
        <v>260</v>
      </c>
      <c r="AF218" s="20">
        <v>291</v>
      </c>
      <c r="AG218" s="20">
        <v>269</v>
      </c>
      <c r="AH218" s="20">
        <v>236</v>
      </c>
      <c r="AI218" s="20">
        <v>261</v>
      </c>
      <c r="AJ218" s="20">
        <v>250</v>
      </c>
      <c r="AK218" s="20">
        <v>188</v>
      </c>
      <c r="AL218" s="20">
        <v>212</v>
      </c>
      <c r="AM218" s="20">
        <v>239</v>
      </c>
      <c r="AN218" s="20">
        <v>327</v>
      </c>
      <c r="AO218" s="20">
        <v>239</v>
      </c>
      <c r="AP218" s="20">
        <v>259</v>
      </c>
      <c r="AQ218" s="20">
        <v>255</v>
      </c>
      <c r="AR218" s="20">
        <v>301</v>
      </c>
      <c r="AS218" s="20">
        <v>283</v>
      </c>
      <c r="AT218" s="20">
        <v>112</v>
      </c>
      <c r="AU218" s="20">
        <v>94</v>
      </c>
      <c r="AV218" s="20">
        <v>73</v>
      </c>
      <c r="AW218" s="20">
        <v>87</v>
      </c>
      <c r="AX218" s="20">
        <v>81</v>
      </c>
      <c r="AY218" s="20">
        <v>63</v>
      </c>
      <c r="AZ218" s="20">
        <v>47</v>
      </c>
      <c r="BA218" s="20">
        <v>45</v>
      </c>
      <c r="BB218" s="20">
        <v>64</v>
      </c>
      <c r="BC218" s="20">
        <v>42</v>
      </c>
      <c r="BD218" s="20">
        <v>39</v>
      </c>
      <c r="BE218" s="20">
        <v>21</v>
      </c>
      <c r="BF218" s="20">
        <v>26</v>
      </c>
      <c r="BG218" s="20">
        <v>20</v>
      </c>
      <c r="BH218" s="20">
        <v>16</v>
      </c>
      <c r="BI218" s="20">
        <v>29</v>
      </c>
      <c r="BJ218" s="20">
        <v>6</v>
      </c>
      <c r="BK218" s="20">
        <v>12</v>
      </c>
      <c r="BL218" s="20">
        <v>2</v>
      </c>
      <c r="BM218" s="20">
        <v>6</v>
      </c>
      <c r="BN218" s="20">
        <v>4</v>
      </c>
      <c r="BO218" s="20">
        <v>1</v>
      </c>
      <c r="BP218" s="20">
        <v>0</v>
      </c>
      <c r="BQ218" s="20">
        <v>2</v>
      </c>
      <c r="BR218" s="20">
        <v>0</v>
      </c>
      <c r="BS218" s="20">
        <v>7</v>
      </c>
      <c r="BT218" s="20">
        <v>0</v>
      </c>
      <c r="BU218" s="20">
        <v>0</v>
      </c>
      <c r="BV218" s="20">
        <v>1</v>
      </c>
      <c r="BW218" s="20">
        <v>0</v>
      </c>
      <c r="BX218" s="20">
        <v>0</v>
      </c>
      <c r="BY218" s="20">
        <v>0</v>
      </c>
      <c r="BZ218" s="20">
        <v>1</v>
      </c>
      <c r="CA218" s="20">
        <v>0</v>
      </c>
      <c r="CB218" s="20">
        <v>0</v>
      </c>
      <c r="CC218" s="20">
        <v>0</v>
      </c>
      <c r="CD218" s="20">
        <v>0</v>
      </c>
      <c r="CE218" s="20">
        <v>0</v>
      </c>
      <c r="CF218" s="20">
        <v>0</v>
      </c>
      <c r="CG218" s="20">
        <v>1</v>
      </c>
      <c r="CH218" s="20">
        <v>0</v>
      </c>
      <c r="CI218" s="20">
        <v>0</v>
      </c>
      <c r="CJ218" s="20">
        <v>0</v>
      </c>
      <c r="CK218" s="20">
        <v>0</v>
      </c>
      <c r="CL218" s="20">
        <v>0</v>
      </c>
      <c r="CM218" s="20">
        <v>0</v>
      </c>
      <c r="CN218" s="20">
        <v>0</v>
      </c>
      <c r="CO218" s="20">
        <v>0</v>
      </c>
      <c r="CP218" s="20">
        <v>0</v>
      </c>
      <c r="CQ218" s="20">
        <v>0</v>
      </c>
      <c r="CR218" s="20">
        <v>0</v>
      </c>
      <c r="CS218" s="20">
        <v>0</v>
      </c>
      <c r="CT218" s="20">
        <v>0</v>
      </c>
      <c r="CU218" s="20">
        <v>0</v>
      </c>
      <c r="CV218" s="20">
        <v>0</v>
      </c>
      <c r="CW218" s="20">
        <v>0</v>
      </c>
      <c r="CX218" s="20">
        <v>0</v>
      </c>
      <c r="CY218" s="20">
        <v>0</v>
      </c>
      <c r="CZ218" s="20">
        <v>0</v>
      </c>
      <c r="DA218" s="20">
        <v>0</v>
      </c>
      <c r="DB218" s="20">
        <v>0</v>
      </c>
      <c r="DC218" s="20">
        <v>0</v>
      </c>
      <c r="DD218" s="20">
        <v>0</v>
      </c>
      <c r="DE218" s="20">
        <v>0</v>
      </c>
      <c r="DF218" s="20">
        <v>141</v>
      </c>
      <c r="DG218" s="16">
        <f t="shared" si="19"/>
        <v>12400</v>
      </c>
      <c r="DH218" s="16">
        <f t="shared" si="20"/>
        <v>245971</v>
      </c>
      <c r="DI218" s="17">
        <f t="shared" si="21"/>
        <v>19.836370967741935</v>
      </c>
      <c r="DJ218" s="119" t="s">
        <v>4</v>
      </c>
      <c r="DK218" s="44" t="s">
        <v>4</v>
      </c>
    </row>
    <row r="219" spans="1:115">
      <c r="A219" s="32" t="str">
        <f t="shared" si="22"/>
        <v>AusNet--POLE MOUNTED ; &lt; = 22kV ;  &gt; 600 kVA  ; MULTIPLE PHASE</v>
      </c>
      <c r="B219" s="32" t="str">
        <f t="shared" si="23"/>
        <v>AusNet</v>
      </c>
      <c r="C219" s="426"/>
      <c r="D219" s="14"/>
      <c r="E219" s="15" t="s">
        <v>208</v>
      </c>
      <c r="F219" s="18">
        <v>62</v>
      </c>
      <c r="G219" s="18">
        <v>14</v>
      </c>
      <c r="H219" s="20">
        <v>9</v>
      </c>
      <c r="I219" s="20">
        <v>21</v>
      </c>
      <c r="J219" s="20">
        <v>71</v>
      </c>
      <c r="K219" s="20">
        <v>19</v>
      </c>
      <c r="L219" s="20">
        <v>22</v>
      </c>
      <c r="M219" s="20">
        <v>19</v>
      </c>
      <c r="N219" s="20">
        <v>26</v>
      </c>
      <c r="O219" s="20">
        <v>42</v>
      </c>
      <c r="P219" s="20">
        <v>29</v>
      </c>
      <c r="Q219" s="20">
        <v>10</v>
      </c>
      <c r="R219" s="20">
        <v>14</v>
      </c>
      <c r="S219" s="20">
        <v>20</v>
      </c>
      <c r="T219" s="20">
        <v>9</v>
      </c>
      <c r="U219" s="20">
        <v>54</v>
      </c>
      <c r="V219" s="20">
        <v>12</v>
      </c>
      <c r="W219" s="20">
        <v>53</v>
      </c>
      <c r="X219" s="20">
        <v>14</v>
      </c>
      <c r="Y219" s="20">
        <v>10</v>
      </c>
      <c r="Z219" s="20">
        <v>9</v>
      </c>
      <c r="AA219" s="20">
        <v>12</v>
      </c>
      <c r="AB219" s="20">
        <v>10</v>
      </c>
      <c r="AC219" s="20">
        <v>5</v>
      </c>
      <c r="AD219" s="20">
        <v>2</v>
      </c>
      <c r="AE219" s="20">
        <v>4</v>
      </c>
      <c r="AF219" s="20">
        <v>10</v>
      </c>
      <c r="AG219" s="20">
        <v>11</v>
      </c>
      <c r="AH219" s="20">
        <v>4</v>
      </c>
      <c r="AI219" s="20">
        <v>9</v>
      </c>
      <c r="AJ219" s="20">
        <v>4</v>
      </c>
      <c r="AK219" s="20">
        <v>7</v>
      </c>
      <c r="AL219" s="20">
        <v>4</v>
      </c>
      <c r="AM219" s="20">
        <v>7</v>
      </c>
      <c r="AN219" s="20">
        <v>5</v>
      </c>
      <c r="AO219" s="20">
        <v>12</v>
      </c>
      <c r="AP219" s="20">
        <v>6</v>
      </c>
      <c r="AQ219" s="20">
        <v>9</v>
      </c>
      <c r="AR219" s="20">
        <v>14</v>
      </c>
      <c r="AS219" s="20">
        <v>7</v>
      </c>
      <c r="AT219" s="20">
        <v>1</v>
      </c>
      <c r="AU219" s="20">
        <v>2</v>
      </c>
      <c r="AV219" s="20">
        <v>3</v>
      </c>
      <c r="AW219" s="20">
        <v>1</v>
      </c>
      <c r="AX219" s="20">
        <v>2</v>
      </c>
      <c r="AY219" s="20">
        <v>1</v>
      </c>
      <c r="AZ219" s="20">
        <v>1</v>
      </c>
      <c r="BA219" s="20">
        <v>1</v>
      </c>
      <c r="BB219" s="20">
        <v>1</v>
      </c>
      <c r="BC219" s="20">
        <v>1</v>
      </c>
      <c r="BD219" s="20">
        <v>0</v>
      </c>
      <c r="BE219" s="20">
        <v>0</v>
      </c>
      <c r="BF219" s="20">
        <v>0</v>
      </c>
      <c r="BG219" s="20">
        <v>0</v>
      </c>
      <c r="BH219" s="20">
        <v>1</v>
      </c>
      <c r="BI219" s="20">
        <v>0</v>
      </c>
      <c r="BJ219" s="20">
        <v>0</v>
      </c>
      <c r="BK219" s="20">
        <v>0</v>
      </c>
      <c r="BL219" s="20">
        <v>0</v>
      </c>
      <c r="BM219" s="20">
        <v>0</v>
      </c>
      <c r="BN219" s="20">
        <v>0</v>
      </c>
      <c r="BO219" s="20">
        <v>0</v>
      </c>
      <c r="BP219" s="20">
        <v>0</v>
      </c>
      <c r="BQ219" s="20">
        <v>0</v>
      </c>
      <c r="BR219" s="20">
        <v>0</v>
      </c>
      <c r="BS219" s="20">
        <v>0</v>
      </c>
      <c r="BT219" s="20">
        <v>0</v>
      </c>
      <c r="BU219" s="20">
        <v>0</v>
      </c>
      <c r="BV219" s="20">
        <v>0</v>
      </c>
      <c r="BW219" s="20">
        <v>0</v>
      </c>
      <c r="BX219" s="20">
        <v>0</v>
      </c>
      <c r="BY219" s="20">
        <v>0</v>
      </c>
      <c r="BZ219" s="20">
        <v>0</v>
      </c>
      <c r="CA219" s="20">
        <v>0</v>
      </c>
      <c r="CB219" s="20">
        <v>0</v>
      </c>
      <c r="CC219" s="20">
        <v>0</v>
      </c>
      <c r="CD219" s="20">
        <v>0</v>
      </c>
      <c r="CE219" s="20">
        <v>0</v>
      </c>
      <c r="CF219" s="20">
        <v>0</v>
      </c>
      <c r="CG219" s="20">
        <v>0</v>
      </c>
      <c r="CH219" s="20">
        <v>0</v>
      </c>
      <c r="CI219" s="20">
        <v>0</v>
      </c>
      <c r="CJ219" s="20">
        <v>0</v>
      </c>
      <c r="CK219" s="20">
        <v>0</v>
      </c>
      <c r="CL219" s="20">
        <v>0</v>
      </c>
      <c r="CM219" s="20">
        <v>0</v>
      </c>
      <c r="CN219" s="20">
        <v>0</v>
      </c>
      <c r="CO219" s="20">
        <v>0</v>
      </c>
      <c r="CP219" s="20">
        <v>0</v>
      </c>
      <c r="CQ219" s="20">
        <v>0</v>
      </c>
      <c r="CR219" s="20">
        <v>0</v>
      </c>
      <c r="CS219" s="20">
        <v>0</v>
      </c>
      <c r="CT219" s="20">
        <v>0</v>
      </c>
      <c r="CU219" s="20">
        <v>0</v>
      </c>
      <c r="CV219" s="20">
        <v>0</v>
      </c>
      <c r="CW219" s="20">
        <v>0</v>
      </c>
      <c r="CX219" s="20">
        <v>0</v>
      </c>
      <c r="CY219" s="20">
        <v>0</v>
      </c>
      <c r="CZ219" s="20">
        <v>0</v>
      </c>
      <c r="DA219" s="20">
        <v>0</v>
      </c>
      <c r="DB219" s="20">
        <v>0</v>
      </c>
      <c r="DC219" s="20">
        <v>0</v>
      </c>
      <c r="DD219" s="20">
        <v>0</v>
      </c>
      <c r="DE219" s="20">
        <v>0</v>
      </c>
      <c r="DF219" s="20">
        <v>6</v>
      </c>
      <c r="DG219" s="16">
        <f t="shared" si="19"/>
        <v>626</v>
      </c>
      <c r="DH219" s="16">
        <f t="shared" si="20"/>
        <v>9761</v>
      </c>
      <c r="DI219" s="17">
        <f t="shared" si="21"/>
        <v>15.592651757188499</v>
      </c>
      <c r="DJ219" s="119" t="s">
        <v>4</v>
      </c>
      <c r="DK219" s="44" t="s">
        <v>4</v>
      </c>
    </row>
    <row r="220" spans="1:115">
      <c r="A220" s="32" t="str">
        <f t="shared" si="22"/>
        <v>AusNet--KIOSK MOUNTED ; &lt; = 22kV ;  &lt; = 60 kVA ; SINGLE PHASE</v>
      </c>
      <c r="B220" s="32" t="str">
        <f t="shared" si="23"/>
        <v>AusNet</v>
      </c>
      <c r="C220" s="426"/>
      <c r="D220" s="14"/>
      <c r="E220" s="15" t="s">
        <v>214</v>
      </c>
      <c r="F220" s="18">
        <v>62</v>
      </c>
      <c r="G220" s="18">
        <v>14</v>
      </c>
      <c r="H220" s="20">
        <v>0</v>
      </c>
      <c r="I220" s="20">
        <v>0</v>
      </c>
      <c r="J220" s="20">
        <v>0</v>
      </c>
      <c r="K220" s="20">
        <v>2</v>
      </c>
      <c r="L220" s="20">
        <v>2</v>
      </c>
      <c r="M220" s="20">
        <v>0</v>
      </c>
      <c r="N220" s="20">
        <v>0</v>
      </c>
      <c r="O220" s="20">
        <v>1</v>
      </c>
      <c r="P220" s="20">
        <v>0</v>
      </c>
      <c r="Q220" s="20">
        <v>1</v>
      </c>
      <c r="R220" s="20">
        <v>1</v>
      </c>
      <c r="S220" s="20">
        <v>2</v>
      </c>
      <c r="T220" s="20">
        <v>2</v>
      </c>
      <c r="U220" s="20">
        <v>2</v>
      </c>
      <c r="V220" s="20">
        <v>1</v>
      </c>
      <c r="W220" s="20">
        <v>5</v>
      </c>
      <c r="X220" s="20">
        <v>2</v>
      </c>
      <c r="Y220" s="20">
        <v>0</v>
      </c>
      <c r="Z220" s="20">
        <v>1</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0">
        <v>0</v>
      </c>
      <c r="AY220" s="20">
        <v>0</v>
      </c>
      <c r="AZ220" s="20">
        <v>0</v>
      </c>
      <c r="BA220" s="20">
        <v>0</v>
      </c>
      <c r="BB220" s="20">
        <v>0</v>
      </c>
      <c r="BC220" s="20">
        <v>0</v>
      </c>
      <c r="BD220" s="20">
        <v>0</v>
      </c>
      <c r="BE220" s="20">
        <v>0</v>
      </c>
      <c r="BF220" s="20">
        <v>0</v>
      </c>
      <c r="BG220" s="20">
        <v>0</v>
      </c>
      <c r="BH220" s="20">
        <v>0</v>
      </c>
      <c r="BI220" s="20">
        <v>0</v>
      </c>
      <c r="BJ220" s="20">
        <v>0</v>
      </c>
      <c r="BK220" s="20">
        <v>0</v>
      </c>
      <c r="BL220" s="20">
        <v>0</v>
      </c>
      <c r="BM220" s="20">
        <v>0</v>
      </c>
      <c r="BN220" s="20">
        <v>0</v>
      </c>
      <c r="BO220" s="20">
        <v>0</v>
      </c>
      <c r="BP220" s="20">
        <v>0</v>
      </c>
      <c r="BQ220" s="20">
        <v>0</v>
      </c>
      <c r="BR220" s="20">
        <v>0</v>
      </c>
      <c r="BS220" s="20">
        <v>0</v>
      </c>
      <c r="BT220" s="20">
        <v>0</v>
      </c>
      <c r="BU220" s="20">
        <v>0</v>
      </c>
      <c r="BV220" s="20">
        <v>0</v>
      </c>
      <c r="BW220" s="20">
        <v>0</v>
      </c>
      <c r="BX220" s="20">
        <v>0</v>
      </c>
      <c r="BY220" s="20">
        <v>0</v>
      </c>
      <c r="BZ220" s="20">
        <v>0</v>
      </c>
      <c r="CA220" s="20">
        <v>0</v>
      </c>
      <c r="CB220" s="20">
        <v>0</v>
      </c>
      <c r="CC220" s="20">
        <v>0</v>
      </c>
      <c r="CD220" s="20">
        <v>0</v>
      </c>
      <c r="CE220" s="20">
        <v>0</v>
      </c>
      <c r="CF220" s="20">
        <v>0</v>
      </c>
      <c r="CG220" s="20">
        <v>0</v>
      </c>
      <c r="CH220" s="20">
        <v>0</v>
      </c>
      <c r="CI220" s="20">
        <v>0</v>
      </c>
      <c r="CJ220" s="20">
        <v>0</v>
      </c>
      <c r="CK220" s="20">
        <v>0</v>
      </c>
      <c r="CL220" s="20">
        <v>0</v>
      </c>
      <c r="CM220" s="20">
        <v>0</v>
      </c>
      <c r="CN220" s="20">
        <v>0</v>
      </c>
      <c r="CO220" s="20">
        <v>0</v>
      </c>
      <c r="CP220" s="20">
        <v>0</v>
      </c>
      <c r="CQ220" s="20">
        <v>0</v>
      </c>
      <c r="CR220" s="20">
        <v>0</v>
      </c>
      <c r="CS220" s="20">
        <v>0</v>
      </c>
      <c r="CT220" s="20">
        <v>0</v>
      </c>
      <c r="CU220" s="20">
        <v>0</v>
      </c>
      <c r="CV220" s="20">
        <v>0</v>
      </c>
      <c r="CW220" s="20">
        <v>0</v>
      </c>
      <c r="CX220" s="20">
        <v>0</v>
      </c>
      <c r="CY220" s="20">
        <v>0</v>
      </c>
      <c r="CZ220" s="20">
        <v>0</v>
      </c>
      <c r="DA220" s="20">
        <v>0</v>
      </c>
      <c r="DB220" s="20">
        <v>0</v>
      </c>
      <c r="DC220" s="20">
        <v>0</v>
      </c>
      <c r="DD220" s="20">
        <v>0</v>
      </c>
      <c r="DE220" s="20">
        <v>0</v>
      </c>
      <c r="DF220" s="20">
        <v>0</v>
      </c>
      <c r="DG220" s="16">
        <f t="shared" si="19"/>
        <v>22</v>
      </c>
      <c r="DH220" s="16">
        <f t="shared" si="20"/>
        <v>273</v>
      </c>
      <c r="DI220" s="17">
        <f t="shared" si="21"/>
        <v>12.409090909090908</v>
      </c>
      <c r="DJ220" s="119" t="s">
        <v>4</v>
      </c>
      <c r="DK220" s="44" t="s">
        <v>4</v>
      </c>
    </row>
    <row r="221" spans="1:115">
      <c r="A221" s="32" t="str">
        <f t="shared" si="22"/>
        <v>AusNet--KIOSK MOUNTED ; &lt; = 22kV ;  &gt; 60 kVA AND &lt; = 600 kVA ; SINGLE PHASE</v>
      </c>
      <c r="B221" s="32" t="str">
        <f t="shared" si="23"/>
        <v>AusNet</v>
      </c>
      <c r="C221" s="426"/>
      <c r="D221" s="14"/>
      <c r="E221" s="15" t="s">
        <v>215</v>
      </c>
      <c r="F221" s="18">
        <v>0</v>
      </c>
      <c r="G221" s="18">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0">
        <v>0</v>
      </c>
      <c r="AY221" s="20">
        <v>0</v>
      </c>
      <c r="AZ221" s="20">
        <v>0</v>
      </c>
      <c r="BA221" s="20">
        <v>0</v>
      </c>
      <c r="BB221" s="20">
        <v>0</v>
      </c>
      <c r="BC221" s="20">
        <v>0</v>
      </c>
      <c r="BD221" s="20">
        <v>0</v>
      </c>
      <c r="BE221" s="20">
        <v>0</v>
      </c>
      <c r="BF221" s="20">
        <v>0</v>
      </c>
      <c r="BG221" s="20">
        <v>0</v>
      </c>
      <c r="BH221" s="20">
        <v>0</v>
      </c>
      <c r="BI221" s="20">
        <v>0</v>
      </c>
      <c r="BJ221" s="20">
        <v>0</v>
      </c>
      <c r="BK221" s="20">
        <v>0</v>
      </c>
      <c r="BL221" s="20">
        <v>0</v>
      </c>
      <c r="BM221" s="20">
        <v>0</v>
      </c>
      <c r="BN221" s="20">
        <v>0</v>
      </c>
      <c r="BO221" s="20">
        <v>0</v>
      </c>
      <c r="BP221" s="20">
        <v>0</v>
      </c>
      <c r="BQ221" s="20">
        <v>0</v>
      </c>
      <c r="BR221" s="20">
        <v>0</v>
      </c>
      <c r="BS221" s="20">
        <v>0</v>
      </c>
      <c r="BT221" s="20">
        <v>0</v>
      </c>
      <c r="BU221" s="20">
        <v>0</v>
      </c>
      <c r="BV221" s="20">
        <v>0</v>
      </c>
      <c r="BW221" s="20">
        <v>0</v>
      </c>
      <c r="BX221" s="20">
        <v>0</v>
      </c>
      <c r="BY221" s="20">
        <v>0</v>
      </c>
      <c r="BZ221" s="20">
        <v>0</v>
      </c>
      <c r="CA221" s="20">
        <v>0</v>
      </c>
      <c r="CB221" s="20">
        <v>0</v>
      </c>
      <c r="CC221" s="20">
        <v>0</v>
      </c>
      <c r="CD221" s="20">
        <v>0</v>
      </c>
      <c r="CE221" s="20">
        <v>0</v>
      </c>
      <c r="CF221" s="20">
        <v>0</v>
      </c>
      <c r="CG221" s="20">
        <v>0</v>
      </c>
      <c r="CH221" s="20">
        <v>0</v>
      </c>
      <c r="CI221" s="20">
        <v>0</v>
      </c>
      <c r="CJ221" s="20">
        <v>0</v>
      </c>
      <c r="CK221" s="20">
        <v>0</v>
      </c>
      <c r="CL221" s="20">
        <v>0</v>
      </c>
      <c r="CM221" s="20">
        <v>0</v>
      </c>
      <c r="CN221" s="20">
        <v>0</v>
      </c>
      <c r="CO221" s="20">
        <v>0</v>
      </c>
      <c r="CP221" s="20">
        <v>0</v>
      </c>
      <c r="CQ221" s="20">
        <v>0</v>
      </c>
      <c r="CR221" s="20">
        <v>0</v>
      </c>
      <c r="CS221" s="20">
        <v>0</v>
      </c>
      <c r="CT221" s="20">
        <v>0</v>
      </c>
      <c r="CU221" s="20">
        <v>0</v>
      </c>
      <c r="CV221" s="20">
        <v>0</v>
      </c>
      <c r="CW221" s="20">
        <v>0</v>
      </c>
      <c r="CX221" s="20">
        <v>0</v>
      </c>
      <c r="CY221" s="20">
        <v>0</v>
      </c>
      <c r="CZ221" s="20">
        <v>0</v>
      </c>
      <c r="DA221" s="20">
        <v>0</v>
      </c>
      <c r="DB221" s="20">
        <v>0</v>
      </c>
      <c r="DC221" s="20">
        <v>0</v>
      </c>
      <c r="DD221" s="20">
        <v>0</v>
      </c>
      <c r="DE221" s="20">
        <v>0</v>
      </c>
      <c r="DF221" s="20">
        <v>0</v>
      </c>
      <c r="DG221" s="16">
        <f t="shared" si="19"/>
        <v>0</v>
      </c>
      <c r="DH221" s="16">
        <f t="shared" si="20"/>
        <v>0</v>
      </c>
      <c r="DI221" s="17" t="str">
        <f t="shared" si="21"/>
        <v/>
      </c>
      <c r="DJ221" s="119" t="s">
        <v>4</v>
      </c>
      <c r="DK221" s="44" t="s">
        <v>4</v>
      </c>
    </row>
    <row r="222" spans="1:115">
      <c r="A222" s="32" t="str">
        <f t="shared" si="22"/>
        <v>AusNet--KIOSK MOUNTED ; &lt; = 22kV ;  &gt; 600 kVA ; SINGLE PHASE</v>
      </c>
      <c r="B222" s="32" t="str">
        <f t="shared" si="23"/>
        <v>AusNet</v>
      </c>
      <c r="C222" s="426"/>
      <c r="D222" s="14"/>
      <c r="E222" s="15" t="s">
        <v>216</v>
      </c>
      <c r="F222" s="18">
        <v>62</v>
      </c>
      <c r="G222" s="18">
        <v>14</v>
      </c>
      <c r="H222" s="20">
        <v>0</v>
      </c>
      <c r="I222" s="20">
        <v>0</v>
      </c>
      <c r="J222" s="20">
        <v>0</v>
      </c>
      <c r="K222" s="20">
        <v>0</v>
      </c>
      <c r="L222" s="20">
        <v>0</v>
      </c>
      <c r="M222" s="20">
        <v>0</v>
      </c>
      <c r="N222" s="20">
        <v>0</v>
      </c>
      <c r="O222" s="20">
        <v>0</v>
      </c>
      <c r="P222" s="20">
        <v>0</v>
      </c>
      <c r="Q222" s="20">
        <v>0</v>
      </c>
      <c r="R222" s="20">
        <v>0</v>
      </c>
      <c r="S222" s="20">
        <v>1</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0">
        <v>0</v>
      </c>
      <c r="AY222" s="20">
        <v>0</v>
      </c>
      <c r="AZ222" s="20">
        <v>0</v>
      </c>
      <c r="BA222" s="20">
        <v>0</v>
      </c>
      <c r="BB222" s="20">
        <v>0</v>
      </c>
      <c r="BC222" s="20">
        <v>0</v>
      </c>
      <c r="BD222" s="20">
        <v>0</v>
      </c>
      <c r="BE222" s="20">
        <v>0</v>
      </c>
      <c r="BF222" s="20">
        <v>0</v>
      </c>
      <c r="BG222" s="20">
        <v>0</v>
      </c>
      <c r="BH222" s="20">
        <v>0</v>
      </c>
      <c r="BI222" s="20">
        <v>0</v>
      </c>
      <c r="BJ222" s="20">
        <v>0</v>
      </c>
      <c r="BK222" s="20">
        <v>0</v>
      </c>
      <c r="BL222" s="20">
        <v>0</v>
      </c>
      <c r="BM222" s="20">
        <v>0</v>
      </c>
      <c r="BN222" s="20">
        <v>0</v>
      </c>
      <c r="BO222" s="20">
        <v>0</v>
      </c>
      <c r="BP222" s="20">
        <v>0</v>
      </c>
      <c r="BQ222" s="20">
        <v>0</v>
      </c>
      <c r="BR222" s="20">
        <v>0</v>
      </c>
      <c r="BS222" s="20">
        <v>0</v>
      </c>
      <c r="BT222" s="20">
        <v>0</v>
      </c>
      <c r="BU222" s="20">
        <v>0</v>
      </c>
      <c r="BV222" s="20">
        <v>0</v>
      </c>
      <c r="BW222" s="20">
        <v>0</v>
      </c>
      <c r="BX222" s="20">
        <v>0</v>
      </c>
      <c r="BY222" s="20">
        <v>0</v>
      </c>
      <c r="BZ222" s="20">
        <v>0</v>
      </c>
      <c r="CA222" s="20">
        <v>0</v>
      </c>
      <c r="CB222" s="20">
        <v>0</v>
      </c>
      <c r="CC222" s="20">
        <v>0</v>
      </c>
      <c r="CD222" s="20">
        <v>0</v>
      </c>
      <c r="CE222" s="20">
        <v>0</v>
      </c>
      <c r="CF222" s="20">
        <v>0</v>
      </c>
      <c r="CG222" s="20">
        <v>0</v>
      </c>
      <c r="CH222" s="20">
        <v>0</v>
      </c>
      <c r="CI222" s="20">
        <v>0</v>
      </c>
      <c r="CJ222" s="20">
        <v>0</v>
      </c>
      <c r="CK222" s="20">
        <v>0</v>
      </c>
      <c r="CL222" s="20">
        <v>0</v>
      </c>
      <c r="CM222" s="20">
        <v>0</v>
      </c>
      <c r="CN222" s="20">
        <v>0</v>
      </c>
      <c r="CO222" s="20">
        <v>0</v>
      </c>
      <c r="CP222" s="20">
        <v>0</v>
      </c>
      <c r="CQ222" s="20">
        <v>0</v>
      </c>
      <c r="CR222" s="20">
        <v>0</v>
      </c>
      <c r="CS222" s="20">
        <v>0</v>
      </c>
      <c r="CT222" s="20">
        <v>0</v>
      </c>
      <c r="CU222" s="20">
        <v>0</v>
      </c>
      <c r="CV222" s="20">
        <v>0</v>
      </c>
      <c r="CW222" s="20">
        <v>0</v>
      </c>
      <c r="CX222" s="20">
        <v>0</v>
      </c>
      <c r="CY222" s="20">
        <v>0</v>
      </c>
      <c r="CZ222" s="20">
        <v>0</v>
      </c>
      <c r="DA222" s="20">
        <v>0</v>
      </c>
      <c r="DB222" s="20">
        <v>0</v>
      </c>
      <c r="DC222" s="20">
        <v>0</v>
      </c>
      <c r="DD222" s="20">
        <v>0</v>
      </c>
      <c r="DE222" s="20">
        <v>0</v>
      </c>
      <c r="DF222" s="20">
        <v>0</v>
      </c>
      <c r="DG222" s="16">
        <f t="shared" si="19"/>
        <v>1</v>
      </c>
      <c r="DH222" s="16">
        <f t="shared" si="20"/>
        <v>12</v>
      </c>
      <c r="DI222" s="17">
        <f t="shared" si="21"/>
        <v>12</v>
      </c>
      <c r="DJ222" s="119" t="s">
        <v>4</v>
      </c>
      <c r="DK222" s="44" t="s">
        <v>4</v>
      </c>
    </row>
    <row r="223" spans="1:115">
      <c r="A223" s="32" t="str">
        <f t="shared" si="22"/>
        <v>AusNet--KIOSK MOUNTED ; &lt; = 22kV ;  &lt; = 60 kVA  ; MULTIPLE PHASE</v>
      </c>
      <c r="B223" s="32" t="str">
        <f t="shared" si="23"/>
        <v>AusNet</v>
      </c>
      <c r="C223" s="426"/>
      <c r="D223" s="14"/>
      <c r="E223" s="15" t="s">
        <v>217</v>
      </c>
      <c r="F223" s="18">
        <v>62</v>
      </c>
      <c r="G223" s="18">
        <v>14</v>
      </c>
      <c r="H223" s="20">
        <v>1</v>
      </c>
      <c r="I223" s="20">
        <v>0</v>
      </c>
      <c r="J223" s="20">
        <v>2</v>
      </c>
      <c r="K223" s="20">
        <v>2</v>
      </c>
      <c r="L223" s="20">
        <v>2</v>
      </c>
      <c r="M223" s="20">
        <v>0</v>
      </c>
      <c r="N223" s="20">
        <v>1</v>
      </c>
      <c r="O223" s="20">
        <v>0</v>
      </c>
      <c r="P223" s="20">
        <v>0</v>
      </c>
      <c r="Q223" s="20">
        <v>1</v>
      </c>
      <c r="R223" s="20">
        <v>0</v>
      </c>
      <c r="S223" s="20">
        <v>0</v>
      </c>
      <c r="T223" s="20">
        <v>1</v>
      </c>
      <c r="U223" s="20">
        <v>5</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0">
        <v>0</v>
      </c>
      <c r="AY223" s="20">
        <v>0</v>
      </c>
      <c r="AZ223" s="20">
        <v>0</v>
      </c>
      <c r="BA223" s="20">
        <v>0</v>
      </c>
      <c r="BB223" s="20">
        <v>0</v>
      </c>
      <c r="BC223" s="20">
        <v>0</v>
      </c>
      <c r="BD223" s="20">
        <v>0</v>
      </c>
      <c r="BE223" s="20">
        <v>0</v>
      </c>
      <c r="BF223" s="20">
        <v>0</v>
      </c>
      <c r="BG223" s="20">
        <v>0</v>
      </c>
      <c r="BH223" s="20">
        <v>0</v>
      </c>
      <c r="BI223" s="20">
        <v>0</v>
      </c>
      <c r="BJ223" s="20">
        <v>0</v>
      </c>
      <c r="BK223" s="20">
        <v>0</v>
      </c>
      <c r="BL223" s="20">
        <v>0</v>
      </c>
      <c r="BM223" s="20">
        <v>0</v>
      </c>
      <c r="BN223" s="20">
        <v>0</v>
      </c>
      <c r="BO223" s="20">
        <v>0</v>
      </c>
      <c r="BP223" s="20">
        <v>0</v>
      </c>
      <c r="BQ223" s="20">
        <v>0</v>
      </c>
      <c r="BR223" s="20">
        <v>0</v>
      </c>
      <c r="BS223" s="20">
        <v>0</v>
      </c>
      <c r="BT223" s="20">
        <v>0</v>
      </c>
      <c r="BU223" s="20">
        <v>0</v>
      </c>
      <c r="BV223" s="20">
        <v>0</v>
      </c>
      <c r="BW223" s="20">
        <v>0</v>
      </c>
      <c r="BX223" s="20">
        <v>0</v>
      </c>
      <c r="BY223" s="20">
        <v>0</v>
      </c>
      <c r="BZ223" s="20">
        <v>0</v>
      </c>
      <c r="CA223" s="20">
        <v>0</v>
      </c>
      <c r="CB223" s="20">
        <v>0</v>
      </c>
      <c r="CC223" s="20">
        <v>0</v>
      </c>
      <c r="CD223" s="20">
        <v>0</v>
      </c>
      <c r="CE223" s="20">
        <v>0</v>
      </c>
      <c r="CF223" s="20">
        <v>0</v>
      </c>
      <c r="CG223" s="20">
        <v>0</v>
      </c>
      <c r="CH223" s="20">
        <v>0</v>
      </c>
      <c r="CI223" s="20">
        <v>0</v>
      </c>
      <c r="CJ223" s="20">
        <v>0</v>
      </c>
      <c r="CK223" s="20">
        <v>0</v>
      </c>
      <c r="CL223" s="20">
        <v>0</v>
      </c>
      <c r="CM223" s="20">
        <v>0</v>
      </c>
      <c r="CN223" s="20">
        <v>0</v>
      </c>
      <c r="CO223" s="20">
        <v>0</v>
      </c>
      <c r="CP223" s="20">
        <v>0</v>
      </c>
      <c r="CQ223" s="20">
        <v>0</v>
      </c>
      <c r="CR223" s="20">
        <v>0</v>
      </c>
      <c r="CS223" s="20">
        <v>0</v>
      </c>
      <c r="CT223" s="20">
        <v>0</v>
      </c>
      <c r="CU223" s="20">
        <v>0</v>
      </c>
      <c r="CV223" s="20">
        <v>0</v>
      </c>
      <c r="CW223" s="20">
        <v>0</v>
      </c>
      <c r="CX223" s="20">
        <v>0</v>
      </c>
      <c r="CY223" s="20">
        <v>0</v>
      </c>
      <c r="CZ223" s="20">
        <v>0</v>
      </c>
      <c r="DA223" s="20">
        <v>0</v>
      </c>
      <c r="DB223" s="20">
        <v>0</v>
      </c>
      <c r="DC223" s="20">
        <v>0</v>
      </c>
      <c r="DD223" s="20">
        <v>0</v>
      </c>
      <c r="DE223" s="20">
        <v>0</v>
      </c>
      <c r="DF223" s="20">
        <v>0</v>
      </c>
      <c r="DG223" s="16">
        <f t="shared" si="19"/>
        <v>15</v>
      </c>
      <c r="DH223" s="16">
        <f t="shared" si="20"/>
        <v>125</v>
      </c>
      <c r="DI223" s="17">
        <f t="shared" si="21"/>
        <v>8.3333333333333339</v>
      </c>
      <c r="DJ223" s="119" t="s">
        <v>4</v>
      </c>
      <c r="DK223" s="44" t="s">
        <v>4</v>
      </c>
    </row>
    <row r="224" spans="1:115">
      <c r="A224" s="32" t="str">
        <f t="shared" si="22"/>
        <v>AusNet--KIOSK MOUNTED ; &lt; = 22kV ;  &gt; 60 kVA AND &lt; = 600 kVA  ; MULTIPLE PHASE</v>
      </c>
      <c r="B224" s="32" t="str">
        <f t="shared" si="23"/>
        <v>AusNet</v>
      </c>
      <c r="C224" s="426"/>
      <c r="D224" s="14"/>
      <c r="E224" s="15" t="s">
        <v>218</v>
      </c>
      <c r="F224" s="18">
        <v>62</v>
      </c>
      <c r="G224" s="18">
        <v>14</v>
      </c>
      <c r="H224" s="20">
        <v>33</v>
      </c>
      <c r="I224" s="20">
        <v>62</v>
      </c>
      <c r="J224" s="20">
        <v>182</v>
      </c>
      <c r="K224" s="20">
        <v>184</v>
      </c>
      <c r="L224" s="20">
        <v>224</v>
      </c>
      <c r="M224" s="20">
        <v>171</v>
      </c>
      <c r="N224" s="20">
        <v>85</v>
      </c>
      <c r="O224" s="20">
        <v>41</v>
      </c>
      <c r="P224" s="20">
        <v>61</v>
      </c>
      <c r="Q224" s="20">
        <v>61</v>
      </c>
      <c r="R224" s="20">
        <v>67</v>
      </c>
      <c r="S224" s="20">
        <v>42</v>
      </c>
      <c r="T224" s="20">
        <v>67</v>
      </c>
      <c r="U224" s="20">
        <v>76</v>
      </c>
      <c r="V224" s="20">
        <v>35</v>
      </c>
      <c r="W224" s="20">
        <v>21</v>
      </c>
      <c r="X224" s="20">
        <v>22</v>
      </c>
      <c r="Y224" s="20">
        <v>15</v>
      </c>
      <c r="Z224" s="20">
        <v>22</v>
      </c>
      <c r="AA224" s="20">
        <v>25</v>
      </c>
      <c r="AB224" s="20">
        <v>15</v>
      </c>
      <c r="AC224" s="20">
        <v>27</v>
      </c>
      <c r="AD224" s="20">
        <v>36</v>
      </c>
      <c r="AE224" s="20">
        <v>47</v>
      </c>
      <c r="AF224" s="20">
        <v>49</v>
      </c>
      <c r="AG224" s="20">
        <v>56</v>
      </c>
      <c r="AH224" s="20">
        <v>29</v>
      </c>
      <c r="AI224" s="20">
        <v>35</v>
      </c>
      <c r="AJ224" s="20">
        <v>32</v>
      </c>
      <c r="AK224" s="20">
        <v>21</v>
      </c>
      <c r="AL224" s="20">
        <v>8</v>
      </c>
      <c r="AM224" s="20">
        <v>10</v>
      </c>
      <c r="AN224" s="20">
        <v>13</v>
      </c>
      <c r="AO224" s="20">
        <v>13</v>
      </c>
      <c r="AP224" s="20">
        <v>19</v>
      </c>
      <c r="AQ224" s="20">
        <v>18</v>
      </c>
      <c r="AR224" s="20">
        <v>24</v>
      </c>
      <c r="AS224" s="20">
        <v>12</v>
      </c>
      <c r="AT224" s="20">
        <v>0</v>
      </c>
      <c r="AU224" s="20">
        <v>0</v>
      </c>
      <c r="AV224" s="20">
        <v>0</v>
      </c>
      <c r="AW224" s="20">
        <v>0</v>
      </c>
      <c r="AX224" s="20">
        <v>0</v>
      </c>
      <c r="AY224" s="20">
        <v>1</v>
      </c>
      <c r="AZ224" s="20">
        <v>0</v>
      </c>
      <c r="BA224" s="20">
        <v>0</v>
      </c>
      <c r="BB224" s="20">
        <v>0</v>
      </c>
      <c r="BC224" s="20">
        <v>0</v>
      </c>
      <c r="BD224" s="20">
        <v>0</v>
      </c>
      <c r="BE224" s="20">
        <v>0</v>
      </c>
      <c r="BF224" s="20">
        <v>0</v>
      </c>
      <c r="BG224" s="20">
        <v>0</v>
      </c>
      <c r="BH224" s="20">
        <v>0</v>
      </c>
      <c r="BI224" s="20">
        <v>0</v>
      </c>
      <c r="BJ224" s="20">
        <v>0</v>
      </c>
      <c r="BK224" s="20">
        <v>0</v>
      </c>
      <c r="BL224" s="20">
        <v>0</v>
      </c>
      <c r="BM224" s="20">
        <v>0</v>
      </c>
      <c r="BN224" s="20">
        <v>0</v>
      </c>
      <c r="BO224" s="20">
        <v>0</v>
      </c>
      <c r="BP224" s="20">
        <v>0</v>
      </c>
      <c r="BQ224" s="20">
        <v>0</v>
      </c>
      <c r="BR224" s="20">
        <v>0</v>
      </c>
      <c r="BS224" s="20">
        <v>1</v>
      </c>
      <c r="BT224" s="20">
        <v>0</v>
      </c>
      <c r="BU224" s="20">
        <v>0</v>
      </c>
      <c r="BV224" s="20">
        <v>0</v>
      </c>
      <c r="BW224" s="20">
        <v>0</v>
      </c>
      <c r="BX224" s="20">
        <v>0</v>
      </c>
      <c r="BY224" s="20">
        <v>0</v>
      </c>
      <c r="BZ224" s="20">
        <v>0</v>
      </c>
      <c r="CA224" s="20">
        <v>0</v>
      </c>
      <c r="CB224" s="20">
        <v>0</v>
      </c>
      <c r="CC224" s="20">
        <v>0</v>
      </c>
      <c r="CD224" s="20">
        <v>0</v>
      </c>
      <c r="CE224" s="20">
        <v>0</v>
      </c>
      <c r="CF224" s="20">
        <v>0</v>
      </c>
      <c r="CG224" s="20">
        <v>0</v>
      </c>
      <c r="CH224" s="20">
        <v>0</v>
      </c>
      <c r="CI224" s="20">
        <v>0</v>
      </c>
      <c r="CJ224" s="20">
        <v>0</v>
      </c>
      <c r="CK224" s="20">
        <v>0</v>
      </c>
      <c r="CL224" s="20">
        <v>0</v>
      </c>
      <c r="CM224" s="20">
        <v>0</v>
      </c>
      <c r="CN224" s="20">
        <v>0</v>
      </c>
      <c r="CO224" s="20">
        <v>0</v>
      </c>
      <c r="CP224" s="20">
        <v>0</v>
      </c>
      <c r="CQ224" s="20">
        <v>0</v>
      </c>
      <c r="CR224" s="20">
        <v>0</v>
      </c>
      <c r="CS224" s="20">
        <v>0</v>
      </c>
      <c r="CT224" s="20">
        <v>0</v>
      </c>
      <c r="CU224" s="20">
        <v>0</v>
      </c>
      <c r="CV224" s="20">
        <v>0</v>
      </c>
      <c r="CW224" s="20">
        <v>0</v>
      </c>
      <c r="CX224" s="20">
        <v>0</v>
      </c>
      <c r="CY224" s="20">
        <v>0</v>
      </c>
      <c r="CZ224" s="20">
        <v>0</v>
      </c>
      <c r="DA224" s="20">
        <v>0</v>
      </c>
      <c r="DB224" s="20">
        <v>0</v>
      </c>
      <c r="DC224" s="20">
        <v>0</v>
      </c>
      <c r="DD224" s="20">
        <v>0</v>
      </c>
      <c r="DE224" s="20">
        <v>0</v>
      </c>
      <c r="DF224" s="20">
        <v>14</v>
      </c>
      <c r="DG224" s="16">
        <f t="shared" si="19"/>
        <v>1976</v>
      </c>
      <c r="DH224" s="16">
        <f t="shared" si="20"/>
        <v>25779</v>
      </c>
      <c r="DI224" s="17">
        <f t="shared" si="21"/>
        <v>13.046052631578947</v>
      </c>
      <c r="DJ224" s="119" t="s">
        <v>4</v>
      </c>
      <c r="DK224" s="44" t="s">
        <v>4</v>
      </c>
    </row>
    <row r="225" spans="1:115">
      <c r="A225" s="32" t="str">
        <f t="shared" si="22"/>
        <v>AusNet--KIOSK MOUNTED ; &lt; = 22kV ;  &gt; 600 kVA  ; MULTIPLE PHASE</v>
      </c>
      <c r="B225" s="32" t="str">
        <f t="shared" si="23"/>
        <v>AusNet</v>
      </c>
      <c r="C225" s="426"/>
      <c r="D225" s="14"/>
      <c r="E225" s="15" t="s">
        <v>219</v>
      </c>
      <c r="F225" s="18">
        <v>62</v>
      </c>
      <c r="G225" s="18">
        <v>14</v>
      </c>
      <c r="H225" s="20">
        <v>11</v>
      </c>
      <c r="I225" s="20">
        <v>10</v>
      </c>
      <c r="J225" s="20">
        <v>7</v>
      </c>
      <c r="K225" s="20">
        <v>4</v>
      </c>
      <c r="L225" s="20">
        <v>9</v>
      </c>
      <c r="M225" s="20">
        <v>6</v>
      </c>
      <c r="N225" s="20">
        <v>5</v>
      </c>
      <c r="O225" s="20">
        <v>2</v>
      </c>
      <c r="P225" s="20">
        <v>2</v>
      </c>
      <c r="Q225" s="20">
        <v>7</v>
      </c>
      <c r="R225" s="20">
        <v>3</v>
      </c>
      <c r="S225" s="20">
        <v>3</v>
      </c>
      <c r="T225" s="20">
        <v>6</v>
      </c>
      <c r="U225" s="20">
        <v>4</v>
      </c>
      <c r="V225" s="20">
        <v>2</v>
      </c>
      <c r="W225" s="20">
        <v>2</v>
      </c>
      <c r="X225" s="20">
        <v>1</v>
      </c>
      <c r="Y225" s="20">
        <v>1</v>
      </c>
      <c r="Z225" s="20">
        <v>1</v>
      </c>
      <c r="AA225" s="20">
        <v>3</v>
      </c>
      <c r="AB225" s="20">
        <v>5</v>
      </c>
      <c r="AC225" s="20">
        <v>0</v>
      </c>
      <c r="AD225" s="20">
        <v>7</v>
      </c>
      <c r="AE225" s="20">
        <v>4</v>
      </c>
      <c r="AF225" s="20">
        <v>2</v>
      </c>
      <c r="AG225" s="20">
        <v>1</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1</v>
      </c>
      <c r="AW225" s="20">
        <v>0</v>
      </c>
      <c r="AX225" s="20">
        <v>0</v>
      </c>
      <c r="AY225" s="20">
        <v>0</v>
      </c>
      <c r="AZ225" s="20">
        <v>0</v>
      </c>
      <c r="BA225" s="20">
        <v>0</v>
      </c>
      <c r="BB225" s="20">
        <v>0</v>
      </c>
      <c r="BC225" s="20">
        <v>0</v>
      </c>
      <c r="BD225" s="20">
        <v>0</v>
      </c>
      <c r="BE225" s="20">
        <v>0</v>
      </c>
      <c r="BF225" s="20">
        <v>0</v>
      </c>
      <c r="BG225" s="20">
        <v>0</v>
      </c>
      <c r="BH225" s="20">
        <v>0</v>
      </c>
      <c r="BI225" s="20">
        <v>0</v>
      </c>
      <c r="BJ225" s="20">
        <v>0</v>
      </c>
      <c r="BK225" s="20">
        <v>0</v>
      </c>
      <c r="BL225" s="20">
        <v>0</v>
      </c>
      <c r="BM225" s="20">
        <v>0</v>
      </c>
      <c r="BN225" s="20">
        <v>0</v>
      </c>
      <c r="BO225" s="20">
        <v>0</v>
      </c>
      <c r="BP225" s="20">
        <v>0</v>
      </c>
      <c r="BQ225" s="20">
        <v>0</v>
      </c>
      <c r="BR225" s="20">
        <v>0</v>
      </c>
      <c r="BS225" s="20">
        <v>0</v>
      </c>
      <c r="BT225" s="20">
        <v>0</v>
      </c>
      <c r="BU225" s="20">
        <v>0</v>
      </c>
      <c r="BV225" s="20">
        <v>0</v>
      </c>
      <c r="BW225" s="20">
        <v>0</v>
      </c>
      <c r="BX225" s="20">
        <v>0</v>
      </c>
      <c r="BY225" s="20">
        <v>0</v>
      </c>
      <c r="BZ225" s="20">
        <v>0</v>
      </c>
      <c r="CA225" s="20">
        <v>0</v>
      </c>
      <c r="CB225" s="20">
        <v>0</v>
      </c>
      <c r="CC225" s="20">
        <v>0</v>
      </c>
      <c r="CD225" s="20">
        <v>0</v>
      </c>
      <c r="CE225" s="20">
        <v>0</v>
      </c>
      <c r="CF225" s="20">
        <v>0</v>
      </c>
      <c r="CG225" s="20">
        <v>0</v>
      </c>
      <c r="CH225" s="20">
        <v>1</v>
      </c>
      <c r="CI225" s="20">
        <v>0</v>
      </c>
      <c r="CJ225" s="20">
        <v>0</v>
      </c>
      <c r="CK225" s="20">
        <v>0</v>
      </c>
      <c r="CL225" s="20">
        <v>0</v>
      </c>
      <c r="CM225" s="20">
        <v>0</v>
      </c>
      <c r="CN225" s="20">
        <v>0</v>
      </c>
      <c r="CO225" s="20">
        <v>0</v>
      </c>
      <c r="CP225" s="20">
        <v>0</v>
      </c>
      <c r="CQ225" s="20">
        <v>0</v>
      </c>
      <c r="CR225" s="20">
        <v>0</v>
      </c>
      <c r="CS225" s="20">
        <v>0</v>
      </c>
      <c r="CT225" s="20">
        <v>0</v>
      </c>
      <c r="CU225" s="20">
        <v>0</v>
      </c>
      <c r="CV225" s="20">
        <v>0</v>
      </c>
      <c r="CW225" s="20">
        <v>0</v>
      </c>
      <c r="CX225" s="20">
        <v>0</v>
      </c>
      <c r="CY225" s="20">
        <v>0</v>
      </c>
      <c r="CZ225" s="20">
        <v>0</v>
      </c>
      <c r="DA225" s="20">
        <v>0</v>
      </c>
      <c r="DB225" s="20">
        <v>0</v>
      </c>
      <c r="DC225" s="20">
        <v>0</v>
      </c>
      <c r="DD225" s="20">
        <v>0</v>
      </c>
      <c r="DE225" s="20">
        <v>0</v>
      </c>
      <c r="DF225" s="20">
        <v>2</v>
      </c>
      <c r="DG225" s="16">
        <f t="shared" si="19"/>
        <v>112</v>
      </c>
      <c r="DH225" s="16">
        <f t="shared" si="20"/>
        <v>1431</v>
      </c>
      <c r="DI225" s="17">
        <f t="shared" si="21"/>
        <v>12.776785714285714</v>
      </c>
      <c r="DJ225" s="119" t="s">
        <v>4</v>
      </c>
      <c r="DK225" s="44" t="s">
        <v>4</v>
      </c>
    </row>
    <row r="226" spans="1:115">
      <c r="A226" s="32" t="str">
        <f t="shared" si="22"/>
        <v>AusNet--GROUND OUTDOOR / INDOOR CHAMBER MOUNTED ; ˂ 22 kV ;  &lt; = 60 kVA ; SINGLE PHASE</v>
      </c>
      <c r="B226" s="32" t="str">
        <f t="shared" si="23"/>
        <v>AusNet</v>
      </c>
      <c r="C226" s="426"/>
      <c r="D226" s="14"/>
      <c r="E226" s="15" t="s">
        <v>225</v>
      </c>
      <c r="F226" s="18">
        <v>0</v>
      </c>
      <c r="G226" s="18">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0">
        <v>0</v>
      </c>
      <c r="AY226" s="20">
        <v>0</v>
      </c>
      <c r="AZ226" s="20">
        <v>0</v>
      </c>
      <c r="BA226" s="20">
        <v>0</v>
      </c>
      <c r="BB226" s="20">
        <v>0</v>
      </c>
      <c r="BC226" s="20">
        <v>0</v>
      </c>
      <c r="BD226" s="20">
        <v>0</v>
      </c>
      <c r="BE226" s="20">
        <v>0</v>
      </c>
      <c r="BF226" s="20">
        <v>0</v>
      </c>
      <c r="BG226" s="20">
        <v>0</v>
      </c>
      <c r="BH226" s="20">
        <v>0</v>
      </c>
      <c r="BI226" s="20">
        <v>0</v>
      </c>
      <c r="BJ226" s="20">
        <v>0</v>
      </c>
      <c r="BK226" s="20">
        <v>0</v>
      </c>
      <c r="BL226" s="20">
        <v>0</v>
      </c>
      <c r="BM226" s="20">
        <v>0</v>
      </c>
      <c r="BN226" s="20">
        <v>0</v>
      </c>
      <c r="BO226" s="20">
        <v>0</v>
      </c>
      <c r="BP226" s="20">
        <v>0</v>
      </c>
      <c r="BQ226" s="20">
        <v>0</v>
      </c>
      <c r="BR226" s="20">
        <v>0</v>
      </c>
      <c r="BS226" s="20">
        <v>0</v>
      </c>
      <c r="BT226" s="20">
        <v>0</v>
      </c>
      <c r="BU226" s="20">
        <v>0</v>
      </c>
      <c r="BV226" s="20">
        <v>0</v>
      </c>
      <c r="BW226" s="20">
        <v>0</v>
      </c>
      <c r="BX226" s="20">
        <v>0</v>
      </c>
      <c r="BY226" s="20">
        <v>0</v>
      </c>
      <c r="BZ226" s="20">
        <v>0</v>
      </c>
      <c r="CA226" s="20">
        <v>0</v>
      </c>
      <c r="CB226" s="20">
        <v>0</v>
      </c>
      <c r="CC226" s="20">
        <v>0</v>
      </c>
      <c r="CD226" s="20">
        <v>0</v>
      </c>
      <c r="CE226" s="20">
        <v>0</v>
      </c>
      <c r="CF226" s="20">
        <v>0</v>
      </c>
      <c r="CG226" s="20">
        <v>0</v>
      </c>
      <c r="CH226" s="20">
        <v>0</v>
      </c>
      <c r="CI226" s="20">
        <v>0</v>
      </c>
      <c r="CJ226" s="20">
        <v>0</v>
      </c>
      <c r="CK226" s="20">
        <v>0</v>
      </c>
      <c r="CL226" s="20">
        <v>0</v>
      </c>
      <c r="CM226" s="20">
        <v>0</v>
      </c>
      <c r="CN226" s="20">
        <v>0</v>
      </c>
      <c r="CO226" s="20">
        <v>0</v>
      </c>
      <c r="CP226" s="20">
        <v>0</v>
      </c>
      <c r="CQ226" s="20">
        <v>0</v>
      </c>
      <c r="CR226" s="20">
        <v>0</v>
      </c>
      <c r="CS226" s="20">
        <v>0</v>
      </c>
      <c r="CT226" s="20">
        <v>0</v>
      </c>
      <c r="CU226" s="20">
        <v>0</v>
      </c>
      <c r="CV226" s="20">
        <v>0</v>
      </c>
      <c r="CW226" s="20">
        <v>0</v>
      </c>
      <c r="CX226" s="20">
        <v>0</v>
      </c>
      <c r="CY226" s="20">
        <v>0</v>
      </c>
      <c r="CZ226" s="20">
        <v>0</v>
      </c>
      <c r="DA226" s="20">
        <v>0</v>
      </c>
      <c r="DB226" s="20">
        <v>0</v>
      </c>
      <c r="DC226" s="20">
        <v>0</v>
      </c>
      <c r="DD226" s="20">
        <v>0</v>
      </c>
      <c r="DE226" s="20">
        <v>0</v>
      </c>
      <c r="DF226" s="20">
        <v>0</v>
      </c>
      <c r="DG226" s="16">
        <f t="shared" si="19"/>
        <v>0</v>
      </c>
      <c r="DH226" s="16">
        <f t="shared" si="20"/>
        <v>0</v>
      </c>
      <c r="DI226" s="17" t="str">
        <f t="shared" si="21"/>
        <v/>
      </c>
      <c r="DJ226" s="119" t="s">
        <v>4</v>
      </c>
      <c r="DK226" s="44" t="s">
        <v>4</v>
      </c>
    </row>
    <row r="227" spans="1:115">
      <c r="A227" s="32" t="str">
        <f t="shared" si="22"/>
        <v>AusNet--GROUND OUTDOOR / INDOOR CHAMBER MOUNTED ; ˂  22 kV ;  &gt; 60 kVA  AND &lt; = 600 kVA ; SINGLE PHASE</v>
      </c>
      <c r="B227" s="32" t="str">
        <f t="shared" si="23"/>
        <v>AusNet</v>
      </c>
      <c r="C227" s="426"/>
      <c r="D227" s="14"/>
      <c r="E227" s="15" t="s">
        <v>226</v>
      </c>
      <c r="F227" s="18">
        <v>0</v>
      </c>
      <c r="G227" s="18">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0">
        <v>0</v>
      </c>
      <c r="AY227" s="20">
        <v>0</v>
      </c>
      <c r="AZ227" s="20">
        <v>0</v>
      </c>
      <c r="BA227" s="20">
        <v>0</v>
      </c>
      <c r="BB227" s="20">
        <v>0</v>
      </c>
      <c r="BC227" s="20">
        <v>0</v>
      </c>
      <c r="BD227" s="20">
        <v>0</v>
      </c>
      <c r="BE227" s="20">
        <v>0</v>
      </c>
      <c r="BF227" s="20">
        <v>0</v>
      </c>
      <c r="BG227" s="20">
        <v>0</v>
      </c>
      <c r="BH227" s="20">
        <v>0</v>
      </c>
      <c r="BI227" s="20">
        <v>0</v>
      </c>
      <c r="BJ227" s="20">
        <v>0</v>
      </c>
      <c r="BK227" s="20">
        <v>0</v>
      </c>
      <c r="BL227" s="20">
        <v>0</v>
      </c>
      <c r="BM227" s="20">
        <v>0</v>
      </c>
      <c r="BN227" s="20">
        <v>0</v>
      </c>
      <c r="BO227" s="20">
        <v>0</v>
      </c>
      <c r="BP227" s="20">
        <v>0</v>
      </c>
      <c r="BQ227" s="20">
        <v>0</v>
      </c>
      <c r="BR227" s="20">
        <v>0</v>
      </c>
      <c r="BS227" s="20">
        <v>0</v>
      </c>
      <c r="BT227" s="20">
        <v>0</v>
      </c>
      <c r="BU227" s="20">
        <v>0</v>
      </c>
      <c r="BV227" s="20">
        <v>0</v>
      </c>
      <c r="BW227" s="20">
        <v>0</v>
      </c>
      <c r="BX227" s="20">
        <v>0</v>
      </c>
      <c r="BY227" s="20">
        <v>0</v>
      </c>
      <c r="BZ227" s="20">
        <v>0</v>
      </c>
      <c r="CA227" s="20">
        <v>0</v>
      </c>
      <c r="CB227" s="20">
        <v>0</v>
      </c>
      <c r="CC227" s="20">
        <v>0</v>
      </c>
      <c r="CD227" s="20">
        <v>0</v>
      </c>
      <c r="CE227" s="20">
        <v>0</v>
      </c>
      <c r="CF227" s="20">
        <v>0</v>
      </c>
      <c r="CG227" s="20">
        <v>0</v>
      </c>
      <c r="CH227" s="20">
        <v>0</v>
      </c>
      <c r="CI227" s="20">
        <v>0</v>
      </c>
      <c r="CJ227" s="20">
        <v>0</v>
      </c>
      <c r="CK227" s="20">
        <v>0</v>
      </c>
      <c r="CL227" s="20">
        <v>0</v>
      </c>
      <c r="CM227" s="20">
        <v>0</v>
      </c>
      <c r="CN227" s="20">
        <v>0</v>
      </c>
      <c r="CO227" s="20">
        <v>0</v>
      </c>
      <c r="CP227" s="20">
        <v>0</v>
      </c>
      <c r="CQ227" s="20">
        <v>0</v>
      </c>
      <c r="CR227" s="20">
        <v>0</v>
      </c>
      <c r="CS227" s="20">
        <v>0</v>
      </c>
      <c r="CT227" s="20">
        <v>0</v>
      </c>
      <c r="CU227" s="20">
        <v>0</v>
      </c>
      <c r="CV227" s="20">
        <v>0</v>
      </c>
      <c r="CW227" s="20">
        <v>0</v>
      </c>
      <c r="CX227" s="20">
        <v>0</v>
      </c>
      <c r="CY227" s="20">
        <v>0</v>
      </c>
      <c r="CZ227" s="20">
        <v>0</v>
      </c>
      <c r="DA227" s="20">
        <v>0</v>
      </c>
      <c r="DB227" s="20">
        <v>0</v>
      </c>
      <c r="DC227" s="20">
        <v>0</v>
      </c>
      <c r="DD227" s="20">
        <v>0</v>
      </c>
      <c r="DE227" s="20">
        <v>0</v>
      </c>
      <c r="DF227" s="20">
        <v>0</v>
      </c>
      <c r="DG227" s="16">
        <f t="shared" si="19"/>
        <v>0</v>
      </c>
      <c r="DH227" s="16">
        <f t="shared" si="20"/>
        <v>0</v>
      </c>
      <c r="DI227" s="17" t="str">
        <f t="shared" si="21"/>
        <v/>
      </c>
      <c r="DJ227" s="119" t="s">
        <v>4</v>
      </c>
      <c r="DK227" s="44" t="s">
        <v>4</v>
      </c>
    </row>
    <row r="228" spans="1:115">
      <c r="A228" s="32" t="str">
        <f t="shared" si="22"/>
        <v>AusNet--GROUND OUTDOOR / INDOOR CHAMBER MOUNTED ; ˂  22 kV ;  &gt;  600 kVA ; SINGLE PHASE</v>
      </c>
      <c r="B228" s="32" t="str">
        <f t="shared" si="23"/>
        <v>AusNet</v>
      </c>
      <c r="C228" s="426"/>
      <c r="D228" s="14"/>
      <c r="E228" s="15" t="s">
        <v>227</v>
      </c>
      <c r="F228" s="18">
        <v>0</v>
      </c>
      <c r="G228" s="18">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0">
        <v>0</v>
      </c>
      <c r="AY228" s="20">
        <v>0</v>
      </c>
      <c r="AZ228" s="20">
        <v>0</v>
      </c>
      <c r="BA228" s="20">
        <v>0</v>
      </c>
      <c r="BB228" s="20">
        <v>0</v>
      </c>
      <c r="BC228" s="20">
        <v>0</v>
      </c>
      <c r="BD228" s="20">
        <v>0</v>
      </c>
      <c r="BE228" s="20">
        <v>0</v>
      </c>
      <c r="BF228" s="20">
        <v>0</v>
      </c>
      <c r="BG228" s="20">
        <v>0</v>
      </c>
      <c r="BH228" s="20">
        <v>0</v>
      </c>
      <c r="BI228" s="20">
        <v>0</v>
      </c>
      <c r="BJ228" s="20">
        <v>0</v>
      </c>
      <c r="BK228" s="20">
        <v>0</v>
      </c>
      <c r="BL228" s="20">
        <v>0</v>
      </c>
      <c r="BM228" s="20">
        <v>0</v>
      </c>
      <c r="BN228" s="20">
        <v>0</v>
      </c>
      <c r="BO228" s="20">
        <v>0</v>
      </c>
      <c r="BP228" s="20">
        <v>0</v>
      </c>
      <c r="BQ228" s="20">
        <v>0</v>
      </c>
      <c r="BR228" s="20">
        <v>0</v>
      </c>
      <c r="BS228" s="20">
        <v>0</v>
      </c>
      <c r="BT228" s="20">
        <v>0</v>
      </c>
      <c r="BU228" s="20">
        <v>0</v>
      </c>
      <c r="BV228" s="20">
        <v>0</v>
      </c>
      <c r="BW228" s="20">
        <v>0</v>
      </c>
      <c r="BX228" s="20">
        <v>0</v>
      </c>
      <c r="BY228" s="20">
        <v>0</v>
      </c>
      <c r="BZ228" s="20">
        <v>0</v>
      </c>
      <c r="CA228" s="20">
        <v>0</v>
      </c>
      <c r="CB228" s="20">
        <v>0</v>
      </c>
      <c r="CC228" s="20">
        <v>0</v>
      </c>
      <c r="CD228" s="20">
        <v>0</v>
      </c>
      <c r="CE228" s="20">
        <v>0</v>
      </c>
      <c r="CF228" s="20">
        <v>0</v>
      </c>
      <c r="CG228" s="20">
        <v>0</v>
      </c>
      <c r="CH228" s="20">
        <v>0</v>
      </c>
      <c r="CI228" s="20">
        <v>0</v>
      </c>
      <c r="CJ228" s="20">
        <v>0</v>
      </c>
      <c r="CK228" s="20">
        <v>0</v>
      </c>
      <c r="CL228" s="20">
        <v>0</v>
      </c>
      <c r="CM228" s="20">
        <v>0</v>
      </c>
      <c r="CN228" s="20">
        <v>0</v>
      </c>
      <c r="CO228" s="20">
        <v>0</v>
      </c>
      <c r="CP228" s="20">
        <v>0</v>
      </c>
      <c r="CQ228" s="20">
        <v>0</v>
      </c>
      <c r="CR228" s="20">
        <v>0</v>
      </c>
      <c r="CS228" s="20">
        <v>0</v>
      </c>
      <c r="CT228" s="20">
        <v>0</v>
      </c>
      <c r="CU228" s="20">
        <v>0</v>
      </c>
      <c r="CV228" s="20">
        <v>0</v>
      </c>
      <c r="CW228" s="20">
        <v>0</v>
      </c>
      <c r="CX228" s="20">
        <v>0</v>
      </c>
      <c r="CY228" s="20">
        <v>0</v>
      </c>
      <c r="CZ228" s="20">
        <v>0</v>
      </c>
      <c r="DA228" s="20">
        <v>0</v>
      </c>
      <c r="DB228" s="20">
        <v>0</v>
      </c>
      <c r="DC228" s="20">
        <v>0</v>
      </c>
      <c r="DD228" s="20">
        <v>0</v>
      </c>
      <c r="DE228" s="20">
        <v>0</v>
      </c>
      <c r="DF228" s="20">
        <v>0</v>
      </c>
      <c r="DG228" s="16">
        <f t="shared" si="19"/>
        <v>0</v>
      </c>
      <c r="DH228" s="16">
        <f t="shared" si="20"/>
        <v>0</v>
      </c>
      <c r="DI228" s="17" t="str">
        <f t="shared" si="21"/>
        <v/>
      </c>
      <c r="DJ228" s="119" t="s">
        <v>4</v>
      </c>
      <c r="DK228" s="44" t="s">
        <v>4</v>
      </c>
    </row>
    <row r="229" spans="1:115">
      <c r="A229" s="32" t="str">
        <f t="shared" si="22"/>
        <v>AusNet--GROUND OUTDOOR / INDOOR CHAMBER MOUNTED ; ˂  22 kV ;  &lt; = 60 kVA ; MULTIPLE PHASE</v>
      </c>
      <c r="B229" s="32" t="str">
        <f t="shared" si="23"/>
        <v>AusNet</v>
      </c>
      <c r="C229" s="426"/>
      <c r="D229" s="14"/>
      <c r="E229" s="15" t="s">
        <v>228</v>
      </c>
      <c r="F229" s="18">
        <v>62</v>
      </c>
      <c r="G229" s="18">
        <v>14</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0">
        <v>0</v>
      </c>
      <c r="AY229" s="20">
        <v>0</v>
      </c>
      <c r="AZ229" s="20">
        <v>0</v>
      </c>
      <c r="BA229" s="20">
        <v>0</v>
      </c>
      <c r="BB229" s="20">
        <v>0</v>
      </c>
      <c r="BC229" s="20">
        <v>0</v>
      </c>
      <c r="BD229" s="20">
        <v>0</v>
      </c>
      <c r="BE229" s="20">
        <v>0</v>
      </c>
      <c r="BF229" s="20">
        <v>0</v>
      </c>
      <c r="BG229" s="20">
        <v>2</v>
      </c>
      <c r="BH229" s="20">
        <v>0</v>
      </c>
      <c r="BI229" s="20">
        <v>0</v>
      </c>
      <c r="BJ229" s="20">
        <v>2</v>
      </c>
      <c r="BK229" s="20">
        <v>0</v>
      </c>
      <c r="BL229" s="20">
        <v>0</v>
      </c>
      <c r="BM229" s="20">
        <v>0</v>
      </c>
      <c r="BN229" s="20">
        <v>0</v>
      </c>
      <c r="BO229" s="20">
        <v>0</v>
      </c>
      <c r="BP229" s="20">
        <v>0</v>
      </c>
      <c r="BQ229" s="20">
        <v>0</v>
      </c>
      <c r="BR229" s="20">
        <v>0</v>
      </c>
      <c r="BS229" s="20">
        <v>0</v>
      </c>
      <c r="BT229" s="20">
        <v>0</v>
      </c>
      <c r="BU229" s="20">
        <v>0</v>
      </c>
      <c r="BV229" s="20">
        <v>0</v>
      </c>
      <c r="BW229" s="20">
        <v>0</v>
      </c>
      <c r="BX229" s="20">
        <v>0</v>
      </c>
      <c r="BY229" s="20">
        <v>0</v>
      </c>
      <c r="BZ229" s="20">
        <v>0</v>
      </c>
      <c r="CA229" s="20">
        <v>0</v>
      </c>
      <c r="CB229" s="20">
        <v>0</v>
      </c>
      <c r="CC229" s="20">
        <v>0</v>
      </c>
      <c r="CD229" s="20">
        <v>0</v>
      </c>
      <c r="CE229" s="20">
        <v>0</v>
      </c>
      <c r="CF229" s="20">
        <v>0</v>
      </c>
      <c r="CG229" s="20">
        <v>0</v>
      </c>
      <c r="CH229" s="20">
        <v>0</v>
      </c>
      <c r="CI229" s="20">
        <v>0</v>
      </c>
      <c r="CJ229" s="20">
        <v>0</v>
      </c>
      <c r="CK229" s="20">
        <v>0</v>
      </c>
      <c r="CL229" s="20">
        <v>0</v>
      </c>
      <c r="CM229" s="20">
        <v>0</v>
      </c>
      <c r="CN229" s="20">
        <v>0</v>
      </c>
      <c r="CO229" s="20">
        <v>0</v>
      </c>
      <c r="CP229" s="20">
        <v>0</v>
      </c>
      <c r="CQ229" s="20">
        <v>0</v>
      </c>
      <c r="CR229" s="20">
        <v>0</v>
      </c>
      <c r="CS229" s="20">
        <v>0</v>
      </c>
      <c r="CT229" s="20">
        <v>0</v>
      </c>
      <c r="CU229" s="20">
        <v>0</v>
      </c>
      <c r="CV229" s="20">
        <v>0</v>
      </c>
      <c r="CW229" s="20">
        <v>0</v>
      </c>
      <c r="CX229" s="20">
        <v>0</v>
      </c>
      <c r="CY229" s="20">
        <v>0</v>
      </c>
      <c r="CZ229" s="20">
        <v>0</v>
      </c>
      <c r="DA229" s="20">
        <v>0</v>
      </c>
      <c r="DB229" s="20">
        <v>0</v>
      </c>
      <c r="DC229" s="20">
        <v>0</v>
      </c>
      <c r="DD229" s="20">
        <v>0</v>
      </c>
      <c r="DE229" s="20">
        <v>0</v>
      </c>
      <c r="DF229" s="20">
        <v>0</v>
      </c>
      <c r="DG229" s="16">
        <f t="shared" si="19"/>
        <v>4</v>
      </c>
      <c r="DH229" s="16">
        <f t="shared" si="20"/>
        <v>214</v>
      </c>
      <c r="DI229" s="17">
        <f t="shared" si="21"/>
        <v>53.5</v>
      </c>
      <c r="DJ229" s="119" t="s">
        <v>4</v>
      </c>
      <c r="DK229" s="44" t="s">
        <v>4</v>
      </c>
    </row>
    <row r="230" spans="1:115">
      <c r="A230" s="32" t="str">
        <f t="shared" si="22"/>
        <v>AusNet--GROUND OUTDOOR / INDOOR CHAMBER MOUNTED ; ˂  22 kV ;  &gt; 60 kVA  AND &lt; = 600 kVA ; MULTIPLE PHASE</v>
      </c>
      <c r="B230" s="32" t="str">
        <f t="shared" si="23"/>
        <v>AusNet</v>
      </c>
      <c r="C230" s="426"/>
      <c r="D230" s="14"/>
      <c r="E230" s="15" t="s">
        <v>229</v>
      </c>
      <c r="F230" s="18">
        <v>0</v>
      </c>
      <c r="G230" s="18">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0">
        <v>0</v>
      </c>
      <c r="AY230" s="20">
        <v>0</v>
      </c>
      <c r="AZ230" s="20">
        <v>0</v>
      </c>
      <c r="BA230" s="20">
        <v>0</v>
      </c>
      <c r="BB230" s="20">
        <v>0</v>
      </c>
      <c r="BC230" s="20">
        <v>0</v>
      </c>
      <c r="BD230" s="20">
        <v>0</v>
      </c>
      <c r="BE230" s="20">
        <v>0</v>
      </c>
      <c r="BF230" s="20">
        <v>0</v>
      </c>
      <c r="BG230" s="20">
        <v>0</v>
      </c>
      <c r="BH230" s="20">
        <v>0</v>
      </c>
      <c r="BI230" s="20">
        <v>0</v>
      </c>
      <c r="BJ230" s="20">
        <v>0</v>
      </c>
      <c r="BK230" s="20">
        <v>0</v>
      </c>
      <c r="BL230" s="20">
        <v>0</v>
      </c>
      <c r="BM230" s="20">
        <v>0</v>
      </c>
      <c r="BN230" s="20">
        <v>0</v>
      </c>
      <c r="BO230" s="20">
        <v>0</v>
      </c>
      <c r="BP230" s="20">
        <v>0</v>
      </c>
      <c r="BQ230" s="20">
        <v>0</v>
      </c>
      <c r="BR230" s="20">
        <v>0</v>
      </c>
      <c r="BS230" s="20">
        <v>0</v>
      </c>
      <c r="BT230" s="20">
        <v>0</v>
      </c>
      <c r="BU230" s="20">
        <v>0</v>
      </c>
      <c r="BV230" s="20">
        <v>0</v>
      </c>
      <c r="BW230" s="20">
        <v>0</v>
      </c>
      <c r="BX230" s="20">
        <v>0</v>
      </c>
      <c r="BY230" s="20">
        <v>0</v>
      </c>
      <c r="BZ230" s="20">
        <v>0</v>
      </c>
      <c r="CA230" s="20">
        <v>0</v>
      </c>
      <c r="CB230" s="20">
        <v>0</v>
      </c>
      <c r="CC230" s="20">
        <v>0</v>
      </c>
      <c r="CD230" s="20">
        <v>0</v>
      </c>
      <c r="CE230" s="20">
        <v>0</v>
      </c>
      <c r="CF230" s="20">
        <v>0</v>
      </c>
      <c r="CG230" s="20">
        <v>0</v>
      </c>
      <c r="CH230" s="20">
        <v>0</v>
      </c>
      <c r="CI230" s="20">
        <v>0</v>
      </c>
      <c r="CJ230" s="20">
        <v>0</v>
      </c>
      <c r="CK230" s="20">
        <v>0</v>
      </c>
      <c r="CL230" s="20">
        <v>0</v>
      </c>
      <c r="CM230" s="20">
        <v>0</v>
      </c>
      <c r="CN230" s="20">
        <v>0</v>
      </c>
      <c r="CO230" s="20">
        <v>0</v>
      </c>
      <c r="CP230" s="20">
        <v>0</v>
      </c>
      <c r="CQ230" s="20">
        <v>0</v>
      </c>
      <c r="CR230" s="20">
        <v>0</v>
      </c>
      <c r="CS230" s="20">
        <v>0</v>
      </c>
      <c r="CT230" s="20">
        <v>0</v>
      </c>
      <c r="CU230" s="20">
        <v>0</v>
      </c>
      <c r="CV230" s="20">
        <v>0</v>
      </c>
      <c r="CW230" s="20">
        <v>0</v>
      </c>
      <c r="CX230" s="20">
        <v>0</v>
      </c>
      <c r="CY230" s="20">
        <v>0</v>
      </c>
      <c r="CZ230" s="20">
        <v>0</v>
      </c>
      <c r="DA230" s="20">
        <v>0</v>
      </c>
      <c r="DB230" s="20">
        <v>0</v>
      </c>
      <c r="DC230" s="20">
        <v>0</v>
      </c>
      <c r="DD230" s="20">
        <v>0</v>
      </c>
      <c r="DE230" s="20">
        <v>0</v>
      </c>
      <c r="DF230" s="20">
        <v>0</v>
      </c>
      <c r="DG230" s="16">
        <f t="shared" si="19"/>
        <v>0</v>
      </c>
      <c r="DH230" s="16">
        <f t="shared" si="20"/>
        <v>0</v>
      </c>
      <c r="DI230" s="17" t="str">
        <f t="shared" si="21"/>
        <v/>
      </c>
      <c r="DJ230" s="119" t="s">
        <v>4</v>
      </c>
      <c r="DK230" s="44" t="s">
        <v>4</v>
      </c>
    </row>
    <row r="231" spans="1:115">
      <c r="A231" s="32" t="str">
        <f t="shared" si="22"/>
        <v>AusNet--GROUND OUTDOOR / INDOOR CHAMBER MOUNTED ; ˂  22 kV ;  &gt;  600 kVA ; MULTIPLE PHASE</v>
      </c>
      <c r="B231" s="32" t="str">
        <f t="shared" si="23"/>
        <v>AusNet</v>
      </c>
      <c r="C231" s="426"/>
      <c r="D231" s="14"/>
      <c r="E231" s="15" t="s">
        <v>230</v>
      </c>
      <c r="F231" s="18">
        <v>0</v>
      </c>
      <c r="G231" s="18">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0">
        <v>0</v>
      </c>
      <c r="AY231" s="20">
        <v>0</v>
      </c>
      <c r="AZ231" s="20">
        <v>0</v>
      </c>
      <c r="BA231" s="20">
        <v>0</v>
      </c>
      <c r="BB231" s="20">
        <v>0</v>
      </c>
      <c r="BC231" s="20">
        <v>0</v>
      </c>
      <c r="BD231" s="20">
        <v>0</v>
      </c>
      <c r="BE231" s="20">
        <v>0</v>
      </c>
      <c r="BF231" s="20">
        <v>0</v>
      </c>
      <c r="BG231" s="20">
        <v>0</v>
      </c>
      <c r="BH231" s="20">
        <v>0</v>
      </c>
      <c r="BI231" s="20">
        <v>0</v>
      </c>
      <c r="BJ231" s="20">
        <v>0</v>
      </c>
      <c r="BK231" s="20">
        <v>0</v>
      </c>
      <c r="BL231" s="20">
        <v>0</v>
      </c>
      <c r="BM231" s="20">
        <v>0</v>
      </c>
      <c r="BN231" s="20">
        <v>0</v>
      </c>
      <c r="BO231" s="20">
        <v>0</v>
      </c>
      <c r="BP231" s="20">
        <v>0</v>
      </c>
      <c r="BQ231" s="20">
        <v>0</v>
      </c>
      <c r="BR231" s="20">
        <v>0</v>
      </c>
      <c r="BS231" s="20">
        <v>0</v>
      </c>
      <c r="BT231" s="20">
        <v>0</v>
      </c>
      <c r="BU231" s="20">
        <v>0</v>
      </c>
      <c r="BV231" s="20">
        <v>0</v>
      </c>
      <c r="BW231" s="20">
        <v>0</v>
      </c>
      <c r="BX231" s="20">
        <v>0</v>
      </c>
      <c r="BY231" s="20">
        <v>0</v>
      </c>
      <c r="BZ231" s="20">
        <v>0</v>
      </c>
      <c r="CA231" s="20">
        <v>0</v>
      </c>
      <c r="CB231" s="20">
        <v>0</v>
      </c>
      <c r="CC231" s="20">
        <v>0</v>
      </c>
      <c r="CD231" s="20">
        <v>0</v>
      </c>
      <c r="CE231" s="20">
        <v>0</v>
      </c>
      <c r="CF231" s="20">
        <v>0</v>
      </c>
      <c r="CG231" s="20">
        <v>0</v>
      </c>
      <c r="CH231" s="20">
        <v>0</v>
      </c>
      <c r="CI231" s="20">
        <v>0</v>
      </c>
      <c r="CJ231" s="20">
        <v>0</v>
      </c>
      <c r="CK231" s="20">
        <v>0</v>
      </c>
      <c r="CL231" s="20">
        <v>0</v>
      </c>
      <c r="CM231" s="20">
        <v>0</v>
      </c>
      <c r="CN231" s="20">
        <v>0</v>
      </c>
      <c r="CO231" s="20">
        <v>0</v>
      </c>
      <c r="CP231" s="20">
        <v>0</v>
      </c>
      <c r="CQ231" s="20">
        <v>0</v>
      </c>
      <c r="CR231" s="20">
        <v>0</v>
      </c>
      <c r="CS231" s="20">
        <v>0</v>
      </c>
      <c r="CT231" s="20">
        <v>0</v>
      </c>
      <c r="CU231" s="20">
        <v>0</v>
      </c>
      <c r="CV231" s="20">
        <v>0</v>
      </c>
      <c r="CW231" s="20">
        <v>0</v>
      </c>
      <c r="CX231" s="20">
        <v>0</v>
      </c>
      <c r="CY231" s="20">
        <v>0</v>
      </c>
      <c r="CZ231" s="20">
        <v>0</v>
      </c>
      <c r="DA231" s="20">
        <v>0</v>
      </c>
      <c r="DB231" s="20">
        <v>0</v>
      </c>
      <c r="DC231" s="20">
        <v>0</v>
      </c>
      <c r="DD231" s="20">
        <v>0</v>
      </c>
      <c r="DE231" s="20">
        <v>0</v>
      </c>
      <c r="DF231" s="20">
        <v>0</v>
      </c>
      <c r="DG231" s="16">
        <f t="shared" si="19"/>
        <v>0</v>
      </c>
      <c r="DH231" s="16">
        <f t="shared" si="20"/>
        <v>0</v>
      </c>
      <c r="DI231" s="17" t="str">
        <f t="shared" si="21"/>
        <v/>
      </c>
      <c r="DJ231" s="119" t="s">
        <v>4</v>
      </c>
      <c r="DK231" s="44" t="s">
        <v>4</v>
      </c>
    </row>
    <row r="232" spans="1:115">
      <c r="A232" s="32" t="str">
        <f t="shared" si="22"/>
        <v>AusNet--GROUND OUTDOOR / INDOOR CHAMBER MOUNTED ; &gt; = 22 kV &amp; &lt; = 33 kV ;  &lt; = 15 MVA</v>
      </c>
      <c r="B232" s="32" t="str">
        <f t="shared" si="23"/>
        <v>AusNet</v>
      </c>
      <c r="C232" s="426"/>
      <c r="D232" s="14"/>
      <c r="E232" s="15" t="s">
        <v>231</v>
      </c>
      <c r="F232" s="18">
        <v>62</v>
      </c>
      <c r="G232" s="18">
        <v>14</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1</v>
      </c>
      <c r="AE232" s="20">
        <v>0</v>
      </c>
      <c r="AF232" s="20">
        <v>0</v>
      </c>
      <c r="AG232" s="20">
        <v>9</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0">
        <v>0</v>
      </c>
      <c r="AY232" s="20">
        <v>0</v>
      </c>
      <c r="AZ232" s="20">
        <v>0</v>
      </c>
      <c r="BA232" s="20">
        <v>0</v>
      </c>
      <c r="BB232" s="20">
        <v>0</v>
      </c>
      <c r="BC232" s="20">
        <v>0</v>
      </c>
      <c r="BD232" s="20">
        <v>1</v>
      </c>
      <c r="BE232" s="20">
        <v>0</v>
      </c>
      <c r="BF232" s="20">
        <v>0</v>
      </c>
      <c r="BG232" s="20">
        <v>1</v>
      </c>
      <c r="BH232" s="20">
        <v>0</v>
      </c>
      <c r="BI232" s="20">
        <v>0</v>
      </c>
      <c r="BJ232" s="20">
        <v>0</v>
      </c>
      <c r="BK232" s="20">
        <v>0</v>
      </c>
      <c r="BL232" s="20">
        <v>0</v>
      </c>
      <c r="BM232" s="20">
        <v>0</v>
      </c>
      <c r="BN232" s="20">
        <v>1</v>
      </c>
      <c r="BO232" s="20">
        <v>0</v>
      </c>
      <c r="BP232" s="20">
        <v>0</v>
      </c>
      <c r="BQ232" s="20">
        <v>0</v>
      </c>
      <c r="BR232" s="20">
        <v>0</v>
      </c>
      <c r="BS232" s="20">
        <v>1</v>
      </c>
      <c r="BT232" s="20">
        <v>0</v>
      </c>
      <c r="BU232" s="20">
        <v>0</v>
      </c>
      <c r="BV232" s="20">
        <v>0</v>
      </c>
      <c r="BW232" s="20">
        <v>0</v>
      </c>
      <c r="BX232" s="20">
        <v>0</v>
      </c>
      <c r="BY232" s="20">
        <v>0</v>
      </c>
      <c r="BZ232" s="20">
        <v>0</v>
      </c>
      <c r="CA232" s="20">
        <v>0</v>
      </c>
      <c r="CB232" s="20">
        <v>1</v>
      </c>
      <c r="CC232" s="20">
        <v>0</v>
      </c>
      <c r="CD232" s="20">
        <v>0</v>
      </c>
      <c r="CE232" s="20">
        <v>0</v>
      </c>
      <c r="CF232" s="20">
        <v>1</v>
      </c>
      <c r="CG232" s="20">
        <v>0</v>
      </c>
      <c r="CH232" s="20">
        <v>0</v>
      </c>
      <c r="CI232" s="20">
        <v>0</v>
      </c>
      <c r="CJ232" s="20">
        <v>0</v>
      </c>
      <c r="CK232" s="20">
        <v>0</v>
      </c>
      <c r="CL232" s="20">
        <v>0</v>
      </c>
      <c r="CM232" s="20">
        <v>0</v>
      </c>
      <c r="CN232" s="20">
        <v>0</v>
      </c>
      <c r="CO232" s="20">
        <v>2</v>
      </c>
      <c r="CP232" s="20">
        <v>0</v>
      </c>
      <c r="CQ232" s="20">
        <v>0</v>
      </c>
      <c r="CR232" s="20">
        <v>0</v>
      </c>
      <c r="CS232" s="20">
        <v>0</v>
      </c>
      <c r="CT232" s="20">
        <v>0</v>
      </c>
      <c r="CU232" s="20">
        <v>0</v>
      </c>
      <c r="CV232" s="20">
        <v>0</v>
      </c>
      <c r="CW232" s="20">
        <v>0</v>
      </c>
      <c r="CX232" s="20">
        <v>0</v>
      </c>
      <c r="CY232" s="20">
        <v>0</v>
      </c>
      <c r="CZ232" s="20">
        <v>0</v>
      </c>
      <c r="DA232" s="20">
        <v>0</v>
      </c>
      <c r="DB232" s="20">
        <v>0</v>
      </c>
      <c r="DC232" s="20">
        <v>0</v>
      </c>
      <c r="DD232" s="20">
        <v>0</v>
      </c>
      <c r="DE232" s="20">
        <v>0</v>
      </c>
      <c r="DF232" s="20">
        <v>0</v>
      </c>
      <c r="DG232" s="16">
        <f t="shared" si="19"/>
        <v>18</v>
      </c>
      <c r="DH232" s="16">
        <f t="shared" si="20"/>
        <v>803</v>
      </c>
      <c r="DI232" s="17">
        <f t="shared" si="21"/>
        <v>44.611111111111114</v>
      </c>
      <c r="DJ232" s="119" t="s">
        <v>4</v>
      </c>
      <c r="DK232" s="119" t="s">
        <v>1530</v>
      </c>
    </row>
    <row r="233" spans="1:115">
      <c r="A233" s="32" t="str">
        <f t="shared" si="22"/>
        <v>AusNet--GROUND OUTDOOR / INDOOR CHAMBER MOUNTED ; &gt; = 22 kV &amp; &lt; = 33 kV ;  &gt; 15 MVA AND &lt; = 40 MVA</v>
      </c>
      <c r="B233" s="32" t="str">
        <f t="shared" si="23"/>
        <v>AusNet</v>
      </c>
      <c r="C233" s="426"/>
      <c r="D233" s="14"/>
      <c r="E233" s="15" t="s">
        <v>232</v>
      </c>
      <c r="F233" s="18">
        <v>0</v>
      </c>
      <c r="G233" s="18">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0">
        <v>0</v>
      </c>
      <c r="AY233" s="20">
        <v>0</v>
      </c>
      <c r="AZ233" s="20">
        <v>0</v>
      </c>
      <c r="BA233" s="20">
        <v>0</v>
      </c>
      <c r="BB233" s="20">
        <v>0</v>
      </c>
      <c r="BC233" s="20">
        <v>0</v>
      </c>
      <c r="BD233" s="20">
        <v>0</v>
      </c>
      <c r="BE233" s="20">
        <v>0</v>
      </c>
      <c r="BF233" s="20">
        <v>0</v>
      </c>
      <c r="BG233" s="20">
        <v>0</v>
      </c>
      <c r="BH233" s="20">
        <v>0</v>
      </c>
      <c r="BI233" s="20">
        <v>0</v>
      </c>
      <c r="BJ233" s="20">
        <v>0</v>
      </c>
      <c r="BK233" s="20">
        <v>0</v>
      </c>
      <c r="BL233" s="20">
        <v>0</v>
      </c>
      <c r="BM233" s="20">
        <v>0</v>
      </c>
      <c r="BN233" s="20">
        <v>0</v>
      </c>
      <c r="BO233" s="20">
        <v>0</v>
      </c>
      <c r="BP233" s="20">
        <v>0</v>
      </c>
      <c r="BQ233" s="20">
        <v>0</v>
      </c>
      <c r="BR233" s="20">
        <v>0</v>
      </c>
      <c r="BS233" s="20">
        <v>0</v>
      </c>
      <c r="BT233" s="20">
        <v>0</v>
      </c>
      <c r="BU233" s="20">
        <v>0</v>
      </c>
      <c r="BV233" s="20">
        <v>0</v>
      </c>
      <c r="BW233" s="20">
        <v>0</v>
      </c>
      <c r="BX233" s="20">
        <v>0</v>
      </c>
      <c r="BY233" s="20">
        <v>0</v>
      </c>
      <c r="BZ233" s="20">
        <v>0</v>
      </c>
      <c r="CA233" s="20">
        <v>0</v>
      </c>
      <c r="CB233" s="20">
        <v>0</v>
      </c>
      <c r="CC233" s="20">
        <v>0</v>
      </c>
      <c r="CD233" s="20">
        <v>0</v>
      </c>
      <c r="CE233" s="20">
        <v>0</v>
      </c>
      <c r="CF233" s="20">
        <v>0</v>
      </c>
      <c r="CG233" s="20">
        <v>0</v>
      </c>
      <c r="CH233" s="20">
        <v>0</v>
      </c>
      <c r="CI233" s="20">
        <v>0</v>
      </c>
      <c r="CJ233" s="20">
        <v>0</v>
      </c>
      <c r="CK233" s="20">
        <v>0</v>
      </c>
      <c r="CL233" s="20">
        <v>0</v>
      </c>
      <c r="CM233" s="20">
        <v>0</v>
      </c>
      <c r="CN233" s="20">
        <v>0</v>
      </c>
      <c r="CO233" s="20">
        <v>0</v>
      </c>
      <c r="CP233" s="20">
        <v>0</v>
      </c>
      <c r="CQ233" s="20">
        <v>0</v>
      </c>
      <c r="CR233" s="20">
        <v>0</v>
      </c>
      <c r="CS233" s="20">
        <v>0</v>
      </c>
      <c r="CT233" s="20">
        <v>0</v>
      </c>
      <c r="CU233" s="20">
        <v>0</v>
      </c>
      <c r="CV233" s="20">
        <v>0</v>
      </c>
      <c r="CW233" s="20">
        <v>0</v>
      </c>
      <c r="CX233" s="20">
        <v>0</v>
      </c>
      <c r="CY233" s="20">
        <v>0</v>
      </c>
      <c r="CZ233" s="20">
        <v>0</v>
      </c>
      <c r="DA233" s="20">
        <v>0</v>
      </c>
      <c r="DB233" s="20">
        <v>0</v>
      </c>
      <c r="DC233" s="20">
        <v>0</v>
      </c>
      <c r="DD233" s="20">
        <v>0</v>
      </c>
      <c r="DE233" s="20">
        <v>0</v>
      </c>
      <c r="DF233" s="20">
        <v>0</v>
      </c>
      <c r="DG233" s="16">
        <f t="shared" si="19"/>
        <v>0</v>
      </c>
      <c r="DH233" s="16">
        <f t="shared" si="20"/>
        <v>0</v>
      </c>
      <c r="DI233" s="17" t="str">
        <f t="shared" si="21"/>
        <v/>
      </c>
      <c r="DJ233" s="119" t="s">
        <v>4</v>
      </c>
      <c r="DK233" s="119" t="s">
        <v>1530</v>
      </c>
    </row>
    <row r="234" spans="1:115">
      <c r="A234" s="32" t="str">
        <f t="shared" si="22"/>
        <v>AusNet--GROUND OUTDOOR / INDOOR CHAMBER MOUNTED ; &gt; = 22 kV &amp; &lt; = 33 kV ;  &gt; 40 MVA</v>
      </c>
      <c r="B234" s="32" t="str">
        <f t="shared" si="23"/>
        <v>AusNet</v>
      </c>
      <c r="C234" s="426"/>
      <c r="D234" s="14"/>
      <c r="E234" s="15" t="s">
        <v>233</v>
      </c>
      <c r="F234" s="18">
        <v>0</v>
      </c>
      <c r="G234" s="18">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0">
        <v>0</v>
      </c>
      <c r="AY234" s="20">
        <v>0</v>
      </c>
      <c r="AZ234" s="20">
        <v>0</v>
      </c>
      <c r="BA234" s="20">
        <v>0</v>
      </c>
      <c r="BB234" s="20">
        <v>0</v>
      </c>
      <c r="BC234" s="20">
        <v>0</v>
      </c>
      <c r="BD234" s="20">
        <v>0</v>
      </c>
      <c r="BE234" s="20">
        <v>0</v>
      </c>
      <c r="BF234" s="20">
        <v>0</v>
      </c>
      <c r="BG234" s="20">
        <v>0</v>
      </c>
      <c r="BH234" s="20">
        <v>0</v>
      </c>
      <c r="BI234" s="20">
        <v>0</v>
      </c>
      <c r="BJ234" s="20">
        <v>0</v>
      </c>
      <c r="BK234" s="20">
        <v>0</v>
      </c>
      <c r="BL234" s="20">
        <v>0</v>
      </c>
      <c r="BM234" s="20">
        <v>0</v>
      </c>
      <c r="BN234" s="20">
        <v>0</v>
      </c>
      <c r="BO234" s="20">
        <v>0</v>
      </c>
      <c r="BP234" s="20">
        <v>0</v>
      </c>
      <c r="BQ234" s="20">
        <v>0</v>
      </c>
      <c r="BR234" s="20">
        <v>0</v>
      </c>
      <c r="BS234" s="20">
        <v>0</v>
      </c>
      <c r="BT234" s="20">
        <v>0</v>
      </c>
      <c r="BU234" s="20">
        <v>0</v>
      </c>
      <c r="BV234" s="20">
        <v>0</v>
      </c>
      <c r="BW234" s="20">
        <v>0</v>
      </c>
      <c r="BX234" s="20">
        <v>0</v>
      </c>
      <c r="BY234" s="20">
        <v>0</v>
      </c>
      <c r="BZ234" s="20">
        <v>0</v>
      </c>
      <c r="CA234" s="20">
        <v>0</v>
      </c>
      <c r="CB234" s="20">
        <v>0</v>
      </c>
      <c r="CC234" s="20">
        <v>0</v>
      </c>
      <c r="CD234" s="20">
        <v>0</v>
      </c>
      <c r="CE234" s="20">
        <v>0</v>
      </c>
      <c r="CF234" s="20">
        <v>0</v>
      </c>
      <c r="CG234" s="20">
        <v>0</v>
      </c>
      <c r="CH234" s="20">
        <v>0</v>
      </c>
      <c r="CI234" s="20">
        <v>0</v>
      </c>
      <c r="CJ234" s="20">
        <v>0</v>
      </c>
      <c r="CK234" s="20">
        <v>0</v>
      </c>
      <c r="CL234" s="20">
        <v>0</v>
      </c>
      <c r="CM234" s="20">
        <v>0</v>
      </c>
      <c r="CN234" s="20">
        <v>0</v>
      </c>
      <c r="CO234" s="20">
        <v>0</v>
      </c>
      <c r="CP234" s="20">
        <v>0</v>
      </c>
      <c r="CQ234" s="20">
        <v>0</v>
      </c>
      <c r="CR234" s="20">
        <v>0</v>
      </c>
      <c r="CS234" s="20">
        <v>0</v>
      </c>
      <c r="CT234" s="20">
        <v>0</v>
      </c>
      <c r="CU234" s="20">
        <v>0</v>
      </c>
      <c r="CV234" s="20">
        <v>0</v>
      </c>
      <c r="CW234" s="20">
        <v>0</v>
      </c>
      <c r="CX234" s="20">
        <v>0</v>
      </c>
      <c r="CY234" s="20">
        <v>0</v>
      </c>
      <c r="CZ234" s="20">
        <v>0</v>
      </c>
      <c r="DA234" s="20">
        <v>0</v>
      </c>
      <c r="DB234" s="20">
        <v>0</v>
      </c>
      <c r="DC234" s="20">
        <v>0</v>
      </c>
      <c r="DD234" s="20">
        <v>0</v>
      </c>
      <c r="DE234" s="20">
        <v>0</v>
      </c>
      <c r="DF234" s="20">
        <v>0</v>
      </c>
      <c r="DG234" s="16">
        <f t="shared" si="19"/>
        <v>0</v>
      </c>
      <c r="DH234" s="16">
        <f t="shared" si="20"/>
        <v>0</v>
      </c>
      <c r="DI234" s="17" t="str">
        <f t="shared" si="21"/>
        <v/>
      </c>
      <c r="DJ234" s="119" t="s">
        <v>4</v>
      </c>
      <c r="DK234" s="119" t="s">
        <v>1530</v>
      </c>
    </row>
    <row r="235" spans="1:115">
      <c r="A235" s="32" t="str">
        <f t="shared" si="22"/>
        <v>AusNet--GROUND OUTDOOR / INDOOR CHAMBER MOUNTED ; &gt; 33 kV &amp; &lt; = 66 kV ;  &lt; = 15 MVA</v>
      </c>
      <c r="B235" s="32" t="str">
        <f t="shared" si="23"/>
        <v>AusNet</v>
      </c>
      <c r="C235" s="426"/>
      <c r="D235" s="14"/>
      <c r="E235" s="15" t="s">
        <v>234</v>
      </c>
      <c r="F235" s="18">
        <v>62</v>
      </c>
      <c r="G235" s="18">
        <v>14</v>
      </c>
      <c r="H235" s="20">
        <v>0</v>
      </c>
      <c r="I235" s="20">
        <v>0</v>
      </c>
      <c r="J235" s="20">
        <v>0</v>
      </c>
      <c r="K235" s="20">
        <v>0</v>
      </c>
      <c r="L235" s="20">
        <v>0</v>
      </c>
      <c r="M235" s="20">
        <v>0</v>
      </c>
      <c r="N235" s="20">
        <v>1</v>
      </c>
      <c r="O235" s="20">
        <v>0</v>
      </c>
      <c r="P235" s="20">
        <v>0</v>
      </c>
      <c r="Q235" s="20">
        <v>0</v>
      </c>
      <c r="R235" s="20">
        <v>0</v>
      </c>
      <c r="S235" s="20">
        <v>0</v>
      </c>
      <c r="T235" s="20">
        <v>0</v>
      </c>
      <c r="U235" s="20">
        <v>0</v>
      </c>
      <c r="V235" s="20">
        <v>1</v>
      </c>
      <c r="W235" s="20">
        <v>1</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1</v>
      </c>
      <c r="AM235" s="20">
        <v>0</v>
      </c>
      <c r="AN235" s="20">
        <v>0</v>
      </c>
      <c r="AO235" s="20">
        <v>0</v>
      </c>
      <c r="AP235" s="20">
        <v>1</v>
      </c>
      <c r="AQ235" s="20">
        <v>1</v>
      </c>
      <c r="AR235" s="20">
        <v>2</v>
      </c>
      <c r="AS235" s="20">
        <v>3</v>
      </c>
      <c r="AT235" s="20">
        <v>2</v>
      </c>
      <c r="AU235" s="20">
        <v>0</v>
      </c>
      <c r="AV235" s="20">
        <v>0</v>
      </c>
      <c r="AW235" s="20">
        <v>0</v>
      </c>
      <c r="AX235" s="20">
        <v>0</v>
      </c>
      <c r="AY235" s="20">
        <v>0</v>
      </c>
      <c r="AZ235" s="20">
        <v>0</v>
      </c>
      <c r="BA235" s="20">
        <v>3</v>
      </c>
      <c r="BB235" s="20">
        <v>3</v>
      </c>
      <c r="BC235" s="20">
        <v>2</v>
      </c>
      <c r="BD235" s="20">
        <v>3</v>
      </c>
      <c r="BE235" s="20">
        <v>1</v>
      </c>
      <c r="BF235" s="20">
        <v>1</v>
      </c>
      <c r="BG235" s="20">
        <v>7</v>
      </c>
      <c r="BH235" s="20">
        <v>0</v>
      </c>
      <c r="BI235" s="20">
        <v>3</v>
      </c>
      <c r="BJ235" s="20">
        <v>0</v>
      </c>
      <c r="BK235" s="20">
        <v>0</v>
      </c>
      <c r="BL235" s="20">
        <v>0</v>
      </c>
      <c r="BM235" s="20">
        <v>0</v>
      </c>
      <c r="BN235" s="20">
        <v>2</v>
      </c>
      <c r="BO235" s="20">
        <v>0</v>
      </c>
      <c r="BP235" s="20">
        <v>0</v>
      </c>
      <c r="BQ235" s="20">
        <v>2</v>
      </c>
      <c r="BR235" s="20">
        <v>0</v>
      </c>
      <c r="BS235" s="20">
        <v>3</v>
      </c>
      <c r="BT235" s="20">
        <v>4</v>
      </c>
      <c r="BU235" s="20">
        <v>0</v>
      </c>
      <c r="BV235" s="20">
        <v>1</v>
      </c>
      <c r="BW235" s="20">
        <v>2</v>
      </c>
      <c r="BX235" s="20">
        <v>1</v>
      </c>
      <c r="BY235" s="20">
        <v>0</v>
      </c>
      <c r="BZ235" s="20">
        <v>2</v>
      </c>
      <c r="CA235" s="20">
        <v>0</v>
      </c>
      <c r="CB235" s="20">
        <v>2</v>
      </c>
      <c r="CC235" s="20">
        <v>0</v>
      </c>
      <c r="CD235" s="20">
        <v>0</v>
      </c>
      <c r="CE235" s="20">
        <v>0</v>
      </c>
      <c r="CF235" s="20">
        <v>0</v>
      </c>
      <c r="CG235" s="20">
        <v>2</v>
      </c>
      <c r="CH235" s="20">
        <v>0</v>
      </c>
      <c r="CI235" s="20">
        <v>0</v>
      </c>
      <c r="CJ235" s="20">
        <v>0</v>
      </c>
      <c r="CK235" s="20">
        <v>0</v>
      </c>
      <c r="CL235" s="20">
        <v>0</v>
      </c>
      <c r="CM235" s="20">
        <v>0</v>
      </c>
      <c r="CN235" s="20">
        <v>0</v>
      </c>
      <c r="CO235" s="20">
        <v>0</v>
      </c>
      <c r="CP235" s="20">
        <v>0</v>
      </c>
      <c r="CQ235" s="20">
        <v>3</v>
      </c>
      <c r="CR235" s="20">
        <v>0</v>
      </c>
      <c r="CS235" s="20">
        <v>0</v>
      </c>
      <c r="CT235" s="20">
        <v>0</v>
      </c>
      <c r="CU235" s="20">
        <v>0</v>
      </c>
      <c r="CV235" s="20">
        <v>0</v>
      </c>
      <c r="CW235" s="20">
        <v>0</v>
      </c>
      <c r="CX235" s="20">
        <v>0</v>
      </c>
      <c r="CY235" s="20">
        <v>0</v>
      </c>
      <c r="CZ235" s="20">
        <v>0</v>
      </c>
      <c r="DA235" s="20">
        <v>0</v>
      </c>
      <c r="DB235" s="20">
        <v>0</v>
      </c>
      <c r="DC235" s="20">
        <v>0</v>
      </c>
      <c r="DD235" s="20">
        <v>0</v>
      </c>
      <c r="DE235" s="20">
        <v>0</v>
      </c>
      <c r="DF235" s="20">
        <v>0</v>
      </c>
      <c r="DG235" s="16">
        <f t="shared" si="19"/>
        <v>60</v>
      </c>
      <c r="DH235" s="16">
        <f t="shared" si="20"/>
        <v>3229</v>
      </c>
      <c r="DI235" s="17">
        <f t="shared" si="21"/>
        <v>53.81666666666667</v>
      </c>
      <c r="DJ235" s="119" t="s">
        <v>4</v>
      </c>
      <c r="DK235" s="119" t="s">
        <v>1530</v>
      </c>
    </row>
    <row r="236" spans="1:115">
      <c r="A236" s="32" t="str">
        <f t="shared" si="22"/>
        <v>AusNet--GROUND OUTDOOR / INDOOR CHAMBER MOUNTED ; &gt; 33 kV &amp; &lt; = 66 kV ;  &gt; 15 MVA AND &lt; = 40 MVA</v>
      </c>
      <c r="B236" s="32" t="str">
        <f t="shared" si="23"/>
        <v>AusNet</v>
      </c>
      <c r="C236" s="426"/>
      <c r="D236" s="14"/>
      <c r="E236" s="15" t="s">
        <v>235</v>
      </c>
      <c r="F236" s="18">
        <v>62</v>
      </c>
      <c r="G236" s="18">
        <v>14</v>
      </c>
      <c r="H236" s="20">
        <v>0</v>
      </c>
      <c r="I236" s="20">
        <v>0</v>
      </c>
      <c r="J236" s="20">
        <v>2</v>
      </c>
      <c r="K236" s="20">
        <v>3</v>
      </c>
      <c r="L236" s="20">
        <v>0</v>
      </c>
      <c r="M236" s="20">
        <v>1</v>
      </c>
      <c r="N236" s="20">
        <v>0</v>
      </c>
      <c r="O236" s="20">
        <v>0</v>
      </c>
      <c r="P236" s="20">
        <v>3</v>
      </c>
      <c r="Q236" s="20">
        <v>0</v>
      </c>
      <c r="R236" s="20">
        <v>1</v>
      </c>
      <c r="S236" s="20">
        <v>2</v>
      </c>
      <c r="T236" s="20">
        <v>2</v>
      </c>
      <c r="U236" s="20">
        <v>0</v>
      </c>
      <c r="V236" s="20">
        <v>1</v>
      </c>
      <c r="W236" s="20">
        <v>0</v>
      </c>
      <c r="X236" s="20">
        <v>0</v>
      </c>
      <c r="Y236" s="20">
        <v>1</v>
      </c>
      <c r="Z236" s="20">
        <v>0</v>
      </c>
      <c r="AA236" s="20">
        <v>0</v>
      </c>
      <c r="AB236" s="20">
        <v>0</v>
      </c>
      <c r="AC236" s="20">
        <v>0</v>
      </c>
      <c r="AD236" s="20">
        <v>0</v>
      </c>
      <c r="AE236" s="20">
        <v>0</v>
      </c>
      <c r="AF236" s="20">
        <v>1</v>
      </c>
      <c r="AG236" s="20">
        <v>0</v>
      </c>
      <c r="AH236" s="20">
        <v>0</v>
      </c>
      <c r="AI236" s="20">
        <v>2</v>
      </c>
      <c r="AJ236" s="20">
        <v>2</v>
      </c>
      <c r="AK236" s="20">
        <v>2</v>
      </c>
      <c r="AL236" s="20">
        <v>6</v>
      </c>
      <c r="AM236" s="20">
        <v>2</v>
      </c>
      <c r="AN236" s="20">
        <v>6</v>
      </c>
      <c r="AO236" s="20">
        <v>2</v>
      </c>
      <c r="AP236" s="20">
        <v>0</v>
      </c>
      <c r="AQ236" s="20">
        <v>3</v>
      </c>
      <c r="AR236" s="20">
        <v>2</v>
      </c>
      <c r="AS236" s="20">
        <v>0</v>
      </c>
      <c r="AT236" s="20">
        <v>0</v>
      </c>
      <c r="AU236" s="20">
        <v>0</v>
      </c>
      <c r="AV236" s="20">
        <v>0</v>
      </c>
      <c r="AW236" s="20">
        <v>0</v>
      </c>
      <c r="AX236" s="20">
        <v>0</v>
      </c>
      <c r="AY236" s="20">
        <v>0</v>
      </c>
      <c r="AZ236" s="20">
        <v>3</v>
      </c>
      <c r="BA236" s="20">
        <v>2</v>
      </c>
      <c r="BB236" s="20">
        <v>1</v>
      </c>
      <c r="BC236" s="20">
        <v>2</v>
      </c>
      <c r="BD236" s="20">
        <v>0</v>
      </c>
      <c r="BE236" s="20">
        <v>0</v>
      </c>
      <c r="BF236" s="20">
        <v>0</v>
      </c>
      <c r="BG236" s="20">
        <v>2</v>
      </c>
      <c r="BH236" s="20">
        <v>0</v>
      </c>
      <c r="BI236" s="20">
        <v>0</v>
      </c>
      <c r="BJ236" s="20">
        <v>0</v>
      </c>
      <c r="BK236" s="20">
        <v>0</v>
      </c>
      <c r="BL236" s="20">
        <v>0</v>
      </c>
      <c r="BM236" s="20">
        <v>0</v>
      </c>
      <c r="BN236" s="20">
        <v>0</v>
      </c>
      <c r="BO236" s="20">
        <v>0</v>
      </c>
      <c r="BP236" s="20">
        <v>0</v>
      </c>
      <c r="BQ236" s="20">
        <v>0</v>
      </c>
      <c r="BR236" s="20">
        <v>0</v>
      </c>
      <c r="BS236" s="20">
        <v>0</v>
      </c>
      <c r="BT236" s="20">
        <v>1</v>
      </c>
      <c r="BU236" s="20">
        <v>1</v>
      </c>
      <c r="BV236" s="20">
        <v>0</v>
      </c>
      <c r="BW236" s="20">
        <v>0</v>
      </c>
      <c r="BX236" s="20">
        <v>0</v>
      </c>
      <c r="BY236" s="20">
        <v>0</v>
      </c>
      <c r="BZ236" s="20">
        <v>0</v>
      </c>
      <c r="CA236" s="20">
        <v>0</v>
      </c>
      <c r="CB236" s="20">
        <v>0</v>
      </c>
      <c r="CC236" s="20">
        <v>0</v>
      </c>
      <c r="CD236" s="20">
        <v>0</v>
      </c>
      <c r="CE236" s="20">
        <v>0</v>
      </c>
      <c r="CF236" s="20">
        <v>0</v>
      </c>
      <c r="CG236" s="20">
        <v>0</v>
      </c>
      <c r="CH236" s="20">
        <v>0</v>
      </c>
      <c r="CI236" s="20">
        <v>0</v>
      </c>
      <c r="CJ236" s="20">
        <v>0</v>
      </c>
      <c r="CK236" s="20">
        <v>0</v>
      </c>
      <c r="CL236" s="20">
        <v>0</v>
      </c>
      <c r="CM236" s="20">
        <v>0</v>
      </c>
      <c r="CN236" s="20">
        <v>0</v>
      </c>
      <c r="CO236" s="20">
        <v>0</v>
      </c>
      <c r="CP236" s="20">
        <v>0</v>
      </c>
      <c r="CQ236" s="20">
        <v>0</v>
      </c>
      <c r="CR236" s="20">
        <v>0</v>
      </c>
      <c r="CS236" s="20">
        <v>0</v>
      </c>
      <c r="CT236" s="20">
        <v>0</v>
      </c>
      <c r="CU236" s="20">
        <v>0</v>
      </c>
      <c r="CV236" s="20">
        <v>0</v>
      </c>
      <c r="CW236" s="20">
        <v>0</v>
      </c>
      <c r="CX236" s="20">
        <v>0</v>
      </c>
      <c r="CY236" s="20">
        <v>0</v>
      </c>
      <c r="CZ236" s="20">
        <v>0</v>
      </c>
      <c r="DA236" s="20">
        <v>0</v>
      </c>
      <c r="DB236" s="20">
        <v>0</v>
      </c>
      <c r="DC236" s="20">
        <v>0</v>
      </c>
      <c r="DD236" s="20">
        <v>0</v>
      </c>
      <c r="DE236" s="20">
        <v>0</v>
      </c>
      <c r="DF236" s="20">
        <v>1</v>
      </c>
      <c r="DG236" s="16">
        <f t="shared" si="19"/>
        <v>57</v>
      </c>
      <c r="DH236" s="16">
        <f t="shared" si="20"/>
        <v>1750</v>
      </c>
      <c r="DI236" s="17">
        <f t="shared" si="21"/>
        <v>30.701754385964911</v>
      </c>
      <c r="DJ236" s="119" t="s">
        <v>4</v>
      </c>
      <c r="DK236" s="119" t="s">
        <v>1530</v>
      </c>
    </row>
    <row r="237" spans="1:115">
      <c r="A237" s="32" t="str">
        <f t="shared" si="22"/>
        <v>AusNet--GROUND OUTDOOR / INDOOR CHAMBER MOUNTED ; &gt; 33 kV &amp; &lt; = 66 kV ;  &gt; 40 MVA</v>
      </c>
      <c r="B237" s="32" t="str">
        <f t="shared" si="23"/>
        <v>AusNet</v>
      </c>
      <c r="C237" s="426"/>
      <c r="D237" s="14"/>
      <c r="E237" s="15" t="s">
        <v>236</v>
      </c>
      <c r="F237" s="18">
        <v>62</v>
      </c>
      <c r="G237" s="18">
        <v>14</v>
      </c>
      <c r="H237" s="20">
        <v>3</v>
      </c>
      <c r="I237" s="20">
        <v>2</v>
      </c>
      <c r="J237" s="20"/>
      <c r="K237" s="20">
        <v>3</v>
      </c>
      <c r="L237" s="20">
        <v>3</v>
      </c>
      <c r="M237" s="20">
        <v>0</v>
      </c>
      <c r="N237" s="20">
        <v>0</v>
      </c>
      <c r="O237" s="20">
        <v>3</v>
      </c>
      <c r="P237" s="20">
        <v>1</v>
      </c>
      <c r="Q237" s="20">
        <v>2</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0">
        <v>0</v>
      </c>
      <c r="AY237" s="20">
        <v>0</v>
      </c>
      <c r="AZ237" s="20">
        <v>0</v>
      </c>
      <c r="BA237" s="20">
        <v>0</v>
      </c>
      <c r="BB237" s="20">
        <v>0</v>
      </c>
      <c r="BC237" s="20">
        <v>0</v>
      </c>
      <c r="BD237" s="20">
        <v>0</v>
      </c>
      <c r="BE237" s="20">
        <v>0</v>
      </c>
      <c r="BF237" s="20">
        <v>0</v>
      </c>
      <c r="BG237" s="20">
        <v>0</v>
      </c>
      <c r="BH237" s="20">
        <v>0</v>
      </c>
      <c r="BI237" s="20">
        <v>0</v>
      </c>
      <c r="BJ237" s="20">
        <v>0</v>
      </c>
      <c r="BK237" s="20">
        <v>0</v>
      </c>
      <c r="BL237" s="20">
        <v>1</v>
      </c>
      <c r="BM237" s="20">
        <v>0</v>
      </c>
      <c r="BN237" s="20">
        <v>0</v>
      </c>
      <c r="BO237" s="20">
        <v>0</v>
      </c>
      <c r="BP237" s="20">
        <v>0</v>
      </c>
      <c r="BQ237" s="20">
        <v>0</v>
      </c>
      <c r="BR237" s="20">
        <v>1</v>
      </c>
      <c r="BS237" s="20">
        <v>2</v>
      </c>
      <c r="BT237" s="20">
        <v>0</v>
      </c>
      <c r="BU237" s="20">
        <v>0</v>
      </c>
      <c r="BV237" s="20">
        <v>0</v>
      </c>
      <c r="BW237" s="20">
        <v>0</v>
      </c>
      <c r="BX237" s="20">
        <v>0</v>
      </c>
      <c r="BY237" s="20">
        <v>0</v>
      </c>
      <c r="BZ237" s="20">
        <v>0</v>
      </c>
      <c r="CA237" s="20">
        <v>0</v>
      </c>
      <c r="CB237" s="20">
        <v>0</v>
      </c>
      <c r="CC237" s="20">
        <v>0</v>
      </c>
      <c r="CD237" s="20">
        <v>0</v>
      </c>
      <c r="CE237" s="20">
        <v>0</v>
      </c>
      <c r="CF237" s="20">
        <v>0</v>
      </c>
      <c r="CG237" s="20">
        <v>0</v>
      </c>
      <c r="CH237" s="20">
        <v>0</v>
      </c>
      <c r="CI237" s="20">
        <v>0</v>
      </c>
      <c r="CJ237" s="20">
        <v>0</v>
      </c>
      <c r="CK237" s="20">
        <v>0</v>
      </c>
      <c r="CL237" s="20">
        <v>0</v>
      </c>
      <c r="CM237" s="20">
        <v>0</v>
      </c>
      <c r="CN237" s="20">
        <v>0</v>
      </c>
      <c r="CO237" s="20">
        <v>0</v>
      </c>
      <c r="CP237" s="20">
        <v>0</v>
      </c>
      <c r="CQ237" s="20">
        <v>0</v>
      </c>
      <c r="CR237" s="20">
        <v>0</v>
      </c>
      <c r="CS237" s="20">
        <v>0</v>
      </c>
      <c r="CT237" s="20">
        <v>0</v>
      </c>
      <c r="CU237" s="20">
        <v>0</v>
      </c>
      <c r="CV237" s="20">
        <v>0</v>
      </c>
      <c r="CW237" s="20">
        <v>0</v>
      </c>
      <c r="CX237" s="20">
        <v>0</v>
      </c>
      <c r="CY237" s="20">
        <v>0</v>
      </c>
      <c r="CZ237" s="20">
        <v>0</v>
      </c>
      <c r="DA237" s="20">
        <v>0</v>
      </c>
      <c r="DB237" s="20">
        <v>0</v>
      </c>
      <c r="DC237" s="20">
        <v>0</v>
      </c>
      <c r="DD237" s="20">
        <v>0</v>
      </c>
      <c r="DE237" s="20">
        <v>0</v>
      </c>
      <c r="DF237" s="20">
        <v>0</v>
      </c>
      <c r="DG237" s="16">
        <f t="shared" si="19"/>
        <v>21</v>
      </c>
      <c r="DH237" s="16">
        <f t="shared" si="20"/>
        <v>335</v>
      </c>
      <c r="DI237" s="17">
        <f t="shared" si="21"/>
        <v>15.952380952380953</v>
      </c>
      <c r="DJ237" s="119" t="s">
        <v>4</v>
      </c>
      <c r="DK237" s="119" t="s">
        <v>1530</v>
      </c>
    </row>
    <row r="238" spans="1:115">
      <c r="A238" s="32" t="str">
        <f t="shared" si="22"/>
        <v>AusNet--GROUND OUTDOOR / INDOOR CHAMBER MOUNTED ; &gt; 66 kV &amp; &lt; = 132 kV ;  &lt; = 100 MVA</v>
      </c>
      <c r="B238" s="32" t="str">
        <f t="shared" si="23"/>
        <v>AusNet</v>
      </c>
      <c r="C238" s="426"/>
      <c r="D238" s="14"/>
      <c r="E238" s="15" t="s">
        <v>237</v>
      </c>
      <c r="F238" s="18">
        <v>0</v>
      </c>
      <c r="G238" s="18">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0">
        <v>0</v>
      </c>
      <c r="AY238" s="20">
        <v>0</v>
      </c>
      <c r="AZ238" s="20">
        <v>0</v>
      </c>
      <c r="BA238" s="20">
        <v>0</v>
      </c>
      <c r="BB238" s="20">
        <v>0</v>
      </c>
      <c r="BC238" s="20">
        <v>0</v>
      </c>
      <c r="BD238" s="20">
        <v>0</v>
      </c>
      <c r="BE238" s="20">
        <v>0</v>
      </c>
      <c r="BF238" s="20">
        <v>0</v>
      </c>
      <c r="BG238" s="20">
        <v>0</v>
      </c>
      <c r="BH238" s="20">
        <v>0</v>
      </c>
      <c r="BI238" s="20">
        <v>0</v>
      </c>
      <c r="BJ238" s="20">
        <v>0</v>
      </c>
      <c r="BK238" s="20">
        <v>0</v>
      </c>
      <c r="BL238" s="20">
        <v>0</v>
      </c>
      <c r="BM238" s="20">
        <v>0</v>
      </c>
      <c r="BN238" s="20">
        <v>0</v>
      </c>
      <c r="BO238" s="20">
        <v>0</v>
      </c>
      <c r="BP238" s="20">
        <v>0</v>
      </c>
      <c r="BQ238" s="20">
        <v>0</v>
      </c>
      <c r="BR238" s="20">
        <v>0</v>
      </c>
      <c r="BS238" s="20">
        <v>0</v>
      </c>
      <c r="BT238" s="20">
        <v>0</v>
      </c>
      <c r="BU238" s="20">
        <v>0</v>
      </c>
      <c r="BV238" s="20">
        <v>0</v>
      </c>
      <c r="BW238" s="20">
        <v>0</v>
      </c>
      <c r="BX238" s="20">
        <v>0</v>
      </c>
      <c r="BY238" s="20">
        <v>0</v>
      </c>
      <c r="BZ238" s="20">
        <v>0</v>
      </c>
      <c r="CA238" s="20">
        <v>0</v>
      </c>
      <c r="CB238" s="20">
        <v>0</v>
      </c>
      <c r="CC238" s="20">
        <v>0</v>
      </c>
      <c r="CD238" s="20">
        <v>0</v>
      </c>
      <c r="CE238" s="20">
        <v>0</v>
      </c>
      <c r="CF238" s="20">
        <v>0</v>
      </c>
      <c r="CG238" s="20">
        <v>0</v>
      </c>
      <c r="CH238" s="20">
        <v>0</v>
      </c>
      <c r="CI238" s="20">
        <v>0</v>
      </c>
      <c r="CJ238" s="20">
        <v>0</v>
      </c>
      <c r="CK238" s="20">
        <v>0</v>
      </c>
      <c r="CL238" s="20">
        <v>0</v>
      </c>
      <c r="CM238" s="20">
        <v>0</v>
      </c>
      <c r="CN238" s="20">
        <v>0</v>
      </c>
      <c r="CO238" s="20">
        <v>0</v>
      </c>
      <c r="CP238" s="20">
        <v>0</v>
      </c>
      <c r="CQ238" s="20">
        <v>0</v>
      </c>
      <c r="CR238" s="20">
        <v>0</v>
      </c>
      <c r="CS238" s="20">
        <v>0</v>
      </c>
      <c r="CT238" s="20">
        <v>0</v>
      </c>
      <c r="CU238" s="20">
        <v>0</v>
      </c>
      <c r="CV238" s="20">
        <v>0</v>
      </c>
      <c r="CW238" s="20">
        <v>0</v>
      </c>
      <c r="CX238" s="20">
        <v>0</v>
      </c>
      <c r="CY238" s="20">
        <v>0</v>
      </c>
      <c r="CZ238" s="20">
        <v>0</v>
      </c>
      <c r="DA238" s="20">
        <v>0</v>
      </c>
      <c r="DB238" s="20">
        <v>0</v>
      </c>
      <c r="DC238" s="20">
        <v>0</v>
      </c>
      <c r="DD238" s="20">
        <v>0</v>
      </c>
      <c r="DE238" s="20">
        <v>0</v>
      </c>
      <c r="DF238" s="20">
        <v>0</v>
      </c>
      <c r="DG238" s="16">
        <f t="shared" si="19"/>
        <v>0</v>
      </c>
      <c r="DH238" s="16">
        <f t="shared" si="20"/>
        <v>0</v>
      </c>
      <c r="DI238" s="17" t="str">
        <f t="shared" si="21"/>
        <v/>
      </c>
      <c r="DJ238" s="119" t="s">
        <v>4</v>
      </c>
      <c r="DK238" s="119" t="s">
        <v>1530</v>
      </c>
    </row>
    <row r="239" spans="1:115">
      <c r="A239" s="32" t="str">
        <f t="shared" si="22"/>
        <v>AusNet--GROUND OUTDOOR / INDOOR CHAMBER MOUNTED ; &gt; 66 kV &amp; &lt; = 132 kV ;  &gt; 100 MVA</v>
      </c>
      <c r="B239" s="32" t="str">
        <f t="shared" si="23"/>
        <v>AusNet</v>
      </c>
      <c r="C239" s="426"/>
      <c r="D239" s="14"/>
      <c r="E239" s="15" t="s">
        <v>238</v>
      </c>
      <c r="F239" s="18">
        <v>0</v>
      </c>
      <c r="G239" s="18">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0">
        <v>0</v>
      </c>
      <c r="AY239" s="20">
        <v>0</v>
      </c>
      <c r="AZ239" s="20">
        <v>0</v>
      </c>
      <c r="BA239" s="20">
        <v>0</v>
      </c>
      <c r="BB239" s="20">
        <v>0</v>
      </c>
      <c r="BC239" s="20">
        <v>0</v>
      </c>
      <c r="BD239" s="20">
        <v>0</v>
      </c>
      <c r="BE239" s="20">
        <v>0</v>
      </c>
      <c r="BF239" s="20">
        <v>0</v>
      </c>
      <c r="BG239" s="20">
        <v>0</v>
      </c>
      <c r="BH239" s="20">
        <v>0</v>
      </c>
      <c r="BI239" s="20">
        <v>0</v>
      </c>
      <c r="BJ239" s="20">
        <v>0</v>
      </c>
      <c r="BK239" s="20">
        <v>0</v>
      </c>
      <c r="BL239" s="20">
        <v>0</v>
      </c>
      <c r="BM239" s="20">
        <v>0</v>
      </c>
      <c r="BN239" s="20">
        <v>0</v>
      </c>
      <c r="BO239" s="20">
        <v>0</v>
      </c>
      <c r="BP239" s="20">
        <v>0</v>
      </c>
      <c r="BQ239" s="20">
        <v>0</v>
      </c>
      <c r="BR239" s="20">
        <v>0</v>
      </c>
      <c r="BS239" s="20">
        <v>0</v>
      </c>
      <c r="BT239" s="20">
        <v>0</v>
      </c>
      <c r="BU239" s="20">
        <v>0</v>
      </c>
      <c r="BV239" s="20">
        <v>0</v>
      </c>
      <c r="BW239" s="20">
        <v>0</v>
      </c>
      <c r="BX239" s="20">
        <v>0</v>
      </c>
      <c r="BY239" s="20">
        <v>0</v>
      </c>
      <c r="BZ239" s="20">
        <v>0</v>
      </c>
      <c r="CA239" s="20">
        <v>0</v>
      </c>
      <c r="CB239" s="20">
        <v>0</v>
      </c>
      <c r="CC239" s="20">
        <v>0</v>
      </c>
      <c r="CD239" s="20">
        <v>0</v>
      </c>
      <c r="CE239" s="20">
        <v>0</v>
      </c>
      <c r="CF239" s="20">
        <v>0</v>
      </c>
      <c r="CG239" s="20">
        <v>0</v>
      </c>
      <c r="CH239" s="20">
        <v>0</v>
      </c>
      <c r="CI239" s="20">
        <v>0</v>
      </c>
      <c r="CJ239" s="20">
        <v>0</v>
      </c>
      <c r="CK239" s="20">
        <v>0</v>
      </c>
      <c r="CL239" s="20">
        <v>0</v>
      </c>
      <c r="CM239" s="20">
        <v>0</v>
      </c>
      <c r="CN239" s="20">
        <v>0</v>
      </c>
      <c r="CO239" s="20">
        <v>0</v>
      </c>
      <c r="CP239" s="20">
        <v>0</v>
      </c>
      <c r="CQ239" s="20">
        <v>0</v>
      </c>
      <c r="CR239" s="20">
        <v>0</v>
      </c>
      <c r="CS239" s="20">
        <v>0</v>
      </c>
      <c r="CT239" s="20">
        <v>0</v>
      </c>
      <c r="CU239" s="20">
        <v>0</v>
      </c>
      <c r="CV239" s="20">
        <v>0</v>
      </c>
      <c r="CW239" s="20">
        <v>0</v>
      </c>
      <c r="CX239" s="20">
        <v>0</v>
      </c>
      <c r="CY239" s="20">
        <v>0</v>
      </c>
      <c r="CZ239" s="20">
        <v>0</v>
      </c>
      <c r="DA239" s="20">
        <v>0</v>
      </c>
      <c r="DB239" s="20">
        <v>0</v>
      </c>
      <c r="DC239" s="20">
        <v>0</v>
      </c>
      <c r="DD239" s="20">
        <v>0</v>
      </c>
      <c r="DE239" s="20">
        <v>0</v>
      </c>
      <c r="DF239" s="20">
        <v>0</v>
      </c>
      <c r="DG239" s="16">
        <f t="shared" si="19"/>
        <v>0</v>
      </c>
      <c r="DH239" s="16">
        <f t="shared" si="20"/>
        <v>0</v>
      </c>
      <c r="DI239" s="17" t="str">
        <f t="shared" si="21"/>
        <v/>
      </c>
      <c r="DJ239" s="119" t="s">
        <v>4</v>
      </c>
      <c r="DK239" s="119" t="s">
        <v>1530</v>
      </c>
    </row>
    <row r="240" spans="1:115">
      <c r="A240" s="32" t="str">
        <f t="shared" si="22"/>
        <v>AusNet--GROUND OUTDOOR / INDOOR CHAMBER MOUNTED ; &gt; 132 kV ;  &lt; = 100 MVA</v>
      </c>
      <c r="B240" s="32" t="str">
        <f t="shared" si="23"/>
        <v>AusNet</v>
      </c>
      <c r="C240" s="426"/>
      <c r="D240" s="14"/>
      <c r="E240" s="15" t="s">
        <v>239</v>
      </c>
      <c r="F240" s="18">
        <v>0</v>
      </c>
      <c r="G240" s="18">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0">
        <v>0</v>
      </c>
      <c r="AY240" s="20">
        <v>0</v>
      </c>
      <c r="AZ240" s="20">
        <v>0</v>
      </c>
      <c r="BA240" s="20">
        <v>0</v>
      </c>
      <c r="BB240" s="20">
        <v>0</v>
      </c>
      <c r="BC240" s="20">
        <v>0</v>
      </c>
      <c r="BD240" s="20">
        <v>0</v>
      </c>
      <c r="BE240" s="20">
        <v>0</v>
      </c>
      <c r="BF240" s="20">
        <v>0</v>
      </c>
      <c r="BG240" s="20">
        <v>0</v>
      </c>
      <c r="BH240" s="20">
        <v>0</v>
      </c>
      <c r="BI240" s="20">
        <v>0</v>
      </c>
      <c r="BJ240" s="20">
        <v>0</v>
      </c>
      <c r="BK240" s="20">
        <v>0</v>
      </c>
      <c r="BL240" s="20">
        <v>0</v>
      </c>
      <c r="BM240" s="20">
        <v>0</v>
      </c>
      <c r="BN240" s="20">
        <v>0</v>
      </c>
      <c r="BO240" s="20">
        <v>0</v>
      </c>
      <c r="BP240" s="20">
        <v>0</v>
      </c>
      <c r="BQ240" s="20">
        <v>0</v>
      </c>
      <c r="BR240" s="20">
        <v>0</v>
      </c>
      <c r="BS240" s="20">
        <v>0</v>
      </c>
      <c r="BT240" s="20">
        <v>0</v>
      </c>
      <c r="BU240" s="20">
        <v>0</v>
      </c>
      <c r="BV240" s="20">
        <v>0</v>
      </c>
      <c r="BW240" s="20">
        <v>0</v>
      </c>
      <c r="BX240" s="20">
        <v>0</v>
      </c>
      <c r="BY240" s="20">
        <v>0</v>
      </c>
      <c r="BZ240" s="20">
        <v>0</v>
      </c>
      <c r="CA240" s="20">
        <v>0</v>
      </c>
      <c r="CB240" s="20">
        <v>0</v>
      </c>
      <c r="CC240" s="20">
        <v>0</v>
      </c>
      <c r="CD240" s="20">
        <v>0</v>
      </c>
      <c r="CE240" s="20">
        <v>0</v>
      </c>
      <c r="CF240" s="20">
        <v>0</v>
      </c>
      <c r="CG240" s="20">
        <v>0</v>
      </c>
      <c r="CH240" s="20">
        <v>0</v>
      </c>
      <c r="CI240" s="20">
        <v>0</v>
      </c>
      <c r="CJ240" s="20">
        <v>0</v>
      </c>
      <c r="CK240" s="20">
        <v>0</v>
      </c>
      <c r="CL240" s="20">
        <v>0</v>
      </c>
      <c r="CM240" s="20">
        <v>0</v>
      </c>
      <c r="CN240" s="20">
        <v>0</v>
      </c>
      <c r="CO240" s="20">
        <v>0</v>
      </c>
      <c r="CP240" s="20">
        <v>0</v>
      </c>
      <c r="CQ240" s="20">
        <v>0</v>
      </c>
      <c r="CR240" s="20">
        <v>0</v>
      </c>
      <c r="CS240" s="20">
        <v>0</v>
      </c>
      <c r="CT240" s="20">
        <v>0</v>
      </c>
      <c r="CU240" s="20">
        <v>0</v>
      </c>
      <c r="CV240" s="20">
        <v>0</v>
      </c>
      <c r="CW240" s="20">
        <v>0</v>
      </c>
      <c r="CX240" s="20">
        <v>0</v>
      </c>
      <c r="CY240" s="20">
        <v>0</v>
      </c>
      <c r="CZ240" s="20">
        <v>0</v>
      </c>
      <c r="DA240" s="20">
        <v>0</v>
      </c>
      <c r="DB240" s="20">
        <v>0</v>
      </c>
      <c r="DC240" s="20">
        <v>0</v>
      </c>
      <c r="DD240" s="20">
        <v>0</v>
      </c>
      <c r="DE240" s="20">
        <v>0</v>
      </c>
      <c r="DF240" s="20">
        <v>0</v>
      </c>
      <c r="DG240" s="16">
        <f t="shared" si="19"/>
        <v>0</v>
      </c>
      <c r="DH240" s="16">
        <f t="shared" si="20"/>
        <v>0</v>
      </c>
      <c r="DI240" s="17" t="str">
        <f t="shared" si="21"/>
        <v/>
      </c>
      <c r="DJ240" s="119" t="s">
        <v>4</v>
      </c>
      <c r="DK240" s="119" t="s">
        <v>1530</v>
      </c>
    </row>
    <row r="241" spans="1:115">
      <c r="A241" s="32" t="str">
        <f t="shared" si="22"/>
        <v>AusNet--GROUND OUTDOOR / INDOOR CHAMBER MOUNTED ; &gt; 132 kV ;  &gt; 100 MVA</v>
      </c>
      <c r="B241" s="32" t="str">
        <f t="shared" si="23"/>
        <v>AusNet</v>
      </c>
      <c r="C241" s="426"/>
      <c r="D241" s="14"/>
      <c r="E241" s="15" t="s">
        <v>240</v>
      </c>
      <c r="F241" s="18">
        <v>0</v>
      </c>
      <c r="G241" s="18">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0">
        <v>0</v>
      </c>
      <c r="AY241" s="20">
        <v>0</v>
      </c>
      <c r="AZ241" s="20">
        <v>0</v>
      </c>
      <c r="BA241" s="20">
        <v>0</v>
      </c>
      <c r="BB241" s="20">
        <v>0</v>
      </c>
      <c r="BC241" s="20">
        <v>0</v>
      </c>
      <c r="BD241" s="20">
        <v>0</v>
      </c>
      <c r="BE241" s="20">
        <v>0</v>
      </c>
      <c r="BF241" s="20">
        <v>0</v>
      </c>
      <c r="BG241" s="20">
        <v>0</v>
      </c>
      <c r="BH241" s="20">
        <v>0</v>
      </c>
      <c r="BI241" s="20">
        <v>0</v>
      </c>
      <c r="BJ241" s="20">
        <v>0</v>
      </c>
      <c r="BK241" s="20">
        <v>0</v>
      </c>
      <c r="BL241" s="20">
        <v>0</v>
      </c>
      <c r="BM241" s="20">
        <v>0</v>
      </c>
      <c r="BN241" s="20">
        <v>0</v>
      </c>
      <c r="BO241" s="20">
        <v>0</v>
      </c>
      <c r="BP241" s="20">
        <v>0</v>
      </c>
      <c r="BQ241" s="20">
        <v>0</v>
      </c>
      <c r="BR241" s="20">
        <v>0</v>
      </c>
      <c r="BS241" s="20">
        <v>0</v>
      </c>
      <c r="BT241" s="20">
        <v>0</v>
      </c>
      <c r="BU241" s="20">
        <v>0</v>
      </c>
      <c r="BV241" s="20">
        <v>0</v>
      </c>
      <c r="BW241" s="20">
        <v>0</v>
      </c>
      <c r="BX241" s="20">
        <v>0</v>
      </c>
      <c r="BY241" s="20">
        <v>0</v>
      </c>
      <c r="BZ241" s="20">
        <v>0</v>
      </c>
      <c r="CA241" s="20">
        <v>0</v>
      </c>
      <c r="CB241" s="20">
        <v>0</v>
      </c>
      <c r="CC241" s="20">
        <v>0</v>
      </c>
      <c r="CD241" s="20">
        <v>0</v>
      </c>
      <c r="CE241" s="20">
        <v>0</v>
      </c>
      <c r="CF241" s="20">
        <v>0</v>
      </c>
      <c r="CG241" s="20">
        <v>0</v>
      </c>
      <c r="CH241" s="20">
        <v>0</v>
      </c>
      <c r="CI241" s="20">
        <v>0</v>
      </c>
      <c r="CJ241" s="20">
        <v>0</v>
      </c>
      <c r="CK241" s="20">
        <v>0</v>
      </c>
      <c r="CL241" s="20">
        <v>0</v>
      </c>
      <c r="CM241" s="20">
        <v>0</v>
      </c>
      <c r="CN241" s="20">
        <v>0</v>
      </c>
      <c r="CO241" s="20">
        <v>0</v>
      </c>
      <c r="CP241" s="20">
        <v>0</v>
      </c>
      <c r="CQ241" s="20">
        <v>0</v>
      </c>
      <c r="CR241" s="20">
        <v>0</v>
      </c>
      <c r="CS241" s="20">
        <v>0</v>
      </c>
      <c r="CT241" s="20">
        <v>0</v>
      </c>
      <c r="CU241" s="20">
        <v>0</v>
      </c>
      <c r="CV241" s="20">
        <v>0</v>
      </c>
      <c r="CW241" s="20">
        <v>0</v>
      </c>
      <c r="CX241" s="20">
        <v>0</v>
      </c>
      <c r="CY241" s="20">
        <v>0</v>
      </c>
      <c r="CZ241" s="20">
        <v>0</v>
      </c>
      <c r="DA241" s="20">
        <v>0</v>
      </c>
      <c r="DB241" s="20">
        <v>0</v>
      </c>
      <c r="DC241" s="20">
        <v>0</v>
      </c>
      <c r="DD241" s="20">
        <v>0</v>
      </c>
      <c r="DE241" s="20">
        <v>0</v>
      </c>
      <c r="DF241" s="20">
        <v>0</v>
      </c>
      <c r="DG241" s="16">
        <f t="shared" si="19"/>
        <v>0</v>
      </c>
      <c r="DH241" s="16">
        <f t="shared" si="20"/>
        <v>0</v>
      </c>
      <c r="DI241" s="17" t="str">
        <f t="shared" si="21"/>
        <v/>
      </c>
      <c r="DJ241" s="119" t="s">
        <v>4</v>
      </c>
      <c r="DK241" s="119" t="s">
        <v>1530</v>
      </c>
    </row>
    <row r="242" spans="1:115">
      <c r="A242" s="32" t="str">
        <f t="shared" si="22"/>
        <v>AusNet--OTHER - PLEASE ADD A ROW IF NECESSARY AND NOMINATE THE CATEGORY</v>
      </c>
      <c r="B242" s="32" t="str">
        <f t="shared" si="23"/>
        <v>AusNet</v>
      </c>
      <c r="C242" s="426"/>
      <c r="D242" s="14"/>
      <c r="E242" s="15" t="s">
        <v>170</v>
      </c>
      <c r="F242" s="18"/>
      <c r="G242" s="18"/>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16">
        <f t="shared" si="19"/>
        <v>0</v>
      </c>
      <c r="DH242" s="16">
        <f t="shared" si="20"/>
        <v>0</v>
      </c>
      <c r="DI242" s="17" t="str">
        <f t="shared" si="21"/>
        <v/>
      </c>
      <c r="DJ242" s="119" t="s">
        <v>4</v>
      </c>
      <c r="DK242" s="44" t="s">
        <v>4</v>
      </c>
    </row>
    <row r="243" spans="1:115" ht="45">
      <c r="A243" s="32" t="str">
        <f t="shared" si="22"/>
        <v>AusNet-SWITCHGEAR BY: 
HIGHEST OPERATING VOLTAGE ; SWITCH FUNCTION-˂ = 11 kV ;  FUSE</v>
      </c>
      <c r="B243" s="32" t="str">
        <f t="shared" si="23"/>
        <v>AusNet</v>
      </c>
      <c r="C243" s="426"/>
      <c r="D243" s="14" t="s">
        <v>545</v>
      </c>
      <c r="E243" s="15" t="s">
        <v>246</v>
      </c>
      <c r="F243" s="18">
        <v>45</v>
      </c>
      <c r="G243" s="18">
        <v>10</v>
      </c>
      <c r="H243" s="20">
        <v>7</v>
      </c>
      <c r="I243" s="20">
        <v>17</v>
      </c>
      <c r="J243" s="20">
        <v>15</v>
      </c>
      <c r="K243" s="20">
        <v>6</v>
      </c>
      <c r="L243" s="20">
        <v>0</v>
      </c>
      <c r="M243" s="20">
        <v>15</v>
      </c>
      <c r="N243" s="20">
        <v>0</v>
      </c>
      <c r="O243" s="20">
        <v>0</v>
      </c>
      <c r="P243" s="20">
        <v>0</v>
      </c>
      <c r="Q243" s="20">
        <v>6</v>
      </c>
      <c r="R243" s="20">
        <v>3</v>
      </c>
      <c r="S243" s="20">
        <v>3</v>
      </c>
      <c r="T243" s="20">
        <v>0</v>
      </c>
      <c r="U243" s="20">
        <v>8</v>
      </c>
      <c r="V243" s="20">
        <v>3</v>
      </c>
      <c r="W243" s="20">
        <v>2</v>
      </c>
      <c r="X243" s="20">
        <v>3</v>
      </c>
      <c r="Y243" s="20">
        <v>7</v>
      </c>
      <c r="Z243" s="20">
        <v>12</v>
      </c>
      <c r="AA243" s="20">
        <v>6</v>
      </c>
      <c r="AB243" s="20">
        <v>12</v>
      </c>
      <c r="AC243" s="20">
        <v>8</v>
      </c>
      <c r="AD243" s="20">
        <v>1</v>
      </c>
      <c r="AE243" s="20">
        <v>13</v>
      </c>
      <c r="AF243" s="20">
        <v>23</v>
      </c>
      <c r="AG243" s="20">
        <v>98</v>
      </c>
      <c r="AH243" s="20">
        <v>9</v>
      </c>
      <c r="AI243" s="20">
        <v>173</v>
      </c>
      <c r="AJ243" s="20">
        <v>9</v>
      </c>
      <c r="AK243" s="20">
        <v>27</v>
      </c>
      <c r="AL243" s="20">
        <v>11</v>
      </c>
      <c r="AM243" s="20">
        <v>9</v>
      </c>
      <c r="AN243" s="20">
        <v>18</v>
      </c>
      <c r="AO243" s="20">
        <v>16</v>
      </c>
      <c r="AP243" s="20">
        <v>3</v>
      </c>
      <c r="AQ243" s="20">
        <v>6</v>
      </c>
      <c r="AR243" s="20">
        <v>12</v>
      </c>
      <c r="AS243" s="20">
        <v>14</v>
      </c>
      <c r="AT243" s="20">
        <v>3</v>
      </c>
      <c r="AU243" s="20">
        <v>6</v>
      </c>
      <c r="AV243" s="20">
        <v>0</v>
      </c>
      <c r="AW243" s="20">
        <v>17</v>
      </c>
      <c r="AX243" s="20">
        <v>0</v>
      </c>
      <c r="AY243" s="20">
        <v>0</v>
      </c>
      <c r="AZ243" s="20">
        <v>0</v>
      </c>
      <c r="BA243" s="20">
        <v>0</v>
      </c>
      <c r="BB243" s="20">
        <v>0</v>
      </c>
      <c r="BC243" s="20">
        <v>0</v>
      </c>
      <c r="BD243" s="20">
        <v>0</v>
      </c>
      <c r="BE243" s="20">
        <v>0</v>
      </c>
      <c r="BF243" s="20">
        <v>0</v>
      </c>
      <c r="BG243" s="20">
        <v>0</v>
      </c>
      <c r="BH243" s="20">
        <v>0</v>
      </c>
      <c r="BI243" s="20">
        <v>0</v>
      </c>
      <c r="BJ243" s="20">
        <v>0</v>
      </c>
      <c r="BK243" s="20">
        <v>0</v>
      </c>
      <c r="BL243" s="20">
        <v>0</v>
      </c>
      <c r="BM243" s="20">
        <v>0</v>
      </c>
      <c r="BN243" s="20">
        <v>0</v>
      </c>
      <c r="BO243" s="20">
        <v>0</v>
      </c>
      <c r="BP243" s="20">
        <v>0</v>
      </c>
      <c r="BQ243" s="20">
        <v>0</v>
      </c>
      <c r="BR243" s="20">
        <v>0</v>
      </c>
      <c r="BS243" s="20">
        <v>0</v>
      </c>
      <c r="BT243" s="20">
        <v>0</v>
      </c>
      <c r="BU243" s="20">
        <v>0</v>
      </c>
      <c r="BV243" s="20">
        <v>0</v>
      </c>
      <c r="BW243" s="20">
        <v>0</v>
      </c>
      <c r="BX243" s="20">
        <v>0</v>
      </c>
      <c r="BY243" s="20">
        <v>0</v>
      </c>
      <c r="BZ243" s="20">
        <v>0</v>
      </c>
      <c r="CA243" s="20">
        <v>0</v>
      </c>
      <c r="CB243" s="20">
        <v>0</v>
      </c>
      <c r="CC243" s="20">
        <v>0</v>
      </c>
      <c r="CD243" s="20">
        <v>0</v>
      </c>
      <c r="CE243" s="20">
        <v>0</v>
      </c>
      <c r="CF243" s="20">
        <v>0</v>
      </c>
      <c r="CG243" s="20">
        <v>0</v>
      </c>
      <c r="CH243" s="20">
        <v>0</v>
      </c>
      <c r="CI243" s="20">
        <v>0</v>
      </c>
      <c r="CJ243" s="20">
        <v>0</v>
      </c>
      <c r="CK243" s="20">
        <v>0</v>
      </c>
      <c r="CL243" s="20">
        <v>0</v>
      </c>
      <c r="CM243" s="20">
        <v>0</v>
      </c>
      <c r="CN243" s="20">
        <v>0</v>
      </c>
      <c r="CO243" s="20">
        <v>0</v>
      </c>
      <c r="CP243" s="20">
        <v>0</v>
      </c>
      <c r="CQ243" s="20">
        <v>0</v>
      </c>
      <c r="CR243" s="20">
        <v>0</v>
      </c>
      <c r="CS243" s="20">
        <v>0</v>
      </c>
      <c r="CT243" s="20">
        <v>0</v>
      </c>
      <c r="CU243" s="20">
        <v>0</v>
      </c>
      <c r="CV243" s="20">
        <v>0</v>
      </c>
      <c r="CW243" s="20">
        <v>0</v>
      </c>
      <c r="CX243" s="20">
        <v>0</v>
      </c>
      <c r="CY243" s="20">
        <v>0</v>
      </c>
      <c r="CZ243" s="20">
        <v>0</v>
      </c>
      <c r="DA243" s="20">
        <v>0</v>
      </c>
      <c r="DB243" s="20">
        <v>0</v>
      </c>
      <c r="DC243" s="20">
        <v>0</v>
      </c>
      <c r="DD243" s="20">
        <v>0</v>
      </c>
      <c r="DE243" s="20">
        <v>0</v>
      </c>
      <c r="DF243" s="20">
        <v>1</v>
      </c>
      <c r="DG243" s="16">
        <f t="shared" si="19"/>
        <v>602</v>
      </c>
      <c r="DH243" s="16">
        <f t="shared" si="20"/>
        <v>15325</v>
      </c>
      <c r="DI243" s="17">
        <f t="shared" si="21"/>
        <v>25.456810631229235</v>
      </c>
      <c r="DJ243" s="119" t="s">
        <v>2</v>
      </c>
      <c r="DK243" t="s">
        <v>2</v>
      </c>
    </row>
    <row r="244" spans="1:115">
      <c r="A244" s="32" t="str">
        <f t="shared" si="22"/>
        <v>AusNet--˂ = 11 kV  ; SWITCH</v>
      </c>
      <c r="B244" s="32" t="str">
        <f t="shared" si="23"/>
        <v>AusNet</v>
      </c>
      <c r="C244" s="426"/>
      <c r="D244" s="14"/>
      <c r="E244" s="15" t="s">
        <v>247</v>
      </c>
      <c r="F244" s="18">
        <v>45</v>
      </c>
      <c r="G244" s="18">
        <v>10</v>
      </c>
      <c r="H244" s="20">
        <v>5</v>
      </c>
      <c r="I244" s="20">
        <v>4</v>
      </c>
      <c r="J244" s="20">
        <v>2</v>
      </c>
      <c r="K244" s="20">
        <v>6</v>
      </c>
      <c r="L244" s="20">
        <v>1</v>
      </c>
      <c r="M244" s="20">
        <v>10</v>
      </c>
      <c r="N244" s="20">
        <v>5</v>
      </c>
      <c r="O244" s="20">
        <v>14</v>
      </c>
      <c r="P244" s="20">
        <v>1</v>
      </c>
      <c r="Q244" s="20">
        <v>5</v>
      </c>
      <c r="R244" s="20">
        <v>3</v>
      </c>
      <c r="S244" s="20">
        <v>3</v>
      </c>
      <c r="T244" s="20">
        <v>2</v>
      </c>
      <c r="U244" s="20">
        <v>2</v>
      </c>
      <c r="V244" s="20">
        <v>1</v>
      </c>
      <c r="W244" s="20">
        <v>1</v>
      </c>
      <c r="X244" s="20">
        <v>1</v>
      </c>
      <c r="Y244" s="20">
        <v>1</v>
      </c>
      <c r="Z244" s="20">
        <v>1</v>
      </c>
      <c r="AA244" s="20">
        <v>1</v>
      </c>
      <c r="AB244" s="20">
        <v>2</v>
      </c>
      <c r="AC244" s="20">
        <v>1</v>
      </c>
      <c r="AD244" s="20">
        <v>0</v>
      </c>
      <c r="AE244" s="20">
        <v>1</v>
      </c>
      <c r="AF244" s="20">
        <v>2</v>
      </c>
      <c r="AG244" s="20">
        <v>1</v>
      </c>
      <c r="AH244" s="20">
        <v>2</v>
      </c>
      <c r="AI244" s="20">
        <v>5</v>
      </c>
      <c r="AJ244" s="20">
        <v>3</v>
      </c>
      <c r="AK244" s="20">
        <v>11</v>
      </c>
      <c r="AL244" s="20">
        <v>2</v>
      </c>
      <c r="AM244" s="20">
        <v>7</v>
      </c>
      <c r="AN244" s="20">
        <v>5</v>
      </c>
      <c r="AO244" s="20">
        <v>2</v>
      </c>
      <c r="AP244" s="20">
        <v>0</v>
      </c>
      <c r="AQ244" s="20">
        <v>2</v>
      </c>
      <c r="AR244" s="20">
        <v>3</v>
      </c>
      <c r="AS244" s="20">
        <v>4</v>
      </c>
      <c r="AT244" s="20">
        <v>1</v>
      </c>
      <c r="AU244" s="20">
        <v>0</v>
      </c>
      <c r="AV244" s="20">
        <v>0</v>
      </c>
      <c r="AW244" s="20">
        <v>3</v>
      </c>
      <c r="AX244" s="20">
        <v>3</v>
      </c>
      <c r="AY244" s="20">
        <v>0</v>
      </c>
      <c r="AZ244" s="20">
        <v>0</v>
      </c>
      <c r="BA244" s="20">
        <v>0</v>
      </c>
      <c r="BB244" s="20">
        <v>0</v>
      </c>
      <c r="BC244" s="20">
        <v>11</v>
      </c>
      <c r="BD244" s="20">
        <v>1</v>
      </c>
      <c r="BE244" s="20">
        <v>1</v>
      </c>
      <c r="BF244" s="20">
        <v>0</v>
      </c>
      <c r="BG244" s="20">
        <v>0</v>
      </c>
      <c r="BH244" s="20">
        <v>2</v>
      </c>
      <c r="BI244" s="20">
        <v>0</v>
      </c>
      <c r="BJ244" s="20">
        <v>0</v>
      </c>
      <c r="BK244" s="20">
        <v>0</v>
      </c>
      <c r="BL244" s="20">
        <v>0</v>
      </c>
      <c r="BM244" s="20">
        <v>1</v>
      </c>
      <c r="BN244" s="20">
        <v>0</v>
      </c>
      <c r="BO244" s="20">
        <v>0</v>
      </c>
      <c r="BP244" s="20">
        <v>0</v>
      </c>
      <c r="BQ244" s="20">
        <v>0</v>
      </c>
      <c r="BR244" s="20">
        <v>0</v>
      </c>
      <c r="BS244" s="20">
        <v>24</v>
      </c>
      <c r="BT244" s="20">
        <v>0</v>
      </c>
      <c r="BU244" s="20">
        <v>0</v>
      </c>
      <c r="BV244" s="20">
        <v>1</v>
      </c>
      <c r="BW244" s="20">
        <v>0</v>
      </c>
      <c r="BX244" s="20">
        <v>0</v>
      </c>
      <c r="BY244" s="20">
        <v>0</v>
      </c>
      <c r="BZ244" s="20">
        <v>0</v>
      </c>
      <c r="CA244" s="20">
        <v>0</v>
      </c>
      <c r="CB244" s="20">
        <v>0</v>
      </c>
      <c r="CC244" s="20">
        <v>0</v>
      </c>
      <c r="CD244" s="20">
        <v>0</v>
      </c>
      <c r="CE244" s="20">
        <v>1</v>
      </c>
      <c r="CF244" s="20">
        <v>37</v>
      </c>
      <c r="CG244" s="20">
        <v>1</v>
      </c>
      <c r="CH244" s="20">
        <v>2</v>
      </c>
      <c r="CI244" s="20">
        <v>0</v>
      </c>
      <c r="CJ244" s="20">
        <v>0</v>
      </c>
      <c r="CK244" s="20">
        <v>0</v>
      </c>
      <c r="CL244" s="20">
        <v>0</v>
      </c>
      <c r="CM244" s="20">
        <v>0</v>
      </c>
      <c r="CN244" s="20">
        <v>0</v>
      </c>
      <c r="CO244" s="20">
        <v>0</v>
      </c>
      <c r="CP244" s="20">
        <v>0</v>
      </c>
      <c r="CQ244" s="20">
        <v>0</v>
      </c>
      <c r="CR244" s="20">
        <v>0</v>
      </c>
      <c r="CS244" s="20">
        <v>0</v>
      </c>
      <c r="CT244" s="20">
        <v>0</v>
      </c>
      <c r="CU244" s="20">
        <v>0</v>
      </c>
      <c r="CV244" s="20">
        <v>0</v>
      </c>
      <c r="CW244" s="20">
        <v>0</v>
      </c>
      <c r="CX244" s="20">
        <v>0</v>
      </c>
      <c r="CY244" s="20">
        <v>0</v>
      </c>
      <c r="CZ244" s="20">
        <v>0</v>
      </c>
      <c r="DA244" s="20">
        <v>0</v>
      </c>
      <c r="DB244" s="20">
        <v>0</v>
      </c>
      <c r="DC244" s="20">
        <v>0</v>
      </c>
      <c r="DD244" s="20">
        <v>0</v>
      </c>
      <c r="DE244" s="20">
        <v>0</v>
      </c>
      <c r="DF244" s="20">
        <v>2</v>
      </c>
      <c r="DG244" s="16">
        <f t="shared" si="19"/>
        <v>213</v>
      </c>
      <c r="DH244" s="16">
        <f t="shared" si="20"/>
        <v>8226</v>
      </c>
      <c r="DI244" s="17">
        <f t="shared" si="21"/>
        <v>38.619718309859152</v>
      </c>
      <c r="DJ244" s="119" t="s">
        <v>2</v>
      </c>
      <c r="DK244" s="44" t="s">
        <v>2</v>
      </c>
    </row>
    <row r="245" spans="1:115">
      <c r="A245" s="32" t="str">
        <f t="shared" si="22"/>
        <v>AusNet--˂ = 11 kV ;  CIRCUIT BREAKER</v>
      </c>
      <c r="B245" s="32" t="str">
        <f t="shared" si="23"/>
        <v>AusNet</v>
      </c>
      <c r="C245" s="426"/>
      <c r="D245" s="14"/>
      <c r="E245" s="15" t="s">
        <v>248</v>
      </c>
      <c r="F245" s="18">
        <v>50</v>
      </c>
      <c r="G245" s="18">
        <v>10</v>
      </c>
      <c r="H245" s="20">
        <v>0</v>
      </c>
      <c r="I245" s="20">
        <v>0</v>
      </c>
      <c r="J245" s="20">
        <v>0</v>
      </c>
      <c r="K245" s="20">
        <v>0</v>
      </c>
      <c r="L245" s="20">
        <v>0</v>
      </c>
      <c r="M245" s="20">
        <v>0</v>
      </c>
      <c r="N245" s="20">
        <v>0</v>
      </c>
      <c r="O245" s="20">
        <v>13</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1</v>
      </c>
      <c r="AM245" s="20">
        <v>0</v>
      </c>
      <c r="AN245" s="20">
        <v>0</v>
      </c>
      <c r="AO245" s="20">
        <v>0</v>
      </c>
      <c r="AP245" s="20">
        <v>0</v>
      </c>
      <c r="AQ245" s="20">
        <v>0</v>
      </c>
      <c r="AR245" s="20">
        <v>0</v>
      </c>
      <c r="AS245" s="20">
        <v>0</v>
      </c>
      <c r="AT245" s="20">
        <v>10</v>
      </c>
      <c r="AU245" s="20">
        <v>0</v>
      </c>
      <c r="AV245" s="20">
        <v>0</v>
      </c>
      <c r="AW245" s="20">
        <v>0</v>
      </c>
      <c r="AX245" s="20">
        <v>4</v>
      </c>
      <c r="AY245" s="20">
        <v>0</v>
      </c>
      <c r="AZ245" s="20">
        <v>0</v>
      </c>
      <c r="BA245" s="20">
        <v>0</v>
      </c>
      <c r="BB245" s="20">
        <v>0</v>
      </c>
      <c r="BC245" s="20">
        <v>0</v>
      </c>
      <c r="BD245" s="20">
        <v>0</v>
      </c>
      <c r="BE245" s="20">
        <v>0</v>
      </c>
      <c r="BF245" s="20">
        <v>0</v>
      </c>
      <c r="BG245" s="20">
        <v>0</v>
      </c>
      <c r="BH245" s="20">
        <v>0</v>
      </c>
      <c r="BI245" s="20">
        <v>11</v>
      </c>
      <c r="BJ245" s="20">
        <v>0</v>
      </c>
      <c r="BK245" s="20">
        <v>0</v>
      </c>
      <c r="BL245" s="20">
        <v>6</v>
      </c>
      <c r="BM245" s="20">
        <v>0</v>
      </c>
      <c r="BN245" s="20">
        <v>0</v>
      </c>
      <c r="BO245" s="20">
        <v>0</v>
      </c>
      <c r="BP245" s="20">
        <v>0</v>
      </c>
      <c r="BQ245" s="20">
        <v>0</v>
      </c>
      <c r="BR245" s="20">
        <v>0</v>
      </c>
      <c r="BS245" s="20">
        <v>0</v>
      </c>
      <c r="BT245" s="20">
        <v>15</v>
      </c>
      <c r="BU245" s="20">
        <v>0</v>
      </c>
      <c r="BV245" s="20">
        <v>0</v>
      </c>
      <c r="BW245" s="20">
        <v>0</v>
      </c>
      <c r="BX245" s="20">
        <v>0</v>
      </c>
      <c r="BY245" s="20">
        <v>0</v>
      </c>
      <c r="BZ245" s="20">
        <v>0</v>
      </c>
      <c r="CA245" s="20">
        <v>0</v>
      </c>
      <c r="CB245" s="20">
        <v>0</v>
      </c>
      <c r="CC245" s="20">
        <v>0</v>
      </c>
      <c r="CD245" s="20">
        <v>2</v>
      </c>
      <c r="CE245" s="20">
        <v>0</v>
      </c>
      <c r="CF245" s="20">
        <v>0</v>
      </c>
      <c r="CG245" s="20">
        <v>18</v>
      </c>
      <c r="CH245" s="20">
        <v>0</v>
      </c>
      <c r="CI245" s="20">
        <v>0</v>
      </c>
      <c r="CJ245" s="20">
        <v>0</v>
      </c>
      <c r="CK245" s="20">
        <v>0</v>
      </c>
      <c r="CL245" s="20">
        <v>0</v>
      </c>
      <c r="CM245" s="20">
        <v>0</v>
      </c>
      <c r="CN245" s="20">
        <v>0</v>
      </c>
      <c r="CO245" s="20">
        <v>0</v>
      </c>
      <c r="CP245" s="20">
        <v>0</v>
      </c>
      <c r="CQ245" s="20">
        <v>0</v>
      </c>
      <c r="CR245" s="20">
        <v>0</v>
      </c>
      <c r="CS245" s="20">
        <v>0</v>
      </c>
      <c r="CT245" s="20">
        <v>0</v>
      </c>
      <c r="CU245" s="20">
        <v>0</v>
      </c>
      <c r="CV245" s="20">
        <v>0</v>
      </c>
      <c r="CW245" s="20">
        <v>0</v>
      </c>
      <c r="CX245" s="20">
        <v>0</v>
      </c>
      <c r="CY245" s="20">
        <v>0</v>
      </c>
      <c r="CZ245" s="20">
        <v>0</v>
      </c>
      <c r="DA245" s="20">
        <v>0</v>
      </c>
      <c r="DB245" s="20">
        <v>0</v>
      </c>
      <c r="DC245" s="20">
        <v>0</v>
      </c>
      <c r="DD245" s="20">
        <v>0</v>
      </c>
      <c r="DE245" s="20">
        <v>0</v>
      </c>
      <c r="DF245" s="20">
        <v>0</v>
      </c>
      <c r="DG245" s="16">
        <f t="shared" si="19"/>
        <v>80</v>
      </c>
      <c r="DH245" s="16">
        <f t="shared" si="20"/>
        <v>4162</v>
      </c>
      <c r="DI245" s="17">
        <f t="shared" si="21"/>
        <v>52.024999999999999</v>
      </c>
      <c r="DJ245" s="119" t="s">
        <v>2</v>
      </c>
      <c r="DK245" s="44" t="s">
        <v>2</v>
      </c>
    </row>
    <row r="246" spans="1:115">
      <c r="A246" s="32" t="str">
        <f t="shared" si="22"/>
        <v>AusNet--&gt; 11 kV &amp; &lt; = 22 kV  ; FUSE</v>
      </c>
      <c r="B246" s="32" t="str">
        <f t="shared" si="23"/>
        <v>AusNet</v>
      </c>
      <c r="C246" s="426"/>
      <c r="D246" s="14"/>
      <c r="E246" s="15" t="s">
        <v>292</v>
      </c>
      <c r="F246" s="18">
        <v>45</v>
      </c>
      <c r="G246" s="18">
        <v>10</v>
      </c>
      <c r="H246" s="20">
        <v>2556</v>
      </c>
      <c r="I246" s="20">
        <v>845</v>
      </c>
      <c r="J246" s="20">
        <v>1336</v>
      </c>
      <c r="K246" s="20">
        <v>949</v>
      </c>
      <c r="L246" s="20">
        <v>1052</v>
      </c>
      <c r="M246" s="20">
        <v>1907</v>
      </c>
      <c r="N246" s="20">
        <v>895</v>
      </c>
      <c r="O246" s="20">
        <v>578</v>
      </c>
      <c r="P246" s="20">
        <v>749</v>
      </c>
      <c r="Q246" s="20">
        <v>625</v>
      </c>
      <c r="R246" s="20">
        <v>490</v>
      </c>
      <c r="S246" s="20">
        <v>325</v>
      </c>
      <c r="T246" s="20">
        <v>429</v>
      </c>
      <c r="U246" s="20">
        <v>1659</v>
      </c>
      <c r="V246" s="20">
        <v>989</v>
      </c>
      <c r="W246" s="20">
        <v>908</v>
      </c>
      <c r="X246" s="20">
        <v>1806</v>
      </c>
      <c r="Y246" s="20">
        <v>1131</v>
      </c>
      <c r="Z246" s="20">
        <v>1484</v>
      </c>
      <c r="AA246" s="20">
        <v>2010</v>
      </c>
      <c r="AB246" s="20">
        <v>2996</v>
      </c>
      <c r="AC246" s="20">
        <v>2999</v>
      </c>
      <c r="AD246" s="20">
        <v>2855</v>
      </c>
      <c r="AE246" s="20">
        <v>4201</v>
      </c>
      <c r="AF246" s="20">
        <v>4977</v>
      </c>
      <c r="AG246" s="20">
        <v>19070</v>
      </c>
      <c r="AH246" s="20">
        <v>2789</v>
      </c>
      <c r="AI246" s="20">
        <v>15105</v>
      </c>
      <c r="AJ246" s="20">
        <v>1945</v>
      </c>
      <c r="AK246" s="20">
        <v>2068</v>
      </c>
      <c r="AL246" s="20">
        <v>1060</v>
      </c>
      <c r="AM246" s="20">
        <v>1786</v>
      </c>
      <c r="AN246" s="20">
        <v>1444</v>
      </c>
      <c r="AO246" s="20">
        <v>2267</v>
      </c>
      <c r="AP246" s="20">
        <v>348</v>
      </c>
      <c r="AQ246" s="20">
        <v>1117</v>
      </c>
      <c r="AR246" s="20">
        <v>1445</v>
      </c>
      <c r="AS246" s="20">
        <v>916</v>
      </c>
      <c r="AT246" s="20">
        <v>604</v>
      </c>
      <c r="AU246" s="20">
        <v>391</v>
      </c>
      <c r="AV246" s="20">
        <v>291</v>
      </c>
      <c r="AW246" s="20">
        <v>2178</v>
      </c>
      <c r="AX246" s="20">
        <v>55</v>
      </c>
      <c r="AY246" s="20">
        <v>68</v>
      </c>
      <c r="AZ246" s="20">
        <v>54</v>
      </c>
      <c r="BA246" s="20">
        <v>44</v>
      </c>
      <c r="BB246" s="20">
        <v>40</v>
      </c>
      <c r="BC246" s="20">
        <v>31</v>
      </c>
      <c r="BD246" s="20">
        <v>33</v>
      </c>
      <c r="BE246" s="20">
        <v>31</v>
      </c>
      <c r="BF246" s="20">
        <v>13</v>
      </c>
      <c r="BG246" s="20">
        <v>31</v>
      </c>
      <c r="BH246" s="20">
        <v>31</v>
      </c>
      <c r="BI246" s="20">
        <v>37</v>
      </c>
      <c r="BJ246" s="20">
        <v>12</v>
      </c>
      <c r="BK246" s="20">
        <v>11</v>
      </c>
      <c r="BL246" s="20">
        <v>15</v>
      </c>
      <c r="BM246" s="20">
        <v>11</v>
      </c>
      <c r="BN246" s="20">
        <v>3</v>
      </c>
      <c r="BO246" s="20">
        <v>5</v>
      </c>
      <c r="BP246" s="20">
        <v>0</v>
      </c>
      <c r="BQ246" s="20">
        <v>0</v>
      </c>
      <c r="BR246" s="20">
        <v>3</v>
      </c>
      <c r="BS246" s="20">
        <v>0</v>
      </c>
      <c r="BT246" s="20">
        <v>2</v>
      </c>
      <c r="BU246" s="20">
        <v>4</v>
      </c>
      <c r="BV246" s="20">
        <v>0</v>
      </c>
      <c r="BW246" s="20">
        <v>0</v>
      </c>
      <c r="BX246" s="20">
        <v>0</v>
      </c>
      <c r="BY246" s="20">
        <v>0</v>
      </c>
      <c r="BZ246" s="20">
        <v>0</v>
      </c>
      <c r="CA246" s="20">
        <v>1</v>
      </c>
      <c r="CB246" s="20">
        <v>2</v>
      </c>
      <c r="CC246" s="20">
        <v>2</v>
      </c>
      <c r="CD246" s="20">
        <v>6</v>
      </c>
      <c r="CE246" s="20">
        <v>2</v>
      </c>
      <c r="CF246" s="20">
        <v>2</v>
      </c>
      <c r="CG246" s="20">
        <v>0</v>
      </c>
      <c r="CH246" s="20">
        <v>5</v>
      </c>
      <c r="CI246" s="20">
        <v>3</v>
      </c>
      <c r="CJ246" s="20">
        <v>5</v>
      </c>
      <c r="CK246" s="20">
        <v>0</v>
      </c>
      <c r="CL246" s="20">
        <v>0</v>
      </c>
      <c r="CM246" s="20">
        <v>0</v>
      </c>
      <c r="CN246" s="20">
        <v>0</v>
      </c>
      <c r="CO246" s="20">
        <v>0</v>
      </c>
      <c r="CP246" s="20">
        <v>0</v>
      </c>
      <c r="CQ246" s="20">
        <v>0</v>
      </c>
      <c r="CR246" s="20">
        <v>0</v>
      </c>
      <c r="CS246" s="20">
        <v>0</v>
      </c>
      <c r="CT246" s="20">
        <v>0</v>
      </c>
      <c r="CU246" s="20">
        <v>0</v>
      </c>
      <c r="CV246" s="20">
        <v>0</v>
      </c>
      <c r="CW246" s="20">
        <v>0</v>
      </c>
      <c r="CX246" s="20">
        <v>0</v>
      </c>
      <c r="CY246" s="20">
        <v>0</v>
      </c>
      <c r="CZ246" s="20">
        <v>0</v>
      </c>
      <c r="DA246" s="20">
        <v>0</v>
      </c>
      <c r="DB246" s="20">
        <v>0</v>
      </c>
      <c r="DC246" s="20">
        <v>0</v>
      </c>
      <c r="DD246" s="20">
        <v>0</v>
      </c>
      <c r="DE246" s="20">
        <v>0</v>
      </c>
      <c r="DF246" s="20">
        <v>1204</v>
      </c>
      <c r="DG246" s="16">
        <f t="shared" si="19"/>
        <v>97341</v>
      </c>
      <c r="DH246" s="16">
        <f t="shared" si="20"/>
        <v>2422135</v>
      </c>
      <c r="DI246" s="17">
        <f t="shared" si="21"/>
        <v>24.882988668700754</v>
      </c>
      <c r="DJ246" s="119" t="s">
        <v>2</v>
      </c>
      <c r="DK246" s="44" t="s">
        <v>2</v>
      </c>
    </row>
    <row r="247" spans="1:115">
      <c r="A247" s="32" t="str">
        <f t="shared" si="22"/>
        <v>AusNet--&gt; 11 kV &amp; &lt; = 22 kV  ; SWITCH</v>
      </c>
      <c r="B247" s="32" t="str">
        <f t="shared" si="23"/>
        <v>AusNet</v>
      </c>
      <c r="C247" s="426"/>
      <c r="D247" s="14"/>
      <c r="E247" s="15" t="s">
        <v>249</v>
      </c>
      <c r="F247" s="18">
        <v>45</v>
      </c>
      <c r="G247" s="18">
        <v>10</v>
      </c>
      <c r="H247" s="20">
        <v>520</v>
      </c>
      <c r="I247" s="20">
        <v>595</v>
      </c>
      <c r="J247" s="20">
        <v>236</v>
      </c>
      <c r="K247" s="20">
        <v>341</v>
      </c>
      <c r="L247" s="20">
        <v>221</v>
      </c>
      <c r="M247" s="20">
        <v>676</v>
      </c>
      <c r="N247" s="20">
        <v>182</v>
      </c>
      <c r="O247" s="20">
        <v>151</v>
      </c>
      <c r="P247" s="20">
        <v>290</v>
      </c>
      <c r="Q247" s="20">
        <v>227</v>
      </c>
      <c r="R247" s="20">
        <v>259</v>
      </c>
      <c r="S247" s="20">
        <v>126</v>
      </c>
      <c r="T247" s="20">
        <v>267</v>
      </c>
      <c r="U247" s="20">
        <v>140</v>
      </c>
      <c r="V247" s="20">
        <v>112</v>
      </c>
      <c r="W247" s="20">
        <v>169</v>
      </c>
      <c r="X247" s="20">
        <v>29</v>
      </c>
      <c r="Y247" s="20">
        <v>21</v>
      </c>
      <c r="Z247" s="20">
        <v>47</v>
      </c>
      <c r="AA247" s="20">
        <v>48</v>
      </c>
      <c r="AB247" s="20">
        <v>108</v>
      </c>
      <c r="AC247" s="20">
        <v>96</v>
      </c>
      <c r="AD247" s="20">
        <v>55</v>
      </c>
      <c r="AE247" s="20">
        <v>113</v>
      </c>
      <c r="AF247" s="20">
        <v>117</v>
      </c>
      <c r="AG247" s="20">
        <v>142</v>
      </c>
      <c r="AH247" s="20">
        <v>117</v>
      </c>
      <c r="AI247" s="20">
        <v>122</v>
      </c>
      <c r="AJ247" s="20">
        <v>105</v>
      </c>
      <c r="AK247" s="20">
        <v>191</v>
      </c>
      <c r="AL247" s="20">
        <v>88</v>
      </c>
      <c r="AM247" s="20">
        <v>60</v>
      </c>
      <c r="AN247" s="20">
        <v>140</v>
      </c>
      <c r="AO247" s="20">
        <v>100</v>
      </c>
      <c r="AP247" s="20">
        <v>51</v>
      </c>
      <c r="AQ247" s="20">
        <v>49</v>
      </c>
      <c r="AR247" s="20">
        <v>122</v>
      </c>
      <c r="AS247" s="20">
        <v>79</v>
      </c>
      <c r="AT247" s="20">
        <v>33</v>
      </c>
      <c r="AU247" s="20">
        <v>23</v>
      </c>
      <c r="AV247" s="20">
        <v>24</v>
      </c>
      <c r="AW247" s="20">
        <v>23</v>
      </c>
      <c r="AX247" s="20">
        <v>58</v>
      </c>
      <c r="AY247" s="20">
        <v>203</v>
      </c>
      <c r="AZ247" s="20">
        <v>48</v>
      </c>
      <c r="BA247" s="20">
        <v>126</v>
      </c>
      <c r="BB247" s="20">
        <v>82</v>
      </c>
      <c r="BC247" s="20">
        <v>111</v>
      </c>
      <c r="BD247" s="20">
        <v>57</v>
      </c>
      <c r="BE247" s="20">
        <v>60</v>
      </c>
      <c r="BF247" s="20">
        <v>146</v>
      </c>
      <c r="BG247" s="20">
        <v>25</v>
      </c>
      <c r="BH247" s="20">
        <v>24</v>
      </c>
      <c r="BI247" s="20">
        <v>13</v>
      </c>
      <c r="BJ247" s="20">
        <v>18</v>
      </c>
      <c r="BK247" s="20">
        <v>7</v>
      </c>
      <c r="BL247" s="20">
        <v>6</v>
      </c>
      <c r="BM247" s="20">
        <v>9</v>
      </c>
      <c r="BN247" s="20">
        <v>17</v>
      </c>
      <c r="BO247" s="20">
        <v>7</v>
      </c>
      <c r="BP247" s="20">
        <v>2</v>
      </c>
      <c r="BQ247" s="20">
        <v>9</v>
      </c>
      <c r="BR247" s="20">
        <v>1</v>
      </c>
      <c r="BS247" s="20">
        <v>64</v>
      </c>
      <c r="BT247" s="20">
        <v>3</v>
      </c>
      <c r="BU247" s="20">
        <v>9</v>
      </c>
      <c r="BV247" s="20">
        <v>0</v>
      </c>
      <c r="BW247" s="20">
        <v>1</v>
      </c>
      <c r="BX247" s="20">
        <v>0</v>
      </c>
      <c r="BY247" s="20">
        <v>2</v>
      </c>
      <c r="BZ247" s="20">
        <v>5</v>
      </c>
      <c r="CA247" s="20">
        <v>2</v>
      </c>
      <c r="CB247" s="20">
        <v>0</v>
      </c>
      <c r="CC247" s="20">
        <v>2</v>
      </c>
      <c r="CD247" s="20">
        <v>4</v>
      </c>
      <c r="CE247" s="20">
        <v>3</v>
      </c>
      <c r="CF247" s="20">
        <v>0</v>
      </c>
      <c r="CG247" s="20">
        <v>0</v>
      </c>
      <c r="CH247" s="20">
        <v>2</v>
      </c>
      <c r="CI247" s="20">
        <v>1</v>
      </c>
      <c r="CJ247" s="20">
        <v>4</v>
      </c>
      <c r="CK247" s="20">
        <v>0</v>
      </c>
      <c r="CL247" s="20">
        <v>0</v>
      </c>
      <c r="CM247" s="20">
        <v>0</v>
      </c>
      <c r="CN247" s="20">
        <v>0</v>
      </c>
      <c r="CO247" s="20">
        <v>2</v>
      </c>
      <c r="CP247" s="20">
        <v>0</v>
      </c>
      <c r="CQ247" s="20">
        <v>0</v>
      </c>
      <c r="CR247" s="20">
        <v>0</v>
      </c>
      <c r="CS247" s="20">
        <v>0</v>
      </c>
      <c r="CT247" s="20">
        <v>0</v>
      </c>
      <c r="CU247" s="20">
        <v>0</v>
      </c>
      <c r="CV247" s="20">
        <v>0</v>
      </c>
      <c r="CW247" s="20">
        <v>0</v>
      </c>
      <c r="CX247" s="20">
        <v>0</v>
      </c>
      <c r="CY247" s="20">
        <v>0</v>
      </c>
      <c r="CZ247" s="20">
        <v>0</v>
      </c>
      <c r="DA247" s="20">
        <v>0</v>
      </c>
      <c r="DB247" s="20">
        <v>0</v>
      </c>
      <c r="DC247" s="20">
        <v>0</v>
      </c>
      <c r="DD247" s="20">
        <v>0</v>
      </c>
      <c r="DE247" s="20">
        <v>0</v>
      </c>
      <c r="DF247" s="20">
        <v>204</v>
      </c>
      <c r="DG247" s="16">
        <f t="shared" ref="DG247:DG306" si="24">SUM(H247:DF247)</f>
        <v>7952</v>
      </c>
      <c r="DH247" s="16">
        <f t="shared" ref="DH247:DH306" si="25">IFERROR(SUMPRODUCT(H247:DF247,$H$1:$DF$1),"")</f>
        <v>168922</v>
      </c>
      <c r="DI247" s="17">
        <f t="shared" ref="DI247:DI306" si="26">IFERROR(DH247/DG247,"")</f>
        <v>21.242706237424546</v>
      </c>
      <c r="DJ247" s="119" t="s">
        <v>2</v>
      </c>
      <c r="DK247" s="44" t="s">
        <v>2</v>
      </c>
    </row>
    <row r="248" spans="1:115">
      <c r="A248" s="32" t="str">
        <f t="shared" si="22"/>
        <v>AusNet--&gt; 11 kV &amp; &lt; = 22 kV  ; CIRCUIT BREAKER</v>
      </c>
      <c r="B248" s="32" t="str">
        <f t="shared" si="23"/>
        <v>AusNet</v>
      </c>
      <c r="C248" s="426"/>
      <c r="D248" s="14"/>
      <c r="E248" s="15" t="s">
        <v>250</v>
      </c>
      <c r="F248" s="18">
        <v>50</v>
      </c>
      <c r="G248" s="18">
        <v>10</v>
      </c>
      <c r="H248" s="20">
        <v>11</v>
      </c>
      <c r="I248" s="20">
        <v>30</v>
      </c>
      <c r="J248" s="20">
        <v>5</v>
      </c>
      <c r="K248" s="20">
        <v>51</v>
      </c>
      <c r="L248" s="20">
        <v>15</v>
      </c>
      <c r="M248" s="20">
        <v>1</v>
      </c>
      <c r="N248" s="20">
        <v>30</v>
      </c>
      <c r="O248" s="20">
        <v>17</v>
      </c>
      <c r="P248" s="20">
        <v>42</v>
      </c>
      <c r="Q248" s="20">
        <v>4</v>
      </c>
      <c r="R248" s="20">
        <v>10</v>
      </c>
      <c r="S248" s="20">
        <v>4</v>
      </c>
      <c r="T248" s="20">
        <v>35</v>
      </c>
      <c r="U248" s="20">
        <v>5</v>
      </c>
      <c r="V248" s="20">
        <v>18</v>
      </c>
      <c r="W248" s="20">
        <v>39</v>
      </c>
      <c r="X248" s="20">
        <v>0</v>
      </c>
      <c r="Y248" s="20">
        <v>17</v>
      </c>
      <c r="Z248" s="20">
        <v>0</v>
      </c>
      <c r="AA248" s="20">
        <v>1</v>
      </c>
      <c r="AB248" s="20">
        <v>2</v>
      </c>
      <c r="AC248" s="20">
        <v>0</v>
      </c>
      <c r="AD248" s="20">
        <v>0</v>
      </c>
      <c r="AE248" s="20">
        <v>0</v>
      </c>
      <c r="AF248" s="20">
        <v>5</v>
      </c>
      <c r="AG248" s="20">
        <v>1</v>
      </c>
      <c r="AH248" s="20">
        <v>26</v>
      </c>
      <c r="AI248" s="20">
        <v>6</v>
      </c>
      <c r="AJ248" s="20">
        <v>3</v>
      </c>
      <c r="AK248" s="20">
        <v>7</v>
      </c>
      <c r="AL248" s="20">
        <v>14</v>
      </c>
      <c r="AM248" s="20">
        <v>0</v>
      </c>
      <c r="AN248" s="20">
        <v>44</v>
      </c>
      <c r="AO248" s="20">
        <v>0</v>
      </c>
      <c r="AP248" s="20">
        <v>10</v>
      </c>
      <c r="AQ248" s="20">
        <v>40</v>
      </c>
      <c r="AR248" s="20">
        <v>0</v>
      </c>
      <c r="AS248" s="20">
        <v>40</v>
      </c>
      <c r="AT248" s="20">
        <v>0</v>
      </c>
      <c r="AU248" s="20">
        <v>0</v>
      </c>
      <c r="AV248" s="20">
        <v>0</v>
      </c>
      <c r="AW248" s="20">
        <v>0</v>
      </c>
      <c r="AX248" s="20">
        <v>0</v>
      </c>
      <c r="AY248" s="20">
        <v>4</v>
      </c>
      <c r="AZ248" s="20">
        <v>31</v>
      </c>
      <c r="BA248" s="20">
        <v>8</v>
      </c>
      <c r="BB248" s="20">
        <v>11</v>
      </c>
      <c r="BC248" s="20">
        <v>7</v>
      </c>
      <c r="BD248" s="20">
        <v>16</v>
      </c>
      <c r="BE248" s="20">
        <v>12</v>
      </c>
      <c r="BF248" s="20">
        <v>4</v>
      </c>
      <c r="BG248" s="20">
        <v>25</v>
      </c>
      <c r="BH248" s="20">
        <v>12</v>
      </c>
      <c r="BI248" s="20">
        <v>4</v>
      </c>
      <c r="BJ248" s="20">
        <v>1</v>
      </c>
      <c r="BK248" s="20">
        <v>5</v>
      </c>
      <c r="BL248" s="20">
        <v>0</v>
      </c>
      <c r="BM248" s="20">
        <v>4</v>
      </c>
      <c r="BN248" s="20">
        <v>7</v>
      </c>
      <c r="BO248" s="20">
        <v>6</v>
      </c>
      <c r="BP248" s="20">
        <v>0</v>
      </c>
      <c r="BQ248" s="20">
        <v>0</v>
      </c>
      <c r="BR248" s="20">
        <v>0</v>
      </c>
      <c r="BS248" s="20">
        <v>0</v>
      </c>
      <c r="BT248" s="20">
        <v>5</v>
      </c>
      <c r="BU248" s="20">
        <v>0</v>
      </c>
      <c r="BV248" s="20">
        <v>0</v>
      </c>
      <c r="BW248" s="20">
        <v>0</v>
      </c>
      <c r="BX248" s="20">
        <v>0</v>
      </c>
      <c r="BY248" s="20">
        <v>0</v>
      </c>
      <c r="BZ248" s="20">
        <v>0</v>
      </c>
      <c r="CA248" s="20">
        <v>0</v>
      </c>
      <c r="CB248" s="20">
        <v>0</v>
      </c>
      <c r="CC248" s="20">
        <v>0</v>
      </c>
      <c r="CD248" s="20">
        <v>0</v>
      </c>
      <c r="CE248" s="20">
        <v>0</v>
      </c>
      <c r="CF248" s="20">
        <v>0</v>
      </c>
      <c r="CG248" s="20">
        <v>0</v>
      </c>
      <c r="CH248" s="20">
        <v>0</v>
      </c>
      <c r="CI248" s="20">
        <v>0</v>
      </c>
      <c r="CJ248" s="20">
        <v>0</v>
      </c>
      <c r="CK248" s="20">
        <v>0</v>
      </c>
      <c r="CL248" s="20">
        <v>0</v>
      </c>
      <c r="CM248" s="20">
        <v>0</v>
      </c>
      <c r="CN248" s="20">
        <v>0</v>
      </c>
      <c r="CO248" s="20">
        <v>0</v>
      </c>
      <c r="CP248" s="20">
        <v>0</v>
      </c>
      <c r="CQ248" s="20">
        <v>0</v>
      </c>
      <c r="CR248" s="20">
        <v>0</v>
      </c>
      <c r="CS248" s="20">
        <v>0</v>
      </c>
      <c r="CT248" s="20">
        <v>0</v>
      </c>
      <c r="CU248" s="20">
        <v>0</v>
      </c>
      <c r="CV248" s="20">
        <v>0</v>
      </c>
      <c r="CW248" s="20">
        <v>0</v>
      </c>
      <c r="CX248" s="20">
        <v>0</v>
      </c>
      <c r="CY248" s="20">
        <v>0</v>
      </c>
      <c r="CZ248" s="20">
        <v>0</v>
      </c>
      <c r="DA248" s="20">
        <v>0</v>
      </c>
      <c r="DB248" s="20">
        <v>0</v>
      </c>
      <c r="DC248" s="20">
        <v>0</v>
      </c>
      <c r="DD248" s="20">
        <v>0</v>
      </c>
      <c r="DE248" s="20">
        <v>0</v>
      </c>
      <c r="DF248" s="20">
        <v>24</v>
      </c>
      <c r="DG248" s="16">
        <f t="shared" si="24"/>
        <v>719</v>
      </c>
      <c r="DH248" s="16">
        <f t="shared" si="25"/>
        <v>20263</v>
      </c>
      <c r="DI248" s="17">
        <f t="shared" si="26"/>
        <v>28.182197496522949</v>
      </c>
      <c r="DJ248" s="119" t="s">
        <v>2</v>
      </c>
      <c r="DK248" s="44" t="s">
        <v>2</v>
      </c>
    </row>
    <row r="249" spans="1:115">
      <c r="A249" s="32" t="str">
        <f t="shared" si="22"/>
        <v>AusNet--&gt; 22 kV &amp; &lt; = 33 kV ; SWITCH</v>
      </c>
      <c r="B249" s="32" t="str">
        <f t="shared" si="23"/>
        <v>AusNet</v>
      </c>
      <c r="C249" s="426"/>
      <c r="D249" s="14"/>
      <c r="E249" s="15" t="s">
        <v>251</v>
      </c>
      <c r="F249" s="18">
        <v>0</v>
      </c>
      <c r="G249" s="18">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0">
        <v>0</v>
      </c>
      <c r="AY249" s="20">
        <v>0</v>
      </c>
      <c r="AZ249" s="20">
        <v>0</v>
      </c>
      <c r="BA249" s="20">
        <v>0</v>
      </c>
      <c r="BB249" s="20">
        <v>0</v>
      </c>
      <c r="BC249" s="20">
        <v>0</v>
      </c>
      <c r="BD249" s="20">
        <v>0</v>
      </c>
      <c r="BE249" s="20">
        <v>0</v>
      </c>
      <c r="BF249" s="20">
        <v>0</v>
      </c>
      <c r="BG249" s="20">
        <v>0</v>
      </c>
      <c r="BH249" s="20">
        <v>0</v>
      </c>
      <c r="BI249" s="20">
        <v>0</v>
      </c>
      <c r="BJ249" s="20">
        <v>0</v>
      </c>
      <c r="BK249" s="20">
        <v>0</v>
      </c>
      <c r="BL249" s="20">
        <v>0</v>
      </c>
      <c r="BM249" s="20">
        <v>0</v>
      </c>
      <c r="BN249" s="20">
        <v>0</v>
      </c>
      <c r="BO249" s="20">
        <v>0</v>
      </c>
      <c r="BP249" s="20">
        <v>0</v>
      </c>
      <c r="BQ249" s="20">
        <v>0</v>
      </c>
      <c r="BR249" s="20">
        <v>0</v>
      </c>
      <c r="BS249" s="20">
        <v>0</v>
      </c>
      <c r="BT249" s="20">
        <v>0</v>
      </c>
      <c r="BU249" s="20">
        <v>0</v>
      </c>
      <c r="BV249" s="20">
        <v>0</v>
      </c>
      <c r="BW249" s="20">
        <v>0</v>
      </c>
      <c r="BX249" s="20">
        <v>0</v>
      </c>
      <c r="BY249" s="20">
        <v>0</v>
      </c>
      <c r="BZ249" s="20">
        <v>0</v>
      </c>
      <c r="CA249" s="20">
        <v>0</v>
      </c>
      <c r="CB249" s="20">
        <v>0</v>
      </c>
      <c r="CC249" s="20">
        <v>0</v>
      </c>
      <c r="CD249" s="20">
        <v>0</v>
      </c>
      <c r="CE249" s="20">
        <v>0</v>
      </c>
      <c r="CF249" s="20">
        <v>0</v>
      </c>
      <c r="CG249" s="20">
        <v>0</v>
      </c>
      <c r="CH249" s="20">
        <v>0</v>
      </c>
      <c r="CI249" s="20">
        <v>0</v>
      </c>
      <c r="CJ249" s="20">
        <v>0</v>
      </c>
      <c r="CK249" s="20">
        <v>0</v>
      </c>
      <c r="CL249" s="20">
        <v>0</v>
      </c>
      <c r="CM249" s="20">
        <v>0</v>
      </c>
      <c r="CN249" s="20">
        <v>0</v>
      </c>
      <c r="CO249" s="20">
        <v>0</v>
      </c>
      <c r="CP249" s="20">
        <v>0</v>
      </c>
      <c r="CQ249" s="20">
        <v>0</v>
      </c>
      <c r="CR249" s="20">
        <v>0</v>
      </c>
      <c r="CS249" s="20">
        <v>0</v>
      </c>
      <c r="CT249" s="20">
        <v>0</v>
      </c>
      <c r="CU249" s="20">
        <v>0</v>
      </c>
      <c r="CV249" s="20">
        <v>0</v>
      </c>
      <c r="CW249" s="20">
        <v>0</v>
      </c>
      <c r="CX249" s="20">
        <v>0</v>
      </c>
      <c r="CY249" s="20">
        <v>0</v>
      </c>
      <c r="CZ249" s="20">
        <v>0</v>
      </c>
      <c r="DA249" s="20">
        <v>0</v>
      </c>
      <c r="DB249" s="20">
        <v>0</v>
      </c>
      <c r="DC249" s="20">
        <v>0</v>
      </c>
      <c r="DD249" s="20">
        <v>0</v>
      </c>
      <c r="DE249" s="20">
        <v>0</v>
      </c>
      <c r="DF249" s="20">
        <v>0</v>
      </c>
      <c r="DG249" s="16">
        <f t="shared" si="24"/>
        <v>0</v>
      </c>
      <c r="DH249" s="16">
        <f t="shared" si="25"/>
        <v>0</v>
      </c>
      <c r="DI249" s="17" t="str">
        <f t="shared" si="26"/>
        <v/>
      </c>
      <c r="DJ249" s="119" t="s">
        <v>2</v>
      </c>
      <c r="DK249" s="44" t="s">
        <v>2</v>
      </c>
    </row>
    <row r="250" spans="1:115">
      <c r="A250" s="32" t="str">
        <f t="shared" si="22"/>
        <v>AusNet--&gt; 22 kV &amp; &lt; = 33 kV ; CIRCUIT BREAKER</v>
      </c>
      <c r="B250" s="32" t="str">
        <f t="shared" si="23"/>
        <v>AusNet</v>
      </c>
      <c r="C250" s="426"/>
      <c r="D250" s="14"/>
      <c r="E250" s="15" t="s">
        <v>252</v>
      </c>
      <c r="F250" s="18">
        <v>0</v>
      </c>
      <c r="G250" s="18">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0">
        <v>0</v>
      </c>
      <c r="AY250" s="20">
        <v>0</v>
      </c>
      <c r="AZ250" s="20">
        <v>0</v>
      </c>
      <c r="BA250" s="20">
        <v>0</v>
      </c>
      <c r="BB250" s="20">
        <v>0</v>
      </c>
      <c r="BC250" s="20">
        <v>0</v>
      </c>
      <c r="BD250" s="20">
        <v>0</v>
      </c>
      <c r="BE250" s="20">
        <v>0</v>
      </c>
      <c r="BF250" s="20">
        <v>0</v>
      </c>
      <c r="BG250" s="20">
        <v>0</v>
      </c>
      <c r="BH250" s="20">
        <v>0</v>
      </c>
      <c r="BI250" s="20">
        <v>0</v>
      </c>
      <c r="BJ250" s="20">
        <v>0</v>
      </c>
      <c r="BK250" s="20">
        <v>0</v>
      </c>
      <c r="BL250" s="20">
        <v>0</v>
      </c>
      <c r="BM250" s="20">
        <v>0</v>
      </c>
      <c r="BN250" s="20">
        <v>0</v>
      </c>
      <c r="BO250" s="20">
        <v>0</v>
      </c>
      <c r="BP250" s="20">
        <v>0</v>
      </c>
      <c r="BQ250" s="20">
        <v>0</v>
      </c>
      <c r="BR250" s="20">
        <v>0</v>
      </c>
      <c r="BS250" s="20">
        <v>0</v>
      </c>
      <c r="BT250" s="20">
        <v>0</v>
      </c>
      <c r="BU250" s="20">
        <v>0</v>
      </c>
      <c r="BV250" s="20">
        <v>0</v>
      </c>
      <c r="BW250" s="20">
        <v>0</v>
      </c>
      <c r="BX250" s="20">
        <v>0</v>
      </c>
      <c r="BY250" s="20">
        <v>0</v>
      </c>
      <c r="BZ250" s="20">
        <v>0</v>
      </c>
      <c r="CA250" s="20">
        <v>0</v>
      </c>
      <c r="CB250" s="20">
        <v>0</v>
      </c>
      <c r="CC250" s="20">
        <v>0</v>
      </c>
      <c r="CD250" s="20">
        <v>0</v>
      </c>
      <c r="CE250" s="20">
        <v>0</v>
      </c>
      <c r="CF250" s="20">
        <v>0</v>
      </c>
      <c r="CG250" s="20">
        <v>0</v>
      </c>
      <c r="CH250" s="20">
        <v>0</v>
      </c>
      <c r="CI250" s="20">
        <v>0</v>
      </c>
      <c r="CJ250" s="20">
        <v>0</v>
      </c>
      <c r="CK250" s="20">
        <v>0</v>
      </c>
      <c r="CL250" s="20">
        <v>0</v>
      </c>
      <c r="CM250" s="20">
        <v>0</v>
      </c>
      <c r="CN250" s="20">
        <v>0</v>
      </c>
      <c r="CO250" s="20">
        <v>0</v>
      </c>
      <c r="CP250" s="20">
        <v>0</v>
      </c>
      <c r="CQ250" s="20">
        <v>0</v>
      </c>
      <c r="CR250" s="20">
        <v>0</v>
      </c>
      <c r="CS250" s="20">
        <v>0</v>
      </c>
      <c r="CT250" s="20">
        <v>0</v>
      </c>
      <c r="CU250" s="20">
        <v>0</v>
      </c>
      <c r="CV250" s="20">
        <v>0</v>
      </c>
      <c r="CW250" s="20">
        <v>0</v>
      </c>
      <c r="CX250" s="20">
        <v>0</v>
      </c>
      <c r="CY250" s="20">
        <v>0</v>
      </c>
      <c r="CZ250" s="20">
        <v>0</v>
      </c>
      <c r="DA250" s="20">
        <v>0</v>
      </c>
      <c r="DB250" s="20">
        <v>0</v>
      </c>
      <c r="DC250" s="20">
        <v>0</v>
      </c>
      <c r="DD250" s="20">
        <v>0</v>
      </c>
      <c r="DE250" s="20">
        <v>0</v>
      </c>
      <c r="DF250" s="20">
        <v>0</v>
      </c>
      <c r="DG250" s="16">
        <f t="shared" si="24"/>
        <v>0</v>
      </c>
      <c r="DH250" s="16">
        <f t="shared" si="25"/>
        <v>0</v>
      </c>
      <c r="DI250" s="17" t="str">
        <f t="shared" si="26"/>
        <v/>
      </c>
      <c r="DJ250" s="119" t="s">
        <v>2</v>
      </c>
      <c r="DK250" s="44" t="s">
        <v>2</v>
      </c>
    </row>
    <row r="251" spans="1:115">
      <c r="A251" s="32" t="str">
        <f t="shared" si="22"/>
        <v>AusNet--&gt; 33 kV &amp; &lt; = 66 kV ; FUSE</v>
      </c>
      <c r="B251" s="32" t="str">
        <f t="shared" si="23"/>
        <v>AusNet</v>
      </c>
      <c r="C251" s="426"/>
      <c r="D251" s="14"/>
      <c r="E251" s="15" t="s">
        <v>293</v>
      </c>
      <c r="F251" s="18">
        <v>45</v>
      </c>
      <c r="G251" s="18">
        <v>10</v>
      </c>
      <c r="H251" s="20">
        <v>71</v>
      </c>
      <c r="I251" s="20">
        <v>28</v>
      </c>
      <c r="J251" s="20">
        <v>49</v>
      </c>
      <c r="K251" s="20">
        <v>59</v>
      </c>
      <c r="L251" s="20">
        <v>41</v>
      </c>
      <c r="M251" s="20">
        <v>69</v>
      </c>
      <c r="N251" s="20">
        <v>99</v>
      </c>
      <c r="O251" s="20">
        <v>48</v>
      </c>
      <c r="P251" s="20">
        <v>24</v>
      </c>
      <c r="Q251" s="20">
        <v>27</v>
      </c>
      <c r="R251" s="20">
        <v>27</v>
      </c>
      <c r="S251" s="20">
        <v>46</v>
      </c>
      <c r="T251" s="20">
        <v>4</v>
      </c>
      <c r="U251" s="20">
        <v>89</v>
      </c>
      <c r="V251" s="20">
        <v>42</v>
      </c>
      <c r="W251" s="20">
        <v>14</v>
      </c>
      <c r="X251" s="20">
        <v>52</v>
      </c>
      <c r="Y251" s="20">
        <v>38</v>
      </c>
      <c r="Z251" s="20">
        <v>50</v>
      </c>
      <c r="AA251" s="20">
        <v>59</v>
      </c>
      <c r="AB251" s="20">
        <v>77</v>
      </c>
      <c r="AC251" s="20">
        <v>77</v>
      </c>
      <c r="AD251" s="20">
        <v>64</v>
      </c>
      <c r="AE251" s="20">
        <v>186</v>
      </c>
      <c r="AF251" s="20">
        <v>176</v>
      </c>
      <c r="AG251" s="20">
        <v>628</v>
      </c>
      <c r="AH251" s="20">
        <v>73</v>
      </c>
      <c r="AI251" s="20">
        <v>793</v>
      </c>
      <c r="AJ251" s="20">
        <v>38</v>
      </c>
      <c r="AK251" s="20">
        <v>106</v>
      </c>
      <c r="AL251" s="20">
        <v>42</v>
      </c>
      <c r="AM251" s="20">
        <v>65</v>
      </c>
      <c r="AN251" s="20">
        <v>139</v>
      </c>
      <c r="AO251" s="20">
        <v>104</v>
      </c>
      <c r="AP251" s="20">
        <v>7</v>
      </c>
      <c r="AQ251" s="20">
        <v>17</v>
      </c>
      <c r="AR251" s="20">
        <v>56</v>
      </c>
      <c r="AS251" s="20">
        <v>76</v>
      </c>
      <c r="AT251" s="20">
        <v>21</v>
      </c>
      <c r="AU251" s="20">
        <v>8</v>
      </c>
      <c r="AV251" s="20">
        <v>8</v>
      </c>
      <c r="AW251" s="20">
        <v>76</v>
      </c>
      <c r="AX251" s="20">
        <v>0</v>
      </c>
      <c r="AY251" s="20">
        <v>0</v>
      </c>
      <c r="AZ251" s="20">
        <v>6</v>
      </c>
      <c r="BA251" s="20">
        <v>0</v>
      </c>
      <c r="BB251" s="20">
        <v>0</v>
      </c>
      <c r="BC251" s="20">
        <v>7</v>
      </c>
      <c r="BD251" s="20">
        <v>0</v>
      </c>
      <c r="BE251" s="20">
        <v>0</v>
      </c>
      <c r="BF251" s="20">
        <v>2</v>
      </c>
      <c r="BG251" s="20">
        <v>0</v>
      </c>
      <c r="BH251" s="20">
        <v>0</v>
      </c>
      <c r="BI251" s="20">
        <v>0</v>
      </c>
      <c r="BJ251" s="20">
        <v>0</v>
      </c>
      <c r="BK251" s="20">
        <v>0</v>
      </c>
      <c r="BL251" s="20">
        <v>6</v>
      </c>
      <c r="BM251" s="20">
        <v>0</v>
      </c>
      <c r="BN251" s="20">
        <v>2</v>
      </c>
      <c r="BO251" s="20">
        <v>0</v>
      </c>
      <c r="BP251" s="20">
        <v>0</v>
      </c>
      <c r="BQ251" s="20">
        <v>0</v>
      </c>
      <c r="BR251" s="20">
        <v>0</v>
      </c>
      <c r="BS251" s="20">
        <v>0</v>
      </c>
      <c r="BT251" s="20">
        <v>0</v>
      </c>
      <c r="BU251" s="20">
        <v>0</v>
      </c>
      <c r="BV251" s="20">
        <v>0</v>
      </c>
      <c r="BW251" s="20">
        <v>0</v>
      </c>
      <c r="BX251" s="20">
        <v>0</v>
      </c>
      <c r="BY251" s="20">
        <v>0</v>
      </c>
      <c r="BZ251" s="20">
        <v>0</v>
      </c>
      <c r="CA251" s="20">
        <v>0</v>
      </c>
      <c r="CB251" s="20">
        <v>0</v>
      </c>
      <c r="CC251" s="20">
        <v>3</v>
      </c>
      <c r="CD251" s="20">
        <v>0</v>
      </c>
      <c r="CE251" s="20">
        <v>0</v>
      </c>
      <c r="CF251" s="20">
        <v>0</v>
      </c>
      <c r="CG251" s="20">
        <v>0</v>
      </c>
      <c r="CH251" s="20">
        <v>0</v>
      </c>
      <c r="CI251" s="20">
        <v>0</v>
      </c>
      <c r="CJ251" s="20">
        <v>0</v>
      </c>
      <c r="CK251" s="20">
        <v>0</v>
      </c>
      <c r="CL251" s="20">
        <v>0</v>
      </c>
      <c r="CM251" s="20">
        <v>0</v>
      </c>
      <c r="CN251" s="20">
        <v>0</v>
      </c>
      <c r="CO251" s="20">
        <v>0</v>
      </c>
      <c r="CP251" s="20">
        <v>0</v>
      </c>
      <c r="CQ251" s="20">
        <v>0</v>
      </c>
      <c r="CR251" s="20">
        <v>0</v>
      </c>
      <c r="CS251" s="20">
        <v>0</v>
      </c>
      <c r="CT251" s="20">
        <v>0</v>
      </c>
      <c r="CU251" s="20">
        <v>0</v>
      </c>
      <c r="CV251" s="20">
        <v>0</v>
      </c>
      <c r="CW251" s="20">
        <v>0</v>
      </c>
      <c r="CX251" s="20">
        <v>0</v>
      </c>
      <c r="CY251" s="20">
        <v>0</v>
      </c>
      <c r="CZ251" s="20">
        <v>0</v>
      </c>
      <c r="DA251" s="20">
        <v>0</v>
      </c>
      <c r="DB251" s="20">
        <v>0</v>
      </c>
      <c r="DC251" s="20">
        <v>0</v>
      </c>
      <c r="DD251" s="20">
        <v>0</v>
      </c>
      <c r="DE251" s="20">
        <v>0</v>
      </c>
      <c r="DF251" s="20">
        <v>27</v>
      </c>
      <c r="DG251" s="16">
        <f t="shared" si="24"/>
        <v>3826</v>
      </c>
      <c r="DH251" s="16">
        <f t="shared" si="25"/>
        <v>93975</v>
      </c>
      <c r="DI251" s="17">
        <f t="shared" si="26"/>
        <v>24.562205959226347</v>
      </c>
      <c r="DJ251" s="119" t="s">
        <v>2</v>
      </c>
      <c r="DK251" s="44" t="s">
        <v>2</v>
      </c>
    </row>
    <row r="252" spans="1:115">
      <c r="A252" s="32" t="str">
        <f t="shared" si="22"/>
        <v>AusNet--&gt; 33 kV &amp; &lt; = 66 kV ; SWITCH</v>
      </c>
      <c r="B252" s="32" t="str">
        <f t="shared" si="23"/>
        <v>AusNet</v>
      </c>
      <c r="C252" s="426"/>
      <c r="D252" s="14"/>
      <c r="E252" s="15" t="s">
        <v>253</v>
      </c>
      <c r="F252" s="18">
        <v>45</v>
      </c>
      <c r="G252" s="18">
        <v>10</v>
      </c>
      <c r="H252" s="20">
        <v>41</v>
      </c>
      <c r="I252" s="20">
        <v>45</v>
      </c>
      <c r="J252" s="20">
        <v>51</v>
      </c>
      <c r="K252" s="20">
        <v>66</v>
      </c>
      <c r="L252" s="20">
        <v>41</v>
      </c>
      <c r="M252" s="20">
        <v>92</v>
      </c>
      <c r="N252" s="20">
        <v>32</v>
      </c>
      <c r="O252" s="20">
        <v>35</v>
      </c>
      <c r="P252" s="20">
        <v>73</v>
      </c>
      <c r="Q252" s="20">
        <v>27</v>
      </c>
      <c r="R252" s="20">
        <v>49</v>
      </c>
      <c r="S252" s="20">
        <v>16</v>
      </c>
      <c r="T252" s="20">
        <v>85</v>
      </c>
      <c r="U252" s="20">
        <v>15</v>
      </c>
      <c r="V252" s="20">
        <v>53</v>
      </c>
      <c r="W252" s="20">
        <v>16</v>
      </c>
      <c r="X252" s="20">
        <v>0</v>
      </c>
      <c r="Y252" s="20">
        <v>12</v>
      </c>
      <c r="Z252" s="20">
        <v>6</v>
      </c>
      <c r="AA252" s="20">
        <v>4</v>
      </c>
      <c r="AB252" s="20">
        <v>6</v>
      </c>
      <c r="AC252" s="20">
        <v>4</v>
      </c>
      <c r="AD252" s="20">
        <v>6</v>
      </c>
      <c r="AE252" s="20">
        <v>13</v>
      </c>
      <c r="AF252" s="20">
        <v>14</v>
      </c>
      <c r="AG252" s="20">
        <v>18</v>
      </c>
      <c r="AH252" s="20">
        <v>13</v>
      </c>
      <c r="AI252" s="20">
        <v>16</v>
      </c>
      <c r="AJ252" s="20">
        <v>12</v>
      </c>
      <c r="AK252" s="20">
        <v>34</v>
      </c>
      <c r="AL252" s="20">
        <v>20</v>
      </c>
      <c r="AM252" s="20">
        <v>30</v>
      </c>
      <c r="AN252" s="20">
        <v>61</v>
      </c>
      <c r="AO252" s="20">
        <v>11</v>
      </c>
      <c r="AP252" s="20">
        <v>56</v>
      </c>
      <c r="AQ252" s="20">
        <v>25</v>
      </c>
      <c r="AR252" s="20">
        <v>29</v>
      </c>
      <c r="AS252" s="20">
        <v>29</v>
      </c>
      <c r="AT252" s="20">
        <v>0</v>
      </c>
      <c r="AU252" s="20">
        <v>2</v>
      </c>
      <c r="AV252" s="20">
        <v>1</v>
      </c>
      <c r="AW252" s="20">
        <v>3</v>
      </c>
      <c r="AX252" s="20">
        <v>0</v>
      </c>
      <c r="AY252" s="20">
        <v>65</v>
      </c>
      <c r="AZ252" s="20">
        <v>11</v>
      </c>
      <c r="BA252" s="20">
        <v>25</v>
      </c>
      <c r="BB252" s="20">
        <v>42</v>
      </c>
      <c r="BC252" s="20">
        <v>40</v>
      </c>
      <c r="BD252" s="20">
        <v>21</v>
      </c>
      <c r="BE252" s="20">
        <v>53</v>
      </c>
      <c r="BF252" s="20">
        <v>35</v>
      </c>
      <c r="BG252" s="20">
        <v>0</v>
      </c>
      <c r="BH252" s="20">
        <v>30</v>
      </c>
      <c r="BI252" s="20">
        <v>1</v>
      </c>
      <c r="BJ252" s="20">
        <v>4</v>
      </c>
      <c r="BK252" s="20">
        <v>4</v>
      </c>
      <c r="BL252" s="20">
        <v>0</v>
      </c>
      <c r="BM252" s="20">
        <v>1</v>
      </c>
      <c r="BN252" s="20">
        <v>0</v>
      </c>
      <c r="BO252" s="20">
        <v>0</v>
      </c>
      <c r="BP252" s="20">
        <v>0</v>
      </c>
      <c r="BQ252" s="20">
        <v>0</v>
      </c>
      <c r="BR252" s="20">
        <v>4</v>
      </c>
      <c r="BS252" s="20">
        <v>31</v>
      </c>
      <c r="BT252" s="20">
        <v>0</v>
      </c>
      <c r="BU252" s="20">
        <v>5</v>
      </c>
      <c r="BV252" s="20">
        <v>1</v>
      </c>
      <c r="BW252" s="20">
        <v>0</v>
      </c>
      <c r="BX252" s="20">
        <v>0</v>
      </c>
      <c r="BY252" s="20">
        <v>0</v>
      </c>
      <c r="BZ252" s="20">
        <v>0</v>
      </c>
      <c r="CA252" s="20">
        <v>0</v>
      </c>
      <c r="CB252" s="20">
        <v>0</v>
      </c>
      <c r="CC252" s="20">
        <v>0</v>
      </c>
      <c r="CD252" s="20">
        <v>0</v>
      </c>
      <c r="CE252" s="20">
        <v>0</v>
      </c>
      <c r="CF252" s="20">
        <v>0</v>
      </c>
      <c r="CG252" s="20">
        <v>0</v>
      </c>
      <c r="CH252" s="20">
        <v>0</v>
      </c>
      <c r="CI252" s="20">
        <v>0</v>
      </c>
      <c r="CJ252" s="20">
        <v>0</v>
      </c>
      <c r="CK252" s="20">
        <v>0</v>
      </c>
      <c r="CL252" s="20">
        <v>0</v>
      </c>
      <c r="CM252" s="20">
        <v>0</v>
      </c>
      <c r="CN252" s="20">
        <v>0</v>
      </c>
      <c r="CO252" s="20">
        <v>0</v>
      </c>
      <c r="CP252" s="20">
        <v>0</v>
      </c>
      <c r="CQ252" s="20">
        <v>0</v>
      </c>
      <c r="CR252" s="20">
        <v>0</v>
      </c>
      <c r="CS252" s="20">
        <v>0</v>
      </c>
      <c r="CT252" s="20">
        <v>0</v>
      </c>
      <c r="CU252" s="20">
        <v>0</v>
      </c>
      <c r="CV252" s="20">
        <v>0</v>
      </c>
      <c r="CW252" s="20">
        <v>0</v>
      </c>
      <c r="CX252" s="20">
        <v>0</v>
      </c>
      <c r="CY252" s="20">
        <v>0</v>
      </c>
      <c r="CZ252" s="20">
        <v>0</v>
      </c>
      <c r="DA252" s="20">
        <v>0</v>
      </c>
      <c r="DB252" s="20">
        <v>0</v>
      </c>
      <c r="DC252" s="20">
        <v>0</v>
      </c>
      <c r="DD252" s="20">
        <v>0</v>
      </c>
      <c r="DE252" s="20">
        <v>0</v>
      </c>
      <c r="DF252" s="20">
        <v>36</v>
      </c>
      <c r="DG252" s="16">
        <f t="shared" si="24"/>
        <v>1571</v>
      </c>
      <c r="DH252" s="16">
        <f t="shared" si="25"/>
        <v>41491</v>
      </c>
      <c r="DI252" s="17">
        <f t="shared" si="26"/>
        <v>26.410566518141312</v>
      </c>
      <c r="DJ252" s="119" t="s">
        <v>2</v>
      </c>
      <c r="DK252" s="44" t="s">
        <v>2</v>
      </c>
    </row>
    <row r="253" spans="1:115">
      <c r="A253" s="32" t="str">
        <f t="shared" si="22"/>
        <v>AusNet--&gt; 33 kV &amp; &lt; = 66 kV ; CIRCUIT BREAKER</v>
      </c>
      <c r="B253" s="32" t="str">
        <f t="shared" si="23"/>
        <v>AusNet</v>
      </c>
      <c r="C253" s="426"/>
      <c r="D253" s="14"/>
      <c r="E253" s="15" t="s">
        <v>254</v>
      </c>
      <c r="F253" s="18">
        <v>50</v>
      </c>
      <c r="G253" s="18">
        <v>10</v>
      </c>
      <c r="H253" s="20">
        <v>2</v>
      </c>
      <c r="I253" s="20">
        <v>0</v>
      </c>
      <c r="J253" s="20">
        <v>6</v>
      </c>
      <c r="K253" s="20">
        <v>11</v>
      </c>
      <c r="L253" s="20">
        <v>7</v>
      </c>
      <c r="M253" s="20">
        <v>5</v>
      </c>
      <c r="N253" s="20">
        <v>4</v>
      </c>
      <c r="O253" s="20">
        <v>2</v>
      </c>
      <c r="P253" s="20">
        <v>13</v>
      </c>
      <c r="Q253" s="20">
        <v>2</v>
      </c>
      <c r="R253" s="20">
        <v>3</v>
      </c>
      <c r="S253" s="20">
        <v>0</v>
      </c>
      <c r="T253" s="20">
        <v>7</v>
      </c>
      <c r="U253" s="20">
        <v>1</v>
      </c>
      <c r="V253" s="20">
        <v>8</v>
      </c>
      <c r="W253" s="20">
        <v>0</v>
      </c>
      <c r="X253" s="20">
        <v>0</v>
      </c>
      <c r="Y253" s="20">
        <v>1</v>
      </c>
      <c r="Z253" s="20">
        <v>0</v>
      </c>
      <c r="AA253" s="20">
        <v>0</v>
      </c>
      <c r="AB253" s="20">
        <v>0</v>
      </c>
      <c r="AC253" s="20">
        <v>0</v>
      </c>
      <c r="AD253" s="20">
        <v>0</v>
      </c>
      <c r="AE253" s="20">
        <v>0</v>
      </c>
      <c r="AF253" s="20">
        <v>0</v>
      </c>
      <c r="AG253" s="20">
        <v>0</v>
      </c>
      <c r="AH253" s="20">
        <v>1</v>
      </c>
      <c r="AI253" s="20">
        <v>2</v>
      </c>
      <c r="AJ253" s="20">
        <v>1</v>
      </c>
      <c r="AK253" s="20">
        <v>0</v>
      </c>
      <c r="AL253" s="20">
        <v>2</v>
      </c>
      <c r="AM253" s="20">
        <v>12</v>
      </c>
      <c r="AN253" s="20">
        <v>4</v>
      </c>
      <c r="AO253" s="20">
        <v>0</v>
      </c>
      <c r="AP253" s="20">
        <v>0</v>
      </c>
      <c r="AQ253" s="20">
        <v>2</v>
      </c>
      <c r="AR253" s="20">
        <v>8</v>
      </c>
      <c r="AS253" s="20">
        <v>0</v>
      </c>
      <c r="AT253" s="20">
        <v>2</v>
      </c>
      <c r="AU253" s="20">
        <v>0</v>
      </c>
      <c r="AV253" s="20">
        <v>0</v>
      </c>
      <c r="AW253" s="20">
        <v>0</v>
      </c>
      <c r="AX253" s="20">
        <v>0</v>
      </c>
      <c r="AY253" s="20">
        <v>0</v>
      </c>
      <c r="AZ253" s="20">
        <v>8</v>
      </c>
      <c r="BA253" s="20">
        <v>0</v>
      </c>
      <c r="BB253" s="20">
        <v>10</v>
      </c>
      <c r="BC253" s="20">
        <v>11</v>
      </c>
      <c r="BD253" s="20">
        <v>3</v>
      </c>
      <c r="BE253" s="20">
        <v>4</v>
      </c>
      <c r="BF253" s="20">
        <v>9</v>
      </c>
      <c r="BG253" s="20">
        <v>5</v>
      </c>
      <c r="BH253" s="20">
        <v>0</v>
      </c>
      <c r="BI253" s="20">
        <v>4</v>
      </c>
      <c r="BJ253" s="20">
        <v>0</v>
      </c>
      <c r="BK253" s="20">
        <v>0</v>
      </c>
      <c r="BL253" s="20">
        <v>1</v>
      </c>
      <c r="BM253" s="20">
        <v>0</v>
      </c>
      <c r="BN253" s="20">
        <v>0</v>
      </c>
      <c r="BO253" s="20">
        <v>1</v>
      </c>
      <c r="BP253" s="20">
        <v>0</v>
      </c>
      <c r="BQ253" s="20">
        <v>0</v>
      </c>
      <c r="BR253" s="20">
        <v>0</v>
      </c>
      <c r="BS253" s="20">
        <v>0</v>
      </c>
      <c r="BT253" s="20">
        <v>0</v>
      </c>
      <c r="BU253" s="20">
        <v>0</v>
      </c>
      <c r="BV253" s="20">
        <v>1</v>
      </c>
      <c r="BW253" s="20">
        <v>0</v>
      </c>
      <c r="BX253" s="20">
        <v>0</v>
      </c>
      <c r="BY253" s="20">
        <v>0</v>
      </c>
      <c r="BZ253" s="20">
        <v>0</v>
      </c>
      <c r="CA253" s="20">
        <v>0</v>
      </c>
      <c r="CB253" s="20">
        <v>0</v>
      </c>
      <c r="CC253" s="20">
        <v>0</v>
      </c>
      <c r="CD253" s="20">
        <v>0</v>
      </c>
      <c r="CE253" s="20">
        <v>0</v>
      </c>
      <c r="CF253" s="20">
        <v>1</v>
      </c>
      <c r="CG253" s="20">
        <v>0</v>
      </c>
      <c r="CH253" s="20">
        <v>0</v>
      </c>
      <c r="CI253" s="20">
        <v>0</v>
      </c>
      <c r="CJ253" s="20">
        <v>0</v>
      </c>
      <c r="CK253" s="20">
        <v>0</v>
      </c>
      <c r="CL253" s="20">
        <v>0</v>
      </c>
      <c r="CM253" s="20">
        <v>0</v>
      </c>
      <c r="CN253" s="20">
        <v>0</v>
      </c>
      <c r="CO253" s="20">
        <v>0</v>
      </c>
      <c r="CP253" s="20">
        <v>0</v>
      </c>
      <c r="CQ253" s="20">
        <v>0</v>
      </c>
      <c r="CR253" s="20">
        <v>0</v>
      </c>
      <c r="CS253" s="20">
        <v>0</v>
      </c>
      <c r="CT253" s="20">
        <v>0</v>
      </c>
      <c r="CU253" s="20">
        <v>0</v>
      </c>
      <c r="CV253" s="20">
        <v>0</v>
      </c>
      <c r="CW253" s="20">
        <v>0</v>
      </c>
      <c r="CX253" s="20">
        <v>0</v>
      </c>
      <c r="CY253" s="20">
        <v>0</v>
      </c>
      <c r="CZ253" s="20">
        <v>0</v>
      </c>
      <c r="DA253" s="20">
        <v>0</v>
      </c>
      <c r="DB253" s="20">
        <v>0</v>
      </c>
      <c r="DC253" s="20">
        <v>0</v>
      </c>
      <c r="DD253" s="20">
        <v>0</v>
      </c>
      <c r="DE253" s="20">
        <v>0</v>
      </c>
      <c r="DF253" s="20">
        <v>1</v>
      </c>
      <c r="DG253" s="16">
        <f t="shared" si="24"/>
        <v>165</v>
      </c>
      <c r="DH253" s="16">
        <f t="shared" si="25"/>
        <v>4726</v>
      </c>
      <c r="DI253" s="17">
        <f t="shared" si="26"/>
        <v>28.642424242424241</v>
      </c>
      <c r="DJ253" s="119" t="s">
        <v>2</v>
      </c>
      <c r="DK253" s="44" t="s">
        <v>2</v>
      </c>
    </row>
    <row r="254" spans="1:115">
      <c r="A254" s="32" t="str">
        <f t="shared" si="22"/>
        <v>AusNet--&gt; 66 kV &amp; &lt; = 132 kV ; SWITCH</v>
      </c>
      <c r="B254" s="32" t="str">
        <f t="shared" si="23"/>
        <v>AusNet</v>
      </c>
      <c r="C254" s="426"/>
      <c r="D254" s="14"/>
      <c r="E254" s="15" t="s">
        <v>255</v>
      </c>
      <c r="F254" s="18">
        <v>0</v>
      </c>
      <c r="G254" s="18">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v>
      </c>
      <c r="AH254" s="20">
        <v>0</v>
      </c>
      <c r="AI254" s="20">
        <v>0</v>
      </c>
      <c r="AJ254" s="20">
        <v>0</v>
      </c>
      <c r="AK254" s="20">
        <v>0</v>
      </c>
      <c r="AL254" s="20">
        <v>0</v>
      </c>
      <c r="AM254" s="20">
        <v>0</v>
      </c>
      <c r="AN254" s="20">
        <v>0</v>
      </c>
      <c r="AO254" s="20">
        <v>0</v>
      </c>
      <c r="AP254" s="20">
        <v>0</v>
      </c>
      <c r="AQ254" s="20">
        <v>0</v>
      </c>
      <c r="AR254" s="20">
        <v>0</v>
      </c>
      <c r="AS254" s="20">
        <v>0</v>
      </c>
      <c r="AT254" s="20">
        <v>0</v>
      </c>
      <c r="AU254" s="20">
        <v>0</v>
      </c>
      <c r="AV254" s="20">
        <v>0</v>
      </c>
      <c r="AW254" s="20">
        <v>0</v>
      </c>
      <c r="AX254" s="20">
        <v>0</v>
      </c>
      <c r="AY254" s="20">
        <v>0</v>
      </c>
      <c r="AZ254" s="20">
        <v>0</v>
      </c>
      <c r="BA254" s="20">
        <v>0</v>
      </c>
      <c r="BB254" s="20">
        <v>0</v>
      </c>
      <c r="BC254" s="20">
        <v>0</v>
      </c>
      <c r="BD254" s="20">
        <v>0</v>
      </c>
      <c r="BE254" s="20">
        <v>0</v>
      </c>
      <c r="BF254" s="20">
        <v>0</v>
      </c>
      <c r="BG254" s="20">
        <v>0</v>
      </c>
      <c r="BH254" s="20">
        <v>0</v>
      </c>
      <c r="BI254" s="20">
        <v>0</v>
      </c>
      <c r="BJ254" s="20">
        <v>0</v>
      </c>
      <c r="BK254" s="20">
        <v>0</v>
      </c>
      <c r="BL254" s="20">
        <v>0</v>
      </c>
      <c r="BM254" s="20">
        <v>0</v>
      </c>
      <c r="BN254" s="20">
        <v>0</v>
      </c>
      <c r="BO254" s="20">
        <v>0</v>
      </c>
      <c r="BP254" s="20">
        <v>0</v>
      </c>
      <c r="BQ254" s="20">
        <v>0</v>
      </c>
      <c r="BR254" s="20">
        <v>0</v>
      </c>
      <c r="BS254" s="20">
        <v>0</v>
      </c>
      <c r="BT254" s="20">
        <v>0</v>
      </c>
      <c r="BU254" s="20">
        <v>0</v>
      </c>
      <c r="BV254" s="20">
        <v>0</v>
      </c>
      <c r="BW254" s="20">
        <v>0</v>
      </c>
      <c r="BX254" s="20">
        <v>0</v>
      </c>
      <c r="BY254" s="20">
        <v>0</v>
      </c>
      <c r="BZ254" s="20">
        <v>0</v>
      </c>
      <c r="CA254" s="20">
        <v>0</v>
      </c>
      <c r="CB254" s="20">
        <v>0</v>
      </c>
      <c r="CC254" s="20">
        <v>0</v>
      </c>
      <c r="CD254" s="20">
        <v>0</v>
      </c>
      <c r="CE254" s="20">
        <v>0</v>
      </c>
      <c r="CF254" s="20">
        <v>0</v>
      </c>
      <c r="CG254" s="20">
        <v>0</v>
      </c>
      <c r="CH254" s="20">
        <v>0</v>
      </c>
      <c r="CI254" s="20">
        <v>0</v>
      </c>
      <c r="CJ254" s="20">
        <v>0</v>
      </c>
      <c r="CK254" s="20">
        <v>0</v>
      </c>
      <c r="CL254" s="20">
        <v>0</v>
      </c>
      <c r="CM254" s="20">
        <v>0</v>
      </c>
      <c r="CN254" s="20">
        <v>0</v>
      </c>
      <c r="CO254" s="20">
        <v>0</v>
      </c>
      <c r="CP254" s="20">
        <v>0</v>
      </c>
      <c r="CQ254" s="20">
        <v>0</v>
      </c>
      <c r="CR254" s="20">
        <v>0</v>
      </c>
      <c r="CS254" s="20">
        <v>0</v>
      </c>
      <c r="CT254" s="20">
        <v>0</v>
      </c>
      <c r="CU254" s="20">
        <v>0</v>
      </c>
      <c r="CV254" s="20">
        <v>0</v>
      </c>
      <c r="CW254" s="20">
        <v>0</v>
      </c>
      <c r="CX254" s="20">
        <v>0</v>
      </c>
      <c r="CY254" s="20">
        <v>0</v>
      </c>
      <c r="CZ254" s="20">
        <v>0</v>
      </c>
      <c r="DA254" s="20">
        <v>0</v>
      </c>
      <c r="DB254" s="20">
        <v>0</v>
      </c>
      <c r="DC254" s="20">
        <v>0</v>
      </c>
      <c r="DD254" s="20">
        <v>0</v>
      </c>
      <c r="DE254" s="20">
        <v>0</v>
      </c>
      <c r="DF254" s="20">
        <v>0</v>
      </c>
      <c r="DG254" s="16">
        <f t="shared" si="24"/>
        <v>0</v>
      </c>
      <c r="DH254" s="16">
        <f t="shared" si="25"/>
        <v>0</v>
      </c>
      <c r="DI254" s="17" t="str">
        <f t="shared" si="26"/>
        <v/>
      </c>
      <c r="DJ254" s="119" t="s">
        <v>2</v>
      </c>
      <c r="DK254" s="44" t="s">
        <v>2</v>
      </c>
    </row>
    <row r="255" spans="1:115">
      <c r="A255" s="32" t="str">
        <f t="shared" si="22"/>
        <v>AusNet--&gt; 66 kV &amp; &lt; = 132 kV  ; CIRCUIT BREAKER</v>
      </c>
      <c r="B255" s="32" t="str">
        <f t="shared" si="23"/>
        <v>AusNet</v>
      </c>
      <c r="C255" s="426"/>
      <c r="D255" s="14"/>
      <c r="E255" s="15" t="s">
        <v>256</v>
      </c>
      <c r="F255" s="18">
        <v>0</v>
      </c>
      <c r="G255" s="18">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v>
      </c>
      <c r="AH255" s="20">
        <v>0</v>
      </c>
      <c r="AI255" s="20">
        <v>0</v>
      </c>
      <c r="AJ255" s="20">
        <v>0</v>
      </c>
      <c r="AK255" s="20">
        <v>0</v>
      </c>
      <c r="AL255" s="20">
        <v>0</v>
      </c>
      <c r="AM255" s="20">
        <v>0</v>
      </c>
      <c r="AN255" s="20">
        <v>0</v>
      </c>
      <c r="AO255" s="20">
        <v>0</v>
      </c>
      <c r="AP255" s="20">
        <v>0</v>
      </c>
      <c r="AQ255" s="20">
        <v>0</v>
      </c>
      <c r="AR255" s="20">
        <v>0</v>
      </c>
      <c r="AS255" s="20">
        <v>0</v>
      </c>
      <c r="AT255" s="20">
        <v>0</v>
      </c>
      <c r="AU255" s="20">
        <v>0</v>
      </c>
      <c r="AV255" s="20">
        <v>0</v>
      </c>
      <c r="AW255" s="20">
        <v>0</v>
      </c>
      <c r="AX255" s="20">
        <v>0</v>
      </c>
      <c r="AY255" s="20">
        <v>0</v>
      </c>
      <c r="AZ255" s="20">
        <v>0</v>
      </c>
      <c r="BA255" s="20">
        <v>0</v>
      </c>
      <c r="BB255" s="20">
        <v>0</v>
      </c>
      <c r="BC255" s="20">
        <v>0</v>
      </c>
      <c r="BD255" s="20">
        <v>0</v>
      </c>
      <c r="BE255" s="20">
        <v>0</v>
      </c>
      <c r="BF255" s="20">
        <v>0</v>
      </c>
      <c r="BG255" s="20">
        <v>0</v>
      </c>
      <c r="BH255" s="20">
        <v>0</v>
      </c>
      <c r="BI255" s="20">
        <v>0</v>
      </c>
      <c r="BJ255" s="20">
        <v>0</v>
      </c>
      <c r="BK255" s="20">
        <v>0</v>
      </c>
      <c r="BL255" s="20">
        <v>0</v>
      </c>
      <c r="BM255" s="20">
        <v>0</v>
      </c>
      <c r="BN255" s="20">
        <v>0</v>
      </c>
      <c r="BO255" s="20">
        <v>0</v>
      </c>
      <c r="BP255" s="20">
        <v>0</v>
      </c>
      <c r="BQ255" s="20">
        <v>0</v>
      </c>
      <c r="BR255" s="20">
        <v>0</v>
      </c>
      <c r="BS255" s="20">
        <v>0</v>
      </c>
      <c r="BT255" s="20">
        <v>0</v>
      </c>
      <c r="BU255" s="20">
        <v>0</v>
      </c>
      <c r="BV255" s="20">
        <v>0</v>
      </c>
      <c r="BW255" s="20">
        <v>0</v>
      </c>
      <c r="BX255" s="20">
        <v>0</v>
      </c>
      <c r="BY255" s="20">
        <v>0</v>
      </c>
      <c r="BZ255" s="20">
        <v>0</v>
      </c>
      <c r="CA255" s="20">
        <v>0</v>
      </c>
      <c r="CB255" s="20">
        <v>0</v>
      </c>
      <c r="CC255" s="20">
        <v>0</v>
      </c>
      <c r="CD255" s="20">
        <v>0</v>
      </c>
      <c r="CE255" s="20">
        <v>0</v>
      </c>
      <c r="CF255" s="20">
        <v>0</v>
      </c>
      <c r="CG255" s="20">
        <v>0</v>
      </c>
      <c r="CH255" s="20">
        <v>0</v>
      </c>
      <c r="CI255" s="20">
        <v>0</v>
      </c>
      <c r="CJ255" s="20">
        <v>0</v>
      </c>
      <c r="CK255" s="20">
        <v>0</v>
      </c>
      <c r="CL255" s="20">
        <v>0</v>
      </c>
      <c r="CM255" s="20">
        <v>0</v>
      </c>
      <c r="CN255" s="20">
        <v>0</v>
      </c>
      <c r="CO255" s="20">
        <v>0</v>
      </c>
      <c r="CP255" s="20">
        <v>0</v>
      </c>
      <c r="CQ255" s="20">
        <v>0</v>
      </c>
      <c r="CR255" s="20">
        <v>0</v>
      </c>
      <c r="CS255" s="20">
        <v>0</v>
      </c>
      <c r="CT255" s="20">
        <v>0</v>
      </c>
      <c r="CU255" s="20">
        <v>0</v>
      </c>
      <c r="CV255" s="20">
        <v>0</v>
      </c>
      <c r="CW255" s="20">
        <v>0</v>
      </c>
      <c r="CX255" s="20">
        <v>0</v>
      </c>
      <c r="CY255" s="20">
        <v>0</v>
      </c>
      <c r="CZ255" s="20">
        <v>0</v>
      </c>
      <c r="DA255" s="20">
        <v>0</v>
      </c>
      <c r="DB255" s="20">
        <v>0</v>
      </c>
      <c r="DC255" s="20">
        <v>0</v>
      </c>
      <c r="DD255" s="20">
        <v>0</v>
      </c>
      <c r="DE255" s="20">
        <v>0</v>
      </c>
      <c r="DF255" s="20">
        <v>0</v>
      </c>
      <c r="DG255" s="16">
        <f t="shared" si="24"/>
        <v>0</v>
      </c>
      <c r="DH255" s="16">
        <f t="shared" si="25"/>
        <v>0</v>
      </c>
      <c r="DI255" s="17" t="str">
        <f t="shared" si="26"/>
        <v/>
      </c>
      <c r="DJ255" s="119" t="s">
        <v>2</v>
      </c>
      <c r="DK255" s="44" t="s">
        <v>2</v>
      </c>
    </row>
    <row r="256" spans="1:115">
      <c r="A256" s="32" t="str">
        <f t="shared" si="22"/>
        <v>AusNet--&gt; 132 kV ; SWITCH</v>
      </c>
      <c r="B256" s="32" t="str">
        <f t="shared" si="23"/>
        <v>AusNet</v>
      </c>
      <c r="C256" s="426"/>
      <c r="D256" s="14"/>
      <c r="E256" s="15" t="s">
        <v>257</v>
      </c>
      <c r="F256" s="18">
        <v>0</v>
      </c>
      <c r="G256" s="18">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v>
      </c>
      <c r="AH256" s="20">
        <v>0</v>
      </c>
      <c r="AI256" s="20">
        <v>0</v>
      </c>
      <c r="AJ256" s="20">
        <v>0</v>
      </c>
      <c r="AK256" s="20">
        <v>0</v>
      </c>
      <c r="AL256" s="20">
        <v>0</v>
      </c>
      <c r="AM256" s="20">
        <v>0</v>
      </c>
      <c r="AN256" s="20">
        <v>0</v>
      </c>
      <c r="AO256" s="20">
        <v>0</v>
      </c>
      <c r="AP256" s="20">
        <v>0</v>
      </c>
      <c r="AQ256" s="20">
        <v>0</v>
      </c>
      <c r="AR256" s="20">
        <v>0</v>
      </c>
      <c r="AS256" s="20">
        <v>0</v>
      </c>
      <c r="AT256" s="20">
        <v>0</v>
      </c>
      <c r="AU256" s="20">
        <v>0</v>
      </c>
      <c r="AV256" s="20">
        <v>0</v>
      </c>
      <c r="AW256" s="20">
        <v>0</v>
      </c>
      <c r="AX256" s="20">
        <v>0</v>
      </c>
      <c r="AY256" s="20">
        <v>0</v>
      </c>
      <c r="AZ256" s="20">
        <v>0</v>
      </c>
      <c r="BA256" s="20">
        <v>0</v>
      </c>
      <c r="BB256" s="20">
        <v>0</v>
      </c>
      <c r="BC256" s="20">
        <v>0</v>
      </c>
      <c r="BD256" s="20">
        <v>0</v>
      </c>
      <c r="BE256" s="20">
        <v>0</v>
      </c>
      <c r="BF256" s="20">
        <v>0</v>
      </c>
      <c r="BG256" s="20">
        <v>0</v>
      </c>
      <c r="BH256" s="20">
        <v>0</v>
      </c>
      <c r="BI256" s="20">
        <v>0</v>
      </c>
      <c r="BJ256" s="20">
        <v>0</v>
      </c>
      <c r="BK256" s="20">
        <v>0</v>
      </c>
      <c r="BL256" s="20">
        <v>0</v>
      </c>
      <c r="BM256" s="20">
        <v>0</v>
      </c>
      <c r="BN256" s="20">
        <v>0</v>
      </c>
      <c r="BO256" s="20">
        <v>0</v>
      </c>
      <c r="BP256" s="20">
        <v>0</v>
      </c>
      <c r="BQ256" s="20">
        <v>0</v>
      </c>
      <c r="BR256" s="20">
        <v>0</v>
      </c>
      <c r="BS256" s="20">
        <v>0</v>
      </c>
      <c r="BT256" s="20">
        <v>0</v>
      </c>
      <c r="BU256" s="20">
        <v>0</v>
      </c>
      <c r="BV256" s="20">
        <v>0</v>
      </c>
      <c r="BW256" s="20">
        <v>0</v>
      </c>
      <c r="BX256" s="20">
        <v>0</v>
      </c>
      <c r="BY256" s="20">
        <v>0</v>
      </c>
      <c r="BZ256" s="20">
        <v>0</v>
      </c>
      <c r="CA256" s="20">
        <v>0</v>
      </c>
      <c r="CB256" s="20">
        <v>0</v>
      </c>
      <c r="CC256" s="20">
        <v>0</v>
      </c>
      <c r="CD256" s="20">
        <v>0</v>
      </c>
      <c r="CE256" s="20">
        <v>0</v>
      </c>
      <c r="CF256" s="20">
        <v>0</v>
      </c>
      <c r="CG256" s="20">
        <v>0</v>
      </c>
      <c r="CH256" s="20">
        <v>0</v>
      </c>
      <c r="CI256" s="20">
        <v>0</v>
      </c>
      <c r="CJ256" s="20">
        <v>0</v>
      </c>
      <c r="CK256" s="20">
        <v>0</v>
      </c>
      <c r="CL256" s="20">
        <v>0</v>
      </c>
      <c r="CM256" s="20">
        <v>0</v>
      </c>
      <c r="CN256" s="20">
        <v>0</v>
      </c>
      <c r="CO256" s="20">
        <v>0</v>
      </c>
      <c r="CP256" s="20">
        <v>0</v>
      </c>
      <c r="CQ256" s="20">
        <v>0</v>
      </c>
      <c r="CR256" s="20">
        <v>0</v>
      </c>
      <c r="CS256" s="20">
        <v>0</v>
      </c>
      <c r="CT256" s="20">
        <v>0</v>
      </c>
      <c r="CU256" s="20">
        <v>0</v>
      </c>
      <c r="CV256" s="20">
        <v>0</v>
      </c>
      <c r="CW256" s="20">
        <v>0</v>
      </c>
      <c r="CX256" s="20">
        <v>0</v>
      </c>
      <c r="CY256" s="20">
        <v>0</v>
      </c>
      <c r="CZ256" s="20">
        <v>0</v>
      </c>
      <c r="DA256" s="20">
        <v>0</v>
      </c>
      <c r="DB256" s="20">
        <v>0</v>
      </c>
      <c r="DC256" s="20">
        <v>0</v>
      </c>
      <c r="DD256" s="20">
        <v>0</v>
      </c>
      <c r="DE256" s="20">
        <v>0</v>
      </c>
      <c r="DF256" s="20">
        <v>0</v>
      </c>
      <c r="DG256" s="16">
        <f t="shared" si="24"/>
        <v>0</v>
      </c>
      <c r="DH256" s="16">
        <f t="shared" si="25"/>
        <v>0</v>
      </c>
      <c r="DI256" s="17" t="str">
        <f t="shared" si="26"/>
        <v/>
      </c>
      <c r="DJ256" s="119" t="s">
        <v>2</v>
      </c>
      <c r="DK256" s="44" t="s">
        <v>2</v>
      </c>
    </row>
    <row r="257" spans="1:116">
      <c r="A257" s="32" t="str">
        <f t="shared" si="22"/>
        <v>AusNet--&gt; 132 kV ; CIRCUIT BREAKER</v>
      </c>
      <c r="B257" s="32" t="str">
        <f t="shared" si="23"/>
        <v>AusNet</v>
      </c>
      <c r="C257" s="426"/>
      <c r="D257" s="14"/>
      <c r="E257" s="15" t="s">
        <v>258</v>
      </c>
      <c r="F257" s="18">
        <v>0</v>
      </c>
      <c r="G257" s="18">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v>
      </c>
      <c r="AH257" s="20">
        <v>0</v>
      </c>
      <c r="AI257" s="20">
        <v>0</v>
      </c>
      <c r="AJ257" s="20">
        <v>0</v>
      </c>
      <c r="AK257" s="20">
        <v>0</v>
      </c>
      <c r="AL257" s="20">
        <v>0</v>
      </c>
      <c r="AM257" s="20">
        <v>0</v>
      </c>
      <c r="AN257" s="20">
        <v>0</v>
      </c>
      <c r="AO257" s="20">
        <v>0</v>
      </c>
      <c r="AP257" s="20">
        <v>0</v>
      </c>
      <c r="AQ257" s="20">
        <v>0</v>
      </c>
      <c r="AR257" s="20">
        <v>0</v>
      </c>
      <c r="AS257" s="20">
        <v>0</v>
      </c>
      <c r="AT257" s="20">
        <v>0</v>
      </c>
      <c r="AU257" s="20">
        <v>0</v>
      </c>
      <c r="AV257" s="20">
        <v>0</v>
      </c>
      <c r="AW257" s="20">
        <v>0</v>
      </c>
      <c r="AX257" s="20">
        <v>0</v>
      </c>
      <c r="AY257" s="20">
        <v>0</v>
      </c>
      <c r="AZ257" s="20">
        <v>0</v>
      </c>
      <c r="BA257" s="20">
        <v>0</v>
      </c>
      <c r="BB257" s="20">
        <v>0</v>
      </c>
      <c r="BC257" s="20">
        <v>0</v>
      </c>
      <c r="BD257" s="20">
        <v>0</v>
      </c>
      <c r="BE257" s="20">
        <v>0</v>
      </c>
      <c r="BF257" s="20">
        <v>0</v>
      </c>
      <c r="BG257" s="20">
        <v>0</v>
      </c>
      <c r="BH257" s="20">
        <v>0</v>
      </c>
      <c r="BI257" s="20">
        <v>0</v>
      </c>
      <c r="BJ257" s="20">
        <v>0</v>
      </c>
      <c r="BK257" s="20">
        <v>0</v>
      </c>
      <c r="BL257" s="20">
        <v>0</v>
      </c>
      <c r="BM257" s="20">
        <v>0</v>
      </c>
      <c r="BN257" s="20">
        <v>0</v>
      </c>
      <c r="BO257" s="20">
        <v>0</v>
      </c>
      <c r="BP257" s="20">
        <v>0</v>
      </c>
      <c r="BQ257" s="20">
        <v>0</v>
      </c>
      <c r="BR257" s="20">
        <v>0</v>
      </c>
      <c r="BS257" s="20">
        <v>0</v>
      </c>
      <c r="BT257" s="20">
        <v>0</v>
      </c>
      <c r="BU257" s="20">
        <v>0</v>
      </c>
      <c r="BV257" s="20">
        <v>0</v>
      </c>
      <c r="BW257" s="20">
        <v>0</v>
      </c>
      <c r="BX257" s="20">
        <v>0</v>
      </c>
      <c r="BY257" s="20">
        <v>0</v>
      </c>
      <c r="BZ257" s="20">
        <v>0</v>
      </c>
      <c r="CA257" s="20">
        <v>0</v>
      </c>
      <c r="CB257" s="20">
        <v>0</v>
      </c>
      <c r="CC257" s="20">
        <v>0</v>
      </c>
      <c r="CD257" s="20">
        <v>0</v>
      </c>
      <c r="CE257" s="20">
        <v>0</v>
      </c>
      <c r="CF257" s="20">
        <v>0</v>
      </c>
      <c r="CG257" s="20">
        <v>0</v>
      </c>
      <c r="CH257" s="20">
        <v>0</v>
      </c>
      <c r="CI257" s="20">
        <v>0</v>
      </c>
      <c r="CJ257" s="20">
        <v>0</v>
      </c>
      <c r="CK257" s="20">
        <v>0</v>
      </c>
      <c r="CL257" s="20">
        <v>0</v>
      </c>
      <c r="CM257" s="20">
        <v>0</v>
      </c>
      <c r="CN257" s="20">
        <v>0</v>
      </c>
      <c r="CO257" s="20">
        <v>0</v>
      </c>
      <c r="CP257" s="20">
        <v>0</v>
      </c>
      <c r="CQ257" s="20">
        <v>0</v>
      </c>
      <c r="CR257" s="20">
        <v>0</v>
      </c>
      <c r="CS257" s="20">
        <v>0</v>
      </c>
      <c r="CT257" s="20">
        <v>0</v>
      </c>
      <c r="CU257" s="20">
        <v>0</v>
      </c>
      <c r="CV257" s="20">
        <v>0</v>
      </c>
      <c r="CW257" s="20">
        <v>0</v>
      </c>
      <c r="CX257" s="20">
        <v>0</v>
      </c>
      <c r="CY257" s="20">
        <v>0</v>
      </c>
      <c r="CZ257" s="20">
        <v>0</v>
      </c>
      <c r="DA257" s="20">
        <v>0</v>
      </c>
      <c r="DB257" s="20">
        <v>0</v>
      </c>
      <c r="DC257" s="20">
        <v>0</v>
      </c>
      <c r="DD257" s="20">
        <v>0</v>
      </c>
      <c r="DE257" s="20">
        <v>0</v>
      </c>
      <c r="DF257" s="20">
        <v>0</v>
      </c>
      <c r="DG257" s="16">
        <f t="shared" si="24"/>
        <v>0</v>
      </c>
      <c r="DH257" s="16">
        <f t="shared" si="25"/>
        <v>0</v>
      </c>
      <c r="DI257" s="17" t="str">
        <f t="shared" si="26"/>
        <v/>
      </c>
      <c r="DJ257" s="119" t="s">
        <v>2</v>
      </c>
      <c r="DK257" s="44" t="s">
        <v>2</v>
      </c>
    </row>
    <row r="258" spans="1:116" ht="45">
      <c r="A258" s="32" t="str">
        <f t="shared" si="22"/>
        <v>AusNet-PUBLIC LIGHTING BY: 
ASSET TYPE ; LIGHTING OBLIGATION-LUMINAIRES ;  MAJOR ROAD</v>
      </c>
      <c r="B258" s="32" t="str">
        <f t="shared" si="23"/>
        <v>AusNet</v>
      </c>
      <c r="C258" s="426"/>
      <c r="D258" s="14" t="s">
        <v>547</v>
      </c>
      <c r="E258" s="15" t="s">
        <v>262</v>
      </c>
      <c r="F258" s="18">
        <v>35</v>
      </c>
      <c r="G258" s="18">
        <v>10</v>
      </c>
      <c r="H258" s="20">
        <v>6453.81</v>
      </c>
      <c r="I258" s="20">
        <v>13109.91</v>
      </c>
      <c r="J258" s="20">
        <v>2955.81</v>
      </c>
      <c r="K258" s="20">
        <v>244.86</v>
      </c>
      <c r="L258" s="20">
        <v>264.99</v>
      </c>
      <c r="M258" s="20">
        <v>57.42</v>
      </c>
      <c r="N258" s="20">
        <v>236.61</v>
      </c>
      <c r="O258" s="20">
        <v>152.79</v>
      </c>
      <c r="P258" s="20">
        <v>435.27</v>
      </c>
      <c r="Q258" s="20">
        <v>156.41999999999999</v>
      </c>
      <c r="R258" s="20">
        <v>25.74</v>
      </c>
      <c r="S258" s="20">
        <v>143.22</v>
      </c>
      <c r="T258" s="20">
        <v>639.54</v>
      </c>
      <c r="U258" s="20">
        <v>2154.2399999999998</v>
      </c>
      <c r="V258" s="20">
        <v>524.70000000000005</v>
      </c>
      <c r="W258" s="20">
        <v>185.46</v>
      </c>
      <c r="X258" s="20">
        <v>0</v>
      </c>
      <c r="Y258" s="20">
        <v>0</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0</v>
      </c>
      <c r="AT258" s="20">
        <v>0</v>
      </c>
      <c r="AU258" s="20">
        <v>0</v>
      </c>
      <c r="AV258" s="20">
        <v>0</v>
      </c>
      <c r="AW258" s="20">
        <v>0</v>
      </c>
      <c r="AX258" s="20">
        <v>0</v>
      </c>
      <c r="AY258" s="20">
        <v>0</v>
      </c>
      <c r="AZ258" s="20">
        <v>0</v>
      </c>
      <c r="BA258" s="20">
        <v>0</v>
      </c>
      <c r="BB258" s="20">
        <v>0</v>
      </c>
      <c r="BC258" s="20">
        <v>0</v>
      </c>
      <c r="BD258" s="20">
        <v>0</v>
      </c>
      <c r="BE258" s="20">
        <v>0</v>
      </c>
      <c r="BF258" s="20">
        <v>0</v>
      </c>
      <c r="BG258" s="20">
        <v>0</v>
      </c>
      <c r="BH258" s="20">
        <v>0</v>
      </c>
      <c r="BI258" s="20">
        <v>0</v>
      </c>
      <c r="BJ258" s="20">
        <v>0</v>
      </c>
      <c r="BK258" s="20">
        <v>0</v>
      </c>
      <c r="BL258" s="20">
        <v>0</v>
      </c>
      <c r="BM258" s="20">
        <v>0</v>
      </c>
      <c r="BN258" s="20">
        <v>0</v>
      </c>
      <c r="BO258" s="20">
        <v>0</v>
      </c>
      <c r="BP258" s="20">
        <v>0</v>
      </c>
      <c r="BQ258" s="20">
        <v>0</v>
      </c>
      <c r="BR258" s="20">
        <v>0</v>
      </c>
      <c r="BS258" s="20">
        <v>0</v>
      </c>
      <c r="BT258" s="20">
        <v>0</v>
      </c>
      <c r="BU258" s="20">
        <v>0</v>
      </c>
      <c r="BV258" s="20">
        <v>0</v>
      </c>
      <c r="BW258" s="20">
        <v>0</v>
      </c>
      <c r="BX258" s="20">
        <v>0</v>
      </c>
      <c r="BY258" s="20">
        <v>0</v>
      </c>
      <c r="BZ258" s="20">
        <v>0</v>
      </c>
      <c r="CA258" s="20">
        <v>0</v>
      </c>
      <c r="CB258" s="20">
        <v>0</v>
      </c>
      <c r="CC258" s="20">
        <v>0</v>
      </c>
      <c r="CD258" s="20">
        <v>0</v>
      </c>
      <c r="CE258" s="20">
        <v>0</v>
      </c>
      <c r="CF258" s="20">
        <v>0</v>
      </c>
      <c r="CG258" s="20">
        <v>0</v>
      </c>
      <c r="CH258" s="20">
        <v>0</v>
      </c>
      <c r="CI258" s="20">
        <v>0</v>
      </c>
      <c r="CJ258" s="20">
        <v>0</v>
      </c>
      <c r="CK258" s="20">
        <v>0</v>
      </c>
      <c r="CL258" s="20">
        <v>0</v>
      </c>
      <c r="CM258" s="20">
        <v>0</v>
      </c>
      <c r="CN258" s="20">
        <v>0</v>
      </c>
      <c r="CO258" s="20">
        <v>0</v>
      </c>
      <c r="CP258" s="20">
        <v>0</v>
      </c>
      <c r="CQ258" s="20">
        <v>0</v>
      </c>
      <c r="CR258" s="20">
        <v>0</v>
      </c>
      <c r="CS258" s="20">
        <v>0</v>
      </c>
      <c r="CT258" s="20">
        <v>0</v>
      </c>
      <c r="CU258" s="20">
        <v>0</v>
      </c>
      <c r="CV258" s="20">
        <v>0</v>
      </c>
      <c r="CW258" s="20">
        <v>0</v>
      </c>
      <c r="CX258" s="20">
        <v>0</v>
      </c>
      <c r="CY258" s="20">
        <v>0</v>
      </c>
      <c r="CZ258" s="20">
        <v>0</v>
      </c>
      <c r="DA258" s="20">
        <v>0</v>
      </c>
      <c r="DB258" s="20">
        <v>0</v>
      </c>
      <c r="DC258" s="20">
        <v>0</v>
      </c>
      <c r="DD258" s="20">
        <v>0</v>
      </c>
      <c r="DE258" s="20">
        <v>0</v>
      </c>
      <c r="DF258" s="20">
        <v>4032.27</v>
      </c>
      <c r="DG258" s="16">
        <f t="shared" si="24"/>
        <v>31773.060000000005</v>
      </c>
      <c r="DH258" s="16">
        <f t="shared" si="25"/>
        <v>519187.02</v>
      </c>
      <c r="DI258" s="17">
        <f t="shared" si="26"/>
        <v>16.340479009576036</v>
      </c>
      <c r="DJ258" s="119" t="s">
        <v>1323</v>
      </c>
      <c r="DK258" s="119" t="s">
        <v>1524</v>
      </c>
      <c r="DL258" s="119" t="s">
        <v>1523</v>
      </c>
    </row>
    <row r="259" spans="1:116">
      <c r="A259" s="32" t="str">
        <f t="shared" si="22"/>
        <v>AusNet--LUMINAIRES ;  MINOR ROAD</v>
      </c>
      <c r="B259" s="32" t="str">
        <f t="shared" si="23"/>
        <v>AusNet</v>
      </c>
      <c r="C259" s="426"/>
      <c r="D259" s="14"/>
      <c r="E259" s="15" t="s">
        <v>263</v>
      </c>
      <c r="F259" s="18">
        <v>35</v>
      </c>
      <c r="G259" s="18">
        <v>10</v>
      </c>
      <c r="H259" s="20">
        <v>13103.19</v>
      </c>
      <c r="I259" s="20">
        <v>26617.09</v>
      </c>
      <c r="J259" s="20">
        <v>6001.19</v>
      </c>
      <c r="K259" s="20">
        <v>497.14</v>
      </c>
      <c r="L259" s="20">
        <v>538.01</v>
      </c>
      <c r="M259" s="20">
        <v>116.58</v>
      </c>
      <c r="N259" s="20">
        <v>480.39</v>
      </c>
      <c r="O259" s="20">
        <v>310.20999999999998</v>
      </c>
      <c r="P259" s="20">
        <v>883.73</v>
      </c>
      <c r="Q259" s="20">
        <v>317.58</v>
      </c>
      <c r="R259" s="20">
        <v>52.26</v>
      </c>
      <c r="S259" s="20">
        <v>290.77999999999997</v>
      </c>
      <c r="T259" s="20">
        <v>1298.46</v>
      </c>
      <c r="U259" s="20">
        <v>4373.76</v>
      </c>
      <c r="V259" s="20">
        <v>1065.3</v>
      </c>
      <c r="W259" s="20">
        <v>376.54</v>
      </c>
      <c r="X259" s="20">
        <v>0</v>
      </c>
      <c r="Y259" s="20">
        <v>0</v>
      </c>
      <c r="Z259" s="20">
        <v>0</v>
      </c>
      <c r="AA259" s="20">
        <v>0</v>
      </c>
      <c r="AB259" s="20">
        <v>0</v>
      </c>
      <c r="AC259" s="20">
        <v>0</v>
      </c>
      <c r="AD259" s="20">
        <v>0</v>
      </c>
      <c r="AE259" s="20">
        <v>0</v>
      </c>
      <c r="AF259" s="20">
        <v>0</v>
      </c>
      <c r="AG259" s="20">
        <v>0</v>
      </c>
      <c r="AH259" s="20">
        <v>0</v>
      </c>
      <c r="AI259" s="20">
        <v>0</v>
      </c>
      <c r="AJ259" s="20">
        <v>0</v>
      </c>
      <c r="AK259" s="20">
        <v>0</v>
      </c>
      <c r="AL259" s="20">
        <v>0</v>
      </c>
      <c r="AM259" s="20">
        <v>0</v>
      </c>
      <c r="AN259" s="20">
        <v>0</v>
      </c>
      <c r="AO259" s="20">
        <v>0</v>
      </c>
      <c r="AP259" s="20">
        <v>0</v>
      </c>
      <c r="AQ259" s="20">
        <v>0</v>
      </c>
      <c r="AR259" s="20">
        <v>0</v>
      </c>
      <c r="AS259" s="20">
        <v>0</v>
      </c>
      <c r="AT259" s="20">
        <v>0</v>
      </c>
      <c r="AU259" s="20">
        <v>0</v>
      </c>
      <c r="AV259" s="20">
        <v>0</v>
      </c>
      <c r="AW259" s="20">
        <v>0</v>
      </c>
      <c r="AX259" s="20">
        <v>0</v>
      </c>
      <c r="AY259" s="20">
        <v>0</v>
      </c>
      <c r="AZ259" s="20">
        <v>0</v>
      </c>
      <c r="BA259" s="20">
        <v>0</v>
      </c>
      <c r="BB259" s="20">
        <v>0</v>
      </c>
      <c r="BC259" s="20">
        <v>0</v>
      </c>
      <c r="BD259" s="20">
        <v>0</v>
      </c>
      <c r="BE259" s="20">
        <v>0</v>
      </c>
      <c r="BF259" s="20">
        <v>0</v>
      </c>
      <c r="BG259" s="20">
        <v>0</v>
      </c>
      <c r="BH259" s="20">
        <v>0</v>
      </c>
      <c r="BI259" s="20">
        <v>0</v>
      </c>
      <c r="BJ259" s="20">
        <v>0</v>
      </c>
      <c r="BK259" s="20">
        <v>0</v>
      </c>
      <c r="BL259" s="20">
        <v>0</v>
      </c>
      <c r="BM259" s="20">
        <v>0</v>
      </c>
      <c r="BN259" s="20">
        <v>0</v>
      </c>
      <c r="BO259" s="20">
        <v>0</v>
      </c>
      <c r="BP259" s="20">
        <v>0</v>
      </c>
      <c r="BQ259" s="20">
        <v>0</v>
      </c>
      <c r="BR259" s="20">
        <v>0</v>
      </c>
      <c r="BS259" s="20">
        <v>0</v>
      </c>
      <c r="BT259" s="20">
        <v>0</v>
      </c>
      <c r="BU259" s="20">
        <v>0</v>
      </c>
      <c r="BV259" s="20">
        <v>0</v>
      </c>
      <c r="BW259" s="20">
        <v>0</v>
      </c>
      <c r="BX259" s="20">
        <v>0</v>
      </c>
      <c r="BY259" s="20">
        <v>0</v>
      </c>
      <c r="BZ259" s="20">
        <v>0</v>
      </c>
      <c r="CA259" s="20">
        <v>0</v>
      </c>
      <c r="CB259" s="20">
        <v>0</v>
      </c>
      <c r="CC259" s="20">
        <v>0</v>
      </c>
      <c r="CD259" s="20">
        <v>0</v>
      </c>
      <c r="CE259" s="20">
        <v>0</v>
      </c>
      <c r="CF259" s="20">
        <v>0</v>
      </c>
      <c r="CG259" s="20">
        <v>0</v>
      </c>
      <c r="CH259" s="20">
        <v>0</v>
      </c>
      <c r="CI259" s="20">
        <v>0</v>
      </c>
      <c r="CJ259" s="20">
        <v>0</v>
      </c>
      <c r="CK259" s="20">
        <v>0</v>
      </c>
      <c r="CL259" s="20">
        <v>0</v>
      </c>
      <c r="CM259" s="20">
        <v>0</v>
      </c>
      <c r="CN259" s="20">
        <v>0</v>
      </c>
      <c r="CO259" s="20">
        <v>0</v>
      </c>
      <c r="CP259" s="20">
        <v>0</v>
      </c>
      <c r="CQ259" s="20">
        <v>0</v>
      </c>
      <c r="CR259" s="20">
        <v>0</v>
      </c>
      <c r="CS259" s="20">
        <v>0</v>
      </c>
      <c r="CT259" s="20">
        <v>0</v>
      </c>
      <c r="CU259" s="20">
        <v>0</v>
      </c>
      <c r="CV259" s="20">
        <v>0</v>
      </c>
      <c r="CW259" s="20">
        <v>0</v>
      </c>
      <c r="CX259" s="20">
        <v>0</v>
      </c>
      <c r="CY259" s="20">
        <v>0</v>
      </c>
      <c r="CZ259" s="20">
        <v>0</v>
      </c>
      <c r="DA259" s="20">
        <v>0</v>
      </c>
      <c r="DB259" s="20">
        <v>0</v>
      </c>
      <c r="DC259" s="20">
        <v>0</v>
      </c>
      <c r="DD259" s="20">
        <v>0</v>
      </c>
      <c r="DE259" s="20">
        <v>0</v>
      </c>
      <c r="DF259" s="20">
        <v>8186.73</v>
      </c>
      <c r="DG259" s="16">
        <f t="shared" si="24"/>
        <v>64508.940000000017</v>
      </c>
      <c r="DH259" s="16">
        <f t="shared" si="25"/>
        <v>1054106.98</v>
      </c>
      <c r="DI259" s="17">
        <f t="shared" si="26"/>
        <v>16.340479009576033</v>
      </c>
      <c r="DJ259" s="119" t="s">
        <v>1323</v>
      </c>
      <c r="DK259" s="119" t="s">
        <v>1524</v>
      </c>
      <c r="DL259" s="119" t="s">
        <v>1523</v>
      </c>
    </row>
    <row r="260" spans="1:116">
      <c r="A260" s="32" t="str">
        <f t="shared" si="22"/>
        <v>AusNet--BRACKETS ; MAJOR ROAD</v>
      </c>
      <c r="B260" s="32" t="str">
        <f t="shared" si="23"/>
        <v>AusNet</v>
      </c>
      <c r="C260" s="426"/>
      <c r="D260" s="14"/>
      <c r="E260" s="15" t="s">
        <v>264</v>
      </c>
      <c r="F260" s="18">
        <v>35</v>
      </c>
      <c r="G260" s="18">
        <v>10</v>
      </c>
      <c r="H260" s="20">
        <v>3420.45</v>
      </c>
      <c r="I260" s="20">
        <v>6452.49</v>
      </c>
      <c r="J260" s="20">
        <v>2216.2800000000002</v>
      </c>
      <c r="K260" s="20">
        <v>509.85</v>
      </c>
      <c r="L260" s="20">
        <v>375.54</v>
      </c>
      <c r="M260" s="20">
        <v>96.36</v>
      </c>
      <c r="N260" s="20">
        <v>111.87</v>
      </c>
      <c r="O260" s="20">
        <v>114.51</v>
      </c>
      <c r="P260" s="20">
        <v>248.49</v>
      </c>
      <c r="Q260" s="20">
        <v>182.16</v>
      </c>
      <c r="R260" s="20">
        <v>45.21</v>
      </c>
      <c r="S260" s="20">
        <v>63.69</v>
      </c>
      <c r="T260" s="20">
        <v>132.99</v>
      </c>
      <c r="U260" s="20">
        <v>410.85</v>
      </c>
      <c r="V260" s="20">
        <v>135.30000000000001</v>
      </c>
      <c r="W260" s="20">
        <v>57.09</v>
      </c>
      <c r="X260" s="20">
        <v>0</v>
      </c>
      <c r="Y260" s="20">
        <v>0</v>
      </c>
      <c r="Z260" s="20">
        <v>0</v>
      </c>
      <c r="AA260" s="20">
        <v>0</v>
      </c>
      <c r="AB260" s="20">
        <v>0</v>
      </c>
      <c r="AC260" s="20">
        <v>0</v>
      </c>
      <c r="AD260" s="20">
        <v>0</v>
      </c>
      <c r="AE260" s="20">
        <v>0</v>
      </c>
      <c r="AF260" s="20">
        <v>0</v>
      </c>
      <c r="AG260" s="20">
        <v>0</v>
      </c>
      <c r="AH260" s="20">
        <v>0</v>
      </c>
      <c r="AI260" s="20">
        <v>0</v>
      </c>
      <c r="AJ260" s="20">
        <v>0</v>
      </c>
      <c r="AK260" s="20">
        <v>0</v>
      </c>
      <c r="AL260" s="20">
        <v>0</v>
      </c>
      <c r="AM260" s="20">
        <v>0</v>
      </c>
      <c r="AN260" s="20">
        <v>0</v>
      </c>
      <c r="AO260" s="20">
        <v>0</v>
      </c>
      <c r="AP260" s="20">
        <v>0</v>
      </c>
      <c r="AQ260" s="20">
        <v>0</v>
      </c>
      <c r="AR260" s="20">
        <v>0</v>
      </c>
      <c r="AS260" s="20">
        <v>0</v>
      </c>
      <c r="AT260" s="20">
        <v>0</v>
      </c>
      <c r="AU260" s="20">
        <v>0</v>
      </c>
      <c r="AV260" s="20">
        <v>0</v>
      </c>
      <c r="AW260" s="20">
        <v>0</v>
      </c>
      <c r="AX260" s="20">
        <v>0</v>
      </c>
      <c r="AY260" s="20">
        <v>0</v>
      </c>
      <c r="AZ260" s="20">
        <v>0</v>
      </c>
      <c r="BA260" s="20">
        <v>0</v>
      </c>
      <c r="BB260" s="20">
        <v>0</v>
      </c>
      <c r="BC260" s="20">
        <v>0</v>
      </c>
      <c r="BD260" s="20">
        <v>0</v>
      </c>
      <c r="BE260" s="20">
        <v>0</v>
      </c>
      <c r="BF260" s="20">
        <v>0</v>
      </c>
      <c r="BG260" s="20">
        <v>0</v>
      </c>
      <c r="BH260" s="20">
        <v>0</v>
      </c>
      <c r="BI260" s="20">
        <v>0</v>
      </c>
      <c r="BJ260" s="20">
        <v>0</v>
      </c>
      <c r="BK260" s="20">
        <v>0</v>
      </c>
      <c r="BL260" s="20">
        <v>0</v>
      </c>
      <c r="BM260" s="20">
        <v>0</v>
      </c>
      <c r="BN260" s="20">
        <v>0</v>
      </c>
      <c r="BO260" s="20">
        <v>0</v>
      </c>
      <c r="BP260" s="20">
        <v>0</v>
      </c>
      <c r="BQ260" s="20">
        <v>0</v>
      </c>
      <c r="BR260" s="20">
        <v>0</v>
      </c>
      <c r="BS260" s="20">
        <v>0</v>
      </c>
      <c r="BT260" s="20">
        <v>0</v>
      </c>
      <c r="BU260" s="20">
        <v>0</v>
      </c>
      <c r="BV260" s="20">
        <v>0</v>
      </c>
      <c r="BW260" s="20">
        <v>0</v>
      </c>
      <c r="BX260" s="20">
        <v>0</v>
      </c>
      <c r="BY260" s="20">
        <v>0</v>
      </c>
      <c r="BZ260" s="20">
        <v>0</v>
      </c>
      <c r="CA260" s="20">
        <v>0</v>
      </c>
      <c r="CB260" s="20">
        <v>0</v>
      </c>
      <c r="CC260" s="20">
        <v>0</v>
      </c>
      <c r="CD260" s="20">
        <v>0</v>
      </c>
      <c r="CE260" s="20">
        <v>0</v>
      </c>
      <c r="CF260" s="20">
        <v>0</v>
      </c>
      <c r="CG260" s="20">
        <v>0</v>
      </c>
      <c r="CH260" s="20">
        <v>0</v>
      </c>
      <c r="CI260" s="20">
        <v>0</v>
      </c>
      <c r="CJ260" s="20">
        <v>0</v>
      </c>
      <c r="CK260" s="20">
        <v>0</v>
      </c>
      <c r="CL260" s="20">
        <v>0</v>
      </c>
      <c r="CM260" s="20">
        <v>0</v>
      </c>
      <c r="CN260" s="20">
        <v>0</v>
      </c>
      <c r="CO260" s="20">
        <v>0</v>
      </c>
      <c r="CP260" s="20">
        <v>0</v>
      </c>
      <c r="CQ260" s="20">
        <v>0</v>
      </c>
      <c r="CR260" s="20">
        <v>0</v>
      </c>
      <c r="CS260" s="20">
        <v>0</v>
      </c>
      <c r="CT260" s="20">
        <v>0</v>
      </c>
      <c r="CU260" s="20">
        <v>0</v>
      </c>
      <c r="CV260" s="20">
        <v>0</v>
      </c>
      <c r="CW260" s="20">
        <v>0</v>
      </c>
      <c r="CX260" s="20">
        <v>0</v>
      </c>
      <c r="CY260" s="20">
        <v>0</v>
      </c>
      <c r="CZ260" s="20">
        <v>0</v>
      </c>
      <c r="DA260" s="20">
        <v>0</v>
      </c>
      <c r="DB260" s="20">
        <v>0</v>
      </c>
      <c r="DC260" s="20">
        <v>0</v>
      </c>
      <c r="DD260" s="20">
        <v>0</v>
      </c>
      <c r="DE260" s="20">
        <v>0</v>
      </c>
      <c r="DF260" s="20">
        <v>1302.8399999999999</v>
      </c>
      <c r="DG260" s="16">
        <f t="shared" si="24"/>
        <v>15875.970000000001</v>
      </c>
      <c r="DH260" s="16">
        <f t="shared" si="25"/>
        <v>179104.53</v>
      </c>
      <c r="DI260" s="17">
        <f t="shared" si="26"/>
        <v>11.281485792679124</v>
      </c>
      <c r="DJ260" s="119" t="s">
        <v>1323</v>
      </c>
      <c r="DK260" s="119" t="s">
        <v>1525</v>
      </c>
      <c r="DL260" s="119"/>
    </row>
    <row r="261" spans="1:116">
      <c r="A261" s="32" t="str">
        <f t="shared" si="22"/>
        <v>AusNet--BRACKETS ; MINOR ROAD</v>
      </c>
      <c r="B261" s="32" t="str">
        <f t="shared" si="23"/>
        <v>AusNet</v>
      </c>
      <c r="C261" s="426"/>
      <c r="D261" s="14"/>
      <c r="E261" s="15" t="s">
        <v>265</v>
      </c>
      <c r="F261" s="18">
        <v>35</v>
      </c>
      <c r="G261" s="18">
        <v>10</v>
      </c>
      <c r="H261" s="20">
        <v>6944.55</v>
      </c>
      <c r="I261" s="20">
        <v>13100.51</v>
      </c>
      <c r="J261" s="20">
        <v>4499.72</v>
      </c>
      <c r="K261" s="20">
        <v>1035.1500000000001</v>
      </c>
      <c r="L261" s="20">
        <v>762.46</v>
      </c>
      <c r="M261" s="20">
        <v>195.64</v>
      </c>
      <c r="N261" s="20">
        <v>227.13</v>
      </c>
      <c r="O261" s="20">
        <v>232.49</v>
      </c>
      <c r="P261" s="20">
        <v>504.51</v>
      </c>
      <c r="Q261" s="20">
        <v>369.84</v>
      </c>
      <c r="R261" s="20">
        <v>91.79</v>
      </c>
      <c r="S261" s="20">
        <v>129.31</v>
      </c>
      <c r="T261" s="20">
        <v>270.01</v>
      </c>
      <c r="U261" s="20">
        <v>834.15</v>
      </c>
      <c r="V261" s="20">
        <v>274.7</v>
      </c>
      <c r="W261" s="20">
        <v>115.91</v>
      </c>
      <c r="X261" s="20">
        <v>0</v>
      </c>
      <c r="Y261" s="20">
        <v>0</v>
      </c>
      <c r="Z261" s="20">
        <v>0</v>
      </c>
      <c r="AA261" s="20">
        <v>0</v>
      </c>
      <c r="AB261" s="20">
        <v>0</v>
      </c>
      <c r="AC261" s="20">
        <v>0</v>
      </c>
      <c r="AD261" s="20">
        <v>0</v>
      </c>
      <c r="AE261" s="20">
        <v>0</v>
      </c>
      <c r="AF261" s="20">
        <v>0</v>
      </c>
      <c r="AG261" s="20">
        <v>0</v>
      </c>
      <c r="AH261" s="20">
        <v>0</v>
      </c>
      <c r="AI261" s="20">
        <v>0</v>
      </c>
      <c r="AJ261" s="20">
        <v>0</v>
      </c>
      <c r="AK261" s="20">
        <v>0</v>
      </c>
      <c r="AL261" s="20">
        <v>0</v>
      </c>
      <c r="AM261" s="20">
        <v>0</v>
      </c>
      <c r="AN261" s="20">
        <v>0</v>
      </c>
      <c r="AO261" s="20">
        <v>0</v>
      </c>
      <c r="AP261" s="20">
        <v>0</v>
      </c>
      <c r="AQ261" s="20">
        <v>0</v>
      </c>
      <c r="AR261" s="20">
        <v>0</v>
      </c>
      <c r="AS261" s="20">
        <v>0</v>
      </c>
      <c r="AT261" s="20">
        <v>0</v>
      </c>
      <c r="AU261" s="20">
        <v>0</v>
      </c>
      <c r="AV261" s="20">
        <v>0</v>
      </c>
      <c r="AW261" s="20">
        <v>0</v>
      </c>
      <c r="AX261" s="20">
        <v>0</v>
      </c>
      <c r="AY261" s="20">
        <v>0</v>
      </c>
      <c r="AZ261" s="20">
        <v>0</v>
      </c>
      <c r="BA261" s="20">
        <v>0</v>
      </c>
      <c r="BB261" s="20">
        <v>0</v>
      </c>
      <c r="BC261" s="20">
        <v>0</v>
      </c>
      <c r="BD261" s="20">
        <v>0</v>
      </c>
      <c r="BE261" s="20">
        <v>0</v>
      </c>
      <c r="BF261" s="20">
        <v>0</v>
      </c>
      <c r="BG261" s="20">
        <v>0</v>
      </c>
      <c r="BH261" s="20">
        <v>0</v>
      </c>
      <c r="BI261" s="20">
        <v>0</v>
      </c>
      <c r="BJ261" s="20">
        <v>0</v>
      </c>
      <c r="BK261" s="20">
        <v>0</v>
      </c>
      <c r="BL261" s="20">
        <v>0</v>
      </c>
      <c r="BM261" s="20">
        <v>0</v>
      </c>
      <c r="BN261" s="20">
        <v>0</v>
      </c>
      <c r="BO261" s="20">
        <v>0</v>
      </c>
      <c r="BP261" s="20">
        <v>0</v>
      </c>
      <c r="BQ261" s="20">
        <v>0</v>
      </c>
      <c r="BR261" s="20">
        <v>0</v>
      </c>
      <c r="BS261" s="20">
        <v>0</v>
      </c>
      <c r="BT261" s="20">
        <v>0</v>
      </c>
      <c r="BU261" s="20">
        <v>0</v>
      </c>
      <c r="BV261" s="20">
        <v>0</v>
      </c>
      <c r="BW261" s="20">
        <v>0</v>
      </c>
      <c r="BX261" s="20">
        <v>0</v>
      </c>
      <c r="BY261" s="20">
        <v>0</v>
      </c>
      <c r="BZ261" s="20">
        <v>0</v>
      </c>
      <c r="CA261" s="20">
        <v>0</v>
      </c>
      <c r="CB261" s="20">
        <v>0</v>
      </c>
      <c r="CC261" s="20">
        <v>0</v>
      </c>
      <c r="CD261" s="20">
        <v>0</v>
      </c>
      <c r="CE261" s="20">
        <v>0</v>
      </c>
      <c r="CF261" s="20">
        <v>0</v>
      </c>
      <c r="CG261" s="20">
        <v>0</v>
      </c>
      <c r="CH261" s="20">
        <v>0</v>
      </c>
      <c r="CI261" s="20">
        <v>0</v>
      </c>
      <c r="CJ261" s="20">
        <v>0</v>
      </c>
      <c r="CK261" s="20">
        <v>0</v>
      </c>
      <c r="CL261" s="20">
        <v>0</v>
      </c>
      <c r="CM261" s="20">
        <v>0</v>
      </c>
      <c r="CN261" s="20">
        <v>0</v>
      </c>
      <c r="CO261" s="20">
        <v>0</v>
      </c>
      <c r="CP261" s="20">
        <v>0</v>
      </c>
      <c r="CQ261" s="20">
        <v>0</v>
      </c>
      <c r="CR261" s="20">
        <v>0</v>
      </c>
      <c r="CS261" s="20">
        <v>0</v>
      </c>
      <c r="CT261" s="20">
        <v>0</v>
      </c>
      <c r="CU261" s="20">
        <v>0</v>
      </c>
      <c r="CV261" s="20">
        <v>0</v>
      </c>
      <c r="CW261" s="20">
        <v>0</v>
      </c>
      <c r="CX261" s="20">
        <v>0</v>
      </c>
      <c r="CY261" s="20">
        <v>0</v>
      </c>
      <c r="CZ261" s="20">
        <v>0</v>
      </c>
      <c r="DA261" s="20">
        <v>0</v>
      </c>
      <c r="DB261" s="20">
        <v>0</v>
      </c>
      <c r="DC261" s="20">
        <v>0</v>
      </c>
      <c r="DD261" s="20">
        <v>0</v>
      </c>
      <c r="DE261" s="20">
        <v>0</v>
      </c>
      <c r="DF261" s="20">
        <v>2645.16</v>
      </c>
      <c r="DG261" s="16">
        <f t="shared" si="24"/>
        <v>32233.030000000006</v>
      </c>
      <c r="DH261" s="16">
        <f t="shared" si="25"/>
        <v>363636.47</v>
      </c>
      <c r="DI261" s="17">
        <f t="shared" si="26"/>
        <v>11.281485792679122</v>
      </c>
      <c r="DJ261" s="119" t="s">
        <v>1323</v>
      </c>
      <c r="DK261" s="119" t="s">
        <v>1525</v>
      </c>
      <c r="DL261" s="119"/>
    </row>
    <row r="262" spans="1:116">
      <c r="A262" s="32" t="str">
        <f t="shared" si="22"/>
        <v>AusNet--LAMPS ; MAJOR ROAD</v>
      </c>
      <c r="B262" s="32" t="str">
        <f t="shared" si="23"/>
        <v>AusNet</v>
      </c>
      <c r="C262" s="426"/>
      <c r="D262" s="14"/>
      <c r="E262" s="15" t="s">
        <v>266</v>
      </c>
      <c r="F262" s="18">
        <v>0</v>
      </c>
      <c r="G262" s="18">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v>
      </c>
      <c r="AH262" s="20">
        <v>0</v>
      </c>
      <c r="AI262" s="20">
        <v>0</v>
      </c>
      <c r="AJ262" s="20">
        <v>0</v>
      </c>
      <c r="AK262" s="20">
        <v>0</v>
      </c>
      <c r="AL262" s="20">
        <v>0</v>
      </c>
      <c r="AM262" s="20">
        <v>0</v>
      </c>
      <c r="AN262" s="20">
        <v>0</v>
      </c>
      <c r="AO262" s="20">
        <v>0</v>
      </c>
      <c r="AP262" s="20">
        <v>0</v>
      </c>
      <c r="AQ262" s="20">
        <v>0</v>
      </c>
      <c r="AR262" s="20">
        <v>0</v>
      </c>
      <c r="AS262" s="20">
        <v>0</v>
      </c>
      <c r="AT262" s="20">
        <v>0</v>
      </c>
      <c r="AU262" s="20">
        <v>0</v>
      </c>
      <c r="AV262" s="20">
        <v>0</v>
      </c>
      <c r="AW262" s="20">
        <v>0</v>
      </c>
      <c r="AX262" s="20">
        <v>0</v>
      </c>
      <c r="AY262" s="20">
        <v>0</v>
      </c>
      <c r="AZ262" s="20">
        <v>0</v>
      </c>
      <c r="BA262" s="20">
        <v>0</v>
      </c>
      <c r="BB262" s="20">
        <v>0</v>
      </c>
      <c r="BC262" s="20">
        <v>0</v>
      </c>
      <c r="BD262" s="20">
        <v>0</v>
      </c>
      <c r="BE262" s="20">
        <v>0</v>
      </c>
      <c r="BF262" s="20">
        <v>0</v>
      </c>
      <c r="BG262" s="20">
        <v>0</v>
      </c>
      <c r="BH262" s="20">
        <v>0</v>
      </c>
      <c r="BI262" s="20">
        <v>0</v>
      </c>
      <c r="BJ262" s="20">
        <v>0</v>
      </c>
      <c r="BK262" s="20">
        <v>0</v>
      </c>
      <c r="BL262" s="20">
        <v>0</v>
      </c>
      <c r="BM262" s="20">
        <v>0</v>
      </c>
      <c r="BN262" s="20">
        <v>0</v>
      </c>
      <c r="BO262" s="20">
        <v>0</v>
      </c>
      <c r="BP262" s="20">
        <v>0</v>
      </c>
      <c r="BQ262" s="20">
        <v>0</v>
      </c>
      <c r="BR262" s="20">
        <v>0</v>
      </c>
      <c r="BS262" s="20">
        <v>0</v>
      </c>
      <c r="BT262" s="20">
        <v>0</v>
      </c>
      <c r="BU262" s="20">
        <v>0</v>
      </c>
      <c r="BV262" s="20">
        <v>0</v>
      </c>
      <c r="BW262" s="20">
        <v>0</v>
      </c>
      <c r="BX262" s="20">
        <v>0</v>
      </c>
      <c r="BY262" s="20">
        <v>0</v>
      </c>
      <c r="BZ262" s="20">
        <v>0</v>
      </c>
      <c r="CA262" s="20">
        <v>0</v>
      </c>
      <c r="CB262" s="20">
        <v>0</v>
      </c>
      <c r="CC262" s="20">
        <v>0</v>
      </c>
      <c r="CD262" s="20">
        <v>0</v>
      </c>
      <c r="CE262" s="20">
        <v>0</v>
      </c>
      <c r="CF262" s="20">
        <v>0</v>
      </c>
      <c r="CG262" s="20">
        <v>0</v>
      </c>
      <c r="CH262" s="20">
        <v>0</v>
      </c>
      <c r="CI262" s="20">
        <v>0</v>
      </c>
      <c r="CJ262" s="20">
        <v>0</v>
      </c>
      <c r="CK262" s="20">
        <v>0</v>
      </c>
      <c r="CL262" s="20">
        <v>0</v>
      </c>
      <c r="CM262" s="20">
        <v>0</v>
      </c>
      <c r="CN262" s="20">
        <v>0</v>
      </c>
      <c r="CO262" s="20">
        <v>0</v>
      </c>
      <c r="CP262" s="20">
        <v>0</v>
      </c>
      <c r="CQ262" s="20">
        <v>0</v>
      </c>
      <c r="CR262" s="20">
        <v>0</v>
      </c>
      <c r="CS262" s="20">
        <v>0</v>
      </c>
      <c r="CT262" s="20">
        <v>0</v>
      </c>
      <c r="CU262" s="20">
        <v>0</v>
      </c>
      <c r="CV262" s="20">
        <v>0</v>
      </c>
      <c r="CW262" s="20">
        <v>0</v>
      </c>
      <c r="CX262" s="20">
        <v>0</v>
      </c>
      <c r="CY262" s="20">
        <v>0</v>
      </c>
      <c r="CZ262" s="20">
        <v>0</v>
      </c>
      <c r="DA262" s="20">
        <v>0</v>
      </c>
      <c r="DB262" s="20">
        <v>0</v>
      </c>
      <c r="DC262" s="20">
        <v>0</v>
      </c>
      <c r="DD262" s="20">
        <v>0</v>
      </c>
      <c r="DE262" s="20">
        <v>0</v>
      </c>
      <c r="DF262" s="20">
        <v>0</v>
      </c>
      <c r="DG262" s="16">
        <f t="shared" si="24"/>
        <v>0</v>
      </c>
      <c r="DH262" s="16">
        <f t="shared" si="25"/>
        <v>0</v>
      </c>
      <c r="DI262" s="17" t="str">
        <f t="shared" si="26"/>
        <v/>
      </c>
      <c r="DJ262" s="119" t="s">
        <v>1323</v>
      </c>
      <c r="DK262" s="119" t="s">
        <v>1525</v>
      </c>
      <c r="DL262" s="119"/>
    </row>
    <row r="263" spans="1:116">
      <c r="A263" s="32" t="str">
        <f t="shared" si="22"/>
        <v>AusNet--LAMPS ; MINOR ROAD</v>
      </c>
      <c r="B263" s="32" t="str">
        <f t="shared" si="23"/>
        <v>AusNet</v>
      </c>
      <c r="C263" s="426"/>
      <c r="D263" s="14"/>
      <c r="E263" s="15" t="s">
        <v>267</v>
      </c>
      <c r="F263" s="18">
        <v>0</v>
      </c>
      <c r="G263" s="18">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v>
      </c>
      <c r="AH263" s="20">
        <v>0</v>
      </c>
      <c r="AI263" s="20">
        <v>0</v>
      </c>
      <c r="AJ263" s="20">
        <v>0</v>
      </c>
      <c r="AK263" s="20">
        <v>0</v>
      </c>
      <c r="AL263" s="20">
        <v>0</v>
      </c>
      <c r="AM263" s="20">
        <v>0</v>
      </c>
      <c r="AN263" s="20">
        <v>0</v>
      </c>
      <c r="AO263" s="20">
        <v>0</v>
      </c>
      <c r="AP263" s="20">
        <v>0</v>
      </c>
      <c r="AQ263" s="20">
        <v>0</v>
      </c>
      <c r="AR263" s="20">
        <v>0</v>
      </c>
      <c r="AS263" s="20">
        <v>0</v>
      </c>
      <c r="AT263" s="20">
        <v>0</v>
      </c>
      <c r="AU263" s="20">
        <v>0</v>
      </c>
      <c r="AV263" s="20">
        <v>0</v>
      </c>
      <c r="AW263" s="20">
        <v>0</v>
      </c>
      <c r="AX263" s="20">
        <v>0</v>
      </c>
      <c r="AY263" s="20">
        <v>0</v>
      </c>
      <c r="AZ263" s="20">
        <v>0</v>
      </c>
      <c r="BA263" s="20">
        <v>0</v>
      </c>
      <c r="BB263" s="20">
        <v>0</v>
      </c>
      <c r="BC263" s="20">
        <v>0</v>
      </c>
      <c r="BD263" s="20">
        <v>0</v>
      </c>
      <c r="BE263" s="20">
        <v>0</v>
      </c>
      <c r="BF263" s="20">
        <v>0</v>
      </c>
      <c r="BG263" s="20">
        <v>0</v>
      </c>
      <c r="BH263" s="20">
        <v>0</v>
      </c>
      <c r="BI263" s="20">
        <v>0</v>
      </c>
      <c r="BJ263" s="20">
        <v>0</v>
      </c>
      <c r="BK263" s="20">
        <v>0</v>
      </c>
      <c r="BL263" s="20">
        <v>0</v>
      </c>
      <c r="BM263" s="20">
        <v>0</v>
      </c>
      <c r="BN263" s="20">
        <v>0</v>
      </c>
      <c r="BO263" s="20">
        <v>0</v>
      </c>
      <c r="BP263" s="20">
        <v>0</v>
      </c>
      <c r="BQ263" s="20">
        <v>0</v>
      </c>
      <c r="BR263" s="20">
        <v>0</v>
      </c>
      <c r="BS263" s="20">
        <v>0</v>
      </c>
      <c r="BT263" s="20">
        <v>0</v>
      </c>
      <c r="BU263" s="20">
        <v>0</v>
      </c>
      <c r="BV263" s="20">
        <v>0</v>
      </c>
      <c r="BW263" s="20">
        <v>0</v>
      </c>
      <c r="BX263" s="20">
        <v>0</v>
      </c>
      <c r="BY263" s="20">
        <v>0</v>
      </c>
      <c r="BZ263" s="20">
        <v>0</v>
      </c>
      <c r="CA263" s="20">
        <v>0</v>
      </c>
      <c r="CB263" s="20">
        <v>0</v>
      </c>
      <c r="CC263" s="20">
        <v>0</v>
      </c>
      <c r="CD263" s="20">
        <v>0</v>
      </c>
      <c r="CE263" s="20">
        <v>0</v>
      </c>
      <c r="CF263" s="20">
        <v>0</v>
      </c>
      <c r="CG263" s="20">
        <v>0</v>
      </c>
      <c r="CH263" s="20">
        <v>0</v>
      </c>
      <c r="CI263" s="20">
        <v>0</v>
      </c>
      <c r="CJ263" s="20">
        <v>0</v>
      </c>
      <c r="CK263" s="20">
        <v>0</v>
      </c>
      <c r="CL263" s="20">
        <v>0</v>
      </c>
      <c r="CM263" s="20">
        <v>0</v>
      </c>
      <c r="CN263" s="20">
        <v>0</v>
      </c>
      <c r="CO263" s="20">
        <v>0</v>
      </c>
      <c r="CP263" s="20">
        <v>0</v>
      </c>
      <c r="CQ263" s="20">
        <v>0</v>
      </c>
      <c r="CR263" s="20">
        <v>0</v>
      </c>
      <c r="CS263" s="20">
        <v>0</v>
      </c>
      <c r="CT263" s="20">
        <v>0</v>
      </c>
      <c r="CU263" s="20">
        <v>0</v>
      </c>
      <c r="CV263" s="20">
        <v>0</v>
      </c>
      <c r="CW263" s="20">
        <v>0</v>
      </c>
      <c r="CX263" s="20">
        <v>0</v>
      </c>
      <c r="CY263" s="20">
        <v>0</v>
      </c>
      <c r="CZ263" s="20">
        <v>0</v>
      </c>
      <c r="DA263" s="20">
        <v>0</v>
      </c>
      <c r="DB263" s="20">
        <v>0</v>
      </c>
      <c r="DC263" s="20">
        <v>0</v>
      </c>
      <c r="DD263" s="20">
        <v>0</v>
      </c>
      <c r="DE263" s="20">
        <v>0</v>
      </c>
      <c r="DF263" s="20">
        <v>0</v>
      </c>
      <c r="DG263" s="16">
        <f t="shared" si="24"/>
        <v>0</v>
      </c>
      <c r="DH263" s="16">
        <f t="shared" si="25"/>
        <v>0</v>
      </c>
      <c r="DI263" s="17" t="str">
        <f t="shared" si="26"/>
        <v/>
      </c>
      <c r="DJ263" s="119" t="s">
        <v>1323</v>
      </c>
      <c r="DK263" s="119" t="s">
        <v>1525</v>
      </c>
      <c r="DL263" s="119"/>
    </row>
    <row r="264" spans="1:116">
      <c r="A264" s="32" t="str">
        <f t="shared" si="22"/>
        <v>AusNet--POLES / COLUMNS ; MAJOR ROAD</v>
      </c>
      <c r="B264" s="32" t="str">
        <f t="shared" si="23"/>
        <v>AusNet</v>
      </c>
      <c r="C264" s="426"/>
      <c r="D264" s="14"/>
      <c r="E264" s="15" t="s">
        <v>268</v>
      </c>
      <c r="F264" s="18">
        <v>0</v>
      </c>
      <c r="G264" s="18">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v>
      </c>
      <c r="AI264" s="20">
        <v>0</v>
      </c>
      <c r="AJ264" s="20">
        <v>0</v>
      </c>
      <c r="AK264" s="20">
        <v>0</v>
      </c>
      <c r="AL264" s="20">
        <v>0</v>
      </c>
      <c r="AM264" s="20">
        <v>0</v>
      </c>
      <c r="AN264" s="20">
        <v>0</v>
      </c>
      <c r="AO264" s="20">
        <v>0</v>
      </c>
      <c r="AP264" s="20">
        <v>0</v>
      </c>
      <c r="AQ264" s="20">
        <v>0</v>
      </c>
      <c r="AR264" s="20">
        <v>0</v>
      </c>
      <c r="AS264" s="20">
        <v>0</v>
      </c>
      <c r="AT264" s="20">
        <v>0</v>
      </c>
      <c r="AU264" s="20">
        <v>0</v>
      </c>
      <c r="AV264" s="20">
        <v>0</v>
      </c>
      <c r="AW264" s="20">
        <v>0</v>
      </c>
      <c r="AX264" s="20">
        <v>0</v>
      </c>
      <c r="AY264" s="20">
        <v>0</v>
      </c>
      <c r="AZ264" s="20">
        <v>0</v>
      </c>
      <c r="BA264" s="20">
        <v>0</v>
      </c>
      <c r="BB264" s="20">
        <v>0</v>
      </c>
      <c r="BC264" s="20">
        <v>0</v>
      </c>
      <c r="BD264" s="20">
        <v>0</v>
      </c>
      <c r="BE264" s="20">
        <v>0</v>
      </c>
      <c r="BF264" s="20">
        <v>0</v>
      </c>
      <c r="BG264" s="20">
        <v>0</v>
      </c>
      <c r="BH264" s="20">
        <v>0</v>
      </c>
      <c r="BI264" s="20">
        <v>0</v>
      </c>
      <c r="BJ264" s="20">
        <v>0</v>
      </c>
      <c r="BK264" s="20">
        <v>0</v>
      </c>
      <c r="BL264" s="20">
        <v>0</v>
      </c>
      <c r="BM264" s="20">
        <v>0</v>
      </c>
      <c r="BN264" s="20">
        <v>0</v>
      </c>
      <c r="BO264" s="20">
        <v>0</v>
      </c>
      <c r="BP264" s="20">
        <v>0</v>
      </c>
      <c r="BQ264" s="20">
        <v>0</v>
      </c>
      <c r="BR264" s="20">
        <v>0</v>
      </c>
      <c r="BS264" s="20">
        <v>0</v>
      </c>
      <c r="BT264" s="20">
        <v>0</v>
      </c>
      <c r="BU264" s="20">
        <v>0</v>
      </c>
      <c r="BV264" s="20">
        <v>0</v>
      </c>
      <c r="BW264" s="20">
        <v>0</v>
      </c>
      <c r="BX264" s="20">
        <v>0</v>
      </c>
      <c r="BY264" s="20">
        <v>0</v>
      </c>
      <c r="BZ264" s="20">
        <v>0</v>
      </c>
      <c r="CA264" s="20">
        <v>0</v>
      </c>
      <c r="CB264" s="20">
        <v>0</v>
      </c>
      <c r="CC264" s="20">
        <v>0</v>
      </c>
      <c r="CD264" s="20">
        <v>0</v>
      </c>
      <c r="CE264" s="20">
        <v>0</v>
      </c>
      <c r="CF264" s="20">
        <v>0</v>
      </c>
      <c r="CG264" s="20">
        <v>0</v>
      </c>
      <c r="CH264" s="20">
        <v>0</v>
      </c>
      <c r="CI264" s="20">
        <v>0</v>
      </c>
      <c r="CJ264" s="20">
        <v>0</v>
      </c>
      <c r="CK264" s="20">
        <v>0</v>
      </c>
      <c r="CL264" s="20">
        <v>0</v>
      </c>
      <c r="CM264" s="20">
        <v>0</v>
      </c>
      <c r="CN264" s="20">
        <v>0</v>
      </c>
      <c r="CO264" s="20">
        <v>0</v>
      </c>
      <c r="CP264" s="20">
        <v>0</v>
      </c>
      <c r="CQ264" s="20">
        <v>0</v>
      </c>
      <c r="CR264" s="20">
        <v>0</v>
      </c>
      <c r="CS264" s="20">
        <v>0</v>
      </c>
      <c r="CT264" s="20">
        <v>0</v>
      </c>
      <c r="CU264" s="20">
        <v>0</v>
      </c>
      <c r="CV264" s="20">
        <v>0</v>
      </c>
      <c r="CW264" s="20">
        <v>0</v>
      </c>
      <c r="CX264" s="20">
        <v>0</v>
      </c>
      <c r="CY264" s="20">
        <v>0</v>
      </c>
      <c r="CZ264" s="20">
        <v>0</v>
      </c>
      <c r="DA264" s="20">
        <v>0</v>
      </c>
      <c r="DB264" s="20">
        <v>0</v>
      </c>
      <c r="DC264" s="20">
        <v>0</v>
      </c>
      <c r="DD264" s="20">
        <v>0</v>
      </c>
      <c r="DE264" s="20">
        <v>0</v>
      </c>
      <c r="DF264" s="20">
        <v>0</v>
      </c>
      <c r="DG264" s="16">
        <f t="shared" si="24"/>
        <v>0</v>
      </c>
      <c r="DH264" s="16">
        <f t="shared" si="25"/>
        <v>0</v>
      </c>
      <c r="DI264" s="17" t="str">
        <f t="shared" si="26"/>
        <v/>
      </c>
      <c r="DJ264" s="119" t="s">
        <v>1323</v>
      </c>
      <c r="DK264" s="119" t="s">
        <v>1</v>
      </c>
      <c r="DL264" s="119" t="s">
        <v>1522</v>
      </c>
    </row>
    <row r="265" spans="1:116">
      <c r="A265" s="32" t="str">
        <f t="shared" si="22"/>
        <v>AusNet--POLES / COLUMNS ; MINOR ROAD</v>
      </c>
      <c r="B265" s="32" t="str">
        <f t="shared" si="23"/>
        <v>AusNet</v>
      </c>
      <c r="C265" s="426"/>
      <c r="D265" s="14"/>
      <c r="E265" s="15" t="s">
        <v>269</v>
      </c>
      <c r="F265" s="18">
        <v>0</v>
      </c>
      <c r="G265" s="18">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v>
      </c>
      <c r="AI265" s="20">
        <v>0</v>
      </c>
      <c r="AJ265" s="20">
        <v>0</v>
      </c>
      <c r="AK265" s="20">
        <v>0</v>
      </c>
      <c r="AL265" s="20">
        <v>0</v>
      </c>
      <c r="AM265" s="20">
        <v>0</v>
      </c>
      <c r="AN265" s="20">
        <v>0</v>
      </c>
      <c r="AO265" s="20">
        <v>0</v>
      </c>
      <c r="AP265" s="20">
        <v>0</v>
      </c>
      <c r="AQ265" s="20">
        <v>0</v>
      </c>
      <c r="AR265" s="20">
        <v>0</v>
      </c>
      <c r="AS265" s="20">
        <v>0</v>
      </c>
      <c r="AT265" s="20">
        <v>0</v>
      </c>
      <c r="AU265" s="20">
        <v>0</v>
      </c>
      <c r="AV265" s="20">
        <v>0</v>
      </c>
      <c r="AW265" s="20">
        <v>0</v>
      </c>
      <c r="AX265" s="20">
        <v>0</v>
      </c>
      <c r="AY265" s="20">
        <v>0</v>
      </c>
      <c r="AZ265" s="20">
        <v>0</v>
      </c>
      <c r="BA265" s="20">
        <v>0</v>
      </c>
      <c r="BB265" s="20">
        <v>0</v>
      </c>
      <c r="BC265" s="20">
        <v>0</v>
      </c>
      <c r="BD265" s="20">
        <v>0</v>
      </c>
      <c r="BE265" s="20">
        <v>0</v>
      </c>
      <c r="BF265" s="20">
        <v>0</v>
      </c>
      <c r="BG265" s="20">
        <v>0</v>
      </c>
      <c r="BH265" s="20">
        <v>0</v>
      </c>
      <c r="BI265" s="20">
        <v>0</v>
      </c>
      <c r="BJ265" s="20">
        <v>0</v>
      </c>
      <c r="BK265" s="20">
        <v>0</v>
      </c>
      <c r="BL265" s="20">
        <v>0</v>
      </c>
      <c r="BM265" s="20">
        <v>0</v>
      </c>
      <c r="BN265" s="20">
        <v>0</v>
      </c>
      <c r="BO265" s="20">
        <v>0</v>
      </c>
      <c r="BP265" s="20">
        <v>0</v>
      </c>
      <c r="BQ265" s="20">
        <v>0</v>
      </c>
      <c r="BR265" s="20">
        <v>0</v>
      </c>
      <c r="BS265" s="20">
        <v>0</v>
      </c>
      <c r="BT265" s="20">
        <v>0</v>
      </c>
      <c r="BU265" s="20">
        <v>0</v>
      </c>
      <c r="BV265" s="20">
        <v>0</v>
      </c>
      <c r="BW265" s="20">
        <v>0</v>
      </c>
      <c r="BX265" s="20">
        <v>0</v>
      </c>
      <c r="BY265" s="20">
        <v>0</v>
      </c>
      <c r="BZ265" s="20">
        <v>0</v>
      </c>
      <c r="CA265" s="20">
        <v>0</v>
      </c>
      <c r="CB265" s="20">
        <v>0</v>
      </c>
      <c r="CC265" s="20">
        <v>0</v>
      </c>
      <c r="CD265" s="20">
        <v>0</v>
      </c>
      <c r="CE265" s="20">
        <v>0</v>
      </c>
      <c r="CF265" s="20">
        <v>0</v>
      </c>
      <c r="CG265" s="20">
        <v>0</v>
      </c>
      <c r="CH265" s="20">
        <v>0</v>
      </c>
      <c r="CI265" s="20">
        <v>0</v>
      </c>
      <c r="CJ265" s="20">
        <v>0</v>
      </c>
      <c r="CK265" s="20">
        <v>0</v>
      </c>
      <c r="CL265" s="20">
        <v>0</v>
      </c>
      <c r="CM265" s="20">
        <v>0</v>
      </c>
      <c r="CN265" s="20">
        <v>0</v>
      </c>
      <c r="CO265" s="20">
        <v>0</v>
      </c>
      <c r="CP265" s="20">
        <v>0</v>
      </c>
      <c r="CQ265" s="20">
        <v>0</v>
      </c>
      <c r="CR265" s="20">
        <v>0</v>
      </c>
      <c r="CS265" s="20">
        <v>0</v>
      </c>
      <c r="CT265" s="20">
        <v>0</v>
      </c>
      <c r="CU265" s="20">
        <v>0</v>
      </c>
      <c r="CV265" s="20">
        <v>0</v>
      </c>
      <c r="CW265" s="20">
        <v>0</v>
      </c>
      <c r="CX265" s="20">
        <v>0</v>
      </c>
      <c r="CY265" s="20">
        <v>0</v>
      </c>
      <c r="CZ265" s="20">
        <v>0</v>
      </c>
      <c r="DA265" s="20">
        <v>0</v>
      </c>
      <c r="DB265" s="20">
        <v>0</v>
      </c>
      <c r="DC265" s="20">
        <v>0</v>
      </c>
      <c r="DD265" s="20">
        <v>0</v>
      </c>
      <c r="DE265" s="20">
        <v>0</v>
      </c>
      <c r="DF265" s="20">
        <v>0</v>
      </c>
      <c r="DG265" s="16">
        <f t="shared" si="24"/>
        <v>0</v>
      </c>
      <c r="DH265" s="16">
        <f t="shared" si="25"/>
        <v>0</v>
      </c>
      <c r="DI265" s="17" t="str">
        <f t="shared" si="26"/>
        <v/>
      </c>
      <c r="DJ265" s="119" t="s">
        <v>1323</v>
      </c>
      <c r="DK265" s="119" t="s">
        <v>1</v>
      </c>
      <c r="DL265" s="119" t="s">
        <v>1522</v>
      </c>
    </row>
    <row r="266" spans="1:116">
      <c r="A266" s="32" t="str">
        <f t="shared" si="22"/>
        <v>AusNet--OTHER - PLEASE ADD A ROW IF NECESSARY AND NOMINATE THE CATEGORY</v>
      </c>
      <c r="B266" s="32" t="str">
        <f t="shared" si="23"/>
        <v>AusNet</v>
      </c>
      <c r="C266" s="426"/>
      <c r="D266" s="14"/>
      <c r="E266" s="15" t="s">
        <v>170</v>
      </c>
      <c r="F266" s="18"/>
      <c r="G266" s="18"/>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16">
        <f t="shared" si="24"/>
        <v>0</v>
      </c>
      <c r="DH266" s="16">
        <f t="shared" si="25"/>
        <v>0</v>
      </c>
      <c r="DI266" s="17" t="str">
        <f t="shared" si="26"/>
        <v/>
      </c>
      <c r="DJ266" s="119" t="s">
        <v>1323</v>
      </c>
      <c r="DK266" s="119" t="s">
        <v>1525</v>
      </c>
    </row>
    <row r="267" spans="1:116" ht="45">
      <c r="A267" s="32" t="str">
        <f t="shared" si="22"/>
        <v>AusNet-SCADA, NETWORK CONTROL AND PROTECTION SYSTEMS BY: 
FUNCTION-FIELD DEVICES</v>
      </c>
      <c r="B267" s="32" t="str">
        <f t="shared" si="23"/>
        <v>AusNet</v>
      </c>
      <c r="C267" s="426"/>
      <c r="D267" s="14" t="s">
        <v>548</v>
      </c>
      <c r="E267" s="15" t="s">
        <v>272</v>
      </c>
      <c r="F267" s="18">
        <v>20</v>
      </c>
      <c r="G267" s="18">
        <v>5</v>
      </c>
      <c r="H267" s="20">
        <v>152</v>
      </c>
      <c r="I267" s="20">
        <v>287</v>
      </c>
      <c r="J267" s="20">
        <v>144</v>
      </c>
      <c r="K267" s="20">
        <v>757</v>
      </c>
      <c r="L267" s="20">
        <v>210</v>
      </c>
      <c r="M267" s="20">
        <v>247</v>
      </c>
      <c r="N267" s="20">
        <v>107</v>
      </c>
      <c r="O267" s="20">
        <v>0</v>
      </c>
      <c r="P267" s="20">
        <v>3</v>
      </c>
      <c r="Q267" s="20">
        <v>0</v>
      </c>
      <c r="R267" s="20">
        <v>1</v>
      </c>
      <c r="S267" s="20">
        <v>0</v>
      </c>
      <c r="T267" s="20">
        <v>3</v>
      </c>
      <c r="U267" s="20">
        <v>2</v>
      </c>
      <c r="V267" s="20">
        <v>0</v>
      </c>
      <c r="W267" s="20">
        <v>0</v>
      </c>
      <c r="X267" s="20">
        <v>0</v>
      </c>
      <c r="Y267" s="20">
        <v>1</v>
      </c>
      <c r="Z267" s="20">
        <v>0</v>
      </c>
      <c r="AA267" s="20">
        <v>0</v>
      </c>
      <c r="AB267" s="20">
        <v>0</v>
      </c>
      <c r="AC267" s="20">
        <v>0</v>
      </c>
      <c r="AD267" s="20">
        <v>0</v>
      </c>
      <c r="AE267" s="20">
        <v>0</v>
      </c>
      <c r="AF267" s="20">
        <v>1</v>
      </c>
      <c r="AG267" s="20">
        <v>0</v>
      </c>
      <c r="AH267" s="20">
        <v>0</v>
      </c>
      <c r="AI267" s="20">
        <v>0</v>
      </c>
      <c r="AJ267" s="20">
        <v>0</v>
      </c>
      <c r="AK267" s="20">
        <v>0</v>
      </c>
      <c r="AL267" s="20">
        <v>0</v>
      </c>
      <c r="AM267" s="20">
        <v>0</v>
      </c>
      <c r="AN267" s="20">
        <v>0</v>
      </c>
      <c r="AO267" s="20">
        <v>0</v>
      </c>
      <c r="AP267" s="20">
        <v>0</v>
      </c>
      <c r="AQ267" s="20">
        <v>0</v>
      </c>
      <c r="AR267" s="20">
        <v>0</v>
      </c>
      <c r="AS267" s="20">
        <v>0</v>
      </c>
      <c r="AT267" s="20">
        <v>0</v>
      </c>
      <c r="AU267" s="20">
        <v>0</v>
      </c>
      <c r="AV267" s="20">
        <v>0</v>
      </c>
      <c r="AW267" s="20">
        <v>0</v>
      </c>
      <c r="AX267" s="20">
        <v>0</v>
      </c>
      <c r="AY267" s="20">
        <v>0</v>
      </c>
      <c r="AZ267" s="20">
        <v>0</v>
      </c>
      <c r="BA267" s="20">
        <v>0</v>
      </c>
      <c r="BB267" s="20">
        <v>0</v>
      </c>
      <c r="BC267" s="20">
        <v>0</v>
      </c>
      <c r="BD267" s="20">
        <v>0</v>
      </c>
      <c r="BE267" s="20">
        <v>0</v>
      </c>
      <c r="BF267" s="20">
        <v>0</v>
      </c>
      <c r="BG267" s="20">
        <v>0</v>
      </c>
      <c r="BH267" s="20">
        <v>0</v>
      </c>
      <c r="BI267" s="20">
        <v>0</v>
      </c>
      <c r="BJ267" s="20">
        <v>0</v>
      </c>
      <c r="BK267" s="20">
        <v>0</v>
      </c>
      <c r="BL267" s="20">
        <v>0</v>
      </c>
      <c r="BM267" s="20">
        <v>0</v>
      </c>
      <c r="BN267" s="20">
        <v>0</v>
      </c>
      <c r="BO267" s="20">
        <v>0</v>
      </c>
      <c r="BP267" s="20">
        <v>0</v>
      </c>
      <c r="BQ267" s="20">
        <v>0</v>
      </c>
      <c r="BR267" s="20">
        <v>0</v>
      </c>
      <c r="BS267" s="20">
        <v>0</v>
      </c>
      <c r="BT267" s="20">
        <v>0</v>
      </c>
      <c r="BU267" s="20">
        <v>0</v>
      </c>
      <c r="BV267" s="20">
        <v>0</v>
      </c>
      <c r="BW267" s="20">
        <v>0</v>
      </c>
      <c r="BX267" s="20">
        <v>0</v>
      </c>
      <c r="BY267" s="20">
        <v>0</v>
      </c>
      <c r="BZ267" s="20">
        <v>0</v>
      </c>
      <c r="CA267" s="20">
        <v>0</v>
      </c>
      <c r="CB267" s="20">
        <v>0</v>
      </c>
      <c r="CC267" s="20">
        <v>0</v>
      </c>
      <c r="CD267" s="20">
        <v>0</v>
      </c>
      <c r="CE267" s="20">
        <v>0</v>
      </c>
      <c r="CF267" s="20">
        <v>0</v>
      </c>
      <c r="CG267" s="20">
        <v>0</v>
      </c>
      <c r="CH267" s="20">
        <v>0</v>
      </c>
      <c r="CI267" s="20">
        <v>0</v>
      </c>
      <c r="CJ267" s="20">
        <v>0</v>
      </c>
      <c r="CK267" s="20">
        <v>0</v>
      </c>
      <c r="CL267" s="20">
        <v>0</v>
      </c>
      <c r="CM267" s="20">
        <v>0</v>
      </c>
      <c r="CN267" s="20">
        <v>0</v>
      </c>
      <c r="CO267" s="20">
        <v>0</v>
      </c>
      <c r="CP267" s="20">
        <v>0</v>
      </c>
      <c r="CQ267" s="20">
        <v>0</v>
      </c>
      <c r="CR267" s="20">
        <v>0</v>
      </c>
      <c r="CS267" s="20">
        <v>0</v>
      </c>
      <c r="CT267" s="20">
        <v>0</v>
      </c>
      <c r="CU267" s="20">
        <v>0</v>
      </c>
      <c r="CV267" s="20">
        <v>0</v>
      </c>
      <c r="CW267" s="20">
        <v>0</v>
      </c>
      <c r="CX267" s="20">
        <v>0</v>
      </c>
      <c r="CY267" s="20">
        <v>0</v>
      </c>
      <c r="CZ267" s="20">
        <v>0</v>
      </c>
      <c r="DA267" s="20">
        <v>0</v>
      </c>
      <c r="DB267" s="20">
        <v>0</v>
      </c>
      <c r="DC267" s="20">
        <v>0</v>
      </c>
      <c r="DD267" s="20">
        <v>0</v>
      </c>
      <c r="DE267" s="20">
        <v>0</v>
      </c>
      <c r="DF267" s="20">
        <v>68</v>
      </c>
      <c r="DG267" s="16">
        <f t="shared" si="24"/>
        <v>1983</v>
      </c>
      <c r="DH267" s="16">
        <f t="shared" si="25"/>
        <v>14619</v>
      </c>
      <c r="DI267" s="17">
        <f t="shared" si="26"/>
        <v>7.3721633888048412</v>
      </c>
      <c r="DJ267" s="119" t="s">
        <v>659</v>
      </c>
      <c r="DK267" t="s">
        <v>659</v>
      </c>
    </row>
    <row r="268" spans="1:116">
      <c r="A268" s="32" t="str">
        <f t="shared" si="22"/>
        <v>AusNet--LOCAL NETWORK WIRING ASSETS</v>
      </c>
      <c r="B268" s="32" t="str">
        <f t="shared" si="23"/>
        <v>AusNet</v>
      </c>
      <c r="C268" s="426"/>
      <c r="D268" s="14"/>
      <c r="E268" s="15" t="s">
        <v>273</v>
      </c>
      <c r="F268" s="18">
        <v>20</v>
      </c>
      <c r="G268" s="18">
        <v>5</v>
      </c>
      <c r="H268" s="20">
        <v>15</v>
      </c>
      <c r="I268" s="20">
        <v>9</v>
      </c>
      <c r="J268" s="20">
        <v>4</v>
      </c>
      <c r="K268" s="20">
        <v>10</v>
      </c>
      <c r="L268" s="20">
        <v>17</v>
      </c>
      <c r="M268" s="20">
        <v>0</v>
      </c>
      <c r="N268" s="20">
        <v>8</v>
      </c>
      <c r="O268" s="20">
        <v>5</v>
      </c>
      <c r="P268" s="20">
        <v>4</v>
      </c>
      <c r="Q268" s="20">
        <v>0</v>
      </c>
      <c r="R268" s="20">
        <v>0</v>
      </c>
      <c r="S268" s="20">
        <v>1</v>
      </c>
      <c r="T268" s="20">
        <v>8</v>
      </c>
      <c r="U268" s="20">
        <v>1</v>
      </c>
      <c r="V268" s="20">
        <v>8</v>
      </c>
      <c r="W268" s="20">
        <v>17</v>
      </c>
      <c r="X268" s="20">
        <v>4</v>
      </c>
      <c r="Y268" s="20">
        <v>0</v>
      </c>
      <c r="Z268" s="20">
        <v>0</v>
      </c>
      <c r="AA268" s="20">
        <v>0</v>
      </c>
      <c r="AB268" s="20">
        <v>0</v>
      </c>
      <c r="AC268" s="20">
        <v>0</v>
      </c>
      <c r="AD268" s="20">
        <v>0</v>
      </c>
      <c r="AE268" s="20">
        <v>0</v>
      </c>
      <c r="AF268" s="20">
        <v>0</v>
      </c>
      <c r="AG268" s="20">
        <v>0</v>
      </c>
      <c r="AH268" s="20">
        <v>1</v>
      </c>
      <c r="AI268" s="20">
        <v>0</v>
      </c>
      <c r="AJ268" s="20">
        <v>0</v>
      </c>
      <c r="AK268" s="20">
        <v>0</v>
      </c>
      <c r="AL268" s="20">
        <v>0</v>
      </c>
      <c r="AM268" s="20">
        <v>0</v>
      </c>
      <c r="AN268" s="20">
        <v>2</v>
      </c>
      <c r="AO268" s="20">
        <v>0</v>
      </c>
      <c r="AP268" s="20">
        <v>0</v>
      </c>
      <c r="AQ268" s="20">
        <v>0</v>
      </c>
      <c r="AR268" s="20">
        <v>0</v>
      </c>
      <c r="AS268" s="20">
        <v>0</v>
      </c>
      <c r="AT268" s="20">
        <v>0</v>
      </c>
      <c r="AU268" s="20">
        <v>0</v>
      </c>
      <c r="AV268" s="20">
        <v>0</v>
      </c>
      <c r="AW268" s="20">
        <v>0</v>
      </c>
      <c r="AX268" s="20">
        <v>0</v>
      </c>
      <c r="AY268" s="20">
        <v>0</v>
      </c>
      <c r="AZ268" s="20">
        <v>0</v>
      </c>
      <c r="BA268" s="20">
        <v>0</v>
      </c>
      <c r="BB268" s="20">
        <v>0</v>
      </c>
      <c r="BC268" s="20">
        <v>0</v>
      </c>
      <c r="BD268" s="20">
        <v>0</v>
      </c>
      <c r="BE268" s="20">
        <v>0</v>
      </c>
      <c r="BF268" s="20">
        <v>0</v>
      </c>
      <c r="BG268" s="20">
        <v>0</v>
      </c>
      <c r="BH268" s="20">
        <v>0</v>
      </c>
      <c r="BI268" s="20">
        <v>0</v>
      </c>
      <c r="BJ268" s="20">
        <v>0</v>
      </c>
      <c r="BK268" s="20">
        <v>0</v>
      </c>
      <c r="BL268" s="20">
        <v>0</v>
      </c>
      <c r="BM268" s="20">
        <v>0</v>
      </c>
      <c r="BN268" s="20">
        <v>0</v>
      </c>
      <c r="BO268" s="20">
        <v>0</v>
      </c>
      <c r="BP268" s="20">
        <v>0</v>
      </c>
      <c r="BQ268" s="20">
        <v>0</v>
      </c>
      <c r="BR268" s="20">
        <v>0</v>
      </c>
      <c r="BS268" s="20">
        <v>0</v>
      </c>
      <c r="BT268" s="20">
        <v>0</v>
      </c>
      <c r="BU268" s="20">
        <v>0</v>
      </c>
      <c r="BV268" s="20">
        <v>0</v>
      </c>
      <c r="BW268" s="20">
        <v>0</v>
      </c>
      <c r="BX268" s="20">
        <v>0</v>
      </c>
      <c r="BY268" s="20">
        <v>0</v>
      </c>
      <c r="BZ268" s="20">
        <v>0</v>
      </c>
      <c r="CA268" s="20">
        <v>0</v>
      </c>
      <c r="CB268" s="20">
        <v>0</v>
      </c>
      <c r="CC268" s="20">
        <v>0</v>
      </c>
      <c r="CD268" s="20">
        <v>0</v>
      </c>
      <c r="CE268" s="20">
        <v>0</v>
      </c>
      <c r="CF268" s="20">
        <v>0</v>
      </c>
      <c r="CG268" s="20">
        <v>0</v>
      </c>
      <c r="CH268" s="20">
        <v>0</v>
      </c>
      <c r="CI268" s="20">
        <v>0</v>
      </c>
      <c r="CJ268" s="20">
        <v>0</v>
      </c>
      <c r="CK268" s="20">
        <v>0</v>
      </c>
      <c r="CL268" s="20">
        <v>0</v>
      </c>
      <c r="CM268" s="20">
        <v>0</v>
      </c>
      <c r="CN268" s="20">
        <v>0</v>
      </c>
      <c r="CO268" s="20">
        <v>0</v>
      </c>
      <c r="CP268" s="20">
        <v>0</v>
      </c>
      <c r="CQ268" s="20">
        <v>0</v>
      </c>
      <c r="CR268" s="20">
        <v>0</v>
      </c>
      <c r="CS268" s="20">
        <v>0</v>
      </c>
      <c r="CT268" s="20">
        <v>0</v>
      </c>
      <c r="CU268" s="20">
        <v>0</v>
      </c>
      <c r="CV268" s="20">
        <v>0</v>
      </c>
      <c r="CW268" s="20">
        <v>0</v>
      </c>
      <c r="CX268" s="20">
        <v>0</v>
      </c>
      <c r="CY268" s="20">
        <v>0</v>
      </c>
      <c r="CZ268" s="20">
        <v>0</v>
      </c>
      <c r="DA268" s="20">
        <v>0</v>
      </c>
      <c r="DB268" s="20">
        <v>0</v>
      </c>
      <c r="DC268" s="20">
        <v>0</v>
      </c>
      <c r="DD268" s="20">
        <v>0</v>
      </c>
      <c r="DE268" s="20">
        <v>0</v>
      </c>
      <c r="DF268" s="20">
        <v>269</v>
      </c>
      <c r="DG268" s="16">
        <f t="shared" si="24"/>
        <v>383</v>
      </c>
      <c r="DH268" s="16">
        <f t="shared" si="25"/>
        <v>28692</v>
      </c>
      <c r="DI268" s="17">
        <f t="shared" si="26"/>
        <v>74.913838120104444</v>
      </c>
      <c r="DJ268" s="119" t="s">
        <v>659</v>
      </c>
      <c r="DK268" t="s">
        <v>659</v>
      </c>
    </row>
    <row r="269" spans="1:116">
      <c r="A269" s="32" t="str">
        <f t="shared" si="22"/>
        <v>AusNet--COMMUNICATIONS NETWORK ASSETS</v>
      </c>
      <c r="B269" s="32" t="str">
        <f t="shared" si="23"/>
        <v>AusNet</v>
      </c>
      <c r="C269" s="426"/>
      <c r="D269" s="14"/>
      <c r="E269" s="15" t="s">
        <v>274</v>
      </c>
      <c r="F269" s="18">
        <v>20</v>
      </c>
      <c r="G269" s="18">
        <v>5</v>
      </c>
      <c r="H269" s="20">
        <v>1472</v>
      </c>
      <c r="I269" s="20">
        <v>355</v>
      </c>
      <c r="J269" s="20">
        <v>351</v>
      </c>
      <c r="K269" s="20">
        <v>1780</v>
      </c>
      <c r="L269" s="20">
        <v>194</v>
      </c>
      <c r="M269" s="20">
        <v>64</v>
      </c>
      <c r="N269" s="20">
        <v>12</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v>
      </c>
      <c r="AI269" s="20">
        <v>0</v>
      </c>
      <c r="AJ269" s="20">
        <v>0</v>
      </c>
      <c r="AK269" s="20">
        <v>0</v>
      </c>
      <c r="AL269" s="20">
        <v>0</v>
      </c>
      <c r="AM269" s="20">
        <v>0</v>
      </c>
      <c r="AN269" s="20">
        <v>0</v>
      </c>
      <c r="AO269" s="20">
        <v>0</v>
      </c>
      <c r="AP269" s="20">
        <v>0</v>
      </c>
      <c r="AQ269" s="20">
        <v>0</v>
      </c>
      <c r="AR269" s="20">
        <v>0</v>
      </c>
      <c r="AS269" s="20">
        <v>0</v>
      </c>
      <c r="AT269" s="20">
        <v>0</v>
      </c>
      <c r="AU269" s="20">
        <v>0</v>
      </c>
      <c r="AV269" s="20">
        <v>0</v>
      </c>
      <c r="AW269" s="20">
        <v>0</v>
      </c>
      <c r="AX269" s="20">
        <v>0</v>
      </c>
      <c r="AY269" s="20">
        <v>0</v>
      </c>
      <c r="AZ269" s="20">
        <v>0</v>
      </c>
      <c r="BA269" s="20">
        <v>0</v>
      </c>
      <c r="BB269" s="20">
        <v>0</v>
      </c>
      <c r="BC269" s="20">
        <v>0</v>
      </c>
      <c r="BD269" s="20">
        <v>0</v>
      </c>
      <c r="BE269" s="20">
        <v>0</v>
      </c>
      <c r="BF269" s="20">
        <v>0</v>
      </c>
      <c r="BG269" s="20">
        <v>0</v>
      </c>
      <c r="BH269" s="20">
        <v>0</v>
      </c>
      <c r="BI269" s="20">
        <v>0</v>
      </c>
      <c r="BJ269" s="20">
        <v>0</v>
      </c>
      <c r="BK269" s="20">
        <v>0</v>
      </c>
      <c r="BL269" s="20">
        <v>0</v>
      </c>
      <c r="BM269" s="20">
        <v>0</v>
      </c>
      <c r="BN269" s="20">
        <v>0</v>
      </c>
      <c r="BO269" s="20">
        <v>0</v>
      </c>
      <c r="BP269" s="20">
        <v>0</v>
      </c>
      <c r="BQ269" s="20">
        <v>0</v>
      </c>
      <c r="BR269" s="20">
        <v>0</v>
      </c>
      <c r="BS269" s="20">
        <v>0</v>
      </c>
      <c r="BT269" s="20">
        <v>0</v>
      </c>
      <c r="BU269" s="20">
        <v>0</v>
      </c>
      <c r="BV269" s="20">
        <v>0</v>
      </c>
      <c r="BW269" s="20">
        <v>0</v>
      </c>
      <c r="BX269" s="20">
        <v>0</v>
      </c>
      <c r="BY269" s="20">
        <v>0</v>
      </c>
      <c r="BZ269" s="20">
        <v>0</v>
      </c>
      <c r="CA269" s="20">
        <v>0</v>
      </c>
      <c r="CB269" s="20">
        <v>0</v>
      </c>
      <c r="CC269" s="20">
        <v>0</v>
      </c>
      <c r="CD269" s="20">
        <v>0</v>
      </c>
      <c r="CE269" s="20">
        <v>0</v>
      </c>
      <c r="CF269" s="20">
        <v>0</v>
      </c>
      <c r="CG269" s="20">
        <v>0</v>
      </c>
      <c r="CH269" s="20">
        <v>0</v>
      </c>
      <c r="CI269" s="20">
        <v>0</v>
      </c>
      <c r="CJ269" s="20">
        <v>0</v>
      </c>
      <c r="CK269" s="20">
        <v>0</v>
      </c>
      <c r="CL269" s="20">
        <v>0</v>
      </c>
      <c r="CM269" s="20">
        <v>0</v>
      </c>
      <c r="CN269" s="20">
        <v>0</v>
      </c>
      <c r="CO269" s="20">
        <v>0</v>
      </c>
      <c r="CP269" s="20">
        <v>0</v>
      </c>
      <c r="CQ269" s="20">
        <v>0</v>
      </c>
      <c r="CR269" s="20">
        <v>0</v>
      </c>
      <c r="CS269" s="20">
        <v>0</v>
      </c>
      <c r="CT269" s="20">
        <v>0</v>
      </c>
      <c r="CU269" s="20">
        <v>0</v>
      </c>
      <c r="CV269" s="20">
        <v>0</v>
      </c>
      <c r="CW269" s="20">
        <v>0</v>
      </c>
      <c r="CX269" s="20">
        <v>0</v>
      </c>
      <c r="CY269" s="20">
        <v>0</v>
      </c>
      <c r="CZ269" s="20">
        <v>0</v>
      </c>
      <c r="DA269" s="20">
        <v>0</v>
      </c>
      <c r="DB269" s="20">
        <v>0</v>
      </c>
      <c r="DC269" s="20">
        <v>0</v>
      </c>
      <c r="DD269" s="20">
        <v>0</v>
      </c>
      <c r="DE269" s="20">
        <v>0</v>
      </c>
      <c r="DF269" s="20">
        <v>18</v>
      </c>
      <c r="DG269" s="16">
        <f t="shared" si="24"/>
        <v>4246</v>
      </c>
      <c r="DH269" s="16">
        <f t="shared" si="25"/>
        <v>13647</v>
      </c>
      <c r="DI269" s="17">
        <f t="shared" si="26"/>
        <v>3.2140838436175225</v>
      </c>
      <c r="DJ269" s="119" t="s">
        <v>659</v>
      </c>
      <c r="DK269" t="s">
        <v>659</v>
      </c>
    </row>
    <row r="270" spans="1:116">
      <c r="A270" s="32" t="str">
        <f t="shared" si="22"/>
        <v>AusNet--RELAYS</v>
      </c>
      <c r="B270" s="32" t="str">
        <f t="shared" si="23"/>
        <v>AusNet</v>
      </c>
      <c r="C270" s="426"/>
      <c r="D270" s="14"/>
      <c r="E270" s="15" t="s">
        <v>294</v>
      </c>
      <c r="F270" s="18">
        <v>20</v>
      </c>
      <c r="G270" s="18">
        <v>5</v>
      </c>
      <c r="H270" s="20">
        <v>119</v>
      </c>
      <c r="I270" s="20">
        <v>77</v>
      </c>
      <c r="J270" s="20">
        <v>74</v>
      </c>
      <c r="K270" s="20">
        <v>211</v>
      </c>
      <c r="L270" s="20">
        <v>150</v>
      </c>
      <c r="M270" s="20">
        <v>90</v>
      </c>
      <c r="N270" s="20">
        <v>137</v>
      </c>
      <c r="O270" s="20">
        <v>76</v>
      </c>
      <c r="P270" s="20">
        <v>119</v>
      </c>
      <c r="Q270" s="20">
        <v>38</v>
      </c>
      <c r="R270" s="20">
        <v>8</v>
      </c>
      <c r="S270" s="20">
        <v>21</v>
      </c>
      <c r="T270" s="20">
        <v>90</v>
      </c>
      <c r="U270" s="20">
        <v>66</v>
      </c>
      <c r="V270" s="20">
        <v>92</v>
      </c>
      <c r="W270" s="20">
        <v>12</v>
      </c>
      <c r="X270" s="20">
        <v>60</v>
      </c>
      <c r="Y270" s="20">
        <v>30</v>
      </c>
      <c r="Z270" s="20">
        <v>61</v>
      </c>
      <c r="AA270" s="20">
        <v>49</v>
      </c>
      <c r="AB270" s="20">
        <v>74</v>
      </c>
      <c r="AC270" s="20">
        <v>42</v>
      </c>
      <c r="AD270" s="20">
        <v>23</v>
      </c>
      <c r="AE270" s="20">
        <v>7</v>
      </c>
      <c r="AF270" s="20">
        <v>29</v>
      </c>
      <c r="AG270" s="20">
        <v>4</v>
      </c>
      <c r="AH270" s="20">
        <v>8</v>
      </c>
      <c r="AI270" s="20">
        <v>5</v>
      </c>
      <c r="AJ270" s="20">
        <v>35</v>
      </c>
      <c r="AK270" s="20">
        <v>0</v>
      </c>
      <c r="AL270" s="20">
        <v>88</v>
      </c>
      <c r="AM270" s="20">
        <v>4</v>
      </c>
      <c r="AN270" s="20">
        <v>0</v>
      </c>
      <c r="AO270" s="20">
        <v>0</v>
      </c>
      <c r="AP270" s="20">
        <v>136</v>
      </c>
      <c r="AQ270" s="20">
        <v>21</v>
      </c>
      <c r="AR270" s="20">
        <v>116</v>
      </c>
      <c r="AS270" s="20">
        <v>2</v>
      </c>
      <c r="AT270" s="20">
        <v>6</v>
      </c>
      <c r="AU270" s="20">
        <v>0</v>
      </c>
      <c r="AV270" s="20">
        <v>17</v>
      </c>
      <c r="AW270" s="20">
        <v>32</v>
      </c>
      <c r="AX270" s="20">
        <v>6</v>
      </c>
      <c r="AY270" s="20">
        <v>0</v>
      </c>
      <c r="AZ270" s="20">
        <v>0</v>
      </c>
      <c r="BA270" s="20">
        <v>0</v>
      </c>
      <c r="BB270" s="20">
        <v>0</v>
      </c>
      <c r="BC270" s="20">
        <v>0</v>
      </c>
      <c r="BD270" s="20">
        <v>0</v>
      </c>
      <c r="BE270" s="20">
        <v>0</v>
      </c>
      <c r="BF270" s="20">
        <v>0</v>
      </c>
      <c r="BG270" s="20">
        <v>0</v>
      </c>
      <c r="BH270" s="20">
        <v>0</v>
      </c>
      <c r="BI270" s="20">
        <v>0</v>
      </c>
      <c r="BJ270" s="20">
        <v>0</v>
      </c>
      <c r="BK270" s="20">
        <v>0</v>
      </c>
      <c r="BL270" s="20">
        <v>0</v>
      </c>
      <c r="BM270" s="20">
        <v>0</v>
      </c>
      <c r="BN270" s="20">
        <v>0</v>
      </c>
      <c r="BO270" s="20">
        <v>0</v>
      </c>
      <c r="BP270" s="20">
        <v>0</v>
      </c>
      <c r="BQ270" s="20">
        <v>0</v>
      </c>
      <c r="BR270" s="20">
        <v>0</v>
      </c>
      <c r="BS270" s="20">
        <v>0</v>
      </c>
      <c r="BT270" s="20">
        <v>0</v>
      </c>
      <c r="BU270" s="20">
        <v>0</v>
      </c>
      <c r="BV270" s="20">
        <v>0</v>
      </c>
      <c r="BW270" s="20">
        <v>0</v>
      </c>
      <c r="BX270" s="20">
        <v>0</v>
      </c>
      <c r="BY270" s="20">
        <v>0</v>
      </c>
      <c r="BZ270" s="20">
        <v>0</v>
      </c>
      <c r="CA270" s="20">
        <v>0</v>
      </c>
      <c r="CB270" s="20">
        <v>0</v>
      </c>
      <c r="CC270" s="20">
        <v>0</v>
      </c>
      <c r="CD270" s="20">
        <v>0</v>
      </c>
      <c r="CE270" s="20">
        <v>0</v>
      </c>
      <c r="CF270" s="20">
        <v>0</v>
      </c>
      <c r="CG270" s="20">
        <v>0</v>
      </c>
      <c r="CH270" s="20">
        <v>0</v>
      </c>
      <c r="CI270" s="20">
        <v>0</v>
      </c>
      <c r="CJ270" s="20">
        <v>0</v>
      </c>
      <c r="CK270" s="20">
        <v>0</v>
      </c>
      <c r="CL270" s="20">
        <v>0</v>
      </c>
      <c r="CM270" s="20">
        <v>0</v>
      </c>
      <c r="CN270" s="20">
        <v>0</v>
      </c>
      <c r="CO270" s="20">
        <v>0</v>
      </c>
      <c r="CP270" s="20">
        <v>0</v>
      </c>
      <c r="CQ270" s="20">
        <v>0</v>
      </c>
      <c r="CR270" s="20">
        <v>0</v>
      </c>
      <c r="CS270" s="20">
        <v>0</v>
      </c>
      <c r="CT270" s="20">
        <v>0</v>
      </c>
      <c r="CU270" s="20">
        <v>0</v>
      </c>
      <c r="CV270" s="20">
        <v>0</v>
      </c>
      <c r="CW270" s="20">
        <v>0</v>
      </c>
      <c r="CX270" s="20">
        <v>0</v>
      </c>
      <c r="CY270" s="20">
        <v>0</v>
      </c>
      <c r="CZ270" s="20">
        <v>0</v>
      </c>
      <c r="DA270" s="20">
        <v>0</v>
      </c>
      <c r="DB270" s="20">
        <v>0</v>
      </c>
      <c r="DC270" s="20">
        <v>0</v>
      </c>
      <c r="DD270" s="20">
        <v>0</v>
      </c>
      <c r="DE270" s="20">
        <v>0</v>
      </c>
      <c r="DF270" s="20">
        <v>773</v>
      </c>
      <c r="DG270" s="16">
        <f t="shared" si="24"/>
        <v>3008</v>
      </c>
      <c r="DH270" s="16">
        <f t="shared" si="25"/>
        <v>113619</v>
      </c>
      <c r="DI270" s="17">
        <f t="shared" si="26"/>
        <v>37.772273936170215</v>
      </c>
      <c r="DJ270" s="119" t="s">
        <v>659</v>
      </c>
      <c r="DK270" t="s">
        <v>659</v>
      </c>
    </row>
    <row r="271" spans="1:116">
      <c r="A271" s="32" t="str">
        <f t="shared" si="22"/>
        <v>AusNet--BATTERIES</v>
      </c>
      <c r="B271" s="32" t="str">
        <f t="shared" si="23"/>
        <v>AusNet</v>
      </c>
      <c r="C271" s="426"/>
      <c r="D271" s="14"/>
      <c r="E271" s="15" t="s">
        <v>295</v>
      </c>
      <c r="F271" s="18">
        <v>20</v>
      </c>
      <c r="G271" s="18">
        <v>5</v>
      </c>
      <c r="H271" s="20">
        <v>432</v>
      </c>
      <c r="I271" s="20">
        <v>92</v>
      </c>
      <c r="J271" s="20">
        <v>115</v>
      </c>
      <c r="K271" s="20">
        <v>88</v>
      </c>
      <c r="L271" s="20">
        <v>8</v>
      </c>
      <c r="M271" s="20">
        <v>3</v>
      </c>
      <c r="N271" s="20">
        <v>4</v>
      </c>
      <c r="O271" s="20">
        <v>15</v>
      </c>
      <c r="P271" s="20">
        <v>11</v>
      </c>
      <c r="Q271" s="20">
        <v>22</v>
      </c>
      <c r="R271" s="20">
        <v>9</v>
      </c>
      <c r="S271" s="20">
        <v>7</v>
      </c>
      <c r="T271" s="20">
        <v>9</v>
      </c>
      <c r="U271" s="20">
        <v>6</v>
      </c>
      <c r="V271" s="20">
        <v>4</v>
      </c>
      <c r="W271" s="20">
        <v>3</v>
      </c>
      <c r="X271" s="20">
        <v>0</v>
      </c>
      <c r="Y271" s="20">
        <v>0</v>
      </c>
      <c r="Z271" s="20">
        <v>0</v>
      </c>
      <c r="AA271" s="20">
        <v>0</v>
      </c>
      <c r="AB271" s="20">
        <v>0</v>
      </c>
      <c r="AC271" s="20">
        <v>0</v>
      </c>
      <c r="AD271" s="20">
        <v>0</v>
      </c>
      <c r="AE271" s="20">
        <v>0</v>
      </c>
      <c r="AF271" s="20">
        <v>0</v>
      </c>
      <c r="AG271" s="20">
        <v>0</v>
      </c>
      <c r="AH271" s="20">
        <v>0</v>
      </c>
      <c r="AI271" s="20">
        <v>0</v>
      </c>
      <c r="AJ271" s="20">
        <v>0</v>
      </c>
      <c r="AK271" s="20">
        <v>0</v>
      </c>
      <c r="AL271" s="20">
        <v>0</v>
      </c>
      <c r="AM271" s="20">
        <v>0</v>
      </c>
      <c r="AN271" s="20">
        <v>0</v>
      </c>
      <c r="AO271" s="20">
        <v>0</v>
      </c>
      <c r="AP271" s="20">
        <v>0</v>
      </c>
      <c r="AQ271" s="20">
        <v>0</v>
      </c>
      <c r="AR271" s="20">
        <v>0</v>
      </c>
      <c r="AS271" s="20">
        <v>0</v>
      </c>
      <c r="AT271" s="20">
        <v>0</v>
      </c>
      <c r="AU271" s="20">
        <v>0</v>
      </c>
      <c r="AV271" s="20">
        <v>0</v>
      </c>
      <c r="AW271" s="20">
        <v>0</v>
      </c>
      <c r="AX271" s="20">
        <v>0</v>
      </c>
      <c r="AY271" s="20">
        <v>0</v>
      </c>
      <c r="AZ271" s="20">
        <v>0</v>
      </c>
      <c r="BA271" s="20">
        <v>0</v>
      </c>
      <c r="BB271" s="20">
        <v>0</v>
      </c>
      <c r="BC271" s="20">
        <v>0</v>
      </c>
      <c r="BD271" s="20">
        <v>0</v>
      </c>
      <c r="BE271" s="20">
        <v>0</v>
      </c>
      <c r="BF271" s="20">
        <v>0</v>
      </c>
      <c r="BG271" s="20">
        <v>0</v>
      </c>
      <c r="BH271" s="20">
        <v>0</v>
      </c>
      <c r="BI271" s="20">
        <v>0</v>
      </c>
      <c r="BJ271" s="20">
        <v>0</v>
      </c>
      <c r="BK271" s="20">
        <v>0</v>
      </c>
      <c r="BL271" s="20">
        <v>0</v>
      </c>
      <c r="BM271" s="20">
        <v>0</v>
      </c>
      <c r="BN271" s="20">
        <v>0</v>
      </c>
      <c r="BO271" s="20">
        <v>0</v>
      </c>
      <c r="BP271" s="20">
        <v>0</v>
      </c>
      <c r="BQ271" s="20">
        <v>0</v>
      </c>
      <c r="BR271" s="20">
        <v>0</v>
      </c>
      <c r="BS271" s="20">
        <v>0</v>
      </c>
      <c r="BT271" s="20">
        <v>0</v>
      </c>
      <c r="BU271" s="20">
        <v>0</v>
      </c>
      <c r="BV271" s="20">
        <v>0</v>
      </c>
      <c r="BW271" s="20">
        <v>0</v>
      </c>
      <c r="BX271" s="20">
        <v>0</v>
      </c>
      <c r="BY271" s="20">
        <v>0</v>
      </c>
      <c r="BZ271" s="20">
        <v>0</v>
      </c>
      <c r="CA271" s="20">
        <v>0</v>
      </c>
      <c r="CB271" s="20">
        <v>0</v>
      </c>
      <c r="CC271" s="20">
        <v>0</v>
      </c>
      <c r="CD271" s="20">
        <v>0</v>
      </c>
      <c r="CE271" s="20">
        <v>0</v>
      </c>
      <c r="CF271" s="20">
        <v>0</v>
      </c>
      <c r="CG271" s="20">
        <v>0</v>
      </c>
      <c r="CH271" s="20">
        <v>0</v>
      </c>
      <c r="CI271" s="20">
        <v>0</v>
      </c>
      <c r="CJ271" s="20">
        <v>0</v>
      </c>
      <c r="CK271" s="20">
        <v>0</v>
      </c>
      <c r="CL271" s="20">
        <v>0</v>
      </c>
      <c r="CM271" s="20">
        <v>0</v>
      </c>
      <c r="CN271" s="20">
        <v>0</v>
      </c>
      <c r="CO271" s="20">
        <v>0</v>
      </c>
      <c r="CP271" s="20">
        <v>0</v>
      </c>
      <c r="CQ271" s="20">
        <v>0</v>
      </c>
      <c r="CR271" s="20">
        <v>0</v>
      </c>
      <c r="CS271" s="20">
        <v>0</v>
      </c>
      <c r="CT271" s="20">
        <v>0</v>
      </c>
      <c r="CU271" s="20">
        <v>0</v>
      </c>
      <c r="CV271" s="20">
        <v>0</v>
      </c>
      <c r="CW271" s="20">
        <v>0</v>
      </c>
      <c r="CX271" s="20">
        <v>0</v>
      </c>
      <c r="CY271" s="20">
        <v>0</v>
      </c>
      <c r="CZ271" s="20">
        <v>0</v>
      </c>
      <c r="DA271" s="20">
        <v>0</v>
      </c>
      <c r="DB271" s="20">
        <v>0</v>
      </c>
      <c r="DC271" s="20">
        <v>0</v>
      </c>
      <c r="DD271" s="20">
        <v>0</v>
      </c>
      <c r="DE271" s="20">
        <v>0</v>
      </c>
      <c r="DF271" s="20">
        <v>7</v>
      </c>
      <c r="DG271" s="16">
        <f t="shared" si="24"/>
        <v>835</v>
      </c>
      <c r="DH271" s="16">
        <f t="shared" si="25"/>
        <v>3051</v>
      </c>
      <c r="DI271" s="17">
        <f t="shared" si="26"/>
        <v>3.6538922155688622</v>
      </c>
      <c r="DJ271" s="119" t="s">
        <v>659</v>
      </c>
      <c r="DK271" s="44" t="s">
        <v>659</v>
      </c>
    </row>
    <row r="272" spans="1:116">
      <c r="A272" s="32" t="str">
        <f t="shared" si="22"/>
        <v>AusNet--</v>
      </c>
      <c r="B272" s="32" t="str">
        <f t="shared" si="23"/>
        <v>AusNet</v>
      </c>
      <c r="C272" s="426"/>
      <c r="D272" s="14"/>
      <c r="E272" s="15"/>
      <c r="F272" s="18"/>
      <c r="G272" s="18"/>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16">
        <f t="shared" si="24"/>
        <v>0</v>
      </c>
      <c r="DH272" s="16">
        <f t="shared" si="25"/>
        <v>0</v>
      </c>
      <c r="DI272" s="17" t="str">
        <f t="shared" si="26"/>
        <v/>
      </c>
      <c r="DJ272" s="119" t="s">
        <v>659</v>
      </c>
      <c r="DK272" s="44" t="s">
        <v>659</v>
      </c>
    </row>
    <row r="273" spans="1:117">
      <c r="A273" s="32" t="str">
        <f t="shared" si="22"/>
        <v>AusNet--PLEASE ADD A ROW IF NECESSARY AND NOMINATE THE CATEGORY</v>
      </c>
      <c r="B273" s="32" t="str">
        <f t="shared" si="23"/>
        <v>AusNet</v>
      </c>
      <c r="C273" s="426"/>
      <c r="D273" s="14"/>
      <c r="E273" s="15" t="s">
        <v>277</v>
      </c>
      <c r="F273" s="18"/>
      <c r="G273" s="18"/>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16">
        <f t="shared" si="24"/>
        <v>0</v>
      </c>
      <c r="DH273" s="16">
        <f t="shared" si="25"/>
        <v>0</v>
      </c>
      <c r="DI273" s="17" t="str">
        <f t="shared" si="26"/>
        <v/>
      </c>
      <c r="DJ273" s="119" t="s">
        <v>659</v>
      </c>
      <c r="DK273" s="44" t="s">
        <v>659</v>
      </c>
    </row>
    <row r="274" spans="1:117" ht="30">
      <c r="A274" s="32" t="str">
        <f t="shared" si="22"/>
        <v>AusNet-OTHER BY: 
DNSP DEFINED-OTHER - CAPACITIVE VOLTAGE TRANSFORMERS</v>
      </c>
      <c r="B274" s="32" t="str">
        <f t="shared" si="23"/>
        <v>AusNet</v>
      </c>
      <c r="C274" s="426"/>
      <c r="D274" s="14" t="s">
        <v>567</v>
      </c>
      <c r="E274" s="15" t="s">
        <v>296</v>
      </c>
      <c r="F274" s="18">
        <v>62</v>
      </c>
      <c r="G274" s="18">
        <v>14</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1</v>
      </c>
      <c r="AL274" s="20">
        <v>0</v>
      </c>
      <c r="AM274" s="20">
        <v>0</v>
      </c>
      <c r="AN274" s="20">
        <v>0</v>
      </c>
      <c r="AO274" s="20">
        <v>0</v>
      </c>
      <c r="AP274" s="20">
        <v>0</v>
      </c>
      <c r="AQ274" s="20">
        <v>0</v>
      </c>
      <c r="AR274" s="20">
        <v>0</v>
      </c>
      <c r="AS274" s="20">
        <v>0</v>
      </c>
      <c r="AT274" s="20">
        <v>0</v>
      </c>
      <c r="AU274" s="20">
        <v>0</v>
      </c>
      <c r="AV274" s="20">
        <v>0</v>
      </c>
      <c r="AW274" s="20">
        <v>3</v>
      </c>
      <c r="AX274" s="20">
        <v>15</v>
      </c>
      <c r="AY274" s="20">
        <v>1</v>
      </c>
      <c r="AZ274" s="20">
        <v>0</v>
      </c>
      <c r="BA274" s="20">
        <v>3</v>
      </c>
      <c r="BB274" s="20">
        <v>0</v>
      </c>
      <c r="BC274" s="20">
        <v>0</v>
      </c>
      <c r="BD274" s="20">
        <v>0</v>
      </c>
      <c r="BE274" s="20">
        <v>0</v>
      </c>
      <c r="BF274" s="20">
        <v>0</v>
      </c>
      <c r="BG274" s="20">
        <v>0</v>
      </c>
      <c r="BH274" s="20">
        <v>0</v>
      </c>
      <c r="BI274" s="20">
        <v>0</v>
      </c>
      <c r="BJ274" s="20">
        <v>0</v>
      </c>
      <c r="BK274" s="20">
        <v>0</v>
      </c>
      <c r="BL274" s="20">
        <v>0</v>
      </c>
      <c r="BM274" s="20">
        <v>0</v>
      </c>
      <c r="BN274" s="20">
        <v>0</v>
      </c>
      <c r="BO274" s="20">
        <v>0</v>
      </c>
      <c r="BP274" s="20">
        <v>0</v>
      </c>
      <c r="BQ274" s="20">
        <v>0</v>
      </c>
      <c r="BR274" s="20">
        <v>0</v>
      </c>
      <c r="BS274" s="20">
        <v>0</v>
      </c>
      <c r="BT274" s="20">
        <v>0</v>
      </c>
      <c r="BU274" s="20">
        <v>0</v>
      </c>
      <c r="BV274" s="20">
        <v>0</v>
      </c>
      <c r="BW274" s="20">
        <v>0</v>
      </c>
      <c r="BX274" s="20">
        <v>0</v>
      </c>
      <c r="BY274" s="20">
        <v>0</v>
      </c>
      <c r="BZ274" s="20">
        <v>0</v>
      </c>
      <c r="CA274" s="20">
        <v>0</v>
      </c>
      <c r="CB274" s="20">
        <v>0</v>
      </c>
      <c r="CC274" s="20">
        <v>0</v>
      </c>
      <c r="CD274" s="20">
        <v>0</v>
      </c>
      <c r="CE274" s="20">
        <v>0</v>
      </c>
      <c r="CF274" s="20">
        <v>0</v>
      </c>
      <c r="CG274" s="20">
        <v>0</v>
      </c>
      <c r="CH274" s="20">
        <v>0</v>
      </c>
      <c r="CI274" s="20">
        <v>0</v>
      </c>
      <c r="CJ274" s="20">
        <v>0</v>
      </c>
      <c r="CK274" s="20">
        <v>0</v>
      </c>
      <c r="CL274" s="20">
        <v>0</v>
      </c>
      <c r="CM274" s="20">
        <v>0</v>
      </c>
      <c r="CN274" s="20">
        <v>0</v>
      </c>
      <c r="CO274" s="20">
        <v>0</v>
      </c>
      <c r="CP274" s="20">
        <v>0</v>
      </c>
      <c r="CQ274" s="20">
        <v>0</v>
      </c>
      <c r="CR274" s="20">
        <v>0</v>
      </c>
      <c r="CS274" s="20">
        <v>0</v>
      </c>
      <c r="CT274" s="20">
        <v>0</v>
      </c>
      <c r="CU274" s="20">
        <v>0</v>
      </c>
      <c r="CV274" s="20">
        <v>0</v>
      </c>
      <c r="CW274" s="20">
        <v>0</v>
      </c>
      <c r="CX274" s="20">
        <v>0</v>
      </c>
      <c r="CY274" s="20">
        <v>0</v>
      </c>
      <c r="CZ274" s="20">
        <v>0</v>
      </c>
      <c r="DA274" s="20">
        <v>0</v>
      </c>
      <c r="DB274" s="20">
        <v>0</v>
      </c>
      <c r="DC274" s="20">
        <v>0</v>
      </c>
      <c r="DD274" s="20">
        <v>0</v>
      </c>
      <c r="DE274" s="20">
        <v>0</v>
      </c>
      <c r="DF274" s="20">
        <v>14</v>
      </c>
      <c r="DG274" s="16">
        <f t="shared" si="24"/>
        <v>37</v>
      </c>
      <c r="DH274" s="16">
        <f t="shared" si="25"/>
        <v>2425</v>
      </c>
      <c r="DI274" s="17">
        <f t="shared" si="26"/>
        <v>65.540540540540547</v>
      </c>
      <c r="DJ274" s="119" t="s">
        <v>720</v>
      </c>
      <c r="DK274" t="s">
        <v>720</v>
      </c>
    </row>
    <row r="275" spans="1:117">
      <c r="A275" s="32" t="str">
        <f t="shared" si="22"/>
        <v>AusNet--OTHER - CAPACITOR BANK</v>
      </c>
      <c r="B275" s="32" t="str">
        <f t="shared" si="23"/>
        <v>AusNet</v>
      </c>
      <c r="C275" s="426"/>
      <c r="D275" s="14"/>
      <c r="E275" s="15" t="s">
        <v>297</v>
      </c>
      <c r="F275" s="18">
        <v>30</v>
      </c>
      <c r="G275" s="18">
        <v>10</v>
      </c>
      <c r="H275" s="20">
        <v>2</v>
      </c>
      <c r="I275" s="20">
        <v>3</v>
      </c>
      <c r="J275" s="20">
        <v>0</v>
      </c>
      <c r="K275" s="20">
        <v>2</v>
      </c>
      <c r="L275" s="20">
        <v>1</v>
      </c>
      <c r="M275" s="20">
        <v>1</v>
      </c>
      <c r="N275" s="20">
        <v>0</v>
      </c>
      <c r="O275" s="20">
        <v>3</v>
      </c>
      <c r="P275" s="20">
        <v>2</v>
      </c>
      <c r="Q275" s="20">
        <v>0</v>
      </c>
      <c r="R275" s="20">
        <v>17</v>
      </c>
      <c r="S275" s="20">
        <v>2</v>
      </c>
      <c r="T275" s="20">
        <v>2</v>
      </c>
      <c r="U275" s="20">
        <v>0</v>
      </c>
      <c r="V275" s="20">
        <v>5</v>
      </c>
      <c r="W275" s="20">
        <v>0</v>
      </c>
      <c r="X275" s="20">
        <v>0</v>
      </c>
      <c r="Y275" s="20">
        <v>0</v>
      </c>
      <c r="Z275" s="20">
        <v>0</v>
      </c>
      <c r="AA275" s="20">
        <v>0</v>
      </c>
      <c r="AB275" s="20">
        <v>0</v>
      </c>
      <c r="AC275" s="20">
        <v>0</v>
      </c>
      <c r="AD275" s="20">
        <v>0</v>
      </c>
      <c r="AE275" s="20">
        <v>0</v>
      </c>
      <c r="AF275" s="20">
        <v>1</v>
      </c>
      <c r="AG275" s="20">
        <v>0</v>
      </c>
      <c r="AH275" s="20">
        <v>2</v>
      </c>
      <c r="AI275" s="20">
        <v>1</v>
      </c>
      <c r="AJ275" s="20">
        <v>2</v>
      </c>
      <c r="AK275" s="20">
        <v>1</v>
      </c>
      <c r="AL275" s="20">
        <v>0</v>
      </c>
      <c r="AM275" s="20">
        <v>2</v>
      </c>
      <c r="AN275" s="20">
        <v>1</v>
      </c>
      <c r="AO275" s="20">
        <v>0</v>
      </c>
      <c r="AP275" s="20">
        <v>0</v>
      </c>
      <c r="AQ275" s="20">
        <v>0</v>
      </c>
      <c r="AR275" s="20">
        <v>0</v>
      </c>
      <c r="AS275" s="20">
        <v>0</v>
      </c>
      <c r="AT275" s="20">
        <v>0</v>
      </c>
      <c r="AU275" s="20">
        <v>0</v>
      </c>
      <c r="AV275" s="20">
        <v>0</v>
      </c>
      <c r="AW275" s="20">
        <v>0</v>
      </c>
      <c r="AX275" s="20">
        <v>0</v>
      </c>
      <c r="AY275" s="20">
        <v>0</v>
      </c>
      <c r="AZ275" s="20">
        <v>0</v>
      </c>
      <c r="BA275" s="20">
        <v>0</v>
      </c>
      <c r="BB275" s="20">
        <v>0</v>
      </c>
      <c r="BC275" s="20">
        <v>0</v>
      </c>
      <c r="BD275" s="20">
        <v>0</v>
      </c>
      <c r="BE275" s="20">
        <v>0</v>
      </c>
      <c r="BF275" s="20">
        <v>0</v>
      </c>
      <c r="BG275" s="20">
        <v>0</v>
      </c>
      <c r="BH275" s="20">
        <v>0</v>
      </c>
      <c r="BI275" s="20">
        <v>0</v>
      </c>
      <c r="BJ275" s="20">
        <v>0</v>
      </c>
      <c r="BK275" s="20">
        <v>0</v>
      </c>
      <c r="BL275" s="20">
        <v>0</v>
      </c>
      <c r="BM275" s="20">
        <v>0</v>
      </c>
      <c r="BN275" s="20">
        <v>0</v>
      </c>
      <c r="BO275" s="20">
        <v>0</v>
      </c>
      <c r="BP275" s="20">
        <v>0</v>
      </c>
      <c r="BQ275" s="20">
        <v>0</v>
      </c>
      <c r="BR275" s="20">
        <v>0</v>
      </c>
      <c r="BS275" s="20">
        <v>0</v>
      </c>
      <c r="BT275" s="20">
        <v>0</v>
      </c>
      <c r="BU275" s="20">
        <v>0</v>
      </c>
      <c r="BV275" s="20">
        <v>0</v>
      </c>
      <c r="BW275" s="20">
        <v>0</v>
      </c>
      <c r="BX275" s="20">
        <v>0</v>
      </c>
      <c r="BY275" s="20">
        <v>0</v>
      </c>
      <c r="BZ275" s="20">
        <v>0</v>
      </c>
      <c r="CA275" s="20">
        <v>0</v>
      </c>
      <c r="CB275" s="20">
        <v>0</v>
      </c>
      <c r="CC275" s="20">
        <v>0</v>
      </c>
      <c r="CD275" s="20">
        <v>0</v>
      </c>
      <c r="CE275" s="20">
        <v>0</v>
      </c>
      <c r="CF275" s="20">
        <v>0</v>
      </c>
      <c r="CG275" s="20">
        <v>0</v>
      </c>
      <c r="CH275" s="20">
        <v>0</v>
      </c>
      <c r="CI275" s="20">
        <v>0</v>
      </c>
      <c r="CJ275" s="20">
        <v>0</v>
      </c>
      <c r="CK275" s="20">
        <v>0</v>
      </c>
      <c r="CL275" s="20">
        <v>0</v>
      </c>
      <c r="CM275" s="20">
        <v>0</v>
      </c>
      <c r="CN275" s="20">
        <v>0</v>
      </c>
      <c r="CO275" s="20">
        <v>0</v>
      </c>
      <c r="CP275" s="20">
        <v>0</v>
      </c>
      <c r="CQ275" s="20">
        <v>0</v>
      </c>
      <c r="CR275" s="20">
        <v>0</v>
      </c>
      <c r="CS275" s="20">
        <v>0</v>
      </c>
      <c r="CT275" s="20">
        <v>0</v>
      </c>
      <c r="CU275" s="20">
        <v>0</v>
      </c>
      <c r="CV275" s="20">
        <v>0</v>
      </c>
      <c r="CW275" s="20">
        <v>0</v>
      </c>
      <c r="CX275" s="20">
        <v>0</v>
      </c>
      <c r="CY275" s="20">
        <v>0</v>
      </c>
      <c r="CZ275" s="20">
        <v>0</v>
      </c>
      <c r="DA275" s="20">
        <v>0</v>
      </c>
      <c r="DB275" s="20">
        <v>0</v>
      </c>
      <c r="DC275" s="20">
        <v>0</v>
      </c>
      <c r="DD275" s="20">
        <v>0</v>
      </c>
      <c r="DE275" s="20">
        <v>0</v>
      </c>
      <c r="DF275" s="20">
        <v>0</v>
      </c>
      <c r="DG275" s="16">
        <f t="shared" si="24"/>
        <v>50</v>
      </c>
      <c r="DH275" s="16">
        <f t="shared" si="25"/>
        <v>673</v>
      </c>
      <c r="DI275" s="17">
        <f t="shared" si="26"/>
        <v>13.46</v>
      </c>
      <c r="DJ275" s="119" t="s">
        <v>720</v>
      </c>
      <c r="DK275" s="44" t="s">
        <v>720</v>
      </c>
    </row>
    <row r="276" spans="1:117">
      <c r="A276" s="32" t="str">
        <f t="shared" si="22"/>
        <v>AusNet--OTHER - CAPACITORS</v>
      </c>
      <c r="B276" s="32" t="str">
        <f t="shared" si="23"/>
        <v>AusNet</v>
      </c>
      <c r="C276" s="426"/>
      <c r="D276" s="14"/>
      <c r="E276" s="15" t="s">
        <v>298</v>
      </c>
      <c r="F276" s="18">
        <v>30</v>
      </c>
      <c r="G276" s="18">
        <v>10</v>
      </c>
      <c r="H276" s="20">
        <v>0</v>
      </c>
      <c r="I276" s="20">
        <v>0</v>
      </c>
      <c r="J276" s="20">
        <v>0</v>
      </c>
      <c r="K276" s="20">
        <v>0</v>
      </c>
      <c r="L276" s="20">
        <v>0</v>
      </c>
      <c r="M276" s="20">
        <v>0</v>
      </c>
      <c r="N276" s="20">
        <v>0</v>
      </c>
      <c r="O276" s="20">
        <v>0</v>
      </c>
      <c r="P276" s="20">
        <v>0</v>
      </c>
      <c r="Q276" s="20">
        <v>0</v>
      </c>
      <c r="R276" s="20">
        <v>0</v>
      </c>
      <c r="S276" s="20">
        <v>0</v>
      </c>
      <c r="T276" s="20">
        <v>0</v>
      </c>
      <c r="U276" s="20">
        <v>1</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v>
      </c>
      <c r="AL276" s="20">
        <v>0</v>
      </c>
      <c r="AM276" s="20">
        <v>0</v>
      </c>
      <c r="AN276" s="20">
        <v>0</v>
      </c>
      <c r="AO276" s="20">
        <v>0</v>
      </c>
      <c r="AP276" s="20">
        <v>0</v>
      </c>
      <c r="AQ276" s="20">
        <v>0</v>
      </c>
      <c r="AR276" s="20">
        <v>0</v>
      </c>
      <c r="AS276" s="20">
        <v>0</v>
      </c>
      <c r="AT276" s="20">
        <v>0</v>
      </c>
      <c r="AU276" s="20">
        <v>0</v>
      </c>
      <c r="AV276" s="20">
        <v>0</v>
      </c>
      <c r="AW276" s="20">
        <v>0</v>
      </c>
      <c r="AX276" s="20">
        <v>0</v>
      </c>
      <c r="AY276" s="20">
        <v>0</v>
      </c>
      <c r="AZ276" s="20">
        <v>0</v>
      </c>
      <c r="BA276" s="20">
        <v>0</v>
      </c>
      <c r="BB276" s="20">
        <v>0</v>
      </c>
      <c r="BC276" s="20">
        <v>0</v>
      </c>
      <c r="BD276" s="20">
        <v>0</v>
      </c>
      <c r="BE276" s="20">
        <v>0</v>
      </c>
      <c r="BF276" s="20">
        <v>0</v>
      </c>
      <c r="BG276" s="20">
        <v>0</v>
      </c>
      <c r="BH276" s="20">
        <v>0</v>
      </c>
      <c r="BI276" s="20">
        <v>0</v>
      </c>
      <c r="BJ276" s="20">
        <v>0</v>
      </c>
      <c r="BK276" s="20">
        <v>0</v>
      </c>
      <c r="BL276" s="20">
        <v>0</v>
      </c>
      <c r="BM276" s="20">
        <v>0</v>
      </c>
      <c r="BN276" s="20">
        <v>0</v>
      </c>
      <c r="BO276" s="20">
        <v>0</v>
      </c>
      <c r="BP276" s="20">
        <v>0</v>
      </c>
      <c r="BQ276" s="20">
        <v>0</v>
      </c>
      <c r="BR276" s="20">
        <v>0</v>
      </c>
      <c r="BS276" s="20">
        <v>0</v>
      </c>
      <c r="BT276" s="20">
        <v>0</v>
      </c>
      <c r="BU276" s="20">
        <v>0</v>
      </c>
      <c r="BV276" s="20">
        <v>0</v>
      </c>
      <c r="BW276" s="20">
        <v>0</v>
      </c>
      <c r="BX276" s="20">
        <v>0</v>
      </c>
      <c r="BY276" s="20">
        <v>0</v>
      </c>
      <c r="BZ276" s="20">
        <v>0</v>
      </c>
      <c r="CA276" s="20">
        <v>0</v>
      </c>
      <c r="CB276" s="20">
        <v>0</v>
      </c>
      <c r="CC276" s="20">
        <v>0</v>
      </c>
      <c r="CD276" s="20">
        <v>0</v>
      </c>
      <c r="CE276" s="20">
        <v>0</v>
      </c>
      <c r="CF276" s="20">
        <v>0</v>
      </c>
      <c r="CG276" s="20">
        <v>0</v>
      </c>
      <c r="CH276" s="20">
        <v>0</v>
      </c>
      <c r="CI276" s="20">
        <v>0</v>
      </c>
      <c r="CJ276" s="20">
        <v>0</v>
      </c>
      <c r="CK276" s="20">
        <v>0</v>
      </c>
      <c r="CL276" s="20">
        <v>0</v>
      </c>
      <c r="CM276" s="20">
        <v>0</v>
      </c>
      <c r="CN276" s="20">
        <v>0</v>
      </c>
      <c r="CO276" s="20">
        <v>0</v>
      </c>
      <c r="CP276" s="20">
        <v>0</v>
      </c>
      <c r="CQ276" s="20">
        <v>0</v>
      </c>
      <c r="CR276" s="20">
        <v>0</v>
      </c>
      <c r="CS276" s="20">
        <v>0</v>
      </c>
      <c r="CT276" s="20">
        <v>0</v>
      </c>
      <c r="CU276" s="20">
        <v>0</v>
      </c>
      <c r="CV276" s="20">
        <v>0</v>
      </c>
      <c r="CW276" s="20">
        <v>0</v>
      </c>
      <c r="CX276" s="20">
        <v>0</v>
      </c>
      <c r="CY276" s="20">
        <v>0</v>
      </c>
      <c r="CZ276" s="20">
        <v>0</v>
      </c>
      <c r="DA276" s="20">
        <v>0</v>
      </c>
      <c r="DB276" s="20">
        <v>0</v>
      </c>
      <c r="DC276" s="20">
        <v>0</v>
      </c>
      <c r="DD276" s="20">
        <v>0</v>
      </c>
      <c r="DE276" s="20">
        <v>0</v>
      </c>
      <c r="DF276" s="20">
        <v>0</v>
      </c>
      <c r="DG276" s="16">
        <f t="shared" si="24"/>
        <v>1</v>
      </c>
      <c r="DH276" s="16">
        <f t="shared" si="25"/>
        <v>14</v>
      </c>
      <c r="DI276" s="17">
        <f t="shared" si="26"/>
        <v>14</v>
      </c>
      <c r="DJ276" s="119" t="s">
        <v>720</v>
      </c>
      <c r="DK276" s="44" t="s">
        <v>720</v>
      </c>
    </row>
    <row r="277" spans="1:117">
      <c r="A277" s="32" t="str">
        <f t="shared" si="22"/>
        <v>AusNet--OTHER - CURRENT TRANSFORMERS</v>
      </c>
      <c r="B277" s="32" t="str">
        <f t="shared" si="23"/>
        <v>AusNet</v>
      </c>
      <c r="C277" s="426"/>
      <c r="D277" s="14"/>
      <c r="E277" s="15" t="s">
        <v>299</v>
      </c>
      <c r="F277" s="18">
        <v>62</v>
      </c>
      <c r="G277" s="18">
        <v>14</v>
      </c>
      <c r="H277" s="20">
        <v>25</v>
      </c>
      <c r="I277" s="20">
        <v>37</v>
      </c>
      <c r="J277" s="20">
        <v>22</v>
      </c>
      <c r="K277" s="20">
        <v>68</v>
      </c>
      <c r="L277" s="20">
        <v>14</v>
      </c>
      <c r="M277" s="20">
        <v>2</v>
      </c>
      <c r="N277" s="20">
        <v>48</v>
      </c>
      <c r="O277" s="20">
        <v>35</v>
      </c>
      <c r="P277" s="20">
        <v>103</v>
      </c>
      <c r="Q277" s="20">
        <v>33</v>
      </c>
      <c r="R277" s="20">
        <v>16</v>
      </c>
      <c r="S277" s="20">
        <v>10</v>
      </c>
      <c r="T277" s="20">
        <v>61</v>
      </c>
      <c r="U277" s="20">
        <v>17</v>
      </c>
      <c r="V277" s="20">
        <v>36</v>
      </c>
      <c r="W277" s="20">
        <v>56</v>
      </c>
      <c r="X277" s="20">
        <v>18</v>
      </c>
      <c r="Y277" s="20">
        <v>3</v>
      </c>
      <c r="Z277" s="20">
        <v>1</v>
      </c>
      <c r="AA277" s="20">
        <v>0</v>
      </c>
      <c r="AB277" s="20">
        <v>0</v>
      </c>
      <c r="AC277" s="20">
        <v>0</v>
      </c>
      <c r="AD277" s="20">
        <v>0</v>
      </c>
      <c r="AE277" s="20">
        <v>0</v>
      </c>
      <c r="AF277" s="20">
        <v>0</v>
      </c>
      <c r="AG277" s="20">
        <v>0</v>
      </c>
      <c r="AH277" s="20">
        <v>10</v>
      </c>
      <c r="AI277" s="20">
        <v>5</v>
      </c>
      <c r="AJ277" s="20">
        <v>0</v>
      </c>
      <c r="AK277" s="20">
        <v>0</v>
      </c>
      <c r="AL277" s="20">
        <v>10</v>
      </c>
      <c r="AM277" s="20">
        <v>103</v>
      </c>
      <c r="AN277" s="20">
        <v>53</v>
      </c>
      <c r="AO277" s="20">
        <v>7</v>
      </c>
      <c r="AP277" s="20">
        <v>30</v>
      </c>
      <c r="AQ277" s="20">
        <v>11</v>
      </c>
      <c r="AR277" s="20">
        <v>36</v>
      </c>
      <c r="AS277" s="20">
        <v>43</v>
      </c>
      <c r="AT277" s="20">
        <v>16</v>
      </c>
      <c r="AU277" s="20">
        <v>3</v>
      </c>
      <c r="AV277" s="20">
        <v>21</v>
      </c>
      <c r="AW277" s="20"/>
      <c r="AX277" s="20">
        <v>26</v>
      </c>
      <c r="AY277" s="20">
        <v>22</v>
      </c>
      <c r="AZ277" s="20">
        <v>39</v>
      </c>
      <c r="BA277" s="20">
        <v>7</v>
      </c>
      <c r="BB277" s="20">
        <v>17</v>
      </c>
      <c r="BC277" s="20">
        <v>14</v>
      </c>
      <c r="BD277" s="20">
        <v>26</v>
      </c>
      <c r="BE277" s="20">
        <v>3</v>
      </c>
      <c r="BF277" s="20">
        <v>0</v>
      </c>
      <c r="BG277" s="20">
        <v>0</v>
      </c>
      <c r="BH277" s="20">
        <v>7</v>
      </c>
      <c r="BI277" s="20">
        <v>12</v>
      </c>
      <c r="BJ277" s="20">
        <v>0</v>
      </c>
      <c r="BK277" s="20">
        <v>0</v>
      </c>
      <c r="BL277" s="20">
        <v>0</v>
      </c>
      <c r="BM277" s="20">
        <v>0</v>
      </c>
      <c r="BN277" s="20">
        <v>54</v>
      </c>
      <c r="BO277" s="20">
        <v>0</v>
      </c>
      <c r="BP277" s="20">
        <v>0</v>
      </c>
      <c r="BQ277" s="20">
        <v>0</v>
      </c>
      <c r="BR277" s="20">
        <v>0</v>
      </c>
      <c r="BS277" s="20">
        <v>14</v>
      </c>
      <c r="BT277" s="20">
        <v>0</v>
      </c>
      <c r="BU277" s="20">
        <v>0</v>
      </c>
      <c r="BV277" s="20">
        <v>0</v>
      </c>
      <c r="BW277" s="20">
        <v>0</v>
      </c>
      <c r="BX277" s="20">
        <v>0</v>
      </c>
      <c r="BY277" s="20">
        <v>0</v>
      </c>
      <c r="BZ277" s="20">
        <v>0</v>
      </c>
      <c r="CA277" s="20">
        <v>0</v>
      </c>
      <c r="CB277" s="20">
        <v>0</v>
      </c>
      <c r="CC277" s="20">
        <v>0</v>
      </c>
      <c r="CD277" s="20">
        <v>0</v>
      </c>
      <c r="CE277" s="20">
        <v>0</v>
      </c>
      <c r="CF277" s="20">
        <v>0</v>
      </c>
      <c r="CG277" s="20">
        <v>0</v>
      </c>
      <c r="CH277" s="20">
        <v>0</v>
      </c>
      <c r="CI277" s="20">
        <v>0</v>
      </c>
      <c r="CJ277" s="20">
        <v>0</v>
      </c>
      <c r="CK277" s="20">
        <v>0</v>
      </c>
      <c r="CL277" s="20">
        <v>0</v>
      </c>
      <c r="CM277" s="20">
        <v>0</v>
      </c>
      <c r="CN277" s="20">
        <v>0</v>
      </c>
      <c r="CO277" s="20">
        <v>0</v>
      </c>
      <c r="CP277" s="20">
        <v>0</v>
      </c>
      <c r="CQ277" s="20">
        <v>0</v>
      </c>
      <c r="CR277" s="20">
        <v>0</v>
      </c>
      <c r="CS277" s="20">
        <v>0</v>
      </c>
      <c r="CT277" s="20">
        <v>0</v>
      </c>
      <c r="CU277" s="20">
        <v>0</v>
      </c>
      <c r="CV277" s="20">
        <v>0</v>
      </c>
      <c r="CW277" s="20">
        <v>0</v>
      </c>
      <c r="CX277" s="20">
        <v>0</v>
      </c>
      <c r="CY277" s="20">
        <v>0</v>
      </c>
      <c r="CZ277" s="20">
        <v>0</v>
      </c>
      <c r="DA277" s="20">
        <v>0</v>
      </c>
      <c r="DB277" s="20">
        <v>0</v>
      </c>
      <c r="DC277" s="20">
        <v>0</v>
      </c>
      <c r="DD277" s="20">
        <v>0</v>
      </c>
      <c r="DE277" s="20">
        <v>0</v>
      </c>
      <c r="DF277" s="20">
        <v>41</v>
      </c>
      <c r="DG277" s="16">
        <f t="shared" si="24"/>
        <v>1235</v>
      </c>
      <c r="DH277" s="16">
        <f t="shared" si="25"/>
        <v>33936</v>
      </c>
      <c r="DI277" s="17">
        <f t="shared" si="26"/>
        <v>27.478542510121457</v>
      </c>
      <c r="DJ277" s="119" t="s">
        <v>720</v>
      </c>
      <c r="DK277" s="44" t="s">
        <v>720</v>
      </c>
    </row>
    <row r="278" spans="1:117">
      <c r="A278" s="32" t="str">
        <f t="shared" si="22"/>
        <v>AusNet--OTHER - EARTHING</v>
      </c>
      <c r="B278" s="32" t="str">
        <f t="shared" si="23"/>
        <v>AusNet</v>
      </c>
      <c r="C278" s="426"/>
      <c r="D278" s="14"/>
      <c r="E278" s="15" t="s">
        <v>300</v>
      </c>
      <c r="F278" s="18">
        <v>65</v>
      </c>
      <c r="G278" s="18">
        <v>14</v>
      </c>
      <c r="H278" s="20">
        <v>1</v>
      </c>
      <c r="I278" s="20">
        <v>0</v>
      </c>
      <c r="J278" s="20">
        <v>1</v>
      </c>
      <c r="K278" s="20">
        <v>2</v>
      </c>
      <c r="L278" s="20">
        <v>2</v>
      </c>
      <c r="M278" s="20">
        <v>3</v>
      </c>
      <c r="N278" s="20">
        <v>0</v>
      </c>
      <c r="O278" s="20">
        <v>1</v>
      </c>
      <c r="P278" s="20">
        <v>4</v>
      </c>
      <c r="Q278" s="20">
        <v>1</v>
      </c>
      <c r="R278" s="20">
        <v>0</v>
      </c>
      <c r="S278" s="20">
        <v>1</v>
      </c>
      <c r="T278" s="20">
        <v>2</v>
      </c>
      <c r="U278" s="20">
        <v>0</v>
      </c>
      <c r="V278" s="20">
        <v>1</v>
      </c>
      <c r="W278" s="20">
        <v>1</v>
      </c>
      <c r="X278" s="20">
        <v>0</v>
      </c>
      <c r="Y278" s="20">
        <v>0</v>
      </c>
      <c r="Z278" s="20">
        <v>0</v>
      </c>
      <c r="AA278" s="20">
        <v>0</v>
      </c>
      <c r="AB278" s="20">
        <v>0</v>
      </c>
      <c r="AC278" s="20">
        <v>0</v>
      </c>
      <c r="AD278" s="20">
        <v>0</v>
      </c>
      <c r="AE278" s="20">
        <v>0</v>
      </c>
      <c r="AF278" s="20">
        <v>1</v>
      </c>
      <c r="AG278" s="20">
        <v>0</v>
      </c>
      <c r="AH278" s="20">
        <v>1</v>
      </c>
      <c r="AI278" s="20">
        <v>1</v>
      </c>
      <c r="AJ278" s="20">
        <v>2</v>
      </c>
      <c r="AK278" s="20">
        <v>2</v>
      </c>
      <c r="AL278" s="20">
        <v>0</v>
      </c>
      <c r="AM278" s="20">
        <v>1</v>
      </c>
      <c r="AN278" s="20">
        <v>3</v>
      </c>
      <c r="AO278" s="20">
        <v>0</v>
      </c>
      <c r="AP278" s="20">
        <v>3</v>
      </c>
      <c r="AQ278" s="20">
        <v>2</v>
      </c>
      <c r="AR278" s="20">
        <v>0</v>
      </c>
      <c r="AS278" s="20">
        <v>3</v>
      </c>
      <c r="AT278" s="20">
        <v>0</v>
      </c>
      <c r="AU278" s="20">
        <v>0</v>
      </c>
      <c r="AV278" s="20">
        <v>0</v>
      </c>
      <c r="AW278" s="20">
        <v>1</v>
      </c>
      <c r="AX278" s="20">
        <v>1</v>
      </c>
      <c r="AY278" s="20">
        <v>2</v>
      </c>
      <c r="AZ278" s="20">
        <v>4</v>
      </c>
      <c r="BA278" s="20">
        <v>4</v>
      </c>
      <c r="BB278" s="20">
        <v>1</v>
      </c>
      <c r="BC278" s="20">
        <v>1</v>
      </c>
      <c r="BD278" s="20">
        <v>1</v>
      </c>
      <c r="BE278" s="20">
        <v>1</v>
      </c>
      <c r="BF278" s="20">
        <v>2</v>
      </c>
      <c r="BG278" s="20">
        <v>3</v>
      </c>
      <c r="BH278" s="20">
        <v>2</v>
      </c>
      <c r="BI278" s="20">
        <v>4</v>
      </c>
      <c r="BJ278" s="20">
        <v>0</v>
      </c>
      <c r="BK278" s="20">
        <v>2</v>
      </c>
      <c r="BL278" s="20">
        <v>2</v>
      </c>
      <c r="BM278" s="20">
        <v>0</v>
      </c>
      <c r="BN278" s="20">
        <v>0</v>
      </c>
      <c r="BO278" s="20">
        <v>0</v>
      </c>
      <c r="BP278" s="20">
        <v>0</v>
      </c>
      <c r="BQ278" s="20">
        <v>0</v>
      </c>
      <c r="BR278" s="20">
        <v>0</v>
      </c>
      <c r="BS278" s="20">
        <v>0</v>
      </c>
      <c r="BT278" s="20">
        <v>0</v>
      </c>
      <c r="BU278" s="20">
        <v>0</v>
      </c>
      <c r="BV278" s="20">
        <v>1</v>
      </c>
      <c r="BW278" s="20">
        <v>1</v>
      </c>
      <c r="BX278" s="20">
        <v>0</v>
      </c>
      <c r="BY278" s="20">
        <v>0</v>
      </c>
      <c r="BZ278" s="20">
        <v>1</v>
      </c>
      <c r="CA278" s="20">
        <v>0</v>
      </c>
      <c r="CB278" s="20">
        <v>0</v>
      </c>
      <c r="CC278" s="20">
        <v>0</v>
      </c>
      <c r="CD278" s="20">
        <v>0</v>
      </c>
      <c r="CE278" s="20">
        <v>0</v>
      </c>
      <c r="CF278" s="20">
        <v>0</v>
      </c>
      <c r="CG278" s="20">
        <v>0</v>
      </c>
      <c r="CH278" s="20">
        <v>0</v>
      </c>
      <c r="CI278" s="20">
        <v>0</v>
      </c>
      <c r="CJ278" s="20">
        <v>0</v>
      </c>
      <c r="CK278" s="20">
        <v>0</v>
      </c>
      <c r="CL278" s="20">
        <v>0</v>
      </c>
      <c r="CM278" s="20">
        <v>0</v>
      </c>
      <c r="CN278" s="20">
        <v>0</v>
      </c>
      <c r="CO278" s="20">
        <v>0</v>
      </c>
      <c r="CP278" s="20">
        <v>0</v>
      </c>
      <c r="CQ278" s="20">
        <v>1</v>
      </c>
      <c r="CR278" s="20">
        <v>0</v>
      </c>
      <c r="CS278" s="20">
        <v>0</v>
      </c>
      <c r="CT278" s="20">
        <v>0</v>
      </c>
      <c r="CU278" s="20">
        <v>0</v>
      </c>
      <c r="CV278" s="20">
        <v>0</v>
      </c>
      <c r="CW278" s="20">
        <v>0</v>
      </c>
      <c r="CX278" s="20">
        <v>0</v>
      </c>
      <c r="CY278" s="20">
        <v>0</v>
      </c>
      <c r="CZ278" s="20">
        <v>0</v>
      </c>
      <c r="DA278" s="20">
        <v>0</v>
      </c>
      <c r="DB278" s="20">
        <v>0</v>
      </c>
      <c r="DC278" s="20">
        <v>0</v>
      </c>
      <c r="DD278" s="20">
        <v>0</v>
      </c>
      <c r="DE278" s="20">
        <v>0</v>
      </c>
      <c r="DF278" s="20">
        <v>0</v>
      </c>
      <c r="DG278" s="16">
        <f t="shared" si="24"/>
        <v>74</v>
      </c>
      <c r="DH278" s="16">
        <f t="shared" si="25"/>
        <v>2614</v>
      </c>
      <c r="DI278" s="17">
        <f t="shared" si="26"/>
        <v>35.324324324324323</v>
      </c>
      <c r="DJ278" s="119" t="s">
        <v>720</v>
      </c>
      <c r="DK278" s="44" t="s">
        <v>720</v>
      </c>
    </row>
    <row r="279" spans="1:117">
      <c r="A279" s="32" t="str">
        <f t="shared" si="22"/>
        <v>AusNet--OTHER - MAGNETIC VOLTAGE TRANSFORMERS</v>
      </c>
      <c r="B279" s="32" t="str">
        <f t="shared" si="23"/>
        <v>AusNet</v>
      </c>
      <c r="C279" s="426"/>
      <c r="D279" s="14"/>
      <c r="E279" s="15" t="s">
        <v>301</v>
      </c>
      <c r="F279" s="18">
        <v>62</v>
      </c>
      <c r="G279" s="18">
        <v>14</v>
      </c>
      <c r="H279" s="20">
        <v>3</v>
      </c>
      <c r="I279" s="20">
        <v>0</v>
      </c>
      <c r="J279" s="20">
        <v>9</v>
      </c>
      <c r="K279" s="20">
        <v>20</v>
      </c>
      <c r="L279" s="20">
        <v>15</v>
      </c>
      <c r="M279" s="20">
        <v>3</v>
      </c>
      <c r="N279" s="20">
        <v>3</v>
      </c>
      <c r="O279" s="20">
        <v>9</v>
      </c>
      <c r="P279" s="20">
        <v>15</v>
      </c>
      <c r="Q279" s="20">
        <v>6</v>
      </c>
      <c r="R279" s="20">
        <v>6</v>
      </c>
      <c r="S279" s="20">
        <v>0</v>
      </c>
      <c r="T279" s="20">
        <v>21</v>
      </c>
      <c r="U279" s="20">
        <v>1</v>
      </c>
      <c r="V279" s="20">
        <v>21</v>
      </c>
      <c r="W279" s="20">
        <v>0</v>
      </c>
      <c r="X279" s="20">
        <v>0</v>
      </c>
      <c r="Y279" s="20">
        <v>6</v>
      </c>
      <c r="Z279" s="20">
        <v>0</v>
      </c>
      <c r="AA279" s="20">
        <v>0</v>
      </c>
      <c r="AB279" s="20">
        <v>0</v>
      </c>
      <c r="AC279" s="20">
        <v>0</v>
      </c>
      <c r="AD279" s="20">
        <v>0</v>
      </c>
      <c r="AE279" s="20">
        <v>0</v>
      </c>
      <c r="AF279" s="20">
        <v>3</v>
      </c>
      <c r="AG279" s="20">
        <v>0</v>
      </c>
      <c r="AH279" s="20">
        <v>0</v>
      </c>
      <c r="AI279" s="20">
        <v>0</v>
      </c>
      <c r="AJ279" s="20">
        <v>0</v>
      </c>
      <c r="AK279" s="20">
        <v>0</v>
      </c>
      <c r="AL279" s="20">
        <v>0</v>
      </c>
      <c r="AM279" s="20">
        <v>3</v>
      </c>
      <c r="AN279" s="20">
        <v>1</v>
      </c>
      <c r="AO279" s="20">
        <v>0</v>
      </c>
      <c r="AP279" s="20">
        <v>0</v>
      </c>
      <c r="AQ279" s="20">
        <v>0</v>
      </c>
      <c r="AR279" s="20">
        <v>0</v>
      </c>
      <c r="AS279" s="20">
        <v>0</v>
      </c>
      <c r="AT279" s="20">
        <v>0</v>
      </c>
      <c r="AU279" s="20">
        <v>0</v>
      </c>
      <c r="AV279" s="20">
        <v>0</v>
      </c>
      <c r="AW279" s="20">
        <v>0</v>
      </c>
      <c r="AX279" s="20">
        <v>0</v>
      </c>
      <c r="AY279" s="20">
        <v>0</v>
      </c>
      <c r="AZ279" s="20">
        <v>0</v>
      </c>
      <c r="BA279" s="20">
        <v>0</v>
      </c>
      <c r="BB279" s="20">
        <v>0</v>
      </c>
      <c r="BC279" s="20">
        <v>0</v>
      </c>
      <c r="BD279" s="20">
        <v>0</v>
      </c>
      <c r="BE279" s="20">
        <v>0</v>
      </c>
      <c r="BF279" s="20">
        <v>0</v>
      </c>
      <c r="BG279" s="20">
        <v>0</v>
      </c>
      <c r="BH279" s="20">
        <v>0</v>
      </c>
      <c r="BI279" s="20">
        <v>0</v>
      </c>
      <c r="BJ279" s="20">
        <v>0</v>
      </c>
      <c r="BK279" s="20">
        <v>0</v>
      </c>
      <c r="BL279" s="20">
        <v>0</v>
      </c>
      <c r="BM279" s="20">
        <v>0</v>
      </c>
      <c r="BN279" s="20">
        <v>0</v>
      </c>
      <c r="BO279" s="20">
        <v>0</v>
      </c>
      <c r="BP279" s="20">
        <v>0</v>
      </c>
      <c r="BQ279" s="20">
        <v>0</v>
      </c>
      <c r="BR279" s="20">
        <v>0</v>
      </c>
      <c r="BS279" s="20">
        <v>0</v>
      </c>
      <c r="BT279" s="20">
        <v>0</v>
      </c>
      <c r="BU279" s="20">
        <v>0</v>
      </c>
      <c r="BV279" s="20">
        <v>0</v>
      </c>
      <c r="BW279" s="20">
        <v>0</v>
      </c>
      <c r="BX279" s="20">
        <v>0</v>
      </c>
      <c r="BY279" s="20">
        <v>0</v>
      </c>
      <c r="BZ279" s="20">
        <v>0</v>
      </c>
      <c r="CA279" s="20">
        <v>0</v>
      </c>
      <c r="CB279" s="20">
        <v>0</v>
      </c>
      <c r="CC279" s="20">
        <v>0</v>
      </c>
      <c r="CD279" s="20">
        <v>0</v>
      </c>
      <c r="CE279" s="20">
        <v>0</v>
      </c>
      <c r="CF279" s="20">
        <v>0</v>
      </c>
      <c r="CG279" s="20">
        <v>0</v>
      </c>
      <c r="CH279" s="20">
        <v>0</v>
      </c>
      <c r="CI279" s="20">
        <v>0</v>
      </c>
      <c r="CJ279" s="20">
        <v>0</v>
      </c>
      <c r="CK279" s="20">
        <v>0</v>
      </c>
      <c r="CL279" s="20">
        <v>0</v>
      </c>
      <c r="CM279" s="20">
        <v>0</v>
      </c>
      <c r="CN279" s="20">
        <v>0</v>
      </c>
      <c r="CO279" s="20">
        <v>0</v>
      </c>
      <c r="CP279" s="20">
        <v>0</v>
      </c>
      <c r="CQ279" s="20">
        <v>0</v>
      </c>
      <c r="CR279" s="20">
        <v>0</v>
      </c>
      <c r="CS279" s="20">
        <v>0</v>
      </c>
      <c r="CT279" s="20">
        <v>0</v>
      </c>
      <c r="CU279" s="20">
        <v>0</v>
      </c>
      <c r="CV279" s="20">
        <v>0</v>
      </c>
      <c r="CW279" s="20">
        <v>0</v>
      </c>
      <c r="CX279" s="20">
        <v>0</v>
      </c>
      <c r="CY279" s="20">
        <v>0</v>
      </c>
      <c r="CZ279" s="20">
        <v>0</v>
      </c>
      <c r="DA279" s="20">
        <v>0</v>
      </c>
      <c r="DB279" s="20">
        <v>0</v>
      </c>
      <c r="DC279" s="20">
        <v>0</v>
      </c>
      <c r="DD279" s="20">
        <v>0</v>
      </c>
      <c r="DE279" s="20">
        <v>0</v>
      </c>
      <c r="DF279" s="20">
        <v>0</v>
      </c>
      <c r="DG279" s="16">
        <f t="shared" si="24"/>
        <v>145</v>
      </c>
      <c r="DH279" s="16">
        <f t="shared" si="25"/>
        <v>1471</v>
      </c>
      <c r="DI279" s="17">
        <f t="shared" si="26"/>
        <v>10.144827586206896</v>
      </c>
      <c r="DJ279" s="119" t="s">
        <v>720</v>
      </c>
      <c r="DK279" s="44" t="s">
        <v>720</v>
      </c>
    </row>
    <row r="280" spans="1:117">
      <c r="A280" s="32" t="str">
        <f t="shared" ref="A280:A343" si="27">B280&amp;"-"&amp;D280&amp;"-"&amp;E280</f>
        <v>AusNet--OTHER - NEUTRAL EARTH RESISTORS</v>
      </c>
      <c r="B280" s="32" t="str">
        <f t="shared" ref="B280:B343" si="28">IF(C280&gt;0,C280,B279)</f>
        <v>AusNet</v>
      </c>
      <c r="C280" s="426"/>
      <c r="D280" s="14"/>
      <c r="E280" s="15" t="s">
        <v>302</v>
      </c>
      <c r="F280" s="18">
        <v>65</v>
      </c>
      <c r="G280" s="18">
        <v>14</v>
      </c>
      <c r="H280" s="20">
        <v>6</v>
      </c>
      <c r="I280" s="20">
        <v>5</v>
      </c>
      <c r="J280" s="20">
        <v>0</v>
      </c>
      <c r="K280" s="20">
        <v>3</v>
      </c>
      <c r="L280" s="20">
        <v>1</v>
      </c>
      <c r="M280" s="20">
        <v>0</v>
      </c>
      <c r="N280" s="20">
        <v>0</v>
      </c>
      <c r="O280" s="20">
        <v>3</v>
      </c>
      <c r="P280" s="20">
        <v>5</v>
      </c>
      <c r="Q280" s="20">
        <v>0</v>
      </c>
      <c r="R280" s="20">
        <v>0</v>
      </c>
      <c r="S280" s="20">
        <v>1</v>
      </c>
      <c r="T280" s="20">
        <v>2</v>
      </c>
      <c r="U280" s="20">
        <v>0</v>
      </c>
      <c r="V280" s="20">
        <v>3</v>
      </c>
      <c r="W280" s="20">
        <v>1</v>
      </c>
      <c r="X280" s="20">
        <v>0</v>
      </c>
      <c r="Y280" s="20">
        <v>0</v>
      </c>
      <c r="Z280" s="20">
        <v>1</v>
      </c>
      <c r="AA280" s="20">
        <v>2</v>
      </c>
      <c r="AB280" s="20">
        <v>0</v>
      </c>
      <c r="AC280" s="20">
        <v>1</v>
      </c>
      <c r="AD280" s="20">
        <v>0</v>
      </c>
      <c r="AE280" s="20">
        <v>0</v>
      </c>
      <c r="AF280" s="20">
        <v>1</v>
      </c>
      <c r="AG280" s="20">
        <v>3</v>
      </c>
      <c r="AH280" s="20">
        <v>1</v>
      </c>
      <c r="AI280" s="20">
        <v>0</v>
      </c>
      <c r="AJ280" s="20">
        <v>1</v>
      </c>
      <c r="AK280" s="20">
        <v>0</v>
      </c>
      <c r="AL280" s="20">
        <v>0</v>
      </c>
      <c r="AM280" s="20">
        <v>0</v>
      </c>
      <c r="AN280" s="20">
        <v>0</v>
      </c>
      <c r="AO280" s="20">
        <v>0</v>
      </c>
      <c r="AP280" s="20">
        <v>0</v>
      </c>
      <c r="AQ280" s="20">
        <v>0</v>
      </c>
      <c r="AR280" s="20">
        <v>2</v>
      </c>
      <c r="AS280" s="20">
        <v>2</v>
      </c>
      <c r="AT280" s="20">
        <v>2</v>
      </c>
      <c r="AU280" s="20">
        <v>0</v>
      </c>
      <c r="AV280" s="20">
        <v>0</v>
      </c>
      <c r="AW280" s="20">
        <v>0</v>
      </c>
      <c r="AX280" s="20">
        <v>0</v>
      </c>
      <c r="AY280" s="20">
        <v>0</v>
      </c>
      <c r="AZ280" s="20">
        <v>0</v>
      </c>
      <c r="BA280" s="20">
        <v>0</v>
      </c>
      <c r="BB280" s="20">
        <v>4</v>
      </c>
      <c r="BC280" s="20">
        <v>0</v>
      </c>
      <c r="BD280" s="20">
        <v>0</v>
      </c>
      <c r="BE280" s="20">
        <v>0</v>
      </c>
      <c r="BF280" s="20">
        <v>0</v>
      </c>
      <c r="BG280" s="20">
        <v>0</v>
      </c>
      <c r="BH280" s="20">
        <v>0</v>
      </c>
      <c r="BI280" s="20">
        <v>0</v>
      </c>
      <c r="BJ280" s="20">
        <v>0</v>
      </c>
      <c r="BK280" s="20">
        <v>0</v>
      </c>
      <c r="BL280" s="20">
        <v>0</v>
      </c>
      <c r="BM280" s="20">
        <v>0</v>
      </c>
      <c r="BN280" s="20">
        <v>0</v>
      </c>
      <c r="BO280" s="20">
        <v>0</v>
      </c>
      <c r="BP280" s="20">
        <v>0</v>
      </c>
      <c r="BQ280" s="20">
        <v>0</v>
      </c>
      <c r="BR280" s="20">
        <v>0</v>
      </c>
      <c r="BS280" s="20">
        <v>0</v>
      </c>
      <c r="BT280" s="20">
        <v>0</v>
      </c>
      <c r="BU280" s="20">
        <v>0</v>
      </c>
      <c r="BV280" s="20">
        <v>0</v>
      </c>
      <c r="BW280" s="20">
        <v>0</v>
      </c>
      <c r="BX280" s="20">
        <v>0</v>
      </c>
      <c r="BY280" s="20">
        <v>0</v>
      </c>
      <c r="BZ280" s="20">
        <v>0</v>
      </c>
      <c r="CA280" s="20">
        <v>0</v>
      </c>
      <c r="CB280" s="20">
        <v>0</v>
      </c>
      <c r="CC280" s="20">
        <v>0</v>
      </c>
      <c r="CD280" s="20">
        <v>0</v>
      </c>
      <c r="CE280" s="20">
        <v>0</v>
      </c>
      <c r="CF280" s="20">
        <v>0</v>
      </c>
      <c r="CG280" s="20">
        <v>0</v>
      </c>
      <c r="CH280" s="20">
        <v>0</v>
      </c>
      <c r="CI280" s="20">
        <v>0</v>
      </c>
      <c r="CJ280" s="20">
        <v>0</v>
      </c>
      <c r="CK280" s="20">
        <v>0</v>
      </c>
      <c r="CL280" s="20">
        <v>0</v>
      </c>
      <c r="CM280" s="20">
        <v>0</v>
      </c>
      <c r="CN280" s="20">
        <v>0</v>
      </c>
      <c r="CO280" s="20">
        <v>0</v>
      </c>
      <c r="CP280" s="20">
        <v>0</v>
      </c>
      <c r="CQ280" s="20">
        <v>0</v>
      </c>
      <c r="CR280" s="20">
        <v>0</v>
      </c>
      <c r="CS280" s="20">
        <v>0</v>
      </c>
      <c r="CT280" s="20">
        <v>0</v>
      </c>
      <c r="CU280" s="20">
        <v>0</v>
      </c>
      <c r="CV280" s="20">
        <v>0</v>
      </c>
      <c r="CW280" s="20">
        <v>0</v>
      </c>
      <c r="CX280" s="20">
        <v>0</v>
      </c>
      <c r="CY280" s="20">
        <v>0</v>
      </c>
      <c r="CZ280" s="20">
        <v>0</v>
      </c>
      <c r="DA280" s="20">
        <v>0</v>
      </c>
      <c r="DB280" s="20">
        <v>0</v>
      </c>
      <c r="DC280" s="20">
        <v>0</v>
      </c>
      <c r="DD280" s="20">
        <v>0</v>
      </c>
      <c r="DE280" s="20">
        <v>0</v>
      </c>
      <c r="DF280" s="20">
        <v>0</v>
      </c>
      <c r="DG280" s="16">
        <f t="shared" si="24"/>
        <v>50</v>
      </c>
      <c r="DH280" s="16">
        <f t="shared" si="25"/>
        <v>857</v>
      </c>
      <c r="DI280" s="17">
        <f t="shared" si="26"/>
        <v>17.14</v>
      </c>
      <c r="DJ280" s="119" t="s">
        <v>720</v>
      </c>
      <c r="DK280" s="44" t="s">
        <v>720</v>
      </c>
    </row>
    <row r="281" spans="1:117">
      <c r="A281" s="32" t="str">
        <f t="shared" si="27"/>
        <v>AusNet--OTHER - REGULATORS</v>
      </c>
      <c r="B281" s="32" t="str">
        <f t="shared" si="28"/>
        <v>AusNet</v>
      </c>
      <c r="C281" s="426"/>
      <c r="D281" s="14"/>
      <c r="E281" s="15" t="s">
        <v>303</v>
      </c>
      <c r="F281" s="18">
        <v>62</v>
      </c>
      <c r="G281" s="18">
        <v>14</v>
      </c>
      <c r="H281" s="20">
        <v>0</v>
      </c>
      <c r="I281" s="20">
        <v>6</v>
      </c>
      <c r="J281" s="20">
        <v>0</v>
      </c>
      <c r="K281" s="20">
        <v>12</v>
      </c>
      <c r="L281" s="20">
        <v>0</v>
      </c>
      <c r="M281" s="20">
        <v>0</v>
      </c>
      <c r="N281" s="20">
        <v>6</v>
      </c>
      <c r="O281" s="20">
        <v>10</v>
      </c>
      <c r="P281" s="20">
        <v>0</v>
      </c>
      <c r="Q281" s="20">
        <v>0</v>
      </c>
      <c r="R281" s="20">
        <v>0</v>
      </c>
      <c r="S281" s="20">
        <v>0</v>
      </c>
      <c r="T281" s="20">
        <v>0</v>
      </c>
      <c r="U281" s="20">
        <v>4</v>
      </c>
      <c r="V281" s="20">
        <v>0</v>
      </c>
      <c r="W281" s="20">
        <v>0</v>
      </c>
      <c r="X281" s="20">
        <v>0</v>
      </c>
      <c r="Y281" s="20">
        <v>0</v>
      </c>
      <c r="Z281" s="20">
        <v>0</v>
      </c>
      <c r="AA281" s="20">
        <v>0</v>
      </c>
      <c r="AB281" s="20">
        <v>0</v>
      </c>
      <c r="AC281" s="20">
        <v>0</v>
      </c>
      <c r="AD281" s="20">
        <v>0</v>
      </c>
      <c r="AE281" s="20">
        <v>0</v>
      </c>
      <c r="AF281" s="20">
        <v>0</v>
      </c>
      <c r="AG281" s="20">
        <v>0</v>
      </c>
      <c r="AH281" s="20">
        <v>0</v>
      </c>
      <c r="AI281" s="20">
        <v>0</v>
      </c>
      <c r="AJ281" s="20">
        <v>0</v>
      </c>
      <c r="AK281" s="20">
        <v>0</v>
      </c>
      <c r="AL281" s="20">
        <v>0</v>
      </c>
      <c r="AM281" s="20">
        <v>2</v>
      </c>
      <c r="AN281" s="20">
        <v>0</v>
      </c>
      <c r="AO281" s="20">
        <v>0</v>
      </c>
      <c r="AP281" s="20">
        <v>0</v>
      </c>
      <c r="AQ281" s="20">
        <v>0</v>
      </c>
      <c r="AR281" s="20">
        <v>0</v>
      </c>
      <c r="AS281" s="20">
        <v>1</v>
      </c>
      <c r="AT281" s="20">
        <v>0</v>
      </c>
      <c r="AU281" s="20">
        <v>0</v>
      </c>
      <c r="AV281" s="20">
        <v>0</v>
      </c>
      <c r="AW281" s="20">
        <v>0</v>
      </c>
      <c r="AX281" s="20">
        <v>0</v>
      </c>
      <c r="AY281" s="20">
        <v>0</v>
      </c>
      <c r="AZ281" s="20">
        <v>2</v>
      </c>
      <c r="BA281" s="20">
        <v>0</v>
      </c>
      <c r="BB281" s="20">
        <v>0</v>
      </c>
      <c r="BC281" s="20">
        <v>0</v>
      </c>
      <c r="BD281" s="20">
        <v>0</v>
      </c>
      <c r="BE281" s="20">
        <v>0</v>
      </c>
      <c r="BF281" s="20">
        <v>0</v>
      </c>
      <c r="BG281" s="20">
        <v>0</v>
      </c>
      <c r="BH281" s="20">
        <v>0</v>
      </c>
      <c r="BI281" s="20">
        <v>1</v>
      </c>
      <c r="BJ281" s="20">
        <v>0</v>
      </c>
      <c r="BK281" s="20">
        <v>0</v>
      </c>
      <c r="BL281" s="20">
        <v>0</v>
      </c>
      <c r="BM281" s="20">
        <v>0</v>
      </c>
      <c r="BN281" s="20">
        <v>0</v>
      </c>
      <c r="BO281" s="20">
        <v>1</v>
      </c>
      <c r="BP281" s="20">
        <v>0</v>
      </c>
      <c r="BQ281" s="20">
        <v>0</v>
      </c>
      <c r="BR281" s="20">
        <v>0</v>
      </c>
      <c r="BS281" s="20">
        <v>0</v>
      </c>
      <c r="BT281" s="20">
        <v>1</v>
      </c>
      <c r="BU281" s="20">
        <v>1</v>
      </c>
      <c r="BV281" s="20">
        <v>1</v>
      </c>
      <c r="BW281" s="20">
        <v>0</v>
      </c>
      <c r="BX281" s="20">
        <v>0</v>
      </c>
      <c r="BY281" s="20">
        <v>0</v>
      </c>
      <c r="BZ281" s="20">
        <v>0</v>
      </c>
      <c r="CA281" s="20">
        <v>0</v>
      </c>
      <c r="CB281" s="20">
        <v>0</v>
      </c>
      <c r="CC281" s="20">
        <v>0</v>
      </c>
      <c r="CD281" s="20">
        <v>1</v>
      </c>
      <c r="CE281" s="20">
        <v>0</v>
      </c>
      <c r="CF281" s="20">
        <v>0</v>
      </c>
      <c r="CG281" s="20">
        <v>0</v>
      </c>
      <c r="CH281" s="20">
        <v>0</v>
      </c>
      <c r="CI281" s="20">
        <v>0</v>
      </c>
      <c r="CJ281" s="20">
        <v>0</v>
      </c>
      <c r="CK281" s="20">
        <v>0</v>
      </c>
      <c r="CL281" s="20">
        <v>0</v>
      </c>
      <c r="CM281" s="20">
        <v>0</v>
      </c>
      <c r="CN281" s="20">
        <v>0</v>
      </c>
      <c r="CO281" s="20">
        <v>0</v>
      </c>
      <c r="CP281" s="20">
        <v>0</v>
      </c>
      <c r="CQ281" s="20">
        <v>0</v>
      </c>
      <c r="CR281" s="20">
        <v>0</v>
      </c>
      <c r="CS281" s="20">
        <v>0</v>
      </c>
      <c r="CT281" s="20">
        <v>0</v>
      </c>
      <c r="CU281" s="20">
        <v>0</v>
      </c>
      <c r="CV281" s="20">
        <v>0</v>
      </c>
      <c r="CW281" s="20">
        <v>0</v>
      </c>
      <c r="CX281" s="20">
        <v>0</v>
      </c>
      <c r="CY281" s="20">
        <v>0</v>
      </c>
      <c r="CZ281" s="20">
        <v>0</v>
      </c>
      <c r="DA281" s="20">
        <v>0</v>
      </c>
      <c r="DB281" s="20">
        <v>0</v>
      </c>
      <c r="DC281" s="20">
        <v>0</v>
      </c>
      <c r="DD281" s="20">
        <v>0</v>
      </c>
      <c r="DE281" s="20">
        <v>0</v>
      </c>
      <c r="DF281" s="20">
        <v>25</v>
      </c>
      <c r="DG281" s="16">
        <f t="shared" si="24"/>
        <v>74</v>
      </c>
      <c r="DH281" s="16">
        <f t="shared" si="25"/>
        <v>3392</v>
      </c>
      <c r="DI281" s="17">
        <f t="shared" si="26"/>
        <v>45.837837837837839</v>
      </c>
      <c r="DJ281" s="119" t="s">
        <v>720</v>
      </c>
      <c r="DK281" s="44" t="s">
        <v>720</v>
      </c>
    </row>
    <row r="282" spans="1:117">
      <c r="A282" s="32" t="str">
        <f t="shared" si="27"/>
        <v>AusNet--OTHER - STATION SUPPLIES TRANSFORMERS</v>
      </c>
      <c r="B282" s="32" t="str">
        <f t="shared" si="28"/>
        <v>AusNet</v>
      </c>
      <c r="C282" s="426"/>
      <c r="D282" s="14"/>
      <c r="E282" s="15" t="s">
        <v>304</v>
      </c>
      <c r="F282" s="18">
        <v>62</v>
      </c>
      <c r="G282" s="18">
        <v>14</v>
      </c>
      <c r="H282" s="20">
        <v>1</v>
      </c>
      <c r="I282" s="20">
        <v>2</v>
      </c>
      <c r="J282" s="20">
        <v>3</v>
      </c>
      <c r="K282" s="20">
        <v>6</v>
      </c>
      <c r="L282" s="20">
        <v>3</v>
      </c>
      <c r="M282" s="20">
        <v>0</v>
      </c>
      <c r="N282" s="20">
        <v>2</v>
      </c>
      <c r="O282" s="20">
        <v>0</v>
      </c>
      <c r="P282" s="20">
        <v>0</v>
      </c>
      <c r="Q282" s="20">
        <v>0</v>
      </c>
      <c r="R282" s="20">
        <v>0</v>
      </c>
      <c r="S282" s="20">
        <v>0</v>
      </c>
      <c r="T282" s="20">
        <v>1</v>
      </c>
      <c r="U282" s="20">
        <v>0</v>
      </c>
      <c r="V282" s="20">
        <v>0</v>
      </c>
      <c r="W282" s="20">
        <v>0</v>
      </c>
      <c r="X282" s="20">
        <v>0</v>
      </c>
      <c r="Y282" s="20">
        <v>0</v>
      </c>
      <c r="Z282" s="20">
        <v>0</v>
      </c>
      <c r="AA282" s="20">
        <v>0</v>
      </c>
      <c r="AB282" s="20">
        <v>0</v>
      </c>
      <c r="AC282" s="20">
        <v>0</v>
      </c>
      <c r="AD282" s="20">
        <v>0</v>
      </c>
      <c r="AE282" s="20">
        <v>0</v>
      </c>
      <c r="AF282" s="20">
        <v>0</v>
      </c>
      <c r="AG282" s="20">
        <v>0</v>
      </c>
      <c r="AH282" s="20">
        <v>0</v>
      </c>
      <c r="AI282" s="20">
        <v>0</v>
      </c>
      <c r="AJ282" s="20">
        <v>0</v>
      </c>
      <c r="AK282" s="20">
        <v>2</v>
      </c>
      <c r="AL282" s="20">
        <v>0</v>
      </c>
      <c r="AM282" s="20">
        <v>0</v>
      </c>
      <c r="AN282" s="20">
        <v>0</v>
      </c>
      <c r="AO282" s="20">
        <v>0</v>
      </c>
      <c r="AP282" s="20">
        <v>0</v>
      </c>
      <c r="AQ282" s="20">
        <v>0</v>
      </c>
      <c r="AR282" s="20">
        <v>0</v>
      </c>
      <c r="AS282" s="20">
        <v>0</v>
      </c>
      <c r="AT282" s="20">
        <v>0</v>
      </c>
      <c r="AU282" s="20">
        <v>0</v>
      </c>
      <c r="AV282" s="20">
        <v>0</v>
      </c>
      <c r="AW282" s="20">
        <v>0</v>
      </c>
      <c r="AX282" s="20">
        <v>0</v>
      </c>
      <c r="AY282" s="20">
        <v>0</v>
      </c>
      <c r="AZ282" s="20">
        <v>0</v>
      </c>
      <c r="BA282" s="20">
        <v>0</v>
      </c>
      <c r="BB282" s="20">
        <v>0</v>
      </c>
      <c r="BC282" s="20">
        <v>0</v>
      </c>
      <c r="BD282" s="20">
        <v>0</v>
      </c>
      <c r="BE282" s="20">
        <v>0</v>
      </c>
      <c r="BF282" s="20">
        <v>0</v>
      </c>
      <c r="BG282" s="20">
        <v>0</v>
      </c>
      <c r="BH282" s="20">
        <v>0</v>
      </c>
      <c r="BI282" s="20">
        <v>0</v>
      </c>
      <c r="BJ282" s="20">
        <v>0</v>
      </c>
      <c r="BK282" s="20">
        <v>0</v>
      </c>
      <c r="BL282" s="20">
        <v>0</v>
      </c>
      <c r="BM282" s="20">
        <v>0</v>
      </c>
      <c r="BN282" s="20">
        <v>0</v>
      </c>
      <c r="BO282" s="20">
        <v>0</v>
      </c>
      <c r="BP282" s="20">
        <v>0</v>
      </c>
      <c r="BQ282" s="20">
        <v>0</v>
      </c>
      <c r="BR282" s="20">
        <v>0</v>
      </c>
      <c r="BS282" s="20">
        <v>0</v>
      </c>
      <c r="BT282" s="20">
        <v>0</v>
      </c>
      <c r="BU282" s="20">
        <v>0</v>
      </c>
      <c r="BV282" s="20">
        <v>0</v>
      </c>
      <c r="BW282" s="20">
        <v>0</v>
      </c>
      <c r="BX282" s="20">
        <v>0</v>
      </c>
      <c r="BY282" s="20">
        <v>0</v>
      </c>
      <c r="BZ282" s="20">
        <v>0</v>
      </c>
      <c r="CA282" s="20">
        <v>0</v>
      </c>
      <c r="CB282" s="20">
        <v>0</v>
      </c>
      <c r="CC282" s="20">
        <v>0</v>
      </c>
      <c r="CD282" s="20">
        <v>0</v>
      </c>
      <c r="CE282" s="20">
        <v>0</v>
      </c>
      <c r="CF282" s="20">
        <v>0</v>
      </c>
      <c r="CG282" s="20">
        <v>0</v>
      </c>
      <c r="CH282" s="20">
        <v>0</v>
      </c>
      <c r="CI282" s="20">
        <v>0</v>
      </c>
      <c r="CJ282" s="20">
        <v>0</v>
      </c>
      <c r="CK282" s="20">
        <v>0</v>
      </c>
      <c r="CL282" s="20">
        <v>0</v>
      </c>
      <c r="CM282" s="20">
        <v>0</v>
      </c>
      <c r="CN282" s="20">
        <v>0</v>
      </c>
      <c r="CO282" s="20">
        <v>0</v>
      </c>
      <c r="CP282" s="20">
        <v>0</v>
      </c>
      <c r="CQ282" s="20">
        <v>0</v>
      </c>
      <c r="CR282" s="20">
        <v>0</v>
      </c>
      <c r="CS282" s="20">
        <v>0</v>
      </c>
      <c r="CT282" s="20">
        <v>0</v>
      </c>
      <c r="CU282" s="20">
        <v>0</v>
      </c>
      <c r="CV282" s="20">
        <v>0</v>
      </c>
      <c r="CW282" s="20">
        <v>0</v>
      </c>
      <c r="CX282" s="20">
        <v>0</v>
      </c>
      <c r="CY282" s="20">
        <v>0</v>
      </c>
      <c r="CZ282" s="20">
        <v>0</v>
      </c>
      <c r="DA282" s="20">
        <v>0</v>
      </c>
      <c r="DB282" s="20">
        <v>0</v>
      </c>
      <c r="DC282" s="20">
        <v>0</v>
      </c>
      <c r="DD282" s="20">
        <v>0</v>
      </c>
      <c r="DE282" s="20">
        <v>0</v>
      </c>
      <c r="DF282" s="20">
        <v>17</v>
      </c>
      <c r="DG282" s="16">
        <f t="shared" si="24"/>
        <v>37</v>
      </c>
      <c r="DH282" s="16">
        <f t="shared" si="25"/>
        <v>1891</v>
      </c>
      <c r="DI282" s="17">
        <f t="shared" si="26"/>
        <v>51.108108108108105</v>
      </c>
      <c r="DJ282" s="119" t="s">
        <v>720</v>
      </c>
      <c r="DK282" s="44" t="s">
        <v>720</v>
      </c>
    </row>
    <row r="283" spans="1:117">
      <c r="A283" s="32" t="str">
        <f t="shared" si="27"/>
        <v>AusNet--OTHER - SURGE DIVERTERS</v>
      </c>
      <c r="B283" s="32" t="str">
        <f t="shared" si="28"/>
        <v>AusNet</v>
      </c>
      <c r="C283" s="426"/>
      <c r="D283" s="14"/>
      <c r="E283" s="15" t="s">
        <v>305</v>
      </c>
      <c r="F283" s="18">
        <v>30</v>
      </c>
      <c r="G283" s="18">
        <v>10</v>
      </c>
      <c r="H283" s="20">
        <v>69</v>
      </c>
      <c r="I283" s="20">
        <v>307</v>
      </c>
      <c r="J283" s="20">
        <v>57</v>
      </c>
      <c r="K283" s="20">
        <v>36</v>
      </c>
      <c r="L283" s="20">
        <v>84</v>
      </c>
      <c r="M283" s="20">
        <v>21</v>
      </c>
      <c r="N283" s="20">
        <v>15</v>
      </c>
      <c r="O283" s="20">
        <v>9</v>
      </c>
      <c r="P283" s="20">
        <v>36</v>
      </c>
      <c r="Q283" s="20">
        <v>33</v>
      </c>
      <c r="R283" s="20">
        <v>30</v>
      </c>
      <c r="S283" s="20">
        <v>9</v>
      </c>
      <c r="T283" s="20">
        <v>24</v>
      </c>
      <c r="U283" s="20">
        <v>3</v>
      </c>
      <c r="V283" s="20">
        <v>27</v>
      </c>
      <c r="W283" s="20">
        <v>11</v>
      </c>
      <c r="X283" s="20">
        <v>0</v>
      </c>
      <c r="Y283" s="20">
        <v>12</v>
      </c>
      <c r="Z283" s="20">
        <v>0</v>
      </c>
      <c r="AA283" s="20">
        <v>0</v>
      </c>
      <c r="AB283" s="20">
        <v>0</v>
      </c>
      <c r="AC283" s="20">
        <v>0</v>
      </c>
      <c r="AD283" s="20">
        <v>0</v>
      </c>
      <c r="AE283" s="20">
        <v>0</v>
      </c>
      <c r="AF283" s="20">
        <v>0</v>
      </c>
      <c r="AG283" s="20">
        <v>30</v>
      </c>
      <c r="AH283" s="20">
        <v>12</v>
      </c>
      <c r="AI283" s="20">
        <v>30</v>
      </c>
      <c r="AJ283" s="20">
        <v>9</v>
      </c>
      <c r="AK283" s="20">
        <v>15</v>
      </c>
      <c r="AL283" s="20">
        <v>40</v>
      </c>
      <c r="AM283" s="20">
        <v>12</v>
      </c>
      <c r="AN283" s="20">
        <v>21</v>
      </c>
      <c r="AO283" s="20">
        <v>3</v>
      </c>
      <c r="AP283" s="20">
        <v>24</v>
      </c>
      <c r="AQ283" s="20">
        <v>12</v>
      </c>
      <c r="AR283" s="20">
        <v>30</v>
      </c>
      <c r="AS283" s="20">
        <v>24</v>
      </c>
      <c r="AT283" s="20">
        <v>0</v>
      </c>
      <c r="AU283" s="20">
        <v>3</v>
      </c>
      <c r="AV283" s="20">
        <v>0</v>
      </c>
      <c r="AW283" s="20">
        <v>23</v>
      </c>
      <c r="AX283" s="20">
        <v>0</v>
      </c>
      <c r="AY283" s="20">
        <v>12</v>
      </c>
      <c r="AZ283" s="20">
        <v>41</v>
      </c>
      <c r="BA283" s="20">
        <v>21</v>
      </c>
      <c r="BB283" s="20">
        <v>21</v>
      </c>
      <c r="BC283" s="20">
        <v>12</v>
      </c>
      <c r="BD283" s="20">
        <v>54</v>
      </c>
      <c r="BE283" s="20">
        <v>67</v>
      </c>
      <c r="BF283" s="20">
        <v>27</v>
      </c>
      <c r="BG283" s="20">
        <v>104</v>
      </c>
      <c r="BH283" s="20">
        <v>39</v>
      </c>
      <c r="BI283" s="20">
        <v>15</v>
      </c>
      <c r="BJ283" s="20">
        <v>0</v>
      </c>
      <c r="BK283" s="20">
        <v>0</v>
      </c>
      <c r="BL283" s="20">
        <v>1</v>
      </c>
      <c r="BM283" s="20">
        <v>0</v>
      </c>
      <c r="BN283" s="20">
        <v>0</v>
      </c>
      <c r="BO283" s="20">
        <v>0</v>
      </c>
      <c r="BP283" s="20">
        <v>0</v>
      </c>
      <c r="BQ283" s="20">
        <v>0</v>
      </c>
      <c r="BR283" s="20">
        <v>0</v>
      </c>
      <c r="BS283" s="20">
        <v>0</v>
      </c>
      <c r="BT283" s="20">
        <v>0</v>
      </c>
      <c r="BU283" s="20">
        <v>0</v>
      </c>
      <c r="BV283" s="20">
        <v>0</v>
      </c>
      <c r="BW283" s="20">
        <v>0</v>
      </c>
      <c r="BX283" s="20">
        <v>0</v>
      </c>
      <c r="BY283" s="20">
        <v>0</v>
      </c>
      <c r="BZ283" s="20">
        <v>0</v>
      </c>
      <c r="CA283" s="20">
        <v>0</v>
      </c>
      <c r="CB283" s="20">
        <v>0</v>
      </c>
      <c r="CC283" s="20">
        <v>0</v>
      </c>
      <c r="CD283" s="20">
        <v>0</v>
      </c>
      <c r="CE283" s="20">
        <v>0</v>
      </c>
      <c r="CF283" s="20">
        <v>0</v>
      </c>
      <c r="CG283" s="20">
        <v>0</v>
      </c>
      <c r="CH283" s="20">
        <v>0</v>
      </c>
      <c r="CI283" s="20">
        <v>0</v>
      </c>
      <c r="CJ283" s="20">
        <v>0</v>
      </c>
      <c r="CK283" s="20">
        <v>0</v>
      </c>
      <c r="CL283" s="20">
        <v>0</v>
      </c>
      <c r="CM283" s="20">
        <v>0</v>
      </c>
      <c r="CN283" s="20">
        <v>0</v>
      </c>
      <c r="CO283" s="20">
        <v>0</v>
      </c>
      <c r="CP283" s="20">
        <v>0</v>
      </c>
      <c r="CQ283" s="20">
        <v>0</v>
      </c>
      <c r="CR283" s="20">
        <v>0</v>
      </c>
      <c r="CS283" s="20">
        <v>0</v>
      </c>
      <c r="CT283" s="20">
        <v>0</v>
      </c>
      <c r="CU283" s="20">
        <v>0</v>
      </c>
      <c r="CV283" s="20">
        <v>0</v>
      </c>
      <c r="CW283" s="20">
        <v>0</v>
      </c>
      <c r="CX283" s="20">
        <v>0</v>
      </c>
      <c r="CY283" s="20">
        <v>0</v>
      </c>
      <c r="CZ283" s="20">
        <v>0</v>
      </c>
      <c r="DA283" s="20">
        <v>0</v>
      </c>
      <c r="DB283" s="20">
        <v>0</v>
      </c>
      <c r="DC283" s="20">
        <v>0</v>
      </c>
      <c r="DD283" s="20">
        <v>0</v>
      </c>
      <c r="DE283" s="20">
        <v>0</v>
      </c>
      <c r="DF283" s="20">
        <v>63</v>
      </c>
      <c r="DG283" s="16">
        <f t="shared" si="24"/>
        <v>1548</v>
      </c>
      <c r="DH283" s="16">
        <f t="shared" si="25"/>
        <v>40524</v>
      </c>
      <c r="DI283" s="17">
        <f t="shared" si="26"/>
        <v>26.178294573643409</v>
      </c>
      <c r="DJ283" s="119" t="s">
        <v>720</v>
      </c>
      <c r="DK283" s="44" t="s">
        <v>720</v>
      </c>
    </row>
    <row r="284" spans="1:117">
      <c r="A284" s="32" t="str">
        <f t="shared" si="27"/>
        <v>AusNet--OTHER - VOLTAGE TRANSFORMERS</v>
      </c>
      <c r="B284" s="32" t="str">
        <f t="shared" si="28"/>
        <v>AusNet</v>
      </c>
      <c r="C284" s="426"/>
      <c r="D284" s="14"/>
      <c r="E284" s="15" t="s">
        <v>306</v>
      </c>
      <c r="F284" s="18">
        <v>62</v>
      </c>
      <c r="G284" s="18">
        <v>14</v>
      </c>
      <c r="H284" s="20">
        <v>12</v>
      </c>
      <c r="I284" s="20">
        <v>9</v>
      </c>
      <c r="J284" s="20">
        <v>3</v>
      </c>
      <c r="K284" s="20">
        <v>22</v>
      </c>
      <c r="L284" s="20">
        <v>17</v>
      </c>
      <c r="M284" s="20">
        <v>0</v>
      </c>
      <c r="N284" s="20">
        <v>11</v>
      </c>
      <c r="O284" s="20">
        <v>9</v>
      </c>
      <c r="P284" s="20">
        <v>23</v>
      </c>
      <c r="Q284" s="20">
        <v>1</v>
      </c>
      <c r="R284" s="20">
        <v>0</v>
      </c>
      <c r="S284" s="20">
        <v>1</v>
      </c>
      <c r="T284" s="20">
        <v>15</v>
      </c>
      <c r="U284" s="20">
        <v>0</v>
      </c>
      <c r="V284" s="20">
        <v>2</v>
      </c>
      <c r="W284" s="20">
        <v>12</v>
      </c>
      <c r="X284" s="20">
        <v>4</v>
      </c>
      <c r="Y284" s="20">
        <v>0</v>
      </c>
      <c r="Z284" s="20">
        <v>0</v>
      </c>
      <c r="AA284" s="20">
        <v>0</v>
      </c>
      <c r="AB284" s="20">
        <v>0</v>
      </c>
      <c r="AC284" s="20">
        <v>0</v>
      </c>
      <c r="AD284" s="20">
        <v>0</v>
      </c>
      <c r="AE284" s="20">
        <v>0</v>
      </c>
      <c r="AF284" s="20">
        <v>0</v>
      </c>
      <c r="AG284" s="20">
        <v>5</v>
      </c>
      <c r="AH284" s="20">
        <v>6</v>
      </c>
      <c r="AI284" s="20">
        <v>3</v>
      </c>
      <c r="AJ284" s="20">
        <v>0</v>
      </c>
      <c r="AK284" s="20">
        <v>8</v>
      </c>
      <c r="AL284" s="20">
        <v>0</v>
      </c>
      <c r="AM284" s="20">
        <v>6</v>
      </c>
      <c r="AN284" s="20">
        <v>10</v>
      </c>
      <c r="AO284" s="20">
        <v>1</v>
      </c>
      <c r="AP284" s="20">
        <v>0</v>
      </c>
      <c r="AQ284" s="20">
        <v>9</v>
      </c>
      <c r="AR284" s="20">
        <v>11</v>
      </c>
      <c r="AS284" s="20">
        <v>2</v>
      </c>
      <c r="AT284" s="20">
        <v>1</v>
      </c>
      <c r="AU284" s="20">
        <v>1</v>
      </c>
      <c r="AV284" s="20">
        <v>0</v>
      </c>
      <c r="AW284" s="20">
        <v>0</v>
      </c>
      <c r="AX284" s="20">
        <v>4</v>
      </c>
      <c r="AY284" s="20">
        <v>0</v>
      </c>
      <c r="AZ284" s="20">
        <v>2</v>
      </c>
      <c r="BA284" s="20">
        <v>1</v>
      </c>
      <c r="BB284" s="20">
        <v>3</v>
      </c>
      <c r="BC284" s="20">
        <v>4</v>
      </c>
      <c r="BD284" s="20">
        <v>8</v>
      </c>
      <c r="BE284" s="20">
        <v>5</v>
      </c>
      <c r="BF284" s="20">
        <v>0</v>
      </c>
      <c r="BG284" s="20">
        <v>6</v>
      </c>
      <c r="BH284" s="20">
        <v>3</v>
      </c>
      <c r="BI284" s="20">
        <v>2</v>
      </c>
      <c r="BJ284" s="20">
        <v>0</v>
      </c>
      <c r="BK284" s="20">
        <v>0</v>
      </c>
      <c r="BL284" s="20">
        <v>0</v>
      </c>
      <c r="BM284" s="20">
        <v>0</v>
      </c>
      <c r="BN284" s="20">
        <v>13</v>
      </c>
      <c r="BO284" s="20">
        <v>0</v>
      </c>
      <c r="BP284" s="20">
        <v>1</v>
      </c>
      <c r="BQ284" s="20">
        <v>0</v>
      </c>
      <c r="BR284" s="20">
        <v>0</v>
      </c>
      <c r="BS284" s="20">
        <v>5</v>
      </c>
      <c r="BT284" s="20">
        <v>6</v>
      </c>
      <c r="BU284" s="20">
        <v>0</v>
      </c>
      <c r="BV284" s="20">
        <v>0</v>
      </c>
      <c r="BW284" s="20">
        <v>0</v>
      </c>
      <c r="BX284" s="20">
        <v>0</v>
      </c>
      <c r="BY284" s="20">
        <v>0</v>
      </c>
      <c r="BZ284" s="20">
        <v>0</v>
      </c>
      <c r="CA284" s="20">
        <v>0</v>
      </c>
      <c r="CB284" s="20">
        <v>0</v>
      </c>
      <c r="CC284" s="20">
        <v>0</v>
      </c>
      <c r="CD284" s="20">
        <v>0</v>
      </c>
      <c r="CE284" s="20">
        <v>0</v>
      </c>
      <c r="CF284" s="20">
        <v>0</v>
      </c>
      <c r="CG284" s="20">
        <v>0</v>
      </c>
      <c r="CH284" s="20">
        <v>0</v>
      </c>
      <c r="CI284" s="20">
        <v>0</v>
      </c>
      <c r="CJ284" s="20">
        <v>0</v>
      </c>
      <c r="CK284" s="20">
        <v>0</v>
      </c>
      <c r="CL284" s="20">
        <v>0</v>
      </c>
      <c r="CM284" s="20">
        <v>0</v>
      </c>
      <c r="CN284" s="20">
        <v>0</v>
      </c>
      <c r="CO284" s="20">
        <v>0</v>
      </c>
      <c r="CP284" s="20">
        <v>0</v>
      </c>
      <c r="CQ284" s="20">
        <v>0</v>
      </c>
      <c r="CR284" s="20">
        <v>0</v>
      </c>
      <c r="CS284" s="20">
        <v>0</v>
      </c>
      <c r="CT284" s="20">
        <v>0</v>
      </c>
      <c r="CU284" s="20">
        <v>0</v>
      </c>
      <c r="CV284" s="20">
        <v>0</v>
      </c>
      <c r="CW284" s="20">
        <v>0</v>
      </c>
      <c r="CX284" s="20">
        <v>0</v>
      </c>
      <c r="CY284" s="20">
        <v>0</v>
      </c>
      <c r="CZ284" s="20">
        <v>0</v>
      </c>
      <c r="DA284" s="20">
        <v>0</v>
      </c>
      <c r="DB284" s="20">
        <v>0</v>
      </c>
      <c r="DC284" s="20">
        <v>0</v>
      </c>
      <c r="DD284" s="20">
        <v>0</v>
      </c>
      <c r="DE284" s="20">
        <v>0</v>
      </c>
      <c r="DF284" s="20">
        <v>8</v>
      </c>
      <c r="DG284" s="16">
        <f t="shared" si="24"/>
        <v>275</v>
      </c>
      <c r="DH284" s="16">
        <f t="shared" si="25"/>
        <v>7357</v>
      </c>
      <c r="DI284" s="17">
        <f t="shared" si="26"/>
        <v>26.752727272727274</v>
      </c>
      <c r="DJ284" s="119" t="s">
        <v>720</v>
      </c>
      <c r="DK284" s="44" t="s">
        <v>720</v>
      </c>
    </row>
    <row r="285" spans="1:117">
      <c r="A285" s="32" t="str">
        <f t="shared" si="27"/>
        <v xml:space="preserve">AusNet--OTHER&lt; = 11 kV ; REACTOR ; </v>
      </c>
      <c r="B285" s="32" t="str">
        <f t="shared" si="28"/>
        <v>AusNet</v>
      </c>
      <c r="C285" s="426"/>
      <c r="D285" s="14"/>
      <c r="E285" s="15" t="s">
        <v>443</v>
      </c>
      <c r="F285" s="18">
        <v>62</v>
      </c>
      <c r="G285" s="18">
        <v>14</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20">
        <v>0</v>
      </c>
      <c r="AJ285" s="20">
        <v>0</v>
      </c>
      <c r="AK285" s="20">
        <v>0</v>
      </c>
      <c r="AL285" s="20">
        <v>0</v>
      </c>
      <c r="AM285" s="20">
        <v>0</v>
      </c>
      <c r="AN285" s="20">
        <v>0</v>
      </c>
      <c r="AO285" s="20">
        <v>0</v>
      </c>
      <c r="AP285" s="20">
        <v>0</v>
      </c>
      <c r="AQ285" s="20">
        <v>0</v>
      </c>
      <c r="AR285" s="20">
        <v>0</v>
      </c>
      <c r="AS285" s="20">
        <v>0</v>
      </c>
      <c r="AT285" s="20">
        <v>0</v>
      </c>
      <c r="AU285" s="20">
        <v>0</v>
      </c>
      <c r="AV285" s="20">
        <v>0</v>
      </c>
      <c r="AW285" s="20">
        <v>0</v>
      </c>
      <c r="AX285" s="20">
        <v>0</v>
      </c>
      <c r="AY285" s="20">
        <v>0</v>
      </c>
      <c r="AZ285" s="20">
        <v>0</v>
      </c>
      <c r="BA285" s="20">
        <v>0</v>
      </c>
      <c r="BB285" s="20">
        <v>0</v>
      </c>
      <c r="BC285" s="20">
        <v>0</v>
      </c>
      <c r="BD285" s="20">
        <v>0</v>
      </c>
      <c r="BE285" s="20">
        <v>0</v>
      </c>
      <c r="BF285" s="20">
        <v>0</v>
      </c>
      <c r="BG285" s="20">
        <v>0</v>
      </c>
      <c r="BH285" s="20">
        <v>0</v>
      </c>
      <c r="BI285" s="20">
        <v>0</v>
      </c>
      <c r="BJ285" s="20">
        <v>0</v>
      </c>
      <c r="BK285" s="20">
        <v>0</v>
      </c>
      <c r="BL285" s="20">
        <v>0</v>
      </c>
      <c r="BM285" s="20">
        <v>0</v>
      </c>
      <c r="BN285" s="20">
        <v>0</v>
      </c>
      <c r="BO285" s="20">
        <v>0</v>
      </c>
      <c r="BP285" s="20">
        <v>0</v>
      </c>
      <c r="BQ285" s="20">
        <v>0</v>
      </c>
      <c r="BR285" s="20">
        <v>0</v>
      </c>
      <c r="BS285" s="20">
        <v>0</v>
      </c>
      <c r="BT285" s="20">
        <v>0</v>
      </c>
      <c r="BU285" s="20">
        <v>0</v>
      </c>
      <c r="BV285" s="20">
        <v>0</v>
      </c>
      <c r="BW285" s="20">
        <v>0</v>
      </c>
      <c r="BX285" s="20">
        <v>0</v>
      </c>
      <c r="BY285" s="20">
        <v>0</v>
      </c>
      <c r="BZ285" s="20">
        <v>0</v>
      </c>
      <c r="CA285" s="20">
        <v>0</v>
      </c>
      <c r="CB285" s="20">
        <v>0</v>
      </c>
      <c r="CC285" s="20">
        <v>0</v>
      </c>
      <c r="CD285" s="20">
        <v>0</v>
      </c>
      <c r="CE285" s="20">
        <v>0</v>
      </c>
      <c r="CF285" s="20">
        <v>0</v>
      </c>
      <c r="CG285" s="20">
        <v>0</v>
      </c>
      <c r="CH285" s="20">
        <v>0</v>
      </c>
      <c r="CI285" s="20">
        <v>0</v>
      </c>
      <c r="CJ285" s="20">
        <v>0</v>
      </c>
      <c r="CK285" s="20">
        <v>0</v>
      </c>
      <c r="CL285" s="20">
        <v>0</v>
      </c>
      <c r="CM285" s="20">
        <v>0</v>
      </c>
      <c r="CN285" s="20">
        <v>0</v>
      </c>
      <c r="CO285" s="20">
        <v>0</v>
      </c>
      <c r="CP285" s="20">
        <v>0</v>
      </c>
      <c r="CQ285" s="20">
        <v>0</v>
      </c>
      <c r="CR285" s="20">
        <v>0</v>
      </c>
      <c r="CS285" s="20">
        <v>0</v>
      </c>
      <c r="CT285" s="20">
        <v>0</v>
      </c>
      <c r="CU285" s="20">
        <v>0</v>
      </c>
      <c r="CV285" s="20">
        <v>0</v>
      </c>
      <c r="CW285" s="20">
        <v>0</v>
      </c>
      <c r="CX285" s="20">
        <v>0</v>
      </c>
      <c r="CY285" s="20">
        <v>0</v>
      </c>
      <c r="CZ285" s="20">
        <v>0</v>
      </c>
      <c r="DA285" s="20">
        <v>0</v>
      </c>
      <c r="DB285" s="20">
        <v>0</v>
      </c>
      <c r="DC285" s="20">
        <v>0</v>
      </c>
      <c r="DD285" s="20">
        <v>0</v>
      </c>
      <c r="DE285" s="20">
        <v>0</v>
      </c>
      <c r="DF285" s="20">
        <v>1</v>
      </c>
      <c r="DG285" s="16">
        <f t="shared" si="24"/>
        <v>1</v>
      </c>
      <c r="DH285" s="16">
        <f t="shared" si="25"/>
        <v>103</v>
      </c>
      <c r="DI285" s="17">
        <f t="shared" si="26"/>
        <v>103</v>
      </c>
      <c r="DJ285" s="119" t="s">
        <v>720</v>
      </c>
      <c r="DK285" s="44" t="s">
        <v>720</v>
      </c>
    </row>
    <row r="286" spans="1:117">
      <c r="A286" s="32" t="str">
        <f t="shared" si="27"/>
        <v xml:space="preserve">AusNet--OTHER&gt; 11 kV &amp; &lt; = 22 kV ; REACTOR ; </v>
      </c>
      <c r="B286" s="32" t="str">
        <f t="shared" si="28"/>
        <v>AusNet</v>
      </c>
      <c r="C286" s="426"/>
      <c r="D286" s="14"/>
      <c r="E286" s="15" t="s">
        <v>444</v>
      </c>
      <c r="F286" s="18">
        <v>62</v>
      </c>
      <c r="G286" s="18">
        <v>14</v>
      </c>
      <c r="H286" s="20">
        <v>6</v>
      </c>
      <c r="I286" s="20">
        <v>9</v>
      </c>
      <c r="J286" s="20">
        <v>0</v>
      </c>
      <c r="K286" s="20">
        <v>3</v>
      </c>
      <c r="L286" s="20">
        <v>3</v>
      </c>
      <c r="M286" s="20">
        <v>0</v>
      </c>
      <c r="N286" s="20">
        <v>0</v>
      </c>
      <c r="O286" s="20">
        <v>3</v>
      </c>
      <c r="P286" s="20">
        <v>12</v>
      </c>
      <c r="Q286" s="20">
        <v>0</v>
      </c>
      <c r="R286" s="20">
        <v>12</v>
      </c>
      <c r="S286" s="20">
        <v>0</v>
      </c>
      <c r="T286" s="20">
        <v>0</v>
      </c>
      <c r="U286" s="20">
        <v>0</v>
      </c>
      <c r="V286" s="20">
        <v>6</v>
      </c>
      <c r="W286" s="20">
        <v>0</v>
      </c>
      <c r="X286" s="20">
        <v>0</v>
      </c>
      <c r="Y286" s="20">
        <v>0</v>
      </c>
      <c r="Z286" s="20">
        <v>0</v>
      </c>
      <c r="AA286" s="20">
        <v>0</v>
      </c>
      <c r="AB286" s="20">
        <v>0</v>
      </c>
      <c r="AC286" s="20">
        <v>0</v>
      </c>
      <c r="AD286" s="20">
        <v>0</v>
      </c>
      <c r="AE286" s="20">
        <v>0</v>
      </c>
      <c r="AF286" s="20">
        <v>5</v>
      </c>
      <c r="AG286" s="20">
        <v>0</v>
      </c>
      <c r="AH286" s="20">
        <v>0</v>
      </c>
      <c r="AI286" s="20">
        <v>0</v>
      </c>
      <c r="AJ286" s="20">
        <v>0</v>
      </c>
      <c r="AK286" s="20">
        <v>0</v>
      </c>
      <c r="AL286" s="20">
        <v>0</v>
      </c>
      <c r="AM286" s="20">
        <v>3</v>
      </c>
      <c r="AN286" s="20">
        <v>0</v>
      </c>
      <c r="AO286" s="20">
        <v>0</v>
      </c>
      <c r="AP286" s="20">
        <v>0</v>
      </c>
      <c r="AQ286" s="20">
        <v>0</v>
      </c>
      <c r="AR286" s="20">
        <v>0</v>
      </c>
      <c r="AS286" s="20">
        <v>0</v>
      </c>
      <c r="AT286" s="20">
        <v>0</v>
      </c>
      <c r="AU286" s="20">
        <v>0</v>
      </c>
      <c r="AV286" s="20">
        <v>0</v>
      </c>
      <c r="AW286" s="20">
        <v>0</v>
      </c>
      <c r="AX286" s="20">
        <v>0</v>
      </c>
      <c r="AY286" s="20">
        <v>0</v>
      </c>
      <c r="AZ286" s="20">
        <v>0</v>
      </c>
      <c r="BA286" s="20">
        <v>0</v>
      </c>
      <c r="BB286" s="20">
        <v>0</v>
      </c>
      <c r="BC286" s="20">
        <v>0</v>
      </c>
      <c r="BD286" s="20">
        <v>0</v>
      </c>
      <c r="BE286" s="20">
        <v>0</v>
      </c>
      <c r="BF286" s="20">
        <v>0</v>
      </c>
      <c r="BG286" s="20">
        <v>0</v>
      </c>
      <c r="BH286" s="20">
        <v>0</v>
      </c>
      <c r="BI286" s="20">
        <v>0</v>
      </c>
      <c r="BJ286" s="20">
        <v>10</v>
      </c>
      <c r="BK286" s="20">
        <v>0</v>
      </c>
      <c r="BL286" s="20">
        <v>0</v>
      </c>
      <c r="BM286" s="20">
        <v>0</v>
      </c>
      <c r="BN286" s="20">
        <v>0</v>
      </c>
      <c r="BO286" s="20">
        <v>0</v>
      </c>
      <c r="BP286" s="20">
        <v>0</v>
      </c>
      <c r="BQ286" s="20">
        <v>0</v>
      </c>
      <c r="BR286" s="20">
        <v>0</v>
      </c>
      <c r="BS286" s="20">
        <v>0</v>
      </c>
      <c r="BT286" s="20">
        <v>0</v>
      </c>
      <c r="BU286" s="20">
        <v>0</v>
      </c>
      <c r="BV286" s="20">
        <v>0</v>
      </c>
      <c r="BW286" s="20">
        <v>0</v>
      </c>
      <c r="BX286" s="20">
        <v>0</v>
      </c>
      <c r="BY286" s="20">
        <v>0</v>
      </c>
      <c r="BZ286" s="20">
        <v>0</v>
      </c>
      <c r="CA286" s="20">
        <v>0</v>
      </c>
      <c r="CB286" s="20">
        <v>0</v>
      </c>
      <c r="CC286" s="20">
        <v>0</v>
      </c>
      <c r="CD286" s="20">
        <v>0</v>
      </c>
      <c r="CE286" s="20">
        <v>0</v>
      </c>
      <c r="CF286" s="20">
        <v>0</v>
      </c>
      <c r="CG286" s="20">
        <v>0</v>
      </c>
      <c r="CH286" s="20">
        <v>0</v>
      </c>
      <c r="CI286" s="20">
        <v>0</v>
      </c>
      <c r="CJ286" s="20">
        <v>0</v>
      </c>
      <c r="CK286" s="20">
        <v>0</v>
      </c>
      <c r="CL286" s="20">
        <v>0</v>
      </c>
      <c r="CM286" s="20">
        <v>0</v>
      </c>
      <c r="CN286" s="20">
        <v>0</v>
      </c>
      <c r="CO286" s="20">
        <v>0</v>
      </c>
      <c r="CP286" s="20">
        <v>0</v>
      </c>
      <c r="CQ286" s="20">
        <v>0</v>
      </c>
      <c r="CR286" s="20">
        <v>0</v>
      </c>
      <c r="CS286" s="20">
        <v>0</v>
      </c>
      <c r="CT286" s="20">
        <v>0</v>
      </c>
      <c r="CU286" s="20">
        <v>0</v>
      </c>
      <c r="CV286" s="20">
        <v>0</v>
      </c>
      <c r="CW286" s="20">
        <v>0</v>
      </c>
      <c r="CX286" s="20">
        <v>0</v>
      </c>
      <c r="CY286" s="20">
        <v>0</v>
      </c>
      <c r="CZ286" s="20">
        <v>0</v>
      </c>
      <c r="DA286" s="20">
        <v>0</v>
      </c>
      <c r="DB286" s="20">
        <v>0</v>
      </c>
      <c r="DC286" s="20">
        <v>0</v>
      </c>
      <c r="DD286" s="20">
        <v>0</v>
      </c>
      <c r="DE286" s="20">
        <v>0</v>
      </c>
      <c r="DF286" s="20">
        <v>37</v>
      </c>
      <c r="DG286" s="16">
        <f t="shared" si="24"/>
        <v>109</v>
      </c>
      <c r="DH286" s="16">
        <f t="shared" si="25"/>
        <v>4987</v>
      </c>
      <c r="DI286" s="17">
        <f t="shared" si="26"/>
        <v>45.752293577981654</v>
      </c>
      <c r="DJ286" s="119" t="s">
        <v>720</v>
      </c>
      <c r="DK286" s="44" t="s">
        <v>720</v>
      </c>
    </row>
    <row r="287" spans="1:117">
      <c r="A287" s="32" t="str">
        <f t="shared" si="27"/>
        <v xml:space="preserve">AusNet--OTHER&gt; 22 kV &amp; &lt; = 66 kV ; REACTOR ; </v>
      </c>
      <c r="B287" s="32" t="str">
        <f t="shared" si="28"/>
        <v>AusNet</v>
      </c>
      <c r="C287" s="426"/>
      <c r="D287" s="14"/>
      <c r="E287" s="15" t="s">
        <v>309</v>
      </c>
      <c r="F287" s="18">
        <v>62</v>
      </c>
      <c r="G287" s="18">
        <v>14</v>
      </c>
      <c r="H287" s="20">
        <v>0</v>
      </c>
      <c r="I287" s="20">
        <v>0</v>
      </c>
      <c r="J287" s="20">
        <v>0</v>
      </c>
      <c r="K287" s="20">
        <v>0</v>
      </c>
      <c r="L287" s="20">
        <v>0</v>
      </c>
      <c r="M287" s="20">
        <v>0</v>
      </c>
      <c r="N287" s="20">
        <v>0</v>
      </c>
      <c r="O287" s="20">
        <v>0</v>
      </c>
      <c r="P287" s="20">
        <v>0</v>
      </c>
      <c r="Q287" s="20">
        <v>0</v>
      </c>
      <c r="R287" s="20">
        <v>0</v>
      </c>
      <c r="S287" s="20">
        <v>0</v>
      </c>
      <c r="T287" s="20">
        <v>0</v>
      </c>
      <c r="U287" s="20">
        <v>0</v>
      </c>
      <c r="V287" s="20">
        <v>0</v>
      </c>
      <c r="W287" s="20">
        <v>0</v>
      </c>
      <c r="X287" s="20">
        <v>0</v>
      </c>
      <c r="Y287" s="20">
        <v>0</v>
      </c>
      <c r="Z287" s="20">
        <v>0</v>
      </c>
      <c r="AA287" s="20">
        <v>0</v>
      </c>
      <c r="AB287" s="20">
        <v>0</v>
      </c>
      <c r="AC287" s="20">
        <v>0</v>
      </c>
      <c r="AD287" s="20">
        <v>0</v>
      </c>
      <c r="AE287" s="20">
        <v>0</v>
      </c>
      <c r="AF287" s="20">
        <v>0</v>
      </c>
      <c r="AG287" s="20">
        <v>0</v>
      </c>
      <c r="AH287" s="20">
        <v>0</v>
      </c>
      <c r="AI287" s="20">
        <v>0</v>
      </c>
      <c r="AJ287" s="20">
        <v>0</v>
      </c>
      <c r="AK287" s="20">
        <v>0</v>
      </c>
      <c r="AL287" s="20">
        <v>0</v>
      </c>
      <c r="AM287" s="20">
        <v>0</v>
      </c>
      <c r="AN287" s="20">
        <v>0</v>
      </c>
      <c r="AO287" s="20">
        <v>0</v>
      </c>
      <c r="AP287" s="20">
        <v>0</v>
      </c>
      <c r="AQ287" s="20">
        <v>0</v>
      </c>
      <c r="AR287" s="20">
        <v>0</v>
      </c>
      <c r="AS287" s="20">
        <v>0</v>
      </c>
      <c r="AT287" s="20">
        <v>0</v>
      </c>
      <c r="AU287" s="20">
        <v>0</v>
      </c>
      <c r="AV287" s="20">
        <v>0</v>
      </c>
      <c r="AW287" s="20">
        <v>0</v>
      </c>
      <c r="AX287" s="20">
        <v>0</v>
      </c>
      <c r="AY287" s="20">
        <v>0</v>
      </c>
      <c r="AZ287" s="20">
        <v>0</v>
      </c>
      <c r="BA287" s="20">
        <v>0</v>
      </c>
      <c r="BB287" s="20">
        <v>0</v>
      </c>
      <c r="BC287" s="20">
        <v>0</v>
      </c>
      <c r="BD287" s="20">
        <v>0</v>
      </c>
      <c r="BE287" s="20">
        <v>0</v>
      </c>
      <c r="BF287" s="20">
        <v>0</v>
      </c>
      <c r="BG287" s="20">
        <v>0</v>
      </c>
      <c r="BH287" s="20">
        <v>0</v>
      </c>
      <c r="BI287" s="20">
        <v>0</v>
      </c>
      <c r="BJ287" s="20">
        <v>0</v>
      </c>
      <c r="BK287" s="20">
        <v>0</v>
      </c>
      <c r="BL287" s="20">
        <v>0</v>
      </c>
      <c r="BM287" s="20">
        <v>0</v>
      </c>
      <c r="BN287" s="20">
        <v>0</v>
      </c>
      <c r="BO287" s="20">
        <v>0</v>
      </c>
      <c r="BP287" s="20">
        <v>0</v>
      </c>
      <c r="BQ287" s="20">
        <v>0</v>
      </c>
      <c r="BR287" s="20">
        <v>0</v>
      </c>
      <c r="BS287" s="20">
        <v>0</v>
      </c>
      <c r="BT287" s="20">
        <v>0</v>
      </c>
      <c r="BU287" s="20">
        <v>0</v>
      </c>
      <c r="BV287" s="20">
        <v>0</v>
      </c>
      <c r="BW287" s="20">
        <v>0</v>
      </c>
      <c r="BX287" s="20">
        <v>0</v>
      </c>
      <c r="BY287" s="20">
        <v>0</v>
      </c>
      <c r="BZ287" s="20">
        <v>0</v>
      </c>
      <c r="CA287" s="20">
        <v>0</v>
      </c>
      <c r="CB287" s="20">
        <v>0</v>
      </c>
      <c r="CC287" s="20">
        <v>0</v>
      </c>
      <c r="CD287" s="20">
        <v>0</v>
      </c>
      <c r="CE287" s="20">
        <v>0</v>
      </c>
      <c r="CF287" s="20">
        <v>0</v>
      </c>
      <c r="CG287" s="20">
        <v>0</v>
      </c>
      <c r="CH287" s="20">
        <v>0</v>
      </c>
      <c r="CI287" s="20">
        <v>0</v>
      </c>
      <c r="CJ287" s="20">
        <v>0</v>
      </c>
      <c r="CK287" s="20">
        <v>0</v>
      </c>
      <c r="CL287" s="20">
        <v>0</v>
      </c>
      <c r="CM287" s="20">
        <v>0</v>
      </c>
      <c r="CN287" s="20">
        <v>0</v>
      </c>
      <c r="CO287" s="20">
        <v>0</v>
      </c>
      <c r="CP287" s="20">
        <v>0</v>
      </c>
      <c r="CQ287" s="20">
        <v>0</v>
      </c>
      <c r="CR287" s="20">
        <v>0</v>
      </c>
      <c r="CS287" s="20">
        <v>0</v>
      </c>
      <c r="CT287" s="20">
        <v>0</v>
      </c>
      <c r="CU287" s="20">
        <v>0</v>
      </c>
      <c r="CV287" s="20">
        <v>0</v>
      </c>
      <c r="CW287" s="20">
        <v>0</v>
      </c>
      <c r="CX287" s="20">
        <v>0</v>
      </c>
      <c r="CY287" s="20">
        <v>0</v>
      </c>
      <c r="CZ287" s="20">
        <v>0</v>
      </c>
      <c r="DA287" s="20">
        <v>0</v>
      </c>
      <c r="DB287" s="20">
        <v>0</v>
      </c>
      <c r="DC287" s="20">
        <v>0</v>
      </c>
      <c r="DD287" s="20">
        <v>0</v>
      </c>
      <c r="DE287" s="20">
        <v>0</v>
      </c>
      <c r="DF287" s="20">
        <v>4</v>
      </c>
      <c r="DG287" s="16">
        <f t="shared" si="24"/>
        <v>4</v>
      </c>
      <c r="DH287" s="16">
        <f t="shared" si="25"/>
        <v>412</v>
      </c>
      <c r="DI287" s="17">
        <f t="shared" si="26"/>
        <v>103</v>
      </c>
      <c r="DJ287" s="119" t="s">
        <v>720</v>
      </c>
      <c r="DK287" s="44" t="s">
        <v>720</v>
      </c>
    </row>
    <row r="288" spans="1:117" ht="60">
      <c r="A288" s="32" t="str">
        <f t="shared" si="27"/>
        <v>Essential (Original)-POLES BY: 
HIGHEST OPERATING VOLTAGE ; MATERIAL TYPE;  STAKING (IF WOOD)-STAKING OF A WOODEN POLE</v>
      </c>
      <c r="B288" s="32" t="str">
        <f t="shared" si="28"/>
        <v>Essential (Original)</v>
      </c>
      <c r="C288" s="383" t="s">
        <v>1560</v>
      </c>
      <c r="D288" s="14" t="s">
        <v>311</v>
      </c>
      <c r="E288" s="15" t="s">
        <v>117</v>
      </c>
      <c r="F288" s="18">
        <v>53.8</v>
      </c>
      <c r="G288" s="18">
        <v>7.334848328356899</v>
      </c>
      <c r="H288" s="20">
        <v>300.12354576340988</v>
      </c>
      <c r="I288" s="20">
        <v>305.1256048594667</v>
      </c>
      <c r="J288" s="20">
        <v>305.1256048594667</v>
      </c>
      <c r="K288" s="20">
        <v>148.06094924328221</v>
      </c>
      <c r="L288" s="20">
        <v>211.08689385359827</v>
      </c>
      <c r="M288" s="20">
        <v>162.06671471224132</v>
      </c>
      <c r="N288" s="20">
        <v>87.035828271388866</v>
      </c>
      <c r="O288" s="20">
        <v>61.025120971893337</v>
      </c>
      <c r="P288" s="20">
        <v>58.023885514259241</v>
      </c>
      <c r="Q288" s="20">
        <v>96.039534644291152</v>
      </c>
      <c r="R288" s="20">
        <v>46.018943683722846</v>
      </c>
      <c r="S288" s="20">
        <v>7.0028827344795639</v>
      </c>
      <c r="T288" s="20">
        <v>14.005765468959128</v>
      </c>
      <c r="U288" s="20">
        <v>5.002059096056831</v>
      </c>
      <c r="V288" s="20">
        <v>7.0028827344795639</v>
      </c>
      <c r="W288" s="20">
        <v>4.001647276845465</v>
      </c>
      <c r="X288" s="20">
        <v>5.002059096056831</v>
      </c>
      <c r="Y288" s="20">
        <v>4.001647276845465</v>
      </c>
      <c r="Z288" s="20">
        <v>18.00741274580459</v>
      </c>
      <c r="AA288" s="20">
        <v>26.010707299495522</v>
      </c>
      <c r="AB288" s="20">
        <v>31.012766395552351</v>
      </c>
      <c r="AC288" s="20">
        <v>73.03006280242974</v>
      </c>
      <c r="AD288" s="20">
        <v>159.06547925460723</v>
      </c>
      <c r="AE288" s="20">
        <v>123.05065376299804</v>
      </c>
      <c r="AF288" s="20">
        <v>121.04983012457531</v>
      </c>
      <c r="AG288" s="20">
        <v>37.015237310820552</v>
      </c>
      <c r="AH288" s="20">
        <v>74.030474621641105</v>
      </c>
      <c r="AI288" s="20">
        <v>56.023061875836511</v>
      </c>
      <c r="AJ288" s="20">
        <v>53.021826418202409</v>
      </c>
      <c r="AK288" s="20">
        <v>56.023061875836511</v>
      </c>
      <c r="AL288" s="20">
        <v>50.020590960568313</v>
      </c>
      <c r="AM288" s="20">
        <v>130.05353649747761</v>
      </c>
      <c r="AN288" s="20">
        <v>246.10130752599608</v>
      </c>
      <c r="AO288" s="20">
        <v>136.0560074127458</v>
      </c>
      <c r="AP288" s="20">
        <v>89.036651909811596</v>
      </c>
      <c r="AQ288" s="20">
        <v>152.06259652012767</v>
      </c>
      <c r="AR288" s="20">
        <v>125.05147740142078</v>
      </c>
      <c r="AS288" s="20">
        <v>103.04241737877072</v>
      </c>
      <c r="AT288" s="20">
        <v>152.06259652012767</v>
      </c>
      <c r="AU288" s="20">
        <v>134.05518377432307</v>
      </c>
      <c r="AV288" s="20">
        <v>154.0634201585504</v>
      </c>
      <c r="AW288" s="20">
        <v>144.05930196643672</v>
      </c>
      <c r="AX288" s="20">
        <v>260.10707299495522</v>
      </c>
      <c r="AY288" s="20">
        <v>385.15855039637597</v>
      </c>
      <c r="AZ288" s="20">
        <v>146.06012560485948</v>
      </c>
      <c r="BA288" s="20">
        <v>173.07124472356637</v>
      </c>
      <c r="BB288" s="20">
        <v>298.12272212498715</v>
      </c>
      <c r="BC288" s="20">
        <v>753.31009986615879</v>
      </c>
      <c r="BD288" s="20">
        <v>480.19767322145577</v>
      </c>
      <c r="BE288" s="20">
        <v>176.07248018120046</v>
      </c>
      <c r="BF288" s="20">
        <v>162.06671471224132</v>
      </c>
      <c r="BG288" s="20">
        <v>85.035004632966121</v>
      </c>
      <c r="BH288" s="20">
        <v>241.09924842993925</v>
      </c>
      <c r="BI288" s="20">
        <v>611.25162153814472</v>
      </c>
      <c r="BJ288" s="20">
        <v>68.0280037063729</v>
      </c>
      <c r="BK288" s="20">
        <v>161.06630289302996</v>
      </c>
      <c r="BL288" s="20">
        <v>50.020590960568313</v>
      </c>
      <c r="BM288" s="20">
        <v>132.05436013590034</v>
      </c>
      <c r="BN288" s="20">
        <v>575.23679604653557</v>
      </c>
      <c r="BO288" s="20">
        <v>115.04735920930712</v>
      </c>
      <c r="BP288" s="20">
        <v>153.06300833933904</v>
      </c>
      <c r="BQ288" s="20">
        <v>98.040358282713882</v>
      </c>
      <c r="BR288" s="20">
        <v>5.002059096056831</v>
      </c>
      <c r="BS288" s="20">
        <v>252.1037784412643</v>
      </c>
      <c r="BT288" s="20">
        <v>16.00658910738186</v>
      </c>
      <c r="BU288" s="20">
        <v>4.001647276845465</v>
      </c>
      <c r="BV288" s="20">
        <v>3.0012354576340985</v>
      </c>
      <c r="BW288" s="20">
        <v>6.002470915268197</v>
      </c>
      <c r="BX288" s="20">
        <v>7.0028827344795639</v>
      </c>
      <c r="BY288" s="20">
        <v>0</v>
      </c>
      <c r="BZ288" s="20">
        <v>0</v>
      </c>
      <c r="CA288" s="20">
        <v>1.0004118192113662</v>
      </c>
      <c r="CB288" s="20">
        <v>0</v>
      </c>
      <c r="CC288" s="20">
        <v>3.0012354576340985</v>
      </c>
      <c r="CD288" s="20">
        <v>11.004530011325029</v>
      </c>
      <c r="CE288" s="20">
        <v>1.0004118192113662</v>
      </c>
      <c r="CF288" s="20">
        <v>0</v>
      </c>
      <c r="CG288" s="20">
        <v>2.0008236384227325</v>
      </c>
      <c r="CH288" s="20">
        <v>1.0004118192113662</v>
      </c>
      <c r="CI288" s="20">
        <v>0</v>
      </c>
      <c r="CJ288" s="20">
        <v>0</v>
      </c>
      <c r="CK288" s="20">
        <v>0</v>
      </c>
      <c r="CL288" s="20">
        <v>0</v>
      </c>
      <c r="CM288" s="20">
        <v>10.004118192113662</v>
      </c>
      <c r="CN288" s="20">
        <v>0</v>
      </c>
      <c r="CO288" s="20">
        <v>0</v>
      </c>
      <c r="CP288" s="20">
        <v>0</v>
      </c>
      <c r="CQ288" s="20">
        <v>0</v>
      </c>
      <c r="CR288" s="20">
        <v>2.0008236384227325</v>
      </c>
      <c r="CS288" s="20">
        <v>0</v>
      </c>
      <c r="CT288" s="20">
        <v>0</v>
      </c>
      <c r="CU288" s="20">
        <v>0</v>
      </c>
      <c r="CV288" s="20">
        <v>0</v>
      </c>
      <c r="CW288" s="20">
        <v>0</v>
      </c>
      <c r="CX288" s="20">
        <v>0</v>
      </c>
      <c r="CY288" s="20">
        <v>0</v>
      </c>
      <c r="CZ288" s="20">
        <v>0</v>
      </c>
      <c r="DA288" s="20">
        <v>0</v>
      </c>
      <c r="DB288" s="20">
        <v>0</v>
      </c>
      <c r="DC288" s="20">
        <v>0</v>
      </c>
      <c r="DD288" s="20">
        <v>0</v>
      </c>
      <c r="DE288" s="20">
        <v>0</v>
      </c>
      <c r="DF288" s="20">
        <v>0</v>
      </c>
      <c r="DG288" s="16">
        <f t="shared" si="24"/>
        <v>9717</v>
      </c>
      <c r="DH288" s="16">
        <f t="shared" si="25"/>
        <v>372420.30670235754</v>
      </c>
      <c r="DI288" s="17">
        <f t="shared" si="26"/>
        <v>38.326675589416233</v>
      </c>
      <c r="DJ288" s="119" t="s">
        <v>1</v>
      </c>
      <c r="DK288" t="s">
        <v>1</v>
      </c>
      <c r="DL288" s="44" t="s">
        <v>117</v>
      </c>
      <c r="DM288" s="44"/>
    </row>
    <row r="289" spans="1:117">
      <c r="A289" s="32" t="str">
        <f t="shared" si="27"/>
        <v>Essential (Original)--˂ = 1 kV; WOOD</v>
      </c>
      <c r="B289" s="32" t="str">
        <f t="shared" si="28"/>
        <v>Essential (Original)</v>
      </c>
      <c r="C289" s="384"/>
      <c r="D289" s="14"/>
      <c r="E289" s="15" t="s">
        <v>119</v>
      </c>
      <c r="F289" s="18">
        <v>53.8</v>
      </c>
      <c r="G289" s="18">
        <v>7.334848328356899</v>
      </c>
      <c r="H289" s="20">
        <v>3055.6215862788895</v>
      </c>
      <c r="I289" s="20">
        <v>3126.6825534016543</v>
      </c>
      <c r="J289" s="20">
        <v>2565.2008272626249</v>
      </c>
      <c r="K289" s="20">
        <v>2063.7706226357914</v>
      </c>
      <c r="L289" s="20">
        <v>2376.0385344992087</v>
      </c>
      <c r="M289" s="20">
        <v>2807.4086306951476</v>
      </c>
      <c r="N289" s="20">
        <v>2924.5090976439292</v>
      </c>
      <c r="O289" s="20">
        <v>2802.4043372357978</v>
      </c>
      <c r="P289" s="20">
        <v>3261.7984768040947</v>
      </c>
      <c r="Q289" s="20">
        <v>3792.2535834951564</v>
      </c>
      <c r="R289" s="20">
        <v>3090.6516404943372</v>
      </c>
      <c r="S289" s="20">
        <v>2902.4902064227908</v>
      </c>
      <c r="T289" s="20">
        <v>3281.8156506414934</v>
      </c>
      <c r="U289" s="20">
        <v>3617.1033124179194</v>
      </c>
      <c r="V289" s="20">
        <v>2829.427521916286</v>
      </c>
      <c r="W289" s="20">
        <v>2712.3270549675044</v>
      </c>
      <c r="X289" s="20">
        <v>2735.3468048805125</v>
      </c>
      <c r="Y289" s="20">
        <v>3997.4296153284918</v>
      </c>
      <c r="Z289" s="20">
        <v>5177.4420130431363</v>
      </c>
      <c r="AA289" s="20">
        <v>5962.1152274691603</v>
      </c>
      <c r="AB289" s="20">
        <v>6187.3084331398941</v>
      </c>
      <c r="AC289" s="20">
        <v>5957.1109340098101</v>
      </c>
      <c r="AD289" s="20">
        <v>7873.7553289407224</v>
      </c>
      <c r="AE289" s="20">
        <v>8811.5599232228451</v>
      </c>
      <c r="AF289" s="20">
        <v>7242.2134943707979</v>
      </c>
      <c r="AG289" s="20">
        <v>7584.5071669903127</v>
      </c>
      <c r="AH289" s="20">
        <v>9469.1240837813875</v>
      </c>
      <c r="AI289" s="20">
        <v>7029.0305930025033</v>
      </c>
      <c r="AJ289" s="20">
        <v>6757.7978875057524</v>
      </c>
      <c r="AK289" s="20">
        <v>6214.3316178203822</v>
      </c>
      <c r="AL289" s="20">
        <v>4678.0135258000428</v>
      </c>
      <c r="AM289" s="20">
        <v>6297.4028892455863</v>
      </c>
      <c r="AN289" s="20">
        <v>6467.5488668634734</v>
      </c>
      <c r="AO289" s="20">
        <v>8559.3435328716223</v>
      </c>
      <c r="AP289" s="20">
        <v>5400.6335013301305</v>
      </c>
      <c r="AQ289" s="20">
        <v>6242.3556611927397</v>
      </c>
      <c r="AR289" s="20">
        <v>7537.4668084724262</v>
      </c>
      <c r="AS289" s="20">
        <v>4936.2350683024843</v>
      </c>
      <c r="AT289" s="20">
        <v>7475.4135695764908</v>
      </c>
      <c r="AU289" s="20">
        <v>6217.334193895992</v>
      </c>
      <c r="AV289" s="20">
        <v>7131.1181795732355</v>
      </c>
      <c r="AW289" s="20">
        <v>5744.9288913333858</v>
      </c>
      <c r="AX289" s="20">
        <v>8967.6938791545526</v>
      </c>
      <c r="AY289" s="20">
        <v>15124.97655153835</v>
      </c>
      <c r="AZ289" s="20">
        <v>6282.3900088675373</v>
      </c>
      <c r="BA289" s="20">
        <v>5318.5630885967967</v>
      </c>
      <c r="BB289" s="20">
        <v>6424.511943113067</v>
      </c>
      <c r="BC289" s="20">
        <v>15101.956801625342</v>
      </c>
      <c r="BD289" s="20">
        <v>9551.1944965147213</v>
      </c>
      <c r="BE289" s="20">
        <v>3336.8628786943395</v>
      </c>
      <c r="BF289" s="20">
        <v>3309.8396940138514</v>
      </c>
      <c r="BG289" s="20">
        <v>1394.1961577748095</v>
      </c>
      <c r="BH289" s="20">
        <v>7084.077821055349</v>
      </c>
      <c r="BI289" s="20">
        <v>20208.337847545714</v>
      </c>
      <c r="BJ289" s="20">
        <v>1449.2433858276554</v>
      </c>
      <c r="BK289" s="20">
        <v>3526.0251714577557</v>
      </c>
      <c r="BL289" s="20">
        <v>1595.3687548406649</v>
      </c>
      <c r="BM289" s="20">
        <v>2124.8230028398566</v>
      </c>
      <c r="BN289" s="20">
        <v>7544.4728193155161</v>
      </c>
      <c r="BO289" s="20">
        <v>1126.9668870455387</v>
      </c>
      <c r="BP289" s="20">
        <v>1520.3043529504203</v>
      </c>
      <c r="BQ289" s="20">
        <v>3521.0208779984059</v>
      </c>
      <c r="BR289" s="20">
        <v>250.21467296748196</v>
      </c>
      <c r="BS289" s="20">
        <v>12854.028179685483</v>
      </c>
      <c r="BT289" s="20">
        <v>625.53668241870491</v>
      </c>
      <c r="BU289" s="20">
        <v>395.33918328862148</v>
      </c>
      <c r="BV289" s="20">
        <v>361.30998776504396</v>
      </c>
      <c r="BW289" s="20">
        <v>224.19234697886384</v>
      </c>
      <c r="BX289" s="20">
        <v>107.09188003008228</v>
      </c>
      <c r="BY289" s="20">
        <v>30.025760756097835</v>
      </c>
      <c r="BZ289" s="20">
        <v>0</v>
      </c>
      <c r="CA289" s="20">
        <v>38.032630291057259</v>
      </c>
      <c r="CB289" s="20">
        <v>1.0008586918699278</v>
      </c>
      <c r="CC289" s="20">
        <v>319.27392270650699</v>
      </c>
      <c r="CD289" s="20">
        <v>61.052380204065599</v>
      </c>
      <c r="CE289" s="20">
        <v>68.058391047155098</v>
      </c>
      <c r="CF289" s="20">
        <v>37.03177159918733</v>
      </c>
      <c r="CG289" s="20">
        <v>93.079858343903283</v>
      </c>
      <c r="CH289" s="20">
        <v>45.038641134146751</v>
      </c>
      <c r="CI289" s="20">
        <v>12.010304302439135</v>
      </c>
      <c r="CJ289" s="20">
        <v>1.0008586918699278</v>
      </c>
      <c r="CK289" s="20">
        <v>1.0008586918699278</v>
      </c>
      <c r="CL289" s="20">
        <v>15.012880378048918</v>
      </c>
      <c r="CM289" s="20">
        <v>1641.4082546666816</v>
      </c>
      <c r="CN289" s="20">
        <v>0</v>
      </c>
      <c r="CO289" s="20">
        <v>10.008586918699278</v>
      </c>
      <c r="CP289" s="20">
        <v>1.0008586918699278</v>
      </c>
      <c r="CQ289" s="20">
        <v>0</v>
      </c>
      <c r="CR289" s="20">
        <v>52.044651977236249</v>
      </c>
      <c r="CS289" s="20">
        <v>0</v>
      </c>
      <c r="CT289" s="20">
        <v>3.0025760756097837</v>
      </c>
      <c r="CU289" s="20">
        <v>0</v>
      </c>
      <c r="CV289" s="20">
        <v>0</v>
      </c>
      <c r="CW289" s="20">
        <v>6.0051521512195674</v>
      </c>
      <c r="CX289" s="20">
        <v>0</v>
      </c>
      <c r="CY289" s="20">
        <v>0</v>
      </c>
      <c r="CZ289" s="20">
        <v>0</v>
      </c>
      <c r="DA289" s="20">
        <v>0</v>
      </c>
      <c r="DB289" s="20">
        <v>0</v>
      </c>
      <c r="DC289" s="20">
        <v>0</v>
      </c>
      <c r="DD289" s="20">
        <v>0</v>
      </c>
      <c r="DE289" s="20">
        <v>0</v>
      </c>
      <c r="DF289" s="20">
        <v>0</v>
      </c>
      <c r="DG289" s="16">
        <f t="shared" si="24"/>
        <v>356662.00000000012</v>
      </c>
      <c r="DH289" s="16">
        <f t="shared" si="25"/>
        <v>12833924.932000587</v>
      </c>
      <c r="DI289" s="17">
        <f t="shared" si="26"/>
        <v>35.983437910404199</v>
      </c>
      <c r="DJ289" s="119" t="s">
        <v>1</v>
      </c>
      <c r="DK289" s="44" t="s">
        <v>1</v>
      </c>
      <c r="DL289" s="44" t="s">
        <v>1328</v>
      </c>
      <c r="DM289" s="44"/>
    </row>
    <row r="290" spans="1:117">
      <c r="A290" s="32" t="str">
        <f t="shared" si="27"/>
        <v>Essential (Original)--&gt; 1 kV &amp; &lt; = 11 kV; WOOD</v>
      </c>
      <c r="B290" s="32" t="str">
        <f t="shared" si="28"/>
        <v>Essential (Original)</v>
      </c>
      <c r="C290" s="384"/>
      <c r="D290" s="14"/>
      <c r="E290" s="15" t="s">
        <v>121</v>
      </c>
      <c r="F290" s="18">
        <v>53.8</v>
      </c>
      <c r="G290" s="18">
        <v>7.334848328356899</v>
      </c>
      <c r="H290" s="20">
        <v>5481.9437199755248</v>
      </c>
      <c r="I290" s="20">
        <v>6497.8598922916026</v>
      </c>
      <c r="J290" s="20">
        <v>6810.1415137326039</v>
      </c>
      <c r="K290" s="20">
        <v>5159.6530722062862</v>
      </c>
      <c r="L290" s="20">
        <v>5240.7261854650078</v>
      </c>
      <c r="M290" s="20">
        <v>6034.4419732942197</v>
      </c>
      <c r="N290" s="20">
        <v>5531.9888516167111</v>
      </c>
      <c r="O290" s="20">
        <v>6123.5223076155307</v>
      </c>
      <c r="P290" s="20">
        <v>5899.320117863017</v>
      </c>
      <c r="Q290" s="20">
        <v>6613.9645976991542</v>
      </c>
      <c r="R290" s="20">
        <v>5834.2614467294752</v>
      </c>
      <c r="S290" s="20">
        <v>5582.0339832578966</v>
      </c>
      <c r="T290" s="20">
        <v>5349.8245724427934</v>
      </c>
      <c r="U290" s="20">
        <v>5268.7514591840718</v>
      </c>
      <c r="V290" s="20">
        <v>3971.5816470445284</v>
      </c>
      <c r="W290" s="20">
        <v>3708.3442546118895</v>
      </c>
      <c r="X290" s="20">
        <v>3885.5040206216881</v>
      </c>
      <c r="Y290" s="20">
        <v>5072.574543150623</v>
      </c>
      <c r="Z290" s="20">
        <v>6454.8210790801822</v>
      </c>
      <c r="AA290" s="20">
        <v>7701.9457595785398</v>
      </c>
      <c r="AB290" s="20">
        <v>7065.3716851026529</v>
      </c>
      <c r="AC290" s="20">
        <v>7496.7607198496771</v>
      </c>
      <c r="AD290" s="20">
        <v>9291.3791405026095</v>
      </c>
      <c r="AE290" s="20">
        <v>8677.8258265816694</v>
      </c>
      <c r="AF290" s="20">
        <v>8117.3203522003841</v>
      </c>
      <c r="AG290" s="20">
        <v>8688.8357555427301</v>
      </c>
      <c r="AH290" s="20">
        <v>11085.997561155544</v>
      </c>
      <c r="AI290" s="20">
        <v>9226.3204693690677</v>
      </c>
      <c r="AJ290" s="20">
        <v>8120.3230600988554</v>
      </c>
      <c r="AK290" s="20">
        <v>6664.0097293403405</v>
      </c>
      <c r="AL290" s="20">
        <v>5759.1937492676961</v>
      </c>
      <c r="AM290" s="20">
        <v>7957.1759309485888</v>
      </c>
      <c r="AN290" s="20">
        <v>7716.9592990708961</v>
      </c>
      <c r="AO290" s="20">
        <v>9013.1282085776147</v>
      </c>
      <c r="AP290" s="20">
        <v>5555.009612171656</v>
      </c>
      <c r="AQ290" s="20">
        <v>6761.097284724241</v>
      </c>
      <c r="AR290" s="20">
        <v>8512.6768921657549</v>
      </c>
      <c r="AS290" s="20">
        <v>6027.4356548644528</v>
      </c>
      <c r="AT290" s="20">
        <v>7369.6460854810639</v>
      </c>
      <c r="AU290" s="20">
        <v>5576.0285674609549</v>
      </c>
      <c r="AV290" s="20">
        <v>5327.804714520672</v>
      </c>
      <c r="AW290" s="20">
        <v>6232.6206945933163</v>
      </c>
      <c r="AX290" s="20">
        <v>9572.6327803260756</v>
      </c>
      <c r="AY290" s="20">
        <v>18325.526304369523</v>
      </c>
      <c r="AZ290" s="20">
        <v>9743.7871305389326</v>
      </c>
      <c r="BA290" s="20">
        <v>5023.5303141422601</v>
      </c>
      <c r="BB290" s="20">
        <v>8163.3618733102758</v>
      </c>
      <c r="BC290" s="20">
        <v>11938.766604321354</v>
      </c>
      <c r="BD290" s="20">
        <v>8441.6128052352706</v>
      </c>
      <c r="BE290" s="20">
        <v>3186.8739829107303</v>
      </c>
      <c r="BF290" s="20">
        <v>5308.7875644970209</v>
      </c>
      <c r="BG290" s="20">
        <v>4070.6710076940767</v>
      </c>
      <c r="BH290" s="20">
        <v>9831.8665622274202</v>
      </c>
      <c r="BI290" s="20">
        <v>31507.41397865794</v>
      </c>
      <c r="BJ290" s="20">
        <v>3310.9859093808718</v>
      </c>
      <c r="BK290" s="20">
        <v>3285.9633435602791</v>
      </c>
      <c r="BL290" s="20">
        <v>3322.9967409747564</v>
      </c>
      <c r="BM290" s="20">
        <v>3265.9452909038046</v>
      </c>
      <c r="BN290" s="20">
        <v>10742.687958097007</v>
      </c>
      <c r="BO290" s="20">
        <v>1064.96040132444</v>
      </c>
      <c r="BP290" s="20">
        <v>3847.4697205743869</v>
      </c>
      <c r="BQ290" s="20">
        <v>5350.8254750756169</v>
      </c>
      <c r="BR290" s="20">
        <v>265.23919769828632</v>
      </c>
      <c r="BS290" s="20">
        <v>20935.88037077379</v>
      </c>
      <c r="BT290" s="20">
        <v>479.43236112256278</v>
      </c>
      <c r="BU290" s="20">
        <v>336.30328462877054</v>
      </c>
      <c r="BV290" s="20">
        <v>401.36195576231245</v>
      </c>
      <c r="BW290" s="20">
        <v>210.1895528929816</v>
      </c>
      <c r="BX290" s="20">
        <v>58.052352703775867</v>
      </c>
      <c r="BY290" s="20">
        <v>21.018955289298159</v>
      </c>
      <c r="BZ290" s="20">
        <v>0</v>
      </c>
      <c r="CA290" s="20">
        <v>0</v>
      </c>
      <c r="CB290" s="20">
        <v>1.0009026328237218</v>
      </c>
      <c r="CC290" s="20">
        <v>227.20489765098486</v>
      </c>
      <c r="CD290" s="20">
        <v>167.15073968156156</v>
      </c>
      <c r="CE290" s="20">
        <v>103.09297118084335</v>
      </c>
      <c r="CF290" s="20">
        <v>9.0081236954134969</v>
      </c>
      <c r="CG290" s="20">
        <v>210.1895528929816</v>
      </c>
      <c r="CH290" s="20">
        <v>8.0072210625897746</v>
      </c>
      <c r="CI290" s="20">
        <v>8.0072210625897746</v>
      </c>
      <c r="CJ290" s="20">
        <v>1.0009026328237218</v>
      </c>
      <c r="CK290" s="20">
        <v>0</v>
      </c>
      <c r="CL290" s="20">
        <v>2.0018052656474437</v>
      </c>
      <c r="CM290" s="20">
        <v>73.065892196131699</v>
      </c>
      <c r="CN290" s="20">
        <v>0</v>
      </c>
      <c r="CO290" s="20">
        <v>0</v>
      </c>
      <c r="CP290" s="20">
        <v>0</v>
      </c>
      <c r="CQ290" s="20">
        <v>0</v>
      </c>
      <c r="CR290" s="20">
        <v>0</v>
      </c>
      <c r="CS290" s="20">
        <v>0</v>
      </c>
      <c r="CT290" s="20">
        <v>0</v>
      </c>
      <c r="CU290" s="20">
        <v>0</v>
      </c>
      <c r="CV290" s="20">
        <v>0</v>
      </c>
      <c r="CW290" s="20">
        <v>0</v>
      </c>
      <c r="CX290" s="20">
        <v>0</v>
      </c>
      <c r="CY290" s="20">
        <v>0</v>
      </c>
      <c r="CZ290" s="20">
        <v>0</v>
      </c>
      <c r="DA290" s="20">
        <v>0</v>
      </c>
      <c r="DB290" s="20">
        <v>0</v>
      </c>
      <c r="DC290" s="20">
        <v>0</v>
      </c>
      <c r="DD290" s="20">
        <v>0</v>
      </c>
      <c r="DE290" s="20">
        <v>0</v>
      </c>
      <c r="DF290" s="20">
        <v>0</v>
      </c>
      <c r="DG290" s="16">
        <f t="shared" si="24"/>
        <v>461290.00000000012</v>
      </c>
      <c r="DH290" s="16">
        <f t="shared" si="25"/>
        <v>15930159.117177362</v>
      </c>
      <c r="DI290" s="17">
        <f t="shared" si="26"/>
        <v>34.533935522507221</v>
      </c>
      <c r="DJ290" s="119" t="s">
        <v>1</v>
      </c>
      <c r="DK290" s="44" t="s">
        <v>1</v>
      </c>
      <c r="DL290" s="44" t="s">
        <v>1328</v>
      </c>
      <c r="DM290" s="44"/>
    </row>
    <row r="291" spans="1:117">
      <c r="A291" s="32" t="str">
        <f t="shared" si="27"/>
        <v>Essential (Original)--˃ 11 kV &amp; &lt; = 22 kV; WOOD</v>
      </c>
      <c r="B291" s="32" t="str">
        <f t="shared" si="28"/>
        <v>Essential (Original)</v>
      </c>
      <c r="C291" s="384"/>
      <c r="D291" s="14"/>
      <c r="E291" s="15" t="s">
        <v>123</v>
      </c>
      <c r="F291" s="18">
        <v>53.8</v>
      </c>
      <c r="G291" s="18">
        <v>7.334848328356899</v>
      </c>
      <c r="H291" s="20">
        <v>2659.7460361363305</v>
      </c>
      <c r="I291" s="20">
        <v>2572.6888859693399</v>
      </c>
      <c r="J291" s="20">
        <v>2242.4721094738588</v>
      </c>
      <c r="K291" s="20">
        <v>1932.2684709478008</v>
      </c>
      <c r="L291" s="20">
        <v>1948.2789813233392</v>
      </c>
      <c r="M291" s="20">
        <v>2250.4773646616281</v>
      </c>
      <c r="N291" s="20">
        <v>2100.3788298909549</v>
      </c>
      <c r="O291" s="20">
        <v>2487.633049599292</v>
      </c>
      <c r="P291" s="20">
        <v>2531.661953132023</v>
      </c>
      <c r="Q291" s="20">
        <v>2804.841286414648</v>
      </c>
      <c r="R291" s="20">
        <v>2390.5693304475899</v>
      </c>
      <c r="S291" s="20">
        <v>2694.7690275828209</v>
      </c>
      <c r="T291" s="20">
        <v>3870.5408832864287</v>
      </c>
      <c r="U291" s="20">
        <v>3031.9904023676004</v>
      </c>
      <c r="V291" s="20">
        <v>2389.5686735491186</v>
      </c>
      <c r="W291" s="20">
        <v>1678.1016187361274</v>
      </c>
      <c r="X291" s="20">
        <v>2273.4924733264647</v>
      </c>
      <c r="Y291" s="20">
        <v>2559.6803462892153</v>
      </c>
      <c r="Z291" s="20">
        <v>4222.7721115482755</v>
      </c>
      <c r="AA291" s="20">
        <v>4223.7727684467463</v>
      </c>
      <c r="AB291" s="20">
        <v>2819.8511398917153</v>
      </c>
      <c r="AC291" s="20">
        <v>4563.996113926939</v>
      </c>
      <c r="AD291" s="20">
        <v>5215.4237548316614</v>
      </c>
      <c r="AE291" s="20">
        <v>5296.4769636078245</v>
      </c>
      <c r="AF291" s="20">
        <v>4258.7957598932371</v>
      </c>
      <c r="AG291" s="20">
        <v>5127.3659477661995</v>
      </c>
      <c r="AH291" s="20">
        <v>7970.2321963227514</v>
      </c>
      <c r="AI291" s="20">
        <v>5426.5623604090752</v>
      </c>
      <c r="AJ291" s="20">
        <v>4853.1859575851031</v>
      </c>
      <c r="AK291" s="20">
        <v>4431.9094033287465</v>
      </c>
      <c r="AL291" s="20">
        <v>4015.6361335647462</v>
      </c>
      <c r="AM291" s="20">
        <v>9778.4192118601295</v>
      </c>
      <c r="AN291" s="20">
        <v>7223.7421500632699</v>
      </c>
      <c r="AO291" s="20">
        <v>7717.0660010095489</v>
      </c>
      <c r="AP291" s="20">
        <v>4293.818751339727</v>
      </c>
      <c r="AQ291" s="20">
        <v>5681.7298695192194</v>
      </c>
      <c r="AR291" s="20">
        <v>4641.0466951092176</v>
      </c>
      <c r="AS291" s="20">
        <v>4012.6341628693326</v>
      </c>
      <c r="AT291" s="20">
        <v>3802.4962141903898</v>
      </c>
      <c r="AU291" s="20">
        <v>3999.6256231892075</v>
      </c>
      <c r="AV291" s="20">
        <v>3554.3333033695435</v>
      </c>
      <c r="AW291" s="20">
        <v>3101.0357283621101</v>
      </c>
      <c r="AX291" s="20">
        <v>3376.2163754416779</v>
      </c>
      <c r="AY291" s="20">
        <v>7439.884040133039</v>
      </c>
      <c r="AZ291" s="20">
        <v>4612.0276450535548</v>
      </c>
      <c r="BA291" s="20">
        <v>6454.236995138951</v>
      </c>
      <c r="BB291" s="20">
        <v>5078.3337597411128</v>
      </c>
      <c r="BC291" s="20">
        <v>13822.073738582067</v>
      </c>
      <c r="BD291" s="20">
        <v>17079.211943105678</v>
      </c>
      <c r="BE291" s="20">
        <v>6770.4445750558361</v>
      </c>
      <c r="BF291" s="20">
        <v>3909.5665023268034</v>
      </c>
      <c r="BG291" s="20">
        <v>1631.0707445079831</v>
      </c>
      <c r="BH291" s="20">
        <v>12571.252615493124</v>
      </c>
      <c r="BI291" s="20">
        <v>10324.777878425381</v>
      </c>
      <c r="BJ291" s="20">
        <v>3672.4108173891395</v>
      </c>
      <c r="BK291" s="20">
        <v>4535.9777207697471</v>
      </c>
      <c r="BL291" s="20">
        <v>378.24830762209666</v>
      </c>
      <c r="BM291" s="20">
        <v>2442.6034891680902</v>
      </c>
      <c r="BN291" s="20">
        <v>9259.0782815535986</v>
      </c>
      <c r="BO291" s="20">
        <v>2728.7913621308403</v>
      </c>
      <c r="BP291" s="20">
        <v>996.65427087727062</v>
      </c>
      <c r="BQ291" s="20">
        <v>834.5478533249435</v>
      </c>
      <c r="BR291" s="20">
        <v>521.3422441034719</v>
      </c>
      <c r="BS291" s="20">
        <v>2396.573271838417</v>
      </c>
      <c r="BT291" s="20">
        <v>144.09459337984634</v>
      </c>
      <c r="BU291" s="20">
        <v>181.11889862327911</v>
      </c>
      <c r="BV291" s="20">
        <v>36.023648344961586</v>
      </c>
      <c r="BW291" s="20">
        <v>18.011824172480793</v>
      </c>
      <c r="BX291" s="20">
        <v>63.041384603682779</v>
      </c>
      <c r="BY291" s="20">
        <v>46.030217329673143</v>
      </c>
      <c r="BZ291" s="20">
        <v>3.0019706954134655</v>
      </c>
      <c r="CA291" s="20">
        <v>11.007225883182707</v>
      </c>
      <c r="CB291" s="20">
        <v>1.0006568984711552</v>
      </c>
      <c r="CC291" s="20">
        <v>268.17604879026959</v>
      </c>
      <c r="CD291" s="20">
        <v>1.0006568984711552</v>
      </c>
      <c r="CE291" s="20">
        <v>16.010510375538484</v>
      </c>
      <c r="CF291" s="20">
        <v>25.01642246177888</v>
      </c>
      <c r="CG291" s="20">
        <v>0</v>
      </c>
      <c r="CH291" s="20">
        <v>0</v>
      </c>
      <c r="CI291" s="20">
        <v>1.0006568984711552</v>
      </c>
      <c r="CJ291" s="20">
        <v>1.0006568984711552</v>
      </c>
      <c r="CK291" s="20">
        <v>5.0032844923557764</v>
      </c>
      <c r="CL291" s="20">
        <v>0</v>
      </c>
      <c r="CM291" s="20">
        <v>3120.0482094330619</v>
      </c>
      <c r="CN291" s="20">
        <v>0</v>
      </c>
      <c r="CO291" s="20">
        <v>0</v>
      </c>
      <c r="CP291" s="20">
        <v>0</v>
      </c>
      <c r="CQ291" s="20">
        <v>0</v>
      </c>
      <c r="CR291" s="20">
        <v>0</v>
      </c>
      <c r="CS291" s="20">
        <v>0</v>
      </c>
      <c r="CT291" s="20">
        <v>0</v>
      </c>
      <c r="CU291" s="20">
        <v>0</v>
      </c>
      <c r="CV291" s="20">
        <v>0</v>
      </c>
      <c r="CW291" s="20">
        <v>1.0006568984711552</v>
      </c>
      <c r="CX291" s="20">
        <v>0</v>
      </c>
      <c r="CY291" s="20">
        <v>0</v>
      </c>
      <c r="CZ291" s="20">
        <v>0</v>
      </c>
      <c r="DA291" s="20">
        <v>0</v>
      </c>
      <c r="DB291" s="20">
        <v>0</v>
      </c>
      <c r="DC291" s="20">
        <v>0</v>
      </c>
      <c r="DD291" s="20">
        <v>0</v>
      </c>
      <c r="DE291" s="20">
        <v>0</v>
      </c>
      <c r="DF291" s="20">
        <v>0</v>
      </c>
      <c r="DG291" s="16">
        <f t="shared" si="24"/>
        <v>289427.99999999994</v>
      </c>
      <c r="DH291" s="16">
        <f t="shared" si="25"/>
        <v>10593176.073047113</v>
      </c>
      <c r="DI291" s="17">
        <f t="shared" si="26"/>
        <v>36.600384458473663</v>
      </c>
      <c r="DJ291" s="119" t="s">
        <v>1</v>
      </c>
      <c r="DK291" s="44" t="s">
        <v>1</v>
      </c>
      <c r="DL291" s="44" t="s">
        <v>1328</v>
      </c>
      <c r="DM291" s="44"/>
    </row>
    <row r="292" spans="1:117">
      <c r="A292" s="32" t="str">
        <f t="shared" si="27"/>
        <v>Essential (Original)--&gt; 22 kV &amp; &lt; = 66 kV; WOOD</v>
      </c>
      <c r="B292" s="32" t="str">
        <f t="shared" si="28"/>
        <v>Essential (Original)</v>
      </c>
      <c r="C292" s="384"/>
      <c r="D292" s="14"/>
      <c r="E292" s="15" t="s">
        <v>125</v>
      </c>
      <c r="F292" s="18">
        <v>54.9</v>
      </c>
      <c r="G292" s="18">
        <v>7.4094534211370817</v>
      </c>
      <c r="H292" s="20">
        <v>172.26910740827662</v>
      </c>
      <c r="I292" s="20">
        <v>164.25659078463585</v>
      </c>
      <c r="J292" s="20">
        <v>126.19713682234217</v>
      </c>
      <c r="K292" s="20">
        <v>236.36924039740279</v>
      </c>
      <c r="L292" s="20">
        <v>121.18931393256669</v>
      </c>
      <c r="M292" s="20">
        <v>147.2299929593992</v>
      </c>
      <c r="N292" s="20">
        <v>227.35515919580692</v>
      </c>
      <c r="O292" s="20">
        <v>153.23938042712979</v>
      </c>
      <c r="P292" s="20">
        <v>202.31604474692952</v>
      </c>
      <c r="Q292" s="20">
        <v>232.36298208558242</v>
      </c>
      <c r="R292" s="20">
        <v>400.62583118203867</v>
      </c>
      <c r="S292" s="20">
        <v>274.42869435969646</v>
      </c>
      <c r="T292" s="20">
        <v>365.57107095361027</v>
      </c>
      <c r="U292" s="20">
        <v>372.58202299929593</v>
      </c>
      <c r="V292" s="20">
        <v>107.16740984119534</v>
      </c>
      <c r="W292" s="20">
        <v>99.154893217554559</v>
      </c>
      <c r="X292" s="20">
        <v>140.21904091371351</v>
      </c>
      <c r="Y292" s="20">
        <v>139.21747633575842</v>
      </c>
      <c r="Z292" s="20">
        <v>135.21121802393805</v>
      </c>
      <c r="AA292" s="20">
        <v>428.66963936478135</v>
      </c>
      <c r="AB292" s="20">
        <v>269.420871469921</v>
      </c>
      <c r="AC292" s="20">
        <v>557.87146992098883</v>
      </c>
      <c r="AD292" s="20">
        <v>291.45529218493311</v>
      </c>
      <c r="AE292" s="20">
        <v>228.35672377376204</v>
      </c>
      <c r="AF292" s="20">
        <v>570.8918094344051</v>
      </c>
      <c r="AG292" s="20">
        <v>497.77759524368304</v>
      </c>
      <c r="AH292" s="20">
        <v>333.52100445904716</v>
      </c>
      <c r="AI292" s="20">
        <v>489.76507862004223</v>
      </c>
      <c r="AJ292" s="20">
        <v>409.63991238363451</v>
      </c>
      <c r="AK292" s="20">
        <v>650.01541109285768</v>
      </c>
      <c r="AL292" s="20">
        <v>374.58515215520612</v>
      </c>
      <c r="AM292" s="20">
        <v>739.1546585308613</v>
      </c>
      <c r="AN292" s="20">
        <v>1144.7883126026754</v>
      </c>
      <c r="AO292" s="20">
        <v>690.07799421106154</v>
      </c>
      <c r="AP292" s="20">
        <v>246.38488617695376</v>
      </c>
      <c r="AQ292" s="20">
        <v>803.25479151998752</v>
      </c>
      <c r="AR292" s="20">
        <v>386.6039270906673</v>
      </c>
      <c r="AS292" s="20">
        <v>328.51318156927169</v>
      </c>
      <c r="AT292" s="20">
        <v>313.48971289994523</v>
      </c>
      <c r="AU292" s="20">
        <v>313.48971289994523</v>
      </c>
      <c r="AV292" s="20">
        <v>241.37706328717829</v>
      </c>
      <c r="AW292" s="20">
        <v>272.42556520378628</v>
      </c>
      <c r="AX292" s="20">
        <v>1395.1794570914496</v>
      </c>
      <c r="AY292" s="20">
        <v>1004.5692716889619</v>
      </c>
      <c r="AZ292" s="20">
        <v>908.41907220527264</v>
      </c>
      <c r="BA292" s="20">
        <v>820.28138934522417</v>
      </c>
      <c r="BB292" s="20">
        <v>694.08425252288191</v>
      </c>
      <c r="BC292" s="20">
        <v>1207.8868810138465</v>
      </c>
      <c r="BD292" s="20">
        <v>873.36431197684419</v>
      </c>
      <c r="BE292" s="20">
        <v>271.42400062583118</v>
      </c>
      <c r="BF292" s="20">
        <v>67.104826722991476</v>
      </c>
      <c r="BG292" s="20">
        <v>530.82922631620124</v>
      </c>
      <c r="BH292" s="20">
        <v>657.02636313854339</v>
      </c>
      <c r="BI292" s="20">
        <v>1395.1794570914496</v>
      </c>
      <c r="BJ292" s="20">
        <v>81.12673081436283</v>
      </c>
      <c r="BK292" s="20">
        <v>141.22060549166864</v>
      </c>
      <c r="BL292" s="20">
        <v>122.19087851052178</v>
      </c>
      <c r="BM292" s="20">
        <v>165.25815536259094</v>
      </c>
      <c r="BN292" s="20">
        <v>171.26754283032153</v>
      </c>
      <c r="BO292" s="20">
        <v>6.0093874677305799</v>
      </c>
      <c r="BP292" s="20">
        <v>9.0140812015958698</v>
      </c>
      <c r="BQ292" s="20">
        <v>12.01877493546116</v>
      </c>
      <c r="BR292" s="20">
        <v>18.02816240319174</v>
      </c>
      <c r="BS292" s="20">
        <v>378.59141046702649</v>
      </c>
      <c r="BT292" s="20">
        <v>1.0015645779550966</v>
      </c>
      <c r="BU292" s="20">
        <v>1.0015645779550966</v>
      </c>
      <c r="BV292" s="20">
        <v>51.079793475709927</v>
      </c>
      <c r="BW292" s="20">
        <v>171.26754283032153</v>
      </c>
      <c r="BX292" s="20">
        <v>43.067276852069156</v>
      </c>
      <c r="BY292" s="20">
        <v>0</v>
      </c>
      <c r="BZ292" s="20">
        <v>0</v>
      </c>
      <c r="CA292" s="20">
        <v>0</v>
      </c>
      <c r="CB292" s="20">
        <v>0</v>
      </c>
      <c r="CC292" s="20">
        <v>0</v>
      </c>
      <c r="CD292" s="20">
        <v>0</v>
      </c>
      <c r="CE292" s="20">
        <v>0</v>
      </c>
      <c r="CF292" s="20">
        <v>3.0046937338652899</v>
      </c>
      <c r="CG292" s="20">
        <v>1.0015645779550966</v>
      </c>
      <c r="CH292" s="20">
        <v>1.0015645779550966</v>
      </c>
      <c r="CI292" s="20">
        <v>0</v>
      </c>
      <c r="CJ292" s="20">
        <v>0</v>
      </c>
      <c r="CK292" s="20">
        <v>0</v>
      </c>
      <c r="CL292" s="20">
        <v>0</v>
      </c>
      <c r="CM292" s="20">
        <v>2.0031291559101931</v>
      </c>
      <c r="CN292" s="20">
        <v>0</v>
      </c>
      <c r="CO292" s="20">
        <v>0</v>
      </c>
      <c r="CP292" s="20">
        <v>0</v>
      </c>
      <c r="CQ292" s="20">
        <v>0</v>
      </c>
      <c r="CR292" s="20">
        <v>1.0015645779550966</v>
      </c>
      <c r="CS292" s="20">
        <v>0</v>
      </c>
      <c r="CT292" s="20">
        <v>2.0031291559101931</v>
      </c>
      <c r="CU292" s="20">
        <v>0</v>
      </c>
      <c r="CV292" s="20">
        <v>0</v>
      </c>
      <c r="CW292" s="20">
        <v>0</v>
      </c>
      <c r="CX292" s="20">
        <v>0</v>
      </c>
      <c r="CY292" s="20">
        <v>0</v>
      </c>
      <c r="CZ292" s="20">
        <v>0</v>
      </c>
      <c r="DA292" s="20">
        <v>0</v>
      </c>
      <c r="DB292" s="20">
        <v>0</v>
      </c>
      <c r="DC292" s="20">
        <v>0</v>
      </c>
      <c r="DD292" s="20">
        <v>0</v>
      </c>
      <c r="DE292" s="20">
        <v>0</v>
      </c>
      <c r="DF292" s="20">
        <v>0</v>
      </c>
      <c r="DG292" s="16">
        <f t="shared" si="24"/>
        <v>25606.000000000018</v>
      </c>
      <c r="DH292" s="16">
        <f t="shared" si="25"/>
        <v>921542.57287021843</v>
      </c>
      <c r="DI292" s="17">
        <f t="shared" si="26"/>
        <v>35.989321755456444</v>
      </c>
      <c r="DJ292" s="119" t="s">
        <v>1</v>
      </c>
      <c r="DK292" s="44" t="s">
        <v>1</v>
      </c>
      <c r="DL292" s="44" t="s">
        <v>1328</v>
      </c>
      <c r="DM292" s="44"/>
    </row>
    <row r="293" spans="1:117">
      <c r="A293" s="32" t="str">
        <f t="shared" si="27"/>
        <v>Essential (Original)--&gt; 66 kV &amp; &lt; = 132 kV; WOOD</v>
      </c>
      <c r="B293" s="32" t="str">
        <f t="shared" si="28"/>
        <v>Essential (Original)</v>
      </c>
      <c r="C293" s="384"/>
      <c r="D293" s="14"/>
      <c r="E293" s="15" t="s">
        <v>127</v>
      </c>
      <c r="F293" s="18">
        <v>54.9</v>
      </c>
      <c r="G293" s="18">
        <v>7.4094534211370817</v>
      </c>
      <c r="H293" s="20">
        <v>304.18018680891942</v>
      </c>
      <c r="I293" s="20">
        <v>183.10846771721137</v>
      </c>
      <c r="J293" s="20">
        <v>175.10372595908188</v>
      </c>
      <c r="K293" s="20">
        <v>117.06934821264332</v>
      </c>
      <c r="L293" s="20">
        <v>143.08475892656406</v>
      </c>
      <c r="M293" s="20">
        <v>182.10787499744518</v>
      </c>
      <c r="N293" s="20">
        <v>409.24242238436852</v>
      </c>
      <c r="O293" s="20">
        <v>282.16714697406343</v>
      </c>
      <c r="P293" s="20">
        <v>329.19500480307397</v>
      </c>
      <c r="Q293" s="20">
        <v>303.17959408915323</v>
      </c>
      <c r="R293" s="20">
        <v>197.1167657939379</v>
      </c>
      <c r="S293" s="20">
        <v>295.17485233102377</v>
      </c>
      <c r="T293" s="20">
        <v>249.14758722177939</v>
      </c>
      <c r="U293" s="20">
        <v>276.16359065546629</v>
      </c>
      <c r="V293" s="20">
        <v>198.11735851370409</v>
      </c>
      <c r="W293" s="20">
        <v>173.10254051954954</v>
      </c>
      <c r="X293" s="20">
        <v>231.1369182659881</v>
      </c>
      <c r="Y293" s="20">
        <v>218.12921290902773</v>
      </c>
      <c r="Z293" s="20">
        <v>370.21930631348744</v>
      </c>
      <c r="AA293" s="20">
        <v>243.14403090318228</v>
      </c>
      <c r="AB293" s="20">
        <v>206.12210027183355</v>
      </c>
      <c r="AC293" s="20">
        <v>604.35800273877408</v>
      </c>
      <c r="AD293" s="20">
        <v>634.37578433175952</v>
      </c>
      <c r="AE293" s="20">
        <v>652.38645328755081</v>
      </c>
      <c r="AF293" s="20">
        <v>362.21456455535798</v>
      </c>
      <c r="AG293" s="20">
        <v>267.15825617757065</v>
      </c>
      <c r="AH293" s="20">
        <v>541.32066139350457</v>
      </c>
      <c r="AI293" s="20">
        <v>332.19678296237254</v>
      </c>
      <c r="AJ293" s="20">
        <v>162.09602060212154</v>
      </c>
      <c r="AK293" s="20">
        <v>686.40660575960101</v>
      </c>
      <c r="AL293" s="20">
        <v>818.48484476873705</v>
      </c>
      <c r="AM293" s="20">
        <v>3100.836838555399</v>
      </c>
      <c r="AN293" s="20">
        <v>1098.6508063032682</v>
      </c>
      <c r="AO293" s="20">
        <v>634.37578433175952</v>
      </c>
      <c r="AP293" s="20">
        <v>604.35800273877408</v>
      </c>
      <c r="AQ293" s="20">
        <v>636.3769697712919</v>
      </c>
      <c r="AR293" s="20">
        <v>1251.741492427494</v>
      </c>
      <c r="AS293" s="20">
        <v>359.21278639605941</v>
      </c>
      <c r="AT293" s="20">
        <v>260.15410713920738</v>
      </c>
      <c r="AU293" s="20">
        <v>500.29635988309116</v>
      </c>
      <c r="AV293" s="20">
        <v>286.16951785312813</v>
      </c>
      <c r="AW293" s="20">
        <v>688.40779119913338</v>
      </c>
      <c r="AX293" s="20">
        <v>1463.8671490179247</v>
      </c>
      <c r="AY293" s="20">
        <v>2343.3881496923987</v>
      </c>
      <c r="AZ293" s="20">
        <v>848.5026263617226</v>
      </c>
      <c r="BA293" s="20">
        <v>1826.0817135732827</v>
      </c>
      <c r="BB293" s="20">
        <v>2657.5742636989803</v>
      </c>
      <c r="BC293" s="20">
        <v>3056.8107588856869</v>
      </c>
      <c r="BD293" s="20">
        <v>4517.6761297443127</v>
      </c>
      <c r="BE293" s="20">
        <v>1763.0443722280131</v>
      </c>
      <c r="BF293" s="20">
        <v>1070.6342101498151</v>
      </c>
      <c r="BG293" s="20">
        <v>404.23945878553764</v>
      </c>
      <c r="BH293" s="20">
        <v>1311.7770556134649</v>
      </c>
      <c r="BI293" s="20">
        <v>3182.8854415762257</v>
      </c>
      <c r="BJ293" s="20">
        <v>92.054530218488765</v>
      </c>
      <c r="BK293" s="20">
        <v>114.06757005334478</v>
      </c>
      <c r="BL293" s="20">
        <v>14.008298076726552</v>
      </c>
      <c r="BM293" s="20">
        <v>134.07942444866842</v>
      </c>
      <c r="BN293" s="20">
        <v>1167.6917039671348</v>
      </c>
      <c r="BO293" s="20">
        <v>142.08416620679787</v>
      </c>
      <c r="BP293" s="20">
        <v>3.0017781592985466</v>
      </c>
      <c r="BQ293" s="20">
        <v>614.36392993643597</v>
      </c>
      <c r="BR293" s="20">
        <v>2.0011854395323647</v>
      </c>
      <c r="BS293" s="20">
        <v>1104.6543626218652</v>
      </c>
      <c r="BT293" s="20">
        <v>0</v>
      </c>
      <c r="BU293" s="20">
        <v>61.036155905737118</v>
      </c>
      <c r="BV293" s="20">
        <v>161.09542788235535</v>
      </c>
      <c r="BW293" s="20">
        <v>36.021337911582563</v>
      </c>
      <c r="BX293" s="20">
        <v>164.09720604165389</v>
      </c>
      <c r="BY293" s="20">
        <v>0</v>
      </c>
      <c r="BZ293" s="20">
        <v>29.017188873219286</v>
      </c>
      <c r="CA293" s="20">
        <v>0</v>
      </c>
      <c r="CB293" s="20">
        <v>0</v>
      </c>
      <c r="CC293" s="20">
        <v>81.048010301060771</v>
      </c>
      <c r="CD293" s="20">
        <v>0</v>
      </c>
      <c r="CE293" s="20">
        <v>0</v>
      </c>
      <c r="CF293" s="20">
        <v>107.0634210149815</v>
      </c>
      <c r="CG293" s="20">
        <v>15.008890796492734</v>
      </c>
      <c r="CH293" s="20">
        <v>94.055715658021128</v>
      </c>
      <c r="CI293" s="20">
        <v>0</v>
      </c>
      <c r="CJ293" s="20">
        <v>0</v>
      </c>
      <c r="CK293" s="20">
        <v>0</v>
      </c>
      <c r="CL293" s="20">
        <v>0</v>
      </c>
      <c r="CM293" s="20">
        <v>805.47713941177676</v>
      </c>
      <c r="CN293" s="20">
        <v>0</v>
      </c>
      <c r="CO293" s="20">
        <v>0</v>
      </c>
      <c r="CP293" s="20">
        <v>0</v>
      </c>
      <c r="CQ293" s="20">
        <v>0</v>
      </c>
      <c r="CR293" s="20">
        <v>0</v>
      </c>
      <c r="CS293" s="20">
        <v>0</v>
      </c>
      <c r="CT293" s="20">
        <v>0</v>
      </c>
      <c r="CU293" s="20">
        <v>0</v>
      </c>
      <c r="CV293" s="20">
        <v>0</v>
      </c>
      <c r="CW293" s="20">
        <v>0</v>
      </c>
      <c r="CX293" s="20">
        <v>0</v>
      </c>
      <c r="CY293" s="20">
        <v>0</v>
      </c>
      <c r="CZ293" s="20">
        <v>0</v>
      </c>
      <c r="DA293" s="20">
        <v>0</v>
      </c>
      <c r="DB293" s="20">
        <v>0</v>
      </c>
      <c r="DC293" s="20">
        <v>0</v>
      </c>
      <c r="DD293" s="20">
        <v>0</v>
      </c>
      <c r="DE293" s="20">
        <v>0</v>
      </c>
      <c r="DF293" s="20">
        <v>0</v>
      </c>
      <c r="DG293" s="16">
        <f t="shared" si="24"/>
        <v>48955.999999999993</v>
      </c>
      <c r="DH293" s="16">
        <f t="shared" si="25"/>
        <v>2037347.8610174342</v>
      </c>
      <c r="DI293" s="17">
        <f t="shared" si="26"/>
        <v>41.615897152901269</v>
      </c>
      <c r="DJ293" s="119" t="s">
        <v>1</v>
      </c>
      <c r="DK293" s="44" t="s">
        <v>1</v>
      </c>
      <c r="DL293" s="44" t="s">
        <v>1328</v>
      </c>
      <c r="DM293" s="44"/>
    </row>
    <row r="294" spans="1:117">
      <c r="A294" s="32" t="str">
        <f t="shared" si="27"/>
        <v>Essential (Original)--&gt; 132 kV; WOOD</v>
      </c>
      <c r="B294" s="32" t="str">
        <f t="shared" si="28"/>
        <v>Essential (Original)</v>
      </c>
      <c r="C294" s="384"/>
      <c r="D294" s="14"/>
      <c r="E294" s="15" t="s">
        <v>129</v>
      </c>
      <c r="F294" s="18">
        <v>54.9</v>
      </c>
      <c r="G294" s="18">
        <v>7.4094534211370817</v>
      </c>
      <c r="H294" s="20">
        <v>0</v>
      </c>
      <c r="I294" s="20">
        <v>0</v>
      </c>
      <c r="J294" s="20">
        <v>0</v>
      </c>
      <c r="K294" s="20">
        <v>0</v>
      </c>
      <c r="L294" s="20">
        <v>0</v>
      </c>
      <c r="M294" s="20">
        <v>1.0434782608695652</v>
      </c>
      <c r="N294" s="20">
        <v>0</v>
      </c>
      <c r="O294" s="20">
        <v>0</v>
      </c>
      <c r="P294" s="20">
        <v>0</v>
      </c>
      <c r="Q294" s="20">
        <v>0</v>
      </c>
      <c r="R294" s="20">
        <v>2.0869565217391304</v>
      </c>
      <c r="S294" s="20">
        <v>0</v>
      </c>
      <c r="T294" s="20">
        <v>0</v>
      </c>
      <c r="U294" s="20">
        <v>0</v>
      </c>
      <c r="V294" s="20">
        <v>0</v>
      </c>
      <c r="W294" s="20">
        <v>0</v>
      </c>
      <c r="X294" s="20">
        <v>0</v>
      </c>
      <c r="Y294" s="20">
        <v>2.0869565217391304</v>
      </c>
      <c r="Z294" s="20">
        <v>1.0434782608695652</v>
      </c>
      <c r="AA294" s="20">
        <v>0</v>
      </c>
      <c r="AB294" s="20">
        <v>0</v>
      </c>
      <c r="AC294" s="20">
        <v>1.0434782608695652</v>
      </c>
      <c r="AD294" s="20">
        <v>0</v>
      </c>
      <c r="AE294" s="20">
        <v>2.0869565217391304</v>
      </c>
      <c r="AF294" s="20">
        <v>0</v>
      </c>
      <c r="AG294" s="20">
        <v>1.0434782608695652</v>
      </c>
      <c r="AH294" s="20">
        <v>1.0434782608695652</v>
      </c>
      <c r="AI294" s="20">
        <v>1.0434782608695652</v>
      </c>
      <c r="AJ294" s="20">
        <v>0</v>
      </c>
      <c r="AK294" s="20">
        <v>1.0434782608695652</v>
      </c>
      <c r="AL294" s="20">
        <v>0</v>
      </c>
      <c r="AM294" s="20">
        <v>0</v>
      </c>
      <c r="AN294" s="20">
        <v>0</v>
      </c>
      <c r="AO294" s="20">
        <v>0</v>
      </c>
      <c r="AP294" s="20">
        <v>0</v>
      </c>
      <c r="AQ294" s="20">
        <v>0</v>
      </c>
      <c r="AR294" s="20">
        <v>0</v>
      </c>
      <c r="AS294" s="20">
        <v>0</v>
      </c>
      <c r="AT294" s="20">
        <v>0</v>
      </c>
      <c r="AU294" s="20">
        <v>1.0434782608695652</v>
      </c>
      <c r="AV294" s="20">
        <v>0</v>
      </c>
      <c r="AW294" s="20">
        <v>0</v>
      </c>
      <c r="AX294" s="20">
        <v>1.0434782608695652</v>
      </c>
      <c r="AY294" s="20">
        <v>0</v>
      </c>
      <c r="AZ294" s="20">
        <v>1.0434782608695652</v>
      </c>
      <c r="BA294" s="20">
        <v>0</v>
      </c>
      <c r="BB294" s="20">
        <v>0</v>
      </c>
      <c r="BC294" s="20">
        <v>0</v>
      </c>
      <c r="BD294" s="20">
        <v>0</v>
      </c>
      <c r="BE294" s="20">
        <v>1.0434782608695652</v>
      </c>
      <c r="BF294" s="20">
        <v>1.0434782608695652</v>
      </c>
      <c r="BG294" s="20">
        <v>0</v>
      </c>
      <c r="BH294" s="20">
        <v>4.1739130434782608</v>
      </c>
      <c r="BI294" s="20">
        <v>0</v>
      </c>
      <c r="BJ294" s="20">
        <v>0</v>
      </c>
      <c r="BK294" s="20">
        <v>1.0434782608695652</v>
      </c>
      <c r="BL294" s="20">
        <v>0</v>
      </c>
      <c r="BM294" s="20">
        <v>0</v>
      </c>
      <c r="BN294" s="20">
        <v>0</v>
      </c>
      <c r="BO294" s="20">
        <v>0</v>
      </c>
      <c r="BP294" s="20">
        <v>0</v>
      </c>
      <c r="BQ294" s="20">
        <v>0</v>
      </c>
      <c r="BR294" s="20">
        <v>0</v>
      </c>
      <c r="BS294" s="20">
        <v>0</v>
      </c>
      <c r="BT294" s="20">
        <v>0</v>
      </c>
      <c r="BU294" s="20">
        <v>0</v>
      </c>
      <c r="BV294" s="20">
        <v>0</v>
      </c>
      <c r="BW294" s="20">
        <v>0</v>
      </c>
      <c r="BX294" s="20">
        <v>0</v>
      </c>
      <c r="BY294" s="20">
        <v>0</v>
      </c>
      <c r="BZ294" s="20">
        <v>0</v>
      </c>
      <c r="CA294" s="20">
        <v>0</v>
      </c>
      <c r="CB294" s="20">
        <v>0</v>
      </c>
      <c r="CC294" s="20">
        <v>0</v>
      </c>
      <c r="CD294" s="20">
        <v>0</v>
      </c>
      <c r="CE294" s="20">
        <v>0</v>
      </c>
      <c r="CF294" s="20">
        <v>0</v>
      </c>
      <c r="CG294" s="20">
        <v>0</v>
      </c>
      <c r="CH294" s="20">
        <v>0</v>
      </c>
      <c r="CI294" s="20">
        <v>0</v>
      </c>
      <c r="CJ294" s="20">
        <v>0</v>
      </c>
      <c r="CK294" s="20">
        <v>0</v>
      </c>
      <c r="CL294" s="20">
        <v>0</v>
      </c>
      <c r="CM294" s="20">
        <v>0</v>
      </c>
      <c r="CN294" s="20">
        <v>0</v>
      </c>
      <c r="CO294" s="20">
        <v>0</v>
      </c>
      <c r="CP294" s="20">
        <v>0</v>
      </c>
      <c r="CQ294" s="20">
        <v>0</v>
      </c>
      <c r="CR294" s="20">
        <v>0</v>
      </c>
      <c r="CS294" s="20">
        <v>0</v>
      </c>
      <c r="CT294" s="20">
        <v>0</v>
      </c>
      <c r="CU294" s="20">
        <v>0</v>
      </c>
      <c r="CV294" s="20">
        <v>0</v>
      </c>
      <c r="CW294" s="20">
        <v>0</v>
      </c>
      <c r="CX294" s="20">
        <v>0</v>
      </c>
      <c r="CY294" s="20">
        <v>0</v>
      </c>
      <c r="CZ294" s="20">
        <v>0</v>
      </c>
      <c r="DA294" s="20">
        <v>0</v>
      </c>
      <c r="DB294" s="20">
        <v>0</v>
      </c>
      <c r="DC294" s="20">
        <v>0</v>
      </c>
      <c r="DD294" s="20">
        <v>0</v>
      </c>
      <c r="DE294" s="20">
        <v>0</v>
      </c>
      <c r="DF294" s="20">
        <v>0</v>
      </c>
      <c r="DG294" s="16">
        <f t="shared" si="24"/>
        <v>24</v>
      </c>
      <c r="DH294" s="16">
        <f t="shared" si="25"/>
        <v>794.08695652173913</v>
      </c>
      <c r="DI294" s="17">
        <f t="shared" si="26"/>
        <v>33.086956521739133</v>
      </c>
      <c r="DJ294" s="119" t="s">
        <v>1</v>
      </c>
      <c r="DK294" s="44" t="s">
        <v>1</v>
      </c>
      <c r="DL294" s="44" t="s">
        <v>1328</v>
      </c>
      <c r="DM294" s="44"/>
    </row>
    <row r="295" spans="1:117">
      <c r="A295" s="32" t="str">
        <f t="shared" si="27"/>
        <v>Essential (Original)--˂ = 1 kV; CONCRETE</v>
      </c>
      <c r="B295" s="32" t="str">
        <f t="shared" si="28"/>
        <v>Essential (Original)</v>
      </c>
      <c r="C295" s="384"/>
      <c r="D295" s="14"/>
      <c r="E295" s="15" t="s">
        <v>131</v>
      </c>
      <c r="F295" s="18">
        <v>53.8</v>
      </c>
      <c r="G295" s="18">
        <v>7.334848328356899</v>
      </c>
      <c r="H295" s="20">
        <v>187.33411488862836</v>
      </c>
      <c r="I295" s="20">
        <v>303.64595545134819</v>
      </c>
      <c r="J295" s="20">
        <v>357.16998827667055</v>
      </c>
      <c r="K295" s="20">
        <v>279.97186400937869</v>
      </c>
      <c r="L295" s="20">
        <v>295.41148886283702</v>
      </c>
      <c r="M295" s="20">
        <v>324.23212192262605</v>
      </c>
      <c r="N295" s="20">
        <v>317.02696365767878</v>
      </c>
      <c r="O295" s="20">
        <v>221.30128956623682</v>
      </c>
      <c r="P295" s="20">
        <v>341.73036342321217</v>
      </c>
      <c r="Q295" s="20">
        <v>266.59085580304804</v>
      </c>
      <c r="R295" s="20">
        <v>304.67526377491208</v>
      </c>
      <c r="S295" s="20">
        <v>385.99062133645953</v>
      </c>
      <c r="T295" s="20">
        <v>424.07502930832356</v>
      </c>
      <c r="U295" s="20">
        <v>859.47245017584999</v>
      </c>
      <c r="V295" s="20">
        <v>194.53927315357561</v>
      </c>
      <c r="W295" s="20">
        <v>329.37866354044547</v>
      </c>
      <c r="X295" s="20">
        <v>350.99413833528723</v>
      </c>
      <c r="Y295" s="20">
        <v>466.27667057444313</v>
      </c>
      <c r="Z295" s="20">
        <v>969.6084407971864</v>
      </c>
      <c r="AA295" s="20">
        <v>673.16764361078549</v>
      </c>
      <c r="AB295" s="20">
        <v>712.28135990621331</v>
      </c>
      <c r="AC295" s="20">
        <v>578.4712778429074</v>
      </c>
      <c r="AD295" s="20">
        <v>780.21570926143022</v>
      </c>
      <c r="AE295" s="20">
        <v>673.16764361078549</v>
      </c>
      <c r="AF295" s="20">
        <v>735.95545134818292</v>
      </c>
      <c r="AG295" s="20">
        <v>462.15943728018755</v>
      </c>
      <c r="AH295" s="20">
        <v>355.11137162954282</v>
      </c>
      <c r="AI295" s="20">
        <v>426.13364595545136</v>
      </c>
      <c r="AJ295" s="20">
        <v>275.85463071512311</v>
      </c>
      <c r="AK295" s="20">
        <v>150.27901524032825</v>
      </c>
      <c r="AL295" s="20">
        <v>69.992966002344673</v>
      </c>
      <c r="AM295" s="20">
        <v>32.937866354044552</v>
      </c>
      <c r="AN295" s="20">
        <v>40.143024618991795</v>
      </c>
      <c r="AO295" s="20">
        <v>162.63071512309497</v>
      </c>
      <c r="AP295" s="20">
        <v>3.0879249706916765</v>
      </c>
      <c r="AQ295" s="20">
        <v>32.937866354044552</v>
      </c>
      <c r="AR295" s="20">
        <v>2.0586166471277845</v>
      </c>
      <c r="AS295" s="20">
        <v>9.2637749120750286</v>
      </c>
      <c r="AT295" s="20">
        <v>11.322391559202813</v>
      </c>
      <c r="AU295" s="20">
        <v>25.732708089097304</v>
      </c>
      <c r="AV295" s="20">
        <v>8.2344665885111379</v>
      </c>
      <c r="AW295" s="20">
        <v>0</v>
      </c>
      <c r="AX295" s="20">
        <v>21.615474794841735</v>
      </c>
      <c r="AY295" s="20">
        <v>57.641266119577963</v>
      </c>
      <c r="AZ295" s="20">
        <v>1.0293083235638922</v>
      </c>
      <c r="BA295" s="20">
        <v>2.0586166471277845</v>
      </c>
      <c r="BB295" s="20">
        <v>5.1465416178194605</v>
      </c>
      <c r="BC295" s="20">
        <v>33.96717467760844</v>
      </c>
      <c r="BD295" s="20">
        <v>34.996483001172336</v>
      </c>
      <c r="BE295" s="20">
        <v>2.0586166471277845</v>
      </c>
      <c r="BF295" s="20">
        <v>2.0586166471277845</v>
      </c>
      <c r="BG295" s="20">
        <v>13.381008206330598</v>
      </c>
      <c r="BH295" s="20">
        <v>83.373974208675264</v>
      </c>
      <c r="BI295" s="20">
        <v>174.98241500586167</v>
      </c>
      <c r="BJ295" s="20">
        <v>0</v>
      </c>
      <c r="BK295" s="20">
        <v>10.293083235638921</v>
      </c>
      <c r="BL295" s="20">
        <v>3.0879249706916765</v>
      </c>
      <c r="BM295" s="20">
        <v>4.1172332942555689</v>
      </c>
      <c r="BN295" s="20">
        <v>7.2051582649472454</v>
      </c>
      <c r="BO295" s="20">
        <v>0</v>
      </c>
      <c r="BP295" s="20">
        <v>0</v>
      </c>
      <c r="BQ295" s="20">
        <v>44.260257913247365</v>
      </c>
      <c r="BR295" s="20">
        <v>0</v>
      </c>
      <c r="BS295" s="20">
        <v>94.696365767878078</v>
      </c>
      <c r="BT295" s="20">
        <v>0</v>
      </c>
      <c r="BU295" s="20">
        <v>36.025791324736225</v>
      </c>
      <c r="BV295" s="20">
        <v>0</v>
      </c>
      <c r="BW295" s="20">
        <v>0</v>
      </c>
      <c r="BX295" s="20">
        <v>0</v>
      </c>
      <c r="BY295" s="20">
        <v>0</v>
      </c>
      <c r="BZ295" s="20">
        <v>0</v>
      </c>
      <c r="CA295" s="20">
        <v>0</v>
      </c>
      <c r="CB295" s="20">
        <v>0</v>
      </c>
      <c r="CC295" s="20">
        <v>10.293083235638921</v>
      </c>
      <c r="CD295" s="20">
        <v>0</v>
      </c>
      <c r="CE295" s="20">
        <v>0</v>
      </c>
      <c r="CF295" s="20">
        <v>2.0586166471277845</v>
      </c>
      <c r="CG295" s="20">
        <v>0</v>
      </c>
      <c r="CH295" s="20">
        <v>0</v>
      </c>
      <c r="CI295" s="20">
        <v>0</v>
      </c>
      <c r="CJ295" s="20">
        <v>0</v>
      </c>
      <c r="CK295" s="20">
        <v>0</v>
      </c>
      <c r="CL295" s="20">
        <v>0</v>
      </c>
      <c r="CM295" s="20">
        <v>2.0586166471277845</v>
      </c>
      <c r="CN295" s="20">
        <v>0</v>
      </c>
      <c r="CO295" s="20">
        <v>0</v>
      </c>
      <c r="CP295" s="20">
        <v>0</v>
      </c>
      <c r="CQ295" s="20">
        <v>0</v>
      </c>
      <c r="CR295" s="20">
        <v>0</v>
      </c>
      <c r="CS295" s="20">
        <v>0</v>
      </c>
      <c r="CT295" s="20">
        <v>1.0293083235638922</v>
      </c>
      <c r="CU295" s="20">
        <v>0</v>
      </c>
      <c r="CV295" s="20">
        <v>0</v>
      </c>
      <c r="CW295" s="20">
        <v>0</v>
      </c>
      <c r="CX295" s="20">
        <v>0</v>
      </c>
      <c r="CY295" s="20">
        <v>0</v>
      </c>
      <c r="CZ295" s="20">
        <v>0</v>
      </c>
      <c r="DA295" s="20">
        <v>0</v>
      </c>
      <c r="DB295" s="20">
        <v>0</v>
      </c>
      <c r="DC295" s="20">
        <v>0</v>
      </c>
      <c r="DD295" s="20">
        <v>0</v>
      </c>
      <c r="DE295" s="20">
        <v>0</v>
      </c>
      <c r="DF295" s="20">
        <v>0</v>
      </c>
      <c r="DG295" s="16">
        <f t="shared" si="24"/>
        <v>14048.000000000004</v>
      </c>
      <c r="DH295" s="16">
        <f t="shared" si="25"/>
        <v>271690.04923798353</v>
      </c>
      <c r="DI295" s="17">
        <f t="shared" si="26"/>
        <v>19.340123094958958</v>
      </c>
      <c r="DJ295" s="119" t="s">
        <v>1</v>
      </c>
      <c r="DK295" s="44" t="s">
        <v>1</v>
      </c>
      <c r="DL295" s="44" t="s">
        <v>1329</v>
      </c>
      <c r="DM295" s="44"/>
    </row>
    <row r="296" spans="1:117">
      <c r="A296" s="32" t="str">
        <f t="shared" si="27"/>
        <v>Essential (Original)--&gt; 1 kV &amp; &lt; = 11 kV; CONCRETE</v>
      </c>
      <c r="B296" s="32" t="str">
        <f t="shared" si="28"/>
        <v>Essential (Original)</v>
      </c>
      <c r="C296" s="384"/>
      <c r="D296" s="14"/>
      <c r="E296" s="15" t="s">
        <v>133</v>
      </c>
      <c r="F296" s="18">
        <v>53.8</v>
      </c>
      <c r="G296" s="18">
        <v>7.334848328356899</v>
      </c>
      <c r="H296" s="20">
        <v>219.15390697061537</v>
      </c>
      <c r="I296" s="20">
        <v>482.33873588966486</v>
      </c>
      <c r="J296" s="20">
        <v>401.28181139368382</v>
      </c>
      <c r="K296" s="20">
        <v>324.22769798392409</v>
      </c>
      <c r="L296" s="20">
        <v>383.26916150568803</v>
      </c>
      <c r="M296" s="20">
        <v>520.36544120876704</v>
      </c>
      <c r="N296" s="20">
        <v>559.3928492994246</v>
      </c>
      <c r="O296" s="20">
        <v>558.39214652786927</v>
      </c>
      <c r="P296" s="20">
        <v>698.49053454561431</v>
      </c>
      <c r="Q296" s="20">
        <v>558.39214652786927</v>
      </c>
      <c r="R296" s="20">
        <v>607.42658233408008</v>
      </c>
      <c r="S296" s="20">
        <v>745.52356480871435</v>
      </c>
      <c r="T296" s="20">
        <v>739.5193481793824</v>
      </c>
      <c r="U296" s="20">
        <v>837.58821979180391</v>
      </c>
      <c r="V296" s="20">
        <v>426.29938068256689</v>
      </c>
      <c r="W296" s="20">
        <v>465.32678877322439</v>
      </c>
      <c r="X296" s="20">
        <v>526.36965783809899</v>
      </c>
      <c r="Y296" s="20">
        <v>704.49475117494615</v>
      </c>
      <c r="Z296" s="20">
        <v>1098.7716431677427</v>
      </c>
      <c r="AA296" s="20">
        <v>1261.8861949312602</v>
      </c>
      <c r="AB296" s="20">
        <v>1160.8152150041726</v>
      </c>
      <c r="AC296" s="20">
        <v>849.59665305046781</v>
      </c>
      <c r="AD296" s="20">
        <v>1699.1933061009356</v>
      </c>
      <c r="AE296" s="20">
        <v>1082.7603988228577</v>
      </c>
      <c r="AF296" s="20">
        <v>996.69996046910001</v>
      </c>
      <c r="AG296" s="20">
        <v>1385.97333860412</v>
      </c>
      <c r="AH296" s="20">
        <v>1478.0379935872095</v>
      </c>
      <c r="AI296" s="20">
        <v>761.53480915359955</v>
      </c>
      <c r="AJ296" s="20">
        <v>413.29024465234772</v>
      </c>
      <c r="AK296" s="20">
        <v>187.13141828084508</v>
      </c>
      <c r="AL296" s="20">
        <v>211.1482847981728</v>
      </c>
      <c r="AM296" s="20">
        <v>81.056924495981022</v>
      </c>
      <c r="AN296" s="20">
        <v>24.01686651732771</v>
      </c>
      <c r="AO296" s="20">
        <v>76.053410638204426</v>
      </c>
      <c r="AP296" s="20">
        <v>8.0056221724425711</v>
      </c>
      <c r="AQ296" s="20">
        <v>5.0035138577766061</v>
      </c>
      <c r="AR296" s="20">
        <v>5.0035138577766061</v>
      </c>
      <c r="AS296" s="20">
        <v>3.0021083146659637</v>
      </c>
      <c r="AT296" s="20">
        <v>3.0021083146659637</v>
      </c>
      <c r="AU296" s="20">
        <v>3.0021083146659637</v>
      </c>
      <c r="AV296" s="20">
        <v>2.0014055431106428</v>
      </c>
      <c r="AW296" s="20">
        <v>1.0007027715553214</v>
      </c>
      <c r="AX296" s="20">
        <v>2.0014055431106428</v>
      </c>
      <c r="AY296" s="20">
        <v>3.0021083146659637</v>
      </c>
      <c r="AZ296" s="20">
        <v>3.0021083146659637</v>
      </c>
      <c r="BA296" s="20">
        <v>3.0021083146659637</v>
      </c>
      <c r="BB296" s="20">
        <v>8.0056221724425711</v>
      </c>
      <c r="BC296" s="20">
        <v>26.018272060438353</v>
      </c>
      <c r="BD296" s="20">
        <v>5.0035138577766061</v>
      </c>
      <c r="BE296" s="20">
        <v>1.0007027715553214</v>
      </c>
      <c r="BF296" s="20">
        <v>0</v>
      </c>
      <c r="BG296" s="20">
        <v>5.0035138577766061</v>
      </c>
      <c r="BH296" s="20">
        <v>79.055518952870386</v>
      </c>
      <c r="BI296" s="20">
        <v>11.007730487108534</v>
      </c>
      <c r="BJ296" s="20">
        <v>2.0014055431106428</v>
      </c>
      <c r="BK296" s="20">
        <v>0</v>
      </c>
      <c r="BL296" s="20">
        <v>3.0021083146659637</v>
      </c>
      <c r="BM296" s="20">
        <v>0</v>
      </c>
      <c r="BN296" s="20">
        <v>0</v>
      </c>
      <c r="BO296" s="20">
        <v>0</v>
      </c>
      <c r="BP296" s="20">
        <v>1.0007027715553214</v>
      </c>
      <c r="BQ296" s="20">
        <v>23.016163745772388</v>
      </c>
      <c r="BR296" s="20">
        <v>1.0007027715553214</v>
      </c>
      <c r="BS296" s="20">
        <v>39.027408090657531</v>
      </c>
      <c r="BT296" s="20">
        <v>0</v>
      </c>
      <c r="BU296" s="20">
        <v>0</v>
      </c>
      <c r="BV296" s="20">
        <v>0</v>
      </c>
      <c r="BW296" s="20">
        <v>0</v>
      </c>
      <c r="BX296" s="20">
        <v>0</v>
      </c>
      <c r="BY296" s="20">
        <v>0</v>
      </c>
      <c r="BZ296" s="20">
        <v>0</v>
      </c>
      <c r="CA296" s="20">
        <v>0</v>
      </c>
      <c r="CB296" s="20">
        <v>0</v>
      </c>
      <c r="CC296" s="20">
        <v>8.0056221724425711</v>
      </c>
      <c r="CD296" s="20">
        <v>0</v>
      </c>
      <c r="CE296" s="20">
        <v>0</v>
      </c>
      <c r="CF296" s="20">
        <v>0</v>
      </c>
      <c r="CG296" s="20">
        <v>0</v>
      </c>
      <c r="CH296" s="20">
        <v>0</v>
      </c>
      <c r="CI296" s="20">
        <v>0</v>
      </c>
      <c r="CJ296" s="20">
        <v>0</v>
      </c>
      <c r="CK296" s="20">
        <v>0</v>
      </c>
      <c r="CL296" s="20">
        <v>0</v>
      </c>
      <c r="CM296" s="20">
        <v>4.0028110862212856</v>
      </c>
      <c r="CN296" s="20">
        <v>0</v>
      </c>
      <c r="CO296" s="20">
        <v>0</v>
      </c>
      <c r="CP296" s="20">
        <v>0</v>
      </c>
      <c r="CQ296" s="20">
        <v>0</v>
      </c>
      <c r="CR296" s="20">
        <v>0</v>
      </c>
      <c r="CS296" s="20">
        <v>0</v>
      </c>
      <c r="CT296" s="20">
        <v>0</v>
      </c>
      <c r="CU296" s="20">
        <v>0</v>
      </c>
      <c r="CV296" s="20">
        <v>0</v>
      </c>
      <c r="CW296" s="20">
        <v>0</v>
      </c>
      <c r="CX296" s="20">
        <v>0</v>
      </c>
      <c r="CY296" s="20">
        <v>0</v>
      </c>
      <c r="CZ296" s="20">
        <v>0</v>
      </c>
      <c r="DA296" s="20">
        <v>0</v>
      </c>
      <c r="DB296" s="20">
        <v>0</v>
      </c>
      <c r="DC296" s="20">
        <v>0</v>
      </c>
      <c r="DD296" s="20">
        <v>0</v>
      </c>
      <c r="DE296" s="20">
        <v>0</v>
      </c>
      <c r="DF296" s="20">
        <v>0</v>
      </c>
      <c r="DG296" s="16">
        <f t="shared" si="24"/>
        <v>22782.999999999993</v>
      </c>
      <c r="DH296" s="16">
        <f t="shared" si="25"/>
        <v>421799.22031888255</v>
      </c>
      <c r="DI296" s="17">
        <f t="shared" si="26"/>
        <v>18.513769930162081</v>
      </c>
      <c r="DJ296" s="119" t="s">
        <v>1</v>
      </c>
      <c r="DK296" s="44" t="s">
        <v>1</v>
      </c>
      <c r="DL296" s="44" t="s">
        <v>1329</v>
      </c>
      <c r="DM296" s="44"/>
    </row>
    <row r="297" spans="1:117">
      <c r="A297" s="32" t="str">
        <f t="shared" si="27"/>
        <v>Essential (Original)--˃ 11 kV &amp; &lt; = 22 kV; CONCRETE</v>
      </c>
      <c r="B297" s="32" t="str">
        <f t="shared" si="28"/>
        <v>Essential (Original)</v>
      </c>
      <c r="C297" s="384"/>
      <c r="D297" s="14"/>
      <c r="E297" s="15" t="s">
        <v>153</v>
      </c>
      <c r="F297" s="18">
        <v>53.8</v>
      </c>
      <c r="G297" s="18">
        <v>7.334848328356899</v>
      </c>
      <c r="H297" s="20">
        <v>218.02391294809354</v>
      </c>
      <c r="I297" s="20">
        <v>479.05254267035235</v>
      </c>
      <c r="J297" s="20">
        <v>694.0761265411785</v>
      </c>
      <c r="K297" s="20">
        <v>511.05605282787064</v>
      </c>
      <c r="L297" s="20">
        <v>605.06636391558072</v>
      </c>
      <c r="M297" s="20">
        <v>650.07130007459079</v>
      </c>
      <c r="N297" s="20">
        <v>893.09795533324564</v>
      </c>
      <c r="O297" s="20">
        <v>1255.1376639901716</v>
      </c>
      <c r="P297" s="20">
        <v>956.10486595585974</v>
      </c>
      <c r="Q297" s="20">
        <v>876.09609056206398</v>
      </c>
      <c r="R297" s="20">
        <v>742.08139177745602</v>
      </c>
      <c r="S297" s="20">
        <v>1081.1185775086658</v>
      </c>
      <c r="T297" s="20">
        <v>1213.1330569084287</v>
      </c>
      <c r="U297" s="20">
        <v>1011.1108990390944</v>
      </c>
      <c r="V297" s="20">
        <v>475.05210390066253</v>
      </c>
      <c r="W297" s="20">
        <v>659.07228730639292</v>
      </c>
      <c r="X297" s="20">
        <v>787.0863279364662</v>
      </c>
      <c r="Y297" s="20">
        <v>904.0991619498925</v>
      </c>
      <c r="Z297" s="20">
        <v>3579.3925891799395</v>
      </c>
      <c r="AA297" s="20">
        <v>5019.550546268264</v>
      </c>
      <c r="AB297" s="20">
        <v>1996.2189460752052</v>
      </c>
      <c r="AC297" s="20">
        <v>2346.2573384230618</v>
      </c>
      <c r="AD297" s="20">
        <v>402.04409635382387</v>
      </c>
      <c r="AE297" s="20">
        <v>739.08106270018868</v>
      </c>
      <c r="AF297" s="20">
        <v>3267.3583651441359</v>
      </c>
      <c r="AG297" s="20">
        <v>3905.4283489096574</v>
      </c>
      <c r="AH297" s="20">
        <v>2715.2978149269447</v>
      </c>
      <c r="AI297" s="20">
        <v>2381.2611776578474</v>
      </c>
      <c r="AJ297" s="20">
        <v>1913.209841604142</v>
      </c>
      <c r="AK297" s="20">
        <v>1640.1798955728138</v>
      </c>
      <c r="AL297" s="20">
        <v>418.04585143258305</v>
      </c>
      <c r="AM297" s="20">
        <v>521.05714975209514</v>
      </c>
      <c r="AN297" s="20">
        <v>71.007788161993773</v>
      </c>
      <c r="AO297" s="20">
        <v>235.02577771927514</v>
      </c>
      <c r="AP297" s="20">
        <v>2.000219384844895</v>
      </c>
      <c r="AQ297" s="20">
        <v>8.0008775393795801</v>
      </c>
      <c r="AR297" s="20">
        <v>5.0005484621122376</v>
      </c>
      <c r="AS297" s="20">
        <v>4.0004387696897901</v>
      </c>
      <c r="AT297" s="20">
        <v>3.0003290772673425</v>
      </c>
      <c r="AU297" s="20">
        <v>6.0006581545346851</v>
      </c>
      <c r="AV297" s="20">
        <v>7.0007678469571326</v>
      </c>
      <c r="AW297" s="20">
        <v>9.0009872318020268</v>
      </c>
      <c r="AX297" s="20">
        <v>5.0005484621122376</v>
      </c>
      <c r="AY297" s="20">
        <v>9.0009872318020268</v>
      </c>
      <c r="AZ297" s="20">
        <v>10.001096924224475</v>
      </c>
      <c r="BA297" s="20">
        <v>37.004058619630555</v>
      </c>
      <c r="BB297" s="20">
        <v>2.000219384844895</v>
      </c>
      <c r="BC297" s="20">
        <v>19.002084156026502</v>
      </c>
      <c r="BD297" s="20">
        <v>144.01579570883243</v>
      </c>
      <c r="BE297" s="20">
        <v>6.0006581545346851</v>
      </c>
      <c r="BF297" s="20">
        <v>2.000219384844895</v>
      </c>
      <c r="BG297" s="20">
        <v>1.0001096924224475</v>
      </c>
      <c r="BH297" s="20">
        <v>3.0003290772673425</v>
      </c>
      <c r="BI297" s="20">
        <v>45.004936159010136</v>
      </c>
      <c r="BJ297" s="20">
        <v>19.002084156026502</v>
      </c>
      <c r="BK297" s="20">
        <v>25.002742310561185</v>
      </c>
      <c r="BL297" s="20">
        <v>0</v>
      </c>
      <c r="BM297" s="20">
        <v>0</v>
      </c>
      <c r="BN297" s="20">
        <v>4.0004387696897901</v>
      </c>
      <c r="BO297" s="20">
        <v>0</v>
      </c>
      <c r="BP297" s="20">
        <v>0</v>
      </c>
      <c r="BQ297" s="20">
        <v>1.0001096924224475</v>
      </c>
      <c r="BR297" s="20">
        <v>0</v>
      </c>
      <c r="BS297" s="20">
        <v>12.00131630906937</v>
      </c>
      <c r="BT297" s="20">
        <v>1.0001096924224475</v>
      </c>
      <c r="BU297" s="20">
        <v>0</v>
      </c>
      <c r="BV297" s="20">
        <v>0</v>
      </c>
      <c r="BW297" s="20">
        <v>0</v>
      </c>
      <c r="BX297" s="20">
        <v>0</v>
      </c>
      <c r="BY297" s="20">
        <v>0</v>
      </c>
      <c r="BZ297" s="20">
        <v>0</v>
      </c>
      <c r="CA297" s="20">
        <v>0</v>
      </c>
      <c r="CB297" s="20">
        <v>0</v>
      </c>
      <c r="CC297" s="20">
        <v>36.003948927208107</v>
      </c>
      <c r="CD297" s="20">
        <v>0</v>
      </c>
      <c r="CE297" s="20">
        <v>0</v>
      </c>
      <c r="CF297" s="20">
        <v>0</v>
      </c>
      <c r="CG297" s="20">
        <v>0</v>
      </c>
      <c r="CH297" s="20">
        <v>0</v>
      </c>
      <c r="CI297" s="20">
        <v>0</v>
      </c>
      <c r="CJ297" s="20">
        <v>0</v>
      </c>
      <c r="CK297" s="20">
        <v>0</v>
      </c>
      <c r="CL297" s="20">
        <v>0</v>
      </c>
      <c r="CM297" s="20">
        <v>1.0001096924224475</v>
      </c>
      <c r="CN297" s="20">
        <v>0</v>
      </c>
      <c r="CO297" s="20">
        <v>0</v>
      </c>
      <c r="CP297" s="20">
        <v>0</v>
      </c>
      <c r="CQ297" s="20">
        <v>0</v>
      </c>
      <c r="CR297" s="20">
        <v>0</v>
      </c>
      <c r="CS297" s="20">
        <v>0</v>
      </c>
      <c r="CT297" s="20">
        <v>0</v>
      </c>
      <c r="CU297" s="20">
        <v>0</v>
      </c>
      <c r="CV297" s="20">
        <v>0</v>
      </c>
      <c r="CW297" s="20">
        <v>0</v>
      </c>
      <c r="CX297" s="20">
        <v>0</v>
      </c>
      <c r="CY297" s="20">
        <v>0</v>
      </c>
      <c r="CZ297" s="20">
        <v>0</v>
      </c>
      <c r="DA297" s="20">
        <v>0</v>
      </c>
      <c r="DB297" s="20">
        <v>0</v>
      </c>
      <c r="DC297" s="20">
        <v>0</v>
      </c>
      <c r="DD297" s="20">
        <v>0</v>
      </c>
      <c r="DE297" s="20">
        <v>0</v>
      </c>
      <c r="DF297" s="20">
        <v>0</v>
      </c>
      <c r="DG297" s="16">
        <f t="shared" si="24"/>
        <v>45587</v>
      </c>
      <c r="DH297" s="16">
        <f t="shared" si="25"/>
        <v>922978.2326137512</v>
      </c>
      <c r="DI297" s="17">
        <f t="shared" si="26"/>
        <v>20.24652275020842</v>
      </c>
      <c r="DJ297" s="119" t="s">
        <v>1</v>
      </c>
      <c r="DK297" s="44" t="s">
        <v>1</v>
      </c>
      <c r="DL297" s="44" t="s">
        <v>1329</v>
      </c>
      <c r="DM297" s="44"/>
    </row>
    <row r="298" spans="1:117">
      <c r="A298" s="32" t="str">
        <f t="shared" si="27"/>
        <v>Essential (Original)--&gt; 22 kV &amp; &lt; = 66 kV; CONCRETE</v>
      </c>
      <c r="B298" s="32" t="str">
        <f t="shared" si="28"/>
        <v>Essential (Original)</v>
      </c>
      <c r="C298" s="384"/>
      <c r="D298" s="14"/>
      <c r="E298" s="15" t="s">
        <v>155</v>
      </c>
      <c r="F298" s="18">
        <v>54.9</v>
      </c>
      <c r="G298" s="18">
        <v>7.4094534211370817</v>
      </c>
      <c r="H298" s="20">
        <v>123.07323608216731</v>
      </c>
      <c r="I298" s="20">
        <v>124.07383149746948</v>
      </c>
      <c r="J298" s="20">
        <v>191.11372432271509</v>
      </c>
      <c r="K298" s="20">
        <v>326.19410538850849</v>
      </c>
      <c r="L298" s="20">
        <v>284.16909794581721</v>
      </c>
      <c r="M298" s="20">
        <v>271.16135754688895</v>
      </c>
      <c r="N298" s="20">
        <v>187.1113426615064</v>
      </c>
      <c r="O298" s="20">
        <v>238.14170884191725</v>
      </c>
      <c r="P298" s="20">
        <v>222.13218219708247</v>
      </c>
      <c r="Q298" s="20">
        <v>134.07978565049123</v>
      </c>
      <c r="R298" s="20">
        <v>132.07859481988686</v>
      </c>
      <c r="S298" s="20">
        <v>214.12741887466507</v>
      </c>
      <c r="T298" s="20">
        <v>382.22744864543017</v>
      </c>
      <c r="U298" s="20">
        <v>551.32807383149748</v>
      </c>
      <c r="V298" s="20">
        <v>138.08216731169992</v>
      </c>
      <c r="W298" s="20">
        <v>183.10896100029771</v>
      </c>
      <c r="X298" s="20">
        <v>117.06966359035427</v>
      </c>
      <c r="Y298" s="20">
        <v>73.043465317058647</v>
      </c>
      <c r="Z298" s="20">
        <v>637.37927954748432</v>
      </c>
      <c r="AA298" s="20">
        <v>1290.7680857398036</v>
      </c>
      <c r="AB298" s="20">
        <v>793.47216433462336</v>
      </c>
      <c r="AC298" s="20">
        <v>579.34474545995829</v>
      </c>
      <c r="AD298" s="20">
        <v>367.21851741589757</v>
      </c>
      <c r="AE298" s="20">
        <v>293.17445668353679</v>
      </c>
      <c r="AF298" s="20">
        <v>239.14230425721942</v>
      </c>
      <c r="AG298" s="20">
        <v>140.08335814230426</v>
      </c>
      <c r="AH298" s="20">
        <v>614.36558499553439</v>
      </c>
      <c r="AI298" s="20">
        <v>148.08812146472164</v>
      </c>
      <c r="AJ298" s="20">
        <v>204.12146472164335</v>
      </c>
      <c r="AK298" s="20">
        <v>151.08990771062815</v>
      </c>
      <c r="AL298" s="20">
        <v>3.0017862459065197</v>
      </c>
      <c r="AM298" s="20">
        <v>672.40011908306042</v>
      </c>
      <c r="AN298" s="20">
        <v>9.0053587377195594</v>
      </c>
      <c r="AO298" s="20">
        <v>2.0011908306043464</v>
      </c>
      <c r="AP298" s="20">
        <v>0</v>
      </c>
      <c r="AQ298" s="20">
        <v>2.0011908306043464</v>
      </c>
      <c r="AR298" s="20">
        <v>0</v>
      </c>
      <c r="AS298" s="20">
        <v>9.0053587377195594</v>
      </c>
      <c r="AT298" s="20">
        <v>1.0005954153021732</v>
      </c>
      <c r="AU298" s="20">
        <v>1.0005954153021732</v>
      </c>
      <c r="AV298" s="20">
        <v>0</v>
      </c>
      <c r="AW298" s="20">
        <v>0</v>
      </c>
      <c r="AX298" s="20">
        <v>2.0011908306043464</v>
      </c>
      <c r="AY298" s="20">
        <v>3.0017862459065197</v>
      </c>
      <c r="AZ298" s="20">
        <v>0</v>
      </c>
      <c r="BA298" s="20">
        <v>5.0029770765108665</v>
      </c>
      <c r="BB298" s="20">
        <v>10.005954153021733</v>
      </c>
      <c r="BC298" s="20">
        <v>8.0047633224173858</v>
      </c>
      <c r="BD298" s="20">
        <v>0</v>
      </c>
      <c r="BE298" s="20">
        <v>0</v>
      </c>
      <c r="BF298" s="20">
        <v>1.0005954153021732</v>
      </c>
      <c r="BG298" s="20">
        <v>0</v>
      </c>
      <c r="BH298" s="20">
        <v>1.0005954153021732</v>
      </c>
      <c r="BI298" s="20">
        <v>0</v>
      </c>
      <c r="BJ298" s="20">
        <v>1.0005954153021732</v>
      </c>
      <c r="BK298" s="20">
        <v>0</v>
      </c>
      <c r="BL298" s="20">
        <v>0</v>
      </c>
      <c r="BM298" s="20">
        <v>2.0011908306043464</v>
      </c>
      <c r="BN298" s="20">
        <v>0</v>
      </c>
      <c r="BO298" s="20">
        <v>0</v>
      </c>
      <c r="BP298" s="20">
        <v>0</v>
      </c>
      <c r="BQ298" s="20">
        <v>0</v>
      </c>
      <c r="BR298" s="20">
        <v>0</v>
      </c>
      <c r="BS298" s="20">
        <v>0</v>
      </c>
      <c r="BT298" s="20">
        <v>0</v>
      </c>
      <c r="BU298" s="20">
        <v>0</v>
      </c>
      <c r="BV298" s="20">
        <v>0</v>
      </c>
      <c r="BW298" s="20">
        <v>0</v>
      </c>
      <c r="BX298" s="20">
        <v>0</v>
      </c>
      <c r="BY298" s="20">
        <v>0</v>
      </c>
      <c r="BZ298" s="20">
        <v>0</v>
      </c>
      <c r="CA298" s="20">
        <v>0</v>
      </c>
      <c r="CB298" s="20">
        <v>0</v>
      </c>
      <c r="CC298" s="20">
        <v>0</v>
      </c>
      <c r="CD298" s="20">
        <v>0</v>
      </c>
      <c r="CE298" s="20">
        <v>0</v>
      </c>
      <c r="CF298" s="20">
        <v>0</v>
      </c>
      <c r="CG298" s="20">
        <v>0</v>
      </c>
      <c r="CH298" s="20">
        <v>0</v>
      </c>
      <c r="CI298" s="20">
        <v>0</v>
      </c>
      <c r="CJ298" s="20">
        <v>0</v>
      </c>
      <c r="CK298" s="20">
        <v>0</v>
      </c>
      <c r="CL298" s="20">
        <v>0</v>
      </c>
      <c r="CM298" s="20">
        <v>0</v>
      </c>
      <c r="CN298" s="20">
        <v>0</v>
      </c>
      <c r="CO298" s="20">
        <v>0</v>
      </c>
      <c r="CP298" s="20">
        <v>0</v>
      </c>
      <c r="CQ298" s="20">
        <v>0</v>
      </c>
      <c r="CR298" s="20">
        <v>0</v>
      </c>
      <c r="CS298" s="20">
        <v>0</v>
      </c>
      <c r="CT298" s="20">
        <v>0</v>
      </c>
      <c r="CU298" s="20">
        <v>0</v>
      </c>
      <c r="CV298" s="20">
        <v>0</v>
      </c>
      <c r="CW298" s="20">
        <v>0</v>
      </c>
      <c r="CX298" s="20">
        <v>0</v>
      </c>
      <c r="CY298" s="20">
        <v>0</v>
      </c>
      <c r="CZ298" s="20">
        <v>0</v>
      </c>
      <c r="DA298" s="20">
        <v>0</v>
      </c>
      <c r="DB298" s="20">
        <v>0</v>
      </c>
      <c r="DC298" s="20">
        <v>0</v>
      </c>
      <c r="DD298" s="20">
        <v>0</v>
      </c>
      <c r="DE298" s="20">
        <v>0</v>
      </c>
      <c r="DF298" s="20">
        <v>0</v>
      </c>
      <c r="DG298" s="16">
        <f t="shared" si="24"/>
        <v>10082.999999999995</v>
      </c>
      <c r="DH298" s="16">
        <f t="shared" si="25"/>
        <v>184537.81125334912</v>
      </c>
      <c r="DI298" s="17">
        <f t="shared" si="26"/>
        <v>18.301875558201846</v>
      </c>
      <c r="DJ298" s="119" t="s">
        <v>1</v>
      </c>
      <c r="DK298" s="44" t="s">
        <v>1</v>
      </c>
      <c r="DL298" s="44" t="s">
        <v>1329</v>
      </c>
      <c r="DM298" s="44"/>
    </row>
    <row r="299" spans="1:117">
      <c r="A299" s="32" t="str">
        <f t="shared" si="27"/>
        <v>Essential (Original)--&gt; 66 kV &amp; &lt; = 132 kV; CONCRETE</v>
      </c>
      <c r="B299" s="32" t="str">
        <f t="shared" si="28"/>
        <v>Essential (Original)</v>
      </c>
      <c r="C299" s="384"/>
      <c r="D299" s="14"/>
      <c r="E299" s="15" t="s">
        <v>157</v>
      </c>
      <c r="F299" s="18">
        <v>54.9</v>
      </c>
      <c r="G299" s="18">
        <v>7.4094534211370817</v>
      </c>
      <c r="H299" s="20">
        <v>411.18227780734435</v>
      </c>
      <c r="I299" s="20">
        <v>176.07805570338832</v>
      </c>
      <c r="J299" s="20">
        <v>608.26964697534152</v>
      </c>
      <c r="K299" s="20">
        <v>55.024392407308852</v>
      </c>
      <c r="L299" s="20">
        <v>148.06563775057654</v>
      </c>
      <c r="M299" s="20">
        <v>103.04568032641475</v>
      </c>
      <c r="N299" s="20">
        <v>99.043906333155931</v>
      </c>
      <c r="O299" s="20">
        <v>212.09402164271776</v>
      </c>
      <c r="P299" s="20">
        <v>555.24614156466203</v>
      </c>
      <c r="Q299" s="20">
        <v>786.34858967535922</v>
      </c>
      <c r="R299" s="20">
        <v>47.0208444207912</v>
      </c>
      <c r="S299" s="20">
        <v>91.040358346638286</v>
      </c>
      <c r="T299" s="20">
        <v>71.031488380344157</v>
      </c>
      <c r="U299" s="20">
        <v>80.035479865176512</v>
      </c>
      <c r="V299" s="20">
        <v>5.002217491573532</v>
      </c>
      <c r="W299" s="20">
        <v>44.019513925847079</v>
      </c>
      <c r="X299" s="20">
        <v>379.16808586127371</v>
      </c>
      <c r="Y299" s="20">
        <v>102.04523682810006</v>
      </c>
      <c r="Z299" s="20">
        <v>76.033705871917689</v>
      </c>
      <c r="AA299" s="20">
        <v>95.042132339897108</v>
      </c>
      <c r="AB299" s="20">
        <v>442.19602625510021</v>
      </c>
      <c r="AC299" s="20">
        <v>217.0962391342913</v>
      </c>
      <c r="AD299" s="20">
        <v>1417.6284371119389</v>
      </c>
      <c r="AE299" s="20">
        <v>177.07849920170304</v>
      </c>
      <c r="AF299" s="20">
        <v>265.11752705339723</v>
      </c>
      <c r="AG299" s="20">
        <v>1458.6466205428419</v>
      </c>
      <c r="AH299" s="20">
        <v>633.2807344332092</v>
      </c>
      <c r="AI299" s="20">
        <v>165.07317722192656</v>
      </c>
      <c r="AJ299" s="20">
        <v>1221.5415114422565</v>
      </c>
      <c r="AK299" s="20">
        <v>360.15965939329431</v>
      </c>
      <c r="AL299" s="20">
        <v>86.038140855064754</v>
      </c>
      <c r="AM299" s="20">
        <v>517.22928862870322</v>
      </c>
      <c r="AN299" s="20">
        <v>123.05455029270888</v>
      </c>
      <c r="AO299" s="20">
        <v>7.0031044882029452</v>
      </c>
      <c r="AP299" s="20">
        <v>1.0004434983147064</v>
      </c>
      <c r="AQ299" s="20">
        <v>1.0004434983147064</v>
      </c>
      <c r="AR299" s="20">
        <v>1.0004434983147064</v>
      </c>
      <c r="AS299" s="20">
        <v>0</v>
      </c>
      <c r="AT299" s="20">
        <v>0</v>
      </c>
      <c r="AU299" s="20">
        <v>1.0004434983147064</v>
      </c>
      <c r="AV299" s="20">
        <v>5.002217491573532</v>
      </c>
      <c r="AW299" s="20">
        <v>0</v>
      </c>
      <c r="AX299" s="20">
        <v>0</v>
      </c>
      <c r="AY299" s="20">
        <v>2.0008869966294127</v>
      </c>
      <c r="AZ299" s="20">
        <v>1.0004434983147064</v>
      </c>
      <c r="BA299" s="20">
        <v>1.0004434983147064</v>
      </c>
      <c r="BB299" s="20">
        <v>2.0008869966294127</v>
      </c>
      <c r="BC299" s="20">
        <v>9.0039914848323583</v>
      </c>
      <c r="BD299" s="20">
        <v>8.0035479865176509</v>
      </c>
      <c r="BE299" s="20">
        <v>3.0013304949441193</v>
      </c>
      <c r="BF299" s="20">
        <v>1.0004434983147064</v>
      </c>
      <c r="BG299" s="20">
        <v>0</v>
      </c>
      <c r="BH299" s="20">
        <v>1.0004434983147064</v>
      </c>
      <c r="BI299" s="20">
        <v>0</v>
      </c>
      <c r="BJ299" s="20">
        <v>0</v>
      </c>
      <c r="BK299" s="20">
        <v>0</v>
      </c>
      <c r="BL299" s="20">
        <v>0</v>
      </c>
      <c r="BM299" s="20">
        <v>0</v>
      </c>
      <c r="BN299" s="20">
        <v>0</v>
      </c>
      <c r="BO299" s="20">
        <v>0</v>
      </c>
      <c r="BP299" s="20">
        <v>0</v>
      </c>
      <c r="BQ299" s="20">
        <v>0</v>
      </c>
      <c r="BR299" s="20">
        <v>0</v>
      </c>
      <c r="BS299" s="20">
        <v>1.0004434983147064</v>
      </c>
      <c r="BT299" s="20">
        <v>0</v>
      </c>
      <c r="BU299" s="20">
        <v>0</v>
      </c>
      <c r="BV299" s="20">
        <v>0</v>
      </c>
      <c r="BW299" s="20">
        <v>0</v>
      </c>
      <c r="BX299" s="20">
        <v>0</v>
      </c>
      <c r="BY299" s="20">
        <v>0</v>
      </c>
      <c r="BZ299" s="20">
        <v>0</v>
      </c>
      <c r="CA299" s="20">
        <v>0</v>
      </c>
      <c r="CB299" s="20">
        <v>0</v>
      </c>
      <c r="CC299" s="20">
        <v>5.002217491573532</v>
      </c>
      <c r="CD299" s="20">
        <v>0</v>
      </c>
      <c r="CE299" s="20">
        <v>0</v>
      </c>
      <c r="CF299" s="20">
        <v>0</v>
      </c>
      <c r="CG299" s="20">
        <v>0</v>
      </c>
      <c r="CH299" s="20">
        <v>0</v>
      </c>
      <c r="CI299" s="20">
        <v>0</v>
      </c>
      <c r="CJ299" s="20">
        <v>0</v>
      </c>
      <c r="CK299" s="20">
        <v>0</v>
      </c>
      <c r="CL299" s="20">
        <v>0</v>
      </c>
      <c r="CM299" s="20">
        <v>0</v>
      </c>
      <c r="CN299" s="20">
        <v>0</v>
      </c>
      <c r="CO299" s="20">
        <v>0</v>
      </c>
      <c r="CP299" s="20">
        <v>0</v>
      </c>
      <c r="CQ299" s="20">
        <v>0</v>
      </c>
      <c r="CR299" s="20">
        <v>0</v>
      </c>
      <c r="CS299" s="20">
        <v>0</v>
      </c>
      <c r="CT299" s="20">
        <v>0</v>
      </c>
      <c r="CU299" s="20">
        <v>0</v>
      </c>
      <c r="CV299" s="20">
        <v>0</v>
      </c>
      <c r="CW299" s="20">
        <v>0</v>
      </c>
      <c r="CX299" s="20">
        <v>0</v>
      </c>
      <c r="CY299" s="20">
        <v>0</v>
      </c>
      <c r="CZ299" s="20">
        <v>0</v>
      </c>
      <c r="DA299" s="20">
        <v>0</v>
      </c>
      <c r="DB299" s="20">
        <v>0</v>
      </c>
      <c r="DC299" s="20">
        <v>0</v>
      </c>
      <c r="DD299" s="20">
        <v>0</v>
      </c>
      <c r="DE299" s="20">
        <v>0</v>
      </c>
      <c r="DF299" s="20">
        <v>0</v>
      </c>
      <c r="DG299" s="16">
        <f t="shared" si="24"/>
        <v>11279.000000000002</v>
      </c>
      <c r="DH299" s="16">
        <f t="shared" si="25"/>
        <v>224555.54585772572</v>
      </c>
      <c r="DI299" s="17">
        <f t="shared" si="26"/>
        <v>19.909171545148123</v>
      </c>
      <c r="DJ299" s="119" t="s">
        <v>1</v>
      </c>
      <c r="DK299" s="44" t="s">
        <v>1</v>
      </c>
      <c r="DL299" s="44" t="s">
        <v>1329</v>
      </c>
      <c r="DM299" s="44"/>
    </row>
    <row r="300" spans="1:117">
      <c r="A300" s="32" t="str">
        <f t="shared" si="27"/>
        <v>Essential (Original)--&gt; 132 kV; CONCRETE</v>
      </c>
      <c r="B300" s="32" t="str">
        <f t="shared" si="28"/>
        <v>Essential (Original)</v>
      </c>
      <c r="C300" s="384"/>
      <c r="D300" s="14"/>
      <c r="E300" s="15" t="s">
        <v>159</v>
      </c>
      <c r="F300" s="18">
        <v>0</v>
      </c>
      <c r="G300" s="18">
        <v>0</v>
      </c>
      <c r="H300" s="20">
        <v>0</v>
      </c>
      <c r="I300" s="20">
        <v>0</v>
      </c>
      <c r="J300" s="20">
        <v>0</v>
      </c>
      <c r="K300" s="20">
        <v>0</v>
      </c>
      <c r="L300" s="20">
        <v>0</v>
      </c>
      <c r="M300" s="20">
        <v>0</v>
      </c>
      <c r="N300" s="20">
        <v>0</v>
      </c>
      <c r="O300" s="20">
        <v>0</v>
      </c>
      <c r="P300" s="20">
        <v>0</v>
      </c>
      <c r="Q300" s="20">
        <v>0</v>
      </c>
      <c r="R300" s="20">
        <v>0</v>
      </c>
      <c r="S300" s="20">
        <v>0</v>
      </c>
      <c r="T300" s="20">
        <v>0</v>
      </c>
      <c r="U300" s="20">
        <v>0</v>
      </c>
      <c r="V300" s="20">
        <v>0</v>
      </c>
      <c r="W300" s="20">
        <v>0</v>
      </c>
      <c r="X300" s="20">
        <v>0</v>
      </c>
      <c r="Y300" s="20">
        <v>0</v>
      </c>
      <c r="Z300" s="20">
        <v>0</v>
      </c>
      <c r="AA300" s="20">
        <v>0</v>
      </c>
      <c r="AB300" s="20">
        <v>0</v>
      </c>
      <c r="AC300" s="20">
        <v>0</v>
      </c>
      <c r="AD300" s="20">
        <v>0</v>
      </c>
      <c r="AE300" s="20">
        <v>0</v>
      </c>
      <c r="AF300" s="20">
        <v>0</v>
      </c>
      <c r="AG300" s="20">
        <v>0</v>
      </c>
      <c r="AH300" s="20">
        <v>0</v>
      </c>
      <c r="AI300" s="20">
        <v>0</v>
      </c>
      <c r="AJ300" s="20">
        <v>0</v>
      </c>
      <c r="AK300" s="20">
        <v>0</v>
      </c>
      <c r="AL300" s="20">
        <v>0</v>
      </c>
      <c r="AM300" s="20">
        <v>0</v>
      </c>
      <c r="AN300" s="20">
        <v>0</v>
      </c>
      <c r="AO300" s="20">
        <v>0</v>
      </c>
      <c r="AP300" s="20">
        <v>0</v>
      </c>
      <c r="AQ300" s="20">
        <v>0</v>
      </c>
      <c r="AR300" s="20">
        <v>0</v>
      </c>
      <c r="AS300" s="20">
        <v>0</v>
      </c>
      <c r="AT300" s="20">
        <v>0</v>
      </c>
      <c r="AU300" s="20">
        <v>0</v>
      </c>
      <c r="AV300" s="20">
        <v>0</v>
      </c>
      <c r="AW300" s="20">
        <v>0</v>
      </c>
      <c r="AX300" s="20">
        <v>0</v>
      </c>
      <c r="AY300" s="20">
        <v>0</v>
      </c>
      <c r="AZ300" s="20">
        <v>0</v>
      </c>
      <c r="BA300" s="20">
        <v>0</v>
      </c>
      <c r="BB300" s="20">
        <v>0</v>
      </c>
      <c r="BC300" s="20">
        <v>0</v>
      </c>
      <c r="BD300" s="20">
        <v>0</v>
      </c>
      <c r="BE300" s="20">
        <v>0</v>
      </c>
      <c r="BF300" s="20">
        <v>0</v>
      </c>
      <c r="BG300" s="20">
        <v>0</v>
      </c>
      <c r="BH300" s="20">
        <v>0</v>
      </c>
      <c r="BI300" s="20">
        <v>0</v>
      </c>
      <c r="BJ300" s="20">
        <v>0</v>
      </c>
      <c r="BK300" s="20">
        <v>0</v>
      </c>
      <c r="BL300" s="20">
        <v>0</v>
      </c>
      <c r="BM300" s="20">
        <v>0</v>
      </c>
      <c r="BN300" s="20">
        <v>0</v>
      </c>
      <c r="BO300" s="20">
        <v>0</v>
      </c>
      <c r="BP300" s="20">
        <v>0</v>
      </c>
      <c r="BQ300" s="20">
        <v>0</v>
      </c>
      <c r="BR300" s="20">
        <v>0</v>
      </c>
      <c r="BS300" s="20">
        <v>0</v>
      </c>
      <c r="BT300" s="20">
        <v>0</v>
      </c>
      <c r="BU300" s="20">
        <v>0</v>
      </c>
      <c r="BV300" s="20">
        <v>0</v>
      </c>
      <c r="BW300" s="20">
        <v>0</v>
      </c>
      <c r="BX300" s="20">
        <v>0</v>
      </c>
      <c r="BY300" s="20">
        <v>0</v>
      </c>
      <c r="BZ300" s="20">
        <v>0</v>
      </c>
      <c r="CA300" s="20">
        <v>0</v>
      </c>
      <c r="CB300" s="20">
        <v>0</v>
      </c>
      <c r="CC300" s="20">
        <v>0</v>
      </c>
      <c r="CD300" s="20">
        <v>0</v>
      </c>
      <c r="CE300" s="20">
        <v>0</v>
      </c>
      <c r="CF300" s="20">
        <v>0</v>
      </c>
      <c r="CG300" s="20">
        <v>0</v>
      </c>
      <c r="CH300" s="20">
        <v>0</v>
      </c>
      <c r="CI300" s="20">
        <v>0</v>
      </c>
      <c r="CJ300" s="20">
        <v>0</v>
      </c>
      <c r="CK300" s="20">
        <v>0</v>
      </c>
      <c r="CL300" s="20">
        <v>0</v>
      </c>
      <c r="CM300" s="20">
        <v>0</v>
      </c>
      <c r="CN300" s="20">
        <v>0</v>
      </c>
      <c r="CO300" s="20">
        <v>0</v>
      </c>
      <c r="CP300" s="20">
        <v>0</v>
      </c>
      <c r="CQ300" s="20">
        <v>0</v>
      </c>
      <c r="CR300" s="20">
        <v>0</v>
      </c>
      <c r="CS300" s="20">
        <v>0</v>
      </c>
      <c r="CT300" s="20">
        <v>0</v>
      </c>
      <c r="CU300" s="20">
        <v>0</v>
      </c>
      <c r="CV300" s="20">
        <v>0</v>
      </c>
      <c r="CW300" s="20">
        <v>0</v>
      </c>
      <c r="CX300" s="20">
        <v>0</v>
      </c>
      <c r="CY300" s="20">
        <v>0</v>
      </c>
      <c r="CZ300" s="20">
        <v>0</v>
      </c>
      <c r="DA300" s="20">
        <v>0</v>
      </c>
      <c r="DB300" s="20">
        <v>0</v>
      </c>
      <c r="DC300" s="20">
        <v>0</v>
      </c>
      <c r="DD300" s="20">
        <v>0</v>
      </c>
      <c r="DE300" s="20">
        <v>0</v>
      </c>
      <c r="DF300" s="20">
        <v>0</v>
      </c>
      <c r="DG300" s="16">
        <f t="shared" si="24"/>
        <v>0</v>
      </c>
      <c r="DH300" s="16">
        <f t="shared" si="25"/>
        <v>0</v>
      </c>
      <c r="DI300" s="17" t="str">
        <f t="shared" si="26"/>
        <v/>
      </c>
      <c r="DJ300" s="119" t="s">
        <v>1</v>
      </c>
      <c r="DK300" s="44" t="s">
        <v>1</v>
      </c>
      <c r="DL300" s="44" t="s">
        <v>1329</v>
      </c>
      <c r="DM300" s="44"/>
    </row>
    <row r="301" spans="1:117">
      <c r="A301" s="32" t="str">
        <f t="shared" si="27"/>
        <v>Essential (Original)--˂ = 1 kV; STEEL</v>
      </c>
      <c r="B301" s="32" t="str">
        <f t="shared" si="28"/>
        <v>Essential (Original)</v>
      </c>
      <c r="C301" s="384"/>
      <c r="D301" s="14"/>
      <c r="E301" s="15" t="s">
        <v>161</v>
      </c>
      <c r="F301" s="18">
        <v>53.8</v>
      </c>
      <c r="G301" s="18">
        <v>7.334848328356899</v>
      </c>
      <c r="H301" s="20">
        <v>1582.2090919815957</v>
      </c>
      <c r="I301" s="20">
        <v>1442.9657084431162</v>
      </c>
      <c r="J301" s="20">
        <v>1531.6772189232765</v>
      </c>
      <c r="K301" s="20">
        <v>1596.8071886428879</v>
      </c>
      <c r="L301" s="20">
        <v>1437.3510558810806</v>
      </c>
      <c r="M301" s="20">
        <v>2255.9673994258524</v>
      </c>
      <c r="N301" s="20">
        <v>2104.3717802508945</v>
      </c>
      <c r="O301" s="20">
        <v>1774.230209603209</v>
      </c>
      <c r="P301" s="20">
        <v>2554.6669157261395</v>
      </c>
      <c r="Q301" s="20">
        <v>2725.3523536120179</v>
      </c>
      <c r="R301" s="20">
        <v>1540.6606630225333</v>
      </c>
      <c r="S301" s="20">
        <v>1875.2939557198474</v>
      </c>
      <c r="T301" s="20">
        <v>1321.68921310315</v>
      </c>
      <c r="U301" s="20">
        <v>6543.3160957961381</v>
      </c>
      <c r="V301" s="20">
        <v>1947.1615085139015</v>
      </c>
      <c r="W301" s="20">
        <v>952.24507452121588</v>
      </c>
      <c r="X301" s="20">
        <v>503.07286955837822</v>
      </c>
      <c r="Y301" s="20">
        <v>601.89075465020255</v>
      </c>
      <c r="Z301" s="20">
        <v>1757.3862519171025</v>
      </c>
      <c r="AA301" s="20">
        <v>596.27610208816702</v>
      </c>
      <c r="AB301" s="20">
        <v>893.85268787604707</v>
      </c>
      <c r="AC301" s="20">
        <v>516.54803570726335</v>
      </c>
      <c r="AD301" s="20">
        <v>652.42262770852176</v>
      </c>
      <c r="AE301" s="20">
        <v>3674.2286365960126</v>
      </c>
      <c r="AF301" s="20">
        <v>1022.9896968028629</v>
      </c>
      <c r="AG301" s="20">
        <v>342.49380628416372</v>
      </c>
      <c r="AH301" s="20">
        <v>235.81540760548978</v>
      </c>
      <c r="AI301" s="20">
        <v>169.56250737347125</v>
      </c>
      <c r="AJ301" s="20">
        <v>938.76990837233075</v>
      </c>
      <c r="AK301" s="20">
        <v>144.85803610051516</v>
      </c>
      <c r="AL301" s="20">
        <v>72.99048330646113</v>
      </c>
      <c r="AM301" s="20">
        <v>178.54595147272798</v>
      </c>
      <c r="AN301" s="20">
        <v>163.94785481143577</v>
      </c>
      <c r="AO301" s="20">
        <v>4547.8685752487318</v>
      </c>
      <c r="AP301" s="20">
        <v>144.85803610051516</v>
      </c>
      <c r="AQ301" s="20">
        <v>85.342718942939172</v>
      </c>
      <c r="AR301" s="20">
        <v>322.28105706083608</v>
      </c>
      <c r="AS301" s="20">
        <v>83.096857918124982</v>
      </c>
      <c r="AT301" s="20">
        <v>706.32329230406231</v>
      </c>
      <c r="AU301" s="20">
        <v>277.36383656455229</v>
      </c>
      <c r="AV301" s="20">
        <v>121.27649533996617</v>
      </c>
      <c r="AW301" s="20">
        <v>70.74462228164694</v>
      </c>
      <c r="AX301" s="20">
        <v>53.900664595540526</v>
      </c>
      <c r="AY301" s="20">
        <v>1101.5948326713594</v>
      </c>
      <c r="AZ301" s="20">
        <v>106.67839867867396</v>
      </c>
      <c r="BA301" s="20">
        <v>81.973927405717887</v>
      </c>
      <c r="BB301" s="20">
        <v>94.326163042195915</v>
      </c>
      <c r="BC301" s="20">
        <v>632.20987848519405</v>
      </c>
      <c r="BD301" s="20">
        <v>482.86012033505051</v>
      </c>
      <c r="BE301" s="20">
        <v>55.023595107947621</v>
      </c>
      <c r="BF301" s="20">
        <v>51.654803570726337</v>
      </c>
      <c r="BG301" s="20">
        <v>11.229305124070942</v>
      </c>
      <c r="BH301" s="20">
        <v>55.023595107947621</v>
      </c>
      <c r="BI301" s="20">
        <v>453.6639270124661</v>
      </c>
      <c r="BJ301" s="20">
        <v>17.966888198513509</v>
      </c>
      <c r="BK301" s="20">
        <v>34.810845884619923</v>
      </c>
      <c r="BL301" s="20">
        <v>101.06374611663848</v>
      </c>
      <c r="BM301" s="20">
        <v>31.442054347398638</v>
      </c>
      <c r="BN301" s="20">
        <v>135.87459200125841</v>
      </c>
      <c r="BO301" s="20">
        <v>0</v>
      </c>
      <c r="BP301" s="20">
        <v>211.11093633253373</v>
      </c>
      <c r="BQ301" s="20">
        <v>53.900664595540526</v>
      </c>
      <c r="BR301" s="20">
        <v>0</v>
      </c>
      <c r="BS301" s="20">
        <v>637.82453104722958</v>
      </c>
      <c r="BT301" s="20">
        <v>1.1229305124070943</v>
      </c>
      <c r="BU301" s="20">
        <v>6.7375830744425658</v>
      </c>
      <c r="BV301" s="20">
        <v>13.475166148885132</v>
      </c>
      <c r="BW301" s="20">
        <v>6.7375830744425658</v>
      </c>
      <c r="BX301" s="20">
        <v>0</v>
      </c>
      <c r="BY301" s="20">
        <v>0</v>
      </c>
      <c r="BZ301" s="20">
        <v>0</v>
      </c>
      <c r="CA301" s="20">
        <v>1.1229305124070943</v>
      </c>
      <c r="CB301" s="20">
        <v>0</v>
      </c>
      <c r="CC301" s="20">
        <v>644.56211412167215</v>
      </c>
      <c r="CD301" s="20">
        <v>4.4917220496283772</v>
      </c>
      <c r="CE301" s="20">
        <v>0</v>
      </c>
      <c r="CF301" s="20">
        <v>1.1229305124070943</v>
      </c>
      <c r="CG301" s="20">
        <v>0</v>
      </c>
      <c r="CH301" s="20">
        <v>0</v>
      </c>
      <c r="CI301" s="20">
        <v>0</v>
      </c>
      <c r="CJ301" s="20">
        <v>0</v>
      </c>
      <c r="CK301" s="20">
        <v>0</v>
      </c>
      <c r="CL301" s="20">
        <v>0</v>
      </c>
      <c r="CM301" s="20">
        <v>13.475166148885132</v>
      </c>
      <c r="CN301" s="20">
        <v>0</v>
      </c>
      <c r="CO301" s="20">
        <v>0</v>
      </c>
      <c r="CP301" s="20">
        <v>0</v>
      </c>
      <c r="CQ301" s="20">
        <v>0</v>
      </c>
      <c r="CR301" s="20">
        <v>1.1229305124070943</v>
      </c>
      <c r="CS301" s="20">
        <v>0</v>
      </c>
      <c r="CT301" s="20">
        <v>1.1229305124070943</v>
      </c>
      <c r="CU301" s="20">
        <v>0</v>
      </c>
      <c r="CV301" s="20">
        <v>0</v>
      </c>
      <c r="CW301" s="20">
        <v>0</v>
      </c>
      <c r="CX301" s="20">
        <v>0</v>
      </c>
      <c r="CY301" s="20">
        <v>0</v>
      </c>
      <c r="CZ301" s="20">
        <v>0</v>
      </c>
      <c r="DA301" s="20">
        <v>0</v>
      </c>
      <c r="DB301" s="20">
        <v>0</v>
      </c>
      <c r="DC301" s="20">
        <v>0</v>
      </c>
      <c r="DD301" s="20">
        <v>0</v>
      </c>
      <c r="DE301" s="20">
        <v>0</v>
      </c>
      <c r="DF301" s="20">
        <v>0</v>
      </c>
      <c r="DG301" s="16">
        <f t="shared" si="24"/>
        <v>57109.999999999964</v>
      </c>
      <c r="DH301" s="16">
        <f t="shared" si="25"/>
        <v>1099213.0970545439</v>
      </c>
      <c r="DI301" s="17">
        <f t="shared" si="26"/>
        <v>19.247296393881012</v>
      </c>
      <c r="DJ301" s="119" t="s">
        <v>1</v>
      </c>
      <c r="DK301" s="44" t="s">
        <v>1</v>
      </c>
      <c r="DL301" s="44" t="s">
        <v>1330</v>
      </c>
      <c r="DM301" s="44"/>
    </row>
    <row r="302" spans="1:117">
      <c r="A302" s="32" t="str">
        <f t="shared" si="27"/>
        <v>Essential (Original)--&gt; 1 kV &amp; &lt; = 11 kV; STEEL</v>
      </c>
      <c r="B302" s="32" t="str">
        <f t="shared" si="28"/>
        <v>Essential (Original)</v>
      </c>
      <c r="C302" s="384"/>
      <c r="D302" s="14"/>
      <c r="E302" s="15" t="s">
        <v>163</v>
      </c>
      <c r="F302" s="18">
        <v>53.8</v>
      </c>
      <c r="G302" s="18">
        <v>7.334848328356899</v>
      </c>
      <c r="H302" s="20">
        <v>762.92815798433776</v>
      </c>
      <c r="I302" s="20">
        <v>1381.7364657814096</v>
      </c>
      <c r="J302" s="20">
        <v>937.2829417773238</v>
      </c>
      <c r="K302" s="20">
        <v>630.90228123935992</v>
      </c>
      <c r="L302" s="20">
        <v>1021.9407558733401</v>
      </c>
      <c r="M302" s="20">
        <v>544.22880490296222</v>
      </c>
      <c r="N302" s="20">
        <v>271.10657133129041</v>
      </c>
      <c r="O302" s="20">
        <v>51.399387129724211</v>
      </c>
      <c r="P302" s="20">
        <v>7.0548178413346951</v>
      </c>
      <c r="Q302" s="20">
        <v>14.10963568266939</v>
      </c>
      <c r="R302" s="20">
        <v>6.0469867211440249</v>
      </c>
      <c r="S302" s="20">
        <v>0</v>
      </c>
      <c r="T302" s="20">
        <v>5.0391556009533538</v>
      </c>
      <c r="U302" s="20">
        <v>20.156622403813415</v>
      </c>
      <c r="V302" s="20">
        <v>9.0704800817160365</v>
      </c>
      <c r="W302" s="20">
        <v>9.0704800817160365</v>
      </c>
      <c r="X302" s="20">
        <v>3.0234933605720125</v>
      </c>
      <c r="Y302" s="20">
        <v>3.0234933605720125</v>
      </c>
      <c r="Z302" s="20">
        <v>1.0078311201906707</v>
      </c>
      <c r="AA302" s="20">
        <v>2.0156622403813413</v>
      </c>
      <c r="AB302" s="20">
        <v>2.0156622403813413</v>
      </c>
      <c r="AC302" s="20">
        <v>1.0078311201906707</v>
      </c>
      <c r="AD302" s="20">
        <v>1.0078311201906707</v>
      </c>
      <c r="AE302" s="20">
        <v>15.117466802860061</v>
      </c>
      <c r="AF302" s="20">
        <v>3.0234933605720125</v>
      </c>
      <c r="AG302" s="20">
        <v>4.0313244807626827</v>
      </c>
      <c r="AH302" s="20">
        <v>4.0313244807626827</v>
      </c>
      <c r="AI302" s="20">
        <v>2.0156622403813413</v>
      </c>
      <c r="AJ302" s="20">
        <v>3.0234933605720125</v>
      </c>
      <c r="AK302" s="20">
        <v>1.0078311201906707</v>
      </c>
      <c r="AL302" s="20">
        <v>2.0156622403813413</v>
      </c>
      <c r="AM302" s="20">
        <v>1.0078311201906707</v>
      </c>
      <c r="AN302" s="20">
        <v>0</v>
      </c>
      <c r="AO302" s="20">
        <v>12.09397344228805</v>
      </c>
      <c r="AP302" s="20">
        <v>0</v>
      </c>
      <c r="AQ302" s="20">
        <v>0</v>
      </c>
      <c r="AR302" s="20">
        <v>27.211440245148111</v>
      </c>
      <c r="AS302" s="20">
        <v>2.0156622403813413</v>
      </c>
      <c r="AT302" s="20">
        <v>4.0313244807626827</v>
      </c>
      <c r="AU302" s="20">
        <v>1.0078311201906707</v>
      </c>
      <c r="AV302" s="20">
        <v>1.0078311201906707</v>
      </c>
      <c r="AW302" s="20">
        <v>1.0078311201906707</v>
      </c>
      <c r="AX302" s="20">
        <v>3.0234933605720125</v>
      </c>
      <c r="AY302" s="20">
        <v>10.078311201906708</v>
      </c>
      <c r="AZ302" s="20">
        <v>1.0078311201906707</v>
      </c>
      <c r="BA302" s="20">
        <v>1.0078311201906707</v>
      </c>
      <c r="BB302" s="20">
        <v>1.0078311201906707</v>
      </c>
      <c r="BC302" s="20">
        <v>61.477698331630918</v>
      </c>
      <c r="BD302" s="20">
        <v>5.0391556009533538</v>
      </c>
      <c r="BE302" s="20">
        <v>0</v>
      </c>
      <c r="BF302" s="20">
        <v>0</v>
      </c>
      <c r="BG302" s="20">
        <v>19.148791283622746</v>
      </c>
      <c r="BH302" s="20">
        <v>4.0313244807626827</v>
      </c>
      <c r="BI302" s="20">
        <v>13.101804562478719</v>
      </c>
      <c r="BJ302" s="20">
        <v>0</v>
      </c>
      <c r="BK302" s="20">
        <v>10.078311201906708</v>
      </c>
      <c r="BL302" s="20">
        <v>0</v>
      </c>
      <c r="BM302" s="20">
        <v>1.0078311201906707</v>
      </c>
      <c r="BN302" s="20">
        <v>9.0704800817160365</v>
      </c>
      <c r="BO302" s="20">
        <v>0</v>
      </c>
      <c r="BP302" s="20">
        <v>0</v>
      </c>
      <c r="BQ302" s="20">
        <v>3.0234933605720125</v>
      </c>
      <c r="BR302" s="20">
        <v>0</v>
      </c>
      <c r="BS302" s="20">
        <v>9.0704800817160365</v>
      </c>
      <c r="BT302" s="20">
        <v>0</v>
      </c>
      <c r="BU302" s="20">
        <v>0</v>
      </c>
      <c r="BV302" s="20">
        <v>0</v>
      </c>
      <c r="BW302" s="20">
        <v>0</v>
      </c>
      <c r="BX302" s="20">
        <v>0</v>
      </c>
      <c r="BY302" s="20">
        <v>0</v>
      </c>
      <c r="BZ302" s="20">
        <v>0</v>
      </c>
      <c r="CA302" s="20">
        <v>0</v>
      </c>
      <c r="CB302" s="20">
        <v>0</v>
      </c>
      <c r="CC302" s="20">
        <v>0</v>
      </c>
      <c r="CD302" s="20">
        <v>0</v>
      </c>
      <c r="CE302" s="20">
        <v>0</v>
      </c>
      <c r="CF302" s="20">
        <v>0</v>
      </c>
      <c r="CG302" s="20">
        <v>0</v>
      </c>
      <c r="CH302" s="20">
        <v>0</v>
      </c>
      <c r="CI302" s="20">
        <v>0</v>
      </c>
      <c r="CJ302" s="20">
        <v>0</v>
      </c>
      <c r="CK302" s="20">
        <v>0</v>
      </c>
      <c r="CL302" s="20">
        <v>0</v>
      </c>
      <c r="CM302" s="20">
        <v>0</v>
      </c>
      <c r="CN302" s="20">
        <v>0</v>
      </c>
      <c r="CO302" s="20">
        <v>0</v>
      </c>
      <c r="CP302" s="20">
        <v>0</v>
      </c>
      <c r="CQ302" s="20">
        <v>0</v>
      </c>
      <c r="CR302" s="20">
        <v>0</v>
      </c>
      <c r="CS302" s="20">
        <v>0</v>
      </c>
      <c r="CT302" s="20">
        <v>0</v>
      </c>
      <c r="CU302" s="20">
        <v>0</v>
      </c>
      <c r="CV302" s="20">
        <v>0</v>
      </c>
      <c r="CW302" s="20">
        <v>0</v>
      </c>
      <c r="CX302" s="20">
        <v>0</v>
      </c>
      <c r="CY302" s="20">
        <v>0</v>
      </c>
      <c r="CZ302" s="20">
        <v>0</v>
      </c>
      <c r="DA302" s="20">
        <v>0</v>
      </c>
      <c r="DB302" s="20">
        <v>0</v>
      </c>
      <c r="DC302" s="20">
        <v>0</v>
      </c>
      <c r="DD302" s="20">
        <v>0</v>
      </c>
      <c r="DE302" s="20">
        <v>0</v>
      </c>
      <c r="DF302" s="20">
        <v>0</v>
      </c>
      <c r="DG302" s="16">
        <f t="shared" si="24"/>
        <v>5919.9999999999945</v>
      </c>
      <c r="DH302" s="16">
        <f t="shared" si="25"/>
        <v>31149.036431733064</v>
      </c>
      <c r="DI302" s="17">
        <f t="shared" si="26"/>
        <v>5.2616615594143736</v>
      </c>
      <c r="DJ302" s="119" t="s">
        <v>1</v>
      </c>
      <c r="DK302" s="44" t="s">
        <v>1</v>
      </c>
      <c r="DL302" s="44" t="s">
        <v>1330</v>
      </c>
      <c r="DM302" s="44"/>
    </row>
    <row r="303" spans="1:117">
      <c r="A303" s="32" t="str">
        <f t="shared" si="27"/>
        <v>Essential (Original)--˃ 11 kV &amp; &lt; = 22 kV; STEEL</v>
      </c>
      <c r="B303" s="32" t="str">
        <f t="shared" si="28"/>
        <v>Essential (Original)</v>
      </c>
      <c r="C303" s="384"/>
      <c r="D303" s="14"/>
      <c r="E303" s="15" t="s">
        <v>165</v>
      </c>
      <c r="F303" s="18">
        <v>53.8</v>
      </c>
      <c r="G303" s="18">
        <v>7.334848328356899</v>
      </c>
      <c r="H303" s="20">
        <v>1583.6216570243423</v>
      </c>
      <c r="I303" s="20">
        <v>2206.4055234144744</v>
      </c>
      <c r="J303" s="20">
        <v>1714.4163300949679</v>
      </c>
      <c r="K303" s="20">
        <v>784.76803842375284</v>
      </c>
      <c r="L303" s="20">
        <v>1133.8892042353455</v>
      </c>
      <c r="M303" s="20">
        <v>774.70690972601244</v>
      </c>
      <c r="N303" s="20">
        <v>448.72633991922277</v>
      </c>
      <c r="O303" s="20">
        <v>220.33871848051524</v>
      </c>
      <c r="P303" s="20">
        <v>5.030564348870211</v>
      </c>
      <c r="Q303" s="20">
        <v>1.0061128697740422</v>
      </c>
      <c r="R303" s="20">
        <v>2.0122257395480845</v>
      </c>
      <c r="S303" s="20">
        <v>3.0183386093221265</v>
      </c>
      <c r="T303" s="20">
        <v>3.0183386093221265</v>
      </c>
      <c r="U303" s="20">
        <v>26.158934614125094</v>
      </c>
      <c r="V303" s="20">
        <v>0</v>
      </c>
      <c r="W303" s="20">
        <v>3.0183386093221265</v>
      </c>
      <c r="X303" s="20">
        <v>0</v>
      </c>
      <c r="Y303" s="20">
        <v>1.0061128697740422</v>
      </c>
      <c r="Z303" s="20">
        <v>4.024451479096169</v>
      </c>
      <c r="AA303" s="20">
        <v>3.0183386093221265</v>
      </c>
      <c r="AB303" s="20">
        <v>3.0183386093221265</v>
      </c>
      <c r="AC303" s="20">
        <v>1.0061128697740422</v>
      </c>
      <c r="AD303" s="20">
        <v>1.0061128697740422</v>
      </c>
      <c r="AE303" s="20">
        <v>10.061128697740422</v>
      </c>
      <c r="AF303" s="20">
        <v>0</v>
      </c>
      <c r="AG303" s="20">
        <v>9.055015827966379</v>
      </c>
      <c r="AH303" s="20">
        <v>8.0489029581923379</v>
      </c>
      <c r="AI303" s="20">
        <v>2.0122257395480845</v>
      </c>
      <c r="AJ303" s="20">
        <v>2.0122257395480845</v>
      </c>
      <c r="AK303" s="20">
        <v>2.0122257395480845</v>
      </c>
      <c r="AL303" s="20">
        <v>1.0061128697740422</v>
      </c>
      <c r="AM303" s="20">
        <v>8.0489029581923379</v>
      </c>
      <c r="AN303" s="20">
        <v>9.055015827966379</v>
      </c>
      <c r="AO303" s="20">
        <v>57.348433577120403</v>
      </c>
      <c r="AP303" s="20">
        <v>1.0061128697740422</v>
      </c>
      <c r="AQ303" s="20">
        <v>3.0183386093221265</v>
      </c>
      <c r="AR303" s="20">
        <v>17.103918786158715</v>
      </c>
      <c r="AS303" s="20">
        <v>2.0122257395480845</v>
      </c>
      <c r="AT303" s="20">
        <v>12.073354437288506</v>
      </c>
      <c r="AU303" s="20">
        <v>3.0183386093221265</v>
      </c>
      <c r="AV303" s="20">
        <v>1.0061128697740422</v>
      </c>
      <c r="AW303" s="20">
        <v>0</v>
      </c>
      <c r="AX303" s="20">
        <v>0</v>
      </c>
      <c r="AY303" s="20">
        <v>6.036677218644253</v>
      </c>
      <c r="AZ303" s="20">
        <v>6.036677218644253</v>
      </c>
      <c r="BA303" s="20">
        <v>13.079467307062547</v>
      </c>
      <c r="BB303" s="20">
        <v>43.262853400283809</v>
      </c>
      <c r="BC303" s="20">
        <v>3.0183386093221265</v>
      </c>
      <c r="BD303" s="20">
        <v>16.097805916384676</v>
      </c>
      <c r="BE303" s="20">
        <v>5.030564348870211</v>
      </c>
      <c r="BF303" s="20">
        <v>0</v>
      </c>
      <c r="BG303" s="20">
        <v>4.024451479096169</v>
      </c>
      <c r="BH303" s="20">
        <v>5.030564348870211</v>
      </c>
      <c r="BI303" s="20">
        <v>23.140596004802969</v>
      </c>
      <c r="BJ303" s="20">
        <v>3.0183386093221265</v>
      </c>
      <c r="BK303" s="20">
        <v>5.030564348870211</v>
      </c>
      <c r="BL303" s="20">
        <v>0</v>
      </c>
      <c r="BM303" s="20">
        <v>1.0061128697740422</v>
      </c>
      <c r="BN303" s="20">
        <v>1.0061128697740422</v>
      </c>
      <c r="BO303" s="20">
        <v>0</v>
      </c>
      <c r="BP303" s="20">
        <v>0</v>
      </c>
      <c r="BQ303" s="20">
        <v>0</v>
      </c>
      <c r="BR303" s="20">
        <v>0</v>
      </c>
      <c r="BS303" s="20">
        <v>1.0061128697740422</v>
      </c>
      <c r="BT303" s="20">
        <v>0</v>
      </c>
      <c r="BU303" s="20">
        <v>0</v>
      </c>
      <c r="BV303" s="20">
        <v>0</v>
      </c>
      <c r="BW303" s="20">
        <v>0</v>
      </c>
      <c r="BX303" s="20">
        <v>0</v>
      </c>
      <c r="BY303" s="20">
        <v>0</v>
      </c>
      <c r="BZ303" s="20">
        <v>0</v>
      </c>
      <c r="CA303" s="20">
        <v>0</v>
      </c>
      <c r="CB303" s="20">
        <v>0</v>
      </c>
      <c r="CC303" s="20">
        <v>10.061128697740422</v>
      </c>
      <c r="CD303" s="20">
        <v>0</v>
      </c>
      <c r="CE303" s="20">
        <v>0</v>
      </c>
      <c r="CF303" s="20">
        <v>0</v>
      </c>
      <c r="CG303" s="20">
        <v>0</v>
      </c>
      <c r="CH303" s="20">
        <v>0</v>
      </c>
      <c r="CI303" s="20">
        <v>0</v>
      </c>
      <c r="CJ303" s="20">
        <v>0</v>
      </c>
      <c r="CK303" s="20">
        <v>0</v>
      </c>
      <c r="CL303" s="20">
        <v>0</v>
      </c>
      <c r="CM303" s="20">
        <v>0</v>
      </c>
      <c r="CN303" s="20">
        <v>0</v>
      </c>
      <c r="CO303" s="20">
        <v>0</v>
      </c>
      <c r="CP303" s="20">
        <v>0</v>
      </c>
      <c r="CQ303" s="20">
        <v>0</v>
      </c>
      <c r="CR303" s="20">
        <v>0</v>
      </c>
      <c r="CS303" s="20">
        <v>0</v>
      </c>
      <c r="CT303" s="20">
        <v>0</v>
      </c>
      <c r="CU303" s="20">
        <v>0</v>
      </c>
      <c r="CV303" s="20">
        <v>0</v>
      </c>
      <c r="CW303" s="20">
        <v>0</v>
      </c>
      <c r="CX303" s="20">
        <v>0</v>
      </c>
      <c r="CY303" s="20">
        <v>0</v>
      </c>
      <c r="CZ303" s="20">
        <v>0</v>
      </c>
      <c r="DA303" s="20">
        <v>0</v>
      </c>
      <c r="DB303" s="20">
        <v>0</v>
      </c>
      <c r="DC303" s="20">
        <v>0</v>
      </c>
      <c r="DD303" s="20">
        <v>0</v>
      </c>
      <c r="DE303" s="20">
        <v>0</v>
      </c>
      <c r="DF303" s="20">
        <v>0</v>
      </c>
      <c r="DG303" s="16">
        <f t="shared" si="24"/>
        <v>9216.9999999999982</v>
      </c>
      <c r="DH303" s="16">
        <f t="shared" si="25"/>
        <v>42681.320161554431</v>
      </c>
      <c r="DI303" s="17">
        <f t="shared" si="26"/>
        <v>4.630717170614564</v>
      </c>
      <c r="DJ303" s="119" t="s">
        <v>1</v>
      </c>
      <c r="DK303" s="44" t="s">
        <v>1</v>
      </c>
      <c r="DL303" s="44" t="s">
        <v>1330</v>
      </c>
      <c r="DM303" s="44"/>
    </row>
    <row r="304" spans="1:117">
      <c r="A304" s="32" t="str">
        <f t="shared" si="27"/>
        <v>Essential (Original)--&gt; 22 kV &amp; &lt; = 66 kV; STEEL</v>
      </c>
      <c r="B304" s="32" t="str">
        <f t="shared" si="28"/>
        <v>Essential (Original)</v>
      </c>
      <c r="C304" s="384"/>
      <c r="D304" s="14"/>
      <c r="E304" s="15" t="s">
        <v>166</v>
      </c>
      <c r="F304" s="18">
        <v>54.9</v>
      </c>
      <c r="G304" s="18">
        <v>7.4094534211370817</v>
      </c>
      <c r="H304" s="20">
        <v>106.43783783783783</v>
      </c>
      <c r="I304" s="20">
        <v>84.491891891891896</v>
      </c>
      <c r="J304" s="20">
        <v>267.74054054054056</v>
      </c>
      <c r="K304" s="20">
        <v>64.740540540540536</v>
      </c>
      <c r="L304" s="20">
        <v>29.627027027027026</v>
      </c>
      <c r="M304" s="20">
        <v>34.016216216216215</v>
      </c>
      <c r="N304" s="20">
        <v>272.12972972972972</v>
      </c>
      <c r="O304" s="20">
        <v>85.589189189189185</v>
      </c>
      <c r="P304" s="20">
        <v>8.7783783783783775</v>
      </c>
      <c r="Q304" s="20">
        <v>1.0972972972972972</v>
      </c>
      <c r="R304" s="20">
        <v>1.0972972972972972</v>
      </c>
      <c r="S304" s="20">
        <v>0</v>
      </c>
      <c r="T304" s="20">
        <v>0</v>
      </c>
      <c r="U304" s="20">
        <v>23.043243243243243</v>
      </c>
      <c r="V304" s="20">
        <v>2.1945945945945944</v>
      </c>
      <c r="W304" s="20">
        <v>1.0972972972972972</v>
      </c>
      <c r="X304" s="20">
        <v>1.0972972972972972</v>
      </c>
      <c r="Y304" s="20">
        <v>0</v>
      </c>
      <c r="Z304" s="20">
        <v>6.583783783783784</v>
      </c>
      <c r="AA304" s="20">
        <v>1.0972972972972972</v>
      </c>
      <c r="AB304" s="20">
        <v>9.8756756756756765</v>
      </c>
      <c r="AC304" s="20">
        <v>0</v>
      </c>
      <c r="AD304" s="20">
        <v>0</v>
      </c>
      <c r="AE304" s="20">
        <v>1.0972972972972972</v>
      </c>
      <c r="AF304" s="20">
        <v>0</v>
      </c>
      <c r="AG304" s="20">
        <v>0</v>
      </c>
      <c r="AH304" s="20">
        <v>0</v>
      </c>
      <c r="AI304" s="20">
        <v>0</v>
      </c>
      <c r="AJ304" s="20">
        <v>0</v>
      </c>
      <c r="AK304" s="20">
        <v>0</v>
      </c>
      <c r="AL304" s="20">
        <v>0</v>
      </c>
      <c r="AM304" s="20">
        <v>0</v>
      </c>
      <c r="AN304" s="20">
        <v>0</v>
      </c>
      <c r="AO304" s="20">
        <v>0</v>
      </c>
      <c r="AP304" s="20">
        <v>0</v>
      </c>
      <c r="AQ304" s="20">
        <v>0</v>
      </c>
      <c r="AR304" s="20">
        <v>0</v>
      </c>
      <c r="AS304" s="20">
        <v>0</v>
      </c>
      <c r="AT304" s="20">
        <v>0</v>
      </c>
      <c r="AU304" s="20">
        <v>1.0972972972972972</v>
      </c>
      <c r="AV304" s="20">
        <v>0</v>
      </c>
      <c r="AW304" s="20">
        <v>0</v>
      </c>
      <c r="AX304" s="20">
        <v>0</v>
      </c>
      <c r="AY304" s="20">
        <v>2.1945945945945944</v>
      </c>
      <c r="AZ304" s="20">
        <v>0</v>
      </c>
      <c r="BA304" s="20">
        <v>2.1945945945945944</v>
      </c>
      <c r="BB304" s="20">
        <v>0</v>
      </c>
      <c r="BC304" s="20">
        <v>0</v>
      </c>
      <c r="BD304" s="20">
        <v>0</v>
      </c>
      <c r="BE304" s="20">
        <v>0</v>
      </c>
      <c r="BF304" s="20">
        <v>0</v>
      </c>
      <c r="BG304" s="20">
        <v>0</v>
      </c>
      <c r="BH304" s="20">
        <v>0</v>
      </c>
      <c r="BI304" s="20">
        <v>0</v>
      </c>
      <c r="BJ304" s="20">
        <v>2.1945945945945944</v>
      </c>
      <c r="BK304" s="20">
        <v>0</v>
      </c>
      <c r="BL304" s="20">
        <v>0</v>
      </c>
      <c r="BM304" s="20">
        <v>0</v>
      </c>
      <c r="BN304" s="20">
        <v>1.0972972972972972</v>
      </c>
      <c r="BO304" s="20">
        <v>0</v>
      </c>
      <c r="BP304" s="20">
        <v>0</v>
      </c>
      <c r="BQ304" s="20">
        <v>0</v>
      </c>
      <c r="BR304" s="20">
        <v>0</v>
      </c>
      <c r="BS304" s="20">
        <v>0</v>
      </c>
      <c r="BT304" s="20">
        <v>0</v>
      </c>
      <c r="BU304" s="20">
        <v>0</v>
      </c>
      <c r="BV304" s="20">
        <v>0</v>
      </c>
      <c r="BW304" s="20">
        <v>0</v>
      </c>
      <c r="BX304" s="20">
        <v>0</v>
      </c>
      <c r="BY304" s="20">
        <v>0</v>
      </c>
      <c r="BZ304" s="20">
        <v>0</v>
      </c>
      <c r="CA304" s="20">
        <v>0</v>
      </c>
      <c r="CB304" s="20">
        <v>0</v>
      </c>
      <c r="CC304" s="20">
        <v>0</v>
      </c>
      <c r="CD304" s="20">
        <v>0</v>
      </c>
      <c r="CE304" s="20">
        <v>0</v>
      </c>
      <c r="CF304" s="20">
        <v>4.3891891891891888</v>
      </c>
      <c r="CG304" s="20">
        <v>0</v>
      </c>
      <c r="CH304" s="20">
        <v>0</v>
      </c>
      <c r="CI304" s="20">
        <v>0</v>
      </c>
      <c r="CJ304" s="20">
        <v>0</v>
      </c>
      <c r="CK304" s="20">
        <v>0</v>
      </c>
      <c r="CL304" s="20">
        <v>0</v>
      </c>
      <c r="CM304" s="20">
        <v>0</v>
      </c>
      <c r="CN304" s="20">
        <v>0</v>
      </c>
      <c r="CO304" s="20">
        <v>0</v>
      </c>
      <c r="CP304" s="20">
        <v>0</v>
      </c>
      <c r="CQ304" s="20">
        <v>0</v>
      </c>
      <c r="CR304" s="20">
        <v>0</v>
      </c>
      <c r="CS304" s="20">
        <v>0</v>
      </c>
      <c r="CT304" s="20">
        <v>0</v>
      </c>
      <c r="CU304" s="20">
        <v>0</v>
      </c>
      <c r="CV304" s="20">
        <v>0</v>
      </c>
      <c r="CW304" s="20">
        <v>0</v>
      </c>
      <c r="CX304" s="20">
        <v>0</v>
      </c>
      <c r="CY304" s="20">
        <v>0</v>
      </c>
      <c r="CZ304" s="20">
        <v>0</v>
      </c>
      <c r="DA304" s="20">
        <v>0</v>
      </c>
      <c r="DB304" s="20">
        <v>0</v>
      </c>
      <c r="DC304" s="20">
        <v>0</v>
      </c>
      <c r="DD304" s="20">
        <v>0</v>
      </c>
      <c r="DE304" s="20">
        <v>0</v>
      </c>
      <c r="DF304" s="20">
        <v>0</v>
      </c>
      <c r="DG304" s="16">
        <f t="shared" si="24"/>
        <v>1014.9999999999998</v>
      </c>
      <c r="DH304" s="16">
        <f t="shared" si="25"/>
        <v>5918.8216216216197</v>
      </c>
      <c r="DI304" s="17">
        <f t="shared" si="26"/>
        <v>5.8313513513513504</v>
      </c>
      <c r="DJ304" s="119" t="s">
        <v>1</v>
      </c>
      <c r="DK304" s="44" t="s">
        <v>1</v>
      </c>
      <c r="DL304" s="44" t="s">
        <v>1330</v>
      </c>
      <c r="DM304" s="44"/>
    </row>
    <row r="305" spans="1:117">
      <c r="A305" s="32" t="str">
        <f t="shared" si="27"/>
        <v>Essential (Original)--&gt; 66 kV &amp; &lt; = 132 kV; STEEL</v>
      </c>
      <c r="B305" s="32" t="str">
        <f t="shared" si="28"/>
        <v>Essential (Original)</v>
      </c>
      <c r="C305" s="384"/>
      <c r="D305" s="14"/>
      <c r="E305" s="15" t="s">
        <v>167</v>
      </c>
      <c r="F305" s="18">
        <v>54.9</v>
      </c>
      <c r="G305" s="18">
        <v>7.4094534211370817</v>
      </c>
      <c r="H305" s="20">
        <v>322.27013422818794</v>
      </c>
      <c r="I305" s="20">
        <v>406.34060402684565</v>
      </c>
      <c r="J305" s="20">
        <v>545.45721476510062</v>
      </c>
      <c r="K305" s="20">
        <v>108.09060402684564</v>
      </c>
      <c r="L305" s="20">
        <v>217.18204697986576</v>
      </c>
      <c r="M305" s="20">
        <v>210.17617449664431</v>
      </c>
      <c r="N305" s="20">
        <v>72.060402684563755</v>
      </c>
      <c r="O305" s="20">
        <v>15.01258389261745</v>
      </c>
      <c r="P305" s="20">
        <v>301.2525167785235</v>
      </c>
      <c r="Q305" s="20">
        <v>2.0016778523489931</v>
      </c>
      <c r="R305" s="20">
        <v>0</v>
      </c>
      <c r="S305" s="20">
        <v>0</v>
      </c>
      <c r="T305" s="20">
        <v>0</v>
      </c>
      <c r="U305" s="20">
        <v>4.0033557046979862</v>
      </c>
      <c r="V305" s="20">
        <v>0</v>
      </c>
      <c r="W305" s="20">
        <v>2.0016778523489931</v>
      </c>
      <c r="X305" s="20">
        <v>0</v>
      </c>
      <c r="Y305" s="20">
        <v>0</v>
      </c>
      <c r="Z305" s="20">
        <v>0</v>
      </c>
      <c r="AA305" s="20">
        <v>30.025167785234899</v>
      </c>
      <c r="AB305" s="20">
        <v>0</v>
      </c>
      <c r="AC305" s="20">
        <v>2.0016778523489931</v>
      </c>
      <c r="AD305" s="20">
        <v>0</v>
      </c>
      <c r="AE305" s="20">
        <v>2.0016778523489931</v>
      </c>
      <c r="AF305" s="20">
        <v>0</v>
      </c>
      <c r="AG305" s="20">
        <v>2.0016778523489931</v>
      </c>
      <c r="AH305" s="20">
        <v>0</v>
      </c>
      <c r="AI305" s="20">
        <v>0</v>
      </c>
      <c r="AJ305" s="20">
        <v>2.0016778523489931</v>
      </c>
      <c r="AK305" s="20">
        <v>0</v>
      </c>
      <c r="AL305" s="20">
        <v>0</v>
      </c>
      <c r="AM305" s="20">
        <v>0</v>
      </c>
      <c r="AN305" s="20">
        <v>0</v>
      </c>
      <c r="AO305" s="20">
        <v>2.0016778523489931</v>
      </c>
      <c r="AP305" s="20">
        <v>0</v>
      </c>
      <c r="AQ305" s="20">
        <v>3.0025167785234901</v>
      </c>
      <c r="AR305" s="20">
        <v>0</v>
      </c>
      <c r="AS305" s="20">
        <v>0</v>
      </c>
      <c r="AT305" s="20">
        <v>2.0016778523489931</v>
      </c>
      <c r="AU305" s="20">
        <v>0</v>
      </c>
      <c r="AV305" s="20">
        <v>25.020973154362416</v>
      </c>
      <c r="AW305" s="20">
        <v>0</v>
      </c>
      <c r="AX305" s="20">
        <v>1.0008389261744965</v>
      </c>
      <c r="AY305" s="20">
        <v>1.0008389261744965</v>
      </c>
      <c r="AZ305" s="20">
        <v>0</v>
      </c>
      <c r="BA305" s="20">
        <v>1.0008389261744965</v>
      </c>
      <c r="BB305" s="20">
        <v>0</v>
      </c>
      <c r="BC305" s="20">
        <v>5.0041946308724832</v>
      </c>
      <c r="BD305" s="20">
        <v>0</v>
      </c>
      <c r="BE305" s="20">
        <v>6.0050335570469802</v>
      </c>
      <c r="BF305" s="20">
        <v>2.0016778523489931</v>
      </c>
      <c r="BG305" s="20">
        <v>0</v>
      </c>
      <c r="BH305" s="20">
        <v>1.0008389261744965</v>
      </c>
      <c r="BI305" s="20">
        <v>11.009228187919463</v>
      </c>
      <c r="BJ305" s="20">
        <v>0</v>
      </c>
      <c r="BK305" s="20">
        <v>0</v>
      </c>
      <c r="BL305" s="20">
        <v>0</v>
      </c>
      <c r="BM305" s="20">
        <v>0</v>
      </c>
      <c r="BN305" s="20">
        <v>2.0016778523489931</v>
      </c>
      <c r="BO305" s="20">
        <v>0</v>
      </c>
      <c r="BP305" s="20">
        <v>0</v>
      </c>
      <c r="BQ305" s="20">
        <v>0</v>
      </c>
      <c r="BR305" s="20">
        <v>0</v>
      </c>
      <c r="BS305" s="20">
        <v>71.05956375838926</v>
      </c>
      <c r="BT305" s="20">
        <v>0</v>
      </c>
      <c r="BU305" s="20">
        <v>0</v>
      </c>
      <c r="BV305" s="20">
        <v>0</v>
      </c>
      <c r="BW305" s="20">
        <v>0</v>
      </c>
      <c r="BX305" s="20">
        <v>0</v>
      </c>
      <c r="BY305" s="20">
        <v>0</v>
      </c>
      <c r="BZ305" s="20">
        <v>0</v>
      </c>
      <c r="CA305" s="20">
        <v>0</v>
      </c>
      <c r="CB305" s="20">
        <v>0</v>
      </c>
      <c r="CC305" s="20">
        <v>0</v>
      </c>
      <c r="CD305" s="20">
        <v>0</v>
      </c>
      <c r="CE305" s="20">
        <v>0</v>
      </c>
      <c r="CF305" s="20">
        <v>0</v>
      </c>
      <c r="CG305" s="20">
        <v>0</v>
      </c>
      <c r="CH305" s="20">
        <v>0</v>
      </c>
      <c r="CI305" s="20">
        <v>0</v>
      </c>
      <c r="CJ305" s="20">
        <v>0</v>
      </c>
      <c r="CK305" s="20">
        <v>0</v>
      </c>
      <c r="CL305" s="20">
        <v>0</v>
      </c>
      <c r="CM305" s="20">
        <v>0</v>
      </c>
      <c r="CN305" s="20">
        <v>0</v>
      </c>
      <c r="CO305" s="20">
        <v>9.0075503355704694</v>
      </c>
      <c r="CP305" s="20">
        <v>0</v>
      </c>
      <c r="CQ305" s="20">
        <v>0</v>
      </c>
      <c r="CR305" s="20">
        <v>0</v>
      </c>
      <c r="CS305" s="20">
        <v>0</v>
      </c>
      <c r="CT305" s="20">
        <v>0</v>
      </c>
      <c r="CU305" s="20">
        <v>0</v>
      </c>
      <c r="CV305" s="20">
        <v>0</v>
      </c>
      <c r="CW305" s="20">
        <v>0</v>
      </c>
      <c r="CX305" s="20">
        <v>0</v>
      </c>
      <c r="CY305" s="20">
        <v>0</v>
      </c>
      <c r="CZ305" s="20">
        <v>0</v>
      </c>
      <c r="DA305" s="20">
        <v>0</v>
      </c>
      <c r="DB305" s="20">
        <v>0</v>
      </c>
      <c r="DC305" s="20">
        <v>0</v>
      </c>
      <c r="DD305" s="20">
        <v>0</v>
      </c>
      <c r="DE305" s="20">
        <v>0</v>
      </c>
      <c r="DF305" s="20">
        <v>0</v>
      </c>
      <c r="DG305" s="16">
        <f t="shared" si="24"/>
        <v>2386</v>
      </c>
      <c r="DH305" s="16">
        <f t="shared" si="25"/>
        <v>17941.038590604028</v>
      </c>
      <c r="DI305" s="17">
        <f t="shared" si="26"/>
        <v>7.5192953020134237</v>
      </c>
      <c r="DJ305" s="119" t="s">
        <v>1</v>
      </c>
      <c r="DK305" s="44" t="s">
        <v>1</v>
      </c>
      <c r="DL305" s="44" t="s">
        <v>1330</v>
      </c>
      <c r="DM305" s="44"/>
    </row>
    <row r="306" spans="1:117">
      <c r="A306" s="32" t="str">
        <f t="shared" si="27"/>
        <v>Essential (Original)--&gt; 132 kV; STEEL</v>
      </c>
      <c r="B306" s="32" t="str">
        <f t="shared" si="28"/>
        <v>Essential (Original)</v>
      </c>
      <c r="C306" s="384"/>
      <c r="D306" s="14"/>
      <c r="E306" s="15" t="s">
        <v>168</v>
      </c>
      <c r="F306" s="18">
        <v>54.9</v>
      </c>
      <c r="G306" s="18">
        <v>7.4094534211370817</v>
      </c>
      <c r="H306" s="20">
        <v>0</v>
      </c>
      <c r="I306" s="20">
        <v>0</v>
      </c>
      <c r="J306" s="20">
        <v>0</v>
      </c>
      <c r="K306" s="20">
        <v>0</v>
      </c>
      <c r="L306" s="20">
        <v>0</v>
      </c>
      <c r="M306" s="20">
        <v>0</v>
      </c>
      <c r="N306" s="20">
        <v>0</v>
      </c>
      <c r="O306" s="20">
        <v>0</v>
      </c>
      <c r="P306" s="20">
        <v>0</v>
      </c>
      <c r="Q306" s="20">
        <v>0</v>
      </c>
      <c r="R306" s="20">
        <v>0</v>
      </c>
      <c r="S306" s="20">
        <v>0</v>
      </c>
      <c r="T306" s="20">
        <v>0</v>
      </c>
      <c r="U306" s="20">
        <v>0</v>
      </c>
      <c r="V306" s="20">
        <v>0</v>
      </c>
      <c r="W306" s="20">
        <v>0</v>
      </c>
      <c r="X306" s="20">
        <v>0</v>
      </c>
      <c r="Y306" s="20">
        <v>0</v>
      </c>
      <c r="Z306" s="20">
        <v>0</v>
      </c>
      <c r="AA306" s="20">
        <v>0</v>
      </c>
      <c r="AB306" s="20">
        <v>0</v>
      </c>
      <c r="AC306" s="20">
        <v>0</v>
      </c>
      <c r="AD306" s="20">
        <v>0</v>
      </c>
      <c r="AE306" s="20">
        <v>0</v>
      </c>
      <c r="AF306" s="20">
        <v>0</v>
      </c>
      <c r="AG306" s="20">
        <v>0</v>
      </c>
      <c r="AH306" s="20">
        <v>0</v>
      </c>
      <c r="AI306" s="20">
        <v>0</v>
      </c>
      <c r="AJ306" s="20">
        <v>0</v>
      </c>
      <c r="AK306" s="20">
        <v>0</v>
      </c>
      <c r="AL306" s="20">
        <v>0</v>
      </c>
      <c r="AM306" s="20">
        <v>0</v>
      </c>
      <c r="AN306" s="20">
        <v>0</v>
      </c>
      <c r="AO306" s="20">
        <v>0</v>
      </c>
      <c r="AP306" s="20">
        <v>0</v>
      </c>
      <c r="AQ306" s="20">
        <v>0</v>
      </c>
      <c r="AR306" s="20">
        <v>0</v>
      </c>
      <c r="AS306" s="20">
        <v>0</v>
      </c>
      <c r="AT306" s="20">
        <v>0</v>
      </c>
      <c r="AU306" s="20">
        <v>0</v>
      </c>
      <c r="AV306" s="20">
        <v>0</v>
      </c>
      <c r="AW306" s="20">
        <v>0</v>
      </c>
      <c r="AX306" s="20">
        <v>0</v>
      </c>
      <c r="AY306" s="20">
        <v>0</v>
      </c>
      <c r="AZ306" s="20">
        <v>0</v>
      </c>
      <c r="BA306" s="20">
        <v>0</v>
      </c>
      <c r="BB306" s="20">
        <v>0</v>
      </c>
      <c r="BC306" s="20">
        <v>0</v>
      </c>
      <c r="BD306" s="20">
        <v>10</v>
      </c>
      <c r="BE306" s="20">
        <v>0</v>
      </c>
      <c r="BF306" s="20">
        <v>0</v>
      </c>
      <c r="BG306" s="20">
        <v>0</v>
      </c>
      <c r="BH306" s="20">
        <v>0</v>
      </c>
      <c r="BI306" s="20">
        <v>0</v>
      </c>
      <c r="BJ306" s="20">
        <v>0</v>
      </c>
      <c r="BK306" s="20">
        <v>0</v>
      </c>
      <c r="BL306" s="20">
        <v>0</v>
      </c>
      <c r="BM306" s="20">
        <v>0</v>
      </c>
      <c r="BN306" s="20">
        <v>0</v>
      </c>
      <c r="BO306" s="20">
        <v>0</v>
      </c>
      <c r="BP306" s="20">
        <v>0</v>
      </c>
      <c r="BQ306" s="20">
        <v>0</v>
      </c>
      <c r="BR306" s="20">
        <v>0</v>
      </c>
      <c r="BS306" s="20">
        <v>0</v>
      </c>
      <c r="BT306" s="20">
        <v>0</v>
      </c>
      <c r="BU306" s="20">
        <v>0</v>
      </c>
      <c r="BV306" s="20">
        <v>0</v>
      </c>
      <c r="BW306" s="20">
        <v>0</v>
      </c>
      <c r="BX306" s="20">
        <v>0</v>
      </c>
      <c r="BY306" s="20">
        <v>0</v>
      </c>
      <c r="BZ306" s="20">
        <v>0</v>
      </c>
      <c r="CA306" s="20">
        <v>0</v>
      </c>
      <c r="CB306" s="20">
        <v>0</v>
      </c>
      <c r="CC306" s="20">
        <v>0</v>
      </c>
      <c r="CD306" s="20">
        <v>0</v>
      </c>
      <c r="CE306" s="20">
        <v>0</v>
      </c>
      <c r="CF306" s="20">
        <v>0</v>
      </c>
      <c r="CG306" s="20">
        <v>0</v>
      </c>
      <c r="CH306" s="20">
        <v>0</v>
      </c>
      <c r="CI306" s="20">
        <v>0</v>
      </c>
      <c r="CJ306" s="20">
        <v>0</v>
      </c>
      <c r="CK306" s="20">
        <v>0</v>
      </c>
      <c r="CL306" s="20">
        <v>0</v>
      </c>
      <c r="CM306" s="20">
        <v>0</v>
      </c>
      <c r="CN306" s="20">
        <v>0</v>
      </c>
      <c r="CO306" s="20">
        <v>0</v>
      </c>
      <c r="CP306" s="20">
        <v>0</v>
      </c>
      <c r="CQ306" s="20">
        <v>0</v>
      </c>
      <c r="CR306" s="20">
        <v>0</v>
      </c>
      <c r="CS306" s="20">
        <v>0</v>
      </c>
      <c r="CT306" s="20">
        <v>0</v>
      </c>
      <c r="CU306" s="20">
        <v>0</v>
      </c>
      <c r="CV306" s="20">
        <v>0</v>
      </c>
      <c r="CW306" s="20">
        <v>0</v>
      </c>
      <c r="CX306" s="20">
        <v>0</v>
      </c>
      <c r="CY306" s="20">
        <v>0</v>
      </c>
      <c r="CZ306" s="20">
        <v>0</v>
      </c>
      <c r="DA306" s="20">
        <v>0</v>
      </c>
      <c r="DB306" s="20">
        <v>0</v>
      </c>
      <c r="DC306" s="20">
        <v>0</v>
      </c>
      <c r="DD306" s="20">
        <v>0</v>
      </c>
      <c r="DE306" s="20">
        <v>0</v>
      </c>
      <c r="DF306" s="20">
        <v>0</v>
      </c>
      <c r="DG306" s="16">
        <f t="shared" si="24"/>
        <v>10</v>
      </c>
      <c r="DH306" s="16">
        <f t="shared" si="25"/>
        <v>490</v>
      </c>
      <c r="DI306" s="17">
        <f t="shared" si="26"/>
        <v>49</v>
      </c>
      <c r="DJ306" s="119" t="s">
        <v>1</v>
      </c>
      <c r="DK306" s="44" t="s">
        <v>1</v>
      </c>
      <c r="DL306" s="44" t="s">
        <v>1330</v>
      </c>
      <c r="DM306" s="44"/>
    </row>
    <row r="307" spans="1:117">
      <c r="A307" s="32" t="str">
        <f t="shared" si="27"/>
        <v>Essential (Original)--BOLLARD; WOOD</v>
      </c>
      <c r="B307" s="32" t="str">
        <f t="shared" si="28"/>
        <v>Essential (Original)</v>
      </c>
      <c r="C307" s="384"/>
      <c r="D307" s="14"/>
      <c r="E307" s="15" t="s">
        <v>486</v>
      </c>
      <c r="F307" s="18">
        <v>53.8</v>
      </c>
      <c r="G307" s="18">
        <v>7.334848328356899</v>
      </c>
      <c r="H307" s="20">
        <v>144.02583886596088</v>
      </c>
      <c r="I307" s="20">
        <v>149.02673604880675</v>
      </c>
      <c r="J307" s="20">
        <v>94.016867037502237</v>
      </c>
      <c r="K307" s="20">
        <v>60.010766194150371</v>
      </c>
      <c r="L307" s="20">
        <v>105.01884083976314</v>
      </c>
      <c r="M307" s="20">
        <v>90.016149291225545</v>
      </c>
      <c r="N307" s="20">
        <v>97.01740534720976</v>
      </c>
      <c r="O307" s="20">
        <v>89.015969854656376</v>
      </c>
      <c r="P307" s="20">
        <v>104.01866140319397</v>
      </c>
      <c r="Q307" s="20">
        <v>134.02404450026916</v>
      </c>
      <c r="R307" s="20">
        <v>109.01955858603984</v>
      </c>
      <c r="S307" s="20">
        <v>98.017584783778929</v>
      </c>
      <c r="T307" s="20">
        <v>91.016328727794729</v>
      </c>
      <c r="U307" s="20">
        <v>127.02278844428494</v>
      </c>
      <c r="V307" s="20">
        <v>90.016149291225545</v>
      </c>
      <c r="W307" s="20">
        <v>88.015790418087207</v>
      </c>
      <c r="X307" s="20">
        <v>79.014175488964653</v>
      </c>
      <c r="Y307" s="20">
        <v>95.017046474071421</v>
      </c>
      <c r="Z307" s="20">
        <v>153.02745379508343</v>
      </c>
      <c r="AA307" s="20">
        <v>199.03570787726539</v>
      </c>
      <c r="AB307" s="20">
        <v>211.03786111609546</v>
      </c>
      <c r="AC307" s="20">
        <v>218.03911717207967</v>
      </c>
      <c r="AD307" s="20">
        <v>253.04539745200071</v>
      </c>
      <c r="AE307" s="20">
        <v>260.0466535079849</v>
      </c>
      <c r="AF307" s="20">
        <v>227.04073210120222</v>
      </c>
      <c r="AG307" s="20">
        <v>226.04055266463305</v>
      </c>
      <c r="AH307" s="20">
        <v>278.04988336623006</v>
      </c>
      <c r="AI307" s="20">
        <v>225.04037322806388</v>
      </c>
      <c r="AJ307" s="20">
        <v>200.03588731383456</v>
      </c>
      <c r="AK307" s="20">
        <v>190.03409294814284</v>
      </c>
      <c r="AL307" s="20">
        <v>140.0251211196842</v>
      </c>
      <c r="AM307" s="20">
        <v>257.04611519827739</v>
      </c>
      <c r="AN307" s="20">
        <v>234.04198815718644</v>
      </c>
      <c r="AO307" s="20">
        <v>317.05688139242778</v>
      </c>
      <c r="AP307" s="20">
        <v>193.03463125785035</v>
      </c>
      <c r="AQ307" s="20">
        <v>173.0310425264669</v>
      </c>
      <c r="AR307" s="20">
        <v>246.0441413960165</v>
      </c>
      <c r="AS307" s="20">
        <v>143.02565942939171</v>
      </c>
      <c r="AT307" s="20">
        <v>245.04396195944733</v>
      </c>
      <c r="AU307" s="20">
        <v>181.03247801902029</v>
      </c>
      <c r="AV307" s="20">
        <v>215.03857886237216</v>
      </c>
      <c r="AW307" s="20">
        <v>182.03265745558946</v>
      </c>
      <c r="AX307" s="20">
        <v>311.05580477301277</v>
      </c>
      <c r="AY307" s="20">
        <v>474.08505293378789</v>
      </c>
      <c r="AZ307" s="20">
        <v>312.05598420958194</v>
      </c>
      <c r="BA307" s="20">
        <v>234.04198815718644</v>
      </c>
      <c r="BB307" s="20">
        <v>174.03122196303607</v>
      </c>
      <c r="BC307" s="20">
        <v>448.08038758298943</v>
      </c>
      <c r="BD307" s="20">
        <v>289.05185716849093</v>
      </c>
      <c r="BE307" s="20">
        <v>89.015969854656376</v>
      </c>
      <c r="BF307" s="20">
        <v>91.016328727794729</v>
      </c>
      <c r="BG307" s="20">
        <v>60.010766194150371</v>
      </c>
      <c r="BH307" s="20">
        <v>147.02637717566842</v>
      </c>
      <c r="BI307" s="20">
        <v>471.08451462408038</v>
      </c>
      <c r="BJ307" s="20">
        <v>37.006639153059396</v>
      </c>
      <c r="BK307" s="20">
        <v>50.008971828458641</v>
      </c>
      <c r="BL307" s="20">
        <v>30.005383097075185</v>
      </c>
      <c r="BM307" s="20">
        <v>38.006818589628566</v>
      </c>
      <c r="BN307" s="20">
        <v>206.03696393324961</v>
      </c>
      <c r="BO307" s="20">
        <v>38.006818589628566</v>
      </c>
      <c r="BP307" s="20">
        <v>20.003588731383456</v>
      </c>
      <c r="BQ307" s="20">
        <v>126.02260900771577</v>
      </c>
      <c r="BR307" s="20">
        <v>8.0014354925533819</v>
      </c>
      <c r="BS307" s="20">
        <v>354.06352054548717</v>
      </c>
      <c r="BT307" s="20">
        <v>24.004306477660148</v>
      </c>
      <c r="BU307" s="20">
        <v>5.0008971828458639</v>
      </c>
      <c r="BV307" s="20">
        <v>8.0014354925533819</v>
      </c>
      <c r="BW307" s="20">
        <v>6.0010766194150369</v>
      </c>
      <c r="BX307" s="20">
        <v>3.0005383097075184</v>
      </c>
      <c r="BY307" s="20">
        <v>2.0003588731383455</v>
      </c>
      <c r="BZ307" s="20">
        <v>1.0001794365691727</v>
      </c>
      <c r="CA307" s="20">
        <v>3.0005383097075184</v>
      </c>
      <c r="CB307" s="20">
        <v>0</v>
      </c>
      <c r="CC307" s="20">
        <v>10.001794365691728</v>
      </c>
      <c r="CD307" s="20">
        <v>2.0003588731383455</v>
      </c>
      <c r="CE307" s="20">
        <v>2.0003588731383455</v>
      </c>
      <c r="CF307" s="20">
        <v>0</v>
      </c>
      <c r="CG307" s="20">
        <v>3.0005383097075184</v>
      </c>
      <c r="CH307" s="20">
        <v>0</v>
      </c>
      <c r="CI307" s="20">
        <v>0</v>
      </c>
      <c r="CJ307" s="20">
        <v>0</v>
      </c>
      <c r="CK307" s="20">
        <v>0</v>
      </c>
      <c r="CL307" s="20">
        <v>0</v>
      </c>
      <c r="CM307" s="20">
        <v>61.01094563071954</v>
      </c>
      <c r="CN307" s="20">
        <v>0</v>
      </c>
      <c r="CO307" s="20">
        <v>0</v>
      </c>
      <c r="CP307" s="20">
        <v>0</v>
      </c>
      <c r="CQ307" s="20">
        <v>0</v>
      </c>
      <c r="CR307" s="20">
        <v>0</v>
      </c>
      <c r="CS307" s="20">
        <v>0</v>
      </c>
      <c r="CT307" s="20">
        <v>0</v>
      </c>
      <c r="CU307" s="20">
        <v>0</v>
      </c>
      <c r="CV307" s="20">
        <v>0</v>
      </c>
      <c r="CW307" s="20">
        <v>0</v>
      </c>
      <c r="CX307" s="20">
        <v>0</v>
      </c>
      <c r="CY307" s="20">
        <v>0</v>
      </c>
      <c r="CZ307" s="20">
        <v>0</v>
      </c>
      <c r="DA307" s="20">
        <v>0</v>
      </c>
      <c r="DB307" s="20">
        <v>0</v>
      </c>
      <c r="DC307" s="20">
        <v>0</v>
      </c>
      <c r="DD307" s="20">
        <v>0</v>
      </c>
      <c r="DE307" s="20">
        <v>0</v>
      </c>
      <c r="DF307" s="20">
        <v>0</v>
      </c>
      <c r="DG307" s="16">
        <f t="shared" ref="DG307:DG366" si="29">SUM(H307:DF307)</f>
        <v>11148</v>
      </c>
      <c r="DH307" s="16">
        <f t="shared" ref="DH307:DH366" si="30">IFERROR(SUMPRODUCT(H307:DF307,$H$1:$DF$1),"")</f>
        <v>387334.48950296076</v>
      </c>
      <c r="DI307" s="17">
        <f t="shared" ref="DI307:DI366" si="31">IFERROR(DH307/DG307,"")</f>
        <v>34.744751480351702</v>
      </c>
      <c r="DJ307" s="119" t="s">
        <v>1</v>
      </c>
      <c r="DK307" s="44" t="s">
        <v>1</v>
      </c>
      <c r="DL307" s="44" t="s">
        <v>1328</v>
      </c>
      <c r="DM307" s="44"/>
    </row>
    <row r="308" spans="1:117">
      <c r="A308" s="32" t="str">
        <f t="shared" si="27"/>
        <v>Essential (Original)--BOLLARD; CONCRETE</v>
      </c>
      <c r="B308" s="32" t="str">
        <f t="shared" si="28"/>
        <v>Essential (Original)</v>
      </c>
      <c r="C308" s="384"/>
      <c r="D308" s="14"/>
      <c r="E308" s="15" t="s">
        <v>487</v>
      </c>
      <c r="F308" s="18">
        <v>53.8</v>
      </c>
      <c r="G308" s="18">
        <v>7.334848328356899</v>
      </c>
      <c r="H308" s="20">
        <v>20</v>
      </c>
      <c r="I308" s="20">
        <v>21</v>
      </c>
      <c r="J308" s="20">
        <v>20</v>
      </c>
      <c r="K308" s="20">
        <v>20</v>
      </c>
      <c r="L308" s="20">
        <v>18</v>
      </c>
      <c r="M308" s="20">
        <v>27</v>
      </c>
      <c r="N308" s="20">
        <v>23</v>
      </c>
      <c r="O308" s="20">
        <v>11</v>
      </c>
      <c r="P308" s="20">
        <v>24</v>
      </c>
      <c r="Q308" s="20">
        <v>25</v>
      </c>
      <c r="R308" s="20">
        <v>7</v>
      </c>
      <c r="S308" s="20">
        <v>19</v>
      </c>
      <c r="T308" s="20">
        <v>15</v>
      </c>
      <c r="U308" s="20">
        <v>26</v>
      </c>
      <c r="V308" s="20">
        <v>10</v>
      </c>
      <c r="W308" s="20">
        <v>26</v>
      </c>
      <c r="X308" s="20">
        <v>15</v>
      </c>
      <c r="Y308" s="20">
        <v>13</v>
      </c>
      <c r="Z308" s="20">
        <v>23</v>
      </c>
      <c r="AA308" s="20">
        <v>26</v>
      </c>
      <c r="AB308" s="20">
        <v>23</v>
      </c>
      <c r="AC308" s="20">
        <v>34</v>
      </c>
      <c r="AD308" s="20">
        <v>51</v>
      </c>
      <c r="AE308" s="20">
        <v>25</v>
      </c>
      <c r="AF308" s="20">
        <v>68</v>
      </c>
      <c r="AG308" s="20">
        <v>15</v>
      </c>
      <c r="AH308" s="20">
        <v>34</v>
      </c>
      <c r="AI308" s="20">
        <v>33</v>
      </c>
      <c r="AJ308" s="20">
        <v>15</v>
      </c>
      <c r="AK308" s="20">
        <v>1</v>
      </c>
      <c r="AL308" s="20">
        <v>3</v>
      </c>
      <c r="AM308" s="20">
        <v>5</v>
      </c>
      <c r="AN308" s="20">
        <v>0</v>
      </c>
      <c r="AO308" s="20">
        <v>3</v>
      </c>
      <c r="AP308" s="20">
        <v>0</v>
      </c>
      <c r="AQ308" s="20">
        <v>0</v>
      </c>
      <c r="AR308" s="20">
        <v>0</v>
      </c>
      <c r="AS308" s="20">
        <v>0</v>
      </c>
      <c r="AT308" s="20">
        <v>1</v>
      </c>
      <c r="AU308" s="20">
        <v>0</v>
      </c>
      <c r="AV308" s="20">
        <v>0</v>
      </c>
      <c r="AW308" s="20">
        <v>1</v>
      </c>
      <c r="AX308" s="20">
        <v>0</v>
      </c>
      <c r="AY308" s="20">
        <v>0</v>
      </c>
      <c r="AZ308" s="20">
        <v>0</v>
      </c>
      <c r="BA308" s="20">
        <v>1</v>
      </c>
      <c r="BB308" s="20">
        <v>0</v>
      </c>
      <c r="BC308" s="20">
        <v>0</v>
      </c>
      <c r="BD308" s="20">
        <v>0</v>
      </c>
      <c r="BE308" s="20">
        <v>0</v>
      </c>
      <c r="BF308" s="20">
        <v>0</v>
      </c>
      <c r="BG308" s="20">
        <v>0</v>
      </c>
      <c r="BH308" s="20">
        <v>0</v>
      </c>
      <c r="BI308" s="20">
        <v>0</v>
      </c>
      <c r="BJ308" s="20">
        <v>0</v>
      </c>
      <c r="BK308" s="20">
        <v>0</v>
      </c>
      <c r="BL308" s="20">
        <v>0</v>
      </c>
      <c r="BM308" s="20">
        <v>0</v>
      </c>
      <c r="BN308" s="20">
        <v>0</v>
      </c>
      <c r="BO308" s="20">
        <v>0</v>
      </c>
      <c r="BP308" s="20">
        <v>0</v>
      </c>
      <c r="BQ308" s="20">
        <v>0</v>
      </c>
      <c r="BR308" s="20">
        <v>0</v>
      </c>
      <c r="BS308" s="20">
        <v>0</v>
      </c>
      <c r="BT308" s="20">
        <v>0</v>
      </c>
      <c r="BU308" s="20">
        <v>0</v>
      </c>
      <c r="BV308" s="20">
        <v>0</v>
      </c>
      <c r="BW308" s="20">
        <v>0</v>
      </c>
      <c r="BX308" s="20">
        <v>0</v>
      </c>
      <c r="BY308" s="20">
        <v>0</v>
      </c>
      <c r="BZ308" s="20">
        <v>0</v>
      </c>
      <c r="CA308" s="20">
        <v>0</v>
      </c>
      <c r="CB308" s="20">
        <v>0</v>
      </c>
      <c r="CC308" s="20">
        <v>0</v>
      </c>
      <c r="CD308" s="20">
        <v>0</v>
      </c>
      <c r="CE308" s="20">
        <v>0</v>
      </c>
      <c r="CF308" s="20">
        <v>0</v>
      </c>
      <c r="CG308" s="20">
        <v>0</v>
      </c>
      <c r="CH308" s="20">
        <v>0</v>
      </c>
      <c r="CI308" s="20">
        <v>0</v>
      </c>
      <c r="CJ308" s="20">
        <v>0</v>
      </c>
      <c r="CK308" s="20">
        <v>0</v>
      </c>
      <c r="CL308" s="20">
        <v>0</v>
      </c>
      <c r="CM308" s="20">
        <v>0</v>
      </c>
      <c r="CN308" s="20">
        <v>0</v>
      </c>
      <c r="CO308" s="20">
        <v>0</v>
      </c>
      <c r="CP308" s="20">
        <v>0</v>
      </c>
      <c r="CQ308" s="20">
        <v>0</v>
      </c>
      <c r="CR308" s="20">
        <v>0</v>
      </c>
      <c r="CS308" s="20">
        <v>0</v>
      </c>
      <c r="CT308" s="20">
        <v>0</v>
      </c>
      <c r="CU308" s="20">
        <v>0</v>
      </c>
      <c r="CV308" s="20">
        <v>0</v>
      </c>
      <c r="CW308" s="20">
        <v>0</v>
      </c>
      <c r="CX308" s="20">
        <v>0</v>
      </c>
      <c r="CY308" s="20">
        <v>0</v>
      </c>
      <c r="CZ308" s="20">
        <v>0</v>
      </c>
      <c r="DA308" s="20">
        <v>0</v>
      </c>
      <c r="DB308" s="20">
        <v>0</v>
      </c>
      <c r="DC308" s="20">
        <v>0</v>
      </c>
      <c r="DD308" s="20">
        <v>0</v>
      </c>
      <c r="DE308" s="20">
        <v>0</v>
      </c>
      <c r="DF308" s="20">
        <v>0</v>
      </c>
      <c r="DG308" s="16">
        <f t="shared" si="29"/>
        <v>702</v>
      </c>
      <c r="DH308" s="16">
        <f t="shared" si="30"/>
        <v>11928</v>
      </c>
      <c r="DI308" s="17">
        <f t="shared" si="31"/>
        <v>16.991452991452991</v>
      </c>
      <c r="DJ308" s="119" t="s">
        <v>1</v>
      </c>
      <c r="DK308" s="44" t="s">
        <v>1</v>
      </c>
      <c r="DL308" s="44" t="s">
        <v>1329</v>
      </c>
      <c r="DM308" s="44"/>
    </row>
    <row r="309" spans="1:117">
      <c r="A309" s="32" t="str">
        <f t="shared" si="27"/>
        <v>Essential (Original)--BOLLARD; STEEL</v>
      </c>
      <c r="B309" s="32" t="str">
        <f t="shared" si="28"/>
        <v>Essential (Original)</v>
      </c>
      <c r="C309" s="384"/>
      <c r="D309" s="14"/>
      <c r="E309" s="15" t="s">
        <v>488</v>
      </c>
      <c r="F309" s="18">
        <v>53.8</v>
      </c>
      <c r="G309" s="18">
        <v>7.334848328356899</v>
      </c>
      <c r="H309" s="20">
        <v>8</v>
      </c>
      <c r="I309" s="20">
        <v>15</v>
      </c>
      <c r="J309" s="20">
        <v>9</v>
      </c>
      <c r="K309" s="20">
        <v>2</v>
      </c>
      <c r="L309" s="20">
        <v>3</v>
      </c>
      <c r="M309" s="20">
        <v>1</v>
      </c>
      <c r="N309" s="20">
        <v>0</v>
      </c>
      <c r="O309" s="20">
        <v>1</v>
      </c>
      <c r="P309" s="20">
        <v>0</v>
      </c>
      <c r="Q309" s="20">
        <v>0</v>
      </c>
      <c r="R309" s="20">
        <v>0</v>
      </c>
      <c r="S309" s="20">
        <v>1</v>
      </c>
      <c r="T309" s="20">
        <v>0</v>
      </c>
      <c r="U309" s="20">
        <v>1</v>
      </c>
      <c r="V309" s="20">
        <v>0</v>
      </c>
      <c r="W309" s="20">
        <v>0</v>
      </c>
      <c r="X309" s="20">
        <v>0</v>
      </c>
      <c r="Y309" s="20">
        <v>0</v>
      </c>
      <c r="Z309" s="20">
        <v>0</v>
      </c>
      <c r="AA309" s="20">
        <v>0</v>
      </c>
      <c r="AB309" s="20">
        <v>0</v>
      </c>
      <c r="AC309" s="20">
        <v>0</v>
      </c>
      <c r="AD309" s="20">
        <v>0</v>
      </c>
      <c r="AE309" s="20">
        <v>0</v>
      </c>
      <c r="AF309" s="20">
        <v>0</v>
      </c>
      <c r="AG309" s="20">
        <v>0</v>
      </c>
      <c r="AH309" s="20">
        <v>0</v>
      </c>
      <c r="AI309" s="20">
        <v>2</v>
      </c>
      <c r="AJ309" s="20">
        <v>1</v>
      </c>
      <c r="AK309" s="20">
        <v>0</v>
      </c>
      <c r="AL309" s="20">
        <v>0</v>
      </c>
      <c r="AM309" s="20">
        <v>0</v>
      </c>
      <c r="AN309" s="20">
        <v>0</v>
      </c>
      <c r="AO309" s="20">
        <v>1</v>
      </c>
      <c r="AP309" s="20">
        <v>0</v>
      </c>
      <c r="AQ309" s="20">
        <v>0</v>
      </c>
      <c r="AR309" s="20">
        <v>0</v>
      </c>
      <c r="AS309" s="20">
        <v>0</v>
      </c>
      <c r="AT309" s="20">
        <v>0</v>
      </c>
      <c r="AU309" s="20">
        <v>0</v>
      </c>
      <c r="AV309" s="20">
        <v>0</v>
      </c>
      <c r="AW309" s="20">
        <v>0</v>
      </c>
      <c r="AX309" s="20">
        <v>0</v>
      </c>
      <c r="AY309" s="20">
        <v>0</v>
      </c>
      <c r="AZ309" s="20">
        <v>0</v>
      </c>
      <c r="BA309" s="20">
        <v>0</v>
      </c>
      <c r="BB309" s="20">
        <v>0</v>
      </c>
      <c r="BC309" s="20">
        <v>1</v>
      </c>
      <c r="BD309" s="20">
        <v>1</v>
      </c>
      <c r="BE309" s="20">
        <v>0</v>
      </c>
      <c r="BF309" s="20">
        <v>0</v>
      </c>
      <c r="BG309" s="20">
        <v>0</v>
      </c>
      <c r="BH309" s="20">
        <v>1</v>
      </c>
      <c r="BI309" s="20">
        <v>0</v>
      </c>
      <c r="BJ309" s="20">
        <v>0</v>
      </c>
      <c r="BK309" s="20">
        <v>0</v>
      </c>
      <c r="BL309" s="20">
        <v>0</v>
      </c>
      <c r="BM309" s="20">
        <v>0</v>
      </c>
      <c r="BN309" s="20">
        <v>0</v>
      </c>
      <c r="BO309" s="20">
        <v>0</v>
      </c>
      <c r="BP309" s="20">
        <v>0</v>
      </c>
      <c r="BQ309" s="20">
        <v>0</v>
      </c>
      <c r="BR309" s="20">
        <v>0</v>
      </c>
      <c r="BS309" s="20">
        <v>0</v>
      </c>
      <c r="BT309" s="20">
        <v>0</v>
      </c>
      <c r="BU309" s="20">
        <v>0</v>
      </c>
      <c r="BV309" s="20">
        <v>0</v>
      </c>
      <c r="BW309" s="20">
        <v>0</v>
      </c>
      <c r="BX309" s="20">
        <v>0</v>
      </c>
      <c r="BY309" s="20">
        <v>0</v>
      </c>
      <c r="BZ309" s="20">
        <v>0</v>
      </c>
      <c r="CA309" s="20">
        <v>0</v>
      </c>
      <c r="CB309" s="20">
        <v>0</v>
      </c>
      <c r="CC309" s="20">
        <v>4</v>
      </c>
      <c r="CD309" s="20">
        <v>0</v>
      </c>
      <c r="CE309" s="20">
        <v>0</v>
      </c>
      <c r="CF309" s="20">
        <v>0</v>
      </c>
      <c r="CG309" s="20">
        <v>0</v>
      </c>
      <c r="CH309" s="20">
        <v>0</v>
      </c>
      <c r="CI309" s="20">
        <v>0</v>
      </c>
      <c r="CJ309" s="20">
        <v>0</v>
      </c>
      <c r="CK309" s="20">
        <v>0</v>
      </c>
      <c r="CL309" s="20">
        <v>0</v>
      </c>
      <c r="CM309" s="20">
        <v>0</v>
      </c>
      <c r="CN309" s="20">
        <v>0</v>
      </c>
      <c r="CO309" s="20">
        <v>0</v>
      </c>
      <c r="CP309" s="20">
        <v>0</v>
      </c>
      <c r="CQ309" s="20">
        <v>0</v>
      </c>
      <c r="CR309" s="20">
        <v>0</v>
      </c>
      <c r="CS309" s="20">
        <v>0</v>
      </c>
      <c r="CT309" s="20">
        <v>0</v>
      </c>
      <c r="CU309" s="20">
        <v>0</v>
      </c>
      <c r="CV309" s="20">
        <v>0</v>
      </c>
      <c r="CW309" s="20">
        <v>0</v>
      </c>
      <c r="CX309" s="20">
        <v>0</v>
      </c>
      <c r="CY309" s="20">
        <v>0</v>
      </c>
      <c r="CZ309" s="20">
        <v>0</v>
      </c>
      <c r="DA309" s="20">
        <v>0</v>
      </c>
      <c r="DB309" s="20">
        <v>0</v>
      </c>
      <c r="DC309" s="20">
        <v>0</v>
      </c>
      <c r="DD309" s="20">
        <v>0</v>
      </c>
      <c r="DE309" s="20">
        <v>0</v>
      </c>
      <c r="DF309" s="20">
        <v>0</v>
      </c>
      <c r="DG309" s="16">
        <f t="shared" si="29"/>
        <v>52</v>
      </c>
      <c r="DH309" s="16">
        <f t="shared" si="30"/>
        <v>693</v>
      </c>
      <c r="DI309" s="17">
        <f t="shared" si="31"/>
        <v>13.326923076923077</v>
      </c>
      <c r="DJ309" s="119" t="s">
        <v>1</v>
      </c>
      <c r="DK309" s="44" t="s">
        <v>1</v>
      </c>
      <c r="DL309" s="44" t="s">
        <v>1330</v>
      </c>
      <c r="DM309" s="44"/>
    </row>
    <row r="310" spans="1:117">
      <c r="A310" s="32" t="str">
        <f t="shared" si="27"/>
        <v>Essential (Original)--LV; FIBRE COMPOSITE</v>
      </c>
      <c r="B310" s="32" t="str">
        <f t="shared" si="28"/>
        <v>Essential (Original)</v>
      </c>
      <c r="C310" s="384"/>
      <c r="D310" s="14"/>
      <c r="E310" s="15" t="s">
        <v>489</v>
      </c>
      <c r="F310" s="18">
        <v>53.8</v>
      </c>
      <c r="G310" s="18">
        <v>7.334848328356899</v>
      </c>
      <c r="H310" s="20">
        <v>12</v>
      </c>
      <c r="I310" s="20">
        <v>0</v>
      </c>
      <c r="J310" s="20">
        <v>0</v>
      </c>
      <c r="K310" s="20">
        <v>0</v>
      </c>
      <c r="L310" s="20">
        <v>0</v>
      </c>
      <c r="M310" s="20">
        <v>0</v>
      </c>
      <c r="N310" s="20">
        <v>1</v>
      </c>
      <c r="O310" s="20">
        <v>0</v>
      </c>
      <c r="P310" s="20">
        <v>0</v>
      </c>
      <c r="Q310" s="20">
        <v>0</v>
      </c>
      <c r="R310" s="20">
        <v>0</v>
      </c>
      <c r="S310" s="20">
        <v>0</v>
      </c>
      <c r="T310" s="20">
        <v>0</v>
      </c>
      <c r="U310" s="20">
        <v>0</v>
      </c>
      <c r="V310" s="20">
        <v>0</v>
      </c>
      <c r="W310" s="20">
        <v>0</v>
      </c>
      <c r="X310" s="20">
        <v>0</v>
      </c>
      <c r="Y310" s="20">
        <v>0</v>
      </c>
      <c r="Z310" s="20">
        <v>0</v>
      </c>
      <c r="AA310" s="20">
        <v>0</v>
      </c>
      <c r="AB310" s="20">
        <v>0</v>
      </c>
      <c r="AC310" s="20">
        <v>0</v>
      </c>
      <c r="AD310" s="20">
        <v>1</v>
      </c>
      <c r="AE310" s="20">
        <v>0</v>
      </c>
      <c r="AF310" s="20">
        <v>6</v>
      </c>
      <c r="AG310" s="20">
        <v>0</v>
      </c>
      <c r="AH310" s="20">
        <v>0</v>
      </c>
      <c r="AI310" s="20">
        <v>0</v>
      </c>
      <c r="AJ310" s="20">
        <v>0</v>
      </c>
      <c r="AK310" s="20">
        <v>0</v>
      </c>
      <c r="AL310" s="20">
        <v>0</v>
      </c>
      <c r="AM310" s="20">
        <v>0</v>
      </c>
      <c r="AN310" s="20">
        <v>0</v>
      </c>
      <c r="AO310" s="20">
        <v>0</v>
      </c>
      <c r="AP310" s="20">
        <v>3</v>
      </c>
      <c r="AQ310" s="20">
        <v>0</v>
      </c>
      <c r="AR310" s="20">
        <v>10</v>
      </c>
      <c r="AS310" s="20">
        <v>0</v>
      </c>
      <c r="AT310" s="20">
        <v>0</v>
      </c>
      <c r="AU310" s="20">
        <v>0</v>
      </c>
      <c r="AV310" s="20">
        <v>0</v>
      </c>
      <c r="AW310" s="20">
        <v>0</v>
      </c>
      <c r="AX310" s="20">
        <v>0</v>
      </c>
      <c r="AY310" s="20">
        <v>0</v>
      </c>
      <c r="AZ310" s="20">
        <v>0</v>
      </c>
      <c r="BA310" s="20">
        <v>0</v>
      </c>
      <c r="BB310" s="20">
        <v>0</v>
      </c>
      <c r="BC310" s="20">
        <v>0</v>
      </c>
      <c r="BD310" s="20">
        <v>0</v>
      </c>
      <c r="BE310" s="20">
        <v>0</v>
      </c>
      <c r="BF310" s="20">
        <v>0</v>
      </c>
      <c r="BG310" s="20">
        <v>0</v>
      </c>
      <c r="BH310" s="20">
        <v>0</v>
      </c>
      <c r="BI310" s="20">
        <v>0</v>
      </c>
      <c r="BJ310" s="20">
        <v>0</v>
      </c>
      <c r="BK310" s="20">
        <v>0</v>
      </c>
      <c r="BL310" s="20">
        <v>0</v>
      </c>
      <c r="BM310" s="20">
        <v>0</v>
      </c>
      <c r="BN310" s="20">
        <v>0</v>
      </c>
      <c r="BO310" s="20">
        <v>0</v>
      </c>
      <c r="BP310" s="20">
        <v>0</v>
      </c>
      <c r="BQ310" s="20">
        <v>0</v>
      </c>
      <c r="BR310" s="20">
        <v>0</v>
      </c>
      <c r="BS310" s="20">
        <v>0</v>
      </c>
      <c r="BT310" s="20">
        <v>0</v>
      </c>
      <c r="BU310" s="20">
        <v>0</v>
      </c>
      <c r="BV310" s="20">
        <v>0</v>
      </c>
      <c r="BW310" s="20">
        <v>0</v>
      </c>
      <c r="BX310" s="20">
        <v>0</v>
      </c>
      <c r="BY310" s="20">
        <v>0</v>
      </c>
      <c r="BZ310" s="20">
        <v>0</v>
      </c>
      <c r="CA310" s="20">
        <v>0</v>
      </c>
      <c r="CB310" s="20">
        <v>0</v>
      </c>
      <c r="CC310" s="20">
        <v>0</v>
      </c>
      <c r="CD310" s="20">
        <v>0</v>
      </c>
      <c r="CE310" s="20">
        <v>0</v>
      </c>
      <c r="CF310" s="20">
        <v>0</v>
      </c>
      <c r="CG310" s="20">
        <v>0</v>
      </c>
      <c r="CH310" s="20">
        <v>0</v>
      </c>
      <c r="CI310" s="20">
        <v>0</v>
      </c>
      <c r="CJ310" s="20">
        <v>0</v>
      </c>
      <c r="CK310" s="20">
        <v>0</v>
      </c>
      <c r="CL310" s="20">
        <v>0</v>
      </c>
      <c r="CM310" s="20">
        <v>0</v>
      </c>
      <c r="CN310" s="20">
        <v>0</v>
      </c>
      <c r="CO310" s="20">
        <v>0</v>
      </c>
      <c r="CP310" s="20">
        <v>0</v>
      </c>
      <c r="CQ310" s="20">
        <v>0</v>
      </c>
      <c r="CR310" s="20">
        <v>0</v>
      </c>
      <c r="CS310" s="20">
        <v>0</v>
      </c>
      <c r="CT310" s="20">
        <v>0</v>
      </c>
      <c r="CU310" s="20">
        <v>0</v>
      </c>
      <c r="CV310" s="20">
        <v>0</v>
      </c>
      <c r="CW310" s="20">
        <v>0</v>
      </c>
      <c r="CX310" s="20">
        <v>0</v>
      </c>
      <c r="CY310" s="20">
        <v>0</v>
      </c>
      <c r="CZ310" s="20">
        <v>0</v>
      </c>
      <c r="DA310" s="20">
        <v>0</v>
      </c>
      <c r="DB310" s="20">
        <v>0</v>
      </c>
      <c r="DC310" s="20">
        <v>0</v>
      </c>
      <c r="DD310" s="20">
        <v>0</v>
      </c>
      <c r="DE310" s="20">
        <v>0</v>
      </c>
      <c r="DF310" s="20">
        <v>0</v>
      </c>
      <c r="DG310" s="16">
        <f t="shared" si="29"/>
        <v>33</v>
      </c>
      <c r="DH310" s="16">
        <f t="shared" si="30"/>
        <v>667</v>
      </c>
      <c r="DI310" s="17">
        <f t="shared" si="31"/>
        <v>20.212121212121211</v>
      </c>
      <c r="DJ310" s="119" t="s">
        <v>1</v>
      </c>
      <c r="DK310" s="44" t="s">
        <v>1</v>
      </c>
      <c r="DL310" s="44" t="s">
        <v>720</v>
      </c>
      <c r="DM310" s="44"/>
    </row>
    <row r="311" spans="1:117">
      <c r="A311" s="32" t="str">
        <f t="shared" si="27"/>
        <v>Essential (Original)--&gt; 1 kV &amp; &lt; = 11 kV; FIBRE COMPOSITE</v>
      </c>
      <c r="B311" s="32" t="str">
        <f t="shared" si="28"/>
        <v>Essential (Original)</v>
      </c>
      <c r="C311" s="384"/>
      <c r="D311" s="14"/>
      <c r="E311" s="15" t="s">
        <v>490</v>
      </c>
      <c r="F311" s="18">
        <v>53.8</v>
      </c>
      <c r="G311" s="18">
        <v>7.334848328356899</v>
      </c>
      <c r="H311" s="20">
        <v>1</v>
      </c>
      <c r="I311" s="20">
        <v>2</v>
      </c>
      <c r="J311" s="20">
        <v>0</v>
      </c>
      <c r="K311" s="20">
        <v>0</v>
      </c>
      <c r="L311" s="20">
        <v>0</v>
      </c>
      <c r="M311" s="20">
        <v>1</v>
      </c>
      <c r="N311" s="20">
        <v>3</v>
      </c>
      <c r="O311" s="20">
        <v>0</v>
      </c>
      <c r="P311" s="20">
        <v>0</v>
      </c>
      <c r="Q311" s="20">
        <v>0</v>
      </c>
      <c r="R311" s="20">
        <v>0</v>
      </c>
      <c r="S311" s="20">
        <v>0</v>
      </c>
      <c r="T311" s="20">
        <v>0</v>
      </c>
      <c r="U311" s="20">
        <v>0</v>
      </c>
      <c r="V311" s="20">
        <v>0</v>
      </c>
      <c r="W311" s="20">
        <v>0</v>
      </c>
      <c r="X311" s="20">
        <v>0</v>
      </c>
      <c r="Y311" s="20">
        <v>0</v>
      </c>
      <c r="Z311" s="20">
        <v>0</v>
      </c>
      <c r="AA311" s="20">
        <v>0</v>
      </c>
      <c r="AB311" s="20">
        <v>0</v>
      </c>
      <c r="AC311" s="20">
        <v>0</v>
      </c>
      <c r="AD311" s="20">
        <v>0</v>
      </c>
      <c r="AE311" s="20">
        <v>0</v>
      </c>
      <c r="AF311" s="20">
        <v>0</v>
      </c>
      <c r="AG311" s="20">
        <v>0</v>
      </c>
      <c r="AH311" s="20">
        <v>0</v>
      </c>
      <c r="AI311" s="20">
        <v>0</v>
      </c>
      <c r="AJ311" s="20">
        <v>0</v>
      </c>
      <c r="AK311" s="20">
        <v>0</v>
      </c>
      <c r="AL311" s="20">
        <v>0</v>
      </c>
      <c r="AM311" s="20">
        <v>0</v>
      </c>
      <c r="AN311" s="20">
        <v>0</v>
      </c>
      <c r="AO311" s="20">
        <v>0</v>
      </c>
      <c r="AP311" s="20">
        <v>0</v>
      </c>
      <c r="AQ311" s="20">
        <v>0</v>
      </c>
      <c r="AR311" s="20">
        <v>0</v>
      </c>
      <c r="AS311" s="20">
        <v>0</v>
      </c>
      <c r="AT311" s="20">
        <v>0</v>
      </c>
      <c r="AU311" s="20">
        <v>0</v>
      </c>
      <c r="AV311" s="20">
        <v>0</v>
      </c>
      <c r="AW311" s="20">
        <v>0</v>
      </c>
      <c r="AX311" s="20">
        <v>0</v>
      </c>
      <c r="AY311" s="20">
        <v>0</v>
      </c>
      <c r="AZ311" s="20">
        <v>0</v>
      </c>
      <c r="BA311" s="20">
        <v>0</v>
      </c>
      <c r="BB311" s="20">
        <v>0</v>
      </c>
      <c r="BC311" s="20">
        <v>0</v>
      </c>
      <c r="BD311" s="20">
        <v>0</v>
      </c>
      <c r="BE311" s="20">
        <v>0</v>
      </c>
      <c r="BF311" s="20">
        <v>0</v>
      </c>
      <c r="BG311" s="20">
        <v>0</v>
      </c>
      <c r="BH311" s="20">
        <v>0</v>
      </c>
      <c r="BI311" s="20">
        <v>0</v>
      </c>
      <c r="BJ311" s="20">
        <v>0</v>
      </c>
      <c r="BK311" s="20">
        <v>0</v>
      </c>
      <c r="BL311" s="20">
        <v>0</v>
      </c>
      <c r="BM311" s="20">
        <v>0</v>
      </c>
      <c r="BN311" s="20">
        <v>0</v>
      </c>
      <c r="BO311" s="20">
        <v>0</v>
      </c>
      <c r="BP311" s="20">
        <v>0</v>
      </c>
      <c r="BQ311" s="20">
        <v>0</v>
      </c>
      <c r="BR311" s="20">
        <v>0</v>
      </c>
      <c r="BS311" s="20">
        <v>0</v>
      </c>
      <c r="BT311" s="20">
        <v>0</v>
      </c>
      <c r="BU311" s="20">
        <v>0</v>
      </c>
      <c r="BV311" s="20">
        <v>0</v>
      </c>
      <c r="BW311" s="20">
        <v>0</v>
      </c>
      <c r="BX311" s="20">
        <v>0</v>
      </c>
      <c r="BY311" s="20">
        <v>0</v>
      </c>
      <c r="BZ311" s="20">
        <v>0</v>
      </c>
      <c r="CA311" s="20">
        <v>0</v>
      </c>
      <c r="CB311" s="20">
        <v>0</v>
      </c>
      <c r="CC311" s="20">
        <v>0</v>
      </c>
      <c r="CD311" s="20">
        <v>0</v>
      </c>
      <c r="CE311" s="20">
        <v>0</v>
      </c>
      <c r="CF311" s="20">
        <v>0</v>
      </c>
      <c r="CG311" s="20">
        <v>0</v>
      </c>
      <c r="CH311" s="20">
        <v>0</v>
      </c>
      <c r="CI311" s="20">
        <v>0</v>
      </c>
      <c r="CJ311" s="20">
        <v>0</v>
      </c>
      <c r="CK311" s="20">
        <v>0</v>
      </c>
      <c r="CL311" s="20">
        <v>0</v>
      </c>
      <c r="CM311" s="20">
        <v>0</v>
      </c>
      <c r="CN311" s="20">
        <v>0</v>
      </c>
      <c r="CO311" s="20">
        <v>0</v>
      </c>
      <c r="CP311" s="20">
        <v>0</v>
      </c>
      <c r="CQ311" s="20">
        <v>0</v>
      </c>
      <c r="CR311" s="20">
        <v>0</v>
      </c>
      <c r="CS311" s="20">
        <v>0</v>
      </c>
      <c r="CT311" s="20">
        <v>0</v>
      </c>
      <c r="CU311" s="20">
        <v>0</v>
      </c>
      <c r="CV311" s="20">
        <v>0</v>
      </c>
      <c r="CW311" s="20">
        <v>0</v>
      </c>
      <c r="CX311" s="20">
        <v>0</v>
      </c>
      <c r="CY311" s="20">
        <v>0</v>
      </c>
      <c r="CZ311" s="20">
        <v>0</v>
      </c>
      <c r="DA311" s="20">
        <v>0</v>
      </c>
      <c r="DB311" s="20">
        <v>0</v>
      </c>
      <c r="DC311" s="20">
        <v>0</v>
      </c>
      <c r="DD311" s="20">
        <v>0</v>
      </c>
      <c r="DE311" s="20">
        <v>0</v>
      </c>
      <c r="DF311" s="20">
        <v>0</v>
      </c>
      <c r="DG311" s="16">
        <f t="shared" si="29"/>
        <v>7</v>
      </c>
      <c r="DH311" s="16">
        <f t="shared" si="30"/>
        <v>32</v>
      </c>
      <c r="DI311" s="17">
        <f t="shared" si="31"/>
        <v>4.5714285714285712</v>
      </c>
      <c r="DJ311" s="119" t="s">
        <v>1</v>
      </c>
      <c r="DK311" s="44" t="s">
        <v>1</v>
      </c>
      <c r="DL311" s="44" t="s">
        <v>720</v>
      </c>
      <c r="DM311" s="44"/>
    </row>
    <row r="312" spans="1:117">
      <c r="A312" s="32" t="str">
        <f t="shared" si="27"/>
        <v>Essential (Original)--˃ 11 kV &amp; &lt; = 22 kV; FIBRE COMPOSITE</v>
      </c>
      <c r="B312" s="32" t="str">
        <f t="shared" si="28"/>
        <v>Essential (Original)</v>
      </c>
      <c r="C312" s="384"/>
      <c r="D312" s="14"/>
      <c r="E312" s="15" t="s">
        <v>491</v>
      </c>
      <c r="F312" s="18">
        <v>53.8</v>
      </c>
      <c r="G312" s="18">
        <v>7.334848328356899</v>
      </c>
      <c r="H312" s="20">
        <v>0</v>
      </c>
      <c r="I312" s="20">
        <v>9</v>
      </c>
      <c r="J312" s="20">
        <v>5</v>
      </c>
      <c r="K312" s="20">
        <v>0</v>
      </c>
      <c r="L312" s="20">
        <v>0</v>
      </c>
      <c r="M312" s="20">
        <v>0</v>
      </c>
      <c r="N312" s="20">
        <v>0</v>
      </c>
      <c r="O312" s="20">
        <v>0</v>
      </c>
      <c r="P312" s="20">
        <v>0</v>
      </c>
      <c r="Q312" s="20">
        <v>0</v>
      </c>
      <c r="R312" s="20">
        <v>0</v>
      </c>
      <c r="S312" s="20">
        <v>0</v>
      </c>
      <c r="T312" s="20">
        <v>0</v>
      </c>
      <c r="U312" s="20">
        <v>0</v>
      </c>
      <c r="V312" s="20">
        <v>0</v>
      </c>
      <c r="W312" s="20">
        <v>0</v>
      </c>
      <c r="X312" s="20">
        <v>0</v>
      </c>
      <c r="Y312" s="20">
        <v>0</v>
      </c>
      <c r="Z312" s="20">
        <v>0</v>
      </c>
      <c r="AA312" s="20">
        <v>0</v>
      </c>
      <c r="AB312" s="20">
        <v>0</v>
      </c>
      <c r="AC312" s="20">
        <v>0</v>
      </c>
      <c r="AD312" s="20">
        <v>0</v>
      </c>
      <c r="AE312" s="20">
        <v>1</v>
      </c>
      <c r="AF312" s="20">
        <v>0</v>
      </c>
      <c r="AG312" s="20">
        <v>0</v>
      </c>
      <c r="AH312" s="20">
        <v>0</v>
      </c>
      <c r="AI312" s="20">
        <v>0</v>
      </c>
      <c r="AJ312" s="20">
        <v>0</v>
      </c>
      <c r="AK312" s="20">
        <v>0</v>
      </c>
      <c r="AL312" s="20">
        <v>0</v>
      </c>
      <c r="AM312" s="20">
        <v>0</v>
      </c>
      <c r="AN312" s="20">
        <v>0</v>
      </c>
      <c r="AO312" s="20">
        <v>0</v>
      </c>
      <c r="AP312" s="20">
        <v>0</v>
      </c>
      <c r="AQ312" s="20">
        <v>0</v>
      </c>
      <c r="AR312" s="20">
        <v>0</v>
      </c>
      <c r="AS312" s="20">
        <v>0</v>
      </c>
      <c r="AT312" s="20">
        <v>0</v>
      </c>
      <c r="AU312" s="20">
        <v>0</v>
      </c>
      <c r="AV312" s="20">
        <v>0</v>
      </c>
      <c r="AW312" s="20">
        <v>0</v>
      </c>
      <c r="AX312" s="20">
        <v>0</v>
      </c>
      <c r="AY312" s="20">
        <v>0</v>
      </c>
      <c r="AZ312" s="20">
        <v>0</v>
      </c>
      <c r="BA312" s="20">
        <v>0</v>
      </c>
      <c r="BB312" s="20">
        <v>0</v>
      </c>
      <c r="BC312" s="20">
        <v>0</v>
      </c>
      <c r="BD312" s="20">
        <v>0</v>
      </c>
      <c r="BE312" s="20">
        <v>0</v>
      </c>
      <c r="BF312" s="20">
        <v>0</v>
      </c>
      <c r="BG312" s="20">
        <v>0</v>
      </c>
      <c r="BH312" s="20">
        <v>0</v>
      </c>
      <c r="BI312" s="20">
        <v>0</v>
      </c>
      <c r="BJ312" s="20">
        <v>0</v>
      </c>
      <c r="BK312" s="20">
        <v>0</v>
      </c>
      <c r="BL312" s="20">
        <v>0</v>
      </c>
      <c r="BM312" s="20">
        <v>0</v>
      </c>
      <c r="BN312" s="20">
        <v>0</v>
      </c>
      <c r="BO312" s="20">
        <v>0</v>
      </c>
      <c r="BP312" s="20">
        <v>0</v>
      </c>
      <c r="BQ312" s="20">
        <v>0</v>
      </c>
      <c r="BR312" s="20">
        <v>0</v>
      </c>
      <c r="BS312" s="20">
        <v>0</v>
      </c>
      <c r="BT312" s="20">
        <v>0</v>
      </c>
      <c r="BU312" s="20">
        <v>0</v>
      </c>
      <c r="BV312" s="20">
        <v>0</v>
      </c>
      <c r="BW312" s="20">
        <v>0</v>
      </c>
      <c r="BX312" s="20">
        <v>0</v>
      </c>
      <c r="BY312" s="20">
        <v>0</v>
      </c>
      <c r="BZ312" s="20">
        <v>0</v>
      </c>
      <c r="CA312" s="20">
        <v>0</v>
      </c>
      <c r="CB312" s="20">
        <v>0</v>
      </c>
      <c r="CC312" s="20">
        <v>0</v>
      </c>
      <c r="CD312" s="20">
        <v>0</v>
      </c>
      <c r="CE312" s="20">
        <v>0</v>
      </c>
      <c r="CF312" s="20">
        <v>0</v>
      </c>
      <c r="CG312" s="20">
        <v>0</v>
      </c>
      <c r="CH312" s="20">
        <v>0</v>
      </c>
      <c r="CI312" s="20">
        <v>0</v>
      </c>
      <c r="CJ312" s="20">
        <v>0</v>
      </c>
      <c r="CK312" s="20">
        <v>0</v>
      </c>
      <c r="CL312" s="20">
        <v>0</v>
      </c>
      <c r="CM312" s="20">
        <v>0</v>
      </c>
      <c r="CN312" s="20">
        <v>0</v>
      </c>
      <c r="CO312" s="20">
        <v>0</v>
      </c>
      <c r="CP312" s="20">
        <v>0</v>
      </c>
      <c r="CQ312" s="20">
        <v>0</v>
      </c>
      <c r="CR312" s="20">
        <v>0</v>
      </c>
      <c r="CS312" s="20">
        <v>0</v>
      </c>
      <c r="CT312" s="20">
        <v>0</v>
      </c>
      <c r="CU312" s="20">
        <v>0</v>
      </c>
      <c r="CV312" s="20">
        <v>0</v>
      </c>
      <c r="CW312" s="20">
        <v>0</v>
      </c>
      <c r="CX312" s="20">
        <v>0</v>
      </c>
      <c r="CY312" s="20">
        <v>0</v>
      </c>
      <c r="CZ312" s="20">
        <v>0</v>
      </c>
      <c r="DA312" s="20">
        <v>0</v>
      </c>
      <c r="DB312" s="20">
        <v>0</v>
      </c>
      <c r="DC312" s="20">
        <v>0</v>
      </c>
      <c r="DD312" s="20">
        <v>0</v>
      </c>
      <c r="DE312" s="20">
        <v>0</v>
      </c>
      <c r="DF312" s="20">
        <v>0</v>
      </c>
      <c r="DG312" s="16">
        <f t="shared" si="29"/>
        <v>15</v>
      </c>
      <c r="DH312" s="16">
        <f t="shared" si="30"/>
        <v>57</v>
      </c>
      <c r="DI312" s="17">
        <f t="shared" si="31"/>
        <v>3.8</v>
      </c>
      <c r="DJ312" s="119" t="s">
        <v>1</v>
      </c>
      <c r="DK312" s="44" t="s">
        <v>1</v>
      </c>
      <c r="DL312" s="44" t="s">
        <v>720</v>
      </c>
      <c r="DM312" s="44"/>
    </row>
    <row r="313" spans="1:117">
      <c r="A313" s="32" t="str">
        <f t="shared" si="27"/>
        <v>Essential (Original)--LV; STOBIE</v>
      </c>
      <c r="B313" s="32" t="str">
        <f t="shared" si="28"/>
        <v>Essential (Original)</v>
      </c>
      <c r="C313" s="384"/>
      <c r="D313" s="14"/>
      <c r="E313" s="15" t="s">
        <v>492</v>
      </c>
      <c r="F313" s="18">
        <v>53.8</v>
      </c>
      <c r="G313" s="18">
        <v>7.334848328356899</v>
      </c>
      <c r="H313" s="20">
        <v>2</v>
      </c>
      <c r="I313" s="20">
        <v>0</v>
      </c>
      <c r="J313" s="20">
        <v>0</v>
      </c>
      <c r="K313" s="20">
        <v>0</v>
      </c>
      <c r="L313" s="20">
        <v>0</v>
      </c>
      <c r="M313" s="20">
        <v>0</v>
      </c>
      <c r="N313" s="20">
        <v>0</v>
      </c>
      <c r="O313" s="20">
        <v>0</v>
      </c>
      <c r="P313" s="20">
        <v>0</v>
      </c>
      <c r="Q313" s="20">
        <v>0</v>
      </c>
      <c r="R313" s="20">
        <v>0</v>
      </c>
      <c r="S313" s="20">
        <v>0</v>
      </c>
      <c r="T313" s="20">
        <v>0</v>
      </c>
      <c r="U313" s="20">
        <v>0</v>
      </c>
      <c r="V313" s="20">
        <v>0</v>
      </c>
      <c r="W313" s="20">
        <v>0</v>
      </c>
      <c r="X313" s="20">
        <v>0</v>
      </c>
      <c r="Y313" s="20">
        <v>1</v>
      </c>
      <c r="Z313" s="20">
        <v>0</v>
      </c>
      <c r="AA313" s="20">
        <v>1</v>
      </c>
      <c r="AB313" s="20">
        <v>1</v>
      </c>
      <c r="AC313" s="20">
        <v>3</v>
      </c>
      <c r="AD313" s="20">
        <v>1</v>
      </c>
      <c r="AE313" s="20">
        <v>4</v>
      </c>
      <c r="AF313" s="20">
        <v>7</v>
      </c>
      <c r="AG313" s="20">
        <v>2</v>
      </c>
      <c r="AH313" s="20">
        <v>0</v>
      </c>
      <c r="AI313" s="20">
        <v>0</v>
      </c>
      <c r="AJ313" s="20">
        <v>6</v>
      </c>
      <c r="AK313" s="20">
        <v>2</v>
      </c>
      <c r="AL313" s="20">
        <v>7</v>
      </c>
      <c r="AM313" s="20">
        <v>0</v>
      </c>
      <c r="AN313" s="20">
        <v>7</v>
      </c>
      <c r="AO313" s="20">
        <v>4</v>
      </c>
      <c r="AP313" s="20">
        <v>17</v>
      </c>
      <c r="AQ313" s="20">
        <v>0</v>
      </c>
      <c r="AR313" s="20">
        <v>12</v>
      </c>
      <c r="AS313" s="20">
        <v>2</v>
      </c>
      <c r="AT313" s="20">
        <v>0</v>
      </c>
      <c r="AU313" s="20">
        <v>0</v>
      </c>
      <c r="AV313" s="20">
        <v>8</v>
      </c>
      <c r="AW313" s="20">
        <v>0</v>
      </c>
      <c r="AX313" s="20">
        <v>13</v>
      </c>
      <c r="AY313" s="20">
        <v>11</v>
      </c>
      <c r="AZ313" s="20">
        <v>4</v>
      </c>
      <c r="BA313" s="20">
        <v>7</v>
      </c>
      <c r="BB313" s="20">
        <v>1</v>
      </c>
      <c r="BC313" s="20">
        <v>1</v>
      </c>
      <c r="BD313" s="20">
        <v>13</v>
      </c>
      <c r="BE313" s="20">
        <v>0</v>
      </c>
      <c r="BF313" s="20">
        <v>0</v>
      </c>
      <c r="BG313" s="20">
        <v>0</v>
      </c>
      <c r="BH313" s="20">
        <v>0</v>
      </c>
      <c r="BI313" s="20">
        <v>0</v>
      </c>
      <c r="BJ313" s="20">
        <v>0</v>
      </c>
      <c r="BK313" s="20">
        <v>0</v>
      </c>
      <c r="BL313" s="20">
        <v>0</v>
      </c>
      <c r="BM313" s="20">
        <v>0</v>
      </c>
      <c r="BN313" s="20">
        <v>2</v>
      </c>
      <c r="BO313" s="20">
        <v>0</v>
      </c>
      <c r="BP313" s="20">
        <v>0</v>
      </c>
      <c r="BQ313" s="20">
        <v>0</v>
      </c>
      <c r="BR313" s="20">
        <v>0</v>
      </c>
      <c r="BS313" s="20">
        <v>0</v>
      </c>
      <c r="BT313" s="20">
        <v>0</v>
      </c>
      <c r="BU313" s="20">
        <v>0</v>
      </c>
      <c r="BV313" s="20">
        <v>0</v>
      </c>
      <c r="BW313" s="20">
        <v>0</v>
      </c>
      <c r="BX313" s="20">
        <v>0</v>
      </c>
      <c r="BY313" s="20">
        <v>0</v>
      </c>
      <c r="BZ313" s="20">
        <v>0</v>
      </c>
      <c r="CA313" s="20">
        <v>0</v>
      </c>
      <c r="CB313" s="20">
        <v>0</v>
      </c>
      <c r="CC313" s="20">
        <v>1</v>
      </c>
      <c r="CD313" s="20">
        <v>0</v>
      </c>
      <c r="CE313" s="20">
        <v>0</v>
      </c>
      <c r="CF313" s="20">
        <v>0</v>
      </c>
      <c r="CG313" s="20">
        <v>0</v>
      </c>
      <c r="CH313" s="20">
        <v>0</v>
      </c>
      <c r="CI313" s="20">
        <v>0</v>
      </c>
      <c r="CJ313" s="20">
        <v>0</v>
      </c>
      <c r="CK313" s="20">
        <v>0</v>
      </c>
      <c r="CL313" s="20">
        <v>0</v>
      </c>
      <c r="CM313" s="20">
        <v>0</v>
      </c>
      <c r="CN313" s="20">
        <v>0</v>
      </c>
      <c r="CO313" s="20">
        <v>0</v>
      </c>
      <c r="CP313" s="20">
        <v>0</v>
      </c>
      <c r="CQ313" s="20">
        <v>0</v>
      </c>
      <c r="CR313" s="20">
        <v>0</v>
      </c>
      <c r="CS313" s="20">
        <v>0</v>
      </c>
      <c r="CT313" s="20">
        <v>0</v>
      </c>
      <c r="CU313" s="20">
        <v>0</v>
      </c>
      <c r="CV313" s="20">
        <v>0</v>
      </c>
      <c r="CW313" s="20">
        <v>0</v>
      </c>
      <c r="CX313" s="20">
        <v>0</v>
      </c>
      <c r="CY313" s="20">
        <v>0</v>
      </c>
      <c r="CZ313" s="20">
        <v>0</v>
      </c>
      <c r="DA313" s="20">
        <v>0</v>
      </c>
      <c r="DB313" s="20">
        <v>0</v>
      </c>
      <c r="DC313" s="20">
        <v>0</v>
      </c>
      <c r="DD313" s="20">
        <v>0</v>
      </c>
      <c r="DE313" s="20">
        <v>0</v>
      </c>
      <c r="DF313" s="20">
        <v>0</v>
      </c>
      <c r="DG313" s="16">
        <f t="shared" si="29"/>
        <v>140</v>
      </c>
      <c r="DH313" s="16">
        <f t="shared" si="30"/>
        <v>5203</v>
      </c>
      <c r="DI313" s="17">
        <f t="shared" si="31"/>
        <v>37.164285714285711</v>
      </c>
      <c r="DJ313" s="119" t="s">
        <v>1</v>
      </c>
      <c r="DK313" s="44" t="s">
        <v>1</v>
      </c>
      <c r="DL313" s="44" t="s">
        <v>1331</v>
      </c>
      <c r="DM313" s="44"/>
    </row>
    <row r="314" spans="1:117">
      <c r="A314" s="32" t="str">
        <f t="shared" si="27"/>
        <v>Essential (Original)--&gt; 1 kV &amp; &lt; = 11 kV; STOBIE</v>
      </c>
      <c r="B314" s="32" t="str">
        <f t="shared" si="28"/>
        <v>Essential (Original)</v>
      </c>
      <c r="C314" s="384"/>
      <c r="D314" s="14"/>
      <c r="E314" s="15" t="s">
        <v>493</v>
      </c>
      <c r="F314" s="18">
        <v>53.8</v>
      </c>
      <c r="G314" s="18">
        <v>7.334848328356899</v>
      </c>
      <c r="H314" s="20">
        <v>0</v>
      </c>
      <c r="I314" s="20">
        <v>0</v>
      </c>
      <c r="J314" s="20">
        <v>0</v>
      </c>
      <c r="K314" s="20">
        <v>0</v>
      </c>
      <c r="L314" s="20">
        <v>0</v>
      </c>
      <c r="M314" s="20">
        <v>0</v>
      </c>
      <c r="N314" s="20">
        <v>0</v>
      </c>
      <c r="O314" s="20">
        <v>0</v>
      </c>
      <c r="P314" s="20">
        <v>0</v>
      </c>
      <c r="Q314" s="20">
        <v>0</v>
      </c>
      <c r="R314" s="20">
        <v>0</v>
      </c>
      <c r="S314" s="20">
        <v>0</v>
      </c>
      <c r="T314" s="20">
        <v>0</v>
      </c>
      <c r="U314" s="20">
        <v>0</v>
      </c>
      <c r="V314" s="20">
        <v>0</v>
      </c>
      <c r="W314" s="20">
        <v>0</v>
      </c>
      <c r="X314" s="20">
        <v>0</v>
      </c>
      <c r="Y314" s="20">
        <v>0</v>
      </c>
      <c r="Z314" s="20">
        <v>0</v>
      </c>
      <c r="AA314" s="20">
        <v>0</v>
      </c>
      <c r="AB314" s="20">
        <v>0</v>
      </c>
      <c r="AC314" s="20">
        <v>0</v>
      </c>
      <c r="AD314" s="20">
        <v>0</v>
      </c>
      <c r="AE314" s="20">
        <v>1</v>
      </c>
      <c r="AF314" s="20">
        <v>1</v>
      </c>
      <c r="AG314" s="20">
        <v>0</v>
      </c>
      <c r="AH314" s="20">
        <v>0</v>
      </c>
      <c r="AI314" s="20">
        <v>0</v>
      </c>
      <c r="AJ314" s="20">
        <v>2</v>
      </c>
      <c r="AK314" s="20">
        <v>0</v>
      </c>
      <c r="AL314" s="20">
        <v>0</v>
      </c>
      <c r="AM314" s="20">
        <v>0</v>
      </c>
      <c r="AN314" s="20">
        <v>0</v>
      </c>
      <c r="AO314" s="20">
        <v>0</v>
      </c>
      <c r="AP314" s="20">
        <v>0</v>
      </c>
      <c r="AQ314" s="20">
        <v>0</v>
      </c>
      <c r="AR314" s="20">
        <v>0</v>
      </c>
      <c r="AS314" s="20">
        <v>0</v>
      </c>
      <c r="AT314" s="20">
        <v>0</v>
      </c>
      <c r="AU314" s="20">
        <v>0</v>
      </c>
      <c r="AV314" s="20">
        <v>0</v>
      </c>
      <c r="AW314" s="20">
        <v>0</v>
      </c>
      <c r="AX314" s="20">
        <v>0</v>
      </c>
      <c r="AY314" s="20">
        <v>0</v>
      </c>
      <c r="AZ314" s="20">
        <v>0</v>
      </c>
      <c r="BA314" s="20">
        <v>0</v>
      </c>
      <c r="BB314" s="20">
        <v>0</v>
      </c>
      <c r="BC314" s="20">
        <v>0</v>
      </c>
      <c r="BD314" s="20">
        <v>0</v>
      </c>
      <c r="BE314" s="20">
        <v>0</v>
      </c>
      <c r="BF314" s="20">
        <v>0</v>
      </c>
      <c r="BG314" s="20">
        <v>0</v>
      </c>
      <c r="BH314" s="20">
        <v>0</v>
      </c>
      <c r="BI314" s="20">
        <v>3</v>
      </c>
      <c r="BJ314" s="20">
        <v>0</v>
      </c>
      <c r="BK314" s="20">
        <v>0</v>
      </c>
      <c r="BL314" s="20">
        <v>0</v>
      </c>
      <c r="BM314" s="20">
        <v>0</v>
      </c>
      <c r="BN314" s="20">
        <v>0</v>
      </c>
      <c r="BO314" s="20">
        <v>0</v>
      </c>
      <c r="BP314" s="20">
        <v>0</v>
      </c>
      <c r="BQ314" s="20">
        <v>0</v>
      </c>
      <c r="BR314" s="20">
        <v>0</v>
      </c>
      <c r="BS314" s="20">
        <v>0</v>
      </c>
      <c r="BT314" s="20">
        <v>0</v>
      </c>
      <c r="BU314" s="20">
        <v>0</v>
      </c>
      <c r="BV314" s="20">
        <v>0</v>
      </c>
      <c r="BW314" s="20">
        <v>0</v>
      </c>
      <c r="BX314" s="20">
        <v>0</v>
      </c>
      <c r="BY314" s="20">
        <v>0</v>
      </c>
      <c r="BZ314" s="20">
        <v>0</v>
      </c>
      <c r="CA314" s="20">
        <v>0</v>
      </c>
      <c r="CB314" s="20">
        <v>0</v>
      </c>
      <c r="CC314" s="20">
        <v>0</v>
      </c>
      <c r="CD314" s="20">
        <v>0</v>
      </c>
      <c r="CE314" s="20">
        <v>0</v>
      </c>
      <c r="CF314" s="20">
        <v>0</v>
      </c>
      <c r="CG314" s="20">
        <v>0</v>
      </c>
      <c r="CH314" s="20">
        <v>0</v>
      </c>
      <c r="CI314" s="20">
        <v>0</v>
      </c>
      <c r="CJ314" s="20">
        <v>0</v>
      </c>
      <c r="CK314" s="20">
        <v>0</v>
      </c>
      <c r="CL314" s="20">
        <v>0</v>
      </c>
      <c r="CM314" s="20">
        <v>0</v>
      </c>
      <c r="CN314" s="20">
        <v>0</v>
      </c>
      <c r="CO314" s="20">
        <v>0</v>
      </c>
      <c r="CP314" s="20">
        <v>0</v>
      </c>
      <c r="CQ314" s="20">
        <v>0</v>
      </c>
      <c r="CR314" s="20">
        <v>0</v>
      </c>
      <c r="CS314" s="20">
        <v>0</v>
      </c>
      <c r="CT314" s="20">
        <v>0</v>
      </c>
      <c r="CU314" s="20">
        <v>0</v>
      </c>
      <c r="CV314" s="20">
        <v>0</v>
      </c>
      <c r="CW314" s="20">
        <v>0</v>
      </c>
      <c r="CX314" s="20">
        <v>0</v>
      </c>
      <c r="CY314" s="20">
        <v>0</v>
      </c>
      <c r="CZ314" s="20">
        <v>0</v>
      </c>
      <c r="DA314" s="20">
        <v>0</v>
      </c>
      <c r="DB314" s="20">
        <v>0</v>
      </c>
      <c r="DC314" s="20">
        <v>0</v>
      </c>
      <c r="DD314" s="20">
        <v>0</v>
      </c>
      <c r="DE314" s="20">
        <v>0</v>
      </c>
      <c r="DF314" s="20">
        <v>0</v>
      </c>
      <c r="DG314" s="16">
        <f t="shared" si="29"/>
        <v>7</v>
      </c>
      <c r="DH314" s="16">
        <f t="shared" si="30"/>
        <v>269</v>
      </c>
      <c r="DI314" s="17">
        <f t="shared" si="31"/>
        <v>38.428571428571431</v>
      </c>
      <c r="DJ314" s="119" t="s">
        <v>1</v>
      </c>
      <c r="DK314" s="44" t="s">
        <v>1</v>
      </c>
      <c r="DL314" s="44" t="s">
        <v>1331</v>
      </c>
      <c r="DM314" s="44"/>
    </row>
    <row r="315" spans="1:117">
      <c r="A315" s="32" t="str">
        <f t="shared" si="27"/>
        <v>Essential (Original)--˃ 11 kV &amp; &lt; = 22 kV; STOBIE</v>
      </c>
      <c r="B315" s="32" t="str">
        <f t="shared" si="28"/>
        <v>Essential (Original)</v>
      </c>
      <c r="C315" s="384"/>
      <c r="D315" s="14"/>
      <c r="E315" s="15" t="s">
        <v>494</v>
      </c>
      <c r="F315" s="18">
        <v>53.8</v>
      </c>
      <c r="G315" s="18">
        <v>7.334848328356899</v>
      </c>
      <c r="H315" s="20">
        <v>0</v>
      </c>
      <c r="I315" s="20">
        <v>0</v>
      </c>
      <c r="J315" s="20">
        <v>0</v>
      </c>
      <c r="K315" s="20">
        <v>1</v>
      </c>
      <c r="L315" s="20">
        <v>0</v>
      </c>
      <c r="M315" s="20">
        <v>0</v>
      </c>
      <c r="N315" s="20">
        <v>0</v>
      </c>
      <c r="O315" s="20">
        <v>0</v>
      </c>
      <c r="P315" s="20">
        <v>0</v>
      </c>
      <c r="Q315" s="20">
        <v>0</v>
      </c>
      <c r="R315" s="20">
        <v>0</v>
      </c>
      <c r="S315" s="20">
        <v>0</v>
      </c>
      <c r="T315" s="20">
        <v>0</v>
      </c>
      <c r="U315" s="20">
        <v>0</v>
      </c>
      <c r="V315" s="20">
        <v>0</v>
      </c>
      <c r="W315" s="20">
        <v>0</v>
      </c>
      <c r="X315" s="20">
        <v>1</v>
      </c>
      <c r="Y315" s="20">
        <v>3</v>
      </c>
      <c r="Z315" s="20">
        <v>2</v>
      </c>
      <c r="AA315" s="20">
        <v>2</v>
      </c>
      <c r="AB315" s="20">
        <v>0</v>
      </c>
      <c r="AC315" s="20">
        <v>8</v>
      </c>
      <c r="AD315" s="20">
        <v>1</v>
      </c>
      <c r="AE315" s="20">
        <v>3</v>
      </c>
      <c r="AF315" s="20">
        <v>10</v>
      </c>
      <c r="AG315" s="20">
        <v>0</v>
      </c>
      <c r="AH315" s="20">
        <v>0</v>
      </c>
      <c r="AI315" s="20">
        <v>4</v>
      </c>
      <c r="AJ315" s="20">
        <v>15</v>
      </c>
      <c r="AK315" s="20">
        <v>0</v>
      </c>
      <c r="AL315" s="20">
        <v>24</v>
      </c>
      <c r="AM315" s="20">
        <v>22</v>
      </c>
      <c r="AN315" s="20">
        <v>15</v>
      </c>
      <c r="AO315" s="20">
        <v>17</v>
      </c>
      <c r="AP315" s="20">
        <v>13</v>
      </c>
      <c r="AQ315" s="20">
        <v>4</v>
      </c>
      <c r="AR315" s="20">
        <v>17</v>
      </c>
      <c r="AS315" s="20">
        <v>3</v>
      </c>
      <c r="AT315" s="20">
        <v>6</v>
      </c>
      <c r="AU315" s="20">
        <v>4</v>
      </c>
      <c r="AV315" s="20">
        <v>2</v>
      </c>
      <c r="AW315" s="20">
        <v>0</v>
      </c>
      <c r="AX315" s="20">
        <v>10</v>
      </c>
      <c r="AY315" s="20">
        <v>10</v>
      </c>
      <c r="AZ315" s="20">
        <v>4</v>
      </c>
      <c r="BA315" s="20">
        <v>3</v>
      </c>
      <c r="BB315" s="20">
        <v>5</v>
      </c>
      <c r="BC315" s="20">
        <v>6</v>
      </c>
      <c r="BD315" s="20">
        <v>15</v>
      </c>
      <c r="BE315" s="20">
        <v>1</v>
      </c>
      <c r="BF315" s="20">
        <v>0</v>
      </c>
      <c r="BG315" s="20">
        <v>0</v>
      </c>
      <c r="BH315" s="20">
        <v>0</v>
      </c>
      <c r="BI315" s="20">
        <v>0</v>
      </c>
      <c r="BJ315" s="20">
        <v>0</v>
      </c>
      <c r="BK315" s="20">
        <v>0</v>
      </c>
      <c r="BL315" s="20">
        <v>0</v>
      </c>
      <c r="BM315" s="20">
        <v>0</v>
      </c>
      <c r="BN315" s="20">
        <v>0</v>
      </c>
      <c r="BO315" s="20">
        <v>0</v>
      </c>
      <c r="BP315" s="20">
        <v>0</v>
      </c>
      <c r="BQ315" s="20">
        <v>0</v>
      </c>
      <c r="BR315" s="20">
        <v>0</v>
      </c>
      <c r="BS315" s="20">
        <v>0</v>
      </c>
      <c r="BT315" s="20">
        <v>0</v>
      </c>
      <c r="BU315" s="20">
        <v>0</v>
      </c>
      <c r="BV315" s="20">
        <v>0</v>
      </c>
      <c r="BW315" s="20">
        <v>0</v>
      </c>
      <c r="BX315" s="20">
        <v>0</v>
      </c>
      <c r="BY315" s="20">
        <v>0</v>
      </c>
      <c r="BZ315" s="20">
        <v>0</v>
      </c>
      <c r="CA315" s="20">
        <v>0</v>
      </c>
      <c r="CB315" s="20">
        <v>0</v>
      </c>
      <c r="CC315" s="20">
        <v>0</v>
      </c>
      <c r="CD315" s="20">
        <v>0</v>
      </c>
      <c r="CE315" s="20">
        <v>0</v>
      </c>
      <c r="CF315" s="20">
        <v>0</v>
      </c>
      <c r="CG315" s="20">
        <v>0</v>
      </c>
      <c r="CH315" s="20">
        <v>0</v>
      </c>
      <c r="CI315" s="20">
        <v>0</v>
      </c>
      <c r="CJ315" s="20">
        <v>0</v>
      </c>
      <c r="CK315" s="20">
        <v>0</v>
      </c>
      <c r="CL315" s="20">
        <v>0</v>
      </c>
      <c r="CM315" s="20">
        <v>0</v>
      </c>
      <c r="CN315" s="20">
        <v>0</v>
      </c>
      <c r="CO315" s="20">
        <v>0</v>
      </c>
      <c r="CP315" s="20">
        <v>0</v>
      </c>
      <c r="CQ315" s="20">
        <v>0</v>
      </c>
      <c r="CR315" s="20">
        <v>0</v>
      </c>
      <c r="CS315" s="20">
        <v>0</v>
      </c>
      <c r="CT315" s="20">
        <v>0</v>
      </c>
      <c r="CU315" s="20">
        <v>0</v>
      </c>
      <c r="CV315" s="20">
        <v>0</v>
      </c>
      <c r="CW315" s="20">
        <v>0</v>
      </c>
      <c r="CX315" s="20">
        <v>0</v>
      </c>
      <c r="CY315" s="20">
        <v>0</v>
      </c>
      <c r="CZ315" s="20">
        <v>0</v>
      </c>
      <c r="DA315" s="20">
        <v>0</v>
      </c>
      <c r="DB315" s="20">
        <v>0</v>
      </c>
      <c r="DC315" s="20">
        <v>0</v>
      </c>
      <c r="DD315" s="20">
        <v>0</v>
      </c>
      <c r="DE315" s="20">
        <v>0</v>
      </c>
      <c r="DF315" s="20">
        <v>0</v>
      </c>
      <c r="DG315" s="16">
        <f t="shared" si="29"/>
        <v>231</v>
      </c>
      <c r="DH315" s="16">
        <f t="shared" si="30"/>
        <v>8056</v>
      </c>
      <c r="DI315" s="17">
        <f t="shared" si="31"/>
        <v>34.874458874458874</v>
      </c>
      <c r="DJ315" s="119" t="s">
        <v>1</v>
      </c>
      <c r="DK315" s="44" t="s">
        <v>1</v>
      </c>
      <c r="DL315" s="44" t="s">
        <v>1331</v>
      </c>
      <c r="DM315" s="44"/>
    </row>
    <row r="316" spans="1:117">
      <c r="A316" s="32" t="str">
        <f t="shared" si="27"/>
        <v>Essential (Original)--&gt; 22 kV &amp; &lt; = 66 kV; STOBIE</v>
      </c>
      <c r="B316" s="32" t="str">
        <f t="shared" si="28"/>
        <v>Essential (Original)</v>
      </c>
      <c r="C316" s="384"/>
      <c r="D316" s="14"/>
      <c r="E316" s="15" t="s">
        <v>495</v>
      </c>
      <c r="F316" s="18">
        <v>54.9</v>
      </c>
      <c r="G316" s="18">
        <v>7.4094534211370817</v>
      </c>
      <c r="H316" s="20">
        <v>0</v>
      </c>
      <c r="I316" s="20">
        <v>0</v>
      </c>
      <c r="J316" s="20">
        <v>0</v>
      </c>
      <c r="K316" s="20">
        <v>0</v>
      </c>
      <c r="L316" s="20">
        <v>0</v>
      </c>
      <c r="M316" s="20">
        <v>0</v>
      </c>
      <c r="N316" s="20">
        <v>0</v>
      </c>
      <c r="O316" s="20">
        <v>0</v>
      </c>
      <c r="P316" s="20">
        <v>0</v>
      </c>
      <c r="Q316" s="20">
        <v>0</v>
      </c>
      <c r="R316" s="20">
        <v>0</v>
      </c>
      <c r="S316" s="20">
        <v>0</v>
      </c>
      <c r="T316" s="20">
        <v>0</v>
      </c>
      <c r="U316" s="20">
        <v>0</v>
      </c>
      <c r="V316" s="20">
        <v>0</v>
      </c>
      <c r="W316" s="20">
        <v>0</v>
      </c>
      <c r="X316" s="20">
        <v>0</v>
      </c>
      <c r="Y316" s="20">
        <v>0</v>
      </c>
      <c r="Z316" s="20">
        <v>0</v>
      </c>
      <c r="AA316" s="20">
        <v>0</v>
      </c>
      <c r="AB316" s="20">
        <v>0</v>
      </c>
      <c r="AC316" s="20">
        <v>0</v>
      </c>
      <c r="AD316" s="20">
        <v>0</v>
      </c>
      <c r="AE316" s="20">
        <v>0</v>
      </c>
      <c r="AF316" s="20">
        <v>0</v>
      </c>
      <c r="AG316" s="20">
        <v>0</v>
      </c>
      <c r="AH316" s="20">
        <v>0</v>
      </c>
      <c r="AI316" s="20">
        <v>0</v>
      </c>
      <c r="AJ316" s="20">
        <v>0</v>
      </c>
      <c r="AK316" s="20">
        <v>0</v>
      </c>
      <c r="AL316" s="20">
        <v>0</v>
      </c>
      <c r="AM316" s="20">
        <v>0</v>
      </c>
      <c r="AN316" s="20">
        <v>0</v>
      </c>
      <c r="AO316" s="20">
        <v>0</v>
      </c>
      <c r="AP316" s="20">
        <v>0</v>
      </c>
      <c r="AQ316" s="20">
        <v>0</v>
      </c>
      <c r="AR316" s="20">
        <v>0</v>
      </c>
      <c r="AS316" s="20">
        <v>0</v>
      </c>
      <c r="AT316" s="20">
        <v>0</v>
      </c>
      <c r="AU316" s="20">
        <v>0</v>
      </c>
      <c r="AV316" s="20">
        <v>0</v>
      </c>
      <c r="AW316" s="20">
        <v>0</v>
      </c>
      <c r="AX316" s="20">
        <v>0</v>
      </c>
      <c r="AY316" s="20">
        <v>0</v>
      </c>
      <c r="AZ316" s="20">
        <v>0</v>
      </c>
      <c r="BA316" s="20">
        <v>0</v>
      </c>
      <c r="BB316" s="20">
        <v>0</v>
      </c>
      <c r="BC316" s="20">
        <v>0</v>
      </c>
      <c r="BD316" s="20">
        <v>2</v>
      </c>
      <c r="BE316" s="20">
        <v>0</v>
      </c>
      <c r="BF316" s="20">
        <v>0</v>
      </c>
      <c r="BG316" s="20">
        <v>0</v>
      </c>
      <c r="BH316" s="20">
        <v>0</v>
      </c>
      <c r="BI316" s="20">
        <v>0</v>
      </c>
      <c r="BJ316" s="20">
        <v>0</v>
      </c>
      <c r="BK316" s="20">
        <v>0</v>
      </c>
      <c r="BL316" s="20">
        <v>0</v>
      </c>
      <c r="BM316" s="20">
        <v>0</v>
      </c>
      <c r="BN316" s="20">
        <v>0</v>
      </c>
      <c r="BO316" s="20">
        <v>0</v>
      </c>
      <c r="BP316" s="20">
        <v>0</v>
      </c>
      <c r="BQ316" s="20">
        <v>0</v>
      </c>
      <c r="BR316" s="20">
        <v>0</v>
      </c>
      <c r="BS316" s="20">
        <v>0</v>
      </c>
      <c r="BT316" s="20">
        <v>0</v>
      </c>
      <c r="BU316" s="20">
        <v>0</v>
      </c>
      <c r="BV316" s="20">
        <v>0</v>
      </c>
      <c r="BW316" s="20">
        <v>0</v>
      </c>
      <c r="BX316" s="20">
        <v>0</v>
      </c>
      <c r="BY316" s="20">
        <v>0</v>
      </c>
      <c r="BZ316" s="20">
        <v>0</v>
      </c>
      <c r="CA316" s="20">
        <v>0</v>
      </c>
      <c r="CB316" s="20">
        <v>0</v>
      </c>
      <c r="CC316" s="20">
        <v>0</v>
      </c>
      <c r="CD316" s="20">
        <v>0</v>
      </c>
      <c r="CE316" s="20">
        <v>0</v>
      </c>
      <c r="CF316" s="20">
        <v>0</v>
      </c>
      <c r="CG316" s="20">
        <v>0</v>
      </c>
      <c r="CH316" s="20">
        <v>0</v>
      </c>
      <c r="CI316" s="20">
        <v>0</v>
      </c>
      <c r="CJ316" s="20">
        <v>0</v>
      </c>
      <c r="CK316" s="20">
        <v>0</v>
      </c>
      <c r="CL316" s="20">
        <v>0</v>
      </c>
      <c r="CM316" s="20">
        <v>0</v>
      </c>
      <c r="CN316" s="20">
        <v>0</v>
      </c>
      <c r="CO316" s="20">
        <v>0</v>
      </c>
      <c r="CP316" s="20">
        <v>0</v>
      </c>
      <c r="CQ316" s="20">
        <v>0</v>
      </c>
      <c r="CR316" s="20">
        <v>0</v>
      </c>
      <c r="CS316" s="20">
        <v>0</v>
      </c>
      <c r="CT316" s="20">
        <v>0</v>
      </c>
      <c r="CU316" s="20">
        <v>0</v>
      </c>
      <c r="CV316" s="20">
        <v>0</v>
      </c>
      <c r="CW316" s="20">
        <v>0</v>
      </c>
      <c r="CX316" s="20">
        <v>0</v>
      </c>
      <c r="CY316" s="20">
        <v>0</v>
      </c>
      <c r="CZ316" s="20">
        <v>0</v>
      </c>
      <c r="DA316" s="20">
        <v>0</v>
      </c>
      <c r="DB316" s="20">
        <v>0</v>
      </c>
      <c r="DC316" s="20">
        <v>0</v>
      </c>
      <c r="DD316" s="20">
        <v>0</v>
      </c>
      <c r="DE316" s="20">
        <v>0</v>
      </c>
      <c r="DF316" s="20">
        <v>0</v>
      </c>
      <c r="DG316" s="16">
        <f t="shared" si="29"/>
        <v>2</v>
      </c>
      <c r="DH316" s="16">
        <f t="shared" si="30"/>
        <v>98</v>
      </c>
      <c r="DI316" s="17">
        <f t="shared" si="31"/>
        <v>49</v>
      </c>
      <c r="DJ316" s="119" t="s">
        <v>1</v>
      </c>
      <c r="DK316" s="44" t="s">
        <v>1</v>
      </c>
      <c r="DL316" s="44" t="s">
        <v>1331</v>
      </c>
      <c r="DM316" s="44"/>
    </row>
    <row r="317" spans="1:117">
      <c r="A317" s="32" t="str">
        <f t="shared" si="27"/>
        <v>Essential (Original)--&gt; 66 kV &amp; &lt; = 132 kV; STOBIE</v>
      </c>
      <c r="B317" s="32" t="str">
        <f t="shared" si="28"/>
        <v>Essential (Original)</v>
      </c>
      <c r="C317" s="384"/>
      <c r="D317" s="14"/>
      <c r="E317" s="15" t="s">
        <v>496</v>
      </c>
      <c r="F317" s="18">
        <v>54.9</v>
      </c>
      <c r="G317" s="18">
        <v>7.4094534211370817</v>
      </c>
      <c r="H317" s="20">
        <v>0</v>
      </c>
      <c r="I317" s="20">
        <v>0</v>
      </c>
      <c r="J317" s="20">
        <v>0</v>
      </c>
      <c r="K317" s="20">
        <v>0</v>
      </c>
      <c r="L317" s="20">
        <v>0</v>
      </c>
      <c r="M317" s="20">
        <v>0</v>
      </c>
      <c r="N317" s="20">
        <v>0</v>
      </c>
      <c r="O317" s="20">
        <v>0</v>
      </c>
      <c r="P317" s="20">
        <v>60</v>
      </c>
      <c r="Q317" s="20">
        <v>0</v>
      </c>
      <c r="R317" s="20">
        <v>0</v>
      </c>
      <c r="S317" s="20">
        <v>0</v>
      </c>
      <c r="T317" s="20">
        <v>0</v>
      </c>
      <c r="U317" s="20">
        <v>0</v>
      </c>
      <c r="V317" s="20">
        <v>0</v>
      </c>
      <c r="W317" s="20">
        <v>0</v>
      </c>
      <c r="X317" s="20">
        <v>0</v>
      </c>
      <c r="Y317" s="20">
        <v>0</v>
      </c>
      <c r="Z317" s="20">
        <v>1</v>
      </c>
      <c r="AA317" s="20">
        <v>0</v>
      </c>
      <c r="AB317" s="20">
        <v>0</v>
      </c>
      <c r="AC317" s="20">
        <v>0</v>
      </c>
      <c r="AD317" s="20">
        <v>0</v>
      </c>
      <c r="AE317" s="20">
        <v>0</v>
      </c>
      <c r="AF317" s="20">
        <v>0</v>
      </c>
      <c r="AG317" s="20">
        <v>0</v>
      </c>
      <c r="AH317" s="20">
        <v>0</v>
      </c>
      <c r="AI317" s="20">
        <v>1</v>
      </c>
      <c r="AJ317" s="20">
        <v>0</v>
      </c>
      <c r="AK317" s="20">
        <v>0</v>
      </c>
      <c r="AL317" s="20">
        <v>0</v>
      </c>
      <c r="AM317" s="20">
        <v>1</v>
      </c>
      <c r="AN317" s="20">
        <v>0</v>
      </c>
      <c r="AO317" s="20">
        <v>0</v>
      </c>
      <c r="AP317" s="20">
        <v>0</v>
      </c>
      <c r="AQ317" s="20">
        <v>2</v>
      </c>
      <c r="AR317" s="20">
        <v>0</v>
      </c>
      <c r="AS317" s="20">
        <v>0</v>
      </c>
      <c r="AT317" s="20">
        <v>0</v>
      </c>
      <c r="AU317" s="20">
        <v>0</v>
      </c>
      <c r="AV317" s="20">
        <v>0</v>
      </c>
      <c r="AW317" s="20">
        <v>0</v>
      </c>
      <c r="AX317" s="20">
        <v>0</v>
      </c>
      <c r="AY317" s="20">
        <v>0</v>
      </c>
      <c r="AZ317" s="20">
        <v>0</v>
      </c>
      <c r="BA317" s="20">
        <v>0</v>
      </c>
      <c r="BB317" s="20">
        <v>0</v>
      </c>
      <c r="BC317" s="20">
        <v>0</v>
      </c>
      <c r="BD317" s="20">
        <v>0</v>
      </c>
      <c r="BE317" s="20">
        <v>0</v>
      </c>
      <c r="BF317" s="20">
        <v>0</v>
      </c>
      <c r="BG317" s="20">
        <v>0</v>
      </c>
      <c r="BH317" s="20">
        <v>0</v>
      </c>
      <c r="BI317" s="20">
        <v>0</v>
      </c>
      <c r="BJ317" s="20">
        <v>0</v>
      </c>
      <c r="BK317" s="20">
        <v>0</v>
      </c>
      <c r="BL317" s="20">
        <v>0</v>
      </c>
      <c r="BM317" s="20">
        <v>0</v>
      </c>
      <c r="BN317" s="20">
        <v>0</v>
      </c>
      <c r="BO317" s="20">
        <v>0</v>
      </c>
      <c r="BP317" s="20">
        <v>0</v>
      </c>
      <c r="BQ317" s="20">
        <v>0</v>
      </c>
      <c r="BR317" s="20">
        <v>0</v>
      </c>
      <c r="BS317" s="20">
        <v>0</v>
      </c>
      <c r="BT317" s="20">
        <v>0</v>
      </c>
      <c r="BU317" s="20">
        <v>0</v>
      </c>
      <c r="BV317" s="20">
        <v>0</v>
      </c>
      <c r="BW317" s="20">
        <v>0</v>
      </c>
      <c r="BX317" s="20">
        <v>0</v>
      </c>
      <c r="BY317" s="20">
        <v>0</v>
      </c>
      <c r="BZ317" s="20">
        <v>0</v>
      </c>
      <c r="CA317" s="20">
        <v>0</v>
      </c>
      <c r="CB317" s="20">
        <v>0</v>
      </c>
      <c r="CC317" s="20">
        <v>0</v>
      </c>
      <c r="CD317" s="20">
        <v>0</v>
      </c>
      <c r="CE317" s="20">
        <v>0</v>
      </c>
      <c r="CF317" s="20">
        <v>0</v>
      </c>
      <c r="CG317" s="20">
        <v>0</v>
      </c>
      <c r="CH317" s="20">
        <v>0</v>
      </c>
      <c r="CI317" s="20">
        <v>0</v>
      </c>
      <c r="CJ317" s="20">
        <v>0</v>
      </c>
      <c r="CK317" s="20">
        <v>0</v>
      </c>
      <c r="CL317" s="20">
        <v>0</v>
      </c>
      <c r="CM317" s="20">
        <v>0</v>
      </c>
      <c r="CN317" s="20">
        <v>0</v>
      </c>
      <c r="CO317" s="20">
        <v>0</v>
      </c>
      <c r="CP317" s="20">
        <v>0</v>
      </c>
      <c r="CQ317" s="20">
        <v>0</v>
      </c>
      <c r="CR317" s="20">
        <v>0</v>
      </c>
      <c r="CS317" s="20">
        <v>0</v>
      </c>
      <c r="CT317" s="20">
        <v>0</v>
      </c>
      <c r="CU317" s="20">
        <v>0</v>
      </c>
      <c r="CV317" s="20">
        <v>0</v>
      </c>
      <c r="CW317" s="20">
        <v>0</v>
      </c>
      <c r="CX317" s="20">
        <v>0</v>
      </c>
      <c r="CY317" s="20">
        <v>0</v>
      </c>
      <c r="CZ317" s="20">
        <v>0</v>
      </c>
      <c r="DA317" s="20">
        <v>0</v>
      </c>
      <c r="DB317" s="20">
        <v>0</v>
      </c>
      <c r="DC317" s="20">
        <v>0</v>
      </c>
      <c r="DD317" s="20">
        <v>0</v>
      </c>
      <c r="DE317" s="20">
        <v>0</v>
      </c>
      <c r="DF317" s="20">
        <v>0</v>
      </c>
      <c r="DG317" s="16">
        <f t="shared" si="29"/>
        <v>65</v>
      </c>
      <c r="DH317" s="16">
        <f t="shared" si="30"/>
        <v>691</v>
      </c>
      <c r="DI317" s="17">
        <f t="shared" si="31"/>
        <v>10.63076923076923</v>
      </c>
      <c r="DJ317" s="119" t="s">
        <v>1</v>
      </c>
      <c r="DK317" s="44" t="s">
        <v>1</v>
      </c>
      <c r="DL317" s="44" t="s">
        <v>1331</v>
      </c>
      <c r="DM317" s="44"/>
    </row>
    <row r="318" spans="1:117">
      <c r="A318" s="32" t="str">
        <f t="shared" si="27"/>
        <v>Essential (Original)--BOLLARD; STOBIE</v>
      </c>
      <c r="B318" s="32" t="str">
        <f t="shared" si="28"/>
        <v>Essential (Original)</v>
      </c>
      <c r="C318" s="384"/>
      <c r="D318" s="14"/>
      <c r="E318" s="15" t="s">
        <v>497</v>
      </c>
      <c r="F318" s="18">
        <v>53.8</v>
      </c>
      <c r="G318" s="18">
        <v>7.334848328356899</v>
      </c>
      <c r="H318" s="20">
        <v>0</v>
      </c>
      <c r="I318" s="20">
        <v>0</v>
      </c>
      <c r="J318" s="20">
        <v>0</v>
      </c>
      <c r="K318" s="20">
        <v>0</v>
      </c>
      <c r="L318" s="20">
        <v>0</v>
      </c>
      <c r="M318" s="20">
        <v>0</v>
      </c>
      <c r="N318" s="20">
        <v>0</v>
      </c>
      <c r="O318" s="20">
        <v>0</v>
      </c>
      <c r="P318" s="20">
        <v>0</v>
      </c>
      <c r="Q318" s="20">
        <v>0</v>
      </c>
      <c r="R318" s="20">
        <v>0</v>
      </c>
      <c r="S318" s="20">
        <v>0</v>
      </c>
      <c r="T318" s="20">
        <v>0</v>
      </c>
      <c r="U318" s="20">
        <v>0</v>
      </c>
      <c r="V318" s="20">
        <v>0</v>
      </c>
      <c r="W318" s="20">
        <v>0</v>
      </c>
      <c r="X318" s="20">
        <v>0</v>
      </c>
      <c r="Y318" s="20">
        <v>0</v>
      </c>
      <c r="Z318" s="20">
        <v>0</v>
      </c>
      <c r="AA318" s="20">
        <v>0</v>
      </c>
      <c r="AB318" s="20">
        <v>0</v>
      </c>
      <c r="AC318" s="20">
        <v>0</v>
      </c>
      <c r="AD318" s="20">
        <v>1</v>
      </c>
      <c r="AE318" s="20">
        <v>0</v>
      </c>
      <c r="AF318" s="20">
        <v>0</v>
      </c>
      <c r="AG318" s="20">
        <v>0</v>
      </c>
      <c r="AH318" s="20">
        <v>0</v>
      </c>
      <c r="AI318" s="20">
        <v>0</v>
      </c>
      <c r="AJ318" s="20">
        <v>0</v>
      </c>
      <c r="AK318" s="20">
        <v>0</v>
      </c>
      <c r="AL318" s="20">
        <v>0</v>
      </c>
      <c r="AM318" s="20">
        <v>0</v>
      </c>
      <c r="AN318" s="20">
        <v>0</v>
      </c>
      <c r="AO318" s="20">
        <v>0</v>
      </c>
      <c r="AP318" s="20">
        <v>0</v>
      </c>
      <c r="AQ318" s="20">
        <v>0</v>
      </c>
      <c r="AR318" s="20">
        <v>0</v>
      </c>
      <c r="AS318" s="20">
        <v>0</v>
      </c>
      <c r="AT318" s="20">
        <v>0</v>
      </c>
      <c r="AU318" s="20">
        <v>0</v>
      </c>
      <c r="AV318" s="20">
        <v>0</v>
      </c>
      <c r="AW318" s="20">
        <v>0</v>
      </c>
      <c r="AX318" s="20">
        <v>0</v>
      </c>
      <c r="AY318" s="20">
        <v>0</v>
      </c>
      <c r="AZ318" s="20">
        <v>0</v>
      </c>
      <c r="BA318" s="20">
        <v>0</v>
      </c>
      <c r="BB318" s="20">
        <v>0</v>
      </c>
      <c r="BC318" s="20">
        <v>0</v>
      </c>
      <c r="BD318" s="20">
        <v>0</v>
      </c>
      <c r="BE318" s="20">
        <v>0</v>
      </c>
      <c r="BF318" s="20">
        <v>0</v>
      </c>
      <c r="BG318" s="20">
        <v>0</v>
      </c>
      <c r="BH318" s="20">
        <v>0</v>
      </c>
      <c r="BI318" s="20">
        <v>0</v>
      </c>
      <c r="BJ318" s="20">
        <v>0</v>
      </c>
      <c r="BK318" s="20">
        <v>0</v>
      </c>
      <c r="BL318" s="20">
        <v>0</v>
      </c>
      <c r="BM318" s="20">
        <v>0</v>
      </c>
      <c r="BN318" s="20">
        <v>0</v>
      </c>
      <c r="BO318" s="20">
        <v>0</v>
      </c>
      <c r="BP318" s="20">
        <v>0</v>
      </c>
      <c r="BQ318" s="20">
        <v>0</v>
      </c>
      <c r="BR318" s="20">
        <v>0</v>
      </c>
      <c r="BS318" s="20">
        <v>0</v>
      </c>
      <c r="BT318" s="20">
        <v>0</v>
      </c>
      <c r="BU318" s="20">
        <v>0</v>
      </c>
      <c r="BV318" s="20">
        <v>0</v>
      </c>
      <c r="BW318" s="20">
        <v>0</v>
      </c>
      <c r="BX318" s="20">
        <v>0</v>
      </c>
      <c r="BY318" s="20">
        <v>0</v>
      </c>
      <c r="BZ318" s="20">
        <v>0</v>
      </c>
      <c r="CA318" s="20">
        <v>0</v>
      </c>
      <c r="CB318" s="20">
        <v>0</v>
      </c>
      <c r="CC318" s="20">
        <v>0</v>
      </c>
      <c r="CD318" s="20">
        <v>0</v>
      </c>
      <c r="CE318" s="20">
        <v>0</v>
      </c>
      <c r="CF318" s="20">
        <v>0</v>
      </c>
      <c r="CG318" s="20">
        <v>0</v>
      </c>
      <c r="CH318" s="20">
        <v>0</v>
      </c>
      <c r="CI318" s="20">
        <v>0</v>
      </c>
      <c r="CJ318" s="20">
        <v>0</v>
      </c>
      <c r="CK318" s="20">
        <v>0</v>
      </c>
      <c r="CL318" s="20">
        <v>0</v>
      </c>
      <c r="CM318" s="20">
        <v>0</v>
      </c>
      <c r="CN318" s="20">
        <v>0</v>
      </c>
      <c r="CO318" s="20">
        <v>0</v>
      </c>
      <c r="CP318" s="20">
        <v>0</v>
      </c>
      <c r="CQ318" s="20">
        <v>0</v>
      </c>
      <c r="CR318" s="20">
        <v>0</v>
      </c>
      <c r="CS318" s="20">
        <v>0</v>
      </c>
      <c r="CT318" s="20">
        <v>0</v>
      </c>
      <c r="CU318" s="20">
        <v>0</v>
      </c>
      <c r="CV318" s="20">
        <v>0</v>
      </c>
      <c r="CW318" s="20">
        <v>0</v>
      </c>
      <c r="CX318" s="20">
        <v>0</v>
      </c>
      <c r="CY318" s="20">
        <v>0</v>
      </c>
      <c r="CZ318" s="20">
        <v>0</v>
      </c>
      <c r="DA318" s="20">
        <v>0</v>
      </c>
      <c r="DB318" s="20">
        <v>0</v>
      </c>
      <c r="DC318" s="20">
        <v>0</v>
      </c>
      <c r="DD318" s="20">
        <v>0</v>
      </c>
      <c r="DE318" s="20">
        <v>0</v>
      </c>
      <c r="DF318" s="20">
        <v>0</v>
      </c>
      <c r="DG318" s="16">
        <f t="shared" si="29"/>
        <v>1</v>
      </c>
      <c r="DH318" s="16">
        <f t="shared" si="30"/>
        <v>23</v>
      </c>
      <c r="DI318" s="17">
        <f t="shared" si="31"/>
        <v>23</v>
      </c>
      <c r="DJ318" s="119" t="s">
        <v>1</v>
      </c>
      <c r="DK318" s="44" t="s">
        <v>1</v>
      </c>
      <c r="DL318" s="44" t="s">
        <v>1331</v>
      </c>
      <c r="DM318" s="44"/>
    </row>
    <row r="319" spans="1:117">
      <c r="A319" s="32" t="str">
        <f t="shared" si="27"/>
        <v>Essential (Original)--LV; UNKNOWN</v>
      </c>
      <c r="B319" s="32" t="str">
        <f t="shared" si="28"/>
        <v>Essential (Original)</v>
      </c>
      <c r="C319" s="384"/>
      <c r="D319" s="14"/>
      <c r="E319" s="15" t="s">
        <v>498</v>
      </c>
      <c r="F319" s="18">
        <v>53.8</v>
      </c>
      <c r="G319" s="18">
        <v>7.334848328356899</v>
      </c>
      <c r="H319" s="20">
        <v>11.489130434782609</v>
      </c>
      <c r="I319" s="20">
        <v>26.260869565217391</v>
      </c>
      <c r="J319" s="20">
        <v>14.771739130434783</v>
      </c>
      <c r="K319" s="20">
        <v>16.413043478260867</v>
      </c>
      <c r="L319" s="20">
        <v>8.2065217391304337</v>
      </c>
      <c r="M319" s="20">
        <v>3.2826086956521738</v>
      </c>
      <c r="N319" s="20">
        <v>8.2065217391304337</v>
      </c>
      <c r="O319" s="20">
        <v>0</v>
      </c>
      <c r="P319" s="20">
        <v>1.6413043478260869</v>
      </c>
      <c r="Q319" s="20">
        <v>0</v>
      </c>
      <c r="R319" s="20">
        <v>3.2826086956521738</v>
      </c>
      <c r="S319" s="20">
        <v>3.2826086956521738</v>
      </c>
      <c r="T319" s="20">
        <v>1.6413043478260869</v>
      </c>
      <c r="U319" s="20">
        <v>0</v>
      </c>
      <c r="V319" s="20">
        <v>0</v>
      </c>
      <c r="W319" s="20">
        <v>0</v>
      </c>
      <c r="X319" s="20">
        <v>0</v>
      </c>
      <c r="Y319" s="20">
        <v>0</v>
      </c>
      <c r="Z319" s="20">
        <v>0</v>
      </c>
      <c r="AA319" s="20">
        <v>0</v>
      </c>
      <c r="AB319" s="20">
        <v>0</v>
      </c>
      <c r="AC319" s="20">
        <v>0</v>
      </c>
      <c r="AD319" s="20">
        <v>0</v>
      </c>
      <c r="AE319" s="20">
        <v>0</v>
      </c>
      <c r="AF319" s="20">
        <v>0</v>
      </c>
      <c r="AG319" s="20">
        <v>4.9239130434782608</v>
      </c>
      <c r="AH319" s="20">
        <v>0</v>
      </c>
      <c r="AI319" s="20">
        <v>0</v>
      </c>
      <c r="AJ319" s="20">
        <v>0</v>
      </c>
      <c r="AK319" s="20">
        <v>0</v>
      </c>
      <c r="AL319" s="20">
        <v>0</v>
      </c>
      <c r="AM319" s="20">
        <v>0</v>
      </c>
      <c r="AN319" s="20">
        <v>0</v>
      </c>
      <c r="AO319" s="20">
        <v>0</v>
      </c>
      <c r="AP319" s="20">
        <v>0</v>
      </c>
      <c r="AQ319" s="20">
        <v>0</v>
      </c>
      <c r="AR319" s="20">
        <v>0</v>
      </c>
      <c r="AS319" s="20">
        <v>0</v>
      </c>
      <c r="AT319" s="20">
        <v>0</v>
      </c>
      <c r="AU319" s="20">
        <v>0</v>
      </c>
      <c r="AV319" s="20">
        <v>1.6413043478260869</v>
      </c>
      <c r="AW319" s="20">
        <v>0</v>
      </c>
      <c r="AX319" s="20">
        <v>0</v>
      </c>
      <c r="AY319" s="20">
        <v>0</v>
      </c>
      <c r="AZ319" s="20">
        <v>1.6413043478260869</v>
      </c>
      <c r="BA319" s="20">
        <v>0</v>
      </c>
      <c r="BB319" s="20">
        <v>0</v>
      </c>
      <c r="BC319" s="20">
        <v>1.6413043478260869</v>
      </c>
      <c r="BD319" s="20">
        <v>0</v>
      </c>
      <c r="BE319" s="20">
        <v>0</v>
      </c>
      <c r="BF319" s="20">
        <v>1.6413043478260869</v>
      </c>
      <c r="BG319" s="20">
        <v>1.6413043478260869</v>
      </c>
      <c r="BH319" s="20">
        <v>1.6413043478260869</v>
      </c>
      <c r="BI319" s="20">
        <v>18.054347826086957</v>
      </c>
      <c r="BJ319" s="20">
        <v>0</v>
      </c>
      <c r="BK319" s="20">
        <v>3.2826086956521738</v>
      </c>
      <c r="BL319" s="20">
        <v>0</v>
      </c>
      <c r="BM319" s="20">
        <v>0</v>
      </c>
      <c r="BN319" s="20">
        <v>0</v>
      </c>
      <c r="BO319" s="20">
        <v>1.6413043478260869</v>
      </c>
      <c r="BP319" s="20">
        <v>3.2826086956521738</v>
      </c>
      <c r="BQ319" s="20">
        <v>0</v>
      </c>
      <c r="BR319" s="20">
        <v>0</v>
      </c>
      <c r="BS319" s="20">
        <v>9.8478260869565215</v>
      </c>
      <c r="BT319" s="20">
        <v>0</v>
      </c>
      <c r="BU319" s="20">
        <v>0</v>
      </c>
      <c r="BV319" s="20">
        <v>0</v>
      </c>
      <c r="BW319" s="20">
        <v>0</v>
      </c>
      <c r="BX319" s="20">
        <v>0</v>
      </c>
      <c r="BY319" s="20">
        <v>0</v>
      </c>
      <c r="BZ319" s="20">
        <v>0</v>
      </c>
      <c r="CA319" s="20">
        <v>0</v>
      </c>
      <c r="CB319" s="20">
        <v>0</v>
      </c>
      <c r="CC319" s="20">
        <v>1.6413043478260869</v>
      </c>
      <c r="CD319" s="20">
        <v>0</v>
      </c>
      <c r="CE319" s="20">
        <v>0</v>
      </c>
      <c r="CF319" s="20">
        <v>0</v>
      </c>
      <c r="CG319" s="20">
        <v>0</v>
      </c>
      <c r="CH319" s="20">
        <v>0</v>
      </c>
      <c r="CI319" s="20">
        <v>0</v>
      </c>
      <c r="CJ319" s="20">
        <v>0</v>
      </c>
      <c r="CK319" s="20">
        <v>0</v>
      </c>
      <c r="CL319" s="20">
        <v>0</v>
      </c>
      <c r="CM319" s="20">
        <v>0</v>
      </c>
      <c r="CN319" s="20">
        <v>0</v>
      </c>
      <c r="CO319" s="20">
        <v>0</v>
      </c>
      <c r="CP319" s="20">
        <v>0</v>
      </c>
      <c r="CQ319" s="20">
        <v>0</v>
      </c>
      <c r="CR319" s="20">
        <v>0</v>
      </c>
      <c r="CS319" s="20">
        <v>0</v>
      </c>
      <c r="CT319" s="20">
        <v>0</v>
      </c>
      <c r="CU319" s="20">
        <v>0</v>
      </c>
      <c r="CV319" s="20">
        <v>0</v>
      </c>
      <c r="CW319" s="20">
        <v>0</v>
      </c>
      <c r="CX319" s="20">
        <v>0</v>
      </c>
      <c r="CY319" s="20">
        <v>0</v>
      </c>
      <c r="CZ319" s="20">
        <v>0</v>
      </c>
      <c r="DA319" s="20">
        <v>0</v>
      </c>
      <c r="DB319" s="20">
        <v>0</v>
      </c>
      <c r="DC319" s="20">
        <v>0</v>
      </c>
      <c r="DD319" s="20">
        <v>0</v>
      </c>
      <c r="DE319" s="20">
        <v>0</v>
      </c>
      <c r="DF319" s="20">
        <v>0</v>
      </c>
      <c r="DG319" s="16">
        <f t="shared" si="29"/>
        <v>151.00000000000011</v>
      </c>
      <c r="DH319" s="16">
        <f t="shared" si="30"/>
        <v>3216.9565217391305</v>
      </c>
      <c r="DI319" s="17">
        <f t="shared" si="31"/>
        <v>21.304347826086939</v>
      </c>
      <c r="DJ319" s="119" t="s">
        <v>1</v>
      </c>
      <c r="DK319" s="44" t="s">
        <v>1</v>
      </c>
      <c r="DL319" s="44" t="s">
        <v>720</v>
      </c>
      <c r="DM319" s="44"/>
    </row>
    <row r="320" spans="1:117">
      <c r="A320" s="32" t="str">
        <f t="shared" si="27"/>
        <v>Essential (Original)--&gt; 1 kV &amp; &lt; = 11 kV; UNKNOWN</v>
      </c>
      <c r="B320" s="32" t="str">
        <f t="shared" si="28"/>
        <v>Essential (Original)</v>
      </c>
      <c r="C320" s="384"/>
      <c r="D320" s="14"/>
      <c r="E320" s="15" t="s">
        <v>499</v>
      </c>
      <c r="F320" s="18">
        <v>53.8</v>
      </c>
      <c r="G320" s="18">
        <v>7.334848328356899</v>
      </c>
      <c r="H320" s="20">
        <v>5.6976744186046515</v>
      </c>
      <c r="I320" s="20">
        <v>2.2790697674418605</v>
      </c>
      <c r="J320" s="20">
        <v>13.674418604651162</v>
      </c>
      <c r="K320" s="20">
        <v>3.4186046511627906</v>
      </c>
      <c r="L320" s="20">
        <v>4.558139534883721</v>
      </c>
      <c r="M320" s="20">
        <v>2.2790697674418605</v>
      </c>
      <c r="N320" s="20">
        <v>1.1395348837209303</v>
      </c>
      <c r="O320" s="20">
        <v>2.2790697674418605</v>
      </c>
      <c r="P320" s="20">
        <v>0</v>
      </c>
      <c r="Q320" s="20">
        <v>0</v>
      </c>
      <c r="R320" s="20">
        <v>1.1395348837209303</v>
      </c>
      <c r="S320" s="20">
        <v>0</v>
      </c>
      <c r="T320" s="20">
        <v>0</v>
      </c>
      <c r="U320" s="20">
        <v>0</v>
      </c>
      <c r="V320" s="20">
        <v>0</v>
      </c>
      <c r="W320" s="20">
        <v>1.1395348837209303</v>
      </c>
      <c r="X320" s="20">
        <v>0</v>
      </c>
      <c r="Y320" s="20">
        <v>0</v>
      </c>
      <c r="Z320" s="20">
        <v>0</v>
      </c>
      <c r="AA320" s="20">
        <v>0</v>
      </c>
      <c r="AB320" s="20">
        <v>0</v>
      </c>
      <c r="AC320" s="20">
        <v>0</v>
      </c>
      <c r="AD320" s="20">
        <v>0</v>
      </c>
      <c r="AE320" s="20">
        <v>0</v>
      </c>
      <c r="AF320" s="20">
        <v>1.1395348837209303</v>
      </c>
      <c r="AG320" s="20">
        <v>0</v>
      </c>
      <c r="AH320" s="20">
        <v>0</v>
      </c>
      <c r="AI320" s="20">
        <v>0</v>
      </c>
      <c r="AJ320" s="20">
        <v>0</v>
      </c>
      <c r="AK320" s="20">
        <v>0</v>
      </c>
      <c r="AL320" s="20">
        <v>0</v>
      </c>
      <c r="AM320" s="20">
        <v>0</v>
      </c>
      <c r="AN320" s="20">
        <v>0</v>
      </c>
      <c r="AO320" s="20">
        <v>0</v>
      </c>
      <c r="AP320" s="20">
        <v>0</v>
      </c>
      <c r="AQ320" s="20">
        <v>0</v>
      </c>
      <c r="AR320" s="20">
        <v>0</v>
      </c>
      <c r="AS320" s="20">
        <v>0</v>
      </c>
      <c r="AT320" s="20">
        <v>0</v>
      </c>
      <c r="AU320" s="20">
        <v>0</v>
      </c>
      <c r="AV320" s="20">
        <v>0</v>
      </c>
      <c r="AW320" s="20">
        <v>0</v>
      </c>
      <c r="AX320" s="20">
        <v>0</v>
      </c>
      <c r="AY320" s="20">
        <v>1.1395348837209303</v>
      </c>
      <c r="AZ320" s="20">
        <v>0</v>
      </c>
      <c r="BA320" s="20">
        <v>0</v>
      </c>
      <c r="BB320" s="20">
        <v>0</v>
      </c>
      <c r="BC320" s="20">
        <v>0</v>
      </c>
      <c r="BD320" s="20">
        <v>0</v>
      </c>
      <c r="BE320" s="20">
        <v>0</v>
      </c>
      <c r="BF320" s="20">
        <v>1.1395348837209303</v>
      </c>
      <c r="BG320" s="20">
        <v>0</v>
      </c>
      <c r="BH320" s="20">
        <v>0</v>
      </c>
      <c r="BI320" s="20">
        <v>0</v>
      </c>
      <c r="BJ320" s="20">
        <v>0</v>
      </c>
      <c r="BK320" s="20">
        <v>0</v>
      </c>
      <c r="BL320" s="20">
        <v>0</v>
      </c>
      <c r="BM320" s="20">
        <v>0</v>
      </c>
      <c r="BN320" s="20">
        <v>0</v>
      </c>
      <c r="BO320" s="20">
        <v>0</v>
      </c>
      <c r="BP320" s="20">
        <v>0</v>
      </c>
      <c r="BQ320" s="20">
        <v>0</v>
      </c>
      <c r="BR320" s="20">
        <v>0</v>
      </c>
      <c r="BS320" s="20">
        <v>7.9767441860465116</v>
      </c>
      <c r="BT320" s="20">
        <v>0</v>
      </c>
      <c r="BU320" s="20">
        <v>0</v>
      </c>
      <c r="BV320" s="20">
        <v>0</v>
      </c>
      <c r="BW320" s="20">
        <v>0</v>
      </c>
      <c r="BX320" s="20">
        <v>0</v>
      </c>
      <c r="BY320" s="20">
        <v>0</v>
      </c>
      <c r="BZ320" s="20">
        <v>0</v>
      </c>
      <c r="CA320" s="20">
        <v>0</v>
      </c>
      <c r="CB320" s="20">
        <v>0</v>
      </c>
      <c r="CC320" s="20">
        <v>0</v>
      </c>
      <c r="CD320" s="20">
        <v>0</v>
      </c>
      <c r="CE320" s="20">
        <v>0</v>
      </c>
      <c r="CF320" s="20">
        <v>0</v>
      </c>
      <c r="CG320" s="20">
        <v>0</v>
      </c>
      <c r="CH320" s="20">
        <v>0</v>
      </c>
      <c r="CI320" s="20">
        <v>0</v>
      </c>
      <c r="CJ320" s="20">
        <v>0</v>
      </c>
      <c r="CK320" s="20">
        <v>0</v>
      </c>
      <c r="CL320" s="20">
        <v>0</v>
      </c>
      <c r="CM320" s="20">
        <v>0</v>
      </c>
      <c r="CN320" s="20">
        <v>0</v>
      </c>
      <c r="CO320" s="20">
        <v>0</v>
      </c>
      <c r="CP320" s="20">
        <v>0</v>
      </c>
      <c r="CQ320" s="20">
        <v>0</v>
      </c>
      <c r="CR320" s="20">
        <v>0</v>
      </c>
      <c r="CS320" s="20">
        <v>0</v>
      </c>
      <c r="CT320" s="20">
        <v>0</v>
      </c>
      <c r="CU320" s="20">
        <v>0</v>
      </c>
      <c r="CV320" s="20">
        <v>0</v>
      </c>
      <c r="CW320" s="20">
        <v>0</v>
      </c>
      <c r="CX320" s="20">
        <v>0</v>
      </c>
      <c r="CY320" s="20">
        <v>0</v>
      </c>
      <c r="CZ320" s="20">
        <v>0</v>
      </c>
      <c r="DA320" s="20">
        <v>0</v>
      </c>
      <c r="DB320" s="20">
        <v>0</v>
      </c>
      <c r="DC320" s="20">
        <v>0</v>
      </c>
      <c r="DD320" s="20">
        <v>0</v>
      </c>
      <c r="DE320" s="20">
        <v>0</v>
      </c>
      <c r="DF320" s="20">
        <v>0</v>
      </c>
      <c r="DG320" s="16">
        <f t="shared" si="29"/>
        <v>48.999999999999986</v>
      </c>
      <c r="DH320" s="16">
        <f t="shared" si="30"/>
        <v>805.65116279069775</v>
      </c>
      <c r="DI320" s="17">
        <f t="shared" si="31"/>
        <v>16.441860465116285</v>
      </c>
      <c r="DJ320" s="119" t="s">
        <v>1</v>
      </c>
      <c r="DK320" s="44" t="s">
        <v>1</v>
      </c>
      <c r="DL320" s="44" t="s">
        <v>720</v>
      </c>
      <c r="DM320" s="44"/>
    </row>
    <row r="321" spans="1:117">
      <c r="A321" s="32" t="str">
        <f t="shared" si="27"/>
        <v>Essential (Original)--˃ 11 kV &amp; &lt; = 22 kV; UNKNOWN</v>
      </c>
      <c r="B321" s="32" t="str">
        <f t="shared" si="28"/>
        <v>Essential (Original)</v>
      </c>
      <c r="C321" s="384"/>
      <c r="D321" s="14"/>
      <c r="E321" s="15" t="s">
        <v>500</v>
      </c>
      <c r="F321" s="18">
        <v>53.8</v>
      </c>
      <c r="G321" s="18">
        <v>7.334848328356899</v>
      </c>
      <c r="H321" s="20">
        <v>5.5</v>
      </c>
      <c r="I321" s="20">
        <v>1.1000000000000001</v>
      </c>
      <c r="J321" s="20">
        <v>11</v>
      </c>
      <c r="K321" s="20">
        <v>2.2000000000000002</v>
      </c>
      <c r="L321" s="20">
        <v>0</v>
      </c>
      <c r="M321" s="20">
        <v>1.1000000000000001</v>
      </c>
      <c r="N321" s="20">
        <v>0</v>
      </c>
      <c r="O321" s="20">
        <v>0</v>
      </c>
      <c r="P321" s="20">
        <v>0</v>
      </c>
      <c r="Q321" s="20">
        <v>0</v>
      </c>
      <c r="R321" s="20">
        <v>0</v>
      </c>
      <c r="S321" s="20">
        <v>0</v>
      </c>
      <c r="T321" s="20">
        <v>0</v>
      </c>
      <c r="U321" s="20">
        <v>1.1000000000000001</v>
      </c>
      <c r="V321" s="20">
        <v>0</v>
      </c>
      <c r="W321" s="20">
        <v>0</v>
      </c>
      <c r="X321" s="20">
        <v>0</v>
      </c>
      <c r="Y321" s="20">
        <v>0</v>
      </c>
      <c r="Z321" s="20">
        <v>0</v>
      </c>
      <c r="AA321" s="20">
        <v>0</v>
      </c>
      <c r="AB321" s="20">
        <v>0</v>
      </c>
      <c r="AC321" s="20">
        <v>0</v>
      </c>
      <c r="AD321" s="20">
        <v>0</v>
      </c>
      <c r="AE321" s="20">
        <v>0</v>
      </c>
      <c r="AF321" s="20">
        <v>0</v>
      </c>
      <c r="AG321" s="20">
        <v>0</v>
      </c>
      <c r="AH321" s="20">
        <v>1.1000000000000001</v>
      </c>
      <c r="AI321" s="20">
        <v>0</v>
      </c>
      <c r="AJ321" s="20">
        <v>0</v>
      </c>
      <c r="AK321" s="20">
        <v>0</v>
      </c>
      <c r="AL321" s="20">
        <v>0</v>
      </c>
      <c r="AM321" s="20">
        <v>0</v>
      </c>
      <c r="AN321" s="20">
        <v>0</v>
      </c>
      <c r="AO321" s="20">
        <v>0</v>
      </c>
      <c r="AP321" s="20">
        <v>0</v>
      </c>
      <c r="AQ321" s="20">
        <v>0</v>
      </c>
      <c r="AR321" s="20">
        <v>0</v>
      </c>
      <c r="AS321" s="20">
        <v>0</v>
      </c>
      <c r="AT321" s="20">
        <v>0</v>
      </c>
      <c r="AU321" s="20">
        <v>0</v>
      </c>
      <c r="AV321" s="20">
        <v>0</v>
      </c>
      <c r="AW321" s="20">
        <v>0</v>
      </c>
      <c r="AX321" s="20">
        <v>0</v>
      </c>
      <c r="AY321" s="20">
        <v>0</v>
      </c>
      <c r="AZ321" s="20">
        <v>0</v>
      </c>
      <c r="BA321" s="20">
        <v>0</v>
      </c>
      <c r="BB321" s="20">
        <v>0</v>
      </c>
      <c r="BC321" s="20">
        <v>0</v>
      </c>
      <c r="BD321" s="20">
        <v>3.3</v>
      </c>
      <c r="BE321" s="20">
        <v>0</v>
      </c>
      <c r="BF321" s="20">
        <v>0</v>
      </c>
      <c r="BG321" s="20">
        <v>0</v>
      </c>
      <c r="BH321" s="20">
        <v>0</v>
      </c>
      <c r="BI321" s="20">
        <v>2.2000000000000002</v>
      </c>
      <c r="BJ321" s="20">
        <v>0</v>
      </c>
      <c r="BK321" s="20">
        <v>1.1000000000000001</v>
      </c>
      <c r="BL321" s="20">
        <v>0</v>
      </c>
      <c r="BM321" s="20">
        <v>0</v>
      </c>
      <c r="BN321" s="20">
        <v>0</v>
      </c>
      <c r="BO321" s="20">
        <v>0</v>
      </c>
      <c r="BP321" s="20">
        <v>0</v>
      </c>
      <c r="BQ321" s="20">
        <v>0</v>
      </c>
      <c r="BR321" s="20">
        <v>0</v>
      </c>
      <c r="BS321" s="20">
        <v>1.1000000000000001</v>
      </c>
      <c r="BT321" s="20">
        <v>0</v>
      </c>
      <c r="BU321" s="20">
        <v>0</v>
      </c>
      <c r="BV321" s="20">
        <v>0</v>
      </c>
      <c r="BW321" s="20">
        <v>0</v>
      </c>
      <c r="BX321" s="20">
        <v>0</v>
      </c>
      <c r="BY321" s="20">
        <v>0</v>
      </c>
      <c r="BZ321" s="20">
        <v>0</v>
      </c>
      <c r="CA321" s="20">
        <v>0</v>
      </c>
      <c r="CB321" s="20">
        <v>0</v>
      </c>
      <c r="CC321" s="20">
        <v>2.2000000000000002</v>
      </c>
      <c r="CD321" s="20">
        <v>0</v>
      </c>
      <c r="CE321" s="20">
        <v>0</v>
      </c>
      <c r="CF321" s="20">
        <v>0</v>
      </c>
      <c r="CG321" s="20">
        <v>0</v>
      </c>
      <c r="CH321" s="20">
        <v>0</v>
      </c>
      <c r="CI321" s="20">
        <v>0</v>
      </c>
      <c r="CJ321" s="20">
        <v>0</v>
      </c>
      <c r="CK321" s="20">
        <v>0</v>
      </c>
      <c r="CL321" s="20">
        <v>0</v>
      </c>
      <c r="CM321" s="20">
        <v>0</v>
      </c>
      <c r="CN321" s="20">
        <v>0</v>
      </c>
      <c r="CO321" s="20">
        <v>0</v>
      </c>
      <c r="CP321" s="20">
        <v>0</v>
      </c>
      <c r="CQ321" s="20">
        <v>0</v>
      </c>
      <c r="CR321" s="20">
        <v>0</v>
      </c>
      <c r="CS321" s="20">
        <v>0</v>
      </c>
      <c r="CT321" s="20">
        <v>0</v>
      </c>
      <c r="CU321" s="20">
        <v>0</v>
      </c>
      <c r="CV321" s="20">
        <v>0</v>
      </c>
      <c r="CW321" s="20">
        <v>0</v>
      </c>
      <c r="CX321" s="20">
        <v>0</v>
      </c>
      <c r="CY321" s="20">
        <v>0</v>
      </c>
      <c r="CZ321" s="20">
        <v>0</v>
      </c>
      <c r="DA321" s="20">
        <v>0</v>
      </c>
      <c r="DB321" s="20">
        <v>0</v>
      </c>
      <c r="DC321" s="20">
        <v>0</v>
      </c>
      <c r="DD321" s="20">
        <v>0</v>
      </c>
      <c r="DE321" s="20">
        <v>0</v>
      </c>
      <c r="DF321" s="20">
        <v>0</v>
      </c>
      <c r="DG321" s="16">
        <f t="shared" si="29"/>
        <v>33.000000000000007</v>
      </c>
      <c r="DH321" s="16">
        <f t="shared" si="30"/>
        <v>676.5</v>
      </c>
      <c r="DI321" s="17">
        <f t="shared" si="31"/>
        <v>20.499999999999996</v>
      </c>
      <c r="DJ321" s="119" t="s">
        <v>1</v>
      </c>
      <c r="DK321" s="44" t="s">
        <v>1</v>
      </c>
      <c r="DL321" s="44" t="s">
        <v>720</v>
      </c>
      <c r="DM321" s="44"/>
    </row>
    <row r="322" spans="1:117">
      <c r="A322" s="32" t="str">
        <f t="shared" si="27"/>
        <v>Essential (Original)--&gt; 22 kV &amp; &lt; = 66 kV; UNKNOWN</v>
      </c>
      <c r="B322" s="32" t="str">
        <f t="shared" si="28"/>
        <v>Essential (Original)</v>
      </c>
      <c r="C322" s="384"/>
      <c r="D322" s="14"/>
      <c r="E322" s="15" t="s">
        <v>501</v>
      </c>
      <c r="F322" s="18">
        <v>54.9</v>
      </c>
      <c r="G322" s="18">
        <v>7.4094534211370817</v>
      </c>
      <c r="H322" s="20">
        <v>0</v>
      </c>
      <c r="I322" s="20">
        <v>0</v>
      </c>
      <c r="J322" s="20">
        <v>0</v>
      </c>
      <c r="K322" s="20">
        <v>0</v>
      </c>
      <c r="L322" s="20">
        <v>0</v>
      </c>
      <c r="M322" s="20">
        <v>0</v>
      </c>
      <c r="N322" s="20">
        <v>8.125</v>
      </c>
      <c r="O322" s="20">
        <v>0</v>
      </c>
      <c r="P322" s="20">
        <v>0</v>
      </c>
      <c r="Q322" s="20">
        <v>0</v>
      </c>
      <c r="R322" s="20">
        <v>0</v>
      </c>
      <c r="S322" s="20">
        <v>0</v>
      </c>
      <c r="T322" s="20">
        <v>8.125</v>
      </c>
      <c r="U322" s="20">
        <v>0</v>
      </c>
      <c r="V322" s="20">
        <v>0</v>
      </c>
      <c r="W322" s="20">
        <v>0</v>
      </c>
      <c r="X322" s="20">
        <v>0</v>
      </c>
      <c r="Y322" s="20">
        <v>0</v>
      </c>
      <c r="Z322" s="20">
        <v>0</v>
      </c>
      <c r="AA322" s="20">
        <v>0</v>
      </c>
      <c r="AB322" s="20">
        <v>0</v>
      </c>
      <c r="AC322" s="20">
        <v>0</v>
      </c>
      <c r="AD322" s="20">
        <v>0</v>
      </c>
      <c r="AE322" s="20">
        <v>0</v>
      </c>
      <c r="AF322" s="20">
        <v>0</v>
      </c>
      <c r="AG322" s="20">
        <v>0</v>
      </c>
      <c r="AH322" s="20">
        <v>0</v>
      </c>
      <c r="AI322" s="20">
        <v>0</v>
      </c>
      <c r="AJ322" s="20">
        <v>0</v>
      </c>
      <c r="AK322" s="20">
        <v>0</v>
      </c>
      <c r="AL322" s="20">
        <v>0</v>
      </c>
      <c r="AM322" s="20">
        <v>0</v>
      </c>
      <c r="AN322" s="20">
        <v>0</v>
      </c>
      <c r="AO322" s="20">
        <v>0</v>
      </c>
      <c r="AP322" s="20">
        <v>0</v>
      </c>
      <c r="AQ322" s="20">
        <v>0</v>
      </c>
      <c r="AR322" s="20">
        <v>8.125</v>
      </c>
      <c r="AS322" s="20">
        <v>0</v>
      </c>
      <c r="AT322" s="20">
        <v>0</v>
      </c>
      <c r="AU322" s="20">
        <v>0</v>
      </c>
      <c r="AV322" s="20">
        <v>0</v>
      </c>
      <c r="AW322" s="20">
        <v>0</v>
      </c>
      <c r="AX322" s="20">
        <v>0</v>
      </c>
      <c r="AY322" s="20">
        <v>24.375</v>
      </c>
      <c r="AZ322" s="20">
        <v>0</v>
      </c>
      <c r="BA322" s="20">
        <v>0</v>
      </c>
      <c r="BB322" s="20">
        <v>0</v>
      </c>
      <c r="BC322" s="20">
        <v>0</v>
      </c>
      <c r="BD322" s="20">
        <v>0</v>
      </c>
      <c r="BE322" s="20">
        <v>0</v>
      </c>
      <c r="BF322" s="20">
        <v>0</v>
      </c>
      <c r="BG322" s="20">
        <v>0</v>
      </c>
      <c r="BH322" s="20">
        <v>0</v>
      </c>
      <c r="BI322" s="20">
        <v>0</v>
      </c>
      <c r="BJ322" s="20">
        <v>0</v>
      </c>
      <c r="BK322" s="20">
        <v>0</v>
      </c>
      <c r="BL322" s="20">
        <v>0</v>
      </c>
      <c r="BM322" s="20">
        <v>0</v>
      </c>
      <c r="BN322" s="20">
        <v>0</v>
      </c>
      <c r="BO322" s="20">
        <v>0</v>
      </c>
      <c r="BP322" s="20">
        <v>0</v>
      </c>
      <c r="BQ322" s="20">
        <v>0</v>
      </c>
      <c r="BR322" s="20">
        <v>0</v>
      </c>
      <c r="BS322" s="20">
        <v>16.25</v>
      </c>
      <c r="BT322" s="20">
        <v>0</v>
      </c>
      <c r="BU322" s="20">
        <v>0</v>
      </c>
      <c r="BV322" s="20">
        <v>0</v>
      </c>
      <c r="BW322" s="20">
        <v>0</v>
      </c>
      <c r="BX322" s="20">
        <v>0</v>
      </c>
      <c r="BY322" s="20">
        <v>0</v>
      </c>
      <c r="BZ322" s="20">
        <v>0</v>
      </c>
      <c r="CA322" s="20">
        <v>0</v>
      </c>
      <c r="CB322" s="20">
        <v>0</v>
      </c>
      <c r="CC322" s="20">
        <v>0</v>
      </c>
      <c r="CD322" s="20">
        <v>0</v>
      </c>
      <c r="CE322" s="20">
        <v>0</v>
      </c>
      <c r="CF322" s="20">
        <v>0</v>
      </c>
      <c r="CG322" s="20">
        <v>0</v>
      </c>
      <c r="CH322" s="20">
        <v>0</v>
      </c>
      <c r="CI322" s="20">
        <v>0</v>
      </c>
      <c r="CJ322" s="20">
        <v>0</v>
      </c>
      <c r="CK322" s="20">
        <v>0</v>
      </c>
      <c r="CL322" s="20">
        <v>0</v>
      </c>
      <c r="CM322" s="20">
        <v>0</v>
      </c>
      <c r="CN322" s="20">
        <v>0</v>
      </c>
      <c r="CO322" s="20">
        <v>0</v>
      </c>
      <c r="CP322" s="20">
        <v>0</v>
      </c>
      <c r="CQ322" s="20">
        <v>0</v>
      </c>
      <c r="CR322" s="20">
        <v>0</v>
      </c>
      <c r="CS322" s="20">
        <v>0</v>
      </c>
      <c r="CT322" s="20">
        <v>0</v>
      </c>
      <c r="CU322" s="20">
        <v>0</v>
      </c>
      <c r="CV322" s="20">
        <v>0</v>
      </c>
      <c r="CW322" s="20">
        <v>0</v>
      </c>
      <c r="CX322" s="20">
        <v>0</v>
      </c>
      <c r="CY322" s="20">
        <v>0</v>
      </c>
      <c r="CZ322" s="20">
        <v>0</v>
      </c>
      <c r="DA322" s="20">
        <v>0</v>
      </c>
      <c r="DB322" s="20">
        <v>0</v>
      </c>
      <c r="DC322" s="20">
        <v>0</v>
      </c>
      <c r="DD322" s="20">
        <v>0</v>
      </c>
      <c r="DE322" s="20">
        <v>0</v>
      </c>
      <c r="DF322" s="20">
        <v>0</v>
      </c>
      <c r="DG322" s="16">
        <f t="shared" si="29"/>
        <v>65</v>
      </c>
      <c r="DH322" s="16">
        <f t="shared" si="30"/>
        <v>2575.625</v>
      </c>
      <c r="DI322" s="17">
        <f t="shared" si="31"/>
        <v>39.625</v>
      </c>
      <c r="DJ322" s="119" t="s">
        <v>1</v>
      </c>
      <c r="DK322" s="44" t="s">
        <v>1</v>
      </c>
      <c r="DL322" s="44" t="s">
        <v>720</v>
      </c>
      <c r="DM322" s="44"/>
    </row>
    <row r="323" spans="1:117">
      <c r="A323" s="32" t="str">
        <f t="shared" si="27"/>
        <v>Essential (Original)--&gt; 66 kV &amp; &lt; = 132 kV; UNKNOWN</v>
      </c>
      <c r="B323" s="32" t="str">
        <f t="shared" si="28"/>
        <v>Essential (Original)</v>
      </c>
      <c r="C323" s="384"/>
      <c r="D323" s="14"/>
      <c r="E323" s="15" t="s">
        <v>502</v>
      </c>
      <c r="F323" s="18">
        <v>54.9</v>
      </c>
      <c r="G323" s="18">
        <v>7.4094534211370817</v>
      </c>
      <c r="H323" s="20">
        <v>2</v>
      </c>
      <c r="I323" s="20">
        <v>1</v>
      </c>
      <c r="J323" s="20">
        <v>1</v>
      </c>
      <c r="K323" s="20">
        <v>0</v>
      </c>
      <c r="L323" s="20">
        <v>1</v>
      </c>
      <c r="M323" s="20">
        <v>0</v>
      </c>
      <c r="N323" s="20">
        <v>0</v>
      </c>
      <c r="O323" s="20">
        <v>0</v>
      </c>
      <c r="P323" s="20">
        <v>0</v>
      </c>
      <c r="Q323" s="20">
        <v>0</v>
      </c>
      <c r="R323" s="20">
        <v>0</v>
      </c>
      <c r="S323" s="20">
        <v>0</v>
      </c>
      <c r="T323" s="20">
        <v>0</v>
      </c>
      <c r="U323" s="20">
        <v>0</v>
      </c>
      <c r="V323" s="20">
        <v>0</v>
      </c>
      <c r="W323" s="20">
        <v>0</v>
      </c>
      <c r="X323" s="20">
        <v>0</v>
      </c>
      <c r="Y323" s="20">
        <v>0</v>
      </c>
      <c r="Z323" s="20">
        <v>0</v>
      </c>
      <c r="AA323" s="20">
        <v>0</v>
      </c>
      <c r="AB323" s="20">
        <v>0</v>
      </c>
      <c r="AC323" s="20">
        <v>0</v>
      </c>
      <c r="AD323" s="20">
        <v>0</v>
      </c>
      <c r="AE323" s="20">
        <v>0</v>
      </c>
      <c r="AF323" s="20">
        <v>0</v>
      </c>
      <c r="AG323" s="20">
        <v>0</v>
      </c>
      <c r="AH323" s="20">
        <v>0</v>
      </c>
      <c r="AI323" s="20">
        <v>1</v>
      </c>
      <c r="AJ323" s="20">
        <v>0</v>
      </c>
      <c r="AK323" s="20">
        <v>0</v>
      </c>
      <c r="AL323" s="20">
        <v>0</v>
      </c>
      <c r="AM323" s="20">
        <v>2</v>
      </c>
      <c r="AN323" s="20">
        <v>0</v>
      </c>
      <c r="AO323" s="20">
        <v>0</v>
      </c>
      <c r="AP323" s="20">
        <v>0</v>
      </c>
      <c r="AQ323" s="20">
        <v>0</v>
      </c>
      <c r="AR323" s="20">
        <v>0</v>
      </c>
      <c r="AS323" s="20">
        <v>0</v>
      </c>
      <c r="AT323" s="20">
        <v>0</v>
      </c>
      <c r="AU323" s="20">
        <v>0</v>
      </c>
      <c r="AV323" s="20">
        <v>0</v>
      </c>
      <c r="AW323" s="20">
        <v>0</v>
      </c>
      <c r="AX323" s="20">
        <v>0</v>
      </c>
      <c r="AY323" s="20">
        <v>0</v>
      </c>
      <c r="AZ323" s="20">
        <v>0</v>
      </c>
      <c r="BA323" s="20">
        <v>0</v>
      </c>
      <c r="BB323" s="20">
        <v>0</v>
      </c>
      <c r="BC323" s="20">
        <v>1</v>
      </c>
      <c r="BD323" s="20">
        <v>0</v>
      </c>
      <c r="BE323" s="20">
        <v>0</v>
      </c>
      <c r="BF323" s="20">
        <v>0</v>
      </c>
      <c r="BG323" s="20">
        <v>0</v>
      </c>
      <c r="BH323" s="20">
        <v>0</v>
      </c>
      <c r="BI323" s="20">
        <v>0</v>
      </c>
      <c r="BJ323" s="20">
        <v>0</v>
      </c>
      <c r="BK323" s="20">
        <v>0</v>
      </c>
      <c r="BL323" s="20">
        <v>1</v>
      </c>
      <c r="BM323" s="20">
        <v>0</v>
      </c>
      <c r="BN323" s="20">
        <v>0</v>
      </c>
      <c r="BO323" s="20">
        <v>0</v>
      </c>
      <c r="BP323" s="20">
        <v>0</v>
      </c>
      <c r="BQ323" s="20">
        <v>0</v>
      </c>
      <c r="BR323" s="20">
        <v>0</v>
      </c>
      <c r="BS323" s="20">
        <v>0</v>
      </c>
      <c r="BT323" s="20">
        <v>0</v>
      </c>
      <c r="BU323" s="20">
        <v>0</v>
      </c>
      <c r="BV323" s="20">
        <v>0</v>
      </c>
      <c r="BW323" s="20">
        <v>0</v>
      </c>
      <c r="BX323" s="20">
        <v>0</v>
      </c>
      <c r="BY323" s="20">
        <v>0</v>
      </c>
      <c r="BZ323" s="20">
        <v>0</v>
      </c>
      <c r="CA323" s="20">
        <v>0</v>
      </c>
      <c r="CB323" s="20">
        <v>0</v>
      </c>
      <c r="CC323" s="20">
        <v>0</v>
      </c>
      <c r="CD323" s="20">
        <v>0</v>
      </c>
      <c r="CE323" s="20">
        <v>0</v>
      </c>
      <c r="CF323" s="20">
        <v>0</v>
      </c>
      <c r="CG323" s="20">
        <v>0</v>
      </c>
      <c r="CH323" s="20">
        <v>0</v>
      </c>
      <c r="CI323" s="20">
        <v>0</v>
      </c>
      <c r="CJ323" s="20">
        <v>0</v>
      </c>
      <c r="CK323" s="20">
        <v>0</v>
      </c>
      <c r="CL323" s="20">
        <v>0</v>
      </c>
      <c r="CM323" s="20">
        <v>0</v>
      </c>
      <c r="CN323" s="20">
        <v>0</v>
      </c>
      <c r="CO323" s="20">
        <v>0</v>
      </c>
      <c r="CP323" s="20">
        <v>0</v>
      </c>
      <c r="CQ323" s="20">
        <v>0</v>
      </c>
      <c r="CR323" s="20">
        <v>0</v>
      </c>
      <c r="CS323" s="20">
        <v>0</v>
      </c>
      <c r="CT323" s="20">
        <v>0</v>
      </c>
      <c r="CU323" s="20">
        <v>0</v>
      </c>
      <c r="CV323" s="20">
        <v>0</v>
      </c>
      <c r="CW323" s="20">
        <v>0</v>
      </c>
      <c r="CX323" s="20">
        <v>0</v>
      </c>
      <c r="CY323" s="20">
        <v>0</v>
      </c>
      <c r="CZ323" s="20">
        <v>0</v>
      </c>
      <c r="DA323" s="20">
        <v>0</v>
      </c>
      <c r="DB323" s="20">
        <v>0</v>
      </c>
      <c r="DC323" s="20">
        <v>0</v>
      </c>
      <c r="DD323" s="20">
        <v>0</v>
      </c>
      <c r="DE323" s="20">
        <v>0</v>
      </c>
      <c r="DF323" s="20">
        <v>0</v>
      </c>
      <c r="DG323" s="16">
        <f t="shared" si="29"/>
        <v>10</v>
      </c>
      <c r="DH323" s="16">
        <f t="shared" si="30"/>
        <v>209</v>
      </c>
      <c r="DI323" s="17">
        <f t="shared" si="31"/>
        <v>20.9</v>
      </c>
      <c r="DJ323" s="119" t="s">
        <v>1</v>
      </c>
      <c r="DK323" s="44" t="s">
        <v>1</v>
      </c>
      <c r="DL323" s="44" t="s">
        <v>720</v>
      </c>
      <c r="DM323" s="44"/>
    </row>
    <row r="324" spans="1:117">
      <c r="A324" s="32" t="str">
        <f t="shared" si="27"/>
        <v>Essential (Original)--BOLLARD; UNKNOWN</v>
      </c>
      <c r="B324" s="32" t="str">
        <f t="shared" si="28"/>
        <v>Essential (Original)</v>
      </c>
      <c r="C324" s="384"/>
      <c r="D324" s="14"/>
      <c r="E324" s="15" t="s">
        <v>503</v>
      </c>
      <c r="F324" s="18">
        <v>53.8</v>
      </c>
      <c r="G324" s="18">
        <v>7.334848328356899</v>
      </c>
      <c r="H324" s="20">
        <v>0</v>
      </c>
      <c r="I324" s="20">
        <v>1</v>
      </c>
      <c r="J324" s="20">
        <v>0</v>
      </c>
      <c r="K324" s="20">
        <v>0</v>
      </c>
      <c r="L324" s="20">
        <v>0</v>
      </c>
      <c r="M324" s="20">
        <v>0</v>
      </c>
      <c r="N324" s="20">
        <v>0</v>
      </c>
      <c r="O324" s="20">
        <v>0</v>
      </c>
      <c r="P324" s="20">
        <v>0</v>
      </c>
      <c r="Q324" s="20">
        <v>0</v>
      </c>
      <c r="R324" s="20">
        <v>0</v>
      </c>
      <c r="S324" s="20">
        <v>0</v>
      </c>
      <c r="T324" s="20">
        <v>0</v>
      </c>
      <c r="U324" s="20">
        <v>0</v>
      </c>
      <c r="V324" s="20">
        <v>0</v>
      </c>
      <c r="W324" s="20">
        <v>0</v>
      </c>
      <c r="X324" s="20">
        <v>0</v>
      </c>
      <c r="Y324" s="20">
        <v>0</v>
      </c>
      <c r="Z324" s="20">
        <v>0</v>
      </c>
      <c r="AA324" s="20">
        <v>0</v>
      </c>
      <c r="AB324" s="20">
        <v>0</v>
      </c>
      <c r="AC324" s="20">
        <v>0</v>
      </c>
      <c r="AD324" s="20">
        <v>0</v>
      </c>
      <c r="AE324" s="20">
        <v>0</v>
      </c>
      <c r="AF324" s="20">
        <v>0</v>
      </c>
      <c r="AG324" s="20">
        <v>0</v>
      </c>
      <c r="AH324" s="20">
        <v>0</v>
      </c>
      <c r="AI324" s="20">
        <v>0</v>
      </c>
      <c r="AJ324" s="20">
        <v>0</v>
      </c>
      <c r="AK324" s="20">
        <v>0</v>
      </c>
      <c r="AL324" s="20">
        <v>0</v>
      </c>
      <c r="AM324" s="20">
        <v>0</v>
      </c>
      <c r="AN324" s="20">
        <v>0</v>
      </c>
      <c r="AO324" s="20">
        <v>0</v>
      </c>
      <c r="AP324" s="20">
        <v>0</v>
      </c>
      <c r="AQ324" s="20">
        <v>0</v>
      </c>
      <c r="AR324" s="20">
        <v>0</v>
      </c>
      <c r="AS324" s="20">
        <v>0</v>
      </c>
      <c r="AT324" s="20">
        <v>0</v>
      </c>
      <c r="AU324" s="20">
        <v>0</v>
      </c>
      <c r="AV324" s="20">
        <v>0</v>
      </c>
      <c r="AW324" s="20">
        <v>0</v>
      </c>
      <c r="AX324" s="20">
        <v>0</v>
      </c>
      <c r="AY324" s="20">
        <v>0</v>
      </c>
      <c r="AZ324" s="20">
        <v>0</v>
      </c>
      <c r="BA324" s="20">
        <v>0</v>
      </c>
      <c r="BB324" s="20">
        <v>0</v>
      </c>
      <c r="BC324" s="20">
        <v>0</v>
      </c>
      <c r="BD324" s="20">
        <v>0</v>
      </c>
      <c r="BE324" s="20">
        <v>0</v>
      </c>
      <c r="BF324" s="20">
        <v>0</v>
      </c>
      <c r="BG324" s="20">
        <v>0</v>
      </c>
      <c r="BH324" s="20">
        <v>0</v>
      </c>
      <c r="BI324" s="20">
        <v>0</v>
      </c>
      <c r="BJ324" s="20">
        <v>0</v>
      </c>
      <c r="BK324" s="20">
        <v>0</v>
      </c>
      <c r="BL324" s="20">
        <v>0</v>
      </c>
      <c r="BM324" s="20">
        <v>0</v>
      </c>
      <c r="BN324" s="20">
        <v>0</v>
      </c>
      <c r="BO324" s="20">
        <v>0</v>
      </c>
      <c r="BP324" s="20">
        <v>0</v>
      </c>
      <c r="BQ324" s="20">
        <v>0</v>
      </c>
      <c r="BR324" s="20">
        <v>0</v>
      </c>
      <c r="BS324" s="20">
        <v>0</v>
      </c>
      <c r="BT324" s="20">
        <v>0</v>
      </c>
      <c r="BU324" s="20">
        <v>0</v>
      </c>
      <c r="BV324" s="20">
        <v>0</v>
      </c>
      <c r="BW324" s="20">
        <v>0</v>
      </c>
      <c r="BX324" s="20">
        <v>0</v>
      </c>
      <c r="BY324" s="20">
        <v>0</v>
      </c>
      <c r="BZ324" s="20">
        <v>0</v>
      </c>
      <c r="CA324" s="20">
        <v>0</v>
      </c>
      <c r="CB324" s="20">
        <v>0</v>
      </c>
      <c r="CC324" s="20">
        <v>0</v>
      </c>
      <c r="CD324" s="20">
        <v>0</v>
      </c>
      <c r="CE324" s="20">
        <v>0</v>
      </c>
      <c r="CF324" s="20">
        <v>0</v>
      </c>
      <c r="CG324" s="20">
        <v>0</v>
      </c>
      <c r="CH324" s="20">
        <v>0</v>
      </c>
      <c r="CI324" s="20">
        <v>0</v>
      </c>
      <c r="CJ324" s="20">
        <v>0</v>
      </c>
      <c r="CK324" s="20">
        <v>0</v>
      </c>
      <c r="CL324" s="20">
        <v>0</v>
      </c>
      <c r="CM324" s="20">
        <v>0</v>
      </c>
      <c r="CN324" s="20">
        <v>0</v>
      </c>
      <c r="CO324" s="20">
        <v>0</v>
      </c>
      <c r="CP324" s="20">
        <v>0</v>
      </c>
      <c r="CQ324" s="20">
        <v>0</v>
      </c>
      <c r="CR324" s="20">
        <v>0</v>
      </c>
      <c r="CS324" s="20">
        <v>0</v>
      </c>
      <c r="CT324" s="20">
        <v>0</v>
      </c>
      <c r="CU324" s="20">
        <v>0</v>
      </c>
      <c r="CV324" s="20">
        <v>0</v>
      </c>
      <c r="CW324" s="20">
        <v>0</v>
      </c>
      <c r="CX324" s="20">
        <v>0</v>
      </c>
      <c r="CY324" s="20">
        <v>0</v>
      </c>
      <c r="CZ324" s="20">
        <v>0</v>
      </c>
      <c r="DA324" s="20">
        <v>0</v>
      </c>
      <c r="DB324" s="20">
        <v>0</v>
      </c>
      <c r="DC324" s="20">
        <v>0</v>
      </c>
      <c r="DD324" s="20">
        <v>0</v>
      </c>
      <c r="DE324" s="20">
        <v>0</v>
      </c>
      <c r="DF324" s="20">
        <v>0</v>
      </c>
      <c r="DG324" s="16">
        <f t="shared" si="29"/>
        <v>1</v>
      </c>
      <c r="DH324" s="16">
        <f t="shared" si="30"/>
        <v>2</v>
      </c>
      <c r="DI324" s="17">
        <f t="shared" si="31"/>
        <v>2</v>
      </c>
      <c r="DJ324" s="119" t="s">
        <v>1</v>
      </c>
      <c r="DK324" s="44" t="s">
        <v>1</v>
      </c>
      <c r="DL324" s="44" t="s">
        <v>720</v>
      </c>
      <c r="DM324" s="44"/>
    </row>
    <row r="325" spans="1:117" ht="45">
      <c r="A325" s="32" t="str">
        <f t="shared" si="27"/>
        <v>Essential (Original)-OVERHEAD CONDUCTORS BY: 
HIGHEST OPERATING VOLTAGE; NUMBER OF PHASES (AT HV)-˂ = 1 kV</v>
      </c>
      <c r="B325" s="32" t="str">
        <f t="shared" si="28"/>
        <v>Essential (Original)</v>
      </c>
      <c r="C325" s="384"/>
      <c r="D325" s="14" t="s">
        <v>538</v>
      </c>
      <c r="E325" s="15" t="s">
        <v>171</v>
      </c>
      <c r="F325" s="18">
        <v>53.8</v>
      </c>
      <c r="G325" s="18">
        <v>7.334848328356899</v>
      </c>
      <c r="H325" s="20">
        <v>441.29782781004593</v>
      </c>
      <c r="I325" s="20">
        <v>605.42443222252473</v>
      </c>
      <c r="J325" s="20">
        <v>592.7543081878656</v>
      </c>
      <c r="K325" s="20">
        <v>535.2689758604389</v>
      </c>
      <c r="L325" s="20">
        <v>629.79255484830162</v>
      </c>
      <c r="M325" s="20">
        <v>524.31015865973666</v>
      </c>
      <c r="N325" s="20">
        <v>485.91852508001142</v>
      </c>
      <c r="O325" s="20">
        <v>560.93652720021248</v>
      </c>
      <c r="P325" s="20">
        <v>479.70295032258446</v>
      </c>
      <c r="Q325" s="20">
        <v>505.17948034520668</v>
      </c>
      <c r="R325" s="20">
        <v>489.19243293390304</v>
      </c>
      <c r="S325" s="20">
        <v>435.72276223389929</v>
      </c>
      <c r="T325" s="20">
        <v>1269.6246138857566</v>
      </c>
      <c r="U325" s="20">
        <v>228.31779906854189</v>
      </c>
      <c r="V325" s="20">
        <v>198.70508531867216</v>
      </c>
      <c r="W325" s="20">
        <v>194.90908911957763</v>
      </c>
      <c r="X325" s="20">
        <v>225.05222544926761</v>
      </c>
      <c r="Y325" s="20">
        <v>287.53208279679797</v>
      </c>
      <c r="Z325" s="20">
        <v>472.07586673338295</v>
      </c>
      <c r="AA325" s="20">
        <v>501.65030286012239</v>
      </c>
      <c r="AB325" s="20">
        <v>490.54347116143668</v>
      </c>
      <c r="AC325" s="20">
        <v>857.76140095845994</v>
      </c>
      <c r="AD325" s="20">
        <v>541.62872241369621</v>
      </c>
      <c r="AE325" s="20">
        <v>589.18226241623063</v>
      </c>
      <c r="AF325" s="20">
        <v>500.99753087061026</v>
      </c>
      <c r="AG325" s="20">
        <v>444.74927812582177</v>
      </c>
      <c r="AH325" s="20">
        <v>546.28014632709744</v>
      </c>
      <c r="AI325" s="20">
        <v>475.5991188822573</v>
      </c>
      <c r="AJ325" s="20">
        <v>463.60425379003783</v>
      </c>
      <c r="AK325" s="20">
        <v>435.45546225314126</v>
      </c>
      <c r="AL325" s="20">
        <v>313.00559581901024</v>
      </c>
      <c r="AM325" s="20">
        <v>478.92518082204055</v>
      </c>
      <c r="AN325" s="20">
        <v>551.50079843332117</v>
      </c>
      <c r="AO325" s="20">
        <v>520.12364926758926</v>
      </c>
      <c r="AP325" s="20">
        <v>342.81529776134585</v>
      </c>
      <c r="AQ325" s="20">
        <v>370.74502289631181</v>
      </c>
      <c r="AR325" s="20">
        <v>475.86379112084535</v>
      </c>
      <c r="AS325" s="20">
        <v>339.46695141200388</v>
      </c>
      <c r="AT325" s="20">
        <v>363.22964941283163</v>
      </c>
      <c r="AU325" s="20">
        <v>361.52440533212797</v>
      </c>
      <c r="AV325" s="20">
        <v>278.32518564052623</v>
      </c>
      <c r="AW325" s="20">
        <v>336.84505426806237</v>
      </c>
      <c r="AX325" s="20">
        <v>542.9076146209552</v>
      </c>
      <c r="AY325" s="20">
        <v>551.71682845702162</v>
      </c>
      <c r="AZ325" s="20">
        <v>441.09427989867839</v>
      </c>
      <c r="BA325" s="20">
        <v>375.42909738181174</v>
      </c>
      <c r="BB325" s="20">
        <v>298.16408798653447</v>
      </c>
      <c r="BC325" s="20">
        <v>511.63187313831315</v>
      </c>
      <c r="BD325" s="20">
        <v>380.77198524858056</v>
      </c>
      <c r="BE325" s="20">
        <v>254.45128575335031</v>
      </c>
      <c r="BF325" s="20">
        <v>143.48801440272541</v>
      </c>
      <c r="BG325" s="20">
        <v>191.15464362330201</v>
      </c>
      <c r="BH325" s="20">
        <v>373.6309015645864</v>
      </c>
      <c r="BI325" s="20">
        <v>684.98140168024509</v>
      </c>
      <c r="BJ325" s="20">
        <v>121.03612234495692</v>
      </c>
      <c r="BK325" s="20">
        <v>107.96669026566205</v>
      </c>
      <c r="BL325" s="20">
        <v>128.86624790535279</v>
      </c>
      <c r="BM325" s="20">
        <v>65.665876268910012</v>
      </c>
      <c r="BN325" s="20">
        <v>267.61269415097894</v>
      </c>
      <c r="BO325" s="20">
        <v>41.270736336352861</v>
      </c>
      <c r="BP325" s="20">
        <v>15.748445643783706</v>
      </c>
      <c r="BQ325" s="20">
        <v>17.75646574734262</v>
      </c>
      <c r="BR325" s="20">
        <v>7.8238121927301929</v>
      </c>
      <c r="BS325" s="20">
        <v>440.71416582089671</v>
      </c>
      <c r="BT325" s="20">
        <v>21.304105764594059</v>
      </c>
      <c r="BU325" s="20">
        <v>2.6729123973916509</v>
      </c>
      <c r="BV325" s="20">
        <v>5.6868072744192277</v>
      </c>
      <c r="BW325" s="20">
        <v>7.8553018939547536</v>
      </c>
      <c r="BX325" s="20">
        <v>9.8781715839463153</v>
      </c>
      <c r="BY325" s="20">
        <v>0</v>
      </c>
      <c r="BZ325" s="20">
        <v>1.6102341964292055</v>
      </c>
      <c r="CA325" s="20">
        <v>1.6946909698432344</v>
      </c>
      <c r="CB325" s="20">
        <v>9.7783598150832525</v>
      </c>
      <c r="CC325" s="20">
        <v>4.5889898827926761</v>
      </c>
      <c r="CD325" s="20">
        <v>1.8386859118949865</v>
      </c>
      <c r="CE325" s="20">
        <v>0.87353681714690967</v>
      </c>
      <c r="CF325" s="20">
        <v>0</v>
      </c>
      <c r="CG325" s="20">
        <v>3.1957902428794256</v>
      </c>
      <c r="CH325" s="20">
        <v>0</v>
      </c>
      <c r="CI325" s="20">
        <v>0</v>
      </c>
      <c r="CJ325" s="20">
        <v>0</v>
      </c>
      <c r="CK325" s="20">
        <v>0.13092745948925821</v>
      </c>
      <c r="CL325" s="20">
        <v>0</v>
      </c>
      <c r="CM325" s="20">
        <v>52.774810271694484</v>
      </c>
      <c r="CN325" s="20">
        <v>0</v>
      </c>
      <c r="CO325" s="20">
        <v>0</v>
      </c>
      <c r="CP325" s="20">
        <v>0</v>
      </c>
      <c r="CQ325" s="20">
        <v>0</v>
      </c>
      <c r="CR325" s="20">
        <v>0</v>
      </c>
      <c r="CS325" s="20">
        <v>0</v>
      </c>
      <c r="CT325" s="20">
        <v>0</v>
      </c>
      <c r="CU325" s="20">
        <v>0</v>
      </c>
      <c r="CV325" s="20">
        <v>0</v>
      </c>
      <c r="CW325" s="20">
        <v>0</v>
      </c>
      <c r="CX325" s="20">
        <v>0</v>
      </c>
      <c r="CY325" s="20">
        <v>0</v>
      </c>
      <c r="CZ325" s="20">
        <v>0</v>
      </c>
      <c r="DA325" s="20">
        <v>0</v>
      </c>
      <c r="DB325" s="20">
        <v>0</v>
      </c>
      <c r="DC325" s="20">
        <v>0</v>
      </c>
      <c r="DD325" s="20">
        <v>0</v>
      </c>
      <c r="DE325" s="20">
        <v>0</v>
      </c>
      <c r="DF325" s="20">
        <v>1.3024944595026102</v>
      </c>
      <c r="DG325" s="16">
        <f t="shared" si="29"/>
        <v>25830.609319695788</v>
      </c>
      <c r="DH325" s="16">
        <f t="shared" si="30"/>
        <v>710025.27747340593</v>
      </c>
      <c r="DI325" s="17">
        <f t="shared" si="31"/>
        <v>27.487747915106791</v>
      </c>
      <c r="DJ325" s="119" t="s">
        <v>718</v>
      </c>
      <c r="DK325" t="s">
        <v>718</v>
      </c>
    </row>
    <row r="326" spans="1:117">
      <c r="A326" s="32" t="str">
        <f t="shared" si="27"/>
        <v>Essential (Original)--&gt; 1 kV &amp; &lt; = 11 kV</v>
      </c>
      <c r="B326" s="32" t="str">
        <f t="shared" si="28"/>
        <v>Essential (Original)</v>
      </c>
      <c r="C326" s="384"/>
      <c r="D326" s="14"/>
      <c r="E326" s="15" t="s">
        <v>172</v>
      </c>
      <c r="F326" s="18">
        <v>53.8</v>
      </c>
      <c r="G326" s="18">
        <v>7.334848328356899</v>
      </c>
      <c r="H326" s="20">
        <v>967.63943810542082</v>
      </c>
      <c r="I326" s="20">
        <v>930.20954871555091</v>
      </c>
      <c r="J326" s="20">
        <v>765.45345430275881</v>
      </c>
      <c r="K326" s="20">
        <v>740.61605539494713</v>
      </c>
      <c r="L326" s="20">
        <v>693.50458396155523</v>
      </c>
      <c r="M326" s="20">
        <v>512.63550469566792</v>
      </c>
      <c r="N326" s="20">
        <v>467.36813619356423</v>
      </c>
      <c r="O326" s="20">
        <v>617.32794636840288</v>
      </c>
      <c r="P326" s="20">
        <v>695.83562068614833</v>
      </c>
      <c r="Q326" s="20">
        <v>614.36326670858284</v>
      </c>
      <c r="R326" s="20">
        <v>616.65495356754445</v>
      </c>
      <c r="S326" s="20">
        <v>1044.049399929954</v>
      </c>
      <c r="T326" s="20">
        <v>670.62441189360061</v>
      </c>
      <c r="U326" s="20">
        <v>146.24161885420796</v>
      </c>
      <c r="V326" s="20">
        <v>55.566633096217743</v>
      </c>
      <c r="W326" s="20">
        <v>57.27448421638347</v>
      </c>
      <c r="X326" s="20">
        <v>75.630233396713635</v>
      </c>
      <c r="Y326" s="20">
        <v>93.123265473194664</v>
      </c>
      <c r="Z326" s="20">
        <v>146.51689055495319</v>
      </c>
      <c r="AA326" s="20">
        <v>174.3639368631994</v>
      </c>
      <c r="AB326" s="20">
        <v>149.30908788681751</v>
      </c>
      <c r="AC326" s="20">
        <v>191.11648970135869</v>
      </c>
      <c r="AD326" s="20">
        <v>234.2599144770532</v>
      </c>
      <c r="AE326" s="20">
        <v>287.1871690399297</v>
      </c>
      <c r="AF326" s="20">
        <v>249.32760555228694</v>
      </c>
      <c r="AG326" s="20">
        <v>310.37796598391435</v>
      </c>
      <c r="AH326" s="20">
        <v>319.96387139049511</v>
      </c>
      <c r="AI326" s="20">
        <v>275.81317543347524</v>
      </c>
      <c r="AJ326" s="20">
        <v>218.00899146688295</v>
      </c>
      <c r="AK326" s="20">
        <v>164.81720828532781</v>
      </c>
      <c r="AL326" s="20">
        <v>228.93369288696576</v>
      </c>
      <c r="AM326" s="20">
        <v>246.44638786879935</v>
      </c>
      <c r="AN326" s="20">
        <v>266.19053123541079</v>
      </c>
      <c r="AO326" s="20">
        <v>332.85300834162797</v>
      </c>
      <c r="AP326" s="20">
        <v>223.00181713918062</v>
      </c>
      <c r="AQ326" s="20">
        <v>279.49959386222866</v>
      </c>
      <c r="AR326" s="20">
        <v>629.59337909432202</v>
      </c>
      <c r="AS326" s="20">
        <v>335.07002861209691</v>
      </c>
      <c r="AT326" s="20">
        <v>428.92603536432136</v>
      </c>
      <c r="AU326" s="20">
        <v>469.69160820273771</v>
      </c>
      <c r="AV326" s="20">
        <v>463.915251088812</v>
      </c>
      <c r="AW326" s="20">
        <v>694.75092671977291</v>
      </c>
      <c r="AX326" s="20">
        <v>1077.1640707091567</v>
      </c>
      <c r="AY326" s="20">
        <v>2175.1875354628787</v>
      </c>
      <c r="AZ326" s="20">
        <v>1665.2429247909338</v>
      </c>
      <c r="BA326" s="20">
        <v>804.72516877150235</v>
      </c>
      <c r="BB326" s="20">
        <v>3065.4539696730239</v>
      </c>
      <c r="BC326" s="20">
        <v>1288.0655844558701</v>
      </c>
      <c r="BD326" s="20">
        <v>2151.5647683790589</v>
      </c>
      <c r="BE326" s="20">
        <v>1567.9820989005702</v>
      </c>
      <c r="BF326" s="20">
        <v>791.5875665300764</v>
      </c>
      <c r="BG326" s="20">
        <v>1186.3081833974991</v>
      </c>
      <c r="BH326" s="20">
        <v>4536.8568706532524</v>
      </c>
      <c r="BI326" s="20">
        <v>8677.189395341893</v>
      </c>
      <c r="BJ326" s="20">
        <v>818.26591598755215</v>
      </c>
      <c r="BK326" s="20">
        <v>1246.1594125068268</v>
      </c>
      <c r="BL326" s="20">
        <v>921.64767859071731</v>
      </c>
      <c r="BM326" s="20">
        <v>996.38712825948403</v>
      </c>
      <c r="BN326" s="20">
        <v>3774.8272575665296</v>
      </c>
      <c r="BO326" s="20">
        <v>429.80570130921001</v>
      </c>
      <c r="BP326" s="20">
        <v>1375.2937368152459</v>
      </c>
      <c r="BQ326" s="20">
        <v>1836.1095318218199</v>
      </c>
      <c r="BR326" s="20">
        <v>1167.4894372644942</v>
      </c>
      <c r="BS326" s="20">
        <v>9675.176373041857</v>
      </c>
      <c r="BT326" s="20">
        <v>143.25472857508177</v>
      </c>
      <c r="BU326" s="20">
        <v>180.80550541655057</v>
      </c>
      <c r="BV326" s="20">
        <v>204.88193541225033</v>
      </c>
      <c r="BW326" s="20">
        <v>173.75122539647219</v>
      </c>
      <c r="BX326" s="20">
        <v>90.09405517651561</v>
      </c>
      <c r="BY326" s="20">
        <v>32.094762504511927</v>
      </c>
      <c r="BZ326" s="20">
        <v>0</v>
      </c>
      <c r="CA326" s="20">
        <v>0</v>
      </c>
      <c r="CB326" s="20">
        <v>31.607205305237656</v>
      </c>
      <c r="CC326" s="20">
        <v>513.92922664265984</v>
      </c>
      <c r="CD326" s="20">
        <v>132.49122096215879</v>
      </c>
      <c r="CE326" s="20">
        <v>124.45786229528665</v>
      </c>
      <c r="CF326" s="20">
        <v>46.409641838816647</v>
      </c>
      <c r="CG326" s="20">
        <v>141.02402155903235</v>
      </c>
      <c r="CH326" s="20">
        <v>18.040844603759734</v>
      </c>
      <c r="CI326" s="20">
        <v>3.963522433603218</v>
      </c>
      <c r="CJ326" s="20">
        <v>63.359931637607652</v>
      </c>
      <c r="CK326" s="20">
        <v>0.96870894268802177</v>
      </c>
      <c r="CL326" s="20">
        <v>37.918782399377797</v>
      </c>
      <c r="CM326" s="20">
        <v>81.120795699988221</v>
      </c>
      <c r="CN326" s="20">
        <v>0</v>
      </c>
      <c r="CO326" s="20">
        <v>0</v>
      </c>
      <c r="CP326" s="20">
        <v>0</v>
      </c>
      <c r="CQ326" s="20">
        <v>0</v>
      </c>
      <c r="CR326" s="20">
        <v>0</v>
      </c>
      <c r="CS326" s="20">
        <v>0</v>
      </c>
      <c r="CT326" s="20">
        <v>0</v>
      </c>
      <c r="CU326" s="20">
        <v>0</v>
      </c>
      <c r="CV326" s="20">
        <v>0</v>
      </c>
      <c r="CW326" s="20">
        <v>0</v>
      </c>
      <c r="CX326" s="20">
        <v>0</v>
      </c>
      <c r="CY326" s="20">
        <v>0</v>
      </c>
      <c r="CZ326" s="20">
        <v>0</v>
      </c>
      <c r="DA326" s="20">
        <v>0</v>
      </c>
      <c r="DB326" s="20">
        <v>0</v>
      </c>
      <c r="DC326" s="20">
        <v>0</v>
      </c>
      <c r="DD326" s="20">
        <v>0</v>
      </c>
      <c r="DE326" s="20">
        <v>0</v>
      </c>
      <c r="DF326" s="20">
        <v>0</v>
      </c>
      <c r="DG326" s="16">
        <f t="shared" si="29"/>
        <v>70332.717409643417</v>
      </c>
      <c r="DH326" s="16">
        <f t="shared" si="30"/>
        <v>3275927.7940263394</v>
      </c>
      <c r="DI326" s="17">
        <f t="shared" si="31"/>
        <v>46.577580316513867</v>
      </c>
      <c r="DJ326" s="119" t="s">
        <v>718</v>
      </c>
      <c r="DK326" s="44" t="s">
        <v>718</v>
      </c>
    </row>
    <row r="327" spans="1:117">
      <c r="A327" s="32" t="str">
        <f t="shared" si="27"/>
        <v>Essential (Original)--˃ 11 kV &amp; &lt; = 22 kV  ; SWER</v>
      </c>
      <c r="B327" s="32" t="str">
        <f t="shared" si="28"/>
        <v>Essential (Original)</v>
      </c>
      <c r="C327" s="384"/>
      <c r="D327" s="14"/>
      <c r="E327" s="15" t="s">
        <v>177</v>
      </c>
      <c r="F327" s="18">
        <v>53.8</v>
      </c>
      <c r="G327" s="18">
        <v>7.334848328356899</v>
      </c>
      <c r="H327" s="20">
        <v>36.351698658067626</v>
      </c>
      <c r="I327" s="20">
        <v>25.380296461252478</v>
      </c>
      <c r="J327" s="20">
        <v>11.156919817923729</v>
      </c>
      <c r="K327" s="20">
        <v>28.199812004311557</v>
      </c>
      <c r="L327" s="20">
        <v>18.531958015163283</v>
      </c>
      <c r="M327" s="20">
        <v>132.54577787072085</v>
      </c>
      <c r="N327" s="20">
        <v>215.26204277986821</v>
      </c>
      <c r="O327" s="20">
        <v>115.6353433735937</v>
      </c>
      <c r="P327" s="20">
        <v>33.35813837243397</v>
      </c>
      <c r="Q327" s="20">
        <v>27.236635967507411</v>
      </c>
      <c r="R327" s="20">
        <v>193.10197601659786</v>
      </c>
      <c r="S327" s="20">
        <v>211.82097246192745</v>
      </c>
      <c r="T327" s="20">
        <v>106.16688660539451</v>
      </c>
      <c r="U327" s="20">
        <v>27.263491230148318</v>
      </c>
      <c r="V327" s="20">
        <v>5.9555502097202009</v>
      </c>
      <c r="W327" s="20">
        <v>14.597767445162479</v>
      </c>
      <c r="X327" s="20">
        <v>9.5664325741436134</v>
      </c>
      <c r="Y327" s="20">
        <v>60.648955326459784</v>
      </c>
      <c r="Z327" s="20">
        <v>1609.7519189825314</v>
      </c>
      <c r="AA327" s="20">
        <v>966.35603054884291</v>
      </c>
      <c r="AB327" s="20">
        <v>940.60040095228794</v>
      </c>
      <c r="AC327" s="20">
        <v>129.45006965806175</v>
      </c>
      <c r="AD327" s="20">
        <v>34.516543104203571</v>
      </c>
      <c r="AE327" s="20">
        <v>128.79619261785243</v>
      </c>
      <c r="AF327" s="20">
        <v>328.32066448122436</v>
      </c>
      <c r="AG327" s="20">
        <v>691.85232919125656</v>
      </c>
      <c r="AH327" s="20">
        <v>92.618468731295067</v>
      </c>
      <c r="AI327" s="20">
        <v>132.70976057885159</v>
      </c>
      <c r="AJ327" s="20">
        <v>223.92344573699359</v>
      </c>
      <c r="AK327" s="20">
        <v>352.96506067978322</v>
      </c>
      <c r="AL327" s="20">
        <v>444.29013924228542</v>
      </c>
      <c r="AM327" s="20">
        <v>602.7259819995528</v>
      </c>
      <c r="AN327" s="20">
        <v>952.56247453105425</v>
      </c>
      <c r="AO327" s="20">
        <v>920.85687865615421</v>
      </c>
      <c r="AP327" s="20">
        <v>33.413009891150551</v>
      </c>
      <c r="AQ327" s="20">
        <v>500.80712727483859</v>
      </c>
      <c r="AR327" s="20">
        <v>119.88923004150313</v>
      </c>
      <c r="AS327" s="20">
        <v>195.01803350721235</v>
      </c>
      <c r="AT327" s="20">
        <v>214.11506061310109</v>
      </c>
      <c r="AU327" s="20">
        <v>398.25137577170005</v>
      </c>
      <c r="AV327" s="20">
        <v>85.759956037708733</v>
      </c>
      <c r="AW327" s="20">
        <v>129.04936435614411</v>
      </c>
      <c r="AX327" s="20">
        <v>471.3411456717443</v>
      </c>
      <c r="AY327" s="20">
        <v>445.10995110044564</v>
      </c>
      <c r="AZ327" s="20">
        <v>173.04428925301869</v>
      </c>
      <c r="BA327" s="20">
        <v>137.0795298201237</v>
      </c>
      <c r="BB327" s="20">
        <v>1294.1013855795072</v>
      </c>
      <c r="BC327" s="20">
        <v>1372.4352729944533</v>
      </c>
      <c r="BD327" s="20">
        <v>2493.10483841823</v>
      </c>
      <c r="BE327" s="20">
        <v>2496.6023959930853</v>
      </c>
      <c r="BF327" s="20">
        <v>811.63930258047355</v>
      </c>
      <c r="BG327" s="20">
        <v>459.26802598099852</v>
      </c>
      <c r="BH327" s="20">
        <v>1798.2801955091895</v>
      </c>
      <c r="BI327" s="20">
        <v>2026.1772818060795</v>
      </c>
      <c r="BJ327" s="20">
        <v>59.792774020245808</v>
      </c>
      <c r="BK327" s="20">
        <v>294.24980309958192</v>
      </c>
      <c r="BL327" s="20">
        <v>6.1048915100276515</v>
      </c>
      <c r="BM327" s="20">
        <v>266.37219597102484</v>
      </c>
      <c r="BN327" s="20">
        <v>389.3597001112268</v>
      </c>
      <c r="BO327" s="20">
        <v>36.970529322361081</v>
      </c>
      <c r="BP327" s="20">
        <v>646.14156775563561</v>
      </c>
      <c r="BQ327" s="20">
        <v>303.38887008344358</v>
      </c>
      <c r="BR327" s="20">
        <v>182.60492253374798</v>
      </c>
      <c r="BS327" s="20">
        <v>452.43862660812312</v>
      </c>
      <c r="BT327" s="20">
        <v>0</v>
      </c>
      <c r="BU327" s="20">
        <v>54.422367097478258</v>
      </c>
      <c r="BV327" s="20">
        <v>0</v>
      </c>
      <c r="BW327" s="20">
        <v>0</v>
      </c>
      <c r="BX327" s="20">
        <v>34.079841612932377</v>
      </c>
      <c r="BY327" s="20">
        <v>0</v>
      </c>
      <c r="BZ327" s="20">
        <v>0</v>
      </c>
      <c r="CA327" s="20">
        <v>0</v>
      </c>
      <c r="CB327" s="20">
        <v>0</v>
      </c>
      <c r="CC327" s="20">
        <v>1287.0206084360655</v>
      </c>
      <c r="CD327" s="20">
        <v>0</v>
      </c>
      <c r="CE327" s="20">
        <v>0</v>
      </c>
      <c r="CF327" s="20">
        <v>0</v>
      </c>
      <c r="CG327" s="20">
        <v>0</v>
      </c>
      <c r="CH327" s="20">
        <v>0</v>
      </c>
      <c r="CI327" s="20">
        <v>0</v>
      </c>
      <c r="CJ327" s="20">
        <v>0</v>
      </c>
      <c r="CK327" s="20">
        <v>0</v>
      </c>
      <c r="CL327" s="20">
        <v>206.11574840051469</v>
      </c>
      <c r="CM327" s="20">
        <v>0</v>
      </c>
      <c r="CN327" s="20">
        <v>0</v>
      </c>
      <c r="CO327" s="20">
        <v>0</v>
      </c>
      <c r="CP327" s="20">
        <v>0</v>
      </c>
      <c r="CQ327" s="20">
        <v>0</v>
      </c>
      <c r="CR327" s="20">
        <v>0</v>
      </c>
      <c r="CS327" s="20">
        <v>0</v>
      </c>
      <c r="CT327" s="20">
        <v>0</v>
      </c>
      <c r="CU327" s="20">
        <v>0</v>
      </c>
      <c r="CV327" s="20">
        <v>0</v>
      </c>
      <c r="CW327" s="20">
        <v>0</v>
      </c>
      <c r="CX327" s="20">
        <v>0</v>
      </c>
      <c r="CY327" s="20">
        <v>0</v>
      </c>
      <c r="CZ327" s="20">
        <v>0</v>
      </c>
      <c r="DA327" s="20">
        <v>0</v>
      </c>
      <c r="DB327" s="20">
        <v>0</v>
      </c>
      <c r="DC327" s="20">
        <v>0</v>
      </c>
      <c r="DD327" s="20">
        <v>0</v>
      </c>
      <c r="DE327" s="20">
        <v>0</v>
      </c>
      <c r="DF327" s="20">
        <v>0</v>
      </c>
      <c r="DG327" s="16">
        <f t="shared" si="29"/>
        <v>29698.626233645744</v>
      </c>
      <c r="DH327" s="16">
        <f t="shared" si="30"/>
        <v>1273455.140194827</v>
      </c>
      <c r="DI327" s="17">
        <f t="shared" si="31"/>
        <v>42.879260817529747</v>
      </c>
      <c r="DJ327" s="119" t="s">
        <v>718</v>
      </c>
      <c r="DK327" s="44" t="s">
        <v>718</v>
      </c>
    </row>
    <row r="328" spans="1:117">
      <c r="A328" s="32" t="str">
        <f t="shared" si="27"/>
        <v>Essential (Original)--˃ 11 kV &amp; &lt; = 22 kV ; SINGLE-PHASE</v>
      </c>
      <c r="B328" s="32" t="str">
        <f t="shared" si="28"/>
        <v>Essential (Original)</v>
      </c>
      <c r="C328" s="384"/>
      <c r="D328" s="14"/>
      <c r="E328" s="15" t="s">
        <v>178</v>
      </c>
      <c r="F328" s="18">
        <v>53.8</v>
      </c>
      <c r="G328" s="18">
        <v>7.334848328356899</v>
      </c>
      <c r="H328" s="20">
        <v>73.772988585441041</v>
      </c>
      <c r="I328" s="20">
        <v>76.962447663956141</v>
      </c>
      <c r="J328" s="20">
        <v>30.737326939943529</v>
      </c>
      <c r="K328" s="20">
        <v>62.886396467602751</v>
      </c>
      <c r="L328" s="20">
        <v>63.340986773373729</v>
      </c>
      <c r="M328" s="20">
        <v>145.24937226578967</v>
      </c>
      <c r="N328" s="20">
        <v>187.51525562309729</v>
      </c>
      <c r="O328" s="20">
        <v>124.59237499823942</v>
      </c>
      <c r="P328" s="20">
        <v>132.2856463443166</v>
      </c>
      <c r="Q328" s="20">
        <v>108.79739066177252</v>
      </c>
      <c r="R328" s="20">
        <v>88.891073734120013</v>
      </c>
      <c r="S328" s="20">
        <v>194.58171217951596</v>
      </c>
      <c r="T328" s="20">
        <v>138.32646308789944</v>
      </c>
      <c r="U328" s="20">
        <v>29.4741972887674</v>
      </c>
      <c r="V328" s="20">
        <v>16.699814654158789</v>
      </c>
      <c r="W328" s="20">
        <v>9.5680030025069467</v>
      </c>
      <c r="X328" s="20">
        <v>20.932338531088956</v>
      </c>
      <c r="Y328" s="20">
        <v>36.313627823449295</v>
      </c>
      <c r="Z328" s="20">
        <v>42.602857247677449</v>
      </c>
      <c r="AA328" s="20">
        <v>33.729012703028118</v>
      </c>
      <c r="AB328" s="20">
        <v>28.40528666844201</v>
      </c>
      <c r="AC328" s="20">
        <v>42.349542336945142</v>
      </c>
      <c r="AD328" s="20">
        <v>46.082512809274185</v>
      </c>
      <c r="AE328" s="20">
        <v>47.008172130514687</v>
      </c>
      <c r="AF328" s="20">
        <v>77.911716482081218</v>
      </c>
      <c r="AG328" s="20">
        <v>67.366463117492472</v>
      </c>
      <c r="AH328" s="20">
        <v>103.81170614715376</v>
      </c>
      <c r="AI328" s="20">
        <v>61.638805420262223</v>
      </c>
      <c r="AJ328" s="20">
        <v>45.80689314113134</v>
      </c>
      <c r="AK328" s="20">
        <v>61.731689122780267</v>
      </c>
      <c r="AL328" s="20">
        <v>67.285956421845739</v>
      </c>
      <c r="AM328" s="20">
        <v>85.770910245709644</v>
      </c>
      <c r="AN328" s="20">
        <v>77.932319647283776</v>
      </c>
      <c r="AO328" s="20">
        <v>432.58694034915078</v>
      </c>
      <c r="AP328" s="20">
        <v>61.836853663639147</v>
      </c>
      <c r="AQ328" s="20">
        <v>119.03639314863371</v>
      </c>
      <c r="AR328" s="20">
        <v>89.262292991415038</v>
      </c>
      <c r="AS328" s="20">
        <v>99.268420118678847</v>
      </c>
      <c r="AT328" s="20">
        <v>108.58741963051962</v>
      </c>
      <c r="AU328" s="20">
        <v>86.085735340403986</v>
      </c>
      <c r="AV328" s="20">
        <v>93.123501808373547</v>
      </c>
      <c r="AW328" s="20">
        <v>100.35693731539354</v>
      </c>
      <c r="AX328" s="20">
        <v>152.23397365918771</v>
      </c>
      <c r="AY328" s="20">
        <v>336.19606521801541</v>
      </c>
      <c r="AZ328" s="20">
        <v>251.10781984937165</v>
      </c>
      <c r="BA328" s="20">
        <v>338.09792812326521</v>
      </c>
      <c r="BB328" s="20">
        <v>1149.23449694326</v>
      </c>
      <c r="BC328" s="20">
        <v>1161.0499172368197</v>
      </c>
      <c r="BD328" s="20">
        <v>951.53677444731363</v>
      </c>
      <c r="BE328" s="20">
        <v>508.63189369393564</v>
      </c>
      <c r="BF328" s="20">
        <v>303.57348680991021</v>
      </c>
      <c r="BG328" s="20">
        <v>446.05613663696562</v>
      </c>
      <c r="BH328" s="20">
        <v>1810.2470612038117</v>
      </c>
      <c r="BI328" s="20">
        <v>1977.23543540184</v>
      </c>
      <c r="BJ328" s="20">
        <v>1026.9923990085222</v>
      </c>
      <c r="BK328" s="20">
        <v>555.15532608904721</v>
      </c>
      <c r="BL328" s="20">
        <v>260.98141400984679</v>
      </c>
      <c r="BM328" s="20">
        <v>879.21021177827174</v>
      </c>
      <c r="BN328" s="20">
        <v>1853.114652728704</v>
      </c>
      <c r="BO328" s="20">
        <v>693.39674174344862</v>
      </c>
      <c r="BP328" s="20">
        <v>155.9282712865367</v>
      </c>
      <c r="BQ328" s="20">
        <v>121.74542910455068</v>
      </c>
      <c r="BR328" s="20">
        <v>31.242592943097574</v>
      </c>
      <c r="BS328" s="20">
        <v>1506.8959063332766</v>
      </c>
      <c r="BT328" s="20">
        <v>60.398915008261895</v>
      </c>
      <c r="BU328" s="20">
        <v>10.25586290369851</v>
      </c>
      <c r="BV328" s="20">
        <v>3.7091304771978164</v>
      </c>
      <c r="BW328" s="20">
        <v>6.9511834883698764</v>
      </c>
      <c r="BX328" s="20">
        <v>12.289073993180065</v>
      </c>
      <c r="BY328" s="20">
        <v>34.859645432022013</v>
      </c>
      <c r="BZ328" s="20">
        <v>0</v>
      </c>
      <c r="CA328" s="20">
        <v>0</v>
      </c>
      <c r="CB328" s="20">
        <v>1.3776120357883208</v>
      </c>
      <c r="CC328" s="20">
        <v>238.38026098792906</v>
      </c>
      <c r="CD328" s="20">
        <v>15.384415640173502</v>
      </c>
      <c r="CE328" s="20">
        <v>0</v>
      </c>
      <c r="CF328" s="20">
        <v>9.7256775516754317</v>
      </c>
      <c r="CG328" s="20">
        <v>0</v>
      </c>
      <c r="CH328" s="20">
        <v>0</v>
      </c>
      <c r="CI328" s="20">
        <v>0</v>
      </c>
      <c r="CJ328" s="20">
        <v>0</v>
      </c>
      <c r="CK328" s="20">
        <v>0</v>
      </c>
      <c r="CL328" s="20">
        <v>505.84078272410562</v>
      </c>
      <c r="CM328" s="20">
        <v>131.7694058737361</v>
      </c>
      <c r="CN328" s="20">
        <v>0</v>
      </c>
      <c r="CO328" s="20">
        <v>0</v>
      </c>
      <c r="CP328" s="20">
        <v>0</v>
      </c>
      <c r="CQ328" s="20">
        <v>0</v>
      </c>
      <c r="CR328" s="20">
        <v>0</v>
      </c>
      <c r="CS328" s="20">
        <v>0</v>
      </c>
      <c r="CT328" s="20">
        <v>0</v>
      </c>
      <c r="CU328" s="20">
        <v>0</v>
      </c>
      <c r="CV328" s="20">
        <v>0</v>
      </c>
      <c r="CW328" s="20">
        <v>0</v>
      </c>
      <c r="CX328" s="20">
        <v>0</v>
      </c>
      <c r="CY328" s="20">
        <v>0</v>
      </c>
      <c r="CZ328" s="20">
        <v>0</v>
      </c>
      <c r="DA328" s="20">
        <v>0</v>
      </c>
      <c r="DB328" s="20">
        <v>0</v>
      </c>
      <c r="DC328" s="20">
        <v>0</v>
      </c>
      <c r="DD328" s="20">
        <v>0</v>
      </c>
      <c r="DE328" s="20">
        <v>0</v>
      </c>
      <c r="DF328" s="20">
        <v>0</v>
      </c>
      <c r="DG328" s="16">
        <f t="shared" si="29"/>
        <v>21121.311654997997</v>
      </c>
      <c r="DH328" s="16">
        <f t="shared" si="30"/>
        <v>1053781.9869867475</v>
      </c>
      <c r="DI328" s="17">
        <f t="shared" si="31"/>
        <v>49.891881915268648</v>
      </c>
      <c r="DJ328" s="119" t="s">
        <v>718</v>
      </c>
      <c r="DK328" s="44" t="s">
        <v>718</v>
      </c>
    </row>
    <row r="329" spans="1:117">
      <c r="A329" s="32" t="str">
        <f t="shared" si="27"/>
        <v>Essential (Original)--˃ 11 kV &amp; &lt; = 22 kV ; MULTIPLE-PHASE</v>
      </c>
      <c r="B329" s="32" t="str">
        <f t="shared" si="28"/>
        <v>Essential (Original)</v>
      </c>
      <c r="C329" s="384"/>
      <c r="D329" s="14"/>
      <c r="E329" s="15" t="s">
        <v>179</v>
      </c>
      <c r="F329" s="18">
        <v>53.8</v>
      </c>
      <c r="G329" s="18">
        <v>7.334848328356899</v>
      </c>
      <c r="H329" s="20">
        <v>283.8853483232441</v>
      </c>
      <c r="I329" s="20">
        <v>225.40173901008427</v>
      </c>
      <c r="J329" s="20">
        <v>253.49982025414621</v>
      </c>
      <c r="K329" s="20">
        <v>193.73179679386908</v>
      </c>
      <c r="L329" s="20">
        <v>146.83075471108043</v>
      </c>
      <c r="M329" s="20">
        <v>274.24044635864391</v>
      </c>
      <c r="N329" s="20">
        <v>240.94590135350592</v>
      </c>
      <c r="O329" s="20">
        <v>192.00818709613011</v>
      </c>
      <c r="P329" s="20">
        <v>95.303471969516096</v>
      </c>
      <c r="Q329" s="20">
        <v>79.008171327770498</v>
      </c>
      <c r="R329" s="20">
        <v>186.04372521626206</v>
      </c>
      <c r="S329" s="20">
        <v>239.5826686182055</v>
      </c>
      <c r="T329" s="20">
        <v>214.89595603328425</v>
      </c>
      <c r="U329" s="20">
        <v>57.239585829519342</v>
      </c>
      <c r="V329" s="20">
        <v>13.57385953253007</v>
      </c>
      <c r="W329" s="20">
        <v>14.745606164666151</v>
      </c>
      <c r="X329" s="20">
        <v>24.659078908763416</v>
      </c>
      <c r="Y329" s="20">
        <v>35.647973623527548</v>
      </c>
      <c r="Z329" s="20">
        <v>21.581995767075476</v>
      </c>
      <c r="AA329" s="20">
        <v>24.27950392764021</v>
      </c>
      <c r="AB329" s="20">
        <v>27.291300810342292</v>
      </c>
      <c r="AC329" s="20">
        <v>30.660508911690105</v>
      </c>
      <c r="AD329" s="20">
        <v>53.331321852306239</v>
      </c>
      <c r="AE329" s="20">
        <v>54.267502786702885</v>
      </c>
      <c r="AF329" s="20">
        <v>61.653207430625066</v>
      </c>
      <c r="AG329" s="20">
        <v>71.580011264564646</v>
      </c>
      <c r="AH329" s="20">
        <v>61.649665747727489</v>
      </c>
      <c r="AI329" s="20">
        <v>67.787776594219238</v>
      </c>
      <c r="AJ329" s="20">
        <v>133.67506731612843</v>
      </c>
      <c r="AK329" s="20">
        <v>38.988666046707976</v>
      </c>
      <c r="AL329" s="20">
        <v>76.315484695845157</v>
      </c>
      <c r="AM329" s="20">
        <v>171.22981915972196</v>
      </c>
      <c r="AN329" s="20">
        <v>137.20567056129352</v>
      </c>
      <c r="AO329" s="20">
        <v>243.58768846761055</v>
      </c>
      <c r="AP329" s="20">
        <v>103.10285288368809</v>
      </c>
      <c r="AQ329" s="20">
        <v>120.38031371497119</v>
      </c>
      <c r="AR329" s="20">
        <v>177.84829303109206</v>
      </c>
      <c r="AS329" s="20">
        <v>107.96104957913921</v>
      </c>
      <c r="AT329" s="20">
        <v>160.31173687841414</v>
      </c>
      <c r="AU329" s="20">
        <v>111.96328265166873</v>
      </c>
      <c r="AV329" s="20">
        <v>127.02546761298463</v>
      </c>
      <c r="AW329" s="20">
        <v>79.281150748891918</v>
      </c>
      <c r="AX329" s="20">
        <v>107.2163180965712</v>
      </c>
      <c r="AY329" s="20">
        <v>343.75843799287776</v>
      </c>
      <c r="AZ329" s="20">
        <v>178.316024491923</v>
      </c>
      <c r="BA329" s="20">
        <v>300.95368606527865</v>
      </c>
      <c r="BB329" s="20">
        <v>1253.2182167165906</v>
      </c>
      <c r="BC329" s="20">
        <v>948.24150704071076</v>
      </c>
      <c r="BD329" s="20">
        <v>1464.9013107428611</v>
      </c>
      <c r="BE329" s="20">
        <v>624.87330590078648</v>
      </c>
      <c r="BF329" s="20">
        <v>344.94729124872862</v>
      </c>
      <c r="BG329" s="20">
        <v>129.98836293657189</v>
      </c>
      <c r="BH329" s="20">
        <v>1589.9507506194982</v>
      </c>
      <c r="BI329" s="20">
        <v>2248.6405484808938</v>
      </c>
      <c r="BJ329" s="20">
        <v>557.8051885371591</v>
      </c>
      <c r="BK329" s="20">
        <v>718.82679756193284</v>
      </c>
      <c r="BL329" s="20">
        <v>135.02972500670919</v>
      </c>
      <c r="BM329" s="20">
        <v>701.07102247184753</v>
      </c>
      <c r="BN329" s="20">
        <v>1046.7404357577996</v>
      </c>
      <c r="BO329" s="20">
        <v>419.26704193975763</v>
      </c>
      <c r="BP329" s="20">
        <v>215.97574571264772</v>
      </c>
      <c r="BQ329" s="20">
        <v>81.69650148534835</v>
      </c>
      <c r="BR329" s="20">
        <v>34.125617093193696</v>
      </c>
      <c r="BS329" s="20">
        <v>731.50647964449331</v>
      </c>
      <c r="BT329" s="20">
        <v>61.7325563572455</v>
      </c>
      <c r="BU329" s="20">
        <v>24.590566355810985</v>
      </c>
      <c r="BV329" s="20">
        <v>7.6336857859630323</v>
      </c>
      <c r="BW329" s="20">
        <v>11.665462488961735</v>
      </c>
      <c r="BX329" s="20">
        <v>28.392321708990227</v>
      </c>
      <c r="BY329" s="20">
        <v>158.54951856057971</v>
      </c>
      <c r="BZ329" s="20">
        <v>0.5748542248028472</v>
      </c>
      <c r="CA329" s="20">
        <v>0.80071599994478382</v>
      </c>
      <c r="CB329" s="20">
        <v>0</v>
      </c>
      <c r="CC329" s="20">
        <v>902.21006665276946</v>
      </c>
      <c r="CD329" s="20">
        <v>6.5557674364841327</v>
      </c>
      <c r="CE329" s="20">
        <v>0</v>
      </c>
      <c r="CF329" s="20">
        <v>15.705445284799879</v>
      </c>
      <c r="CG329" s="20">
        <v>0</v>
      </c>
      <c r="CH329" s="20">
        <v>0</v>
      </c>
      <c r="CI329" s="20">
        <v>0</v>
      </c>
      <c r="CJ329" s="20">
        <v>0</v>
      </c>
      <c r="CK329" s="20">
        <v>0</v>
      </c>
      <c r="CL329" s="20">
        <v>417.24335577383266</v>
      </c>
      <c r="CM329" s="20">
        <v>192.09064433818781</v>
      </c>
      <c r="CN329" s="20">
        <v>0</v>
      </c>
      <c r="CO329" s="20">
        <v>0</v>
      </c>
      <c r="CP329" s="20">
        <v>0</v>
      </c>
      <c r="CQ329" s="20">
        <v>0</v>
      </c>
      <c r="CR329" s="20">
        <v>0</v>
      </c>
      <c r="CS329" s="20">
        <v>0</v>
      </c>
      <c r="CT329" s="20">
        <v>0</v>
      </c>
      <c r="CU329" s="20">
        <v>0</v>
      </c>
      <c r="CV329" s="20">
        <v>0</v>
      </c>
      <c r="CW329" s="20">
        <v>0</v>
      </c>
      <c r="CX329" s="20">
        <v>0</v>
      </c>
      <c r="CY329" s="20">
        <v>0</v>
      </c>
      <c r="CZ329" s="20">
        <v>0</v>
      </c>
      <c r="DA329" s="20">
        <v>0</v>
      </c>
      <c r="DB329" s="20">
        <v>0</v>
      </c>
      <c r="DC329" s="20">
        <v>0</v>
      </c>
      <c r="DD329" s="20">
        <v>0</v>
      </c>
      <c r="DE329" s="20">
        <v>0</v>
      </c>
      <c r="DF329" s="20">
        <v>0</v>
      </c>
      <c r="DG329" s="16">
        <f t="shared" si="29"/>
        <v>21038.99870607835</v>
      </c>
      <c r="DH329" s="16">
        <f t="shared" si="30"/>
        <v>986599.24898405711</v>
      </c>
      <c r="DI329" s="17">
        <f t="shared" si="31"/>
        <v>46.893830964446991</v>
      </c>
      <c r="DJ329" s="119" t="s">
        <v>718</v>
      </c>
      <c r="DK329" s="44" t="s">
        <v>718</v>
      </c>
    </row>
    <row r="330" spans="1:117">
      <c r="A330" s="32" t="str">
        <f t="shared" si="27"/>
        <v>Essential (Original)--&gt; 22 kV &amp; &lt; = 66 kV</v>
      </c>
      <c r="B330" s="32" t="str">
        <f t="shared" si="28"/>
        <v>Essential (Original)</v>
      </c>
      <c r="C330" s="384"/>
      <c r="D330" s="14"/>
      <c r="E330" s="15" t="s">
        <v>174</v>
      </c>
      <c r="F330" s="18">
        <v>54.9</v>
      </c>
      <c r="G330" s="18">
        <v>7.4094534211370817</v>
      </c>
      <c r="H330" s="20">
        <v>174.75749578387496</v>
      </c>
      <c r="I330" s="20">
        <v>72.325210468242034</v>
      </c>
      <c r="J330" s="20">
        <v>136.31487989320183</v>
      </c>
      <c r="K330" s="20">
        <v>100.77783396293853</v>
      </c>
      <c r="L330" s="20">
        <v>81.830993693736701</v>
      </c>
      <c r="M330" s="20">
        <v>75.922124254362956</v>
      </c>
      <c r="N330" s="20">
        <v>60.327549150617585</v>
      </c>
      <c r="O330" s="20">
        <v>182.43836847406084</v>
      </c>
      <c r="P330" s="20">
        <v>211.06162788295885</v>
      </c>
      <c r="Q330" s="20">
        <v>62.69692084012523</v>
      </c>
      <c r="R330" s="20">
        <v>79.400993565730303</v>
      </c>
      <c r="S330" s="20">
        <v>88.594462466522984</v>
      </c>
      <c r="T330" s="20">
        <v>418.54527827695904</v>
      </c>
      <c r="U330" s="20">
        <v>20.770296714723127</v>
      </c>
      <c r="V330" s="20">
        <v>1.0145421247737059</v>
      </c>
      <c r="W330" s="20">
        <v>245.50525649049442</v>
      </c>
      <c r="X330" s="20">
        <v>14.351665912966434</v>
      </c>
      <c r="Y330" s="20">
        <v>0.81730524859370535</v>
      </c>
      <c r="Z330" s="20">
        <v>79.393130197817143</v>
      </c>
      <c r="AA330" s="20">
        <v>118.14916750241025</v>
      </c>
      <c r="AB330" s="20">
        <v>97.643788762920323</v>
      </c>
      <c r="AC330" s="20">
        <v>156.69724520017277</v>
      </c>
      <c r="AD330" s="20">
        <v>53.242586627472036</v>
      </c>
      <c r="AE330" s="20">
        <v>72.788001819169494</v>
      </c>
      <c r="AF330" s="20">
        <v>48.098481133132147</v>
      </c>
      <c r="AG330" s="20">
        <v>67.134344308026215</v>
      </c>
      <c r="AH330" s="20">
        <v>181.82029347103526</v>
      </c>
      <c r="AI330" s="20">
        <v>300.48653372129189</v>
      </c>
      <c r="AJ330" s="20">
        <v>287.75704839487179</v>
      </c>
      <c r="AK330" s="20">
        <v>161.4558771810706</v>
      </c>
      <c r="AL330" s="20">
        <v>65.89240224171067</v>
      </c>
      <c r="AM330" s="20">
        <v>214.86911686787209</v>
      </c>
      <c r="AN330" s="20">
        <v>131.48336834689289</v>
      </c>
      <c r="AO330" s="20">
        <v>97.740449168959458</v>
      </c>
      <c r="AP330" s="20">
        <v>119.22259255919946</v>
      </c>
      <c r="AQ330" s="20">
        <v>112.71473102990544</v>
      </c>
      <c r="AR330" s="20">
        <v>207.45461399132714</v>
      </c>
      <c r="AS330" s="20">
        <v>74.237218152664255</v>
      </c>
      <c r="AT330" s="20">
        <v>85.470921149133986</v>
      </c>
      <c r="AU330" s="20">
        <v>148.4059604394339</v>
      </c>
      <c r="AV330" s="20">
        <v>72.725599224609084</v>
      </c>
      <c r="AW330" s="20">
        <v>126.86645436147332</v>
      </c>
      <c r="AX330" s="20">
        <v>324.96671338558895</v>
      </c>
      <c r="AY330" s="20">
        <v>279.29341063096075</v>
      </c>
      <c r="AZ330" s="20">
        <v>363.24140378303929</v>
      </c>
      <c r="BA330" s="20">
        <v>260.92912694425735</v>
      </c>
      <c r="BB330" s="20">
        <v>804.87552584526713</v>
      </c>
      <c r="BC330" s="20">
        <v>926.43906058352854</v>
      </c>
      <c r="BD330" s="20">
        <v>622.81911231168306</v>
      </c>
      <c r="BE330" s="20">
        <v>235.10353787108431</v>
      </c>
      <c r="BF330" s="20">
        <v>283.7042561207864</v>
      </c>
      <c r="BG330" s="20">
        <v>262.77171973586803</v>
      </c>
      <c r="BH330" s="20">
        <v>443.83790776574472</v>
      </c>
      <c r="BI330" s="20">
        <v>970.29004201297562</v>
      </c>
      <c r="BJ330" s="20">
        <v>143.0874305702595</v>
      </c>
      <c r="BK330" s="20">
        <v>74.317365068896422</v>
      </c>
      <c r="BL330" s="20">
        <v>27.229456447615753</v>
      </c>
      <c r="BM330" s="20">
        <v>70.948584784273166</v>
      </c>
      <c r="BN330" s="20">
        <v>368.39661233591943</v>
      </c>
      <c r="BO330" s="20">
        <v>32.85232896809103</v>
      </c>
      <c r="BP330" s="20">
        <v>0</v>
      </c>
      <c r="BQ330" s="20">
        <v>218.62299682256602</v>
      </c>
      <c r="BR330" s="20">
        <v>8.4246856750110748</v>
      </c>
      <c r="BS330" s="20">
        <v>515.52295284824481</v>
      </c>
      <c r="BT330" s="20">
        <v>0</v>
      </c>
      <c r="BU330" s="20">
        <v>23.907044336179581</v>
      </c>
      <c r="BV330" s="20">
        <v>84.898180502287332</v>
      </c>
      <c r="BW330" s="20">
        <v>4.0586659063694617</v>
      </c>
      <c r="BX330" s="20">
        <v>77.482125026202695</v>
      </c>
      <c r="BY330" s="20">
        <v>0</v>
      </c>
      <c r="BZ330" s="20">
        <v>3.5821439958927477</v>
      </c>
      <c r="CA330" s="20">
        <v>0</v>
      </c>
      <c r="CB330" s="20">
        <v>0</v>
      </c>
      <c r="CC330" s="20">
        <v>0</v>
      </c>
      <c r="CD330" s="20">
        <v>0</v>
      </c>
      <c r="CE330" s="20">
        <v>0</v>
      </c>
      <c r="CF330" s="20">
        <v>20.922291521394907</v>
      </c>
      <c r="CG330" s="20">
        <v>3.8948538004298241</v>
      </c>
      <c r="CH330" s="20">
        <v>47.628193799648223</v>
      </c>
      <c r="CI330" s="20">
        <v>0</v>
      </c>
      <c r="CJ330" s="20">
        <v>0</v>
      </c>
      <c r="CK330" s="20">
        <v>0</v>
      </c>
      <c r="CL330" s="20">
        <v>19.995143398151093</v>
      </c>
      <c r="CM330" s="20">
        <v>159.4965594889579</v>
      </c>
      <c r="CN330" s="20">
        <v>0</v>
      </c>
      <c r="CO330" s="20">
        <v>82.804798005216469</v>
      </c>
      <c r="CP330" s="20">
        <v>0</v>
      </c>
      <c r="CQ330" s="20">
        <v>0</v>
      </c>
      <c r="CR330" s="20">
        <v>0</v>
      </c>
      <c r="CS330" s="20">
        <v>0</v>
      </c>
      <c r="CT330" s="20">
        <v>0</v>
      </c>
      <c r="CU330" s="20">
        <v>0</v>
      </c>
      <c r="CV330" s="20">
        <v>0</v>
      </c>
      <c r="CW330" s="20">
        <v>0</v>
      </c>
      <c r="CX330" s="20">
        <v>0</v>
      </c>
      <c r="CY330" s="20">
        <v>0</v>
      </c>
      <c r="CZ330" s="20">
        <v>0</v>
      </c>
      <c r="DA330" s="20">
        <v>0</v>
      </c>
      <c r="DB330" s="20">
        <v>0</v>
      </c>
      <c r="DC330" s="20">
        <v>0</v>
      </c>
      <c r="DD330" s="20">
        <v>0</v>
      </c>
      <c r="DE330" s="20">
        <v>0</v>
      </c>
      <c r="DF330" s="20">
        <v>0</v>
      </c>
      <c r="DG330" s="16">
        <f t="shared" si="29"/>
        <v>12875.546961349848</v>
      </c>
      <c r="DH330" s="16">
        <f t="shared" si="30"/>
        <v>525680.1477219545</v>
      </c>
      <c r="DI330" s="17">
        <f t="shared" si="31"/>
        <v>40.827791572657446</v>
      </c>
      <c r="DJ330" s="119" t="s">
        <v>718</v>
      </c>
      <c r="DK330" s="44" t="s">
        <v>718</v>
      </c>
    </row>
    <row r="331" spans="1:117">
      <c r="A331" s="32" t="str">
        <f t="shared" si="27"/>
        <v>Essential (Original)--&gt; 66 kV &amp; &lt; = 132 kV</v>
      </c>
      <c r="B331" s="32" t="str">
        <f t="shared" si="28"/>
        <v>Essential (Original)</v>
      </c>
      <c r="C331" s="384"/>
      <c r="D331" s="14"/>
      <c r="E331" s="15" t="s">
        <v>175</v>
      </c>
      <c r="F331" s="18">
        <v>54.9</v>
      </c>
      <c r="G331" s="18">
        <v>7.4094534211370817</v>
      </c>
      <c r="H331" s="20">
        <v>35.756349177517919</v>
      </c>
      <c r="I331" s="20">
        <v>64.367903312498782</v>
      </c>
      <c r="J331" s="20">
        <v>15.125493883306651</v>
      </c>
      <c r="K331" s="20">
        <v>2.8843440939994895</v>
      </c>
      <c r="L331" s="20">
        <v>4.3044921186090637</v>
      </c>
      <c r="M331" s="20">
        <v>1.152768136905798</v>
      </c>
      <c r="N331" s="20">
        <v>0.24359388546884453</v>
      </c>
      <c r="O331" s="20">
        <v>119.2323649789068</v>
      </c>
      <c r="P331" s="20">
        <v>0</v>
      </c>
      <c r="Q331" s="20">
        <v>0</v>
      </c>
      <c r="R331" s="20">
        <v>0</v>
      </c>
      <c r="S331" s="20">
        <v>0</v>
      </c>
      <c r="T331" s="20">
        <v>11.590809116416755</v>
      </c>
      <c r="U331" s="20">
        <v>0</v>
      </c>
      <c r="V331" s="20">
        <v>0</v>
      </c>
      <c r="W331" s="20">
        <v>28.442915114983901</v>
      </c>
      <c r="X331" s="20">
        <v>73.738401330981617</v>
      </c>
      <c r="Y331" s="20">
        <v>2.1471360220608986</v>
      </c>
      <c r="Z331" s="20">
        <v>8.7568578531260286</v>
      </c>
      <c r="AA331" s="20">
        <v>21.58185383567724</v>
      </c>
      <c r="AB331" s="20">
        <v>40.255912998888647</v>
      </c>
      <c r="AC331" s="20">
        <v>215.07609476468099</v>
      </c>
      <c r="AD331" s="20">
        <v>9.2635024140085935</v>
      </c>
      <c r="AE331" s="20">
        <v>5.5800597631792019</v>
      </c>
      <c r="AF331" s="20">
        <v>45.414819923025469</v>
      </c>
      <c r="AG331" s="20">
        <v>46.987347084818154</v>
      </c>
      <c r="AH331" s="20">
        <v>78.860662236796742</v>
      </c>
      <c r="AI331" s="20">
        <v>47.589016008612873</v>
      </c>
      <c r="AJ331" s="20">
        <v>0</v>
      </c>
      <c r="AK331" s="20">
        <v>116.58745858112104</v>
      </c>
      <c r="AL331" s="20">
        <v>215.21516663344647</v>
      </c>
      <c r="AM331" s="20">
        <v>0</v>
      </c>
      <c r="AN331" s="20">
        <v>0</v>
      </c>
      <c r="AO331" s="20">
        <v>0</v>
      </c>
      <c r="AP331" s="20">
        <v>0.10815848284284439</v>
      </c>
      <c r="AQ331" s="20">
        <v>92.545692442183551</v>
      </c>
      <c r="AR331" s="20">
        <v>0</v>
      </c>
      <c r="AS331" s="20">
        <v>0</v>
      </c>
      <c r="AT331" s="20">
        <v>0</v>
      </c>
      <c r="AU331" s="20">
        <v>0</v>
      </c>
      <c r="AV331" s="20">
        <v>21.006354046214692</v>
      </c>
      <c r="AW331" s="20">
        <v>9.7527099457526134</v>
      </c>
      <c r="AX331" s="20">
        <v>0.15308663177946308</v>
      </c>
      <c r="AY331" s="20">
        <v>0</v>
      </c>
      <c r="AZ331" s="20">
        <v>10.238820201970547</v>
      </c>
      <c r="BA331" s="20">
        <v>75.067366299278319</v>
      </c>
      <c r="BB331" s="20">
        <v>27.672562856256267</v>
      </c>
      <c r="BC331" s="20">
        <v>304.02837180461319</v>
      </c>
      <c r="BD331" s="20">
        <v>43.897715103351835</v>
      </c>
      <c r="BE331" s="20">
        <v>0</v>
      </c>
      <c r="BF331" s="20">
        <v>0</v>
      </c>
      <c r="BG331" s="20">
        <v>0</v>
      </c>
      <c r="BH331" s="20">
        <v>0</v>
      </c>
      <c r="BI331" s="20">
        <v>0</v>
      </c>
      <c r="BJ331" s="20">
        <v>0</v>
      </c>
      <c r="BK331" s="20">
        <v>92.968327615616587</v>
      </c>
      <c r="BL331" s="20">
        <v>0</v>
      </c>
      <c r="BM331" s="20">
        <v>0</v>
      </c>
      <c r="BN331" s="20">
        <v>0</v>
      </c>
      <c r="BO331" s="20">
        <v>0</v>
      </c>
      <c r="BP331" s="20">
        <v>0</v>
      </c>
      <c r="BQ331" s="20">
        <v>0</v>
      </c>
      <c r="BR331" s="20">
        <v>0</v>
      </c>
      <c r="BS331" s="20">
        <v>2.1247681977090895</v>
      </c>
      <c r="BT331" s="20">
        <v>0</v>
      </c>
      <c r="BU331" s="20">
        <v>0</v>
      </c>
      <c r="BV331" s="20">
        <v>0</v>
      </c>
      <c r="BW331" s="20">
        <v>0</v>
      </c>
      <c r="BX331" s="20">
        <v>0</v>
      </c>
      <c r="BY331" s="20">
        <v>0</v>
      </c>
      <c r="BZ331" s="20">
        <v>0</v>
      </c>
      <c r="CA331" s="20">
        <v>0</v>
      </c>
      <c r="CB331" s="20">
        <v>0</v>
      </c>
      <c r="CC331" s="20">
        <v>0</v>
      </c>
      <c r="CD331" s="20">
        <v>0</v>
      </c>
      <c r="CE331" s="20">
        <v>0</v>
      </c>
      <c r="CF331" s="20">
        <v>0</v>
      </c>
      <c r="CG331" s="20">
        <v>0</v>
      </c>
      <c r="CH331" s="20">
        <v>0</v>
      </c>
      <c r="CI331" s="20">
        <v>0</v>
      </c>
      <c r="CJ331" s="20">
        <v>0</v>
      </c>
      <c r="CK331" s="20">
        <v>0</v>
      </c>
      <c r="CL331" s="20">
        <v>0</v>
      </c>
      <c r="CM331" s="20">
        <v>0</v>
      </c>
      <c r="CN331" s="20">
        <v>0</v>
      </c>
      <c r="CO331" s="20">
        <v>0</v>
      </c>
      <c r="CP331" s="20">
        <v>0</v>
      </c>
      <c r="CQ331" s="20">
        <v>0</v>
      </c>
      <c r="CR331" s="20">
        <v>0</v>
      </c>
      <c r="CS331" s="20">
        <v>0</v>
      </c>
      <c r="CT331" s="20">
        <v>0</v>
      </c>
      <c r="CU331" s="20">
        <v>0</v>
      </c>
      <c r="CV331" s="20">
        <v>0</v>
      </c>
      <c r="CW331" s="20">
        <v>0</v>
      </c>
      <c r="CX331" s="20">
        <v>0</v>
      </c>
      <c r="CY331" s="20">
        <v>0</v>
      </c>
      <c r="CZ331" s="20">
        <v>0</v>
      </c>
      <c r="DA331" s="20">
        <v>0</v>
      </c>
      <c r="DB331" s="20">
        <v>0</v>
      </c>
      <c r="DC331" s="20">
        <v>0</v>
      </c>
      <c r="DD331" s="20">
        <v>0</v>
      </c>
      <c r="DE331" s="20">
        <v>0</v>
      </c>
      <c r="DF331" s="20">
        <v>0</v>
      </c>
      <c r="DG331" s="16">
        <f t="shared" si="29"/>
        <v>1889.719256896607</v>
      </c>
      <c r="DH331" s="16">
        <f t="shared" si="30"/>
        <v>57527.396133710667</v>
      </c>
      <c r="DI331" s="17">
        <f t="shared" si="31"/>
        <v>30.442297671340388</v>
      </c>
      <c r="DJ331" s="119" t="s">
        <v>718</v>
      </c>
      <c r="DK331" s="44" t="s">
        <v>718</v>
      </c>
    </row>
    <row r="332" spans="1:117">
      <c r="A332" s="32" t="str">
        <f t="shared" si="27"/>
        <v>Essential (Original)--&gt; 132 kV</v>
      </c>
      <c r="B332" s="32" t="str">
        <f t="shared" si="28"/>
        <v>Essential (Original)</v>
      </c>
      <c r="C332" s="384"/>
      <c r="D332" s="14"/>
      <c r="E332" s="15" t="s">
        <v>176</v>
      </c>
      <c r="F332" s="18">
        <v>54.9</v>
      </c>
      <c r="G332" s="18">
        <v>7.4094534211370817</v>
      </c>
      <c r="H332" s="20">
        <v>0</v>
      </c>
      <c r="I332" s="20">
        <v>0</v>
      </c>
      <c r="J332" s="20">
        <v>0</v>
      </c>
      <c r="K332" s="20">
        <v>0</v>
      </c>
      <c r="L332" s="20">
        <v>0</v>
      </c>
      <c r="M332" s="20">
        <v>0</v>
      </c>
      <c r="N332" s="20">
        <v>0</v>
      </c>
      <c r="O332" s="20">
        <v>0</v>
      </c>
      <c r="P332" s="20">
        <v>0</v>
      </c>
      <c r="Q332" s="20">
        <v>0</v>
      </c>
      <c r="R332" s="20">
        <v>0</v>
      </c>
      <c r="S332" s="20">
        <v>0</v>
      </c>
      <c r="T332" s="20">
        <v>0</v>
      </c>
      <c r="U332" s="20">
        <v>0</v>
      </c>
      <c r="V332" s="20">
        <v>0</v>
      </c>
      <c r="W332" s="20">
        <v>0</v>
      </c>
      <c r="X332" s="20">
        <v>0</v>
      </c>
      <c r="Y332" s="20">
        <v>0</v>
      </c>
      <c r="Z332" s="20">
        <v>0</v>
      </c>
      <c r="AA332" s="20">
        <v>0</v>
      </c>
      <c r="AB332" s="20">
        <v>0</v>
      </c>
      <c r="AC332" s="20">
        <v>0</v>
      </c>
      <c r="AD332" s="20">
        <v>0</v>
      </c>
      <c r="AE332" s="20">
        <v>0</v>
      </c>
      <c r="AF332" s="20">
        <v>0</v>
      </c>
      <c r="AG332" s="20">
        <v>0</v>
      </c>
      <c r="AH332" s="20">
        <v>0</v>
      </c>
      <c r="AI332" s="20">
        <v>2.9724200490568475</v>
      </c>
      <c r="AJ332" s="20">
        <v>0</v>
      </c>
      <c r="AK332" s="20">
        <v>0</v>
      </c>
      <c r="AL332" s="20">
        <v>0</v>
      </c>
      <c r="AM332" s="20">
        <v>0</v>
      </c>
      <c r="AN332" s="20">
        <v>0</v>
      </c>
      <c r="AO332" s="20">
        <v>0</v>
      </c>
      <c r="AP332" s="20">
        <v>0</v>
      </c>
      <c r="AQ332" s="20">
        <v>0</v>
      </c>
      <c r="AR332" s="20">
        <v>0</v>
      </c>
      <c r="AS332" s="20">
        <v>0</v>
      </c>
      <c r="AT332" s="20">
        <v>0</v>
      </c>
      <c r="AU332" s="20">
        <v>0</v>
      </c>
      <c r="AV332" s="20">
        <v>0</v>
      </c>
      <c r="AW332" s="20">
        <v>0</v>
      </c>
      <c r="AX332" s="20">
        <v>0</v>
      </c>
      <c r="AY332" s="20">
        <v>0</v>
      </c>
      <c r="AZ332" s="20">
        <v>0</v>
      </c>
      <c r="BA332" s="20">
        <v>0</v>
      </c>
      <c r="BB332" s="20">
        <v>0</v>
      </c>
      <c r="BC332" s="20">
        <v>0</v>
      </c>
      <c r="BD332" s="20">
        <v>0</v>
      </c>
      <c r="BE332" s="20">
        <v>0</v>
      </c>
      <c r="BF332" s="20">
        <v>0</v>
      </c>
      <c r="BG332" s="20">
        <v>0</v>
      </c>
      <c r="BH332" s="20">
        <v>0</v>
      </c>
      <c r="BI332" s="20">
        <v>0</v>
      </c>
      <c r="BJ332" s="20">
        <v>0</v>
      </c>
      <c r="BK332" s="20">
        <v>0</v>
      </c>
      <c r="BL332" s="20">
        <v>0</v>
      </c>
      <c r="BM332" s="20">
        <v>0</v>
      </c>
      <c r="BN332" s="20">
        <v>0</v>
      </c>
      <c r="BO332" s="20">
        <v>0</v>
      </c>
      <c r="BP332" s="20">
        <v>0</v>
      </c>
      <c r="BQ332" s="20">
        <v>0</v>
      </c>
      <c r="BR332" s="20">
        <v>0</v>
      </c>
      <c r="BS332" s="20">
        <v>0</v>
      </c>
      <c r="BT332" s="20">
        <v>0</v>
      </c>
      <c r="BU332" s="20">
        <v>0</v>
      </c>
      <c r="BV332" s="20">
        <v>0</v>
      </c>
      <c r="BW332" s="20">
        <v>0</v>
      </c>
      <c r="BX332" s="20">
        <v>0</v>
      </c>
      <c r="BY332" s="20">
        <v>0</v>
      </c>
      <c r="BZ332" s="20">
        <v>0</v>
      </c>
      <c r="CA332" s="20">
        <v>0</v>
      </c>
      <c r="CB332" s="20">
        <v>0</v>
      </c>
      <c r="CC332" s="20">
        <v>0</v>
      </c>
      <c r="CD332" s="20">
        <v>0</v>
      </c>
      <c r="CE332" s="20">
        <v>0</v>
      </c>
      <c r="CF332" s="20">
        <v>0</v>
      </c>
      <c r="CG332" s="20">
        <v>0</v>
      </c>
      <c r="CH332" s="20">
        <v>0</v>
      </c>
      <c r="CI332" s="20">
        <v>0</v>
      </c>
      <c r="CJ332" s="20">
        <v>0</v>
      </c>
      <c r="CK332" s="20">
        <v>0</v>
      </c>
      <c r="CL332" s="20">
        <v>0</v>
      </c>
      <c r="CM332" s="20">
        <v>0</v>
      </c>
      <c r="CN332" s="20">
        <v>0</v>
      </c>
      <c r="CO332" s="20">
        <v>0</v>
      </c>
      <c r="CP332" s="20">
        <v>0</v>
      </c>
      <c r="CQ332" s="20">
        <v>0</v>
      </c>
      <c r="CR332" s="20">
        <v>0</v>
      </c>
      <c r="CS332" s="20">
        <v>0</v>
      </c>
      <c r="CT332" s="20">
        <v>0</v>
      </c>
      <c r="CU332" s="20">
        <v>0</v>
      </c>
      <c r="CV332" s="20">
        <v>0</v>
      </c>
      <c r="CW332" s="20">
        <v>0</v>
      </c>
      <c r="CX332" s="20">
        <v>0</v>
      </c>
      <c r="CY332" s="20">
        <v>0</v>
      </c>
      <c r="CZ332" s="20">
        <v>0</v>
      </c>
      <c r="DA332" s="20">
        <v>0</v>
      </c>
      <c r="DB332" s="20">
        <v>0</v>
      </c>
      <c r="DC332" s="20">
        <v>0</v>
      </c>
      <c r="DD332" s="20">
        <v>0</v>
      </c>
      <c r="DE332" s="20">
        <v>0</v>
      </c>
      <c r="DF332" s="20">
        <v>0</v>
      </c>
      <c r="DG332" s="16">
        <f t="shared" si="29"/>
        <v>2.9724200490568475</v>
      </c>
      <c r="DH332" s="16">
        <f t="shared" si="30"/>
        <v>83.227761373591733</v>
      </c>
      <c r="DI332" s="17">
        <f t="shared" si="31"/>
        <v>28</v>
      </c>
      <c r="DJ332" s="119" t="s">
        <v>718</v>
      </c>
      <c r="DK332" s="44" t="s">
        <v>718</v>
      </c>
    </row>
    <row r="333" spans="1:117">
      <c r="A333" s="32" t="str">
        <f t="shared" si="27"/>
        <v>Essential (Original)--OTHER - PLEASE ADD A ROW IF NECESSARY AND NOMINATE THE CATEGORY</v>
      </c>
      <c r="B333" s="32" t="str">
        <f t="shared" si="28"/>
        <v>Essential (Original)</v>
      </c>
      <c r="C333" s="384"/>
      <c r="D333" s="14"/>
      <c r="E333" s="15" t="s">
        <v>170</v>
      </c>
      <c r="F333" s="18">
        <v>0</v>
      </c>
      <c r="G333" s="18">
        <v>0</v>
      </c>
      <c r="H333" s="20">
        <v>0</v>
      </c>
      <c r="I333" s="20">
        <v>0</v>
      </c>
      <c r="J333" s="20">
        <v>0</v>
      </c>
      <c r="K333" s="20">
        <v>0</v>
      </c>
      <c r="L333" s="20">
        <v>0</v>
      </c>
      <c r="M333" s="20">
        <v>0</v>
      </c>
      <c r="N333" s="20">
        <v>0</v>
      </c>
      <c r="O333" s="20">
        <v>0</v>
      </c>
      <c r="P333" s="20">
        <v>0</v>
      </c>
      <c r="Q333" s="20">
        <v>0</v>
      </c>
      <c r="R333" s="20">
        <v>0</v>
      </c>
      <c r="S333" s="20">
        <v>0</v>
      </c>
      <c r="T333" s="20">
        <v>0</v>
      </c>
      <c r="U333" s="20">
        <v>0</v>
      </c>
      <c r="V333" s="20">
        <v>0</v>
      </c>
      <c r="W333" s="20">
        <v>0</v>
      </c>
      <c r="X333" s="20">
        <v>0</v>
      </c>
      <c r="Y333" s="20">
        <v>0</v>
      </c>
      <c r="Z333" s="20">
        <v>0</v>
      </c>
      <c r="AA333" s="20">
        <v>0</v>
      </c>
      <c r="AB333" s="20">
        <v>0</v>
      </c>
      <c r="AC333" s="20">
        <v>0</v>
      </c>
      <c r="AD333" s="20">
        <v>0</v>
      </c>
      <c r="AE333" s="20">
        <v>0</v>
      </c>
      <c r="AF333" s="20">
        <v>0</v>
      </c>
      <c r="AG333" s="20">
        <v>0</v>
      </c>
      <c r="AH333" s="20">
        <v>0</v>
      </c>
      <c r="AI333" s="20">
        <v>0</v>
      </c>
      <c r="AJ333" s="20">
        <v>0</v>
      </c>
      <c r="AK333" s="20">
        <v>0</v>
      </c>
      <c r="AL333" s="20">
        <v>0</v>
      </c>
      <c r="AM333" s="20">
        <v>0</v>
      </c>
      <c r="AN333" s="20">
        <v>0</v>
      </c>
      <c r="AO333" s="20">
        <v>0</v>
      </c>
      <c r="AP333" s="20">
        <v>0</v>
      </c>
      <c r="AQ333" s="20">
        <v>0</v>
      </c>
      <c r="AR333" s="20">
        <v>0</v>
      </c>
      <c r="AS333" s="20">
        <v>0</v>
      </c>
      <c r="AT333" s="20">
        <v>0</v>
      </c>
      <c r="AU333" s="20">
        <v>0</v>
      </c>
      <c r="AV333" s="20">
        <v>0</v>
      </c>
      <c r="AW333" s="20">
        <v>0</v>
      </c>
      <c r="AX333" s="20">
        <v>0</v>
      </c>
      <c r="AY333" s="20">
        <v>0</v>
      </c>
      <c r="AZ333" s="20">
        <v>0</v>
      </c>
      <c r="BA333" s="20">
        <v>0</v>
      </c>
      <c r="BB333" s="20">
        <v>0</v>
      </c>
      <c r="BC333" s="20">
        <v>0</v>
      </c>
      <c r="BD333" s="20">
        <v>0</v>
      </c>
      <c r="BE333" s="20">
        <v>0</v>
      </c>
      <c r="BF333" s="20">
        <v>0</v>
      </c>
      <c r="BG333" s="20">
        <v>0</v>
      </c>
      <c r="BH333" s="20">
        <v>0</v>
      </c>
      <c r="BI333" s="20">
        <v>0</v>
      </c>
      <c r="BJ333" s="20">
        <v>0</v>
      </c>
      <c r="BK333" s="20">
        <v>0</v>
      </c>
      <c r="BL333" s="20">
        <v>0</v>
      </c>
      <c r="BM333" s="20">
        <v>0</v>
      </c>
      <c r="BN333" s="20">
        <v>0</v>
      </c>
      <c r="BO333" s="20">
        <v>0</v>
      </c>
      <c r="BP333" s="20">
        <v>0</v>
      </c>
      <c r="BQ333" s="20">
        <v>0</v>
      </c>
      <c r="BR333" s="20">
        <v>0</v>
      </c>
      <c r="BS333" s="20">
        <v>0</v>
      </c>
      <c r="BT333" s="20">
        <v>0</v>
      </c>
      <c r="BU333" s="20">
        <v>0</v>
      </c>
      <c r="BV333" s="20">
        <v>0</v>
      </c>
      <c r="BW333" s="20">
        <v>0</v>
      </c>
      <c r="BX333" s="20">
        <v>0</v>
      </c>
      <c r="BY333" s="20">
        <v>0</v>
      </c>
      <c r="BZ333" s="20">
        <v>0</v>
      </c>
      <c r="CA333" s="20">
        <v>0</v>
      </c>
      <c r="CB333" s="20">
        <v>0</v>
      </c>
      <c r="CC333" s="20">
        <v>0</v>
      </c>
      <c r="CD333" s="20">
        <v>0</v>
      </c>
      <c r="CE333" s="20">
        <v>0</v>
      </c>
      <c r="CF333" s="20">
        <v>0</v>
      </c>
      <c r="CG333" s="20">
        <v>0</v>
      </c>
      <c r="CH333" s="20">
        <v>0</v>
      </c>
      <c r="CI333" s="20">
        <v>0</v>
      </c>
      <c r="CJ333" s="20">
        <v>0</v>
      </c>
      <c r="CK333" s="20">
        <v>0</v>
      </c>
      <c r="CL333" s="20">
        <v>0</v>
      </c>
      <c r="CM333" s="20">
        <v>0</v>
      </c>
      <c r="CN333" s="20">
        <v>0</v>
      </c>
      <c r="CO333" s="20">
        <v>0</v>
      </c>
      <c r="CP333" s="20">
        <v>0</v>
      </c>
      <c r="CQ333" s="20">
        <v>0</v>
      </c>
      <c r="CR333" s="20">
        <v>0</v>
      </c>
      <c r="CS333" s="20">
        <v>0</v>
      </c>
      <c r="CT333" s="20">
        <v>0</v>
      </c>
      <c r="CU333" s="20">
        <v>0</v>
      </c>
      <c r="CV333" s="20">
        <v>0</v>
      </c>
      <c r="CW333" s="20">
        <v>0</v>
      </c>
      <c r="CX333" s="20">
        <v>0</v>
      </c>
      <c r="CY333" s="20">
        <v>0</v>
      </c>
      <c r="CZ333" s="20">
        <v>0</v>
      </c>
      <c r="DA333" s="20">
        <v>0</v>
      </c>
      <c r="DB333" s="20">
        <v>0</v>
      </c>
      <c r="DC333" s="20">
        <v>0</v>
      </c>
      <c r="DD333" s="20">
        <v>0</v>
      </c>
      <c r="DE333" s="20">
        <v>0</v>
      </c>
      <c r="DF333" s="20">
        <v>0</v>
      </c>
      <c r="DG333" s="16">
        <f t="shared" si="29"/>
        <v>0</v>
      </c>
      <c r="DH333" s="16">
        <f t="shared" si="30"/>
        <v>0</v>
      </c>
      <c r="DI333" s="17" t="str">
        <f t="shared" si="31"/>
        <v/>
      </c>
      <c r="DJ333" s="119" t="s">
        <v>718</v>
      </c>
      <c r="DK333" s="44" t="s">
        <v>718</v>
      </c>
    </row>
    <row r="334" spans="1:117" ht="30">
      <c r="A334" s="32" t="str">
        <f t="shared" si="27"/>
        <v>Essential (Original)-UNDERGROUND CABLES BY: 
HIGHEST OPERATING VOLTAGE-˂ = 1 kV</v>
      </c>
      <c r="B334" s="32" t="str">
        <f t="shared" si="28"/>
        <v>Essential (Original)</v>
      </c>
      <c r="C334" s="384"/>
      <c r="D334" s="14" t="s">
        <v>539</v>
      </c>
      <c r="E334" s="15" t="s">
        <v>171</v>
      </c>
      <c r="F334" s="18">
        <v>53.8</v>
      </c>
      <c r="G334" s="18">
        <v>7.334848328356899</v>
      </c>
      <c r="H334" s="20">
        <v>174.14862773305623</v>
      </c>
      <c r="I334" s="20">
        <v>222.5009505465629</v>
      </c>
      <c r="J334" s="20">
        <v>214.56457508105353</v>
      </c>
      <c r="K334" s="20">
        <v>214.04856667224476</v>
      </c>
      <c r="L334" s="20">
        <v>289.78815980629832</v>
      </c>
      <c r="M334" s="20">
        <v>313.88353237946922</v>
      </c>
      <c r="N334" s="20">
        <v>268.80844143078076</v>
      </c>
      <c r="O334" s="20">
        <v>364.43371606796467</v>
      </c>
      <c r="P334" s="20">
        <v>317.28102411976965</v>
      </c>
      <c r="Q334" s="20">
        <v>331.50974599474665</v>
      </c>
      <c r="R334" s="20">
        <v>205.93627522340392</v>
      </c>
      <c r="S334" s="20">
        <v>236.65451528776936</v>
      </c>
      <c r="T334" s="20">
        <v>121.46123827192963</v>
      </c>
      <c r="U334" s="20">
        <v>69.043209590404473</v>
      </c>
      <c r="V334" s="20">
        <v>55.437659479769067</v>
      </c>
      <c r="W334" s="20">
        <v>50.235091848874745</v>
      </c>
      <c r="X334" s="20">
        <v>41.295648436760018</v>
      </c>
      <c r="Y334" s="20">
        <v>51.675465422191849</v>
      </c>
      <c r="Z334" s="20">
        <v>55.071031065980421</v>
      </c>
      <c r="AA334" s="20">
        <v>61.121505817045417</v>
      </c>
      <c r="AB334" s="20">
        <v>71.288380856956948</v>
      </c>
      <c r="AC334" s="20">
        <v>78.588763109549006</v>
      </c>
      <c r="AD334" s="20">
        <v>88.076041884435185</v>
      </c>
      <c r="AE334" s="20">
        <v>72.601974488435488</v>
      </c>
      <c r="AF334" s="20">
        <v>65.694511633847711</v>
      </c>
      <c r="AG334" s="20">
        <v>32.637038034907036</v>
      </c>
      <c r="AH334" s="20">
        <v>41.448045856800164</v>
      </c>
      <c r="AI334" s="20">
        <v>57.953198066907404</v>
      </c>
      <c r="AJ334" s="20">
        <v>37.120409471331811</v>
      </c>
      <c r="AK334" s="20">
        <v>31.9232397418048</v>
      </c>
      <c r="AL334" s="20">
        <v>44.436407904204941</v>
      </c>
      <c r="AM334" s="20">
        <v>79.645824377127894</v>
      </c>
      <c r="AN334" s="20">
        <v>80.465860569678966</v>
      </c>
      <c r="AO334" s="20">
        <v>81.497683066321812</v>
      </c>
      <c r="AP334" s="20">
        <v>45.199838860332854</v>
      </c>
      <c r="AQ334" s="20">
        <v>49.092116626063472</v>
      </c>
      <c r="AR334" s="20">
        <v>52.015445284945898</v>
      </c>
      <c r="AS334" s="20">
        <v>48.228239848544831</v>
      </c>
      <c r="AT334" s="20">
        <v>55.880723830159305</v>
      </c>
      <c r="AU334" s="20">
        <v>43.479235910999968</v>
      </c>
      <c r="AV334" s="20">
        <v>27.579470172816734</v>
      </c>
      <c r="AW334" s="20">
        <v>23.352628551059205</v>
      </c>
      <c r="AX334" s="20">
        <v>29.279620703253794</v>
      </c>
      <c r="AY334" s="20">
        <v>44.410803423709595</v>
      </c>
      <c r="AZ334" s="20">
        <v>27.770069118209946</v>
      </c>
      <c r="BA334" s="20">
        <v>22.31908072840114</v>
      </c>
      <c r="BB334" s="20">
        <v>13.98673313816829</v>
      </c>
      <c r="BC334" s="20">
        <v>39.599555898168347</v>
      </c>
      <c r="BD334" s="20">
        <v>5.6390811306687016</v>
      </c>
      <c r="BE334" s="20">
        <v>3.8459969436399906</v>
      </c>
      <c r="BF334" s="20">
        <v>4.1421264403884175</v>
      </c>
      <c r="BG334" s="20">
        <v>2.8421216405677492</v>
      </c>
      <c r="BH334" s="20">
        <v>4.4955077589541412</v>
      </c>
      <c r="BI334" s="20">
        <v>14.326637508306803</v>
      </c>
      <c r="BJ334" s="20">
        <v>1.2446845335507339</v>
      </c>
      <c r="BK334" s="20">
        <v>0.57489191984987287</v>
      </c>
      <c r="BL334" s="20">
        <v>4.6806815937031985</v>
      </c>
      <c r="BM334" s="20">
        <v>1.0369084842815282</v>
      </c>
      <c r="BN334" s="20">
        <v>16.315761161121717</v>
      </c>
      <c r="BO334" s="20">
        <v>3.2832675859586335</v>
      </c>
      <c r="BP334" s="20">
        <v>0.49582986283220354</v>
      </c>
      <c r="BQ334" s="20">
        <v>1.9282114850369967</v>
      </c>
      <c r="BR334" s="20">
        <v>1.4560812972586756</v>
      </c>
      <c r="BS334" s="20">
        <v>13.225378806883267</v>
      </c>
      <c r="BT334" s="20">
        <v>3.4639053048011674</v>
      </c>
      <c r="BU334" s="20">
        <v>0.95799964629030854</v>
      </c>
      <c r="BV334" s="20">
        <v>4.7803520121208073E-2</v>
      </c>
      <c r="BW334" s="20">
        <v>0</v>
      </c>
      <c r="BX334" s="20">
        <v>0</v>
      </c>
      <c r="BY334" s="20">
        <v>0</v>
      </c>
      <c r="BZ334" s="20">
        <v>0</v>
      </c>
      <c r="CA334" s="20">
        <v>0.73477626620348957</v>
      </c>
      <c r="CB334" s="20">
        <v>0</v>
      </c>
      <c r="CC334" s="20">
        <v>1.0002275765959583</v>
      </c>
      <c r="CD334" s="20">
        <v>0</v>
      </c>
      <c r="CE334" s="20">
        <v>0</v>
      </c>
      <c r="CF334" s="20">
        <v>0</v>
      </c>
      <c r="CG334" s="20">
        <v>0</v>
      </c>
      <c r="CH334" s="20">
        <v>0</v>
      </c>
      <c r="CI334" s="20">
        <v>0</v>
      </c>
      <c r="CJ334" s="20">
        <v>0</v>
      </c>
      <c r="CK334" s="20">
        <v>0</v>
      </c>
      <c r="CL334" s="20">
        <v>0</v>
      </c>
      <c r="CM334" s="20">
        <v>6.015633422624133E-2</v>
      </c>
      <c r="CN334" s="20">
        <v>0</v>
      </c>
      <c r="CO334" s="20">
        <v>0</v>
      </c>
      <c r="CP334" s="20">
        <v>0</v>
      </c>
      <c r="CQ334" s="20">
        <v>0</v>
      </c>
      <c r="CR334" s="20">
        <v>0</v>
      </c>
      <c r="CS334" s="20">
        <v>0</v>
      </c>
      <c r="CT334" s="20">
        <v>0</v>
      </c>
      <c r="CU334" s="20">
        <v>0</v>
      </c>
      <c r="CV334" s="20">
        <v>0</v>
      </c>
      <c r="CW334" s="20">
        <v>0</v>
      </c>
      <c r="CX334" s="20">
        <v>0</v>
      </c>
      <c r="CY334" s="20">
        <v>0</v>
      </c>
      <c r="CZ334" s="20">
        <v>0</v>
      </c>
      <c r="DA334" s="20">
        <v>0</v>
      </c>
      <c r="DB334" s="20">
        <v>0</v>
      </c>
      <c r="DC334" s="20">
        <v>0</v>
      </c>
      <c r="DD334" s="20">
        <v>0</v>
      </c>
      <c r="DE334" s="20">
        <v>0</v>
      </c>
      <c r="DF334" s="20">
        <v>0</v>
      </c>
      <c r="DG334" s="16">
        <f t="shared" si="29"/>
        <v>5130.2679582344545</v>
      </c>
      <c r="DH334" s="16">
        <f t="shared" si="30"/>
        <v>79342.185290641137</v>
      </c>
      <c r="DI334" s="17">
        <f t="shared" si="31"/>
        <v>15.465505103547494</v>
      </c>
      <c r="DJ334" s="119" t="s">
        <v>572</v>
      </c>
      <c r="DK334" t="s">
        <v>572</v>
      </c>
    </row>
    <row r="335" spans="1:117">
      <c r="A335" s="32" t="str">
        <f t="shared" si="27"/>
        <v>Essential (Original)--&gt; 1 kV &amp; &lt; = 11 kV</v>
      </c>
      <c r="B335" s="32" t="str">
        <f t="shared" si="28"/>
        <v>Essential (Original)</v>
      </c>
      <c r="C335" s="384"/>
      <c r="D335" s="14"/>
      <c r="E335" s="15" t="s">
        <v>172</v>
      </c>
      <c r="F335" s="18">
        <v>53.8</v>
      </c>
      <c r="G335" s="18">
        <v>7.334848328356899</v>
      </c>
      <c r="H335" s="20">
        <v>153.71259764856967</v>
      </c>
      <c r="I335" s="20">
        <v>127.41396612808157</v>
      </c>
      <c r="J335" s="20">
        <v>115.26481525851301</v>
      </c>
      <c r="K335" s="20">
        <v>143.85468842888127</v>
      </c>
      <c r="L335" s="20">
        <v>181.12203019865194</v>
      </c>
      <c r="M335" s="20">
        <v>196.67219052828227</v>
      </c>
      <c r="N335" s="20">
        <v>152.23195080606766</v>
      </c>
      <c r="O335" s="20">
        <v>151.34256318692323</v>
      </c>
      <c r="P335" s="20">
        <v>136.02807914602673</v>
      </c>
      <c r="Q335" s="20">
        <v>114.1669407629538</v>
      </c>
      <c r="R335" s="20">
        <v>64.17722639783625</v>
      </c>
      <c r="S335" s="20">
        <v>83.657401778571952</v>
      </c>
      <c r="T335" s="20">
        <v>41.844017821542337</v>
      </c>
      <c r="U335" s="20">
        <v>34.586587204578777</v>
      </c>
      <c r="V335" s="20">
        <v>13.886122711037753</v>
      </c>
      <c r="W335" s="20">
        <v>5.4164142637631567</v>
      </c>
      <c r="X335" s="20">
        <v>8.4130153003482846</v>
      </c>
      <c r="Y335" s="20">
        <v>33.821187091834958</v>
      </c>
      <c r="Z335" s="20">
        <v>13.388945554659056</v>
      </c>
      <c r="AA335" s="20">
        <v>7.7205088974722749</v>
      </c>
      <c r="AB335" s="20">
        <v>10.677043305777776</v>
      </c>
      <c r="AC335" s="20">
        <v>9.1084028801906332</v>
      </c>
      <c r="AD335" s="20">
        <v>21.031601939994545</v>
      </c>
      <c r="AE335" s="20">
        <v>11.323213902743445</v>
      </c>
      <c r="AF335" s="20">
        <v>7.5202326066941643</v>
      </c>
      <c r="AG335" s="20">
        <v>5.807879216996092</v>
      </c>
      <c r="AH335" s="20">
        <v>3.9867150705219192</v>
      </c>
      <c r="AI335" s="20">
        <v>9.0686757559095028</v>
      </c>
      <c r="AJ335" s="20">
        <v>3.4625282787486427</v>
      </c>
      <c r="AK335" s="20">
        <v>9.7302404915687752</v>
      </c>
      <c r="AL335" s="20">
        <v>6.8404119780057933</v>
      </c>
      <c r="AM335" s="20">
        <v>8.0282786143774914</v>
      </c>
      <c r="AN335" s="20">
        <v>12.310495268416338</v>
      </c>
      <c r="AO335" s="20">
        <v>3.3245930125196228</v>
      </c>
      <c r="AP335" s="20">
        <v>2.6115476147708194</v>
      </c>
      <c r="AQ335" s="20">
        <v>4.081732319003665</v>
      </c>
      <c r="AR335" s="20">
        <v>4.6860126101191311</v>
      </c>
      <c r="AS335" s="20">
        <v>5.2094409178731897</v>
      </c>
      <c r="AT335" s="20">
        <v>5.9342664938371605</v>
      </c>
      <c r="AU335" s="20">
        <v>2.755663618260245</v>
      </c>
      <c r="AV335" s="20">
        <v>4.4953115448861833</v>
      </c>
      <c r="AW335" s="20">
        <v>0.4958677227929682</v>
      </c>
      <c r="AX335" s="20">
        <v>1.2032423667792571</v>
      </c>
      <c r="AY335" s="20">
        <v>2.3409630225416187</v>
      </c>
      <c r="AZ335" s="20">
        <v>9.7924585631368419</v>
      </c>
      <c r="BA335" s="20">
        <v>6.0845430439309212</v>
      </c>
      <c r="BB335" s="20">
        <v>0.34884394884039116</v>
      </c>
      <c r="BC335" s="20">
        <v>7.1320836426325904E-2</v>
      </c>
      <c r="BD335" s="20">
        <v>0</v>
      </c>
      <c r="BE335" s="20">
        <v>0</v>
      </c>
      <c r="BF335" s="20">
        <v>4.8895425859241688E-3</v>
      </c>
      <c r="BG335" s="20">
        <v>0</v>
      </c>
      <c r="BH335" s="20">
        <v>0</v>
      </c>
      <c r="BI335" s="20">
        <v>8.9435139284606391E-2</v>
      </c>
      <c r="BJ335" s="20">
        <v>0</v>
      </c>
      <c r="BK335" s="20">
        <v>0</v>
      </c>
      <c r="BL335" s="20">
        <v>0</v>
      </c>
      <c r="BM335" s="20">
        <v>0</v>
      </c>
      <c r="BN335" s="20">
        <v>1.1950979816026477</v>
      </c>
      <c r="BO335" s="20">
        <v>0</v>
      </c>
      <c r="BP335" s="20">
        <v>0</v>
      </c>
      <c r="BQ335" s="20">
        <v>0</v>
      </c>
      <c r="BR335" s="20">
        <v>2.1002941267848141</v>
      </c>
      <c r="BS335" s="20">
        <v>0.78920256327904725</v>
      </c>
      <c r="BT335" s="20">
        <v>0</v>
      </c>
      <c r="BU335" s="20">
        <v>0</v>
      </c>
      <c r="BV335" s="20">
        <v>0</v>
      </c>
      <c r="BW335" s="20">
        <v>0</v>
      </c>
      <c r="BX335" s="20">
        <v>0</v>
      </c>
      <c r="BY335" s="20">
        <v>0</v>
      </c>
      <c r="BZ335" s="20">
        <v>0</v>
      </c>
      <c r="CA335" s="20">
        <v>0</v>
      </c>
      <c r="CB335" s="20">
        <v>6.8517733885850543E-2</v>
      </c>
      <c r="CC335" s="20">
        <v>0</v>
      </c>
      <c r="CD335" s="20">
        <v>0</v>
      </c>
      <c r="CE335" s="20">
        <v>0</v>
      </c>
      <c r="CF335" s="20">
        <v>0.22878849274398039</v>
      </c>
      <c r="CG335" s="20">
        <v>0</v>
      </c>
      <c r="CH335" s="20">
        <v>0</v>
      </c>
      <c r="CI335" s="20">
        <v>0</v>
      </c>
      <c r="CJ335" s="20">
        <v>0</v>
      </c>
      <c r="CK335" s="20">
        <v>0</v>
      </c>
      <c r="CL335" s="20">
        <v>0</v>
      </c>
      <c r="CM335" s="20">
        <v>0</v>
      </c>
      <c r="CN335" s="20">
        <v>0</v>
      </c>
      <c r="CO335" s="20">
        <v>0</v>
      </c>
      <c r="CP335" s="20">
        <v>0</v>
      </c>
      <c r="CQ335" s="20">
        <v>0</v>
      </c>
      <c r="CR335" s="20">
        <v>0</v>
      </c>
      <c r="CS335" s="20">
        <v>0</v>
      </c>
      <c r="CT335" s="20">
        <v>0</v>
      </c>
      <c r="CU335" s="20">
        <v>0</v>
      </c>
      <c r="CV335" s="20">
        <v>0</v>
      </c>
      <c r="CW335" s="20">
        <v>0</v>
      </c>
      <c r="CX335" s="20">
        <v>0</v>
      </c>
      <c r="CY335" s="20">
        <v>0</v>
      </c>
      <c r="CZ335" s="20">
        <v>0</v>
      </c>
      <c r="DA335" s="20">
        <v>0</v>
      </c>
      <c r="DB335" s="20">
        <v>0</v>
      </c>
      <c r="DC335" s="20">
        <v>0</v>
      </c>
      <c r="DD335" s="20">
        <v>0</v>
      </c>
      <c r="DE335" s="20">
        <v>0</v>
      </c>
      <c r="DF335" s="20">
        <v>0</v>
      </c>
      <c r="DG335" s="16">
        <f t="shared" si="29"/>
        <v>1955.5290016404265</v>
      </c>
      <c r="DH335" s="16">
        <f t="shared" si="30"/>
        <v>17845.116721750535</v>
      </c>
      <c r="DI335" s="17">
        <f t="shared" si="31"/>
        <v>9.1254676902162419</v>
      </c>
      <c r="DJ335" s="119" t="s">
        <v>572</v>
      </c>
      <c r="DK335" s="44" t="s">
        <v>572</v>
      </c>
    </row>
    <row r="336" spans="1:117">
      <c r="A336" s="32" t="str">
        <f t="shared" si="27"/>
        <v>Essential (Original)--&gt; 11 kV &amp; &lt; = 22 kV</v>
      </c>
      <c r="B336" s="32" t="str">
        <f t="shared" si="28"/>
        <v>Essential (Original)</v>
      </c>
      <c r="C336" s="384"/>
      <c r="D336" s="14"/>
      <c r="E336" s="15" t="s">
        <v>181</v>
      </c>
      <c r="F336" s="18">
        <v>53.8</v>
      </c>
      <c r="G336" s="18">
        <v>7.334848328356899</v>
      </c>
      <c r="H336" s="20">
        <v>19.847112380814185</v>
      </c>
      <c r="I336" s="20">
        <v>21.387333221585351</v>
      </c>
      <c r="J336" s="20">
        <v>9.8313996884586903</v>
      </c>
      <c r="K336" s="20">
        <v>15.304165957581674</v>
      </c>
      <c r="L336" s="20">
        <v>29.3359194404247</v>
      </c>
      <c r="M336" s="20">
        <v>24.946304329456247</v>
      </c>
      <c r="N336" s="20">
        <v>28.391935520464802</v>
      </c>
      <c r="O336" s="20">
        <v>38.280184947898491</v>
      </c>
      <c r="P336" s="20">
        <v>40.637857702037294</v>
      </c>
      <c r="Q336" s="20">
        <v>7.8835687922269555</v>
      </c>
      <c r="R336" s="20">
        <v>4.2237829725454468</v>
      </c>
      <c r="S336" s="20">
        <v>3.148427367595203</v>
      </c>
      <c r="T336" s="20">
        <v>1.8886575035253355</v>
      </c>
      <c r="U336" s="20">
        <v>5.7848121767474332</v>
      </c>
      <c r="V336" s="20">
        <v>2.2449051524928314</v>
      </c>
      <c r="W336" s="20">
        <v>0.49460723342443602</v>
      </c>
      <c r="X336" s="20">
        <v>1.6079824655061914</v>
      </c>
      <c r="Y336" s="20">
        <v>0.46214549487037593</v>
      </c>
      <c r="Z336" s="20">
        <v>19.222780573173448</v>
      </c>
      <c r="AA336" s="20">
        <v>1.8373928608633852</v>
      </c>
      <c r="AB336" s="20">
        <v>0.59564307995323484</v>
      </c>
      <c r="AC336" s="20">
        <v>2.0560823271954649</v>
      </c>
      <c r="AD336" s="20">
        <v>4.4133921499543138</v>
      </c>
      <c r="AE336" s="20">
        <v>8.917875059987427</v>
      </c>
      <c r="AF336" s="20">
        <v>1.0858188873414214</v>
      </c>
      <c r="AG336" s="20">
        <v>0.78545138788555902</v>
      </c>
      <c r="AH336" s="20">
        <v>1.2821248452385259</v>
      </c>
      <c r="AI336" s="20">
        <v>0.36752774166705149</v>
      </c>
      <c r="AJ336" s="20">
        <v>0.19004130918412615</v>
      </c>
      <c r="AK336" s="20">
        <v>0.77227773123972265</v>
      </c>
      <c r="AL336" s="20">
        <v>8.682127986644976E-2</v>
      </c>
      <c r="AM336" s="20">
        <v>0.78729061647649068</v>
      </c>
      <c r="AN336" s="20">
        <v>1.0073117472442497</v>
      </c>
      <c r="AO336" s="20">
        <v>1.0807694067579696</v>
      </c>
      <c r="AP336" s="20">
        <v>0.31613962228404208</v>
      </c>
      <c r="AQ336" s="20">
        <v>1.0400187767001186</v>
      </c>
      <c r="AR336" s="20">
        <v>1.2216676598918235</v>
      </c>
      <c r="AS336" s="20">
        <v>0.6388084481795534</v>
      </c>
      <c r="AT336" s="20">
        <v>0.11829236207084531</v>
      </c>
      <c r="AU336" s="20">
        <v>2.474957068251828</v>
      </c>
      <c r="AV336" s="20">
        <v>0.13320291882417951</v>
      </c>
      <c r="AW336" s="20">
        <v>0</v>
      </c>
      <c r="AX336" s="20">
        <v>3.0160871830646432E-2</v>
      </c>
      <c r="AY336" s="20">
        <v>4.2801224580503706E-2</v>
      </c>
      <c r="AZ336" s="20">
        <v>0</v>
      </c>
      <c r="BA336" s="20">
        <v>7.7894768713804519E-2</v>
      </c>
      <c r="BB336" s="20">
        <v>0</v>
      </c>
      <c r="BC336" s="20">
        <v>3.2419193221397565E-3</v>
      </c>
      <c r="BD336" s="20">
        <v>2.8257947291922596E-2</v>
      </c>
      <c r="BE336" s="20">
        <v>0</v>
      </c>
      <c r="BF336" s="20">
        <v>0</v>
      </c>
      <c r="BG336" s="20">
        <v>0</v>
      </c>
      <c r="BH336" s="20">
        <v>0</v>
      </c>
      <c r="BI336" s="20">
        <v>6.0608039543445218E-3</v>
      </c>
      <c r="BJ336" s="20">
        <v>0</v>
      </c>
      <c r="BK336" s="20">
        <v>0</v>
      </c>
      <c r="BL336" s="20">
        <v>0</v>
      </c>
      <c r="BM336" s="20">
        <v>0</v>
      </c>
      <c r="BN336" s="20">
        <v>0</v>
      </c>
      <c r="BO336" s="20">
        <v>0</v>
      </c>
      <c r="BP336" s="20">
        <v>0</v>
      </c>
      <c r="BQ336" s="20">
        <v>0</v>
      </c>
      <c r="BR336" s="20">
        <v>0</v>
      </c>
      <c r="BS336" s="20">
        <v>0</v>
      </c>
      <c r="BT336" s="20">
        <v>0</v>
      </c>
      <c r="BU336" s="20">
        <v>0</v>
      </c>
      <c r="BV336" s="20">
        <v>0</v>
      </c>
      <c r="BW336" s="20">
        <v>0</v>
      </c>
      <c r="BX336" s="20">
        <v>0</v>
      </c>
      <c r="BY336" s="20">
        <v>0</v>
      </c>
      <c r="BZ336" s="20">
        <v>0</v>
      </c>
      <c r="CA336" s="20">
        <v>0</v>
      </c>
      <c r="CB336" s="20">
        <v>0</v>
      </c>
      <c r="CC336" s="20">
        <v>0</v>
      </c>
      <c r="CD336" s="20">
        <v>0</v>
      </c>
      <c r="CE336" s="20">
        <v>0</v>
      </c>
      <c r="CF336" s="20">
        <v>0</v>
      </c>
      <c r="CG336" s="20">
        <v>0</v>
      </c>
      <c r="CH336" s="20">
        <v>0</v>
      </c>
      <c r="CI336" s="20">
        <v>0</v>
      </c>
      <c r="CJ336" s="20">
        <v>0</v>
      </c>
      <c r="CK336" s="20">
        <v>0</v>
      </c>
      <c r="CL336" s="20">
        <v>0</v>
      </c>
      <c r="CM336" s="20">
        <v>0</v>
      </c>
      <c r="CN336" s="20">
        <v>0</v>
      </c>
      <c r="CO336" s="20">
        <v>0</v>
      </c>
      <c r="CP336" s="20">
        <v>0</v>
      </c>
      <c r="CQ336" s="20">
        <v>0</v>
      </c>
      <c r="CR336" s="20">
        <v>0</v>
      </c>
      <c r="CS336" s="20">
        <v>0</v>
      </c>
      <c r="CT336" s="20">
        <v>0</v>
      </c>
      <c r="CU336" s="20">
        <v>0</v>
      </c>
      <c r="CV336" s="20">
        <v>0</v>
      </c>
      <c r="CW336" s="20">
        <v>0</v>
      </c>
      <c r="CX336" s="20">
        <v>0</v>
      </c>
      <c r="CY336" s="20">
        <v>0</v>
      </c>
      <c r="CZ336" s="20">
        <v>0</v>
      </c>
      <c r="DA336" s="20">
        <v>0</v>
      </c>
      <c r="DB336" s="20">
        <v>0</v>
      </c>
      <c r="DC336" s="20">
        <v>0</v>
      </c>
      <c r="DD336" s="20">
        <v>0</v>
      </c>
      <c r="DE336" s="20">
        <v>0</v>
      </c>
      <c r="DF336" s="20">
        <v>0</v>
      </c>
      <c r="DG336" s="16">
        <f t="shared" si="29"/>
        <v>306.3212077435802</v>
      </c>
      <c r="DH336" s="16">
        <f t="shared" si="30"/>
        <v>2896.2487482641541</v>
      </c>
      <c r="DI336" s="17">
        <f t="shared" si="31"/>
        <v>9.4549403536192251</v>
      </c>
      <c r="DJ336" s="119" t="s">
        <v>572</v>
      </c>
      <c r="DK336" s="44" t="s">
        <v>572</v>
      </c>
    </row>
    <row r="337" spans="1:115">
      <c r="A337" s="32" t="str">
        <f t="shared" si="27"/>
        <v>Essential (Original)--&gt; 22 kV &amp; &lt; = 33 kV</v>
      </c>
      <c r="B337" s="32" t="str">
        <f t="shared" si="28"/>
        <v>Essential (Original)</v>
      </c>
      <c r="C337" s="384"/>
      <c r="D337" s="14"/>
      <c r="E337" s="15" t="s">
        <v>182</v>
      </c>
      <c r="F337" s="18">
        <v>54.9</v>
      </c>
      <c r="G337" s="18">
        <v>7.4094534211370817</v>
      </c>
      <c r="H337" s="20">
        <v>0.70447516206646621</v>
      </c>
      <c r="I337" s="20">
        <v>0.97290545623805058</v>
      </c>
      <c r="J337" s="20">
        <v>0.47375007679662806</v>
      </c>
      <c r="K337" s="20">
        <v>3.0159504431774038</v>
      </c>
      <c r="L337" s="20">
        <v>1.3090361474662524</v>
      </c>
      <c r="M337" s="20">
        <v>1.5066241634601052</v>
      </c>
      <c r="N337" s="20">
        <v>0.64443942590578884</v>
      </c>
      <c r="O337" s="20">
        <v>6.0830986264204725</v>
      </c>
      <c r="P337" s="20">
        <v>0.86805633916370628</v>
      </c>
      <c r="Q337" s="20">
        <v>0</v>
      </c>
      <c r="R337" s="20">
        <v>1.1984838245367375</v>
      </c>
      <c r="S337" s="20">
        <v>14.946376065013302</v>
      </c>
      <c r="T337" s="20">
        <v>0</v>
      </c>
      <c r="U337" s="20">
        <v>0.10886737506276643</v>
      </c>
      <c r="V337" s="20">
        <v>0</v>
      </c>
      <c r="W337" s="20">
        <v>0</v>
      </c>
      <c r="X337" s="20">
        <v>0</v>
      </c>
      <c r="Y337" s="20">
        <v>3.7699231978652992</v>
      </c>
      <c r="Z337" s="20">
        <v>4.0484817552491233E-2</v>
      </c>
      <c r="AA337" s="20">
        <v>6.5275734357391577E-2</v>
      </c>
      <c r="AB337" s="20">
        <v>0</v>
      </c>
      <c r="AC337" s="20">
        <v>0</v>
      </c>
      <c r="AD337" s="20">
        <v>0</v>
      </c>
      <c r="AE337" s="20">
        <v>0</v>
      </c>
      <c r="AF337" s="20">
        <v>0</v>
      </c>
      <c r="AG337" s="20">
        <v>0</v>
      </c>
      <c r="AH337" s="20">
        <v>0</v>
      </c>
      <c r="AI337" s="20">
        <v>7.2997859757245793</v>
      </c>
      <c r="AJ337" s="20">
        <v>3.1100204574230901</v>
      </c>
      <c r="AK337" s="20">
        <v>0</v>
      </c>
      <c r="AL337" s="20">
        <v>0</v>
      </c>
      <c r="AM337" s="20">
        <v>4.366271015817054E-2</v>
      </c>
      <c r="AN337" s="20">
        <v>0</v>
      </c>
      <c r="AO337" s="20">
        <v>0.27389724045364039</v>
      </c>
      <c r="AP337" s="20">
        <v>0</v>
      </c>
      <c r="AQ337" s="20">
        <v>0</v>
      </c>
      <c r="AR337" s="20">
        <v>0</v>
      </c>
      <c r="AS337" s="20">
        <v>0</v>
      </c>
      <c r="AT337" s="20">
        <v>0</v>
      </c>
      <c r="AU337" s="20">
        <v>0</v>
      </c>
      <c r="AV337" s="20">
        <v>0</v>
      </c>
      <c r="AW337" s="20">
        <v>0</v>
      </c>
      <c r="AX337" s="20">
        <v>0</v>
      </c>
      <c r="AY337" s="20">
        <v>7.6690274646908321E-2</v>
      </c>
      <c r="AZ337" s="20">
        <v>0</v>
      </c>
      <c r="BA337" s="20">
        <v>0</v>
      </c>
      <c r="BB337" s="20">
        <v>0</v>
      </c>
      <c r="BC337" s="20">
        <v>0</v>
      </c>
      <c r="BD337" s="20">
        <v>0</v>
      </c>
      <c r="BE337" s="20">
        <v>1.2419073275974215</v>
      </c>
      <c r="BF337" s="20">
        <v>0</v>
      </c>
      <c r="BG337" s="20">
        <v>0.11202122418505393</v>
      </c>
      <c r="BH337" s="20">
        <v>0</v>
      </c>
      <c r="BI337" s="20">
        <v>0</v>
      </c>
      <c r="BJ337" s="20">
        <v>0</v>
      </c>
      <c r="BK337" s="20">
        <v>0</v>
      </c>
      <c r="BL337" s="20">
        <v>0</v>
      </c>
      <c r="BM337" s="20">
        <v>0</v>
      </c>
      <c r="BN337" s="20">
        <v>0</v>
      </c>
      <c r="BO337" s="20">
        <v>0</v>
      </c>
      <c r="BP337" s="20">
        <v>0</v>
      </c>
      <c r="BQ337" s="20">
        <v>0</v>
      </c>
      <c r="BR337" s="20">
        <v>0</v>
      </c>
      <c r="BS337" s="20">
        <v>0</v>
      </c>
      <c r="BT337" s="20">
        <v>0</v>
      </c>
      <c r="BU337" s="20">
        <v>0</v>
      </c>
      <c r="BV337" s="20">
        <v>0</v>
      </c>
      <c r="BW337" s="20">
        <v>0</v>
      </c>
      <c r="BX337" s="20">
        <v>0</v>
      </c>
      <c r="BY337" s="20">
        <v>0</v>
      </c>
      <c r="BZ337" s="20">
        <v>0</v>
      </c>
      <c r="CA337" s="20">
        <v>0</v>
      </c>
      <c r="CB337" s="20">
        <v>0</v>
      </c>
      <c r="CC337" s="20">
        <v>0</v>
      </c>
      <c r="CD337" s="20">
        <v>0</v>
      </c>
      <c r="CE337" s="20">
        <v>0</v>
      </c>
      <c r="CF337" s="20">
        <v>0</v>
      </c>
      <c r="CG337" s="20">
        <v>0</v>
      </c>
      <c r="CH337" s="20">
        <v>0</v>
      </c>
      <c r="CI337" s="20">
        <v>0</v>
      </c>
      <c r="CJ337" s="20">
        <v>0</v>
      </c>
      <c r="CK337" s="20">
        <v>0</v>
      </c>
      <c r="CL337" s="20">
        <v>0</v>
      </c>
      <c r="CM337" s="20">
        <v>0</v>
      </c>
      <c r="CN337" s="20">
        <v>0</v>
      </c>
      <c r="CO337" s="20">
        <v>0</v>
      </c>
      <c r="CP337" s="20">
        <v>0</v>
      </c>
      <c r="CQ337" s="20">
        <v>0</v>
      </c>
      <c r="CR337" s="20">
        <v>0</v>
      </c>
      <c r="CS337" s="20">
        <v>0</v>
      </c>
      <c r="CT337" s="20">
        <v>0</v>
      </c>
      <c r="CU337" s="20">
        <v>0</v>
      </c>
      <c r="CV337" s="20">
        <v>0</v>
      </c>
      <c r="CW337" s="20">
        <v>0</v>
      </c>
      <c r="CX337" s="20">
        <v>0</v>
      </c>
      <c r="CY337" s="20">
        <v>0</v>
      </c>
      <c r="CZ337" s="20">
        <v>0</v>
      </c>
      <c r="DA337" s="20">
        <v>0</v>
      </c>
      <c r="DB337" s="20">
        <v>0</v>
      </c>
      <c r="DC337" s="20">
        <v>0</v>
      </c>
      <c r="DD337" s="20">
        <v>0</v>
      </c>
      <c r="DE337" s="20">
        <v>0</v>
      </c>
      <c r="DF337" s="20">
        <v>0</v>
      </c>
      <c r="DG337" s="16">
        <f t="shared" si="29"/>
        <v>47.865732065271736</v>
      </c>
      <c r="DH337" s="16">
        <f t="shared" si="30"/>
        <v>733.29511333207552</v>
      </c>
      <c r="DI337" s="17">
        <f t="shared" si="31"/>
        <v>15.319834915135598</v>
      </c>
      <c r="DJ337" s="119" t="s">
        <v>572</v>
      </c>
      <c r="DK337" s="44" t="s">
        <v>572</v>
      </c>
    </row>
    <row r="338" spans="1:115">
      <c r="A338" s="32" t="str">
        <f t="shared" si="27"/>
        <v>Essential (Original)--&gt; 33 kV &amp; &lt; = 66 kV</v>
      </c>
      <c r="B338" s="32" t="str">
        <f t="shared" si="28"/>
        <v>Essential (Original)</v>
      </c>
      <c r="C338" s="384"/>
      <c r="D338" s="14"/>
      <c r="E338" s="15" t="s">
        <v>183</v>
      </c>
      <c r="F338" s="18">
        <v>54.9</v>
      </c>
      <c r="G338" s="18">
        <v>7.4094534211370817</v>
      </c>
      <c r="H338" s="20">
        <v>0.87222202875616628</v>
      </c>
      <c r="I338" s="20">
        <v>0.32248848267982488</v>
      </c>
      <c r="J338" s="20">
        <v>2.9198157119534365</v>
      </c>
      <c r="K338" s="20">
        <v>4.5675659594117635</v>
      </c>
      <c r="L338" s="20">
        <v>2.6458586327032569</v>
      </c>
      <c r="M338" s="20">
        <v>1.8112031540344213</v>
      </c>
      <c r="N338" s="20">
        <v>2.7262631939925184</v>
      </c>
      <c r="O338" s="20">
        <v>1.56716117779126</v>
      </c>
      <c r="P338" s="20">
        <v>0.22129051762295454</v>
      </c>
      <c r="Q338" s="20">
        <v>2.645110732435576</v>
      </c>
      <c r="R338" s="20">
        <v>0.26240634446817385</v>
      </c>
      <c r="S338" s="20">
        <v>0.95848834163951135</v>
      </c>
      <c r="T338" s="20">
        <v>0</v>
      </c>
      <c r="U338" s="20">
        <v>0</v>
      </c>
      <c r="V338" s="20">
        <v>0</v>
      </c>
      <c r="W338" s="20">
        <v>0</v>
      </c>
      <c r="X338" s="20">
        <v>0</v>
      </c>
      <c r="Y338" s="20">
        <v>0</v>
      </c>
      <c r="Z338" s="20">
        <v>0</v>
      </c>
      <c r="AA338" s="20">
        <v>0</v>
      </c>
      <c r="AB338" s="20">
        <v>0</v>
      </c>
      <c r="AC338" s="20">
        <v>0</v>
      </c>
      <c r="AD338" s="20">
        <v>0</v>
      </c>
      <c r="AE338" s="20">
        <v>0</v>
      </c>
      <c r="AF338" s="20">
        <v>0</v>
      </c>
      <c r="AG338" s="20">
        <v>0</v>
      </c>
      <c r="AH338" s="20">
        <v>0</v>
      </c>
      <c r="AI338" s="20">
        <v>0</v>
      </c>
      <c r="AJ338" s="20">
        <v>0</v>
      </c>
      <c r="AK338" s="20">
        <v>0</v>
      </c>
      <c r="AL338" s="20">
        <v>0</v>
      </c>
      <c r="AM338" s="20">
        <v>0</v>
      </c>
      <c r="AN338" s="20">
        <v>0</v>
      </c>
      <c r="AO338" s="20">
        <v>0</v>
      </c>
      <c r="AP338" s="20">
        <v>0.13795496322556311</v>
      </c>
      <c r="AQ338" s="20">
        <v>0</v>
      </c>
      <c r="AR338" s="20">
        <v>0</v>
      </c>
      <c r="AS338" s="20">
        <v>0</v>
      </c>
      <c r="AT338" s="20">
        <v>0.5737899904928353</v>
      </c>
      <c r="AU338" s="20">
        <v>0</v>
      </c>
      <c r="AV338" s="20">
        <v>0</v>
      </c>
      <c r="AW338" s="20">
        <v>0</v>
      </c>
      <c r="AX338" s="20">
        <v>0</v>
      </c>
      <c r="AY338" s="20">
        <v>0</v>
      </c>
      <c r="AZ338" s="20">
        <v>0</v>
      </c>
      <c r="BA338" s="20">
        <v>0</v>
      </c>
      <c r="BB338" s="20">
        <v>0</v>
      </c>
      <c r="BC338" s="20">
        <v>0</v>
      </c>
      <c r="BD338" s="20">
        <v>0.51873581243580369</v>
      </c>
      <c r="BE338" s="20">
        <v>0</v>
      </c>
      <c r="BF338" s="20">
        <v>0</v>
      </c>
      <c r="BG338" s="20">
        <v>0</v>
      </c>
      <c r="BH338" s="20">
        <v>0</v>
      </c>
      <c r="BI338" s="20">
        <v>0</v>
      </c>
      <c r="BJ338" s="20">
        <v>0</v>
      </c>
      <c r="BK338" s="20">
        <v>0</v>
      </c>
      <c r="BL338" s="20">
        <v>0</v>
      </c>
      <c r="BM338" s="20">
        <v>0</v>
      </c>
      <c r="BN338" s="20">
        <v>0</v>
      </c>
      <c r="BO338" s="20">
        <v>0</v>
      </c>
      <c r="BP338" s="20">
        <v>0</v>
      </c>
      <c r="BQ338" s="20">
        <v>0</v>
      </c>
      <c r="BR338" s="20">
        <v>0</v>
      </c>
      <c r="BS338" s="20">
        <v>0.29697716471837377</v>
      </c>
      <c r="BT338" s="20">
        <v>0</v>
      </c>
      <c r="BU338" s="20">
        <v>0</v>
      </c>
      <c r="BV338" s="20">
        <v>0</v>
      </c>
      <c r="BW338" s="20">
        <v>0</v>
      </c>
      <c r="BX338" s="20">
        <v>0</v>
      </c>
      <c r="BY338" s="20">
        <v>0</v>
      </c>
      <c r="BZ338" s="20">
        <v>0</v>
      </c>
      <c r="CA338" s="20">
        <v>0</v>
      </c>
      <c r="CB338" s="20">
        <v>0</v>
      </c>
      <c r="CC338" s="20">
        <v>0</v>
      </c>
      <c r="CD338" s="20">
        <v>0</v>
      </c>
      <c r="CE338" s="20">
        <v>0</v>
      </c>
      <c r="CF338" s="20">
        <v>0</v>
      </c>
      <c r="CG338" s="20">
        <v>0</v>
      </c>
      <c r="CH338" s="20">
        <v>0</v>
      </c>
      <c r="CI338" s="20">
        <v>0</v>
      </c>
      <c r="CJ338" s="20">
        <v>0</v>
      </c>
      <c r="CK338" s="20">
        <v>0</v>
      </c>
      <c r="CL338" s="20">
        <v>0</v>
      </c>
      <c r="CM338" s="20">
        <v>0</v>
      </c>
      <c r="CN338" s="20">
        <v>0</v>
      </c>
      <c r="CO338" s="20">
        <v>0</v>
      </c>
      <c r="CP338" s="20">
        <v>0</v>
      </c>
      <c r="CQ338" s="20">
        <v>0</v>
      </c>
      <c r="CR338" s="20">
        <v>0</v>
      </c>
      <c r="CS338" s="20">
        <v>0</v>
      </c>
      <c r="CT338" s="20">
        <v>0</v>
      </c>
      <c r="CU338" s="20">
        <v>0</v>
      </c>
      <c r="CV338" s="20">
        <v>0</v>
      </c>
      <c r="CW338" s="20">
        <v>0</v>
      </c>
      <c r="CX338" s="20">
        <v>0</v>
      </c>
      <c r="CY338" s="20">
        <v>0</v>
      </c>
      <c r="CZ338" s="20">
        <v>0</v>
      </c>
      <c r="DA338" s="20">
        <v>0</v>
      </c>
      <c r="DB338" s="20">
        <v>0</v>
      </c>
      <c r="DC338" s="20">
        <v>0</v>
      </c>
      <c r="DD338" s="20">
        <v>0</v>
      </c>
      <c r="DE338" s="20">
        <v>0</v>
      </c>
      <c r="DF338" s="20">
        <v>0</v>
      </c>
      <c r="DG338" s="16">
        <f t="shared" si="29"/>
        <v>23.047332208361443</v>
      </c>
      <c r="DH338" s="16">
        <f t="shared" si="30"/>
        <v>198.72643240085566</v>
      </c>
      <c r="DI338" s="17">
        <f t="shared" si="31"/>
        <v>8.6225351639075534</v>
      </c>
      <c r="DJ338" s="119" t="s">
        <v>572</v>
      </c>
      <c r="DK338" s="44" t="s">
        <v>572</v>
      </c>
    </row>
    <row r="339" spans="1:115">
      <c r="A339" s="32" t="str">
        <f t="shared" si="27"/>
        <v>Essential (Original)--&gt; 66 kV &amp; &lt; = 132 kV</v>
      </c>
      <c r="B339" s="32" t="str">
        <f t="shared" si="28"/>
        <v>Essential (Original)</v>
      </c>
      <c r="C339" s="384"/>
      <c r="D339" s="14"/>
      <c r="E339" s="15" t="s">
        <v>175</v>
      </c>
      <c r="F339" s="18">
        <v>54.9</v>
      </c>
      <c r="G339" s="18">
        <v>7.4094534211370817</v>
      </c>
      <c r="H339" s="20">
        <v>2.580479940140235</v>
      </c>
      <c r="I339" s="20">
        <v>0</v>
      </c>
      <c r="J339" s="20">
        <v>0</v>
      </c>
      <c r="K339" s="20">
        <v>0</v>
      </c>
      <c r="L339" s="20">
        <v>0</v>
      </c>
      <c r="M339" s="20">
        <v>0</v>
      </c>
      <c r="N339" s="20">
        <v>0</v>
      </c>
      <c r="O339" s="20">
        <v>0</v>
      </c>
      <c r="P339" s="20">
        <v>0</v>
      </c>
      <c r="Q339" s="20">
        <v>0</v>
      </c>
      <c r="R339" s="20">
        <v>0</v>
      </c>
      <c r="S339" s="20">
        <v>0</v>
      </c>
      <c r="T339" s="20">
        <v>0</v>
      </c>
      <c r="U339" s="20">
        <v>0</v>
      </c>
      <c r="V339" s="20">
        <v>0</v>
      </c>
      <c r="W339" s="20">
        <v>0</v>
      </c>
      <c r="X339" s="20">
        <v>1.9986781854727342</v>
      </c>
      <c r="Y339" s="20">
        <v>0</v>
      </c>
      <c r="Z339" s="20">
        <v>0</v>
      </c>
      <c r="AA339" s="20">
        <v>0</v>
      </c>
      <c r="AB339" s="20">
        <v>0</v>
      </c>
      <c r="AC339" s="20">
        <v>0</v>
      </c>
      <c r="AD339" s="20">
        <v>0</v>
      </c>
      <c r="AE339" s="20">
        <v>0</v>
      </c>
      <c r="AF339" s="20">
        <v>0</v>
      </c>
      <c r="AG339" s="20">
        <v>0</v>
      </c>
      <c r="AH339" s="20">
        <v>0</v>
      </c>
      <c r="AI339" s="20">
        <v>0</v>
      </c>
      <c r="AJ339" s="20">
        <v>0</v>
      </c>
      <c r="AK339" s="20">
        <v>0</v>
      </c>
      <c r="AL339" s="20">
        <v>0</v>
      </c>
      <c r="AM339" s="20">
        <v>0</v>
      </c>
      <c r="AN339" s="20">
        <v>0</v>
      </c>
      <c r="AO339" s="20">
        <v>0</v>
      </c>
      <c r="AP339" s="20">
        <v>0</v>
      </c>
      <c r="AQ339" s="20">
        <v>0</v>
      </c>
      <c r="AR339" s="20">
        <v>0</v>
      </c>
      <c r="AS339" s="20">
        <v>0</v>
      </c>
      <c r="AT339" s="20">
        <v>0</v>
      </c>
      <c r="AU339" s="20">
        <v>0</v>
      </c>
      <c r="AV339" s="20">
        <v>0</v>
      </c>
      <c r="AW339" s="20">
        <v>0</v>
      </c>
      <c r="AX339" s="20">
        <v>0</v>
      </c>
      <c r="AY339" s="20">
        <v>0</v>
      </c>
      <c r="AZ339" s="20">
        <v>0</v>
      </c>
      <c r="BA339" s="20">
        <v>0</v>
      </c>
      <c r="BB339" s="20">
        <v>0</v>
      </c>
      <c r="BC339" s="20">
        <v>0</v>
      </c>
      <c r="BD339" s="20">
        <v>0</v>
      </c>
      <c r="BE339" s="20">
        <v>0</v>
      </c>
      <c r="BF339" s="20">
        <v>0</v>
      </c>
      <c r="BG339" s="20">
        <v>0</v>
      </c>
      <c r="BH339" s="20">
        <v>0</v>
      </c>
      <c r="BI339" s="20">
        <v>0</v>
      </c>
      <c r="BJ339" s="20">
        <v>0</v>
      </c>
      <c r="BK339" s="20">
        <v>0</v>
      </c>
      <c r="BL339" s="20">
        <v>0</v>
      </c>
      <c r="BM339" s="20">
        <v>0</v>
      </c>
      <c r="BN339" s="20">
        <v>0</v>
      </c>
      <c r="BO339" s="20">
        <v>0</v>
      </c>
      <c r="BP339" s="20">
        <v>0</v>
      </c>
      <c r="BQ339" s="20">
        <v>0</v>
      </c>
      <c r="BR339" s="20">
        <v>0</v>
      </c>
      <c r="BS339" s="20">
        <v>0</v>
      </c>
      <c r="BT339" s="20">
        <v>0</v>
      </c>
      <c r="BU339" s="20">
        <v>0</v>
      </c>
      <c r="BV339" s="20">
        <v>0</v>
      </c>
      <c r="BW339" s="20">
        <v>0</v>
      </c>
      <c r="BX339" s="20">
        <v>0</v>
      </c>
      <c r="BY339" s="20">
        <v>0</v>
      </c>
      <c r="BZ339" s="20">
        <v>0</v>
      </c>
      <c r="CA339" s="20">
        <v>0</v>
      </c>
      <c r="CB339" s="20">
        <v>0</v>
      </c>
      <c r="CC339" s="20">
        <v>0</v>
      </c>
      <c r="CD339" s="20">
        <v>0</v>
      </c>
      <c r="CE339" s="20">
        <v>0</v>
      </c>
      <c r="CF339" s="20">
        <v>0</v>
      </c>
      <c r="CG339" s="20">
        <v>0</v>
      </c>
      <c r="CH339" s="20">
        <v>0</v>
      </c>
      <c r="CI339" s="20">
        <v>0</v>
      </c>
      <c r="CJ339" s="20">
        <v>0</v>
      </c>
      <c r="CK339" s="20">
        <v>0</v>
      </c>
      <c r="CL339" s="20">
        <v>0</v>
      </c>
      <c r="CM339" s="20">
        <v>0</v>
      </c>
      <c r="CN339" s="20">
        <v>0</v>
      </c>
      <c r="CO339" s="20">
        <v>0</v>
      </c>
      <c r="CP339" s="20">
        <v>0</v>
      </c>
      <c r="CQ339" s="20">
        <v>0</v>
      </c>
      <c r="CR339" s="20">
        <v>0</v>
      </c>
      <c r="CS339" s="20">
        <v>0</v>
      </c>
      <c r="CT339" s="20">
        <v>0</v>
      </c>
      <c r="CU339" s="20">
        <v>0</v>
      </c>
      <c r="CV339" s="20">
        <v>0</v>
      </c>
      <c r="CW339" s="20">
        <v>0</v>
      </c>
      <c r="CX339" s="20">
        <v>0</v>
      </c>
      <c r="CY339" s="20">
        <v>0</v>
      </c>
      <c r="CZ339" s="20">
        <v>0</v>
      </c>
      <c r="DA339" s="20">
        <v>0</v>
      </c>
      <c r="DB339" s="20">
        <v>0</v>
      </c>
      <c r="DC339" s="20">
        <v>0</v>
      </c>
      <c r="DD339" s="20">
        <v>0</v>
      </c>
      <c r="DE339" s="20">
        <v>0</v>
      </c>
      <c r="DF339" s="20">
        <v>0</v>
      </c>
      <c r="DG339" s="16">
        <f t="shared" si="29"/>
        <v>4.5791581256129694</v>
      </c>
      <c r="DH339" s="16">
        <f t="shared" si="30"/>
        <v>36.558009093176722</v>
      </c>
      <c r="DI339" s="17">
        <f t="shared" si="31"/>
        <v>7.9835655573224038</v>
      </c>
      <c r="DJ339" s="119" t="s">
        <v>572</v>
      </c>
      <c r="DK339" s="44" t="s">
        <v>572</v>
      </c>
    </row>
    <row r="340" spans="1:115">
      <c r="A340" s="32" t="str">
        <f t="shared" si="27"/>
        <v>Essential (Original)--&gt;  132 kV</v>
      </c>
      <c r="B340" s="32" t="str">
        <f t="shared" si="28"/>
        <v>Essential (Original)</v>
      </c>
      <c r="C340" s="384"/>
      <c r="D340" s="14"/>
      <c r="E340" s="15" t="s">
        <v>184</v>
      </c>
      <c r="F340" s="18">
        <v>54.9</v>
      </c>
      <c r="G340" s="18">
        <v>7.4094534211370817</v>
      </c>
      <c r="H340" s="20">
        <v>0</v>
      </c>
      <c r="I340" s="20">
        <v>0</v>
      </c>
      <c r="J340" s="20">
        <v>0</v>
      </c>
      <c r="K340" s="20">
        <v>0</v>
      </c>
      <c r="L340" s="20">
        <v>0</v>
      </c>
      <c r="M340" s="20">
        <v>0</v>
      </c>
      <c r="N340" s="20">
        <v>0</v>
      </c>
      <c r="O340" s="20">
        <v>0</v>
      </c>
      <c r="P340" s="20">
        <v>0</v>
      </c>
      <c r="Q340" s="20">
        <v>0</v>
      </c>
      <c r="R340" s="20">
        <v>0</v>
      </c>
      <c r="S340" s="20">
        <v>0</v>
      </c>
      <c r="T340" s="20">
        <v>0</v>
      </c>
      <c r="U340" s="20">
        <v>0</v>
      </c>
      <c r="V340" s="20">
        <v>0</v>
      </c>
      <c r="W340" s="20">
        <v>0</v>
      </c>
      <c r="X340" s="20">
        <v>0</v>
      </c>
      <c r="Y340" s="20">
        <v>0</v>
      </c>
      <c r="Z340" s="20">
        <v>0</v>
      </c>
      <c r="AA340" s="20">
        <v>0</v>
      </c>
      <c r="AB340" s="20">
        <v>0</v>
      </c>
      <c r="AC340" s="20">
        <v>0</v>
      </c>
      <c r="AD340" s="20">
        <v>0</v>
      </c>
      <c r="AE340" s="20">
        <v>0</v>
      </c>
      <c r="AF340" s="20">
        <v>0</v>
      </c>
      <c r="AG340" s="20">
        <v>0</v>
      </c>
      <c r="AH340" s="20">
        <v>0</v>
      </c>
      <c r="AI340" s="20">
        <v>0</v>
      </c>
      <c r="AJ340" s="20">
        <v>0</v>
      </c>
      <c r="AK340" s="20">
        <v>0</v>
      </c>
      <c r="AL340" s="20">
        <v>0</v>
      </c>
      <c r="AM340" s="20">
        <v>0</v>
      </c>
      <c r="AN340" s="20">
        <v>0</v>
      </c>
      <c r="AO340" s="20">
        <v>0</v>
      </c>
      <c r="AP340" s="20">
        <v>0</v>
      </c>
      <c r="AQ340" s="20">
        <v>0</v>
      </c>
      <c r="AR340" s="20">
        <v>0</v>
      </c>
      <c r="AS340" s="20">
        <v>0</v>
      </c>
      <c r="AT340" s="20">
        <v>0</v>
      </c>
      <c r="AU340" s="20">
        <v>0</v>
      </c>
      <c r="AV340" s="20">
        <v>0</v>
      </c>
      <c r="AW340" s="20">
        <v>0</v>
      </c>
      <c r="AX340" s="20">
        <v>0</v>
      </c>
      <c r="AY340" s="20">
        <v>0</v>
      </c>
      <c r="AZ340" s="20">
        <v>0</v>
      </c>
      <c r="BA340" s="20">
        <v>0</v>
      </c>
      <c r="BB340" s="20">
        <v>0</v>
      </c>
      <c r="BC340" s="20">
        <v>0</v>
      </c>
      <c r="BD340" s="20">
        <v>0</v>
      </c>
      <c r="BE340" s="20">
        <v>0</v>
      </c>
      <c r="BF340" s="20">
        <v>0</v>
      </c>
      <c r="BG340" s="20">
        <v>0</v>
      </c>
      <c r="BH340" s="20">
        <v>0</v>
      </c>
      <c r="BI340" s="20">
        <v>0</v>
      </c>
      <c r="BJ340" s="20">
        <v>0</v>
      </c>
      <c r="BK340" s="20">
        <v>0</v>
      </c>
      <c r="BL340" s="20">
        <v>0</v>
      </c>
      <c r="BM340" s="20">
        <v>0</v>
      </c>
      <c r="BN340" s="20">
        <v>0</v>
      </c>
      <c r="BO340" s="20">
        <v>0</v>
      </c>
      <c r="BP340" s="20">
        <v>0</v>
      </c>
      <c r="BQ340" s="20">
        <v>0</v>
      </c>
      <c r="BR340" s="20">
        <v>0</v>
      </c>
      <c r="BS340" s="20">
        <v>0</v>
      </c>
      <c r="BT340" s="20">
        <v>0</v>
      </c>
      <c r="BU340" s="20">
        <v>0</v>
      </c>
      <c r="BV340" s="20">
        <v>0</v>
      </c>
      <c r="BW340" s="20">
        <v>0</v>
      </c>
      <c r="BX340" s="20">
        <v>0</v>
      </c>
      <c r="BY340" s="20">
        <v>0</v>
      </c>
      <c r="BZ340" s="20">
        <v>0</v>
      </c>
      <c r="CA340" s="20">
        <v>0</v>
      </c>
      <c r="CB340" s="20">
        <v>0</v>
      </c>
      <c r="CC340" s="20">
        <v>0</v>
      </c>
      <c r="CD340" s="20">
        <v>0</v>
      </c>
      <c r="CE340" s="20">
        <v>0</v>
      </c>
      <c r="CF340" s="20">
        <v>0</v>
      </c>
      <c r="CG340" s="20">
        <v>0</v>
      </c>
      <c r="CH340" s="20">
        <v>0</v>
      </c>
      <c r="CI340" s="20">
        <v>0</v>
      </c>
      <c r="CJ340" s="20">
        <v>0</v>
      </c>
      <c r="CK340" s="20">
        <v>0</v>
      </c>
      <c r="CL340" s="20">
        <v>0</v>
      </c>
      <c r="CM340" s="20">
        <v>0</v>
      </c>
      <c r="CN340" s="20">
        <v>0</v>
      </c>
      <c r="CO340" s="20">
        <v>0</v>
      </c>
      <c r="CP340" s="20">
        <v>0</v>
      </c>
      <c r="CQ340" s="20">
        <v>0</v>
      </c>
      <c r="CR340" s="20">
        <v>0</v>
      </c>
      <c r="CS340" s="20">
        <v>0</v>
      </c>
      <c r="CT340" s="20">
        <v>0</v>
      </c>
      <c r="CU340" s="20">
        <v>0</v>
      </c>
      <c r="CV340" s="20">
        <v>0</v>
      </c>
      <c r="CW340" s="20">
        <v>0</v>
      </c>
      <c r="CX340" s="20">
        <v>0</v>
      </c>
      <c r="CY340" s="20">
        <v>0</v>
      </c>
      <c r="CZ340" s="20">
        <v>0</v>
      </c>
      <c r="DA340" s="20">
        <v>0</v>
      </c>
      <c r="DB340" s="20">
        <v>0</v>
      </c>
      <c r="DC340" s="20">
        <v>0</v>
      </c>
      <c r="DD340" s="20">
        <v>0</v>
      </c>
      <c r="DE340" s="20">
        <v>0</v>
      </c>
      <c r="DF340" s="20">
        <v>0</v>
      </c>
      <c r="DG340" s="16">
        <f t="shared" si="29"/>
        <v>0</v>
      </c>
      <c r="DH340" s="16">
        <f t="shared" si="30"/>
        <v>0</v>
      </c>
      <c r="DI340" s="17" t="str">
        <f t="shared" si="31"/>
        <v/>
      </c>
      <c r="DJ340" s="119" t="s">
        <v>572</v>
      </c>
      <c r="DK340" s="44" t="s">
        <v>572</v>
      </c>
    </row>
    <row r="341" spans="1:115">
      <c r="A341" s="32" t="str">
        <f t="shared" si="27"/>
        <v>Essential (Original)--OTHER - PLEASE ADD A ROW IF NECESSARY AND NOMINATE THE CATEGORY</v>
      </c>
      <c r="B341" s="32" t="str">
        <f t="shared" si="28"/>
        <v>Essential (Original)</v>
      </c>
      <c r="C341" s="384"/>
      <c r="D341" s="14"/>
      <c r="E341" s="15" t="s">
        <v>170</v>
      </c>
      <c r="F341" s="18">
        <v>0</v>
      </c>
      <c r="G341" s="18">
        <v>0</v>
      </c>
      <c r="H341" s="20">
        <v>0</v>
      </c>
      <c r="I341" s="20">
        <v>0</v>
      </c>
      <c r="J341" s="20">
        <v>0</v>
      </c>
      <c r="K341" s="20">
        <v>0</v>
      </c>
      <c r="L341" s="20">
        <v>0</v>
      </c>
      <c r="M341" s="20">
        <v>0</v>
      </c>
      <c r="N341" s="20">
        <v>0</v>
      </c>
      <c r="O341" s="20">
        <v>0</v>
      </c>
      <c r="P341" s="20">
        <v>0</v>
      </c>
      <c r="Q341" s="20">
        <v>0</v>
      </c>
      <c r="R341" s="20">
        <v>0</v>
      </c>
      <c r="S341" s="20">
        <v>0</v>
      </c>
      <c r="T341" s="20">
        <v>0</v>
      </c>
      <c r="U341" s="20">
        <v>0</v>
      </c>
      <c r="V341" s="20">
        <v>0</v>
      </c>
      <c r="W341" s="20">
        <v>0</v>
      </c>
      <c r="X341" s="20">
        <v>0</v>
      </c>
      <c r="Y341" s="20">
        <v>0</v>
      </c>
      <c r="Z341" s="20">
        <v>0</v>
      </c>
      <c r="AA341" s="20">
        <v>0</v>
      </c>
      <c r="AB341" s="20">
        <v>0</v>
      </c>
      <c r="AC341" s="20">
        <v>0</v>
      </c>
      <c r="AD341" s="20">
        <v>0</v>
      </c>
      <c r="AE341" s="20">
        <v>0</v>
      </c>
      <c r="AF341" s="20">
        <v>0</v>
      </c>
      <c r="AG341" s="20">
        <v>0</v>
      </c>
      <c r="AH341" s="20">
        <v>0</v>
      </c>
      <c r="AI341" s="20">
        <v>0</v>
      </c>
      <c r="AJ341" s="20">
        <v>0</v>
      </c>
      <c r="AK341" s="20">
        <v>0</v>
      </c>
      <c r="AL341" s="20">
        <v>0</v>
      </c>
      <c r="AM341" s="20">
        <v>0</v>
      </c>
      <c r="AN341" s="20">
        <v>0</v>
      </c>
      <c r="AO341" s="20">
        <v>0</v>
      </c>
      <c r="AP341" s="20">
        <v>0</v>
      </c>
      <c r="AQ341" s="20">
        <v>0</v>
      </c>
      <c r="AR341" s="20">
        <v>0</v>
      </c>
      <c r="AS341" s="20">
        <v>0</v>
      </c>
      <c r="AT341" s="20">
        <v>0</v>
      </c>
      <c r="AU341" s="20">
        <v>0</v>
      </c>
      <c r="AV341" s="20">
        <v>0</v>
      </c>
      <c r="AW341" s="20">
        <v>0</v>
      </c>
      <c r="AX341" s="20">
        <v>0</v>
      </c>
      <c r="AY341" s="20">
        <v>0</v>
      </c>
      <c r="AZ341" s="20">
        <v>0</v>
      </c>
      <c r="BA341" s="20">
        <v>0</v>
      </c>
      <c r="BB341" s="20">
        <v>0</v>
      </c>
      <c r="BC341" s="20">
        <v>0</v>
      </c>
      <c r="BD341" s="20">
        <v>0</v>
      </c>
      <c r="BE341" s="20">
        <v>0</v>
      </c>
      <c r="BF341" s="20">
        <v>0</v>
      </c>
      <c r="BG341" s="20">
        <v>0</v>
      </c>
      <c r="BH341" s="20">
        <v>0</v>
      </c>
      <c r="BI341" s="20">
        <v>0</v>
      </c>
      <c r="BJ341" s="20">
        <v>0</v>
      </c>
      <c r="BK341" s="20">
        <v>0</v>
      </c>
      <c r="BL341" s="20">
        <v>0</v>
      </c>
      <c r="BM341" s="20">
        <v>0</v>
      </c>
      <c r="BN341" s="20">
        <v>0</v>
      </c>
      <c r="BO341" s="20">
        <v>0</v>
      </c>
      <c r="BP341" s="20">
        <v>0</v>
      </c>
      <c r="BQ341" s="20">
        <v>0</v>
      </c>
      <c r="BR341" s="20">
        <v>0</v>
      </c>
      <c r="BS341" s="20">
        <v>0</v>
      </c>
      <c r="BT341" s="20">
        <v>0</v>
      </c>
      <c r="BU341" s="20">
        <v>0</v>
      </c>
      <c r="BV341" s="20">
        <v>0</v>
      </c>
      <c r="BW341" s="20">
        <v>0</v>
      </c>
      <c r="BX341" s="20">
        <v>0</v>
      </c>
      <c r="BY341" s="20">
        <v>0</v>
      </c>
      <c r="BZ341" s="20">
        <v>0</v>
      </c>
      <c r="CA341" s="20">
        <v>0</v>
      </c>
      <c r="CB341" s="20">
        <v>0</v>
      </c>
      <c r="CC341" s="20">
        <v>0</v>
      </c>
      <c r="CD341" s="20">
        <v>0</v>
      </c>
      <c r="CE341" s="20">
        <v>0</v>
      </c>
      <c r="CF341" s="20">
        <v>0</v>
      </c>
      <c r="CG341" s="20">
        <v>0</v>
      </c>
      <c r="CH341" s="20">
        <v>0</v>
      </c>
      <c r="CI341" s="20">
        <v>0</v>
      </c>
      <c r="CJ341" s="20">
        <v>0</v>
      </c>
      <c r="CK341" s="20">
        <v>0</v>
      </c>
      <c r="CL341" s="20">
        <v>0</v>
      </c>
      <c r="CM341" s="20">
        <v>0</v>
      </c>
      <c r="CN341" s="20">
        <v>0</v>
      </c>
      <c r="CO341" s="20">
        <v>0</v>
      </c>
      <c r="CP341" s="20">
        <v>0</v>
      </c>
      <c r="CQ341" s="20">
        <v>0</v>
      </c>
      <c r="CR341" s="20">
        <v>0</v>
      </c>
      <c r="CS341" s="20">
        <v>0</v>
      </c>
      <c r="CT341" s="20">
        <v>0</v>
      </c>
      <c r="CU341" s="20">
        <v>0</v>
      </c>
      <c r="CV341" s="20">
        <v>0</v>
      </c>
      <c r="CW341" s="20">
        <v>0</v>
      </c>
      <c r="CX341" s="20">
        <v>0</v>
      </c>
      <c r="CY341" s="20">
        <v>0</v>
      </c>
      <c r="CZ341" s="20">
        <v>0</v>
      </c>
      <c r="DA341" s="20">
        <v>0</v>
      </c>
      <c r="DB341" s="20">
        <v>0</v>
      </c>
      <c r="DC341" s="20">
        <v>0</v>
      </c>
      <c r="DD341" s="20">
        <v>0</v>
      </c>
      <c r="DE341" s="20">
        <v>0</v>
      </c>
      <c r="DF341" s="20">
        <v>0</v>
      </c>
      <c r="DG341" s="16">
        <f t="shared" si="29"/>
        <v>0</v>
      </c>
      <c r="DH341" s="16">
        <f t="shared" si="30"/>
        <v>0</v>
      </c>
      <c r="DI341" s="17" t="str">
        <f t="shared" si="31"/>
        <v/>
      </c>
      <c r="DJ341" s="119" t="s">
        <v>572</v>
      </c>
      <c r="DK341" s="44" t="s">
        <v>572</v>
      </c>
    </row>
    <row r="342" spans="1:115" ht="60">
      <c r="A342" s="32" t="str">
        <f t="shared" si="27"/>
        <v xml:space="preserve">Essential (Original)-SERVICE LINES BY: 
CONNECTION VOLTAGE; CUSTOMER TYPE; CONNECTION COMPLEXITY -˂ = 11 kV ; RESIDENTIAL ; SIMPLE TYPE </v>
      </c>
      <c r="B342" s="32" t="str">
        <f t="shared" si="28"/>
        <v>Essential (Original)</v>
      </c>
      <c r="C342" s="384"/>
      <c r="D342" s="14" t="s">
        <v>541</v>
      </c>
      <c r="E342" s="15" t="s">
        <v>186</v>
      </c>
      <c r="F342" s="18">
        <v>0</v>
      </c>
      <c r="G342" s="18">
        <v>0</v>
      </c>
      <c r="H342" s="20">
        <v>0</v>
      </c>
      <c r="I342" s="20">
        <v>0</v>
      </c>
      <c r="J342" s="20">
        <v>0</v>
      </c>
      <c r="K342" s="20">
        <v>0</v>
      </c>
      <c r="L342" s="20">
        <v>0</v>
      </c>
      <c r="M342" s="20">
        <v>0</v>
      </c>
      <c r="N342" s="20">
        <v>0</v>
      </c>
      <c r="O342" s="20">
        <v>0</v>
      </c>
      <c r="P342" s="20">
        <v>0</v>
      </c>
      <c r="Q342" s="20">
        <v>0</v>
      </c>
      <c r="R342" s="20">
        <v>0</v>
      </c>
      <c r="S342" s="20">
        <v>0</v>
      </c>
      <c r="T342" s="20">
        <v>0</v>
      </c>
      <c r="U342" s="20">
        <v>0</v>
      </c>
      <c r="V342" s="20">
        <v>0</v>
      </c>
      <c r="W342" s="20">
        <v>0</v>
      </c>
      <c r="X342" s="20">
        <v>0</v>
      </c>
      <c r="Y342" s="20">
        <v>0</v>
      </c>
      <c r="Z342" s="20">
        <v>0</v>
      </c>
      <c r="AA342" s="20">
        <v>0</v>
      </c>
      <c r="AB342" s="20">
        <v>0</v>
      </c>
      <c r="AC342" s="20">
        <v>0</v>
      </c>
      <c r="AD342" s="20">
        <v>0</v>
      </c>
      <c r="AE342" s="20">
        <v>0</v>
      </c>
      <c r="AF342" s="20">
        <v>0</v>
      </c>
      <c r="AG342" s="20">
        <v>0</v>
      </c>
      <c r="AH342" s="20">
        <v>0</v>
      </c>
      <c r="AI342" s="20">
        <v>0</v>
      </c>
      <c r="AJ342" s="20">
        <v>0</v>
      </c>
      <c r="AK342" s="20">
        <v>0</v>
      </c>
      <c r="AL342" s="20">
        <v>0</v>
      </c>
      <c r="AM342" s="20">
        <v>0</v>
      </c>
      <c r="AN342" s="20">
        <v>0</v>
      </c>
      <c r="AO342" s="20">
        <v>0</v>
      </c>
      <c r="AP342" s="20">
        <v>0</v>
      </c>
      <c r="AQ342" s="20">
        <v>0</v>
      </c>
      <c r="AR342" s="20">
        <v>0</v>
      </c>
      <c r="AS342" s="20">
        <v>0</v>
      </c>
      <c r="AT342" s="20">
        <v>0</v>
      </c>
      <c r="AU342" s="20">
        <v>0</v>
      </c>
      <c r="AV342" s="20">
        <v>0</v>
      </c>
      <c r="AW342" s="20">
        <v>0</v>
      </c>
      <c r="AX342" s="20">
        <v>0</v>
      </c>
      <c r="AY342" s="20">
        <v>0</v>
      </c>
      <c r="AZ342" s="20">
        <v>0</v>
      </c>
      <c r="BA342" s="20">
        <v>0</v>
      </c>
      <c r="BB342" s="20">
        <v>0</v>
      </c>
      <c r="BC342" s="20">
        <v>0</v>
      </c>
      <c r="BD342" s="20">
        <v>0</v>
      </c>
      <c r="BE342" s="20">
        <v>0</v>
      </c>
      <c r="BF342" s="20">
        <v>0</v>
      </c>
      <c r="BG342" s="20">
        <v>0</v>
      </c>
      <c r="BH342" s="20">
        <v>0</v>
      </c>
      <c r="BI342" s="20">
        <v>0</v>
      </c>
      <c r="BJ342" s="20">
        <v>0</v>
      </c>
      <c r="BK342" s="20">
        <v>0</v>
      </c>
      <c r="BL342" s="20">
        <v>0</v>
      </c>
      <c r="BM342" s="20">
        <v>0</v>
      </c>
      <c r="BN342" s="20">
        <v>0</v>
      </c>
      <c r="BO342" s="20">
        <v>0</v>
      </c>
      <c r="BP342" s="20">
        <v>0</v>
      </c>
      <c r="BQ342" s="20">
        <v>0</v>
      </c>
      <c r="BR342" s="20">
        <v>0</v>
      </c>
      <c r="BS342" s="20">
        <v>0</v>
      </c>
      <c r="BT342" s="20">
        <v>0</v>
      </c>
      <c r="BU342" s="20">
        <v>0</v>
      </c>
      <c r="BV342" s="20">
        <v>0</v>
      </c>
      <c r="BW342" s="20">
        <v>0</v>
      </c>
      <c r="BX342" s="20">
        <v>0</v>
      </c>
      <c r="BY342" s="20">
        <v>0</v>
      </c>
      <c r="BZ342" s="20">
        <v>0</v>
      </c>
      <c r="CA342" s="20">
        <v>0</v>
      </c>
      <c r="CB342" s="20">
        <v>0</v>
      </c>
      <c r="CC342" s="20">
        <v>0</v>
      </c>
      <c r="CD342" s="20">
        <v>0</v>
      </c>
      <c r="CE342" s="20">
        <v>0</v>
      </c>
      <c r="CF342" s="20">
        <v>0</v>
      </c>
      <c r="CG342" s="20">
        <v>0</v>
      </c>
      <c r="CH342" s="20">
        <v>0</v>
      </c>
      <c r="CI342" s="20">
        <v>0</v>
      </c>
      <c r="CJ342" s="20">
        <v>0</v>
      </c>
      <c r="CK342" s="20">
        <v>0</v>
      </c>
      <c r="CL342" s="20">
        <v>0</v>
      </c>
      <c r="CM342" s="20">
        <v>0</v>
      </c>
      <c r="CN342" s="20">
        <v>0</v>
      </c>
      <c r="CO342" s="20">
        <v>0</v>
      </c>
      <c r="CP342" s="20">
        <v>0</v>
      </c>
      <c r="CQ342" s="20">
        <v>0</v>
      </c>
      <c r="CR342" s="20">
        <v>0</v>
      </c>
      <c r="CS342" s="20">
        <v>0</v>
      </c>
      <c r="CT342" s="20">
        <v>0</v>
      </c>
      <c r="CU342" s="20">
        <v>0</v>
      </c>
      <c r="CV342" s="20">
        <v>0</v>
      </c>
      <c r="CW342" s="20">
        <v>0</v>
      </c>
      <c r="CX342" s="20">
        <v>0</v>
      </c>
      <c r="CY342" s="20">
        <v>0</v>
      </c>
      <c r="CZ342" s="20">
        <v>0</v>
      </c>
      <c r="DA342" s="20">
        <v>0</v>
      </c>
      <c r="DB342" s="20">
        <v>0</v>
      </c>
      <c r="DC342" s="20">
        <v>0</v>
      </c>
      <c r="DD342" s="20">
        <v>0</v>
      </c>
      <c r="DE342" s="20">
        <v>0</v>
      </c>
      <c r="DF342" s="20">
        <v>0</v>
      </c>
      <c r="DG342" s="16">
        <f t="shared" si="29"/>
        <v>0</v>
      </c>
      <c r="DH342" s="16">
        <f t="shared" si="30"/>
        <v>0</v>
      </c>
      <c r="DI342" s="17" t="str">
        <f t="shared" si="31"/>
        <v/>
      </c>
      <c r="DJ342" s="119" t="s">
        <v>719</v>
      </c>
      <c r="DK342" t="s">
        <v>719</v>
      </c>
    </row>
    <row r="343" spans="1:115">
      <c r="A343" s="32" t="str">
        <f t="shared" si="27"/>
        <v xml:space="preserve">Essential (Original)--˂ = 11 kV ; COMMERCIAL &amp; INDUSTRIAL ; SIMPLE TYPE </v>
      </c>
      <c r="B343" s="32" t="str">
        <f t="shared" si="28"/>
        <v>Essential (Original)</v>
      </c>
      <c r="C343" s="384"/>
      <c r="D343" s="14"/>
      <c r="E343" s="15" t="s">
        <v>187</v>
      </c>
      <c r="F343" s="18">
        <v>0</v>
      </c>
      <c r="G343" s="18">
        <v>0</v>
      </c>
      <c r="H343" s="20">
        <v>0</v>
      </c>
      <c r="I343" s="20">
        <v>0</v>
      </c>
      <c r="J343" s="20">
        <v>0</v>
      </c>
      <c r="K343" s="20">
        <v>0</v>
      </c>
      <c r="L343" s="20">
        <v>0</v>
      </c>
      <c r="M343" s="20">
        <v>0</v>
      </c>
      <c r="N343" s="20">
        <v>0</v>
      </c>
      <c r="O343" s="20">
        <v>0</v>
      </c>
      <c r="P343" s="20">
        <v>0</v>
      </c>
      <c r="Q343" s="20">
        <v>0</v>
      </c>
      <c r="R343" s="20">
        <v>0</v>
      </c>
      <c r="S343" s="20">
        <v>0</v>
      </c>
      <c r="T343" s="20">
        <v>0</v>
      </c>
      <c r="U343" s="20">
        <v>0</v>
      </c>
      <c r="V343" s="20">
        <v>0</v>
      </c>
      <c r="W343" s="20">
        <v>0</v>
      </c>
      <c r="X343" s="20">
        <v>0</v>
      </c>
      <c r="Y343" s="20">
        <v>0</v>
      </c>
      <c r="Z343" s="20">
        <v>0</v>
      </c>
      <c r="AA343" s="20">
        <v>0</v>
      </c>
      <c r="AB343" s="20">
        <v>0</v>
      </c>
      <c r="AC343" s="20">
        <v>0</v>
      </c>
      <c r="AD343" s="20">
        <v>0</v>
      </c>
      <c r="AE343" s="20">
        <v>0</v>
      </c>
      <c r="AF343" s="20">
        <v>0</v>
      </c>
      <c r="AG343" s="20">
        <v>0</v>
      </c>
      <c r="AH343" s="20">
        <v>0</v>
      </c>
      <c r="AI343" s="20">
        <v>0</v>
      </c>
      <c r="AJ343" s="20">
        <v>0</v>
      </c>
      <c r="AK343" s="20">
        <v>0</v>
      </c>
      <c r="AL343" s="20">
        <v>0</v>
      </c>
      <c r="AM343" s="20">
        <v>0</v>
      </c>
      <c r="AN343" s="20">
        <v>0</v>
      </c>
      <c r="AO343" s="20">
        <v>0</v>
      </c>
      <c r="AP343" s="20">
        <v>0</v>
      </c>
      <c r="AQ343" s="20">
        <v>0</v>
      </c>
      <c r="AR343" s="20">
        <v>0</v>
      </c>
      <c r="AS343" s="20">
        <v>0</v>
      </c>
      <c r="AT343" s="20">
        <v>0</v>
      </c>
      <c r="AU343" s="20">
        <v>0</v>
      </c>
      <c r="AV343" s="20">
        <v>0</v>
      </c>
      <c r="AW343" s="20">
        <v>0</v>
      </c>
      <c r="AX343" s="20">
        <v>0</v>
      </c>
      <c r="AY343" s="20">
        <v>0</v>
      </c>
      <c r="AZ343" s="20">
        <v>0</v>
      </c>
      <c r="BA343" s="20">
        <v>0</v>
      </c>
      <c r="BB343" s="20">
        <v>0</v>
      </c>
      <c r="BC343" s="20">
        <v>0</v>
      </c>
      <c r="BD343" s="20">
        <v>0</v>
      </c>
      <c r="BE343" s="20">
        <v>0</v>
      </c>
      <c r="BF343" s="20">
        <v>0</v>
      </c>
      <c r="BG343" s="20">
        <v>0</v>
      </c>
      <c r="BH343" s="20">
        <v>0</v>
      </c>
      <c r="BI343" s="20">
        <v>0</v>
      </c>
      <c r="BJ343" s="20">
        <v>0</v>
      </c>
      <c r="BK343" s="20">
        <v>0</v>
      </c>
      <c r="BL343" s="20">
        <v>0</v>
      </c>
      <c r="BM343" s="20">
        <v>0</v>
      </c>
      <c r="BN343" s="20">
        <v>0</v>
      </c>
      <c r="BO343" s="20">
        <v>0</v>
      </c>
      <c r="BP343" s="20">
        <v>0</v>
      </c>
      <c r="BQ343" s="20">
        <v>0</v>
      </c>
      <c r="BR343" s="20">
        <v>0</v>
      </c>
      <c r="BS343" s="20">
        <v>0</v>
      </c>
      <c r="BT343" s="20">
        <v>0</v>
      </c>
      <c r="BU343" s="20">
        <v>0</v>
      </c>
      <c r="BV343" s="20">
        <v>0</v>
      </c>
      <c r="BW343" s="20">
        <v>0</v>
      </c>
      <c r="BX343" s="20">
        <v>0</v>
      </c>
      <c r="BY343" s="20">
        <v>0</v>
      </c>
      <c r="BZ343" s="20">
        <v>0</v>
      </c>
      <c r="CA343" s="20">
        <v>0</v>
      </c>
      <c r="CB343" s="20">
        <v>0</v>
      </c>
      <c r="CC343" s="20">
        <v>0</v>
      </c>
      <c r="CD343" s="20">
        <v>0</v>
      </c>
      <c r="CE343" s="20">
        <v>0</v>
      </c>
      <c r="CF343" s="20">
        <v>0</v>
      </c>
      <c r="CG343" s="20">
        <v>0</v>
      </c>
      <c r="CH343" s="20">
        <v>0</v>
      </c>
      <c r="CI343" s="20">
        <v>0</v>
      </c>
      <c r="CJ343" s="20">
        <v>0</v>
      </c>
      <c r="CK343" s="20">
        <v>0</v>
      </c>
      <c r="CL343" s="20">
        <v>0</v>
      </c>
      <c r="CM343" s="20">
        <v>0</v>
      </c>
      <c r="CN343" s="20">
        <v>0</v>
      </c>
      <c r="CO343" s="20">
        <v>0</v>
      </c>
      <c r="CP343" s="20">
        <v>0</v>
      </c>
      <c r="CQ343" s="20">
        <v>0</v>
      </c>
      <c r="CR343" s="20">
        <v>0</v>
      </c>
      <c r="CS343" s="20">
        <v>0</v>
      </c>
      <c r="CT343" s="20">
        <v>0</v>
      </c>
      <c r="CU343" s="20">
        <v>0</v>
      </c>
      <c r="CV343" s="20">
        <v>0</v>
      </c>
      <c r="CW343" s="20">
        <v>0</v>
      </c>
      <c r="CX343" s="20">
        <v>0</v>
      </c>
      <c r="CY343" s="20">
        <v>0</v>
      </c>
      <c r="CZ343" s="20">
        <v>0</v>
      </c>
      <c r="DA343" s="20">
        <v>0</v>
      </c>
      <c r="DB343" s="20">
        <v>0</v>
      </c>
      <c r="DC343" s="20">
        <v>0</v>
      </c>
      <c r="DD343" s="20">
        <v>0</v>
      </c>
      <c r="DE343" s="20">
        <v>0</v>
      </c>
      <c r="DF343" s="20">
        <v>0</v>
      </c>
      <c r="DG343" s="16">
        <f t="shared" si="29"/>
        <v>0</v>
      </c>
      <c r="DH343" s="16">
        <f t="shared" si="30"/>
        <v>0</v>
      </c>
      <c r="DI343" s="17" t="str">
        <f t="shared" si="31"/>
        <v/>
      </c>
      <c r="DJ343" s="119" t="s">
        <v>719</v>
      </c>
      <c r="DK343" s="44" t="s">
        <v>719</v>
      </c>
    </row>
    <row r="344" spans="1:115">
      <c r="A344" s="32" t="str">
        <f t="shared" ref="A344:A407" si="32">B344&amp;"-"&amp;D344&amp;"-"&amp;E344</f>
        <v xml:space="preserve">Essential (Original)--˂ = 11 kV ; RESIDENTIAL ; COMPLEX TYPE </v>
      </c>
      <c r="B344" s="32" t="str">
        <f t="shared" ref="B344:B407" si="33">IF(C344&gt;0,C344,B343)</f>
        <v>Essential (Original)</v>
      </c>
      <c r="C344" s="384"/>
      <c r="D344" s="14"/>
      <c r="E344" s="15" t="s">
        <v>188</v>
      </c>
      <c r="F344" s="18">
        <v>0</v>
      </c>
      <c r="G344" s="18">
        <v>0</v>
      </c>
      <c r="H344" s="20">
        <v>0</v>
      </c>
      <c r="I344" s="20">
        <v>0</v>
      </c>
      <c r="J344" s="20">
        <v>0</v>
      </c>
      <c r="K344" s="20">
        <v>0</v>
      </c>
      <c r="L344" s="20">
        <v>0</v>
      </c>
      <c r="M344" s="20">
        <v>0</v>
      </c>
      <c r="N344" s="20">
        <v>0</v>
      </c>
      <c r="O344" s="20">
        <v>0</v>
      </c>
      <c r="P344" s="20">
        <v>0</v>
      </c>
      <c r="Q344" s="20">
        <v>0</v>
      </c>
      <c r="R344" s="20">
        <v>0</v>
      </c>
      <c r="S344" s="20">
        <v>0</v>
      </c>
      <c r="T344" s="20">
        <v>0</v>
      </c>
      <c r="U344" s="20">
        <v>0</v>
      </c>
      <c r="V344" s="20">
        <v>0</v>
      </c>
      <c r="W344" s="20">
        <v>0</v>
      </c>
      <c r="X344" s="20">
        <v>0</v>
      </c>
      <c r="Y344" s="20">
        <v>0</v>
      </c>
      <c r="Z344" s="20">
        <v>0</v>
      </c>
      <c r="AA344" s="20">
        <v>0</v>
      </c>
      <c r="AB344" s="20">
        <v>0</v>
      </c>
      <c r="AC344" s="20">
        <v>0</v>
      </c>
      <c r="AD344" s="20">
        <v>0</v>
      </c>
      <c r="AE344" s="20">
        <v>0</v>
      </c>
      <c r="AF344" s="20">
        <v>0</v>
      </c>
      <c r="AG344" s="20">
        <v>0</v>
      </c>
      <c r="AH344" s="20">
        <v>0</v>
      </c>
      <c r="AI344" s="20">
        <v>0</v>
      </c>
      <c r="AJ344" s="20">
        <v>0</v>
      </c>
      <c r="AK344" s="20">
        <v>0</v>
      </c>
      <c r="AL344" s="20">
        <v>0</v>
      </c>
      <c r="AM344" s="20">
        <v>0</v>
      </c>
      <c r="AN344" s="20">
        <v>0</v>
      </c>
      <c r="AO344" s="20">
        <v>0</v>
      </c>
      <c r="AP344" s="20">
        <v>0</v>
      </c>
      <c r="AQ344" s="20">
        <v>0</v>
      </c>
      <c r="AR344" s="20">
        <v>0</v>
      </c>
      <c r="AS344" s="20">
        <v>0</v>
      </c>
      <c r="AT344" s="20">
        <v>0</v>
      </c>
      <c r="AU344" s="20">
        <v>0</v>
      </c>
      <c r="AV344" s="20">
        <v>0</v>
      </c>
      <c r="AW344" s="20">
        <v>0</v>
      </c>
      <c r="AX344" s="20">
        <v>0</v>
      </c>
      <c r="AY344" s="20">
        <v>0</v>
      </c>
      <c r="AZ344" s="20">
        <v>0</v>
      </c>
      <c r="BA344" s="20">
        <v>0</v>
      </c>
      <c r="BB344" s="20">
        <v>0</v>
      </c>
      <c r="BC344" s="20">
        <v>0</v>
      </c>
      <c r="BD344" s="20">
        <v>0</v>
      </c>
      <c r="BE344" s="20">
        <v>0</v>
      </c>
      <c r="BF344" s="20">
        <v>0</v>
      </c>
      <c r="BG344" s="20">
        <v>0</v>
      </c>
      <c r="BH344" s="20">
        <v>0</v>
      </c>
      <c r="BI344" s="20">
        <v>0</v>
      </c>
      <c r="BJ344" s="20">
        <v>0</v>
      </c>
      <c r="BK344" s="20">
        <v>0</v>
      </c>
      <c r="BL344" s="20">
        <v>0</v>
      </c>
      <c r="BM344" s="20">
        <v>0</v>
      </c>
      <c r="BN344" s="20">
        <v>0</v>
      </c>
      <c r="BO344" s="20">
        <v>0</v>
      </c>
      <c r="BP344" s="20">
        <v>0</v>
      </c>
      <c r="BQ344" s="20">
        <v>0</v>
      </c>
      <c r="BR344" s="20">
        <v>0</v>
      </c>
      <c r="BS344" s="20">
        <v>0</v>
      </c>
      <c r="BT344" s="20">
        <v>0</v>
      </c>
      <c r="BU344" s="20">
        <v>0</v>
      </c>
      <c r="BV344" s="20">
        <v>0</v>
      </c>
      <c r="BW344" s="20">
        <v>0</v>
      </c>
      <c r="BX344" s="20">
        <v>0</v>
      </c>
      <c r="BY344" s="20">
        <v>0</v>
      </c>
      <c r="BZ344" s="20">
        <v>0</v>
      </c>
      <c r="CA344" s="20">
        <v>0</v>
      </c>
      <c r="CB344" s="20">
        <v>0</v>
      </c>
      <c r="CC344" s="20">
        <v>0</v>
      </c>
      <c r="CD344" s="20">
        <v>0</v>
      </c>
      <c r="CE344" s="20">
        <v>0</v>
      </c>
      <c r="CF344" s="20">
        <v>0</v>
      </c>
      <c r="CG344" s="20">
        <v>0</v>
      </c>
      <c r="CH344" s="20">
        <v>0</v>
      </c>
      <c r="CI344" s="20">
        <v>0</v>
      </c>
      <c r="CJ344" s="20">
        <v>0</v>
      </c>
      <c r="CK344" s="20">
        <v>0</v>
      </c>
      <c r="CL344" s="20">
        <v>0</v>
      </c>
      <c r="CM344" s="20">
        <v>0</v>
      </c>
      <c r="CN344" s="20">
        <v>0</v>
      </c>
      <c r="CO344" s="20">
        <v>0</v>
      </c>
      <c r="CP344" s="20">
        <v>0</v>
      </c>
      <c r="CQ344" s="20">
        <v>0</v>
      </c>
      <c r="CR344" s="20">
        <v>0</v>
      </c>
      <c r="CS344" s="20">
        <v>0</v>
      </c>
      <c r="CT344" s="20">
        <v>0</v>
      </c>
      <c r="CU344" s="20">
        <v>0</v>
      </c>
      <c r="CV344" s="20">
        <v>0</v>
      </c>
      <c r="CW344" s="20">
        <v>0</v>
      </c>
      <c r="CX344" s="20">
        <v>0</v>
      </c>
      <c r="CY344" s="20">
        <v>0</v>
      </c>
      <c r="CZ344" s="20">
        <v>0</v>
      </c>
      <c r="DA344" s="20">
        <v>0</v>
      </c>
      <c r="DB344" s="20">
        <v>0</v>
      </c>
      <c r="DC344" s="20">
        <v>0</v>
      </c>
      <c r="DD344" s="20">
        <v>0</v>
      </c>
      <c r="DE344" s="20">
        <v>0</v>
      </c>
      <c r="DF344" s="20">
        <v>0</v>
      </c>
      <c r="DG344" s="16">
        <f t="shared" si="29"/>
        <v>0</v>
      </c>
      <c r="DH344" s="16">
        <f t="shared" si="30"/>
        <v>0</v>
      </c>
      <c r="DI344" s="17" t="str">
        <f t="shared" si="31"/>
        <v/>
      </c>
      <c r="DJ344" s="119" t="s">
        <v>719</v>
      </c>
      <c r="DK344" s="44" t="s">
        <v>719</v>
      </c>
    </row>
    <row r="345" spans="1:115">
      <c r="A345" s="32" t="str">
        <f t="shared" si="32"/>
        <v xml:space="preserve">Essential (Original)--˂ = 11 kV ; COMMERCIAL &amp; INDUSTRIAL ; COMPLEX TYPE </v>
      </c>
      <c r="B345" s="32" t="str">
        <f t="shared" si="33"/>
        <v>Essential (Original)</v>
      </c>
      <c r="C345" s="384"/>
      <c r="D345" s="14"/>
      <c r="E345" s="15" t="s">
        <v>189</v>
      </c>
      <c r="F345" s="18">
        <v>53.8</v>
      </c>
      <c r="G345" s="18">
        <v>7.334848328356899</v>
      </c>
      <c r="H345" s="20">
        <v>0</v>
      </c>
      <c r="I345" s="20">
        <v>0</v>
      </c>
      <c r="J345" s="20">
        <v>0</v>
      </c>
      <c r="K345" s="20">
        <v>0</v>
      </c>
      <c r="L345" s="20">
        <v>0</v>
      </c>
      <c r="M345" s="20">
        <v>0</v>
      </c>
      <c r="N345" s="20">
        <v>0</v>
      </c>
      <c r="O345" s="20">
        <v>0</v>
      </c>
      <c r="P345" s="20">
        <v>0</v>
      </c>
      <c r="Q345" s="20">
        <v>0</v>
      </c>
      <c r="R345" s="20">
        <v>0</v>
      </c>
      <c r="S345" s="20">
        <v>0</v>
      </c>
      <c r="T345" s="20">
        <v>0</v>
      </c>
      <c r="U345" s="20">
        <v>0</v>
      </c>
      <c r="V345" s="20">
        <v>0</v>
      </c>
      <c r="W345" s="20">
        <v>0</v>
      </c>
      <c r="X345" s="20">
        <v>0</v>
      </c>
      <c r="Y345" s="20">
        <v>0</v>
      </c>
      <c r="Z345" s="20">
        <v>0</v>
      </c>
      <c r="AA345" s="20">
        <v>0</v>
      </c>
      <c r="AB345" s="20">
        <v>0</v>
      </c>
      <c r="AC345" s="20">
        <v>0</v>
      </c>
      <c r="AD345" s="20">
        <v>0</v>
      </c>
      <c r="AE345" s="20">
        <v>0</v>
      </c>
      <c r="AF345" s="20">
        <v>0</v>
      </c>
      <c r="AG345" s="20">
        <v>0</v>
      </c>
      <c r="AH345" s="20">
        <v>0</v>
      </c>
      <c r="AI345" s="20">
        <v>0</v>
      </c>
      <c r="AJ345" s="20">
        <v>0</v>
      </c>
      <c r="AK345" s="20">
        <v>0</v>
      </c>
      <c r="AL345" s="20">
        <v>0</v>
      </c>
      <c r="AM345" s="20">
        <v>0</v>
      </c>
      <c r="AN345" s="20">
        <v>0</v>
      </c>
      <c r="AO345" s="20">
        <v>0</v>
      </c>
      <c r="AP345" s="20">
        <v>0</v>
      </c>
      <c r="AQ345" s="20">
        <v>0</v>
      </c>
      <c r="AR345" s="20">
        <v>0</v>
      </c>
      <c r="AS345" s="20">
        <v>0</v>
      </c>
      <c r="AT345" s="20">
        <v>0</v>
      </c>
      <c r="AU345" s="20">
        <v>0</v>
      </c>
      <c r="AV345" s="20">
        <v>0</v>
      </c>
      <c r="AW345" s="20">
        <v>0</v>
      </c>
      <c r="AX345" s="20">
        <v>0</v>
      </c>
      <c r="AY345" s="20">
        <v>0</v>
      </c>
      <c r="AZ345" s="20">
        <v>0</v>
      </c>
      <c r="BA345" s="20">
        <v>0</v>
      </c>
      <c r="BB345" s="20">
        <v>0</v>
      </c>
      <c r="BC345" s="20">
        <v>0</v>
      </c>
      <c r="BD345" s="20">
        <v>0</v>
      </c>
      <c r="BE345" s="20">
        <v>0</v>
      </c>
      <c r="BF345" s="20">
        <v>0</v>
      </c>
      <c r="BG345" s="20">
        <v>0</v>
      </c>
      <c r="BH345" s="20">
        <v>0</v>
      </c>
      <c r="BI345" s="20">
        <v>0</v>
      </c>
      <c r="BJ345" s="20">
        <v>0</v>
      </c>
      <c r="BK345" s="20">
        <v>0</v>
      </c>
      <c r="BL345" s="20">
        <v>0</v>
      </c>
      <c r="BM345" s="20">
        <v>0</v>
      </c>
      <c r="BN345" s="20">
        <v>0</v>
      </c>
      <c r="BO345" s="20">
        <v>0</v>
      </c>
      <c r="BP345" s="20">
        <v>0</v>
      </c>
      <c r="BQ345" s="20">
        <v>0</v>
      </c>
      <c r="BR345" s="20">
        <v>0</v>
      </c>
      <c r="BS345" s="20">
        <v>0</v>
      </c>
      <c r="BT345" s="20">
        <v>0</v>
      </c>
      <c r="BU345" s="20">
        <v>0</v>
      </c>
      <c r="BV345" s="20">
        <v>0</v>
      </c>
      <c r="BW345" s="20">
        <v>0</v>
      </c>
      <c r="BX345" s="20">
        <v>0</v>
      </c>
      <c r="BY345" s="20">
        <v>0</v>
      </c>
      <c r="BZ345" s="20">
        <v>0</v>
      </c>
      <c r="CA345" s="20">
        <v>0</v>
      </c>
      <c r="CB345" s="20">
        <v>0</v>
      </c>
      <c r="CC345" s="20">
        <v>0</v>
      </c>
      <c r="CD345" s="20">
        <v>0</v>
      </c>
      <c r="CE345" s="20">
        <v>0</v>
      </c>
      <c r="CF345" s="20">
        <v>0</v>
      </c>
      <c r="CG345" s="20">
        <v>0</v>
      </c>
      <c r="CH345" s="20">
        <v>0</v>
      </c>
      <c r="CI345" s="20">
        <v>0</v>
      </c>
      <c r="CJ345" s="20">
        <v>0</v>
      </c>
      <c r="CK345" s="20">
        <v>0</v>
      </c>
      <c r="CL345" s="20">
        <v>0</v>
      </c>
      <c r="CM345" s="20">
        <v>0</v>
      </c>
      <c r="CN345" s="20">
        <v>0</v>
      </c>
      <c r="CO345" s="20">
        <v>0</v>
      </c>
      <c r="CP345" s="20">
        <v>0</v>
      </c>
      <c r="CQ345" s="20">
        <v>0</v>
      </c>
      <c r="CR345" s="20">
        <v>0</v>
      </c>
      <c r="CS345" s="20">
        <v>0</v>
      </c>
      <c r="CT345" s="20">
        <v>0</v>
      </c>
      <c r="CU345" s="20">
        <v>0</v>
      </c>
      <c r="CV345" s="20">
        <v>0</v>
      </c>
      <c r="CW345" s="20">
        <v>0</v>
      </c>
      <c r="CX345" s="20">
        <v>0</v>
      </c>
      <c r="CY345" s="20">
        <v>0</v>
      </c>
      <c r="CZ345" s="20">
        <v>0</v>
      </c>
      <c r="DA345" s="20">
        <v>0</v>
      </c>
      <c r="DB345" s="20">
        <v>0</v>
      </c>
      <c r="DC345" s="20">
        <v>0</v>
      </c>
      <c r="DD345" s="20">
        <v>0</v>
      </c>
      <c r="DE345" s="20">
        <v>0</v>
      </c>
      <c r="DF345" s="20">
        <v>0</v>
      </c>
      <c r="DG345" s="16">
        <f t="shared" si="29"/>
        <v>0</v>
      </c>
      <c r="DH345" s="16">
        <f t="shared" si="30"/>
        <v>0</v>
      </c>
      <c r="DI345" s="17" t="str">
        <f t="shared" si="31"/>
        <v/>
      </c>
      <c r="DJ345" s="119" t="s">
        <v>719</v>
      </c>
      <c r="DK345" s="44" t="s">
        <v>719</v>
      </c>
    </row>
    <row r="346" spans="1:115">
      <c r="A346" s="32" t="str">
        <f t="shared" si="32"/>
        <v xml:space="preserve">Essential (Original)--˂ = 11 kV ; SUBDIVISION ; COMPLEX TYPE </v>
      </c>
      <c r="B346" s="32" t="str">
        <f t="shared" si="33"/>
        <v>Essential (Original)</v>
      </c>
      <c r="C346" s="384"/>
      <c r="D346" s="14"/>
      <c r="E346" s="15" t="s">
        <v>190</v>
      </c>
      <c r="F346" s="18">
        <v>53.8</v>
      </c>
      <c r="G346" s="18">
        <v>7.334848328356899</v>
      </c>
      <c r="H346" s="20">
        <v>0</v>
      </c>
      <c r="I346" s="20">
        <v>0</v>
      </c>
      <c r="J346" s="20">
        <v>0</v>
      </c>
      <c r="K346" s="20">
        <v>0</v>
      </c>
      <c r="L346" s="20">
        <v>0</v>
      </c>
      <c r="M346" s="20">
        <v>0</v>
      </c>
      <c r="N346" s="20">
        <v>0</v>
      </c>
      <c r="O346" s="20">
        <v>0</v>
      </c>
      <c r="P346" s="20">
        <v>0</v>
      </c>
      <c r="Q346" s="20">
        <v>0</v>
      </c>
      <c r="R346" s="20">
        <v>0</v>
      </c>
      <c r="S346" s="20">
        <v>0</v>
      </c>
      <c r="T346" s="20">
        <v>0</v>
      </c>
      <c r="U346" s="20">
        <v>0</v>
      </c>
      <c r="V346" s="20">
        <v>0</v>
      </c>
      <c r="W346" s="20">
        <v>0</v>
      </c>
      <c r="X346" s="20">
        <v>0</v>
      </c>
      <c r="Y346" s="20">
        <v>0</v>
      </c>
      <c r="Z346" s="20">
        <v>0</v>
      </c>
      <c r="AA346" s="20">
        <v>0</v>
      </c>
      <c r="AB346" s="20">
        <v>0</v>
      </c>
      <c r="AC346" s="20">
        <v>0</v>
      </c>
      <c r="AD346" s="20">
        <v>0</v>
      </c>
      <c r="AE346" s="20">
        <v>0</v>
      </c>
      <c r="AF346" s="20">
        <v>0</v>
      </c>
      <c r="AG346" s="20">
        <v>0</v>
      </c>
      <c r="AH346" s="20">
        <v>0</v>
      </c>
      <c r="AI346" s="20">
        <v>0</v>
      </c>
      <c r="AJ346" s="20">
        <v>0</v>
      </c>
      <c r="AK346" s="20">
        <v>0</v>
      </c>
      <c r="AL346" s="20">
        <v>0</v>
      </c>
      <c r="AM346" s="20">
        <v>0</v>
      </c>
      <c r="AN346" s="20">
        <v>0</v>
      </c>
      <c r="AO346" s="20">
        <v>0</v>
      </c>
      <c r="AP346" s="20">
        <v>0</v>
      </c>
      <c r="AQ346" s="20">
        <v>0</v>
      </c>
      <c r="AR346" s="20">
        <v>0</v>
      </c>
      <c r="AS346" s="20">
        <v>0</v>
      </c>
      <c r="AT346" s="20">
        <v>0</v>
      </c>
      <c r="AU346" s="20">
        <v>0</v>
      </c>
      <c r="AV346" s="20">
        <v>0</v>
      </c>
      <c r="AW346" s="20">
        <v>0</v>
      </c>
      <c r="AX346" s="20">
        <v>0</v>
      </c>
      <c r="AY346" s="20">
        <v>0</v>
      </c>
      <c r="AZ346" s="20">
        <v>0</v>
      </c>
      <c r="BA346" s="20">
        <v>0</v>
      </c>
      <c r="BB346" s="20">
        <v>0</v>
      </c>
      <c r="BC346" s="20">
        <v>0</v>
      </c>
      <c r="BD346" s="20">
        <v>0</v>
      </c>
      <c r="BE346" s="20">
        <v>0</v>
      </c>
      <c r="BF346" s="20">
        <v>0</v>
      </c>
      <c r="BG346" s="20">
        <v>0</v>
      </c>
      <c r="BH346" s="20">
        <v>0</v>
      </c>
      <c r="BI346" s="20">
        <v>0</v>
      </c>
      <c r="BJ346" s="20">
        <v>0</v>
      </c>
      <c r="BK346" s="20">
        <v>0</v>
      </c>
      <c r="BL346" s="20">
        <v>0</v>
      </c>
      <c r="BM346" s="20">
        <v>0</v>
      </c>
      <c r="BN346" s="20">
        <v>0</v>
      </c>
      <c r="BO346" s="20">
        <v>0</v>
      </c>
      <c r="BP346" s="20">
        <v>0</v>
      </c>
      <c r="BQ346" s="20">
        <v>0</v>
      </c>
      <c r="BR346" s="20">
        <v>0</v>
      </c>
      <c r="BS346" s="20">
        <v>0</v>
      </c>
      <c r="BT346" s="20">
        <v>0</v>
      </c>
      <c r="BU346" s="20">
        <v>0</v>
      </c>
      <c r="BV346" s="20">
        <v>0</v>
      </c>
      <c r="BW346" s="20">
        <v>0</v>
      </c>
      <c r="BX346" s="20">
        <v>0</v>
      </c>
      <c r="BY346" s="20">
        <v>0</v>
      </c>
      <c r="BZ346" s="20">
        <v>0</v>
      </c>
      <c r="CA346" s="20">
        <v>0</v>
      </c>
      <c r="CB346" s="20">
        <v>0</v>
      </c>
      <c r="CC346" s="20">
        <v>0</v>
      </c>
      <c r="CD346" s="20">
        <v>0</v>
      </c>
      <c r="CE346" s="20">
        <v>0</v>
      </c>
      <c r="CF346" s="20">
        <v>0</v>
      </c>
      <c r="CG346" s="20">
        <v>0</v>
      </c>
      <c r="CH346" s="20">
        <v>0</v>
      </c>
      <c r="CI346" s="20">
        <v>0</v>
      </c>
      <c r="CJ346" s="20">
        <v>0</v>
      </c>
      <c r="CK346" s="20">
        <v>0</v>
      </c>
      <c r="CL346" s="20">
        <v>0</v>
      </c>
      <c r="CM346" s="20">
        <v>0</v>
      </c>
      <c r="CN346" s="20">
        <v>0</v>
      </c>
      <c r="CO346" s="20">
        <v>0</v>
      </c>
      <c r="CP346" s="20">
        <v>0</v>
      </c>
      <c r="CQ346" s="20">
        <v>0</v>
      </c>
      <c r="CR346" s="20">
        <v>0</v>
      </c>
      <c r="CS346" s="20">
        <v>0</v>
      </c>
      <c r="CT346" s="20">
        <v>0</v>
      </c>
      <c r="CU346" s="20">
        <v>0</v>
      </c>
      <c r="CV346" s="20">
        <v>0</v>
      </c>
      <c r="CW346" s="20">
        <v>0</v>
      </c>
      <c r="CX346" s="20">
        <v>0</v>
      </c>
      <c r="CY346" s="20">
        <v>0</v>
      </c>
      <c r="CZ346" s="20">
        <v>0</v>
      </c>
      <c r="DA346" s="20">
        <v>0</v>
      </c>
      <c r="DB346" s="20">
        <v>0</v>
      </c>
      <c r="DC346" s="20">
        <v>0</v>
      </c>
      <c r="DD346" s="20">
        <v>0</v>
      </c>
      <c r="DE346" s="20">
        <v>0</v>
      </c>
      <c r="DF346" s="20">
        <v>0</v>
      </c>
      <c r="DG346" s="16">
        <f t="shared" si="29"/>
        <v>0</v>
      </c>
      <c r="DH346" s="16">
        <f t="shared" si="30"/>
        <v>0</v>
      </c>
      <c r="DI346" s="17" t="str">
        <f t="shared" si="31"/>
        <v/>
      </c>
      <c r="DJ346" s="119" t="s">
        <v>719</v>
      </c>
      <c r="DK346" s="44" t="s">
        <v>719</v>
      </c>
    </row>
    <row r="347" spans="1:115">
      <c r="A347" s="32" t="str">
        <f t="shared" si="32"/>
        <v xml:space="preserve">Essential (Original)--&gt; 11 kV  &amp; &lt; = 22 kV ; COMMERCIAL &amp; INDUSTRIAL  </v>
      </c>
      <c r="B347" s="32" t="str">
        <f t="shared" si="33"/>
        <v>Essential (Original)</v>
      </c>
      <c r="C347" s="384"/>
      <c r="D347" s="14"/>
      <c r="E347" s="15" t="s">
        <v>191</v>
      </c>
      <c r="F347" s="18">
        <v>53.8</v>
      </c>
      <c r="G347" s="18">
        <v>7.334848328356899</v>
      </c>
      <c r="H347" s="20">
        <v>0</v>
      </c>
      <c r="I347" s="20">
        <v>0</v>
      </c>
      <c r="J347" s="20">
        <v>0</v>
      </c>
      <c r="K347" s="20">
        <v>0</v>
      </c>
      <c r="L347" s="20">
        <v>0</v>
      </c>
      <c r="M347" s="20">
        <v>0</v>
      </c>
      <c r="N347" s="20">
        <v>0</v>
      </c>
      <c r="O347" s="20">
        <v>0</v>
      </c>
      <c r="P347" s="20">
        <v>0</v>
      </c>
      <c r="Q347" s="20">
        <v>0</v>
      </c>
      <c r="R347" s="20">
        <v>0</v>
      </c>
      <c r="S347" s="20">
        <v>0</v>
      </c>
      <c r="T347" s="20">
        <v>0</v>
      </c>
      <c r="U347" s="20">
        <v>0</v>
      </c>
      <c r="V347" s="20">
        <v>0</v>
      </c>
      <c r="W347" s="20">
        <v>0</v>
      </c>
      <c r="X347" s="20">
        <v>0</v>
      </c>
      <c r="Y347" s="20">
        <v>0</v>
      </c>
      <c r="Z347" s="20">
        <v>0</v>
      </c>
      <c r="AA347" s="20">
        <v>0</v>
      </c>
      <c r="AB347" s="20">
        <v>0</v>
      </c>
      <c r="AC347" s="20">
        <v>0</v>
      </c>
      <c r="AD347" s="20">
        <v>0</v>
      </c>
      <c r="AE347" s="20">
        <v>0</v>
      </c>
      <c r="AF347" s="20">
        <v>0</v>
      </c>
      <c r="AG347" s="20">
        <v>0</v>
      </c>
      <c r="AH347" s="20">
        <v>0</v>
      </c>
      <c r="AI347" s="20">
        <v>0</v>
      </c>
      <c r="AJ347" s="20">
        <v>0</v>
      </c>
      <c r="AK347" s="20">
        <v>0</v>
      </c>
      <c r="AL347" s="20">
        <v>0</v>
      </c>
      <c r="AM347" s="20">
        <v>0</v>
      </c>
      <c r="AN347" s="20">
        <v>0</v>
      </c>
      <c r="AO347" s="20">
        <v>0</v>
      </c>
      <c r="AP347" s="20">
        <v>0</v>
      </c>
      <c r="AQ347" s="20">
        <v>0</v>
      </c>
      <c r="AR347" s="20">
        <v>0</v>
      </c>
      <c r="AS347" s="20">
        <v>0</v>
      </c>
      <c r="AT347" s="20">
        <v>0</v>
      </c>
      <c r="AU347" s="20">
        <v>0</v>
      </c>
      <c r="AV347" s="20">
        <v>0</v>
      </c>
      <c r="AW347" s="20">
        <v>0</v>
      </c>
      <c r="AX347" s="20">
        <v>0</v>
      </c>
      <c r="AY347" s="20">
        <v>0</v>
      </c>
      <c r="AZ347" s="20">
        <v>0</v>
      </c>
      <c r="BA347" s="20">
        <v>0</v>
      </c>
      <c r="BB347" s="20">
        <v>0</v>
      </c>
      <c r="BC347" s="20">
        <v>0</v>
      </c>
      <c r="BD347" s="20">
        <v>0</v>
      </c>
      <c r="BE347" s="20">
        <v>0</v>
      </c>
      <c r="BF347" s="20">
        <v>0</v>
      </c>
      <c r="BG347" s="20">
        <v>0</v>
      </c>
      <c r="BH347" s="20">
        <v>0</v>
      </c>
      <c r="BI347" s="20">
        <v>0</v>
      </c>
      <c r="BJ347" s="20">
        <v>0</v>
      </c>
      <c r="BK347" s="20">
        <v>0</v>
      </c>
      <c r="BL347" s="20">
        <v>0</v>
      </c>
      <c r="BM347" s="20">
        <v>0</v>
      </c>
      <c r="BN347" s="20">
        <v>0</v>
      </c>
      <c r="BO347" s="20">
        <v>0</v>
      </c>
      <c r="BP347" s="20">
        <v>0</v>
      </c>
      <c r="BQ347" s="20">
        <v>0</v>
      </c>
      <c r="BR347" s="20">
        <v>0</v>
      </c>
      <c r="BS347" s="20">
        <v>0</v>
      </c>
      <c r="BT347" s="20">
        <v>0</v>
      </c>
      <c r="BU347" s="20">
        <v>0</v>
      </c>
      <c r="BV347" s="20">
        <v>0</v>
      </c>
      <c r="BW347" s="20">
        <v>0</v>
      </c>
      <c r="BX347" s="20">
        <v>0</v>
      </c>
      <c r="BY347" s="20">
        <v>0</v>
      </c>
      <c r="BZ347" s="20">
        <v>0</v>
      </c>
      <c r="CA347" s="20">
        <v>0</v>
      </c>
      <c r="CB347" s="20">
        <v>0</v>
      </c>
      <c r="CC347" s="20">
        <v>0</v>
      </c>
      <c r="CD347" s="20">
        <v>0</v>
      </c>
      <c r="CE347" s="20">
        <v>0</v>
      </c>
      <c r="CF347" s="20">
        <v>0</v>
      </c>
      <c r="CG347" s="20">
        <v>0</v>
      </c>
      <c r="CH347" s="20">
        <v>0</v>
      </c>
      <c r="CI347" s="20">
        <v>0</v>
      </c>
      <c r="CJ347" s="20">
        <v>0</v>
      </c>
      <c r="CK347" s="20">
        <v>0</v>
      </c>
      <c r="CL347" s="20">
        <v>0</v>
      </c>
      <c r="CM347" s="20">
        <v>0</v>
      </c>
      <c r="CN347" s="20">
        <v>0</v>
      </c>
      <c r="CO347" s="20">
        <v>0</v>
      </c>
      <c r="CP347" s="20">
        <v>0</v>
      </c>
      <c r="CQ347" s="20">
        <v>0</v>
      </c>
      <c r="CR347" s="20">
        <v>0</v>
      </c>
      <c r="CS347" s="20">
        <v>0</v>
      </c>
      <c r="CT347" s="20">
        <v>0</v>
      </c>
      <c r="CU347" s="20">
        <v>0</v>
      </c>
      <c r="CV347" s="20">
        <v>0</v>
      </c>
      <c r="CW347" s="20">
        <v>0</v>
      </c>
      <c r="CX347" s="20">
        <v>0</v>
      </c>
      <c r="CY347" s="20">
        <v>0</v>
      </c>
      <c r="CZ347" s="20">
        <v>0</v>
      </c>
      <c r="DA347" s="20">
        <v>0</v>
      </c>
      <c r="DB347" s="20">
        <v>0</v>
      </c>
      <c r="DC347" s="20">
        <v>0</v>
      </c>
      <c r="DD347" s="20">
        <v>0</v>
      </c>
      <c r="DE347" s="20">
        <v>0</v>
      </c>
      <c r="DF347" s="20">
        <v>0</v>
      </c>
      <c r="DG347" s="16">
        <f t="shared" si="29"/>
        <v>0</v>
      </c>
      <c r="DH347" s="16">
        <f t="shared" si="30"/>
        <v>0</v>
      </c>
      <c r="DI347" s="17" t="str">
        <f t="shared" si="31"/>
        <v/>
      </c>
      <c r="DJ347" s="119" t="s">
        <v>719</v>
      </c>
      <c r="DK347" s="44" t="s">
        <v>719</v>
      </c>
    </row>
    <row r="348" spans="1:115">
      <c r="A348" s="32" t="str">
        <f t="shared" si="32"/>
        <v xml:space="preserve">Essential (Original)--&gt; 11 kV  &amp; &lt; = 22 kV ; SUBDIVISION  </v>
      </c>
      <c r="B348" s="32" t="str">
        <f t="shared" si="33"/>
        <v>Essential (Original)</v>
      </c>
      <c r="C348" s="384"/>
      <c r="D348" s="14"/>
      <c r="E348" s="15" t="s">
        <v>192</v>
      </c>
      <c r="F348" s="18">
        <v>53.8</v>
      </c>
      <c r="G348" s="18">
        <v>7.334848328356899</v>
      </c>
      <c r="H348" s="20">
        <v>0</v>
      </c>
      <c r="I348" s="20">
        <v>0</v>
      </c>
      <c r="J348" s="20">
        <v>0</v>
      </c>
      <c r="K348" s="20">
        <v>0</v>
      </c>
      <c r="L348" s="20">
        <v>0</v>
      </c>
      <c r="M348" s="20">
        <v>0</v>
      </c>
      <c r="N348" s="20">
        <v>0</v>
      </c>
      <c r="O348" s="20">
        <v>0</v>
      </c>
      <c r="P348" s="20">
        <v>0</v>
      </c>
      <c r="Q348" s="20">
        <v>0</v>
      </c>
      <c r="R348" s="20">
        <v>0</v>
      </c>
      <c r="S348" s="20">
        <v>0</v>
      </c>
      <c r="T348" s="20">
        <v>0</v>
      </c>
      <c r="U348" s="20">
        <v>0</v>
      </c>
      <c r="V348" s="20">
        <v>0</v>
      </c>
      <c r="W348" s="20">
        <v>0</v>
      </c>
      <c r="X348" s="20">
        <v>0</v>
      </c>
      <c r="Y348" s="20">
        <v>0</v>
      </c>
      <c r="Z348" s="20">
        <v>0</v>
      </c>
      <c r="AA348" s="20">
        <v>0</v>
      </c>
      <c r="AB348" s="20">
        <v>0</v>
      </c>
      <c r="AC348" s="20">
        <v>0</v>
      </c>
      <c r="AD348" s="20">
        <v>0</v>
      </c>
      <c r="AE348" s="20">
        <v>0</v>
      </c>
      <c r="AF348" s="20">
        <v>0</v>
      </c>
      <c r="AG348" s="20">
        <v>0</v>
      </c>
      <c r="AH348" s="20">
        <v>0</v>
      </c>
      <c r="AI348" s="20">
        <v>0</v>
      </c>
      <c r="AJ348" s="20">
        <v>0</v>
      </c>
      <c r="AK348" s="20">
        <v>0</v>
      </c>
      <c r="AL348" s="20">
        <v>0</v>
      </c>
      <c r="AM348" s="20">
        <v>0</v>
      </c>
      <c r="AN348" s="20">
        <v>0</v>
      </c>
      <c r="AO348" s="20">
        <v>0</v>
      </c>
      <c r="AP348" s="20">
        <v>0</v>
      </c>
      <c r="AQ348" s="20">
        <v>0</v>
      </c>
      <c r="AR348" s="20">
        <v>0</v>
      </c>
      <c r="AS348" s="20">
        <v>0</v>
      </c>
      <c r="AT348" s="20">
        <v>0</v>
      </c>
      <c r="AU348" s="20">
        <v>0</v>
      </c>
      <c r="AV348" s="20">
        <v>0</v>
      </c>
      <c r="AW348" s="20">
        <v>0</v>
      </c>
      <c r="AX348" s="20">
        <v>0</v>
      </c>
      <c r="AY348" s="20">
        <v>0</v>
      </c>
      <c r="AZ348" s="20">
        <v>0</v>
      </c>
      <c r="BA348" s="20">
        <v>0</v>
      </c>
      <c r="BB348" s="20">
        <v>0</v>
      </c>
      <c r="BC348" s="20">
        <v>0</v>
      </c>
      <c r="BD348" s="20">
        <v>0</v>
      </c>
      <c r="BE348" s="20">
        <v>0</v>
      </c>
      <c r="BF348" s="20">
        <v>0</v>
      </c>
      <c r="BG348" s="20">
        <v>0</v>
      </c>
      <c r="BH348" s="20">
        <v>0</v>
      </c>
      <c r="BI348" s="20">
        <v>0</v>
      </c>
      <c r="BJ348" s="20">
        <v>0</v>
      </c>
      <c r="BK348" s="20">
        <v>0</v>
      </c>
      <c r="BL348" s="20">
        <v>0</v>
      </c>
      <c r="BM348" s="20">
        <v>0</v>
      </c>
      <c r="BN348" s="20">
        <v>0</v>
      </c>
      <c r="BO348" s="20">
        <v>0</v>
      </c>
      <c r="BP348" s="20">
        <v>0</v>
      </c>
      <c r="BQ348" s="20">
        <v>0</v>
      </c>
      <c r="BR348" s="20">
        <v>0</v>
      </c>
      <c r="BS348" s="20">
        <v>0</v>
      </c>
      <c r="BT348" s="20">
        <v>0</v>
      </c>
      <c r="BU348" s="20">
        <v>0</v>
      </c>
      <c r="BV348" s="20">
        <v>0</v>
      </c>
      <c r="BW348" s="20">
        <v>0</v>
      </c>
      <c r="BX348" s="20">
        <v>0</v>
      </c>
      <c r="BY348" s="20">
        <v>0</v>
      </c>
      <c r="BZ348" s="20">
        <v>0</v>
      </c>
      <c r="CA348" s="20">
        <v>0</v>
      </c>
      <c r="CB348" s="20">
        <v>0</v>
      </c>
      <c r="CC348" s="20">
        <v>0</v>
      </c>
      <c r="CD348" s="20">
        <v>0</v>
      </c>
      <c r="CE348" s="20">
        <v>0</v>
      </c>
      <c r="CF348" s="20">
        <v>0</v>
      </c>
      <c r="CG348" s="20">
        <v>0</v>
      </c>
      <c r="CH348" s="20">
        <v>0</v>
      </c>
      <c r="CI348" s="20">
        <v>0</v>
      </c>
      <c r="CJ348" s="20">
        <v>0</v>
      </c>
      <c r="CK348" s="20">
        <v>0</v>
      </c>
      <c r="CL348" s="20">
        <v>0</v>
      </c>
      <c r="CM348" s="20">
        <v>0</v>
      </c>
      <c r="CN348" s="20">
        <v>0</v>
      </c>
      <c r="CO348" s="20">
        <v>0</v>
      </c>
      <c r="CP348" s="20">
        <v>0</v>
      </c>
      <c r="CQ348" s="20">
        <v>0</v>
      </c>
      <c r="CR348" s="20">
        <v>0</v>
      </c>
      <c r="CS348" s="20">
        <v>0</v>
      </c>
      <c r="CT348" s="20">
        <v>0</v>
      </c>
      <c r="CU348" s="20">
        <v>0</v>
      </c>
      <c r="CV348" s="20">
        <v>0</v>
      </c>
      <c r="CW348" s="20">
        <v>0</v>
      </c>
      <c r="CX348" s="20">
        <v>0</v>
      </c>
      <c r="CY348" s="20">
        <v>0</v>
      </c>
      <c r="CZ348" s="20">
        <v>0</v>
      </c>
      <c r="DA348" s="20">
        <v>0</v>
      </c>
      <c r="DB348" s="20">
        <v>0</v>
      </c>
      <c r="DC348" s="20">
        <v>0</v>
      </c>
      <c r="DD348" s="20">
        <v>0</v>
      </c>
      <c r="DE348" s="20">
        <v>0</v>
      </c>
      <c r="DF348" s="20">
        <v>0</v>
      </c>
      <c r="DG348" s="16">
        <f t="shared" si="29"/>
        <v>0</v>
      </c>
      <c r="DH348" s="16">
        <f t="shared" si="30"/>
        <v>0</v>
      </c>
      <c r="DI348" s="17" t="str">
        <f t="shared" si="31"/>
        <v/>
      </c>
      <c r="DJ348" s="119" t="s">
        <v>719</v>
      </c>
      <c r="DK348" s="44" t="s">
        <v>719</v>
      </c>
    </row>
    <row r="349" spans="1:115">
      <c r="A349" s="32" t="str">
        <f t="shared" si="32"/>
        <v xml:space="preserve">Essential (Original)--&gt; 22 kV &amp; &lt; = 33 kV ; COMMERCIAL &amp; INDUSTRIAL  </v>
      </c>
      <c r="B349" s="32" t="str">
        <f t="shared" si="33"/>
        <v>Essential (Original)</v>
      </c>
      <c r="C349" s="384"/>
      <c r="D349" s="14"/>
      <c r="E349" s="15" t="s">
        <v>193</v>
      </c>
      <c r="F349" s="18">
        <v>54.9</v>
      </c>
      <c r="G349" s="18">
        <v>7.4094534211370817</v>
      </c>
      <c r="H349" s="20">
        <v>0</v>
      </c>
      <c r="I349" s="20">
        <v>0</v>
      </c>
      <c r="J349" s="20">
        <v>0</v>
      </c>
      <c r="K349" s="20">
        <v>0</v>
      </c>
      <c r="L349" s="20">
        <v>0</v>
      </c>
      <c r="M349" s="20">
        <v>0</v>
      </c>
      <c r="N349" s="20">
        <v>0</v>
      </c>
      <c r="O349" s="20">
        <v>0</v>
      </c>
      <c r="P349" s="20">
        <v>0</v>
      </c>
      <c r="Q349" s="20">
        <v>0</v>
      </c>
      <c r="R349" s="20">
        <v>0</v>
      </c>
      <c r="S349" s="20">
        <v>0</v>
      </c>
      <c r="T349" s="20">
        <v>0</v>
      </c>
      <c r="U349" s="20">
        <v>0</v>
      </c>
      <c r="V349" s="20">
        <v>0</v>
      </c>
      <c r="W349" s="20">
        <v>0</v>
      </c>
      <c r="X349" s="20">
        <v>0</v>
      </c>
      <c r="Y349" s="20">
        <v>0</v>
      </c>
      <c r="Z349" s="20">
        <v>0</v>
      </c>
      <c r="AA349" s="20">
        <v>0</v>
      </c>
      <c r="AB349" s="20">
        <v>0</v>
      </c>
      <c r="AC349" s="20">
        <v>0</v>
      </c>
      <c r="AD349" s="20">
        <v>0</v>
      </c>
      <c r="AE349" s="20">
        <v>0</v>
      </c>
      <c r="AF349" s="20">
        <v>0</v>
      </c>
      <c r="AG349" s="20">
        <v>0</v>
      </c>
      <c r="AH349" s="20">
        <v>0</v>
      </c>
      <c r="AI349" s="20">
        <v>0</v>
      </c>
      <c r="AJ349" s="20">
        <v>0</v>
      </c>
      <c r="AK349" s="20">
        <v>0</v>
      </c>
      <c r="AL349" s="20">
        <v>0</v>
      </c>
      <c r="AM349" s="20">
        <v>0</v>
      </c>
      <c r="AN349" s="20">
        <v>0</v>
      </c>
      <c r="AO349" s="20">
        <v>0</v>
      </c>
      <c r="AP349" s="20">
        <v>0</v>
      </c>
      <c r="AQ349" s="20">
        <v>0</v>
      </c>
      <c r="AR349" s="20">
        <v>0</v>
      </c>
      <c r="AS349" s="20">
        <v>0</v>
      </c>
      <c r="AT349" s="20">
        <v>0</v>
      </c>
      <c r="AU349" s="20">
        <v>0</v>
      </c>
      <c r="AV349" s="20">
        <v>0</v>
      </c>
      <c r="AW349" s="20">
        <v>0</v>
      </c>
      <c r="AX349" s="20">
        <v>0</v>
      </c>
      <c r="AY349" s="20">
        <v>0</v>
      </c>
      <c r="AZ349" s="20">
        <v>0</v>
      </c>
      <c r="BA349" s="20">
        <v>0</v>
      </c>
      <c r="BB349" s="20">
        <v>0</v>
      </c>
      <c r="BC349" s="20">
        <v>0</v>
      </c>
      <c r="BD349" s="20">
        <v>0</v>
      </c>
      <c r="BE349" s="20">
        <v>0</v>
      </c>
      <c r="BF349" s="20">
        <v>0</v>
      </c>
      <c r="BG349" s="20">
        <v>0</v>
      </c>
      <c r="BH349" s="20">
        <v>0</v>
      </c>
      <c r="BI349" s="20">
        <v>0</v>
      </c>
      <c r="BJ349" s="20">
        <v>0</v>
      </c>
      <c r="BK349" s="20">
        <v>0</v>
      </c>
      <c r="BL349" s="20">
        <v>0</v>
      </c>
      <c r="BM349" s="20">
        <v>0</v>
      </c>
      <c r="BN349" s="20">
        <v>0</v>
      </c>
      <c r="BO349" s="20">
        <v>0</v>
      </c>
      <c r="BP349" s="20">
        <v>0</v>
      </c>
      <c r="BQ349" s="20">
        <v>0</v>
      </c>
      <c r="BR349" s="20">
        <v>0</v>
      </c>
      <c r="BS349" s="20">
        <v>0</v>
      </c>
      <c r="BT349" s="20">
        <v>0</v>
      </c>
      <c r="BU349" s="20">
        <v>0</v>
      </c>
      <c r="BV349" s="20">
        <v>0</v>
      </c>
      <c r="BW349" s="20">
        <v>0</v>
      </c>
      <c r="BX349" s="20">
        <v>0</v>
      </c>
      <c r="BY349" s="20">
        <v>0</v>
      </c>
      <c r="BZ349" s="20">
        <v>0</v>
      </c>
      <c r="CA349" s="20">
        <v>0</v>
      </c>
      <c r="CB349" s="20">
        <v>0</v>
      </c>
      <c r="CC349" s="20">
        <v>0</v>
      </c>
      <c r="CD349" s="20">
        <v>0</v>
      </c>
      <c r="CE349" s="20">
        <v>0</v>
      </c>
      <c r="CF349" s="20">
        <v>0</v>
      </c>
      <c r="CG349" s="20">
        <v>0</v>
      </c>
      <c r="CH349" s="20">
        <v>0</v>
      </c>
      <c r="CI349" s="20">
        <v>0</v>
      </c>
      <c r="CJ349" s="20">
        <v>0</v>
      </c>
      <c r="CK349" s="20">
        <v>0</v>
      </c>
      <c r="CL349" s="20">
        <v>0</v>
      </c>
      <c r="CM349" s="20">
        <v>0</v>
      </c>
      <c r="CN349" s="20">
        <v>0</v>
      </c>
      <c r="CO349" s="20">
        <v>0</v>
      </c>
      <c r="CP349" s="20">
        <v>0</v>
      </c>
      <c r="CQ349" s="20">
        <v>0</v>
      </c>
      <c r="CR349" s="20">
        <v>0</v>
      </c>
      <c r="CS349" s="20">
        <v>0</v>
      </c>
      <c r="CT349" s="20">
        <v>0</v>
      </c>
      <c r="CU349" s="20">
        <v>0</v>
      </c>
      <c r="CV349" s="20">
        <v>0</v>
      </c>
      <c r="CW349" s="20">
        <v>0</v>
      </c>
      <c r="CX349" s="20">
        <v>0</v>
      </c>
      <c r="CY349" s="20">
        <v>0</v>
      </c>
      <c r="CZ349" s="20">
        <v>0</v>
      </c>
      <c r="DA349" s="20">
        <v>0</v>
      </c>
      <c r="DB349" s="20">
        <v>0</v>
      </c>
      <c r="DC349" s="20">
        <v>0</v>
      </c>
      <c r="DD349" s="20">
        <v>0</v>
      </c>
      <c r="DE349" s="20">
        <v>0</v>
      </c>
      <c r="DF349" s="20">
        <v>0</v>
      </c>
      <c r="DG349" s="16">
        <f t="shared" si="29"/>
        <v>0</v>
      </c>
      <c r="DH349" s="16">
        <f t="shared" si="30"/>
        <v>0</v>
      </c>
      <c r="DI349" s="17" t="str">
        <f t="shared" si="31"/>
        <v/>
      </c>
      <c r="DJ349" s="119" t="s">
        <v>719</v>
      </c>
      <c r="DK349" s="44" t="s">
        <v>719</v>
      </c>
    </row>
    <row r="350" spans="1:115">
      <c r="A350" s="32" t="str">
        <f t="shared" si="32"/>
        <v xml:space="preserve">Essential (Original)--&gt; 22 kV &amp; &lt; = 33 kV ; SUBDIVISION  </v>
      </c>
      <c r="B350" s="32" t="str">
        <f t="shared" si="33"/>
        <v>Essential (Original)</v>
      </c>
      <c r="C350" s="384"/>
      <c r="D350" s="14"/>
      <c r="E350" s="15" t="s">
        <v>194</v>
      </c>
      <c r="F350" s="18">
        <v>54.9</v>
      </c>
      <c r="G350" s="18">
        <v>7.4094534211370817</v>
      </c>
      <c r="H350" s="20">
        <v>0</v>
      </c>
      <c r="I350" s="20">
        <v>0</v>
      </c>
      <c r="J350" s="20">
        <v>0</v>
      </c>
      <c r="K350" s="20">
        <v>0</v>
      </c>
      <c r="L350" s="20">
        <v>0</v>
      </c>
      <c r="M350" s="20">
        <v>0</v>
      </c>
      <c r="N350" s="20">
        <v>0</v>
      </c>
      <c r="O350" s="20">
        <v>0</v>
      </c>
      <c r="P350" s="20">
        <v>0</v>
      </c>
      <c r="Q350" s="20">
        <v>0</v>
      </c>
      <c r="R350" s="20">
        <v>0</v>
      </c>
      <c r="S350" s="20">
        <v>0</v>
      </c>
      <c r="T350" s="20">
        <v>0</v>
      </c>
      <c r="U350" s="20">
        <v>0</v>
      </c>
      <c r="V350" s="20">
        <v>0</v>
      </c>
      <c r="W350" s="20">
        <v>0</v>
      </c>
      <c r="X350" s="20">
        <v>0</v>
      </c>
      <c r="Y350" s="20">
        <v>0</v>
      </c>
      <c r="Z350" s="20">
        <v>0</v>
      </c>
      <c r="AA350" s="20">
        <v>0</v>
      </c>
      <c r="AB350" s="20">
        <v>0</v>
      </c>
      <c r="AC350" s="20">
        <v>0</v>
      </c>
      <c r="AD350" s="20">
        <v>0</v>
      </c>
      <c r="AE350" s="20">
        <v>0</v>
      </c>
      <c r="AF350" s="20">
        <v>0</v>
      </c>
      <c r="AG350" s="20">
        <v>0</v>
      </c>
      <c r="AH350" s="20">
        <v>0</v>
      </c>
      <c r="AI350" s="20">
        <v>0</v>
      </c>
      <c r="AJ350" s="20">
        <v>0</v>
      </c>
      <c r="AK350" s="20">
        <v>0</v>
      </c>
      <c r="AL350" s="20">
        <v>0</v>
      </c>
      <c r="AM350" s="20">
        <v>0</v>
      </c>
      <c r="AN350" s="20">
        <v>0</v>
      </c>
      <c r="AO350" s="20">
        <v>0</v>
      </c>
      <c r="AP350" s="20">
        <v>0</v>
      </c>
      <c r="AQ350" s="20">
        <v>0</v>
      </c>
      <c r="AR350" s="20">
        <v>0</v>
      </c>
      <c r="AS350" s="20">
        <v>0</v>
      </c>
      <c r="AT350" s="20">
        <v>0</v>
      </c>
      <c r="AU350" s="20">
        <v>0</v>
      </c>
      <c r="AV350" s="20">
        <v>0</v>
      </c>
      <c r="AW350" s="20">
        <v>0</v>
      </c>
      <c r="AX350" s="20">
        <v>0</v>
      </c>
      <c r="AY350" s="20">
        <v>0</v>
      </c>
      <c r="AZ350" s="20">
        <v>0</v>
      </c>
      <c r="BA350" s="20">
        <v>0</v>
      </c>
      <c r="BB350" s="20">
        <v>0</v>
      </c>
      <c r="BC350" s="20">
        <v>0</v>
      </c>
      <c r="BD350" s="20">
        <v>0</v>
      </c>
      <c r="BE350" s="20">
        <v>0</v>
      </c>
      <c r="BF350" s="20">
        <v>0</v>
      </c>
      <c r="BG350" s="20">
        <v>0</v>
      </c>
      <c r="BH350" s="20">
        <v>0</v>
      </c>
      <c r="BI350" s="20">
        <v>0</v>
      </c>
      <c r="BJ350" s="20">
        <v>0</v>
      </c>
      <c r="BK350" s="20">
        <v>0</v>
      </c>
      <c r="BL350" s="20">
        <v>0</v>
      </c>
      <c r="BM350" s="20">
        <v>0</v>
      </c>
      <c r="BN350" s="20">
        <v>0</v>
      </c>
      <c r="BO350" s="20">
        <v>0</v>
      </c>
      <c r="BP350" s="20">
        <v>0</v>
      </c>
      <c r="BQ350" s="20">
        <v>0</v>
      </c>
      <c r="BR350" s="20">
        <v>0</v>
      </c>
      <c r="BS350" s="20">
        <v>0</v>
      </c>
      <c r="BT350" s="20">
        <v>0</v>
      </c>
      <c r="BU350" s="20">
        <v>0</v>
      </c>
      <c r="BV350" s="20">
        <v>0</v>
      </c>
      <c r="BW350" s="20">
        <v>0</v>
      </c>
      <c r="BX350" s="20">
        <v>0</v>
      </c>
      <c r="BY350" s="20">
        <v>0</v>
      </c>
      <c r="BZ350" s="20">
        <v>0</v>
      </c>
      <c r="CA350" s="20">
        <v>0</v>
      </c>
      <c r="CB350" s="20">
        <v>0</v>
      </c>
      <c r="CC350" s="20">
        <v>0</v>
      </c>
      <c r="CD350" s="20">
        <v>0</v>
      </c>
      <c r="CE350" s="20">
        <v>0</v>
      </c>
      <c r="CF350" s="20">
        <v>0</v>
      </c>
      <c r="CG350" s="20">
        <v>0</v>
      </c>
      <c r="CH350" s="20">
        <v>0</v>
      </c>
      <c r="CI350" s="20">
        <v>0</v>
      </c>
      <c r="CJ350" s="20">
        <v>0</v>
      </c>
      <c r="CK350" s="20">
        <v>0</v>
      </c>
      <c r="CL350" s="20">
        <v>0</v>
      </c>
      <c r="CM350" s="20">
        <v>0</v>
      </c>
      <c r="CN350" s="20">
        <v>0</v>
      </c>
      <c r="CO350" s="20">
        <v>0</v>
      </c>
      <c r="CP350" s="20">
        <v>0</v>
      </c>
      <c r="CQ350" s="20">
        <v>0</v>
      </c>
      <c r="CR350" s="20">
        <v>0</v>
      </c>
      <c r="CS350" s="20">
        <v>0</v>
      </c>
      <c r="CT350" s="20">
        <v>0</v>
      </c>
      <c r="CU350" s="20">
        <v>0</v>
      </c>
      <c r="CV350" s="20">
        <v>0</v>
      </c>
      <c r="CW350" s="20">
        <v>0</v>
      </c>
      <c r="CX350" s="20">
        <v>0</v>
      </c>
      <c r="CY350" s="20">
        <v>0</v>
      </c>
      <c r="CZ350" s="20">
        <v>0</v>
      </c>
      <c r="DA350" s="20">
        <v>0</v>
      </c>
      <c r="DB350" s="20">
        <v>0</v>
      </c>
      <c r="DC350" s="20">
        <v>0</v>
      </c>
      <c r="DD350" s="20">
        <v>0</v>
      </c>
      <c r="DE350" s="20">
        <v>0</v>
      </c>
      <c r="DF350" s="20">
        <v>0</v>
      </c>
      <c r="DG350" s="16">
        <f t="shared" si="29"/>
        <v>0</v>
      </c>
      <c r="DH350" s="16">
        <f t="shared" si="30"/>
        <v>0</v>
      </c>
      <c r="DI350" s="17" t="str">
        <f t="shared" si="31"/>
        <v/>
      </c>
      <c r="DJ350" s="119" t="s">
        <v>719</v>
      </c>
      <c r="DK350" s="44" t="s">
        <v>719</v>
      </c>
    </row>
    <row r="351" spans="1:115">
      <c r="A351" s="32" t="str">
        <f t="shared" si="32"/>
        <v xml:space="preserve">Essential (Original)--&gt; 33 kV &amp; &lt; = 66 kV ; COMMERCIAL &amp; INDUSTRIAL  </v>
      </c>
      <c r="B351" s="32" t="str">
        <f t="shared" si="33"/>
        <v>Essential (Original)</v>
      </c>
      <c r="C351" s="384"/>
      <c r="D351" s="14"/>
      <c r="E351" s="15" t="s">
        <v>195</v>
      </c>
      <c r="F351" s="18">
        <v>54.9</v>
      </c>
      <c r="G351" s="18">
        <v>7.4094534211370817</v>
      </c>
      <c r="H351" s="20">
        <v>0</v>
      </c>
      <c r="I351" s="20">
        <v>0</v>
      </c>
      <c r="J351" s="20">
        <v>0</v>
      </c>
      <c r="K351" s="20">
        <v>0</v>
      </c>
      <c r="L351" s="20">
        <v>0</v>
      </c>
      <c r="M351" s="20">
        <v>0</v>
      </c>
      <c r="N351" s="20">
        <v>0</v>
      </c>
      <c r="O351" s="20">
        <v>0</v>
      </c>
      <c r="P351" s="20">
        <v>0</v>
      </c>
      <c r="Q351" s="20">
        <v>0</v>
      </c>
      <c r="R351" s="20">
        <v>0</v>
      </c>
      <c r="S351" s="20">
        <v>0</v>
      </c>
      <c r="T351" s="20">
        <v>0</v>
      </c>
      <c r="U351" s="20">
        <v>0</v>
      </c>
      <c r="V351" s="20">
        <v>0</v>
      </c>
      <c r="W351" s="20">
        <v>0</v>
      </c>
      <c r="X351" s="20">
        <v>0</v>
      </c>
      <c r="Y351" s="20">
        <v>0</v>
      </c>
      <c r="Z351" s="20">
        <v>0</v>
      </c>
      <c r="AA351" s="20">
        <v>0</v>
      </c>
      <c r="AB351" s="20">
        <v>0</v>
      </c>
      <c r="AC351" s="20">
        <v>0</v>
      </c>
      <c r="AD351" s="20">
        <v>0</v>
      </c>
      <c r="AE351" s="20">
        <v>0</v>
      </c>
      <c r="AF351" s="20">
        <v>0</v>
      </c>
      <c r="AG351" s="20">
        <v>0</v>
      </c>
      <c r="AH351" s="20">
        <v>0</v>
      </c>
      <c r="AI351" s="20">
        <v>0</v>
      </c>
      <c r="AJ351" s="20">
        <v>0</v>
      </c>
      <c r="AK351" s="20">
        <v>0</v>
      </c>
      <c r="AL351" s="20">
        <v>0</v>
      </c>
      <c r="AM351" s="20">
        <v>0</v>
      </c>
      <c r="AN351" s="20">
        <v>0</v>
      </c>
      <c r="AO351" s="20">
        <v>0</v>
      </c>
      <c r="AP351" s="20">
        <v>0</v>
      </c>
      <c r="AQ351" s="20">
        <v>0</v>
      </c>
      <c r="AR351" s="20">
        <v>0</v>
      </c>
      <c r="AS351" s="20">
        <v>0</v>
      </c>
      <c r="AT351" s="20">
        <v>0</v>
      </c>
      <c r="AU351" s="20">
        <v>0</v>
      </c>
      <c r="AV351" s="20">
        <v>0</v>
      </c>
      <c r="AW351" s="20">
        <v>0</v>
      </c>
      <c r="AX351" s="20">
        <v>0</v>
      </c>
      <c r="AY351" s="20">
        <v>0</v>
      </c>
      <c r="AZ351" s="20">
        <v>0</v>
      </c>
      <c r="BA351" s="20">
        <v>0</v>
      </c>
      <c r="BB351" s="20">
        <v>0</v>
      </c>
      <c r="BC351" s="20">
        <v>0</v>
      </c>
      <c r="BD351" s="20">
        <v>0</v>
      </c>
      <c r="BE351" s="20">
        <v>0</v>
      </c>
      <c r="BF351" s="20">
        <v>0</v>
      </c>
      <c r="BG351" s="20">
        <v>0</v>
      </c>
      <c r="BH351" s="20">
        <v>0</v>
      </c>
      <c r="BI351" s="20">
        <v>0</v>
      </c>
      <c r="BJ351" s="20">
        <v>0</v>
      </c>
      <c r="BK351" s="20">
        <v>0</v>
      </c>
      <c r="BL351" s="20">
        <v>0</v>
      </c>
      <c r="BM351" s="20">
        <v>0</v>
      </c>
      <c r="BN351" s="20">
        <v>0</v>
      </c>
      <c r="BO351" s="20">
        <v>0</v>
      </c>
      <c r="BP351" s="20">
        <v>0</v>
      </c>
      <c r="BQ351" s="20">
        <v>0</v>
      </c>
      <c r="BR351" s="20">
        <v>0</v>
      </c>
      <c r="BS351" s="20">
        <v>0</v>
      </c>
      <c r="BT351" s="20">
        <v>0</v>
      </c>
      <c r="BU351" s="20">
        <v>0</v>
      </c>
      <c r="BV351" s="20">
        <v>0</v>
      </c>
      <c r="BW351" s="20">
        <v>0</v>
      </c>
      <c r="BX351" s="20">
        <v>0</v>
      </c>
      <c r="BY351" s="20">
        <v>0</v>
      </c>
      <c r="BZ351" s="20">
        <v>0</v>
      </c>
      <c r="CA351" s="20">
        <v>0</v>
      </c>
      <c r="CB351" s="20">
        <v>0</v>
      </c>
      <c r="CC351" s="20">
        <v>0</v>
      </c>
      <c r="CD351" s="20">
        <v>0</v>
      </c>
      <c r="CE351" s="20">
        <v>0</v>
      </c>
      <c r="CF351" s="20">
        <v>0</v>
      </c>
      <c r="CG351" s="20">
        <v>0</v>
      </c>
      <c r="CH351" s="20">
        <v>0</v>
      </c>
      <c r="CI351" s="20">
        <v>0</v>
      </c>
      <c r="CJ351" s="20">
        <v>0</v>
      </c>
      <c r="CK351" s="20">
        <v>0</v>
      </c>
      <c r="CL351" s="20">
        <v>0</v>
      </c>
      <c r="CM351" s="20">
        <v>0</v>
      </c>
      <c r="CN351" s="20">
        <v>0</v>
      </c>
      <c r="CO351" s="20">
        <v>0</v>
      </c>
      <c r="CP351" s="20">
        <v>0</v>
      </c>
      <c r="CQ351" s="20">
        <v>0</v>
      </c>
      <c r="CR351" s="20">
        <v>0</v>
      </c>
      <c r="CS351" s="20">
        <v>0</v>
      </c>
      <c r="CT351" s="20">
        <v>0</v>
      </c>
      <c r="CU351" s="20">
        <v>0</v>
      </c>
      <c r="CV351" s="20">
        <v>0</v>
      </c>
      <c r="CW351" s="20">
        <v>0</v>
      </c>
      <c r="CX351" s="20">
        <v>0</v>
      </c>
      <c r="CY351" s="20">
        <v>0</v>
      </c>
      <c r="CZ351" s="20">
        <v>0</v>
      </c>
      <c r="DA351" s="20">
        <v>0</v>
      </c>
      <c r="DB351" s="20">
        <v>0</v>
      </c>
      <c r="DC351" s="20">
        <v>0</v>
      </c>
      <c r="DD351" s="20">
        <v>0</v>
      </c>
      <c r="DE351" s="20">
        <v>0</v>
      </c>
      <c r="DF351" s="20">
        <v>0</v>
      </c>
      <c r="DG351" s="16">
        <f t="shared" si="29"/>
        <v>0</v>
      </c>
      <c r="DH351" s="16">
        <f t="shared" si="30"/>
        <v>0</v>
      </c>
      <c r="DI351" s="17" t="str">
        <f t="shared" si="31"/>
        <v/>
      </c>
      <c r="DJ351" s="119" t="s">
        <v>719</v>
      </c>
      <c r="DK351" s="44" t="s">
        <v>719</v>
      </c>
    </row>
    <row r="352" spans="1:115">
      <c r="A352" s="32" t="str">
        <f t="shared" si="32"/>
        <v xml:space="preserve">Essential (Original)--&gt; 33 kV &amp; &lt; = 66 kV ; SUBDIVISION  </v>
      </c>
      <c r="B352" s="32" t="str">
        <f t="shared" si="33"/>
        <v>Essential (Original)</v>
      </c>
      <c r="C352" s="384"/>
      <c r="D352" s="14"/>
      <c r="E352" s="15" t="s">
        <v>196</v>
      </c>
      <c r="F352" s="18">
        <v>54.9</v>
      </c>
      <c r="G352" s="18">
        <v>7.4094534211370817</v>
      </c>
      <c r="H352" s="20">
        <v>0</v>
      </c>
      <c r="I352" s="20">
        <v>0</v>
      </c>
      <c r="J352" s="20">
        <v>0</v>
      </c>
      <c r="K352" s="20">
        <v>0</v>
      </c>
      <c r="L352" s="20">
        <v>0</v>
      </c>
      <c r="M352" s="20">
        <v>0</v>
      </c>
      <c r="N352" s="20">
        <v>0</v>
      </c>
      <c r="O352" s="20">
        <v>0</v>
      </c>
      <c r="P352" s="20">
        <v>0</v>
      </c>
      <c r="Q352" s="20">
        <v>0</v>
      </c>
      <c r="R352" s="20">
        <v>0</v>
      </c>
      <c r="S352" s="20">
        <v>0</v>
      </c>
      <c r="T352" s="20">
        <v>0</v>
      </c>
      <c r="U352" s="20">
        <v>0</v>
      </c>
      <c r="V352" s="20">
        <v>0</v>
      </c>
      <c r="W352" s="20">
        <v>0</v>
      </c>
      <c r="X352" s="20">
        <v>0</v>
      </c>
      <c r="Y352" s="20">
        <v>0</v>
      </c>
      <c r="Z352" s="20">
        <v>0</v>
      </c>
      <c r="AA352" s="20">
        <v>0</v>
      </c>
      <c r="AB352" s="20">
        <v>0</v>
      </c>
      <c r="AC352" s="20">
        <v>0</v>
      </c>
      <c r="AD352" s="20">
        <v>0</v>
      </c>
      <c r="AE352" s="20">
        <v>0</v>
      </c>
      <c r="AF352" s="20">
        <v>0</v>
      </c>
      <c r="AG352" s="20">
        <v>0</v>
      </c>
      <c r="AH352" s="20">
        <v>0</v>
      </c>
      <c r="AI352" s="20">
        <v>0</v>
      </c>
      <c r="AJ352" s="20">
        <v>0</v>
      </c>
      <c r="AK352" s="20">
        <v>0</v>
      </c>
      <c r="AL352" s="20">
        <v>0</v>
      </c>
      <c r="AM352" s="20">
        <v>0</v>
      </c>
      <c r="AN352" s="20">
        <v>0</v>
      </c>
      <c r="AO352" s="20">
        <v>0</v>
      </c>
      <c r="AP352" s="20">
        <v>0</v>
      </c>
      <c r="AQ352" s="20">
        <v>0</v>
      </c>
      <c r="AR352" s="20">
        <v>0</v>
      </c>
      <c r="AS352" s="20">
        <v>0</v>
      </c>
      <c r="AT352" s="20">
        <v>0</v>
      </c>
      <c r="AU352" s="20">
        <v>0</v>
      </c>
      <c r="AV352" s="20">
        <v>0</v>
      </c>
      <c r="AW352" s="20">
        <v>0</v>
      </c>
      <c r="AX352" s="20">
        <v>0</v>
      </c>
      <c r="AY352" s="20">
        <v>0</v>
      </c>
      <c r="AZ352" s="20">
        <v>0</v>
      </c>
      <c r="BA352" s="20">
        <v>0</v>
      </c>
      <c r="BB352" s="20">
        <v>0</v>
      </c>
      <c r="BC352" s="20">
        <v>0</v>
      </c>
      <c r="BD352" s="20">
        <v>0</v>
      </c>
      <c r="BE352" s="20">
        <v>0</v>
      </c>
      <c r="BF352" s="20">
        <v>0</v>
      </c>
      <c r="BG352" s="20">
        <v>0</v>
      </c>
      <c r="BH352" s="20">
        <v>0</v>
      </c>
      <c r="BI352" s="20">
        <v>0</v>
      </c>
      <c r="BJ352" s="20">
        <v>0</v>
      </c>
      <c r="BK352" s="20">
        <v>0</v>
      </c>
      <c r="BL352" s="20">
        <v>0</v>
      </c>
      <c r="BM352" s="20">
        <v>0</v>
      </c>
      <c r="BN352" s="20">
        <v>0</v>
      </c>
      <c r="BO352" s="20">
        <v>0</v>
      </c>
      <c r="BP352" s="20">
        <v>0</v>
      </c>
      <c r="BQ352" s="20">
        <v>0</v>
      </c>
      <c r="BR352" s="20">
        <v>0</v>
      </c>
      <c r="BS352" s="20">
        <v>0</v>
      </c>
      <c r="BT352" s="20">
        <v>0</v>
      </c>
      <c r="BU352" s="20">
        <v>0</v>
      </c>
      <c r="BV352" s="20">
        <v>0</v>
      </c>
      <c r="BW352" s="20">
        <v>0</v>
      </c>
      <c r="BX352" s="20">
        <v>0</v>
      </c>
      <c r="BY352" s="20">
        <v>0</v>
      </c>
      <c r="BZ352" s="20">
        <v>0</v>
      </c>
      <c r="CA352" s="20">
        <v>0</v>
      </c>
      <c r="CB352" s="20">
        <v>0</v>
      </c>
      <c r="CC352" s="20">
        <v>0</v>
      </c>
      <c r="CD352" s="20">
        <v>0</v>
      </c>
      <c r="CE352" s="20">
        <v>0</v>
      </c>
      <c r="CF352" s="20">
        <v>0</v>
      </c>
      <c r="CG352" s="20">
        <v>0</v>
      </c>
      <c r="CH352" s="20">
        <v>0</v>
      </c>
      <c r="CI352" s="20">
        <v>0</v>
      </c>
      <c r="CJ352" s="20">
        <v>0</v>
      </c>
      <c r="CK352" s="20">
        <v>0</v>
      </c>
      <c r="CL352" s="20">
        <v>0</v>
      </c>
      <c r="CM352" s="20">
        <v>0</v>
      </c>
      <c r="CN352" s="20">
        <v>0</v>
      </c>
      <c r="CO352" s="20">
        <v>0</v>
      </c>
      <c r="CP352" s="20">
        <v>0</v>
      </c>
      <c r="CQ352" s="20">
        <v>0</v>
      </c>
      <c r="CR352" s="20">
        <v>0</v>
      </c>
      <c r="CS352" s="20">
        <v>0</v>
      </c>
      <c r="CT352" s="20">
        <v>0</v>
      </c>
      <c r="CU352" s="20">
        <v>0</v>
      </c>
      <c r="CV352" s="20">
        <v>0</v>
      </c>
      <c r="CW352" s="20">
        <v>0</v>
      </c>
      <c r="CX352" s="20">
        <v>0</v>
      </c>
      <c r="CY352" s="20">
        <v>0</v>
      </c>
      <c r="CZ352" s="20">
        <v>0</v>
      </c>
      <c r="DA352" s="20">
        <v>0</v>
      </c>
      <c r="DB352" s="20">
        <v>0</v>
      </c>
      <c r="DC352" s="20">
        <v>0</v>
      </c>
      <c r="DD352" s="20">
        <v>0</v>
      </c>
      <c r="DE352" s="20">
        <v>0</v>
      </c>
      <c r="DF352" s="20">
        <v>0</v>
      </c>
      <c r="DG352" s="16">
        <f t="shared" si="29"/>
        <v>0</v>
      </c>
      <c r="DH352" s="16">
        <f t="shared" si="30"/>
        <v>0</v>
      </c>
      <c r="DI352" s="17" t="str">
        <f t="shared" si="31"/>
        <v/>
      </c>
      <c r="DJ352" s="119" t="s">
        <v>719</v>
      </c>
      <c r="DK352" s="44" t="s">
        <v>719</v>
      </c>
    </row>
    <row r="353" spans="1:115">
      <c r="A353" s="32" t="str">
        <f t="shared" si="32"/>
        <v xml:space="preserve">Essential (Original)--&gt; 66 kV &amp; &lt; = 132 kV ; COMMERCIAL &amp; INDUSTRIAL  </v>
      </c>
      <c r="B353" s="32" t="str">
        <f t="shared" si="33"/>
        <v>Essential (Original)</v>
      </c>
      <c r="C353" s="384"/>
      <c r="D353" s="14"/>
      <c r="E353" s="15" t="s">
        <v>197</v>
      </c>
      <c r="F353" s="18">
        <v>54.9</v>
      </c>
      <c r="G353" s="18">
        <v>7.4094534211370817</v>
      </c>
      <c r="H353" s="20">
        <v>0</v>
      </c>
      <c r="I353" s="20">
        <v>0</v>
      </c>
      <c r="J353" s="20">
        <v>0</v>
      </c>
      <c r="K353" s="20">
        <v>0</v>
      </c>
      <c r="L353" s="20">
        <v>0</v>
      </c>
      <c r="M353" s="20">
        <v>0</v>
      </c>
      <c r="N353" s="20">
        <v>0</v>
      </c>
      <c r="O353" s="20">
        <v>0</v>
      </c>
      <c r="P353" s="20">
        <v>0</v>
      </c>
      <c r="Q353" s="20">
        <v>0</v>
      </c>
      <c r="R353" s="20">
        <v>0</v>
      </c>
      <c r="S353" s="20">
        <v>0</v>
      </c>
      <c r="T353" s="20">
        <v>0</v>
      </c>
      <c r="U353" s="20">
        <v>0</v>
      </c>
      <c r="V353" s="20">
        <v>0</v>
      </c>
      <c r="W353" s="20">
        <v>0</v>
      </c>
      <c r="X353" s="20">
        <v>0</v>
      </c>
      <c r="Y353" s="20">
        <v>0</v>
      </c>
      <c r="Z353" s="20">
        <v>0</v>
      </c>
      <c r="AA353" s="20">
        <v>0</v>
      </c>
      <c r="AB353" s="20">
        <v>0</v>
      </c>
      <c r="AC353" s="20">
        <v>0</v>
      </c>
      <c r="AD353" s="20">
        <v>0</v>
      </c>
      <c r="AE353" s="20">
        <v>0</v>
      </c>
      <c r="AF353" s="20">
        <v>0</v>
      </c>
      <c r="AG353" s="20">
        <v>0</v>
      </c>
      <c r="AH353" s="20">
        <v>0</v>
      </c>
      <c r="AI353" s="20">
        <v>0</v>
      </c>
      <c r="AJ353" s="20">
        <v>0</v>
      </c>
      <c r="AK353" s="20">
        <v>0</v>
      </c>
      <c r="AL353" s="20">
        <v>0</v>
      </c>
      <c r="AM353" s="20">
        <v>0</v>
      </c>
      <c r="AN353" s="20">
        <v>0</v>
      </c>
      <c r="AO353" s="20">
        <v>0</v>
      </c>
      <c r="AP353" s="20">
        <v>0</v>
      </c>
      <c r="AQ353" s="20">
        <v>0</v>
      </c>
      <c r="AR353" s="20">
        <v>0</v>
      </c>
      <c r="AS353" s="20">
        <v>0</v>
      </c>
      <c r="AT353" s="20">
        <v>0</v>
      </c>
      <c r="AU353" s="20">
        <v>0</v>
      </c>
      <c r="AV353" s="20">
        <v>0</v>
      </c>
      <c r="AW353" s="20">
        <v>0</v>
      </c>
      <c r="AX353" s="20">
        <v>0</v>
      </c>
      <c r="AY353" s="20">
        <v>0</v>
      </c>
      <c r="AZ353" s="20">
        <v>0</v>
      </c>
      <c r="BA353" s="20">
        <v>0</v>
      </c>
      <c r="BB353" s="20">
        <v>0</v>
      </c>
      <c r="BC353" s="20">
        <v>0</v>
      </c>
      <c r="BD353" s="20">
        <v>0</v>
      </c>
      <c r="BE353" s="20">
        <v>0</v>
      </c>
      <c r="BF353" s="20">
        <v>0</v>
      </c>
      <c r="BG353" s="20">
        <v>0</v>
      </c>
      <c r="BH353" s="20">
        <v>0</v>
      </c>
      <c r="BI353" s="20">
        <v>0</v>
      </c>
      <c r="BJ353" s="20">
        <v>0</v>
      </c>
      <c r="BK353" s="20">
        <v>0</v>
      </c>
      <c r="BL353" s="20">
        <v>0</v>
      </c>
      <c r="BM353" s="20">
        <v>0</v>
      </c>
      <c r="BN353" s="20">
        <v>0</v>
      </c>
      <c r="BO353" s="20">
        <v>0</v>
      </c>
      <c r="BP353" s="20">
        <v>0</v>
      </c>
      <c r="BQ353" s="20">
        <v>0</v>
      </c>
      <c r="BR353" s="20">
        <v>0</v>
      </c>
      <c r="BS353" s="20">
        <v>0</v>
      </c>
      <c r="BT353" s="20">
        <v>0</v>
      </c>
      <c r="BU353" s="20">
        <v>0</v>
      </c>
      <c r="BV353" s="20">
        <v>0</v>
      </c>
      <c r="BW353" s="20">
        <v>0</v>
      </c>
      <c r="BX353" s="20">
        <v>0</v>
      </c>
      <c r="BY353" s="20">
        <v>0</v>
      </c>
      <c r="BZ353" s="20">
        <v>0</v>
      </c>
      <c r="CA353" s="20">
        <v>0</v>
      </c>
      <c r="CB353" s="20">
        <v>0</v>
      </c>
      <c r="CC353" s="20">
        <v>0</v>
      </c>
      <c r="CD353" s="20">
        <v>0</v>
      </c>
      <c r="CE353" s="20">
        <v>0</v>
      </c>
      <c r="CF353" s="20">
        <v>0</v>
      </c>
      <c r="CG353" s="20">
        <v>0</v>
      </c>
      <c r="CH353" s="20">
        <v>0</v>
      </c>
      <c r="CI353" s="20">
        <v>0</v>
      </c>
      <c r="CJ353" s="20">
        <v>0</v>
      </c>
      <c r="CK353" s="20">
        <v>0</v>
      </c>
      <c r="CL353" s="20">
        <v>0</v>
      </c>
      <c r="CM353" s="20">
        <v>0</v>
      </c>
      <c r="CN353" s="20">
        <v>0</v>
      </c>
      <c r="CO353" s="20">
        <v>0</v>
      </c>
      <c r="CP353" s="20">
        <v>0</v>
      </c>
      <c r="CQ353" s="20">
        <v>0</v>
      </c>
      <c r="CR353" s="20">
        <v>0</v>
      </c>
      <c r="CS353" s="20">
        <v>0</v>
      </c>
      <c r="CT353" s="20">
        <v>0</v>
      </c>
      <c r="CU353" s="20">
        <v>0</v>
      </c>
      <c r="CV353" s="20">
        <v>0</v>
      </c>
      <c r="CW353" s="20">
        <v>0</v>
      </c>
      <c r="CX353" s="20">
        <v>0</v>
      </c>
      <c r="CY353" s="20">
        <v>0</v>
      </c>
      <c r="CZ353" s="20">
        <v>0</v>
      </c>
      <c r="DA353" s="20">
        <v>0</v>
      </c>
      <c r="DB353" s="20">
        <v>0</v>
      </c>
      <c r="DC353" s="20">
        <v>0</v>
      </c>
      <c r="DD353" s="20">
        <v>0</v>
      </c>
      <c r="DE353" s="20">
        <v>0</v>
      </c>
      <c r="DF353" s="20">
        <v>0</v>
      </c>
      <c r="DG353" s="16">
        <f t="shared" si="29"/>
        <v>0</v>
      </c>
      <c r="DH353" s="16">
        <f t="shared" si="30"/>
        <v>0</v>
      </c>
      <c r="DI353" s="17" t="str">
        <f t="shared" si="31"/>
        <v/>
      </c>
      <c r="DJ353" s="119" t="s">
        <v>719</v>
      </c>
      <c r="DK353" s="44" t="s">
        <v>719</v>
      </c>
    </row>
    <row r="354" spans="1:115">
      <c r="A354" s="32" t="str">
        <f t="shared" si="32"/>
        <v xml:space="preserve">Essential (Original)--&gt; 66 kV &amp; &lt; = 132 kV ; SUBDIVISION  </v>
      </c>
      <c r="B354" s="32" t="str">
        <f t="shared" si="33"/>
        <v>Essential (Original)</v>
      </c>
      <c r="C354" s="384"/>
      <c r="D354" s="14"/>
      <c r="E354" s="15" t="s">
        <v>198</v>
      </c>
      <c r="F354" s="18">
        <v>54.9</v>
      </c>
      <c r="G354" s="18">
        <v>7.4094534211370817</v>
      </c>
      <c r="H354" s="20">
        <v>0</v>
      </c>
      <c r="I354" s="20">
        <v>0</v>
      </c>
      <c r="J354" s="20">
        <v>0</v>
      </c>
      <c r="K354" s="20">
        <v>0</v>
      </c>
      <c r="L354" s="20">
        <v>0</v>
      </c>
      <c r="M354" s="20">
        <v>0</v>
      </c>
      <c r="N354" s="20">
        <v>0</v>
      </c>
      <c r="O354" s="20">
        <v>0</v>
      </c>
      <c r="P354" s="20">
        <v>0</v>
      </c>
      <c r="Q354" s="20">
        <v>0</v>
      </c>
      <c r="R354" s="20">
        <v>0</v>
      </c>
      <c r="S354" s="20">
        <v>0</v>
      </c>
      <c r="T354" s="20">
        <v>0</v>
      </c>
      <c r="U354" s="20">
        <v>0</v>
      </c>
      <c r="V354" s="20">
        <v>0</v>
      </c>
      <c r="W354" s="20">
        <v>0</v>
      </c>
      <c r="X354" s="20">
        <v>0</v>
      </c>
      <c r="Y354" s="20">
        <v>0</v>
      </c>
      <c r="Z354" s="20">
        <v>0</v>
      </c>
      <c r="AA354" s="20">
        <v>0</v>
      </c>
      <c r="AB354" s="20">
        <v>0</v>
      </c>
      <c r="AC354" s="20">
        <v>0</v>
      </c>
      <c r="AD354" s="20">
        <v>0</v>
      </c>
      <c r="AE354" s="20">
        <v>0</v>
      </c>
      <c r="AF354" s="20">
        <v>0</v>
      </c>
      <c r="AG354" s="20">
        <v>0</v>
      </c>
      <c r="AH354" s="20">
        <v>0</v>
      </c>
      <c r="AI354" s="20">
        <v>0</v>
      </c>
      <c r="AJ354" s="20">
        <v>0</v>
      </c>
      <c r="AK354" s="20">
        <v>0</v>
      </c>
      <c r="AL354" s="20">
        <v>0</v>
      </c>
      <c r="AM354" s="20">
        <v>0</v>
      </c>
      <c r="AN354" s="20">
        <v>0</v>
      </c>
      <c r="AO354" s="20">
        <v>0</v>
      </c>
      <c r="AP354" s="20">
        <v>0</v>
      </c>
      <c r="AQ354" s="20">
        <v>0</v>
      </c>
      <c r="AR354" s="20">
        <v>0</v>
      </c>
      <c r="AS354" s="20">
        <v>0</v>
      </c>
      <c r="AT354" s="20">
        <v>0</v>
      </c>
      <c r="AU354" s="20">
        <v>0</v>
      </c>
      <c r="AV354" s="20">
        <v>0</v>
      </c>
      <c r="AW354" s="20">
        <v>0</v>
      </c>
      <c r="AX354" s="20">
        <v>0</v>
      </c>
      <c r="AY354" s="20">
        <v>0</v>
      </c>
      <c r="AZ354" s="20">
        <v>0</v>
      </c>
      <c r="BA354" s="20">
        <v>0</v>
      </c>
      <c r="BB354" s="20">
        <v>0</v>
      </c>
      <c r="BC354" s="20">
        <v>0</v>
      </c>
      <c r="BD354" s="20">
        <v>0</v>
      </c>
      <c r="BE354" s="20">
        <v>0</v>
      </c>
      <c r="BF354" s="20">
        <v>0</v>
      </c>
      <c r="BG354" s="20">
        <v>0</v>
      </c>
      <c r="BH354" s="20">
        <v>0</v>
      </c>
      <c r="BI354" s="20">
        <v>0</v>
      </c>
      <c r="BJ354" s="20">
        <v>0</v>
      </c>
      <c r="BK354" s="20">
        <v>0</v>
      </c>
      <c r="BL354" s="20">
        <v>0</v>
      </c>
      <c r="BM354" s="20">
        <v>0</v>
      </c>
      <c r="BN354" s="20">
        <v>0</v>
      </c>
      <c r="BO354" s="20">
        <v>0</v>
      </c>
      <c r="BP354" s="20">
        <v>0</v>
      </c>
      <c r="BQ354" s="20">
        <v>0</v>
      </c>
      <c r="BR354" s="20">
        <v>0</v>
      </c>
      <c r="BS354" s="20">
        <v>0</v>
      </c>
      <c r="BT354" s="20">
        <v>0</v>
      </c>
      <c r="BU354" s="20">
        <v>0</v>
      </c>
      <c r="BV354" s="20">
        <v>0</v>
      </c>
      <c r="BW354" s="20">
        <v>0</v>
      </c>
      <c r="BX354" s="20">
        <v>0</v>
      </c>
      <c r="BY354" s="20">
        <v>0</v>
      </c>
      <c r="BZ354" s="20">
        <v>0</v>
      </c>
      <c r="CA354" s="20">
        <v>0</v>
      </c>
      <c r="CB354" s="20">
        <v>0</v>
      </c>
      <c r="CC354" s="20">
        <v>0</v>
      </c>
      <c r="CD354" s="20">
        <v>0</v>
      </c>
      <c r="CE354" s="20">
        <v>0</v>
      </c>
      <c r="CF354" s="20">
        <v>0</v>
      </c>
      <c r="CG354" s="20">
        <v>0</v>
      </c>
      <c r="CH354" s="20">
        <v>0</v>
      </c>
      <c r="CI354" s="20">
        <v>0</v>
      </c>
      <c r="CJ354" s="20">
        <v>0</v>
      </c>
      <c r="CK354" s="20">
        <v>0</v>
      </c>
      <c r="CL354" s="20">
        <v>0</v>
      </c>
      <c r="CM354" s="20">
        <v>0</v>
      </c>
      <c r="CN354" s="20">
        <v>0</v>
      </c>
      <c r="CO354" s="20">
        <v>0</v>
      </c>
      <c r="CP354" s="20">
        <v>0</v>
      </c>
      <c r="CQ354" s="20">
        <v>0</v>
      </c>
      <c r="CR354" s="20">
        <v>0</v>
      </c>
      <c r="CS354" s="20">
        <v>0</v>
      </c>
      <c r="CT354" s="20">
        <v>0</v>
      </c>
      <c r="CU354" s="20">
        <v>0</v>
      </c>
      <c r="CV354" s="20">
        <v>0</v>
      </c>
      <c r="CW354" s="20">
        <v>0</v>
      </c>
      <c r="CX354" s="20">
        <v>0</v>
      </c>
      <c r="CY354" s="20">
        <v>0</v>
      </c>
      <c r="CZ354" s="20">
        <v>0</v>
      </c>
      <c r="DA354" s="20">
        <v>0</v>
      </c>
      <c r="DB354" s="20">
        <v>0</v>
      </c>
      <c r="DC354" s="20">
        <v>0</v>
      </c>
      <c r="DD354" s="20">
        <v>0</v>
      </c>
      <c r="DE354" s="20">
        <v>0</v>
      </c>
      <c r="DF354" s="20">
        <v>0</v>
      </c>
      <c r="DG354" s="16">
        <f t="shared" si="29"/>
        <v>0</v>
      </c>
      <c r="DH354" s="16">
        <f t="shared" si="30"/>
        <v>0</v>
      </c>
      <c r="DI354" s="17" t="str">
        <f t="shared" si="31"/>
        <v/>
      </c>
      <c r="DJ354" s="119" t="s">
        <v>719</v>
      </c>
      <c r="DK354" s="44" t="s">
        <v>719</v>
      </c>
    </row>
    <row r="355" spans="1:115">
      <c r="A355" s="32" t="str">
        <f t="shared" si="32"/>
        <v xml:space="preserve">Essential (Original)--&gt; 132 kV ; COMMERCIAL &amp; INDUSTRIAL  </v>
      </c>
      <c r="B355" s="32" t="str">
        <f t="shared" si="33"/>
        <v>Essential (Original)</v>
      </c>
      <c r="C355" s="384"/>
      <c r="D355" s="14"/>
      <c r="E355" s="15" t="s">
        <v>199</v>
      </c>
      <c r="F355" s="18">
        <v>54.9</v>
      </c>
      <c r="G355" s="18">
        <v>7.4094534211370817</v>
      </c>
      <c r="H355" s="20">
        <v>0</v>
      </c>
      <c r="I355" s="20">
        <v>0</v>
      </c>
      <c r="J355" s="20">
        <v>0</v>
      </c>
      <c r="K355" s="20">
        <v>0</v>
      </c>
      <c r="L355" s="20">
        <v>0</v>
      </c>
      <c r="M355" s="20">
        <v>0</v>
      </c>
      <c r="N355" s="20">
        <v>0</v>
      </c>
      <c r="O355" s="20">
        <v>0</v>
      </c>
      <c r="P355" s="20">
        <v>0</v>
      </c>
      <c r="Q355" s="20">
        <v>0</v>
      </c>
      <c r="R355" s="20">
        <v>0</v>
      </c>
      <c r="S355" s="20">
        <v>0</v>
      </c>
      <c r="T355" s="20">
        <v>0</v>
      </c>
      <c r="U355" s="20">
        <v>0</v>
      </c>
      <c r="V355" s="20">
        <v>0</v>
      </c>
      <c r="W355" s="20">
        <v>0</v>
      </c>
      <c r="X355" s="20">
        <v>0</v>
      </c>
      <c r="Y355" s="20">
        <v>0</v>
      </c>
      <c r="Z355" s="20">
        <v>0</v>
      </c>
      <c r="AA355" s="20">
        <v>0</v>
      </c>
      <c r="AB355" s="20">
        <v>0</v>
      </c>
      <c r="AC355" s="20">
        <v>0</v>
      </c>
      <c r="AD355" s="20">
        <v>0</v>
      </c>
      <c r="AE355" s="20">
        <v>0</v>
      </c>
      <c r="AF355" s="20">
        <v>0</v>
      </c>
      <c r="AG355" s="20">
        <v>0</v>
      </c>
      <c r="AH355" s="20">
        <v>0</v>
      </c>
      <c r="AI355" s="20">
        <v>0</v>
      </c>
      <c r="AJ355" s="20">
        <v>0</v>
      </c>
      <c r="AK355" s="20">
        <v>0</v>
      </c>
      <c r="AL355" s="20">
        <v>0</v>
      </c>
      <c r="AM355" s="20">
        <v>0</v>
      </c>
      <c r="AN355" s="20">
        <v>0</v>
      </c>
      <c r="AO355" s="20">
        <v>0</v>
      </c>
      <c r="AP355" s="20">
        <v>0</v>
      </c>
      <c r="AQ355" s="20">
        <v>0</v>
      </c>
      <c r="AR355" s="20">
        <v>0</v>
      </c>
      <c r="AS355" s="20">
        <v>0</v>
      </c>
      <c r="AT355" s="20">
        <v>0</v>
      </c>
      <c r="AU355" s="20">
        <v>0</v>
      </c>
      <c r="AV355" s="20">
        <v>0</v>
      </c>
      <c r="AW355" s="20">
        <v>0</v>
      </c>
      <c r="AX355" s="20">
        <v>0</v>
      </c>
      <c r="AY355" s="20">
        <v>0</v>
      </c>
      <c r="AZ355" s="20">
        <v>0</v>
      </c>
      <c r="BA355" s="20">
        <v>0</v>
      </c>
      <c r="BB355" s="20">
        <v>0</v>
      </c>
      <c r="BC355" s="20">
        <v>0</v>
      </c>
      <c r="BD355" s="20">
        <v>0</v>
      </c>
      <c r="BE355" s="20">
        <v>0</v>
      </c>
      <c r="BF355" s="20">
        <v>0</v>
      </c>
      <c r="BG355" s="20">
        <v>0</v>
      </c>
      <c r="BH355" s="20">
        <v>0</v>
      </c>
      <c r="BI355" s="20">
        <v>0</v>
      </c>
      <c r="BJ355" s="20">
        <v>0</v>
      </c>
      <c r="BK355" s="20">
        <v>0</v>
      </c>
      <c r="BL355" s="20">
        <v>0</v>
      </c>
      <c r="BM355" s="20">
        <v>0</v>
      </c>
      <c r="BN355" s="20">
        <v>0</v>
      </c>
      <c r="BO355" s="20">
        <v>0</v>
      </c>
      <c r="BP355" s="20">
        <v>0</v>
      </c>
      <c r="BQ355" s="20">
        <v>0</v>
      </c>
      <c r="BR355" s="20">
        <v>0</v>
      </c>
      <c r="BS355" s="20">
        <v>0</v>
      </c>
      <c r="BT355" s="20">
        <v>0</v>
      </c>
      <c r="BU355" s="20">
        <v>0</v>
      </c>
      <c r="BV355" s="20">
        <v>0</v>
      </c>
      <c r="BW355" s="20">
        <v>0</v>
      </c>
      <c r="BX355" s="20">
        <v>0</v>
      </c>
      <c r="BY355" s="20">
        <v>0</v>
      </c>
      <c r="BZ355" s="20">
        <v>0</v>
      </c>
      <c r="CA355" s="20">
        <v>0</v>
      </c>
      <c r="CB355" s="20">
        <v>0</v>
      </c>
      <c r="CC355" s="20">
        <v>0</v>
      </c>
      <c r="CD355" s="20">
        <v>0</v>
      </c>
      <c r="CE355" s="20">
        <v>0</v>
      </c>
      <c r="CF355" s="20">
        <v>0</v>
      </c>
      <c r="CG355" s="20">
        <v>0</v>
      </c>
      <c r="CH355" s="20">
        <v>0</v>
      </c>
      <c r="CI355" s="20">
        <v>0</v>
      </c>
      <c r="CJ355" s="20">
        <v>0</v>
      </c>
      <c r="CK355" s="20">
        <v>0</v>
      </c>
      <c r="CL355" s="20">
        <v>0</v>
      </c>
      <c r="CM355" s="20">
        <v>0</v>
      </c>
      <c r="CN355" s="20">
        <v>0</v>
      </c>
      <c r="CO355" s="20">
        <v>0</v>
      </c>
      <c r="CP355" s="20">
        <v>0</v>
      </c>
      <c r="CQ355" s="20">
        <v>0</v>
      </c>
      <c r="CR355" s="20">
        <v>0</v>
      </c>
      <c r="CS355" s="20">
        <v>0</v>
      </c>
      <c r="CT355" s="20">
        <v>0</v>
      </c>
      <c r="CU355" s="20">
        <v>0</v>
      </c>
      <c r="CV355" s="20">
        <v>0</v>
      </c>
      <c r="CW355" s="20">
        <v>0</v>
      </c>
      <c r="CX355" s="20">
        <v>0</v>
      </c>
      <c r="CY355" s="20">
        <v>0</v>
      </c>
      <c r="CZ355" s="20">
        <v>0</v>
      </c>
      <c r="DA355" s="20">
        <v>0</v>
      </c>
      <c r="DB355" s="20">
        <v>0</v>
      </c>
      <c r="DC355" s="20">
        <v>0</v>
      </c>
      <c r="DD355" s="20">
        <v>0</v>
      </c>
      <c r="DE355" s="20">
        <v>0</v>
      </c>
      <c r="DF355" s="20">
        <v>0</v>
      </c>
      <c r="DG355" s="16">
        <f t="shared" si="29"/>
        <v>0</v>
      </c>
      <c r="DH355" s="16">
        <f t="shared" si="30"/>
        <v>0</v>
      </c>
      <c r="DI355" s="17" t="str">
        <f t="shared" si="31"/>
        <v/>
      </c>
      <c r="DJ355" s="119" t="s">
        <v>719</v>
      </c>
      <c r="DK355" s="44" t="s">
        <v>719</v>
      </c>
    </row>
    <row r="356" spans="1:115">
      <c r="A356" s="32" t="str">
        <f t="shared" si="32"/>
        <v xml:space="preserve">Essential (Original)--&gt; 132 kV ; SUBDIVISION  </v>
      </c>
      <c r="B356" s="32" t="str">
        <f t="shared" si="33"/>
        <v>Essential (Original)</v>
      </c>
      <c r="C356" s="384"/>
      <c r="D356" s="14"/>
      <c r="E356" s="15" t="s">
        <v>200</v>
      </c>
      <c r="F356" s="18">
        <v>54.9</v>
      </c>
      <c r="G356" s="18">
        <v>7.4094534211370817</v>
      </c>
      <c r="H356" s="20">
        <v>0</v>
      </c>
      <c r="I356" s="20">
        <v>0</v>
      </c>
      <c r="J356" s="20">
        <v>0</v>
      </c>
      <c r="K356" s="20">
        <v>0</v>
      </c>
      <c r="L356" s="20">
        <v>0</v>
      </c>
      <c r="M356" s="20">
        <v>0</v>
      </c>
      <c r="N356" s="20">
        <v>0</v>
      </c>
      <c r="O356" s="20">
        <v>0</v>
      </c>
      <c r="P356" s="20">
        <v>0</v>
      </c>
      <c r="Q356" s="20">
        <v>0</v>
      </c>
      <c r="R356" s="20">
        <v>0</v>
      </c>
      <c r="S356" s="20">
        <v>0</v>
      </c>
      <c r="T356" s="20">
        <v>0</v>
      </c>
      <c r="U356" s="20">
        <v>0</v>
      </c>
      <c r="V356" s="20">
        <v>0</v>
      </c>
      <c r="W356" s="20">
        <v>0</v>
      </c>
      <c r="X356" s="20">
        <v>0</v>
      </c>
      <c r="Y356" s="20">
        <v>0</v>
      </c>
      <c r="Z356" s="20">
        <v>0</v>
      </c>
      <c r="AA356" s="20">
        <v>0</v>
      </c>
      <c r="AB356" s="20">
        <v>0</v>
      </c>
      <c r="AC356" s="20">
        <v>0</v>
      </c>
      <c r="AD356" s="20">
        <v>0</v>
      </c>
      <c r="AE356" s="20">
        <v>0</v>
      </c>
      <c r="AF356" s="20">
        <v>0</v>
      </c>
      <c r="AG356" s="20">
        <v>0</v>
      </c>
      <c r="AH356" s="20">
        <v>0</v>
      </c>
      <c r="AI356" s="20">
        <v>0</v>
      </c>
      <c r="AJ356" s="20">
        <v>0</v>
      </c>
      <c r="AK356" s="20">
        <v>0</v>
      </c>
      <c r="AL356" s="20">
        <v>0</v>
      </c>
      <c r="AM356" s="20">
        <v>0</v>
      </c>
      <c r="AN356" s="20">
        <v>0</v>
      </c>
      <c r="AO356" s="20">
        <v>0</v>
      </c>
      <c r="AP356" s="20">
        <v>0</v>
      </c>
      <c r="AQ356" s="20">
        <v>0</v>
      </c>
      <c r="AR356" s="20">
        <v>0</v>
      </c>
      <c r="AS356" s="20">
        <v>0</v>
      </c>
      <c r="AT356" s="20">
        <v>0</v>
      </c>
      <c r="AU356" s="20">
        <v>0</v>
      </c>
      <c r="AV356" s="20">
        <v>0</v>
      </c>
      <c r="AW356" s="20">
        <v>0</v>
      </c>
      <c r="AX356" s="20">
        <v>0</v>
      </c>
      <c r="AY356" s="20">
        <v>0</v>
      </c>
      <c r="AZ356" s="20">
        <v>0</v>
      </c>
      <c r="BA356" s="20">
        <v>0</v>
      </c>
      <c r="BB356" s="20">
        <v>0</v>
      </c>
      <c r="BC356" s="20">
        <v>0</v>
      </c>
      <c r="BD356" s="20">
        <v>0</v>
      </c>
      <c r="BE356" s="20">
        <v>0</v>
      </c>
      <c r="BF356" s="20">
        <v>0</v>
      </c>
      <c r="BG356" s="20">
        <v>0</v>
      </c>
      <c r="BH356" s="20">
        <v>0</v>
      </c>
      <c r="BI356" s="20">
        <v>0</v>
      </c>
      <c r="BJ356" s="20">
        <v>0</v>
      </c>
      <c r="BK356" s="20">
        <v>0</v>
      </c>
      <c r="BL356" s="20">
        <v>0</v>
      </c>
      <c r="BM356" s="20">
        <v>0</v>
      </c>
      <c r="BN356" s="20">
        <v>0</v>
      </c>
      <c r="BO356" s="20">
        <v>0</v>
      </c>
      <c r="BP356" s="20">
        <v>0</v>
      </c>
      <c r="BQ356" s="20">
        <v>0</v>
      </c>
      <c r="BR356" s="20">
        <v>0</v>
      </c>
      <c r="BS356" s="20">
        <v>0</v>
      </c>
      <c r="BT356" s="20">
        <v>0</v>
      </c>
      <c r="BU356" s="20">
        <v>0</v>
      </c>
      <c r="BV356" s="20">
        <v>0</v>
      </c>
      <c r="BW356" s="20">
        <v>0</v>
      </c>
      <c r="BX356" s="20">
        <v>0</v>
      </c>
      <c r="BY356" s="20">
        <v>0</v>
      </c>
      <c r="BZ356" s="20">
        <v>0</v>
      </c>
      <c r="CA356" s="20">
        <v>0</v>
      </c>
      <c r="CB356" s="20">
        <v>0</v>
      </c>
      <c r="CC356" s="20">
        <v>0</v>
      </c>
      <c r="CD356" s="20">
        <v>0</v>
      </c>
      <c r="CE356" s="20">
        <v>0</v>
      </c>
      <c r="CF356" s="20">
        <v>0</v>
      </c>
      <c r="CG356" s="20">
        <v>0</v>
      </c>
      <c r="CH356" s="20">
        <v>0</v>
      </c>
      <c r="CI356" s="20">
        <v>0</v>
      </c>
      <c r="CJ356" s="20">
        <v>0</v>
      </c>
      <c r="CK356" s="20">
        <v>0</v>
      </c>
      <c r="CL356" s="20">
        <v>0</v>
      </c>
      <c r="CM356" s="20">
        <v>0</v>
      </c>
      <c r="CN356" s="20">
        <v>0</v>
      </c>
      <c r="CO356" s="20">
        <v>0</v>
      </c>
      <c r="CP356" s="20">
        <v>0</v>
      </c>
      <c r="CQ356" s="20">
        <v>0</v>
      </c>
      <c r="CR356" s="20">
        <v>0</v>
      </c>
      <c r="CS356" s="20">
        <v>0</v>
      </c>
      <c r="CT356" s="20">
        <v>0</v>
      </c>
      <c r="CU356" s="20">
        <v>0</v>
      </c>
      <c r="CV356" s="20">
        <v>0</v>
      </c>
      <c r="CW356" s="20">
        <v>0</v>
      </c>
      <c r="CX356" s="20">
        <v>0</v>
      </c>
      <c r="CY356" s="20">
        <v>0</v>
      </c>
      <c r="CZ356" s="20">
        <v>0</v>
      </c>
      <c r="DA356" s="20">
        <v>0</v>
      </c>
      <c r="DB356" s="20">
        <v>0</v>
      </c>
      <c r="DC356" s="20">
        <v>0</v>
      </c>
      <c r="DD356" s="20">
        <v>0</v>
      </c>
      <c r="DE356" s="20">
        <v>0</v>
      </c>
      <c r="DF356" s="20">
        <v>0</v>
      </c>
      <c r="DG356" s="16">
        <f t="shared" si="29"/>
        <v>0</v>
      </c>
      <c r="DH356" s="16">
        <f t="shared" si="30"/>
        <v>0</v>
      </c>
      <c r="DI356" s="17" t="str">
        <f t="shared" si="31"/>
        <v/>
      </c>
      <c r="DJ356" s="119" t="s">
        <v>719</v>
      </c>
      <c r="DK356" s="44" t="s">
        <v>719</v>
      </c>
    </row>
    <row r="357" spans="1:115">
      <c r="A357" s="32" t="str">
        <f t="shared" si="32"/>
        <v xml:space="preserve">Essential (Original)--OH ˂ = 11 kV ; RESIDENTIAL ; SIMPLE TYPE </v>
      </c>
      <c r="B357" s="32" t="str">
        <f t="shared" si="33"/>
        <v>Essential (Original)</v>
      </c>
      <c r="C357" s="384"/>
      <c r="D357" s="14"/>
      <c r="E357" s="15" t="s">
        <v>504</v>
      </c>
      <c r="F357" s="18">
        <v>0</v>
      </c>
      <c r="G357" s="18">
        <v>0</v>
      </c>
      <c r="H357" s="20">
        <v>241.70604345415464</v>
      </c>
      <c r="I357" s="20">
        <v>345.57300612620202</v>
      </c>
      <c r="J357" s="20">
        <v>431.87912507113811</v>
      </c>
      <c r="K357" s="20">
        <v>149.40605591997738</v>
      </c>
      <c r="L357" s="20">
        <v>238.44312677104222</v>
      </c>
      <c r="M357" s="20">
        <v>366.36820424073386</v>
      </c>
      <c r="N357" s="20">
        <v>134.12901748557408</v>
      </c>
      <c r="O357" s="20">
        <v>89.310780909572955</v>
      </c>
      <c r="P357" s="20">
        <v>54.016921418227604</v>
      </c>
      <c r="Q357" s="20">
        <v>65.487586508585963</v>
      </c>
      <c r="R357" s="20">
        <v>218.65356419208049</v>
      </c>
      <c r="S357" s="20">
        <v>83.416515912158673</v>
      </c>
      <c r="T357" s="20">
        <v>56.551892516455077</v>
      </c>
      <c r="U357" s="20">
        <v>49.962768277901105</v>
      </c>
      <c r="V357" s="20">
        <v>31.765157270069746</v>
      </c>
      <c r="W357" s="20">
        <v>35.14857379948387</v>
      </c>
      <c r="X357" s="20">
        <v>49.181642080511764</v>
      </c>
      <c r="Y357" s="20">
        <v>64.87371833823488</v>
      </c>
      <c r="Z357" s="20">
        <v>79.38243566493594</v>
      </c>
      <c r="AA357" s="20">
        <v>82.402390356000325</v>
      </c>
      <c r="AB357" s="20">
        <v>92.203476845571515</v>
      </c>
      <c r="AC357" s="20">
        <v>124.08216866620188</v>
      </c>
      <c r="AD357" s="20">
        <v>122.56339424943623</v>
      </c>
      <c r="AE357" s="20">
        <v>141.87059361608141</v>
      </c>
      <c r="AF357" s="20">
        <v>105.2007835679407</v>
      </c>
      <c r="AG357" s="20">
        <v>115.25816904536225</v>
      </c>
      <c r="AH357" s="20">
        <v>127.29929500553597</v>
      </c>
      <c r="AI357" s="20">
        <v>112.59886576800092</v>
      </c>
      <c r="AJ357" s="20">
        <v>119.63808785066294</v>
      </c>
      <c r="AK357" s="20">
        <v>89.231295428529052</v>
      </c>
      <c r="AL357" s="20">
        <v>106.23996296847301</v>
      </c>
      <c r="AM357" s="20">
        <v>137.30891873799291</v>
      </c>
      <c r="AN357" s="20">
        <v>136.72542710130278</v>
      </c>
      <c r="AO357" s="20">
        <v>147.38041539392782</v>
      </c>
      <c r="AP357" s="20">
        <v>90.410775220420589</v>
      </c>
      <c r="AQ357" s="20">
        <v>113.38957180519668</v>
      </c>
      <c r="AR357" s="20">
        <v>123.57432536973164</v>
      </c>
      <c r="AS357" s="20">
        <v>129.54418252740584</v>
      </c>
      <c r="AT357" s="20">
        <v>174.89734751380786</v>
      </c>
      <c r="AU357" s="20">
        <v>174.06991050072992</v>
      </c>
      <c r="AV357" s="20">
        <v>149.32445179189477</v>
      </c>
      <c r="AW357" s="20">
        <v>164.3005044806487</v>
      </c>
      <c r="AX357" s="20">
        <v>227.52169297288225</v>
      </c>
      <c r="AY357" s="20">
        <v>322.34946647437579</v>
      </c>
      <c r="AZ357" s="20">
        <v>155.54373780868019</v>
      </c>
      <c r="BA357" s="20">
        <v>135.61489532490833</v>
      </c>
      <c r="BB357" s="20">
        <v>272.45802388877058</v>
      </c>
      <c r="BC357" s="20">
        <v>113.26520136666178</v>
      </c>
      <c r="BD357" s="20">
        <v>257.50159489269669</v>
      </c>
      <c r="BE357" s="20">
        <v>75.232821611067195</v>
      </c>
      <c r="BF357" s="20">
        <v>20.462860348448661</v>
      </c>
      <c r="BG357" s="20">
        <v>41.829059841147313</v>
      </c>
      <c r="BH357" s="20">
        <v>162.72241862598059</v>
      </c>
      <c r="BI357" s="20">
        <v>235.67632937027855</v>
      </c>
      <c r="BJ357" s="20">
        <v>7.4132359307720357</v>
      </c>
      <c r="BK357" s="20">
        <v>57.088829077350354</v>
      </c>
      <c r="BL357" s="20">
        <v>19.857316314912019</v>
      </c>
      <c r="BM357" s="20">
        <v>43.838751775928372</v>
      </c>
      <c r="BN357" s="20">
        <v>80.871977776317749</v>
      </c>
      <c r="BO357" s="20">
        <v>6.0751232760727927</v>
      </c>
      <c r="BP357" s="20">
        <v>21.669370428535025</v>
      </c>
      <c r="BQ357" s="20">
        <v>55.853924556799733</v>
      </c>
      <c r="BR357" s="20">
        <v>26.401043003390281</v>
      </c>
      <c r="BS357" s="20">
        <v>168.82867875735352</v>
      </c>
      <c r="BT357" s="20">
        <v>21.151566793844367</v>
      </c>
      <c r="BU357" s="20">
        <v>6.5773908912422119</v>
      </c>
      <c r="BV357" s="20">
        <v>3.2082476657203562</v>
      </c>
      <c r="BW357" s="20">
        <v>8.6901015753483311</v>
      </c>
      <c r="BX357" s="20">
        <v>1.139389286414541</v>
      </c>
      <c r="BY357" s="20">
        <v>0.29705568631138402</v>
      </c>
      <c r="BZ357" s="20">
        <v>1.5269488780781084</v>
      </c>
      <c r="CA357" s="20">
        <v>0</v>
      </c>
      <c r="CB357" s="20">
        <v>0.57490260965864071</v>
      </c>
      <c r="CC357" s="20">
        <v>3.2313047006465068</v>
      </c>
      <c r="CD357" s="20">
        <v>0.73788235782544298</v>
      </c>
      <c r="CE357" s="20">
        <v>6.5524298839157349E-2</v>
      </c>
      <c r="CF357" s="20">
        <v>0.80937221798053982</v>
      </c>
      <c r="CG357" s="20">
        <v>1.1888230341948705</v>
      </c>
      <c r="CH357" s="20">
        <v>0.10219561898230781</v>
      </c>
      <c r="CI357" s="20">
        <v>0.21002158037014923</v>
      </c>
      <c r="CJ357" s="20">
        <v>0</v>
      </c>
      <c r="CK357" s="20">
        <v>1.9771397222520248E-2</v>
      </c>
      <c r="CL357" s="20">
        <v>21.168385510832437</v>
      </c>
      <c r="CM357" s="20">
        <v>7.5564128121084755</v>
      </c>
      <c r="CN357" s="20">
        <v>0</v>
      </c>
      <c r="CO357" s="20">
        <v>0</v>
      </c>
      <c r="CP357" s="20">
        <v>4.8821761260254254E-2</v>
      </c>
      <c r="CQ357" s="20">
        <v>0.35166984299201953</v>
      </c>
      <c r="CR357" s="20">
        <v>8.2296537657457008E-2</v>
      </c>
      <c r="CS357" s="20">
        <v>0</v>
      </c>
      <c r="CT357" s="20">
        <v>0.12733056839692425</v>
      </c>
      <c r="CU357" s="20">
        <v>0</v>
      </c>
      <c r="CV357" s="20">
        <v>0</v>
      </c>
      <c r="CW357" s="20">
        <v>0</v>
      </c>
      <c r="CX357" s="20">
        <v>0</v>
      </c>
      <c r="CY357" s="20">
        <v>0</v>
      </c>
      <c r="CZ357" s="20">
        <v>0</v>
      </c>
      <c r="DA357" s="20">
        <v>0</v>
      </c>
      <c r="DB357" s="20">
        <v>0</v>
      </c>
      <c r="DC357" s="20">
        <v>0</v>
      </c>
      <c r="DD357" s="20">
        <v>0</v>
      </c>
      <c r="DE357" s="20">
        <v>0</v>
      </c>
      <c r="DF357" s="20">
        <v>0</v>
      </c>
      <c r="DG357" s="16">
        <f t="shared" si="29"/>
        <v>8251.7122188171525</v>
      </c>
      <c r="DH357" s="16">
        <f t="shared" si="30"/>
        <v>241917.23224689625</v>
      </c>
      <c r="DI357" s="17">
        <f t="shared" si="31"/>
        <v>29.317216334232999</v>
      </c>
      <c r="DJ357" s="119" t="s">
        <v>719</v>
      </c>
      <c r="DK357" s="44" t="s">
        <v>719</v>
      </c>
    </row>
    <row r="358" spans="1:115">
      <c r="A358" s="32" t="str">
        <f t="shared" si="32"/>
        <v xml:space="preserve">Essential (Original)--OH ˂ = 11 kV ; COMMERCIAL &amp; INDUSTRIAL ; SIMPLE TYPE </v>
      </c>
      <c r="B358" s="32" t="str">
        <f t="shared" si="33"/>
        <v>Essential (Original)</v>
      </c>
      <c r="C358" s="384"/>
      <c r="D358" s="14"/>
      <c r="E358" s="15" t="s">
        <v>505</v>
      </c>
      <c r="F358" s="18">
        <v>0</v>
      </c>
      <c r="G358" s="18">
        <v>0</v>
      </c>
      <c r="H358" s="20">
        <v>25.938079742388815</v>
      </c>
      <c r="I358" s="20">
        <v>34.918532116429944</v>
      </c>
      <c r="J358" s="20">
        <v>35.041797443310699</v>
      </c>
      <c r="K358" s="20">
        <v>15.705065229714759</v>
      </c>
      <c r="L358" s="20">
        <v>35.899768160714217</v>
      </c>
      <c r="M358" s="20">
        <v>39.492443922692672</v>
      </c>
      <c r="N358" s="20">
        <v>18.695133856227329</v>
      </c>
      <c r="O358" s="20">
        <v>16.724918617547857</v>
      </c>
      <c r="P358" s="20">
        <v>11.812988582451057</v>
      </c>
      <c r="Q358" s="20">
        <v>15.193653666104886</v>
      </c>
      <c r="R358" s="20">
        <v>43.241090194163277</v>
      </c>
      <c r="S358" s="20">
        <v>17.097925614348163</v>
      </c>
      <c r="T358" s="20">
        <v>13.487335107228262</v>
      </c>
      <c r="U358" s="20">
        <v>10.461279863897055</v>
      </c>
      <c r="V358" s="20">
        <v>5.4000024622885352</v>
      </c>
      <c r="W358" s="20">
        <v>6.876495331387507</v>
      </c>
      <c r="X358" s="20">
        <v>8.9684651401712756</v>
      </c>
      <c r="Y358" s="20">
        <v>11.511528171856273</v>
      </c>
      <c r="Z358" s="20">
        <v>14.119642649331198</v>
      </c>
      <c r="AA358" s="20">
        <v>13.949687044977768</v>
      </c>
      <c r="AB358" s="20">
        <v>15.296902478892857</v>
      </c>
      <c r="AC358" s="20">
        <v>16.76549077174888</v>
      </c>
      <c r="AD358" s="20">
        <v>20.65274206799652</v>
      </c>
      <c r="AE358" s="20">
        <v>16.175810032546625</v>
      </c>
      <c r="AF358" s="20">
        <v>12.109106223582893</v>
      </c>
      <c r="AG358" s="20">
        <v>16.381781688078028</v>
      </c>
      <c r="AH358" s="20">
        <v>18.775990356508679</v>
      </c>
      <c r="AI358" s="20">
        <v>17.776220050587746</v>
      </c>
      <c r="AJ358" s="20">
        <v>16.827531678941426</v>
      </c>
      <c r="AK358" s="20">
        <v>11.814216049044198</v>
      </c>
      <c r="AL358" s="20">
        <v>12.244655304537552</v>
      </c>
      <c r="AM358" s="20">
        <v>20.238244180977151</v>
      </c>
      <c r="AN358" s="20">
        <v>18.15988126729583</v>
      </c>
      <c r="AO358" s="20">
        <v>24.936282790422013</v>
      </c>
      <c r="AP358" s="20">
        <v>12.933323109811472</v>
      </c>
      <c r="AQ358" s="20">
        <v>15.950261865693793</v>
      </c>
      <c r="AR358" s="20">
        <v>17.30088497239128</v>
      </c>
      <c r="AS358" s="20">
        <v>14.455017335007643</v>
      </c>
      <c r="AT358" s="20">
        <v>18.48157302912854</v>
      </c>
      <c r="AU358" s="20">
        <v>15.586874432818036</v>
      </c>
      <c r="AV358" s="20">
        <v>12.539781152539073</v>
      </c>
      <c r="AW358" s="20">
        <v>18.729307965551413</v>
      </c>
      <c r="AX358" s="20">
        <v>25.70106501266169</v>
      </c>
      <c r="AY358" s="20">
        <v>41.651189176730178</v>
      </c>
      <c r="AZ358" s="20">
        <v>15.828530790699972</v>
      </c>
      <c r="BA358" s="20">
        <v>14.119872110121058</v>
      </c>
      <c r="BB358" s="20">
        <v>30.671726635828911</v>
      </c>
      <c r="BC358" s="20">
        <v>16.056680001499906</v>
      </c>
      <c r="BD358" s="20">
        <v>31.260223646196838</v>
      </c>
      <c r="BE358" s="20">
        <v>8.3919216546121973</v>
      </c>
      <c r="BF358" s="20">
        <v>1.7691368230887816</v>
      </c>
      <c r="BG358" s="20">
        <v>4.780216383977292</v>
      </c>
      <c r="BH358" s="20">
        <v>22.101693986827659</v>
      </c>
      <c r="BI358" s="20">
        <v>37.701826457543845</v>
      </c>
      <c r="BJ358" s="20">
        <v>1.3666255370682232</v>
      </c>
      <c r="BK358" s="20">
        <v>7.9107005959785006</v>
      </c>
      <c r="BL358" s="20">
        <v>2.7686448509491246</v>
      </c>
      <c r="BM358" s="20">
        <v>3.8192357736273097</v>
      </c>
      <c r="BN358" s="20">
        <v>14.72324486450788</v>
      </c>
      <c r="BO358" s="20">
        <v>1.0404936031714249</v>
      </c>
      <c r="BP358" s="20">
        <v>2.5933022875886671</v>
      </c>
      <c r="BQ358" s="20">
        <v>5.622489085809363</v>
      </c>
      <c r="BR358" s="20">
        <v>3.3006462953656723</v>
      </c>
      <c r="BS358" s="20">
        <v>19.902780554889134</v>
      </c>
      <c r="BT358" s="20">
        <v>4.7552677156836562</v>
      </c>
      <c r="BU358" s="20">
        <v>1.4487586750263706</v>
      </c>
      <c r="BV358" s="20">
        <v>0.77119234088949895</v>
      </c>
      <c r="BW358" s="20">
        <v>1.048226727749292</v>
      </c>
      <c r="BX358" s="20">
        <v>0.21656507230641214</v>
      </c>
      <c r="BY358" s="20">
        <v>0</v>
      </c>
      <c r="BZ358" s="20">
        <v>0</v>
      </c>
      <c r="CA358" s="20">
        <v>4.1685465186214882E-2</v>
      </c>
      <c r="CB358" s="20">
        <v>0.59027311014699502</v>
      </c>
      <c r="CC358" s="20">
        <v>2.3855569298554258</v>
      </c>
      <c r="CD358" s="20">
        <v>5.9240778511630066E-2</v>
      </c>
      <c r="CE358" s="20">
        <v>5.5796821398890958E-2</v>
      </c>
      <c r="CF358" s="20">
        <v>7.1010506589259254E-2</v>
      </c>
      <c r="CG358" s="20">
        <v>0</v>
      </c>
      <c r="CH358" s="20">
        <v>0</v>
      </c>
      <c r="CI358" s="20">
        <v>0.10868814897142121</v>
      </c>
      <c r="CJ358" s="20">
        <v>0</v>
      </c>
      <c r="CK358" s="20">
        <v>0</v>
      </c>
      <c r="CL358" s="20">
        <v>1.0080740445630871</v>
      </c>
      <c r="CM358" s="20">
        <v>1.0243908703478686</v>
      </c>
      <c r="CN358" s="20">
        <v>0</v>
      </c>
      <c r="CO358" s="20">
        <v>0</v>
      </c>
      <c r="CP358" s="20">
        <v>0</v>
      </c>
      <c r="CQ358" s="20">
        <v>1.8407392032959099E-2</v>
      </c>
      <c r="CR358" s="20">
        <v>2.451696082815201E-2</v>
      </c>
      <c r="CS358" s="20">
        <v>0</v>
      </c>
      <c r="CT358" s="20">
        <v>0</v>
      </c>
      <c r="CU358" s="20">
        <v>0</v>
      </c>
      <c r="CV358" s="20">
        <v>0</v>
      </c>
      <c r="CW358" s="20">
        <v>0</v>
      </c>
      <c r="CX358" s="20">
        <v>0</v>
      </c>
      <c r="CY358" s="20">
        <v>0</v>
      </c>
      <c r="CZ358" s="20">
        <v>0</v>
      </c>
      <c r="DA358" s="20">
        <v>0</v>
      </c>
      <c r="DB358" s="20">
        <v>0</v>
      </c>
      <c r="DC358" s="20">
        <v>0</v>
      </c>
      <c r="DD358" s="20">
        <v>0</v>
      </c>
      <c r="DE358" s="20">
        <v>0</v>
      </c>
      <c r="DF358" s="20">
        <v>0</v>
      </c>
      <c r="DG358" s="16">
        <f t="shared" si="29"/>
        <v>1085.3776094101636</v>
      </c>
      <c r="DH358" s="16">
        <f t="shared" si="30"/>
        <v>31556.394763340322</v>
      </c>
      <c r="DI358" s="17">
        <f t="shared" si="31"/>
        <v>29.07411622438876</v>
      </c>
      <c r="DJ358" s="119" t="s">
        <v>719</v>
      </c>
      <c r="DK358" s="44" t="s">
        <v>719</v>
      </c>
    </row>
    <row r="359" spans="1:115">
      <c r="A359" s="32" t="str">
        <f t="shared" si="32"/>
        <v xml:space="preserve">Essential (Original)--OH ˂ = 11 kV ; RESIDENTIAL ; COMPLEX TYPE </v>
      </c>
      <c r="B359" s="32" t="str">
        <f t="shared" si="33"/>
        <v>Essential (Original)</v>
      </c>
      <c r="C359" s="384"/>
      <c r="D359" s="14"/>
      <c r="E359" s="15" t="s">
        <v>506</v>
      </c>
      <c r="F359" s="18">
        <v>0</v>
      </c>
      <c r="G359" s="18">
        <v>0</v>
      </c>
      <c r="H359" s="20">
        <v>12.238334747647189</v>
      </c>
      <c r="I359" s="20">
        <v>23.395786530931794</v>
      </c>
      <c r="J359" s="20">
        <v>22.598728733873624</v>
      </c>
      <c r="K359" s="20">
        <v>8.5425852385511067</v>
      </c>
      <c r="L359" s="20">
        <v>14.449460877943837</v>
      </c>
      <c r="M359" s="20">
        <v>15.896612474308345</v>
      </c>
      <c r="N359" s="20">
        <v>8.4770588444528183</v>
      </c>
      <c r="O359" s="20">
        <v>9.3132294479036908</v>
      </c>
      <c r="P359" s="20">
        <v>5.2883930058496693</v>
      </c>
      <c r="Q359" s="20">
        <v>9.6058267393345638</v>
      </c>
      <c r="R359" s="20">
        <v>16.979183379779816</v>
      </c>
      <c r="S359" s="20">
        <v>9.0693189798197373</v>
      </c>
      <c r="T359" s="20">
        <v>8.351640308175817</v>
      </c>
      <c r="U359" s="20">
        <v>4.8872349519218217</v>
      </c>
      <c r="V359" s="20">
        <v>3.3826091012876125</v>
      </c>
      <c r="W359" s="20">
        <v>2.5341913912020058</v>
      </c>
      <c r="X359" s="20">
        <v>4.6041822558449592</v>
      </c>
      <c r="Y359" s="20">
        <v>6.4726267563756048</v>
      </c>
      <c r="Z359" s="20">
        <v>8.3797733504273406</v>
      </c>
      <c r="AA359" s="20">
        <v>8.8700094320468423</v>
      </c>
      <c r="AB359" s="20">
        <v>10.864868131489542</v>
      </c>
      <c r="AC359" s="20">
        <v>10.513655636325186</v>
      </c>
      <c r="AD359" s="20">
        <v>13.743502259512004</v>
      </c>
      <c r="AE359" s="20">
        <v>16.343929845225329</v>
      </c>
      <c r="AF359" s="20">
        <v>13.861017381757371</v>
      </c>
      <c r="AG359" s="20">
        <v>15.358143763451153</v>
      </c>
      <c r="AH359" s="20">
        <v>17.085068271721862</v>
      </c>
      <c r="AI359" s="20">
        <v>15.363086591904544</v>
      </c>
      <c r="AJ359" s="20">
        <v>13.505755304068915</v>
      </c>
      <c r="AK359" s="20">
        <v>9.9610661644277663</v>
      </c>
      <c r="AL359" s="20">
        <v>9.515205796245235</v>
      </c>
      <c r="AM359" s="20">
        <v>12.773642982348624</v>
      </c>
      <c r="AN359" s="20">
        <v>14.77621295308483</v>
      </c>
      <c r="AO359" s="20">
        <v>16.804223049017036</v>
      </c>
      <c r="AP359" s="20">
        <v>11.288485361717697</v>
      </c>
      <c r="AQ359" s="20">
        <v>14.629305960803663</v>
      </c>
      <c r="AR359" s="20">
        <v>17.342936574892907</v>
      </c>
      <c r="AS359" s="20">
        <v>10.170803098285857</v>
      </c>
      <c r="AT359" s="20">
        <v>15.612728362550381</v>
      </c>
      <c r="AU359" s="20">
        <v>14.532940047175316</v>
      </c>
      <c r="AV359" s="20">
        <v>12.772173957284652</v>
      </c>
      <c r="AW359" s="20">
        <v>13.555542640878825</v>
      </c>
      <c r="AX359" s="20">
        <v>25.051204603043818</v>
      </c>
      <c r="AY359" s="20">
        <v>42.414331670669576</v>
      </c>
      <c r="AZ359" s="20">
        <v>16.070613086176994</v>
      </c>
      <c r="BA359" s="20">
        <v>14.314043577674365</v>
      </c>
      <c r="BB359" s="20">
        <v>41.053747709500769</v>
      </c>
      <c r="BC359" s="20">
        <v>16.366053157939138</v>
      </c>
      <c r="BD359" s="20">
        <v>28.131001493345252</v>
      </c>
      <c r="BE359" s="20">
        <v>12.299277694724941</v>
      </c>
      <c r="BF359" s="20">
        <v>4.3712986012356332</v>
      </c>
      <c r="BG359" s="20">
        <v>5.0259761180569873</v>
      </c>
      <c r="BH359" s="20">
        <v>29.779131900035743</v>
      </c>
      <c r="BI359" s="20">
        <v>56.534012049818273</v>
      </c>
      <c r="BJ359" s="20">
        <v>2.9765589267943819</v>
      </c>
      <c r="BK359" s="20">
        <v>10.206400857072607</v>
      </c>
      <c r="BL359" s="20">
        <v>3.4780408886036942</v>
      </c>
      <c r="BM359" s="20">
        <v>6.5670953337598652</v>
      </c>
      <c r="BN359" s="20">
        <v>17.397277354385679</v>
      </c>
      <c r="BO359" s="20">
        <v>2.7367798670799046</v>
      </c>
      <c r="BP359" s="20">
        <v>5.2766645585539704</v>
      </c>
      <c r="BQ359" s="20">
        <v>10.183014830515692</v>
      </c>
      <c r="BR359" s="20">
        <v>6.4643919845241946</v>
      </c>
      <c r="BS359" s="20">
        <v>27.759580870614684</v>
      </c>
      <c r="BT359" s="20">
        <v>3.424965376466635</v>
      </c>
      <c r="BU359" s="20">
        <v>1.0025483693548676</v>
      </c>
      <c r="BV359" s="20">
        <v>0.84921558179777623</v>
      </c>
      <c r="BW359" s="20">
        <v>2.4624038680977089</v>
      </c>
      <c r="BX359" s="20">
        <v>0.31936340027639387</v>
      </c>
      <c r="BY359" s="20">
        <v>0.11306078249063783</v>
      </c>
      <c r="BZ359" s="20">
        <v>0.31038623006291216</v>
      </c>
      <c r="CA359" s="20">
        <v>0</v>
      </c>
      <c r="CB359" s="20">
        <v>9.0635436163785429E-2</v>
      </c>
      <c r="CC359" s="20">
        <v>1.7125096022385211</v>
      </c>
      <c r="CD359" s="20">
        <v>0.26671841969402493</v>
      </c>
      <c r="CE359" s="20">
        <v>0.53289018851827286</v>
      </c>
      <c r="CF359" s="20">
        <v>4.1394679201286172E-2</v>
      </c>
      <c r="CG359" s="20">
        <v>0.47924634756753565</v>
      </c>
      <c r="CH359" s="20">
        <v>0</v>
      </c>
      <c r="CI359" s="20">
        <v>4.0792883030751313E-2</v>
      </c>
      <c r="CJ359" s="20">
        <v>0</v>
      </c>
      <c r="CK359" s="20">
        <v>0</v>
      </c>
      <c r="CL359" s="20">
        <v>3.3283548957340949</v>
      </c>
      <c r="CM359" s="20">
        <v>2.7149899052703277</v>
      </c>
      <c r="CN359" s="20">
        <v>0</v>
      </c>
      <c r="CO359" s="20">
        <v>0</v>
      </c>
      <c r="CP359" s="20">
        <v>0</v>
      </c>
      <c r="CQ359" s="20">
        <v>4.7423272600883581E-2</v>
      </c>
      <c r="CR359" s="20">
        <v>4.7373537460692991E-2</v>
      </c>
      <c r="CS359" s="20">
        <v>0</v>
      </c>
      <c r="CT359" s="20">
        <v>0</v>
      </c>
      <c r="CU359" s="20">
        <v>0</v>
      </c>
      <c r="CV359" s="20">
        <v>0</v>
      </c>
      <c r="CW359" s="20">
        <v>0</v>
      </c>
      <c r="CX359" s="20">
        <v>0</v>
      </c>
      <c r="CY359" s="20">
        <v>0</v>
      </c>
      <c r="CZ359" s="20">
        <v>0</v>
      </c>
      <c r="DA359" s="20">
        <v>0</v>
      </c>
      <c r="DB359" s="20">
        <v>0</v>
      </c>
      <c r="DC359" s="20">
        <v>0</v>
      </c>
      <c r="DD359" s="20">
        <v>0</v>
      </c>
      <c r="DE359" s="20">
        <v>0</v>
      </c>
      <c r="DF359" s="20">
        <v>0</v>
      </c>
      <c r="DG359" s="16">
        <f t="shared" si="29"/>
        <v>905.95185059200014</v>
      </c>
      <c r="DH359" s="16">
        <f t="shared" si="30"/>
        <v>32299.440077407329</v>
      </c>
      <c r="DI359" s="17">
        <f t="shared" si="31"/>
        <v>35.652490865050993</v>
      </c>
      <c r="DJ359" s="119" t="s">
        <v>719</v>
      </c>
      <c r="DK359" s="44" t="s">
        <v>719</v>
      </c>
    </row>
    <row r="360" spans="1:115">
      <c r="A360" s="32" t="str">
        <f t="shared" si="32"/>
        <v xml:space="preserve">Essential (Original)--UG ˂ = 11 kV ; RESIDENTIAL ; SIMPLE TYPE </v>
      </c>
      <c r="B360" s="32" t="str">
        <f t="shared" si="33"/>
        <v>Essential (Original)</v>
      </c>
      <c r="C360" s="384"/>
      <c r="D360" s="14"/>
      <c r="E360" s="15" t="s">
        <v>507</v>
      </c>
      <c r="F360" s="18">
        <v>0</v>
      </c>
      <c r="G360" s="18">
        <v>0</v>
      </c>
      <c r="H360" s="20">
        <v>50.903244630802504</v>
      </c>
      <c r="I360" s="20">
        <v>66.062803291539865</v>
      </c>
      <c r="J360" s="20">
        <v>70.555970787474493</v>
      </c>
      <c r="K360" s="20">
        <v>83.631278745966355</v>
      </c>
      <c r="L360" s="20">
        <v>97.934191691736316</v>
      </c>
      <c r="M360" s="20">
        <v>165.36217250944492</v>
      </c>
      <c r="N360" s="20">
        <v>60.796296640045597</v>
      </c>
      <c r="O360" s="20">
        <v>83.214577026988962</v>
      </c>
      <c r="P360" s="20">
        <v>72.823710261624683</v>
      </c>
      <c r="Q360" s="20">
        <v>82.444220265637512</v>
      </c>
      <c r="R360" s="20">
        <v>858.76976517942524</v>
      </c>
      <c r="S360" s="20">
        <v>258.55013833551607</v>
      </c>
      <c r="T360" s="20">
        <v>44.594370303341222</v>
      </c>
      <c r="U360" s="20">
        <v>19.631890465481124</v>
      </c>
      <c r="V360" s="20">
        <v>14.017759595871031</v>
      </c>
      <c r="W360" s="20">
        <v>13.115963097058749</v>
      </c>
      <c r="X360" s="20">
        <v>30.993760921344219</v>
      </c>
      <c r="Y360" s="20">
        <v>20.205038633918893</v>
      </c>
      <c r="Z360" s="20">
        <v>54.365690576614355</v>
      </c>
      <c r="AA360" s="20">
        <v>40.6946663876532</v>
      </c>
      <c r="AB360" s="20">
        <v>39.271152747637828</v>
      </c>
      <c r="AC360" s="20">
        <v>34.862263907834347</v>
      </c>
      <c r="AD360" s="20">
        <v>33.50138329438019</v>
      </c>
      <c r="AE360" s="20">
        <v>52.522157646261263</v>
      </c>
      <c r="AF360" s="20">
        <v>27.67134916964995</v>
      </c>
      <c r="AG360" s="20">
        <v>19.527115865339656</v>
      </c>
      <c r="AH360" s="20">
        <v>10.132794298534108</v>
      </c>
      <c r="AI360" s="20">
        <v>13.73126473385323</v>
      </c>
      <c r="AJ360" s="20">
        <v>13.888490945697347</v>
      </c>
      <c r="AK360" s="20">
        <v>7.663185136481049</v>
      </c>
      <c r="AL360" s="20">
        <v>9.1294268816142772</v>
      </c>
      <c r="AM360" s="20">
        <v>11.366592316303574</v>
      </c>
      <c r="AN360" s="20">
        <v>12.436009688842351</v>
      </c>
      <c r="AO360" s="20">
        <v>20.544931974938248</v>
      </c>
      <c r="AP360" s="20">
        <v>7.4873340447787751</v>
      </c>
      <c r="AQ360" s="20">
        <v>7.3345959002360983</v>
      </c>
      <c r="AR360" s="20">
        <v>12.866272486183671</v>
      </c>
      <c r="AS360" s="20">
        <v>13.818553258570724</v>
      </c>
      <c r="AT360" s="20">
        <v>12.206123082815349</v>
      </c>
      <c r="AU360" s="20">
        <v>7.5768827269384875</v>
      </c>
      <c r="AV360" s="20">
        <v>9.2464033832531172</v>
      </c>
      <c r="AW360" s="20">
        <v>6.0422271155204292</v>
      </c>
      <c r="AX360" s="20">
        <v>10.300446561345456</v>
      </c>
      <c r="AY360" s="20">
        <v>24.877312982897347</v>
      </c>
      <c r="AZ360" s="20">
        <v>7.3250186045748862</v>
      </c>
      <c r="BA360" s="20">
        <v>5.5455123811328635</v>
      </c>
      <c r="BB360" s="20">
        <v>24.997762617358244</v>
      </c>
      <c r="BC360" s="20">
        <v>5.0564493909740964</v>
      </c>
      <c r="BD360" s="20">
        <v>5.2496629004038837</v>
      </c>
      <c r="BE360" s="20">
        <v>5.7314105299294003</v>
      </c>
      <c r="BF360" s="20">
        <v>2.1925579018382653</v>
      </c>
      <c r="BG360" s="20">
        <v>0.99482686273942889</v>
      </c>
      <c r="BH360" s="20">
        <v>3.6525613495675135</v>
      </c>
      <c r="BI360" s="20">
        <v>11.082431041691081</v>
      </c>
      <c r="BJ360" s="20">
        <v>1.6044342902948576</v>
      </c>
      <c r="BK360" s="20">
        <v>0.97933567059449878</v>
      </c>
      <c r="BL360" s="20">
        <v>0.90781074161493092</v>
      </c>
      <c r="BM360" s="20">
        <v>1.7181477480549814</v>
      </c>
      <c r="BN360" s="20">
        <v>3.555390352317457</v>
      </c>
      <c r="BO360" s="20">
        <v>0.74472943453410956</v>
      </c>
      <c r="BP360" s="20">
        <v>0.80871003603801772</v>
      </c>
      <c r="BQ360" s="20">
        <v>1.1742474017971363</v>
      </c>
      <c r="BR360" s="20">
        <v>0.67890956700661409</v>
      </c>
      <c r="BS360" s="20">
        <v>19.110992476570217</v>
      </c>
      <c r="BT360" s="20">
        <v>0.89285145703274527</v>
      </c>
      <c r="BU360" s="20">
        <v>0.15157831495060434</v>
      </c>
      <c r="BV360" s="20">
        <v>3.895716794969413E-2</v>
      </c>
      <c r="BW360" s="20">
        <v>0.30031763488129093</v>
      </c>
      <c r="BX360" s="20">
        <v>0</v>
      </c>
      <c r="BY360" s="20">
        <v>2.632779290517083E-2</v>
      </c>
      <c r="BZ360" s="20">
        <v>0.25060015361736926</v>
      </c>
      <c r="CA360" s="20">
        <v>0</v>
      </c>
      <c r="CB360" s="20">
        <v>0</v>
      </c>
      <c r="CC360" s="20">
        <v>0.44867534871247033</v>
      </c>
      <c r="CD360" s="20">
        <v>0</v>
      </c>
      <c r="CE360" s="20">
        <v>0</v>
      </c>
      <c r="CF360" s="20">
        <v>0</v>
      </c>
      <c r="CG360" s="20">
        <v>1.5262900336481118E-2</v>
      </c>
      <c r="CH360" s="20">
        <v>0</v>
      </c>
      <c r="CI360" s="20">
        <v>0</v>
      </c>
      <c r="CJ360" s="20">
        <v>0</v>
      </c>
      <c r="CK360" s="20">
        <v>0</v>
      </c>
      <c r="CL360" s="20">
        <v>0.11763889756746924</v>
      </c>
      <c r="CM360" s="20">
        <v>8.042008634048442E-2</v>
      </c>
      <c r="CN360" s="20">
        <v>0</v>
      </c>
      <c r="CO360" s="20">
        <v>0</v>
      </c>
      <c r="CP360" s="20">
        <v>0</v>
      </c>
      <c r="CQ360" s="20">
        <v>0</v>
      </c>
      <c r="CR360" s="20">
        <v>0</v>
      </c>
      <c r="CS360" s="20">
        <v>0</v>
      </c>
      <c r="CT360" s="20">
        <v>2.6632200600875532E-2</v>
      </c>
      <c r="CU360" s="20">
        <v>0</v>
      </c>
      <c r="CV360" s="20">
        <v>0</v>
      </c>
      <c r="CW360" s="20">
        <v>0</v>
      </c>
      <c r="CX360" s="20">
        <v>0</v>
      </c>
      <c r="CY360" s="20">
        <v>0</v>
      </c>
      <c r="CZ360" s="20">
        <v>0</v>
      </c>
      <c r="DA360" s="20">
        <v>0</v>
      </c>
      <c r="DB360" s="20">
        <v>0</v>
      </c>
      <c r="DC360" s="20">
        <v>0</v>
      </c>
      <c r="DD360" s="20">
        <v>0</v>
      </c>
      <c r="DE360" s="20">
        <v>0</v>
      </c>
      <c r="DF360" s="20">
        <v>0</v>
      </c>
      <c r="DG360" s="16">
        <f t="shared" si="29"/>
        <v>2712.1319427513172</v>
      </c>
      <c r="DH360" s="16">
        <f t="shared" si="30"/>
        <v>39291.475178222907</v>
      </c>
      <c r="DI360" s="17">
        <f t="shared" si="31"/>
        <v>14.487302243254339</v>
      </c>
      <c r="DJ360" s="119" t="s">
        <v>719</v>
      </c>
      <c r="DK360" s="44" t="s">
        <v>719</v>
      </c>
    </row>
    <row r="361" spans="1:115">
      <c r="A361" s="32" t="str">
        <f t="shared" si="32"/>
        <v xml:space="preserve">Essential (Original)--UG ˂ = 11 kV ; COMMERCIAL &amp; INDUSTRIAL ; SIMPLE TYPE </v>
      </c>
      <c r="B361" s="32" t="str">
        <f t="shared" si="33"/>
        <v>Essential (Original)</v>
      </c>
      <c r="C361" s="384"/>
      <c r="D361" s="14"/>
      <c r="E361" s="15" t="s">
        <v>508</v>
      </c>
      <c r="F361" s="18">
        <v>0</v>
      </c>
      <c r="G361" s="18">
        <v>0</v>
      </c>
      <c r="H361" s="20">
        <v>9.0452888865261087</v>
      </c>
      <c r="I361" s="20">
        <v>15.317033496857327</v>
      </c>
      <c r="J361" s="20">
        <v>12.476449821380156</v>
      </c>
      <c r="K361" s="20">
        <v>9.8913101763586226</v>
      </c>
      <c r="L361" s="20">
        <v>20.60158389954325</v>
      </c>
      <c r="M361" s="20">
        <v>12.325480593883217</v>
      </c>
      <c r="N361" s="20">
        <v>7.5676462100911284</v>
      </c>
      <c r="O361" s="20">
        <v>9.5510798462560018</v>
      </c>
      <c r="P361" s="20">
        <v>7.6063212394746422</v>
      </c>
      <c r="Q361" s="20">
        <v>7.5059231783826963</v>
      </c>
      <c r="R361" s="20">
        <v>65.228676721698903</v>
      </c>
      <c r="S361" s="20">
        <v>13.896104918635679</v>
      </c>
      <c r="T361" s="20">
        <v>20.97184309718131</v>
      </c>
      <c r="U361" s="20">
        <v>3.6222938181967241</v>
      </c>
      <c r="V361" s="20">
        <v>2.8069911366496081</v>
      </c>
      <c r="W361" s="20">
        <v>2.2761122942166185</v>
      </c>
      <c r="X361" s="20">
        <v>5.1996642528464161</v>
      </c>
      <c r="Y361" s="20">
        <v>6.6199309959073211</v>
      </c>
      <c r="Z361" s="20">
        <v>5.2632862778592102</v>
      </c>
      <c r="AA361" s="20">
        <v>4.7945524831829944</v>
      </c>
      <c r="AB361" s="20">
        <v>3.9057808730924517</v>
      </c>
      <c r="AC361" s="20">
        <v>5.0122912337812089</v>
      </c>
      <c r="AD361" s="20">
        <v>3.5716172504985391</v>
      </c>
      <c r="AE361" s="20">
        <v>4.324689417127229</v>
      </c>
      <c r="AF361" s="20">
        <v>5.1416070763247781</v>
      </c>
      <c r="AG361" s="20">
        <v>4.53151729685798</v>
      </c>
      <c r="AH361" s="20">
        <v>2.9887842210268567</v>
      </c>
      <c r="AI361" s="20">
        <v>3.2108512646927063</v>
      </c>
      <c r="AJ361" s="20">
        <v>3.301652601222111</v>
      </c>
      <c r="AK361" s="20">
        <v>2.7323609767665129</v>
      </c>
      <c r="AL361" s="20">
        <v>2.5274775696583278</v>
      </c>
      <c r="AM361" s="20">
        <v>3.0099204516443989</v>
      </c>
      <c r="AN361" s="20">
        <v>2.7621419614637035</v>
      </c>
      <c r="AO361" s="20">
        <v>4.011002908814155</v>
      </c>
      <c r="AP361" s="20">
        <v>2.2159390516422293</v>
      </c>
      <c r="AQ361" s="20">
        <v>2.2191975621772504</v>
      </c>
      <c r="AR361" s="20">
        <v>3.1855464939332938</v>
      </c>
      <c r="AS361" s="20">
        <v>1.9229143436006235</v>
      </c>
      <c r="AT361" s="20">
        <v>2.5570080198374843</v>
      </c>
      <c r="AU361" s="20">
        <v>1.866110451525604</v>
      </c>
      <c r="AV361" s="20">
        <v>1.7817530598753439</v>
      </c>
      <c r="AW361" s="20">
        <v>1.385623545909993</v>
      </c>
      <c r="AX361" s="20">
        <v>2.1211158720465066</v>
      </c>
      <c r="AY361" s="20">
        <v>5.694052976037101</v>
      </c>
      <c r="AZ361" s="20">
        <v>1.6019732679991427</v>
      </c>
      <c r="BA361" s="20">
        <v>2.2472125734317854</v>
      </c>
      <c r="BB361" s="20">
        <v>6.4123660437152852</v>
      </c>
      <c r="BC361" s="20">
        <v>1.5709696102167727</v>
      </c>
      <c r="BD361" s="20">
        <v>3.4132791994790996</v>
      </c>
      <c r="BE361" s="20">
        <v>0.70200067978198255</v>
      </c>
      <c r="BF361" s="20">
        <v>0.16835845689380366</v>
      </c>
      <c r="BG361" s="20">
        <v>0.14474494862911974</v>
      </c>
      <c r="BH361" s="20">
        <v>0.95956175953365364</v>
      </c>
      <c r="BI361" s="20">
        <v>2.7236440355455516</v>
      </c>
      <c r="BJ361" s="20">
        <v>3.0203172310410885E-2</v>
      </c>
      <c r="BK361" s="20">
        <v>0.39391780801344906</v>
      </c>
      <c r="BL361" s="20">
        <v>0.29800491639341087</v>
      </c>
      <c r="BM361" s="20">
        <v>0.11735623338139856</v>
      </c>
      <c r="BN361" s="20">
        <v>0.66690460625835035</v>
      </c>
      <c r="BO361" s="20">
        <v>7.5585249627419568E-2</v>
      </c>
      <c r="BP361" s="20">
        <v>0.22059627189755354</v>
      </c>
      <c r="BQ361" s="20">
        <v>0.35727774621535019</v>
      </c>
      <c r="BR361" s="20">
        <v>0.21549513101541695</v>
      </c>
      <c r="BS361" s="20">
        <v>5.0930719538975389</v>
      </c>
      <c r="BT361" s="20">
        <v>0.4441755184260256</v>
      </c>
      <c r="BU361" s="20">
        <v>0</v>
      </c>
      <c r="BV361" s="20">
        <v>2.942464331913159E-2</v>
      </c>
      <c r="BW361" s="20">
        <v>4.8213777709176349E-2</v>
      </c>
      <c r="BX361" s="20">
        <v>0</v>
      </c>
      <c r="BY361" s="20">
        <v>2.9069111071457994E-2</v>
      </c>
      <c r="BZ361" s="20">
        <v>6.0224033200309071E-2</v>
      </c>
      <c r="CA361" s="20">
        <v>1.3429073180891898E-2</v>
      </c>
      <c r="CB361" s="20">
        <v>2.7112230786153289E-2</v>
      </c>
      <c r="CC361" s="20">
        <v>0.24987030487392151</v>
      </c>
      <c r="CD361" s="20">
        <v>0</v>
      </c>
      <c r="CE361" s="20">
        <v>0</v>
      </c>
      <c r="CF361" s="20">
        <v>0</v>
      </c>
      <c r="CG361" s="20">
        <v>0</v>
      </c>
      <c r="CH361" s="20">
        <v>0</v>
      </c>
      <c r="CI361" s="20">
        <v>0</v>
      </c>
      <c r="CJ361" s="20">
        <v>0</v>
      </c>
      <c r="CK361" s="20">
        <v>0</v>
      </c>
      <c r="CL361" s="20">
        <v>0</v>
      </c>
      <c r="CM361" s="20">
        <v>4.5197115854324406E-2</v>
      </c>
      <c r="CN361" s="20">
        <v>0</v>
      </c>
      <c r="CO361" s="20">
        <v>0</v>
      </c>
      <c r="CP361" s="20">
        <v>0</v>
      </c>
      <c r="CQ361" s="20">
        <v>0</v>
      </c>
      <c r="CR361" s="20">
        <v>0</v>
      </c>
      <c r="CS361" s="20">
        <v>0</v>
      </c>
      <c r="CT361" s="20">
        <v>0</v>
      </c>
      <c r="CU361" s="20">
        <v>0</v>
      </c>
      <c r="CV361" s="20">
        <v>0</v>
      </c>
      <c r="CW361" s="20">
        <v>0</v>
      </c>
      <c r="CX361" s="20">
        <v>0</v>
      </c>
      <c r="CY361" s="20">
        <v>0</v>
      </c>
      <c r="CZ361" s="20">
        <v>0</v>
      </c>
      <c r="DA361" s="20">
        <v>0</v>
      </c>
      <c r="DB361" s="20">
        <v>0</v>
      </c>
      <c r="DC361" s="20">
        <v>0</v>
      </c>
      <c r="DD361" s="20">
        <v>0</v>
      </c>
      <c r="DE361" s="20">
        <v>0</v>
      </c>
      <c r="DF361" s="20">
        <v>0</v>
      </c>
      <c r="DG361" s="16">
        <f t="shared" si="29"/>
        <v>346.90776929734227</v>
      </c>
      <c r="DH361" s="16">
        <f t="shared" si="30"/>
        <v>6127.8162326448537</v>
      </c>
      <c r="DI361" s="17">
        <f t="shared" si="31"/>
        <v>17.66410779746062</v>
      </c>
      <c r="DJ361" s="119" t="s">
        <v>719</v>
      </c>
      <c r="DK361" s="44" t="s">
        <v>719</v>
      </c>
    </row>
    <row r="362" spans="1:115">
      <c r="A362" s="32" t="str">
        <f t="shared" si="32"/>
        <v xml:space="preserve">Essential (Original)--UG ˂ = 11 kV ; RESIDENTIAL ; COMPLEX TYPE </v>
      </c>
      <c r="B362" s="32" t="str">
        <f t="shared" si="33"/>
        <v>Essential (Original)</v>
      </c>
      <c r="C362" s="384"/>
      <c r="D362" s="14"/>
      <c r="E362" s="15" t="s">
        <v>509</v>
      </c>
      <c r="F362" s="18">
        <v>0</v>
      </c>
      <c r="G362" s="18">
        <v>0</v>
      </c>
      <c r="H362" s="20">
        <v>2.8737306347755749</v>
      </c>
      <c r="I362" s="20">
        <v>3.5572871984259877</v>
      </c>
      <c r="J362" s="20">
        <v>3.7287711504295147</v>
      </c>
      <c r="K362" s="20">
        <v>1.125154373150153</v>
      </c>
      <c r="L362" s="20">
        <v>1.684632400913604</v>
      </c>
      <c r="M362" s="20">
        <v>3.4915372411988885</v>
      </c>
      <c r="N362" s="20">
        <v>1.1202684339036615</v>
      </c>
      <c r="O362" s="20">
        <v>1.899396669902131</v>
      </c>
      <c r="P362" s="20">
        <v>1.2564258651000819</v>
      </c>
      <c r="Q362" s="20">
        <v>1.7032693468375912</v>
      </c>
      <c r="R362" s="20">
        <v>10.135634234790032</v>
      </c>
      <c r="S362" s="20">
        <v>3.218524227379834</v>
      </c>
      <c r="T362" s="20">
        <v>0.77612769957535499</v>
      </c>
      <c r="U362" s="20">
        <v>1.1790400760020534</v>
      </c>
      <c r="V362" s="20">
        <v>0.51874456947092973</v>
      </c>
      <c r="W362" s="20">
        <v>0.48847255927921629</v>
      </c>
      <c r="X362" s="20">
        <v>0.45309212776542229</v>
      </c>
      <c r="Y362" s="20">
        <v>0.64491974423020082</v>
      </c>
      <c r="Z362" s="20">
        <v>1.2276285516496699</v>
      </c>
      <c r="AA362" s="20">
        <v>1.3019985014696038</v>
      </c>
      <c r="AB362" s="20">
        <v>1.0608143584933261</v>
      </c>
      <c r="AC362" s="20">
        <v>0.61156675510075886</v>
      </c>
      <c r="AD362" s="20">
        <v>1.0420505022730229</v>
      </c>
      <c r="AE362" s="20">
        <v>0.9420863252464402</v>
      </c>
      <c r="AF362" s="20">
        <v>1.4559674919341923</v>
      </c>
      <c r="AG362" s="20">
        <v>1.2815600086179355</v>
      </c>
      <c r="AH362" s="20">
        <v>0.6472398280039604</v>
      </c>
      <c r="AI362" s="20">
        <v>1.1969765148127367</v>
      </c>
      <c r="AJ362" s="20">
        <v>0.67545473000791478</v>
      </c>
      <c r="AK362" s="20">
        <v>0.42700995765724525</v>
      </c>
      <c r="AL362" s="20">
        <v>0.64300976111822061</v>
      </c>
      <c r="AM362" s="20">
        <v>0.59027564503858432</v>
      </c>
      <c r="AN362" s="20">
        <v>1.1026979081854233</v>
      </c>
      <c r="AO362" s="20">
        <v>1.3153254774679839</v>
      </c>
      <c r="AP362" s="20">
        <v>0.34899463764444194</v>
      </c>
      <c r="AQ362" s="20">
        <v>0.37836910779106647</v>
      </c>
      <c r="AR362" s="20">
        <v>0.70737654409331563</v>
      </c>
      <c r="AS362" s="20">
        <v>0.32078505091317422</v>
      </c>
      <c r="AT362" s="20">
        <v>0.47267919215773141</v>
      </c>
      <c r="AU362" s="20">
        <v>0.20405022954342147</v>
      </c>
      <c r="AV362" s="20">
        <v>0.18593542424673601</v>
      </c>
      <c r="AW362" s="20">
        <v>0.20127854508690879</v>
      </c>
      <c r="AX362" s="20">
        <v>0.42524871435243261</v>
      </c>
      <c r="AY362" s="20">
        <v>1.5382029260464032</v>
      </c>
      <c r="AZ362" s="20">
        <v>0.1465528411640584</v>
      </c>
      <c r="BA362" s="20">
        <v>0.42024702814934523</v>
      </c>
      <c r="BB362" s="20">
        <v>0.96516525466398406</v>
      </c>
      <c r="BC362" s="20">
        <v>0.26551746523182651</v>
      </c>
      <c r="BD362" s="20">
        <v>0.47902584655848507</v>
      </c>
      <c r="BE362" s="20">
        <v>5.1228788730780857E-2</v>
      </c>
      <c r="BF362" s="20">
        <v>0.10631144315587418</v>
      </c>
      <c r="BG362" s="20">
        <v>8.4578566163287447E-2</v>
      </c>
      <c r="BH362" s="20">
        <v>0.19804360924401629</v>
      </c>
      <c r="BI362" s="20">
        <v>0.9991337607654206</v>
      </c>
      <c r="BJ362" s="20">
        <v>0</v>
      </c>
      <c r="BK362" s="20">
        <v>0.19255683540656199</v>
      </c>
      <c r="BL362" s="20">
        <v>0.12800345320631068</v>
      </c>
      <c r="BM362" s="20">
        <v>5.9588257083033086E-2</v>
      </c>
      <c r="BN362" s="20">
        <v>0.1290581182732925</v>
      </c>
      <c r="BO362" s="20">
        <v>9.5471013925693699E-3</v>
      </c>
      <c r="BP362" s="20">
        <v>0</v>
      </c>
      <c r="BQ362" s="20">
        <v>3.8414318057135591E-2</v>
      </c>
      <c r="BR362" s="20">
        <v>6.2320855552799724E-2</v>
      </c>
      <c r="BS362" s="20">
        <v>0.94819515859689252</v>
      </c>
      <c r="BT362" s="20">
        <v>4.1095009834725346E-2</v>
      </c>
      <c r="BU362" s="20">
        <v>6.0439280752203353E-2</v>
      </c>
      <c r="BV362" s="20">
        <v>2.1119059427654872E-2</v>
      </c>
      <c r="BW362" s="20">
        <v>1.1641295890063099E-2</v>
      </c>
      <c r="BX362" s="20">
        <v>0</v>
      </c>
      <c r="BY362" s="20">
        <v>0</v>
      </c>
      <c r="BZ362" s="20">
        <v>3.4305893570294857E-2</v>
      </c>
      <c r="CA362" s="20">
        <v>0</v>
      </c>
      <c r="CB362" s="20">
        <v>0</v>
      </c>
      <c r="CC362" s="20">
        <v>1.9229867446826095E-2</v>
      </c>
      <c r="CD362" s="20">
        <v>9.8239782210911477E-3</v>
      </c>
      <c r="CE362" s="20">
        <v>0</v>
      </c>
      <c r="CF362" s="20">
        <v>0</v>
      </c>
      <c r="CG362" s="20">
        <v>0</v>
      </c>
      <c r="CH362" s="20">
        <v>0</v>
      </c>
      <c r="CI362" s="20">
        <v>0</v>
      </c>
      <c r="CJ362" s="20">
        <v>0</v>
      </c>
      <c r="CK362" s="20">
        <v>0</v>
      </c>
      <c r="CL362" s="20">
        <v>0</v>
      </c>
      <c r="CM362" s="20">
        <v>0</v>
      </c>
      <c r="CN362" s="20">
        <v>0</v>
      </c>
      <c r="CO362" s="20">
        <v>0</v>
      </c>
      <c r="CP362" s="20">
        <v>0</v>
      </c>
      <c r="CQ362" s="20">
        <v>0</v>
      </c>
      <c r="CR362" s="20">
        <v>0</v>
      </c>
      <c r="CS362" s="20">
        <v>0</v>
      </c>
      <c r="CT362" s="20">
        <v>0</v>
      </c>
      <c r="CU362" s="20">
        <v>0</v>
      </c>
      <c r="CV362" s="20">
        <v>0</v>
      </c>
      <c r="CW362" s="20">
        <v>0</v>
      </c>
      <c r="CX362" s="20">
        <v>0</v>
      </c>
      <c r="CY362" s="20">
        <v>0</v>
      </c>
      <c r="CZ362" s="20">
        <v>0</v>
      </c>
      <c r="DA362" s="20">
        <v>0</v>
      </c>
      <c r="DB362" s="20">
        <v>0</v>
      </c>
      <c r="DC362" s="20">
        <v>0</v>
      </c>
      <c r="DD362" s="20">
        <v>0</v>
      </c>
      <c r="DE362" s="20">
        <v>0</v>
      </c>
      <c r="DF362" s="20">
        <v>0</v>
      </c>
      <c r="DG362" s="16">
        <f t="shared" si="29"/>
        <v>65.640754328621412</v>
      </c>
      <c r="DH362" s="16">
        <f t="shared" si="30"/>
        <v>1210.1120453482547</v>
      </c>
      <c r="DI362" s="17">
        <f t="shared" si="31"/>
        <v>18.435376889333035</v>
      </c>
      <c r="DJ362" s="119" t="s">
        <v>719</v>
      </c>
      <c r="DK362" s="44" t="s">
        <v>719</v>
      </c>
    </row>
    <row r="363" spans="1:115" ht="75">
      <c r="A363" s="32" t="str">
        <f t="shared" si="32"/>
        <v>Essential (Original)-TRANSFORMERS BY: 
MOUNTING TYPE; HIGHEST OPERATING VOLTAGE ; AMPERE RATING; NUMBER OF PHASES (AT LV)-POLE MOUNTED ; &lt; = 22kV ;  &lt; = 60 kVA ; SINGLE PHASE</v>
      </c>
      <c r="B363" s="32" t="str">
        <f t="shared" si="33"/>
        <v>Essential (Original)</v>
      </c>
      <c r="C363" s="384"/>
      <c r="D363" s="14" t="s">
        <v>544</v>
      </c>
      <c r="E363" s="15" t="s">
        <v>203</v>
      </c>
      <c r="F363" s="18">
        <v>45.8</v>
      </c>
      <c r="G363" s="18">
        <v>6.7675697262754522</v>
      </c>
      <c r="H363" s="20">
        <v>652.16777150139069</v>
      </c>
      <c r="I363" s="20">
        <v>1166.3000330837754</v>
      </c>
      <c r="J363" s="20">
        <v>1072.2758451679308</v>
      </c>
      <c r="K363" s="20">
        <v>1020.2624646187401</v>
      </c>
      <c r="L363" s="20">
        <v>1053.2709561211111</v>
      </c>
      <c r="M363" s="20">
        <v>1283.3301393194545</v>
      </c>
      <c r="N363" s="20">
        <v>1228.3159868155028</v>
      </c>
      <c r="O363" s="20">
        <v>1395.3589589638652</v>
      </c>
      <c r="P363" s="20">
        <v>1521.3913810638271</v>
      </c>
      <c r="Q363" s="20">
        <v>1832.4714070407176</v>
      </c>
      <c r="R363" s="20">
        <v>1446.3720821948023</v>
      </c>
      <c r="S363" s="20">
        <v>1366.3514967345088</v>
      </c>
      <c r="T363" s="20">
        <v>2988.7688669419563</v>
      </c>
      <c r="U363" s="20">
        <v>1118.2876818075995</v>
      </c>
      <c r="V363" s="20">
        <v>1027.2642658465159</v>
      </c>
      <c r="W363" s="20">
        <v>965.2483121147884</v>
      </c>
      <c r="X363" s="20">
        <v>1028.2645231647693</v>
      </c>
      <c r="Y363" s="20">
        <v>1235.3177880432784</v>
      </c>
      <c r="Z363" s="20">
        <v>1611.4145397066573</v>
      </c>
      <c r="AA363" s="20">
        <v>2174.5594098834717</v>
      </c>
      <c r="AB363" s="20">
        <v>1904.4899339549816</v>
      </c>
      <c r="AC363" s="20">
        <v>2277.5859136635991</v>
      </c>
      <c r="AD363" s="20">
        <v>2402.6180784453077</v>
      </c>
      <c r="AE363" s="20">
        <v>2074.5336780581051</v>
      </c>
      <c r="AF363" s="20">
        <v>2483.6389212238546</v>
      </c>
      <c r="AG363" s="20">
        <v>2042.5254438739876</v>
      </c>
      <c r="AH363" s="20">
        <v>1942.4997120486209</v>
      </c>
      <c r="AI363" s="20">
        <v>1710.4400142137702</v>
      </c>
      <c r="AJ363" s="20">
        <v>1738.4472191248728</v>
      </c>
      <c r="AK363" s="20">
        <v>1424.3664211932214</v>
      </c>
      <c r="AL363" s="20">
        <v>1292.3324551837375</v>
      </c>
      <c r="AM363" s="20">
        <v>1548.3983286566761</v>
      </c>
      <c r="AN363" s="20">
        <v>1733.4459325336045</v>
      </c>
      <c r="AO363" s="20">
        <v>1971.5071742779771</v>
      </c>
      <c r="AP363" s="20">
        <v>1226.3154721789954</v>
      </c>
      <c r="AQ363" s="20">
        <v>1191.3064660401171</v>
      </c>
      <c r="AR363" s="20">
        <v>1454.3741407408315</v>
      </c>
      <c r="AS363" s="20">
        <v>1186.3051794488488</v>
      </c>
      <c r="AT363" s="20">
        <v>1181.3038928575804</v>
      </c>
      <c r="AU363" s="20">
        <v>927.23853402114912</v>
      </c>
      <c r="AV363" s="20">
        <v>779.2004509196064</v>
      </c>
      <c r="AW363" s="20">
        <v>823.21177292276775</v>
      </c>
      <c r="AX363" s="20">
        <v>1063.2735293036478</v>
      </c>
      <c r="AY363" s="20">
        <v>1352.3478942789575</v>
      </c>
      <c r="AZ363" s="20">
        <v>1080.2779037139601</v>
      </c>
      <c r="BA363" s="20">
        <v>759.1953045545331</v>
      </c>
      <c r="BB363" s="20">
        <v>723.18604109740113</v>
      </c>
      <c r="BC363" s="20">
        <v>1519.3908664273199</v>
      </c>
      <c r="BD363" s="20">
        <v>1139.2930854909264</v>
      </c>
      <c r="BE363" s="20">
        <v>564.1451274950681</v>
      </c>
      <c r="BF363" s="20">
        <v>477.12274080699905</v>
      </c>
      <c r="BG363" s="20">
        <v>538.13843722047272</v>
      </c>
      <c r="BH363" s="20">
        <v>1970.5069169597236</v>
      </c>
      <c r="BI363" s="20">
        <v>2444.6288858119615</v>
      </c>
      <c r="BJ363" s="20">
        <v>554.14255431253139</v>
      </c>
      <c r="BK363" s="20">
        <v>514.13226158238467</v>
      </c>
      <c r="BL363" s="20">
        <v>666.17137395694203</v>
      </c>
      <c r="BM363" s="20">
        <v>398.10241266495939</v>
      </c>
      <c r="BN363" s="20">
        <v>1088.2799622599894</v>
      </c>
      <c r="BO363" s="20">
        <v>179.04605996740636</v>
      </c>
      <c r="BP363" s="20">
        <v>62.015953731727343</v>
      </c>
      <c r="BQ363" s="20">
        <v>116.02984891742534</v>
      </c>
      <c r="BR363" s="20">
        <v>17.004374410312334</v>
      </c>
      <c r="BS363" s="20">
        <v>1546.3978140201689</v>
      </c>
      <c r="BT363" s="20">
        <v>35.009006138878334</v>
      </c>
      <c r="BU363" s="20">
        <v>22.00566100158067</v>
      </c>
      <c r="BV363" s="20">
        <v>17.004374410312334</v>
      </c>
      <c r="BW363" s="20">
        <v>11.002830500790335</v>
      </c>
      <c r="BX363" s="20">
        <v>7.0018012277756672</v>
      </c>
      <c r="BY363" s="20">
        <v>0</v>
      </c>
      <c r="BZ363" s="20">
        <v>1.0002573182536667</v>
      </c>
      <c r="CA363" s="20">
        <v>0</v>
      </c>
      <c r="CB363" s="20">
        <v>0</v>
      </c>
      <c r="CC363" s="20">
        <v>26.006690274595336</v>
      </c>
      <c r="CD363" s="20">
        <v>14.003602455551334</v>
      </c>
      <c r="CE363" s="20">
        <v>7.0018012277756672</v>
      </c>
      <c r="CF363" s="20">
        <v>0</v>
      </c>
      <c r="CG363" s="20">
        <v>12.003087819044001</v>
      </c>
      <c r="CH363" s="20">
        <v>0</v>
      </c>
      <c r="CI363" s="20">
        <v>0</v>
      </c>
      <c r="CJ363" s="20">
        <v>0</v>
      </c>
      <c r="CK363" s="20">
        <v>1.0002573182536667</v>
      </c>
      <c r="CL363" s="20">
        <v>0</v>
      </c>
      <c r="CM363" s="20">
        <v>203.05223560549436</v>
      </c>
      <c r="CN363" s="20">
        <v>0</v>
      </c>
      <c r="CO363" s="20">
        <v>0</v>
      </c>
      <c r="CP363" s="20">
        <v>0</v>
      </c>
      <c r="CQ363" s="20">
        <v>0</v>
      </c>
      <c r="CR363" s="20">
        <v>0</v>
      </c>
      <c r="CS363" s="20">
        <v>0</v>
      </c>
      <c r="CT363" s="20">
        <v>0</v>
      </c>
      <c r="CU363" s="20">
        <v>0</v>
      </c>
      <c r="CV363" s="20">
        <v>0</v>
      </c>
      <c r="CW363" s="20">
        <v>0</v>
      </c>
      <c r="CX363" s="20">
        <v>0</v>
      </c>
      <c r="CY363" s="20">
        <v>0</v>
      </c>
      <c r="CZ363" s="20">
        <v>0</v>
      </c>
      <c r="DA363" s="20">
        <v>0</v>
      </c>
      <c r="DB363" s="20">
        <v>0</v>
      </c>
      <c r="DC363" s="20">
        <v>0</v>
      </c>
      <c r="DD363" s="20">
        <v>0</v>
      </c>
      <c r="DE363" s="20">
        <v>0</v>
      </c>
      <c r="DF363" s="20">
        <v>0</v>
      </c>
      <c r="DG363" s="16">
        <f t="shared" si="29"/>
        <v>81631.999999999985</v>
      </c>
      <c r="DH363" s="16">
        <f t="shared" si="30"/>
        <v>2361108.3999950993</v>
      </c>
      <c r="DI363" s="17">
        <f t="shared" si="31"/>
        <v>28.923809290414294</v>
      </c>
      <c r="DJ363" s="119" t="s">
        <v>4</v>
      </c>
      <c r="DK363" t="s">
        <v>4</v>
      </c>
    </row>
    <row r="364" spans="1:115">
      <c r="A364" s="32" t="str">
        <f t="shared" si="32"/>
        <v>Essential (Original)--POLE MOUNTED ; &lt; = 22kV ;  &gt; 60 kVA AND &lt; = 600 kVA ; SINGLE PHASE</v>
      </c>
      <c r="B364" s="32" t="str">
        <f t="shared" si="33"/>
        <v>Essential (Original)</v>
      </c>
      <c r="C364" s="384"/>
      <c r="D364" s="14"/>
      <c r="E364" s="15" t="s">
        <v>204</v>
      </c>
      <c r="F364" s="18">
        <v>45.8</v>
      </c>
      <c r="G364" s="18">
        <v>6.7675697262754522</v>
      </c>
      <c r="H364" s="20">
        <v>6</v>
      </c>
      <c r="I364" s="20">
        <v>15</v>
      </c>
      <c r="J364" s="20">
        <v>18</v>
      </c>
      <c r="K364" s="20">
        <v>10</v>
      </c>
      <c r="L364" s="20">
        <v>13</v>
      </c>
      <c r="M364" s="20">
        <v>24</v>
      </c>
      <c r="N364" s="20">
        <v>25</v>
      </c>
      <c r="O364" s="20">
        <v>32</v>
      </c>
      <c r="P364" s="20">
        <v>44</v>
      </c>
      <c r="Q364" s="20">
        <v>82</v>
      </c>
      <c r="R364" s="20">
        <v>47</v>
      </c>
      <c r="S364" s="20">
        <v>28</v>
      </c>
      <c r="T364" s="20">
        <v>46</v>
      </c>
      <c r="U364" s="20">
        <v>24</v>
      </c>
      <c r="V364" s="20">
        <v>31</v>
      </c>
      <c r="W364" s="20">
        <v>28</v>
      </c>
      <c r="X364" s="20">
        <v>27</v>
      </c>
      <c r="Y364" s="20">
        <v>37</v>
      </c>
      <c r="Z364" s="20">
        <v>33</v>
      </c>
      <c r="AA364" s="20">
        <v>28</v>
      </c>
      <c r="AB364" s="20">
        <v>21</v>
      </c>
      <c r="AC364" s="20">
        <v>25</v>
      </c>
      <c r="AD364" s="20">
        <v>17</v>
      </c>
      <c r="AE364" s="20">
        <v>19</v>
      </c>
      <c r="AF364" s="20">
        <v>22</v>
      </c>
      <c r="AG364" s="20">
        <v>14</v>
      </c>
      <c r="AH364" s="20">
        <v>17</v>
      </c>
      <c r="AI364" s="20">
        <v>8</v>
      </c>
      <c r="AJ364" s="20">
        <v>10</v>
      </c>
      <c r="AK364" s="20">
        <v>16</v>
      </c>
      <c r="AL364" s="20">
        <v>9</v>
      </c>
      <c r="AM364" s="20">
        <v>9</v>
      </c>
      <c r="AN364" s="20">
        <v>7</v>
      </c>
      <c r="AO364" s="20">
        <v>10</v>
      </c>
      <c r="AP364" s="20">
        <v>8</v>
      </c>
      <c r="AQ364" s="20">
        <v>9</v>
      </c>
      <c r="AR364" s="20">
        <v>9</v>
      </c>
      <c r="AS364" s="20">
        <v>7</v>
      </c>
      <c r="AT364" s="20">
        <v>9</v>
      </c>
      <c r="AU364" s="20">
        <v>6</v>
      </c>
      <c r="AV364" s="20">
        <v>5</v>
      </c>
      <c r="AW364" s="20">
        <v>6</v>
      </c>
      <c r="AX364" s="20">
        <v>6</v>
      </c>
      <c r="AY364" s="20">
        <v>11</v>
      </c>
      <c r="AZ364" s="20">
        <v>2</v>
      </c>
      <c r="BA364" s="20">
        <v>9</v>
      </c>
      <c r="BB364" s="20">
        <v>9</v>
      </c>
      <c r="BC364" s="20">
        <v>11</v>
      </c>
      <c r="BD364" s="20">
        <v>2</v>
      </c>
      <c r="BE364" s="20">
        <v>4</v>
      </c>
      <c r="BF364" s="20">
        <v>1</v>
      </c>
      <c r="BG364" s="20">
        <v>0</v>
      </c>
      <c r="BH364" s="20">
        <v>14</v>
      </c>
      <c r="BI364" s="20">
        <v>20</v>
      </c>
      <c r="BJ364" s="20">
        <v>5</v>
      </c>
      <c r="BK364" s="20">
        <v>7</v>
      </c>
      <c r="BL364" s="20">
        <v>1</v>
      </c>
      <c r="BM364" s="20">
        <v>2</v>
      </c>
      <c r="BN364" s="20">
        <v>1</v>
      </c>
      <c r="BO364" s="20">
        <v>1</v>
      </c>
      <c r="BP364" s="20">
        <v>1</v>
      </c>
      <c r="BQ364" s="20">
        <v>0</v>
      </c>
      <c r="BR364" s="20">
        <v>0</v>
      </c>
      <c r="BS364" s="20">
        <v>6</v>
      </c>
      <c r="BT364" s="20">
        <v>0</v>
      </c>
      <c r="BU364" s="20">
        <v>0</v>
      </c>
      <c r="BV364" s="20">
        <v>0</v>
      </c>
      <c r="BW364" s="20">
        <v>0</v>
      </c>
      <c r="BX364" s="20">
        <v>0</v>
      </c>
      <c r="BY364" s="20">
        <v>0</v>
      </c>
      <c r="BZ364" s="20">
        <v>0</v>
      </c>
      <c r="CA364" s="20">
        <v>0</v>
      </c>
      <c r="CB364" s="20">
        <v>0</v>
      </c>
      <c r="CC364" s="20">
        <v>1</v>
      </c>
      <c r="CD364" s="20">
        <v>0</v>
      </c>
      <c r="CE364" s="20">
        <v>0</v>
      </c>
      <c r="CF364" s="20">
        <v>0</v>
      </c>
      <c r="CG364" s="20">
        <v>0</v>
      </c>
      <c r="CH364" s="20">
        <v>0</v>
      </c>
      <c r="CI364" s="20">
        <v>0</v>
      </c>
      <c r="CJ364" s="20">
        <v>0</v>
      </c>
      <c r="CK364" s="20">
        <v>0</v>
      </c>
      <c r="CL364" s="20">
        <v>0</v>
      </c>
      <c r="CM364" s="20">
        <v>1</v>
      </c>
      <c r="CN364" s="20">
        <v>0</v>
      </c>
      <c r="CO364" s="20">
        <v>0</v>
      </c>
      <c r="CP364" s="20">
        <v>0</v>
      </c>
      <c r="CQ364" s="20">
        <v>0</v>
      </c>
      <c r="CR364" s="20">
        <v>0</v>
      </c>
      <c r="CS364" s="20">
        <v>0</v>
      </c>
      <c r="CT364" s="20">
        <v>0</v>
      </c>
      <c r="CU364" s="20">
        <v>0</v>
      </c>
      <c r="CV364" s="20">
        <v>0</v>
      </c>
      <c r="CW364" s="20">
        <v>0</v>
      </c>
      <c r="CX364" s="20">
        <v>0</v>
      </c>
      <c r="CY364" s="20">
        <v>0</v>
      </c>
      <c r="CZ364" s="20">
        <v>0</v>
      </c>
      <c r="DA364" s="20">
        <v>0</v>
      </c>
      <c r="DB364" s="20">
        <v>0</v>
      </c>
      <c r="DC364" s="20">
        <v>0</v>
      </c>
      <c r="DD364" s="20">
        <v>0</v>
      </c>
      <c r="DE364" s="20">
        <v>0</v>
      </c>
      <c r="DF364" s="20">
        <v>0</v>
      </c>
      <c r="DG364" s="16">
        <f t="shared" si="29"/>
        <v>976</v>
      </c>
      <c r="DH364" s="16">
        <f t="shared" si="30"/>
        <v>20522</v>
      </c>
      <c r="DI364" s="17">
        <f t="shared" si="31"/>
        <v>21.026639344262296</v>
      </c>
      <c r="DJ364" s="119" t="s">
        <v>4</v>
      </c>
      <c r="DK364" s="44" t="s">
        <v>4</v>
      </c>
    </row>
    <row r="365" spans="1:115">
      <c r="A365" s="32" t="str">
        <f t="shared" si="32"/>
        <v>Essential (Original)--POLE MOUNTED ; &lt; = 22kV ;  &gt; 600 kVA ; SINGLE PHASE</v>
      </c>
      <c r="B365" s="32" t="str">
        <f t="shared" si="33"/>
        <v>Essential (Original)</v>
      </c>
      <c r="C365" s="384"/>
      <c r="D365" s="14"/>
      <c r="E365" s="15" t="s">
        <v>205</v>
      </c>
      <c r="F365" s="18">
        <v>45.8</v>
      </c>
      <c r="G365" s="18">
        <v>6.7675697262754522</v>
      </c>
      <c r="H365" s="20">
        <v>1</v>
      </c>
      <c r="I365" s="20">
        <v>0</v>
      </c>
      <c r="J365" s="20">
        <v>0</v>
      </c>
      <c r="K365" s="20">
        <v>0</v>
      </c>
      <c r="L365" s="20">
        <v>0</v>
      </c>
      <c r="M365" s="20">
        <v>0</v>
      </c>
      <c r="N365" s="20">
        <v>0</v>
      </c>
      <c r="O365" s="20">
        <v>0</v>
      </c>
      <c r="P365" s="20">
        <v>0</v>
      </c>
      <c r="Q365" s="20">
        <v>0</v>
      </c>
      <c r="R365" s="20">
        <v>0</v>
      </c>
      <c r="S365" s="20">
        <v>0</v>
      </c>
      <c r="T365" s="20">
        <v>0</v>
      </c>
      <c r="U365" s="20">
        <v>0</v>
      </c>
      <c r="V365" s="20">
        <v>0</v>
      </c>
      <c r="W365" s="20">
        <v>0</v>
      </c>
      <c r="X365" s="20">
        <v>0</v>
      </c>
      <c r="Y365" s="20">
        <v>0</v>
      </c>
      <c r="Z365" s="20">
        <v>0</v>
      </c>
      <c r="AA365" s="20">
        <v>0</v>
      </c>
      <c r="AB365" s="20">
        <v>1</v>
      </c>
      <c r="AC365" s="20">
        <v>0</v>
      </c>
      <c r="AD365" s="20">
        <v>0</v>
      </c>
      <c r="AE365" s="20">
        <v>0</v>
      </c>
      <c r="AF365" s="20">
        <v>0</v>
      </c>
      <c r="AG365" s="20">
        <v>0</v>
      </c>
      <c r="AH365" s="20">
        <v>0</v>
      </c>
      <c r="AI365" s="20">
        <v>0</v>
      </c>
      <c r="AJ365" s="20">
        <v>0</v>
      </c>
      <c r="AK365" s="20">
        <v>0</v>
      </c>
      <c r="AL365" s="20">
        <v>0</v>
      </c>
      <c r="AM365" s="20">
        <v>0</v>
      </c>
      <c r="AN365" s="20">
        <v>0</v>
      </c>
      <c r="AO365" s="20">
        <v>0</v>
      </c>
      <c r="AP365" s="20">
        <v>0</v>
      </c>
      <c r="AQ365" s="20">
        <v>0</v>
      </c>
      <c r="AR365" s="20">
        <v>0</v>
      </c>
      <c r="AS365" s="20">
        <v>0</v>
      </c>
      <c r="AT365" s="20">
        <v>0</v>
      </c>
      <c r="AU365" s="20">
        <v>0</v>
      </c>
      <c r="AV365" s="20">
        <v>0</v>
      </c>
      <c r="AW365" s="20">
        <v>0</v>
      </c>
      <c r="AX365" s="20">
        <v>0</v>
      </c>
      <c r="AY365" s="20">
        <v>0</v>
      </c>
      <c r="AZ365" s="20">
        <v>0</v>
      </c>
      <c r="BA365" s="20">
        <v>0</v>
      </c>
      <c r="BB365" s="20">
        <v>0</v>
      </c>
      <c r="BC365" s="20">
        <v>0</v>
      </c>
      <c r="BD365" s="20">
        <v>0</v>
      </c>
      <c r="BE365" s="20">
        <v>0</v>
      </c>
      <c r="BF365" s="20">
        <v>0</v>
      </c>
      <c r="BG365" s="20">
        <v>0</v>
      </c>
      <c r="BH365" s="20">
        <v>0</v>
      </c>
      <c r="BI365" s="20">
        <v>0</v>
      </c>
      <c r="BJ365" s="20">
        <v>0</v>
      </c>
      <c r="BK365" s="20">
        <v>0</v>
      </c>
      <c r="BL365" s="20">
        <v>0</v>
      </c>
      <c r="BM365" s="20">
        <v>0</v>
      </c>
      <c r="BN365" s="20">
        <v>0</v>
      </c>
      <c r="BO365" s="20">
        <v>0</v>
      </c>
      <c r="BP365" s="20">
        <v>0</v>
      </c>
      <c r="BQ365" s="20">
        <v>0</v>
      </c>
      <c r="BR365" s="20">
        <v>0</v>
      </c>
      <c r="BS365" s="20">
        <v>0</v>
      </c>
      <c r="BT365" s="20">
        <v>0</v>
      </c>
      <c r="BU365" s="20">
        <v>0</v>
      </c>
      <c r="BV365" s="20">
        <v>0</v>
      </c>
      <c r="BW365" s="20">
        <v>0</v>
      </c>
      <c r="BX365" s="20">
        <v>0</v>
      </c>
      <c r="BY365" s="20">
        <v>0</v>
      </c>
      <c r="BZ365" s="20">
        <v>0</v>
      </c>
      <c r="CA365" s="20">
        <v>0</v>
      </c>
      <c r="CB365" s="20">
        <v>0</v>
      </c>
      <c r="CC365" s="20">
        <v>0</v>
      </c>
      <c r="CD365" s="20">
        <v>0</v>
      </c>
      <c r="CE365" s="20">
        <v>0</v>
      </c>
      <c r="CF365" s="20">
        <v>0</v>
      </c>
      <c r="CG365" s="20">
        <v>0</v>
      </c>
      <c r="CH365" s="20">
        <v>0</v>
      </c>
      <c r="CI365" s="20">
        <v>0</v>
      </c>
      <c r="CJ365" s="20">
        <v>0</v>
      </c>
      <c r="CK365" s="20">
        <v>0</v>
      </c>
      <c r="CL365" s="20">
        <v>0</v>
      </c>
      <c r="CM365" s="20">
        <v>0</v>
      </c>
      <c r="CN365" s="20">
        <v>0</v>
      </c>
      <c r="CO365" s="20">
        <v>0</v>
      </c>
      <c r="CP365" s="20">
        <v>0</v>
      </c>
      <c r="CQ365" s="20">
        <v>0</v>
      </c>
      <c r="CR365" s="20">
        <v>0</v>
      </c>
      <c r="CS365" s="20">
        <v>0</v>
      </c>
      <c r="CT365" s="20">
        <v>0</v>
      </c>
      <c r="CU365" s="20">
        <v>0</v>
      </c>
      <c r="CV365" s="20">
        <v>0</v>
      </c>
      <c r="CW365" s="20">
        <v>0</v>
      </c>
      <c r="CX365" s="20">
        <v>0</v>
      </c>
      <c r="CY365" s="20">
        <v>0</v>
      </c>
      <c r="CZ365" s="20">
        <v>0</v>
      </c>
      <c r="DA365" s="20">
        <v>0</v>
      </c>
      <c r="DB365" s="20">
        <v>0</v>
      </c>
      <c r="DC365" s="20">
        <v>0</v>
      </c>
      <c r="DD365" s="20">
        <v>0</v>
      </c>
      <c r="DE365" s="20">
        <v>0</v>
      </c>
      <c r="DF365" s="20">
        <v>0</v>
      </c>
      <c r="DG365" s="16">
        <f t="shared" si="29"/>
        <v>2</v>
      </c>
      <c r="DH365" s="16">
        <f t="shared" si="30"/>
        <v>22</v>
      </c>
      <c r="DI365" s="17">
        <f t="shared" si="31"/>
        <v>11</v>
      </c>
      <c r="DJ365" s="119" t="s">
        <v>4</v>
      </c>
      <c r="DK365" s="44" t="s">
        <v>4</v>
      </c>
    </row>
    <row r="366" spans="1:115">
      <c r="A366" s="32" t="str">
        <f t="shared" si="32"/>
        <v>Essential (Original)--POLE MOUNTED ; &lt; = 22kV ;  &lt; = 60 kVA  ; MULTIPLE PHASE</v>
      </c>
      <c r="B366" s="32" t="str">
        <f t="shared" si="33"/>
        <v>Essential (Original)</v>
      </c>
      <c r="C366" s="384"/>
      <c r="D366" s="14"/>
      <c r="E366" s="15" t="s">
        <v>206</v>
      </c>
      <c r="F366" s="18">
        <v>45.8</v>
      </c>
      <c r="G366" s="18">
        <v>6.7675697262754522</v>
      </c>
      <c r="H366" s="20">
        <v>167.08477515969372</v>
      </c>
      <c r="I366" s="20">
        <v>323.16396632683279</v>
      </c>
      <c r="J366" s="20">
        <v>262.13300054993869</v>
      </c>
      <c r="K366" s="20">
        <v>202.10254240873132</v>
      </c>
      <c r="L366" s="20">
        <v>203.10305004441813</v>
      </c>
      <c r="M366" s="20">
        <v>277.14061508524048</v>
      </c>
      <c r="N366" s="20">
        <v>292.14822962054234</v>
      </c>
      <c r="O366" s="20">
        <v>292.14822962054234</v>
      </c>
      <c r="P366" s="20">
        <v>295.14975252760269</v>
      </c>
      <c r="Q366" s="20">
        <v>363.18427175430435</v>
      </c>
      <c r="R366" s="20">
        <v>324.16447396251954</v>
      </c>
      <c r="S366" s="20">
        <v>344.17462667625534</v>
      </c>
      <c r="T366" s="20">
        <v>1059.5375861923094</v>
      </c>
      <c r="U366" s="20">
        <v>268.13604636405938</v>
      </c>
      <c r="V366" s="20">
        <v>260.13198527856508</v>
      </c>
      <c r="W366" s="20">
        <v>235.11929438639535</v>
      </c>
      <c r="X366" s="20">
        <v>294.14924489191588</v>
      </c>
      <c r="Y366" s="20">
        <v>596.30255086932607</v>
      </c>
      <c r="Z366" s="20">
        <v>678.34417699564278</v>
      </c>
      <c r="AA366" s="20">
        <v>911.46245611066456</v>
      </c>
      <c r="AB366" s="20">
        <v>698.35432970937859</v>
      </c>
      <c r="AC366" s="20">
        <v>915.46448665341177</v>
      </c>
      <c r="AD366" s="20">
        <v>1170.5939337535428</v>
      </c>
      <c r="AE366" s="20">
        <v>605.30711959050723</v>
      </c>
      <c r="AF366" s="20">
        <v>799.40560091374425</v>
      </c>
      <c r="AG366" s="20">
        <v>555.28173780616783</v>
      </c>
      <c r="AH366" s="20">
        <v>600.30458141207328</v>
      </c>
      <c r="AI366" s="20">
        <v>566.28732179872247</v>
      </c>
      <c r="AJ366" s="20">
        <v>481.24417276534541</v>
      </c>
      <c r="AK366" s="20">
        <v>450.22843605905496</v>
      </c>
      <c r="AL366" s="20">
        <v>282.14315326367444</v>
      </c>
      <c r="AM366" s="20">
        <v>457.23198950886245</v>
      </c>
      <c r="AN366" s="20">
        <v>482.24468040103221</v>
      </c>
      <c r="AO366" s="20">
        <v>522.26498582850377</v>
      </c>
      <c r="AP366" s="20">
        <v>272.13807690680653</v>
      </c>
      <c r="AQ366" s="20">
        <v>293.14873725622914</v>
      </c>
      <c r="AR366" s="20">
        <v>384.1949321037269</v>
      </c>
      <c r="AS366" s="20">
        <v>259.13147764287828</v>
      </c>
      <c r="AT366" s="20">
        <v>223.1132027581539</v>
      </c>
      <c r="AU366" s="20">
        <v>248.1258936503236</v>
      </c>
      <c r="AV366" s="20">
        <v>221.11218748678033</v>
      </c>
      <c r="AW366" s="20">
        <v>287.14569144210839</v>
      </c>
      <c r="AX366" s="20">
        <v>522.26498582850377</v>
      </c>
      <c r="AY366" s="20">
        <v>472.23960404416431</v>
      </c>
      <c r="AZ366" s="20">
        <v>257.13046237150473</v>
      </c>
      <c r="BA366" s="20">
        <v>266.13503109268584</v>
      </c>
      <c r="BB366" s="20">
        <v>248.1258936503236</v>
      </c>
      <c r="BC366" s="20">
        <v>562.28529125597527</v>
      </c>
      <c r="BD366" s="20">
        <v>451.22894369474176</v>
      </c>
      <c r="BE366" s="20">
        <v>365.18528702567789</v>
      </c>
      <c r="BF366" s="20">
        <v>138.07005372477684</v>
      </c>
      <c r="BG366" s="20">
        <v>64.032488683954483</v>
      </c>
      <c r="BH366" s="20">
        <v>309.15685942721774</v>
      </c>
      <c r="BI366" s="20">
        <v>522.26498582850377</v>
      </c>
      <c r="BJ366" s="20">
        <v>58.029442869833751</v>
      </c>
      <c r="BK366" s="20">
        <v>62.031473412580901</v>
      </c>
      <c r="BL366" s="20">
        <v>109.05533228985998</v>
      </c>
      <c r="BM366" s="20">
        <v>37.018782520411186</v>
      </c>
      <c r="BN366" s="20">
        <v>203.10305004441813</v>
      </c>
      <c r="BO366" s="20">
        <v>24.012183256482931</v>
      </c>
      <c r="BP366" s="20">
        <v>8.0040610854943104</v>
      </c>
      <c r="BQ366" s="20">
        <v>12.006091628241466</v>
      </c>
      <c r="BR366" s="20">
        <v>36.018274884724399</v>
      </c>
      <c r="BS366" s="20">
        <v>422.21422225982485</v>
      </c>
      <c r="BT366" s="20">
        <v>9.0045687211810996</v>
      </c>
      <c r="BU366" s="20">
        <v>1.0005076356867888</v>
      </c>
      <c r="BV366" s="20">
        <v>9.0045687211810996</v>
      </c>
      <c r="BW366" s="20">
        <v>6.0030458141207328</v>
      </c>
      <c r="BX366" s="20">
        <v>1.0005076356867888</v>
      </c>
      <c r="BY366" s="20">
        <v>1.0005076356867888</v>
      </c>
      <c r="BZ366" s="20">
        <v>0</v>
      </c>
      <c r="CA366" s="20">
        <v>0</v>
      </c>
      <c r="CB366" s="20">
        <v>0</v>
      </c>
      <c r="CC366" s="20">
        <v>14.007106899615042</v>
      </c>
      <c r="CD366" s="20">
        <v>0</v>
      </c>
      <c r="CE366" s="20">
        <v>2.0010152713735776</v>
      </c>
      <c r="CF366" s="20">
        <v>0</v>
      </c>
      <c r="CG366" s="20">
        <v>2.0010152713735776</v>
      </c>
      <c r="CH366" s="20">
        <v>0</v>
      </c>
      <c r="CI366" s="20">
        <v>0</v>
      </c>
      <c r="CJ366" s="20">
        <v>0</v>
      </c>
      <c r="CK366" s="20">
        <v>0</v>
      </c>
      <c r="CL366" s="20">
        <v>1.0005076356867888</v>
      </c>
      <c r="CM366" s="20">
        <v>32.016244341977242</v>
      </c>
      <c r="CN366" s="20">
        <v>0</v>
      </c>
      <c r="CO366" s="20">
        <v>0</v>
      </c>
      <c r="CP366" s="20">
        <v>0</v>
      </c>
      <c r="CQ366" s="20">
        <v>0</v>
      </c>
      <c r="CR366" s="20">
        <v>0</v>
      </c>
      <c r="CS366" s="20">
        <v>0</v>
      </c>
      <c r="CT366" s="20">
        <v>0</v>
      </c>
      <c r="CU366" s="20">
        <v>0</v>
      </c>
      <c r="CV366" s="20">
        <v>0</v>
      </c>
      <c r="CW366" s="20">
        <v>0</v>
      </c>
      <c r="CX366" s="20">
        <v>0</v>
      </c>
      <c r="CY366" s="20">
        <v>0</v>
      </c>
      <c r="CZ366" s="20">
        <v>0</v>
      </c>
      <c r="DA366" s="20">
        <v>0</v>
      </c>
      <c r="DB366" s="20">
        <v>0</v>
      </c>
      <c r="DC366" s="20">
        <v>0</v>
      </c>
      <c r="DD366" s="20">
        <v>0</v>
      </c>
      <c r="DE366" s="20">
        <v>0</v>
      </c>
      <c r="DF366" s="20">
        <v>0</v>
      </c>
      <c r="DG366" s="16">
        <f t="shared" si="29"/>
        <v>23650.999999999996</v>
      </c>
      <c r="DH366" s="16">
        <f t="shared" si="30"/>
        <v>672568.24641482311</v>
      </c>
      <c r="DI366" s="17">
        <f t="shared" si="31"/>
        <v>28.43720123524685</v>
      </c>
      <c r="DJ366" s="119" t="s">
        <v>4</v>
      </c>
      <c r="DK366" s="44" t="s">
        <v>4</v>
      </c>
    </row>
    <row r="367" spans="1:115">
      <c r="A367" s="32" t="str">
        <f t="shared" si="32"/>
        <v>Essential (Original)--POLE MOUNTED ; &lt; = 22kV ;  &gt; 60 kVA AND &lt; = 600 kVA  ; MULTIPLE PHASE</v>
      </c>
      <c r="B367" s="32" t="str">
        <f t="shared" si="33"/>
        <v>Essential (Original)</v>
      </c>
      <c r="C367" s="384"/>
      <c r="D367" s="14"/>
      <c r="E367" s="15" t="s">
        <v>207</v>
      </c>
      <c r="F367" s="18">
        <v>45.8</v>
      </c>
      <c r="G367" s="18">
        <v>6.7675697262754522</v>
      </c>
      <c r="H367" s="20">
        <v>307.26074647289198</v>
      </c>
      <c r="I367" s="20">
        <v>633.53763034964379</v>
      </c>
      <c r="J367" s="20">
        <v>553.46968338602369</v>
      </c>
      <c r="K367" s="20">
        <v>601.51045156419571</v>
      </c>
      <c r="L367" s="20">
        <v>482.40938045581089</v>
      </c>
      <c r="M367" s="20">
        <v>692.5877412353135</v>
      </c>
      <c r="N367" s="20">
        <v>612.51979427169351</v>
      </c>
      <c r="O367" s="20">
        <v>651.55291841645828</v>
      </c>
      <c r="P367" s="20">
        <v>672.57075449440856</v>
      </c>
      <c r="Q367" s="20">
        <v>716.60812532439957</v>
      </c>
      <c r="R367" s="20">
        <v>577.49006747510975</v>
      </c>
      <c r="S367" s="20">
        <v>500.42466852262538</v>
      </c>
      <c r="T367" s="20">
        <v>956.81196621525976</v>
      </c>
      <c r="U367" s="20">
        <v>441.37455763695561</v>
      </c>
      <c r="V367" s="20">
        <v>346.29387061765675</v>
      </c>
      <c r="W367" s="20">
        <v>308.26159580993726</v>
      </c>
      <c r="X367" s="20">
        <v>307.26074647289198</v>
      </c>
      <c r="Y367" s="20">
        <v>325.27603453970653</v>
      </c>
      <c r="Z367" s="20">
        <v>498.42296984853488</v>
      </c>
      <c r="AA367" s="20">
        <v>489.41532581512763</v>
      </c>
      <c r="AB367" s="20">
        <v>377.32020006605956</v>
      </c>
      <c r="AC367" s="20">
        <v>491.41702448921814</v>
      </c>
      <c r="AD367" s="20">
        <v>552.46883404897847</v>
      </c>
      <c r="AE367" s="20">
        <v>371.31510404378804</v>
      </c>
      <c r="AF367" s="20">
        <v>463.39324305195112</v>
      </c>
      <c r="AG367" s="20">
        <v>298.25310243948473</v>
      </c>
      <c r="AH367" s="20">
        <v>419.35587222196006</v>
      </c>
      <c r="AI367" s="20">
        <v>359.30491199924501</v>
      </c>
      <c r="AJ367" s="20">
        <v>347.29471995470203</v>
      </c>
      <c r="AK367" s="20">
        <v>314.26669183220872</v>
      </c>
      <c r="AL367" s="20">
        <v>238.20214221676969</v>
      </c>
      <c r="AM367" s="20">
        <v>373.31680271787855</v>
      </c>
      <c r="AN367" s="20">
        <v>427.36266691832208</v>
      </c>
      <c r="AO367" s="20">
        <v>406.3448308403718</v>
      </c>
      <c r="AP367" s="20">
        <v>252.2140329354032</v>
      </c>
      <c r="AQ367" s="20">
        <v>292.24800641721322</v>
      </c>
      <c r="AR367" s="20">
        <v>310.26329448402777</v>
      </c>
      <c r="AS367" s="20">
        <v>225.19110083518143</v>
      </c>
      <c r="AT367" s="20">
        <v>264.2242249799462</v>
      </c>
      <c r="AU367" s="20">
        <v>243.20638890199595</v>
      </c>
      <c r="AV367" s="20">
        <v>220.18685414995517</v>
      </c>
      <c r="AW367" s="20">
        <v>221.18770348700042</v>
      </c>
      <c r="AX367" s="20">
        <v>372.31595338083332</v>
      </c>
      <c r="AY367" s="20">
        <v>364.3091586844713</v>
      </c>
      <c r="AZ367" s="20">
        <v>299.25395177652996</v>
      </c>
      <c r="BA367" s="20">
        <v>254.2157316094937</v>
      </c>
      <c r="BB367" s="20">
        <v>164.13929127542113</v>
      </c>
      <c r="BC367" s="20">
        <v>253.21488227244845</v>
      </c>
      <c r="BD367" s="20">
        <v>207.17581276836691</v>
      </c>
      <c r="BE367" s="20">
        <v>93.07898834520833</v>
      </c>
      <c r="BF367" s="20">
        <v>56.047562874534044</v>
      </c>
      <c r="BG367" s="20">
        <v>27.022932100221773</v>
      </c>
      <c r="BH367" s="20">
        <v>154.13079790496863</v>
      </c>
      <c r="BI367" s="20">
        <v>258.21912895767468</v>
      </c>
      <c r="BJ367" s="20">
        <v>33.028028122493275</v>
      </c>
      <c r="BK367" s="20">
        <v>46.039069504081539</v>
      </c>
      <c r="BL367" s="20">
        <v>33.028028122493275</v>
      </c>
      <c r="BM367" s="20">
        <v>25.021233426131271</v>
      </c>
      <c r="BN367" s="20">
        <v>119.10107110838484</v>
      </c>
      <c r="BO367" s="20">
        <v>23.019534752040769</v>
      </c>
      <c r="BP367" s="20">
        <v>4.0033973481810028</v>
      </c>
      <c r="BQ367" s="20">
        <v>6.0050960222715046</v>
      </c>
      <c r="BR367" s="20">
        <v>5.0042466852262537</v>
      </c>
      <c r="BS367" s="20">
        <v>206.17496343132166</v>
      </c>
      <c r="BT367" s="20">
        <v>14.011890718633511</v>
      </c>
      <c r="BU367" s="20">
        <v>1.0008493370452507</v>
      </c>
      <c r="BV367" s="20">
        <v>3.0025480111357523</v>
      </c>
      <c r="BW367" s="20">
        <v>5.0042466852262537</v>
      </c>
      <c r="BX367" s="20">
        <v>6.0050960222715046</v>
      </c>
      <c r="BY367" s="20">
        <v>3.0025480111357523</v>
      </c>
      <c r="BZ367" s="20">
        <v>1.0008493370452507</v>
      </c>
      <c r="CA367" s="20">
        <v>1.0008493370452507</v>
      </c>
      <c r="CB367" s="20">
        <v>2.0016986740905014</v>
      </c>
      <c r="CC367" s="20">
        <v>13.01104138158826</v>
      </c>
      <c r="CD367" s="20">
        <v>3.0025480111357523</v>
      </c>
      <c r="CE367" s="20">
        <v>3.0025480111357523</v>
      </c>
      <c r="CF367" s="20">
        <v>0</v>
      </c>
      <c r="CG367" s="20">
        <v>0</v>
      </c>
      <c r="CH367" s="20">
        <v>0</v>
      </c>
      <c r="CI367" s="20">
        <v>0</v>
      </c>
      <c r="CJ367" s="20">
        <v>0</v>
      </c>
      <c r="CK367" s="20">
        <v>0</v>
      </c>
      <c r="CL367" s="20">
        <v>1.0008493370452507</v>
      </c>
      <c r="CM367" s="20">
        <v>8.0067946963620056</v>
      </c>
      <c r="CN367" s="20">
        <v>0</v>
      </c>
      <c r="CO367" s="20">
        <v>0</v>
      </c>
      <c r="CP367" s="20">
        <v>0</v>
      </c>
      <c r="CQ367" s="20">
        <v>0</v>
      </c>
      <c r="CR367" s="20">
        <v>0</v>
      </c>
      <c r="CS367" s="20">
        <v>0</v>
      </c>
      <c r="CT367" s="20">
        <v>0</v>
      </c>
      <c r="CU367" s="20">
        <v>0</v>
      </c>
      <c r="CV367" s="20">
        <v>0</v>
      </c>
      <c r="CW367" s="20">
        <v>0</v>
      </c>
      <c r="CX367" s="20">
        <v>0</v>
      </c>
      <c r="CY367" s="20">
        <v>0</v>
      </c>
      <c r="CZ367" s="20">
        <v>0</v>
      </c>
      <c r="DA367" s="20">
        <v>0</v>
      </c>
      <c r="DB367" s="20">
        <v>0</v>
      </c>
      <c r="DC367" s="20">
        <v>0</v>
      </c>
      <c r="DD367" s="20">
        <v>0</v>
      </c>
      <c r="DE367" s="20">
        <v>0</v>
      </c>
      <c r="DF367" s="20">
        <v>0</v>
      </c>
      <c r="DG367" s="16">
        <f t="shared" ref="DG367:DG428" si="34">SUM(H367:DF367)</f>
        <v>21210.999999999985</v>
      </c>
      <c r="DH367" s="16">
        <f t="shared" ref="DH367:DH428" si="35">IFERROR(SUMPRODUCT(H367:DF367,$H$1:$DF$1),"")</f>
        <v>485044.61676025082</v>
      </c>
      <c r="DI367" s="17">
        <f t="shared" ref="DI367:DI428" si="36">IFERROR(DH367/DG367,"")</f>
        <v>22.867597791723689</v>
      </c>
      <c r="DJ367" s="119" t="s">
        <v>4</v>
      </c>
      <c r="DK367" s="44" t="s">
        <v>4</v>
      </c>
    </row>
    <row r="368" spans="1:115">
      <c r="A368" s="32" t="str">
        <f t="shared" si="32"/>
        <v>Essential (Original)--POLE MOUNTED ; &lt; = 22kV ;  &gt; 600 kVA  ; MULTIPLE PHASE</v>
      </c>
      <c r="B368" s="32" t="str">
        <f t="shared" si="33"/>
        <v>Essential (Original)</v>
      </c>
      <c r="C368" s="384"/>
      <c r="D368" s="14"/>
      <c r="E368" s="15" t="s">
        <v>208</v>
      </c>
      <c r="F368" s="18">
        <v>45.8</v>
      </c>
      <c r="G368" s="18">
        <v>6.7675697262754522</v>
      </c>
      <c r="H368" s="20">
        <v>2</v>
      </c>
      <c r="I368" s="20">
        <v>1</v>
      </c>
      <c r="J368" s="20">
        <v>0</v>
      </c>
      <c r="K368" s="20">
        <v>0</v>
      </c>
      <c r="L368" s="20">
        <v>0</v>
      </c>
      <c r="M368" s="20">
        <v>0</v>
      </c>
      <c r="N368" s="20">
        <v>0</v>
      </c>
      <c r="O368" s="20">
        <v>1</v>
      </c>
      <c r="P368" s="20">
        <v>0</v>
      </c>
      <c r="Q368" s="20">
        <v>0</v>
      </c>
      <c r="R368" s="20">
        <v>0</v>
      </c>
      <c r="S368" s="20">
        <v>0</v>
      </c>
      <c r="T368" s="20">
        <v>4</v>
      </c>
      <c r="U368" s="20">
        <v>0</v>
      </c>
      <c r="V368" s="20">
        <v>3</v>
      </c>
      <c r="W368" s="20">
        <v>0</v>
      </c>
      <c r="X368" s="20">
        <v>1</v>
      </c>
      <c r="Y368" s="20">
        <v>1</v>
      </c>
      <c r="Z368" s="20">
        <v>0</v>
      </c>
      <c r="AA368" s="20">
        <v>1</v>
      </c>
      <c r="AB368" s="20">
        <v>3</v>
      </c>
      <c r="AC368" s="20">
        <v>4</v>
      </c>
      <c r="AD368" s="20">
        <v>1</v>
      </c>
      <c r="AE368" s="20">
        <v>0</v>
      </c>
      <c r="AF368" s="20">
        <v>0</v>
      </c>
      <c r="AG368" s="20">
        <v>0</v>
      </c>
      <c r="AH368" s="20">
        <v>0</v>
      </c>
      <c r="AI368" s="20">
        <v>1</v>
      </c>
      <c r="AJ368" s="20">
        <v>0</v>
      </c>
      <c r="AK368" s="20">
        <v>0</v>
      </c>
      <c r="AL368" s="20">
        <v>0</v>
      </c>
      <c r="AM368" s="20">
        <v>1</v>
      </c>
      <c r="AN368" s="20">
        <v>2</v>
      </c>
      <c r="AO368" s="20">
        <v>0</v>
      </c>
      <c r="AP368" s="20">
        <v>0</v>
      </c>
      <c r="AQ368" s="20">
        <v>0</v>
      </c>
      <c r="AR368" s="20">
        <v>2</v>
      </c>
      <c r="AS368" s="20">
        <v>1</v>
      </c>
      <c r="AT368" s="20">
        <v>0</v>
      </c>
      <c r="AU368" s="20">
        <v>0</v>
      </c>
      <c r="AV368" s="20">
        <v>1</v>
      </c>
      <c r="AW368" s="20">
        <v>0</v>
      </c>
      <c r="AX368" s="20">
        <v>2</v>
      </c>
      <c r="AY368" s="20">
        <v>1</v>
      </c>
      <c r="AZ368" s="20">
        <v>1</v>
      </c>
      <c r="BA368" s="20">
        <v>0</v>
      </c>
      <c r="BB368" s="20">
        <v>1</v>
      </c>
      <c r="BC368" s="20">
        <v>1</v>
      </c>
      <c r="BD368" s="20">
        <v>0</v>
      </c>
      <c r="BE368" s="20">
        <v>0</v>
      </c>
      <c r="BF368" s="20">
        <v>0</v>
      </c>
      <c r="BG368" s="20">
        <v>0</v>
      </c>
      <c r="BH368" s="20">
        <v>0</v>
      </c>
      <c r="BI368" s="20">
        <v>0</v>
      </c>
      <c r="BJ368" s="20">
        <v>0</v>
      </c>
      <c r="BK368" s="20">
        <v>1</v>
      </c>
      <c r="BL368" s="20">
        <v>1</v>
      </c>
      <c r="BM368" s="20">
        <v>0</v>
      </c>
      <c r="BN368" s="20">
        <v>0</v>
      </c>
      <c r="BO368" s="20">
        <v>0</v>
      </c>
      <c r="BP368" s="20">
        <v>0</v>
      </c>
      <c r="BQ368" s="20">
        <v>0</v>
      </c>
      <c r="BR368" s="20">
        <v>0</v>
      </c>
      <c r="BS368" s="20">
        <v>0</v>
      </c>
      <c r="BT368" s="20">
        <v>0</v>
      </c>
      <c r="BU368" s="20">
        <v>0</v>
      </c>
      <c r="BV368" s="20">
        <v>0</v>
      </c>
      <c r="BW368" s="20">
        <v>0</v>
      </c>
      <c r="BX368" s="20">
        <v>0</v>
      </c>
      <c r="BY368" s="20">
        <v>0</v>
      </c>
      <c r="BZ368" s="20">
        <v>0</v>
      </c>
      <c r="CA368" s="20">
        <v>0</v>
      </c>
      <c r="CB368" s="20">
        <v>0</v>
      </c>
      <c r="CC368" s="20">
        <v>0</v>
      </c>
      <c r="CD368" s="20">
        <v>0</v>
      </c>
      <c r="CE368" s="20">
        <v>0</v>
      </c>
      <c r="CF368" s="20">
        <v>0</v>
      </c>
      <c r="CG368" s="20">
        <v>0</v>
      </c>
      <c r="CH368" s="20">
        <v>0</v>
      </c>
      <c r="CI368" s="20">
        <v>0</v>
      </c>
      <c r="CJ368" s="20">
        <v>0</v>
      </c>
      <c r="CK368" s="20">
        <v>0</v>
      </c>
      <c r="CL368" s="20">
        <v>0</v>
      </c>
      <c r="CM368" s="20">
        <v>0</v>
      </c>
      <c r="CN368" s="20">
        <v>0</v>
      </c>
      <c r="CO368" s="20">
        <v>0</v>
      </c>
      <c r="CP368" s="20">
        <v>0</v>
      </c>
      <c r="CQ368" s="20">
        <v>0</v>
      </c>
      <c r="CR368" s="20">
        <v>0</v>
      </c>
      <c r="CS368" s="20">
        <v>0</v>
      </c>
      <c r="CT368" s="20">
        <v>0</v>
      </c>
      <c r="CU368" s="20">
        <v>0</v>
      </c>
      <c r="CV368" s="20">
        <v>0</v>
      </c>
      <c r="CW368" s="20">
        <v>0</v>
      </c>
      <c r="CX368" s="20">
        <v>0</v>
      </c>
      <c r="CY368" s="20">
        <v>0</v>
      </c>
      <c r="CZ368" s="20">
        <v>0</v>
      </c>
      <c r="DA368" s="20">
        <v>0</v>
      </c>
      <c r="DB368" s="20">
        <v>0</v>
      </c>
      <c r="DC368" s="20">
        <v>0</v>
      </c>
      <c r="DD368" s="20">
        <v>0</v>
      </c>
      <c r="DE368" s="20">
        <v>0</v>
      </c>
      <c r="DF368" s="20">
        <v>0</v>
      </c>
      <c r="DG368" s="16">
        <f t="shared" si="34"/>
        <v>38</v>
      </c>
      <c r="DH368" s="16">
        <f t="shared" si="35"/>
        <v>1000</v>
      </c>
      <c r="DI368" s="17">
        <f t="shared" si="36"/>
        <v>26.315789473684209</v>
      </c>
      <c r="DJ368" s="119" t="s">
        <v>4</v>
      </c>
      <c r="DK368" s="44" t="s">
        <v>4</v>
      </c>
    </row>
    <row r="369" spans="1:115">
      <c r="A369" s="32" t="str">
        <f t="shared" si="32"/>
        <v xml:space="preserve">Essential (Original)--POLE MOUNTED ; &gt; 22 kV ;  &lt; = 60 kVA </v>
      </c>
      <c r="B369" s="32" t="str">
        <f t="shared" si="33"/>
        <v>Essential (Original)</v>
      </c>
      <c r="C369" s="384"/>
      <c r="D369" s="14"/>
      <c r="E369" s="15" t="s">
        <v>209</v>
      </c>
      <c r="F369" s="18">
        <v>45.8</v>
      </c>
      <c r="G369" s="18">
        <v>6.7675697262754522</v>
      </c>
      <c r="H369" s="20">
        <v>2</v>
      </c>
      <c r="I369" s="20">
        <v>8</v>
      </c>
      <c r="J369" s="20">
        <v>7</v>
      </c>
      <c r="K369" s="20">
        <v>13</v>
      </c>
      <c r="L369" s="20">
        <v>16</v>
      </c>
      <c r="M369" s="20">
        <v>7</v>
      </c>
      <c r="N369" s="20">
        <v>13</v>
      </c>
      <c r="O369" s="20">
        <v>9</v>
      </c>
      <c r="P369" s="20">
        <v>12</v>
      </c>
      <c r="Q369" s="20">
        <v>9</v>
      </c>
      <c r="R369" s="20">
        <v>4</v>
      </c>
      <c r="S369" s="20">
        <v>14</v>
      </c>
      <c r="T369" s="20">
        <v>9</v>
      </c>
      <c r="U369" s="20">
        <v>13</v>
      </c>
      <c r="V369" s="20">
        <v>15</v>
      </c>
      <c r="W369" s="20">
        <v>16</v>
      </c>
      <c r="X369" s="20">
        <v>20</v>
      </c>
      <c r="Y369" s="20">
        <v>37</v>
      </c>
      <c r="Z369" s="20">
        <v>20</v>
      </c>
      <c r="AA369" s="20">
        <v>13</v>
      </c>
      <c r="AB369" s="20">
        <v>15</v>
      </c>
      <c r="AC369" s="20">
        <v>24</v>
      </c>
      <c r="AD369" s="20">
        <v>66</v>
      </c>
      <c r="AE369" s="20">
        <v>13</v>
      </c>
      <c r="AF369" s="20">
        <v>17</v>
      </c>
      <c r="AG369" s="20">
        <v>3</v>
      </c>
      <c r="AH369" s="20">
        <v>9</v>
      </c>
      <c r="AI369" s="20">
        <v>12</v>
      </c>
      <c r="AJ369" s="20">
        <v>12</v>
      </c>
      <c r="AK369" s="20">
        <v>5</v>
      </c>
      <c r="AL369" s="20">
        <v>2</v>
      </c>
      <c r="AM369" s="20">
        <v>6</v>
      </c>
      <c r="AN369" s="20">
        <v>6</v>
      </c>
      <c r="AO369" s="20">
        <v>13</v>
      </c>
      <c r="AP369" s="20">
        <v>4</v>
      </c>
      <c r="AQ369" s="20">
        <v>4</v>
      </c>
      <c r="AR369" s="20">
        <v>11</v>
      </c>
      <c r="AS369" s="20">
        <v>13</v>
      </c>
      <c r="AT369" s="20">
        <v>4</v>
      </c>
      <c r="AU369" s="20">
        <v>0</v>
      </c>
      <c r="AV369" s="20">
        <v>3</v>
      </c>
      <c r="AW369" s="20">
        <v>1</v>
      </c>
      <c r="AX369" s="20">
        <v>4</v>
      </c>
      <c r="AY369" s="20">
        <v>17</v>
      </c>
      <c r="AZ369" s="20">
        <v>7</v>
      </c>
      <c r="BA369" s="20">
        <v>12</v>
      </c>
      <c r="BB369" s="20">
        <v>15</v>
      </c>
      <c r="BC369" s="20">
        <v>3</v>
      </c>
      <c r="BD369" s="20">
        <v>4</v>
      </c>
      <c r="BE369" s="20">
        <v>1</v>
      </c>
      <c r="BF369" s="20">
        <v>0</v>
      </c>
      <c r="BG369" s="20">
        <v>32</v>
      </c>
      <c r="BH369" s="20">
        <v>4</v>
      </c>
      <c r="BI369" s="20">
        <v>15</v>
      </c>
      <c r="BJ369" s="20">
        <v>0</v>
      </c>
      <c r="BK369" s="20">
        <v>0</v>
      </c>
      <c r="BL369" s="20">
        <v>0</v>
      </c>
      <c r="BM369" s="20">
        <v>0</v>
      </c>
      <c r="BN369" s="20">
        <v>0</v>
      </c>
      <c r="BO369" s="20">
        <v>0</v>
      </c>
      <c r="BP369" s="20">
        <v>0</v>
      </c>
      <c r="BQ369" s="20">
        <v>0</v>
      </c>
      <c r="BR369" s="20">
        <v>0</v>
      </c>
      <c r="BS369" s="20">
        <v>0</v>
      </c>
      <c r="BT369" s="20">
        <v>0</v>
      </c>
      <c r="BU369" s="20">
        <v>0</v>
      </c>
      <c r="BV369" s="20">
        <v>0</v>
      </c>
      <c r="BW369" s="20">
        <v>0</v>
      </c>
      <c r="BX369" s="20">
        <v>0</v>
      </c>
      <c r="BY369" s="20">
        <v>0</v>
      </c>
      <c r="BZ369" s="20">
        <v>0</v>
      </c>
      <c r="CA369" s="20">
        <v>0</v>
      </c>
      <c r="CB369" s="20">
        <v>0</v>
      </c>
      <c r="CC369" s="20">
        <v>0</v>
      </c>
      <c r="CD369" s="20">
        <v>0</v>
      </c>
      <c r="CE369" s="20">
        <v>0</v>
      </c>
      <c r="CF369" s="20">
        <v>0</v>
      </c>
      <c r="CG369" s="20">
        <v>0</v>
      </c>
      <c r="CH369" s="20">
        <v>0</v>
      </c>
      <c r="CI369" s="20">
        <v>0</v>
      </c>
      <c r="CJ369" s="20">
        <v>0</v>
      </c>
      <c r="CK369" s="20">
        <v>0</v>
      </c>
      <c r="CL369" s="20">
        <v>0</v>
      </c>
      <c r="CM369" s="20">
        <v>0</v>
      </c>
      <c r="CN369" s="20">
        <v>0</v>
      </c>
      <c r="CO369" s="20">
        <v>0</v>
      </c>
      <c r="CP369" s="20">
        <v>0</v>
      </c>
      <c r="CQ369" s="20">
        <v>0</v>
      </c>
      <c r="CR369" s="20">
        <v>0</v>
      </c>
      <c r="CS369" s="20">
        <v>0</v>
      </c>
      <c r="CT369" s="20">
        <v>0</v>
      </c>
      <c r="CU369" s="20">
        <v>0</v>
      </c>
      <c r="CV369" s="20">
        <v>0</v>
      </c>
      <c r="CW369" s="20">
        <v>0</v>
      </c>
      <c r="CX369" s="20">
        <v>0</v>
      </c>
      <c r="CY369" s="20">
        <v>0</v>
      </c>
      <c r="CZ369" s="20">
        <v>0</v>
      </c>
      <c r="DA369" s="20">
        <v>0</v>
      </c>
      <c r="DB369" s="20">
        <v>0</v>
      </c>
      <c r="DC369" s="20">
        <v>0</v>
      </c>
      <c r="DD369" s="20">
        <v>0</v>
      </c>
      <c r="DE369" s="20">
        <v>0</v>
      </c>
      <c r="DF369" s="20">
        <v>0</v>
      </c>
      <c r="DG369" s="16">
        <f t="shared" si="34"/>
        <v>614</v>
      </c>
      <c r="DH369" s="16">
        <f t="shared" si="35"/>
        <v>15433</v>
      </c>
      <c r="DI369" s="17">
        <f t="shared" si="36"/>
        <v>25.135179153094462</v>
      </c>
      <c r="DJ369" s="119" t="s">
        <v>4</v>
      </c>
      <c r="DK369" s="44" t="s">
        <v>4</v>
      </c>
    </row>
    <row r="370" spans="1:115">
      <c r="A370" s="32" t="str">
        <f t="shared" si="32"/>
        <v xml:space="preserve">Essential (Original)--POLE MOUNTED ; &gt; 22 kV ;  &gt; 60 kVA AND &lt; = 600 kVA </v>
      </c>
      <c r="B370" s="32" t="str">
        <f t="shared" si="33"/>
        <v>Essential (Original)</v>
      </c>
      <c r="C370" s="384"/>
      <c r="D370" s="14"/>
      <c r="E370" s="15" t="s">
        <v>210</v>
      </c>
      <c r="F370" s="18">
        <v>45.8</v>
      </c>
      <c r="G370" s="18">
        <v>6.7675697262754522</v>
      </c>
      <c r="H370" s="20">
        <v>9.0131964809384169</v>
      </c>
      <c r="I370" s="20">
        <v>17.024926686217007</v>
      </c>
      <c r="J370" s="20">
        <v>19.027859237536656</v>
      </c>
      <c r="K370" s="20">
        <v>21.030791788856305</v>
      </c>
      <c r="L370" s="20">
        <v>18.026392961876834</v>
      </c>
      <c r="M370" s="20">
        <v>21.030791788856305</v>
      </c>
      <c r="N370" s="20">
        <v>17.024926686217007</v>
      </c>
      <c r="O370" s="20">
        <v>33.048387096774192</v>
      </c>
      <c r="P370" s="20">
        <v>18.026392961876834</v>
      </c>
      <c r="Q370" s="20">
        <v>15.02199413489736</v>
      </c>
      <c r="R370" s="20">
        <v>16.023460410557185</v>
      </c>
      <c r="S370" s="20">
        <v>8.0117302052785924</v>
      </c>
      <c r="T370" s="20">
        <v>17.024926686217007</v>
      </c>
      <c r="U370" s="20">
        <v>20.029325513196483</v>
      </c>
      <c r="V370" s="20">
        <v>13.019061583577713</v>
      </c>
      <c r="W370" s="20">
        <v>22.032258064516128</v>
      </c>
      <c r="X370" s="20">
        <v>20.029325513196483</v>
      </c>
      <c r="Y370" s="20">
        <v>23.033724340175954</v>
      </c>
      <c r="Z370" s="20">
        <v>39.057184750733136</v>
      </c>
      <c r="AA370" s="20">
        <v>32.046920821114369</v>
      </c>
      <c r="AB370" s="20">
        <v>26.038123167155426</v>
      </c>
      <c r="AC370" s="20">
        <v>12.017595307917889</v>
      </c>
      <c r="AD370" s="20">
        <v>66.096774193548384</v>
      </c>
      <c r="AE370" s="20">
        <v>2.0029325513196481</v>
      </c>
      <c r="AF370" s="20">
        <v>7.0102639296187688</v>
      </c>
      <c r="AG370" s="20">
        <v>4.0058651026392962</v>
      </c>
      <c r="AH370" s="20">
        <v>10.014662756598241</v>
      </c>
      <c r="AI370" s="20">
        <v>5.0073313782991207</v>
      </c>
      <c r="AJ370" s="20">
        <v>12.017595307917889</v>
      </c>
      <c r="AK370" s="20">
        <v>9.0131964809384169</v>
      </c>
      <c r="AL370" s="20">
        <v>5.0073313782991207</v>
      </c>
      <c r="AM370" s="20">
        <v>8.0117302052785924</v>
      </c>
      <c r="AN370" s="20">
        <v>2.0029325513196481</v>
      </c>
      <c r="AO370" s="20">
        <v>13.019061583577713</v>
      </c>
      <c r="AP370" s="20">
        <v>4.0058651026392962</v>
      </c>
      <c r="AQ370" s="20">
        <v>5.0073313782991207</v>
      </c>
      <c r="AR370" s="20">
        <v>6.0087976539589443</v>
      </c>
      <c r="AS370" s="20">
        <v>6.0087976539589443</v>
      </c>
      <c r="AT370" s="20">
        <v>2.0029325513196481</v>
      </c>
      <c r="AU370" s="20">
        <v>10.014662756598241</v>
      </c>
      <c r="AV370" s="20">
        <v>5.0073313782991207</v>
      </c>
      <c r="AW370" s="20">
        <v>3.0043988269794721</v>
      </c>
      <c r="AX370" s="20">
        <v>6.0087976539589443</v>
      </c>
      <c r="AY370" s="20">
        <v>5.0073313782991207</v>
      </c>
      <c r="AZ370" s="20">
        <v>14.020527859237538</v>
      </c>
      <c r="BA370" s="20">
        <v>6.0087976539589443</v>
      </c>
      <c r="BB370" s="20">
        <v>2.0029325513196481</v>
      </c>
      <c r="BC370" s="20">
        <v>3.0043988269794721</v>
      </c>
      <c r="BD370" s="20">
        <v>1.001466275659824</v>
      </c>
      <c r="BE370" s="20">
        <v>1.001466275659824</v>
      </c>
      <c r="BF370" s="20">
        <v>2.0029325513196481</v>
      </c>
      <c r="BG370" s="20">
        <v>4.0058651026392962</v>
      </c>
      <c r="BH370" s="20">
        <v>8.0117302052785924</v>
      </c>
      <c r="BI370" s="20">
        <v>2.0029325513196481</v>
      </c>
      <c r="BJ370" s="20">
        <v>0</v>
      </c>
      <c r="BK370" s="20">
        <v>1.001466275659824</v>
      </c>
      <c r="BL370" s="20">
        <v>0</v>
      </c>
      <c r="BM370" s="20">
        <v>0</v>
      </c>
      <c r="BN370" s="20">
        <v>5.0073313782991207</v>
      </c>
      <c r="BO370" s="20">
        <v>0</v>
      </c>
      <c r="BP370" s="20">
        <v>0</v>
      </c>
      <c r="BQ370" s="20">
        <v>0</v>
      </c>
      <c r="BR370" s="20">
        <v>0</v>
      </c>
      <c r="BS370" s="20">
        <v>2.0029325513196481</v>
      </c>
      <c r="BT370" s="20">
        <v>0</v>
      </c>
      <c r="BU370" s="20">
        <v>0</v>
      </c>
      <c r="BV370" s="20">
        <v>0</v>
      </c>
      <c r="BW370" s="20">
        <v>0</v>
      </c>
      <c r="BX370" s="20">
        <v>0</v>
      </c>
      <c r="BY370" s="20">
        <v>0</v>
      </c>
      <c r="BZ370" s="20">
        <v>0</v>
      </c>
      <c r="CA370" s="20">
        <v>0</v>
      </c>
      <c r="CB370" s="20">
        <v>0</v>
      </c>
      <c r="CC370" s="20">
        <v>0</v>
      </c>
      <c r="CD370" s="20">
        <v>0</v>
      </c>
      <c r="CE370" s="20">
        <v>0</v>
      </c>
      <c r="CF370" s="20">
        <v>0</v>
      </c>
      <c r="CG370" s="20">
        <v>0</v>
      </c>
      <c r="CH370" s="20">
        <v>0</v>
      </c>
      <c r="CI370" s="20">
        <v>0</v>
      </c>
      <c r="CJ370" s="20">
        <v>0</v>
      </c>
      <c r="CK370" s="20">
        <v>0</v>
      </c>
      <c r="CL370" s="20">
        <v>0</v>
      </c>
      <c r="CM370" s="20">
        <v>0</v>
      </c>
      <c r="CN370" s="20">
        <v>0</v>
      </c>
      <c r="CO370" s="20">
        <v>0</v>
      </c>
      <c r="CP370" s="20">
        <v>0</v>
      </c>
      <c r="CQ370" s="20">
        <v>0</v>
      </c>
      <c r="CR370" s="20">
        <v>0</v>
      </c>
      <c r="CS370" s="20">
        <v>0</v>
      </c>
      <c r="CT370" s="20">
        <v>0</v>
      </c>
      <c r="CU370" s="20">
        <v>0</v>
      </c>
      <c r="CV370" s="20">
        <v>0</v>
      </c>
      <c r="CW370" s="20">
        <v>0</v>
      </c>
      <c r="CX370" s="20">
        <v>0</v>
      </c>
      <c r="CY370" s="20">
        <v>0</v>
      </c>
      <c r="CZ370" s="20">
        <v>0</v>
      </c>
      <c r="DA370" s="20">
        <v>0</v>
      </c>
      <c r="DB370" s="20">
        <v>0</v>
      </c>
      <c r="DC370" s="20">
        <v>0</v>
      </c>
      <c r="DD370" s="20">
        <v>0</v>
      </c>
      <c r="DE370" s="20">
        <v>0</v>
      </c>
      <c r="DF370" s="20">
        <v>0</v>
      </c>
      <c r="DG370" s="16">
        <f t="shared" si="34"/>
        <v>682.99999999999989</v>
      </c>
      <c r="DH370" s="16">
        <f t="shared" si="35"/>
        <v>13793.195014662759</v>
      </c>
      <c r="DI370" s="17">
        <f t="shared" si="36"/>
        <v>20.195014662756606</v>
      </c>
      <c r="DJ370" s="119" t="s">
        <v>4</v>
      </c>
      <c r="DK370" s="44" t="s">
        <v>4</v>
      </c>
    </row>
    <row r="371" spans="1:115">
      <c r="A371" s="32" t="str">
        <f t="shared" si="32"/>
        <v>Essential (Original)--POLE MOUNTED ; &gt; 22 kV ;  &gt; 600 kVA</v>
      </c>
      <c r="B371" s="32" t="str">
        <f t="shared" si="33"/>
        <v>Essential (Original)</v>
      </c>
      <c r="C371" s="384"/>
      <c r="D371" s="14"/>
      <c r="E371" s="15" t="s">
        <v>211</v>
      </c>
      <c r="F371" s="18">
        <v>45.8</v>
      </c>
      <c r="G371" s="18">
        <v>6.7675697262754522</v>
      </c>
      <c r="H371" s="20">
        <v>0</v>
      </c>
      <c r="I371" s="20">
        <v>0</v>
      </c>
      <c r="J371" s="20">
        <v>0</v>
      </c>
      <c r="K371" s="20">
        <v>0</v>
      </c>
      <c r="L371" s="20">
        <v>0</v>
      </c>
      <c r="M371" s="20">
        <v>0</v>
      </c>
      <c r="N371" s="20">
        <v>0</v>
      </c>
      <c r="O371" s="20">
        <v>0</v>
      </c>
      <c r="P371" s="20">
        <v>0</v>
      </c>
      <c r="Q371" s="20">
        <v>1</v>
      </c>
      <c r="R371" s="20">
        <v>0</v>
      </c>
      <c r="S371" s="20">
        <v>0</v>
      </c>
      <c r="T371" s="20">
        <v>0</v>
      </c>
      <c r="U371" s="20">
        <v>0</v>
      </c>
      <c r="V371" s="20">
        <v>0</v>
      </c>
      <c r="W371" s="20">
        <v>1</v>
      </c>
      <c r="X371" s="20">
        <v>1</v>
      </c>
      <c r="Y371" s="20">
        <v>0</v>
      </c>
      <c r="Z371" s="20">
        <v>2</v>
      </c>
      <c r="AA371" s="20">
        <v>1</v>
      </c>
      <c r="AB371" s="20">
        <v>3</v>
      </c>
      <c r="AC371" s="20">
        <v>0</v>
      </c>
      <c r="AD371" s="20">
        <v>0</v>
      </c>
      <c r="AE371" s="20">
        <v>0</v>
      </c>
      <c r="AF371" s="20">
        <v>0</v>
      </c>
      <c r="AG371" s="20">
        <v>0</v>
      </c>
      <c r="AH371" s="20">
        <v>0</v>
      </c>
      <c r="AI371" s="20">
        <v>0</v>
      </c>
      <c r="AJ371" s="20">
        <v>0</v>
      </c>
      <c r="AK371" s="20">
        <v>0</v>
      </c>
      <c r="AL371" s="20">
        <v>0</v>
      </c>
      <c r="AM371" s="20">
        <v>0</v>
      </c>
      <c r="AN371" s="20">
        <v>0</v>
      </c>
      <c r="AO371" s="20">
        <v>0</v>
      </c>
      <c r="AP371" s="20">
        <v>0</v>
      </c>
      <c r="AQ371" s="20">
        <v>0</v>
      </c>
      <c r="AR371" s="20">
        <v>0</v>
      </c>
      <c r="AS371" s="20">
        <v>0</v>
      </c>
      <c r="AT371" s="20">
        <v>0</v>
      </c>
      <c r="AU371" s="20">
        <v>0</v>
      </c>
      <c r="AV371" s="20">
        <v>0</v>
      </c>
      <c r="AW371" s="20">
        <v>0</v>
      </c>
      <c r="AX371" s="20">
        <v>0</v>
      </c>
      <c r="AY371" s="20">
        <v>0</v>
      </c>
      <c r="AZ371" s="20">
        <v>0</v>
      </c>
      <c r="BA371" s="20">
        <v>0</v>
      </c>
      <c r="BB371" s="20">
        <v>0</v>
      </c>
      <c r="BC371" s="20">
        <v>1</v>
      </c>
      <c r="BD371" s="20">
        <v>0</v>
      </c>
      <c r="BE371" s="20">
        <v>0</v>
      </c>
      <c r="BF371" s="20">
        <v>0</v>
      </c>
      <c r="BG371" s="20">
        <v>0</v>
      </c>
      <c r="BH371" s="20">
        <v>0</v>
      </c>
      <c r="BI371" s="20">
        <v>0</v>
      </c>
      <c r="BJ371" s="20">
        <v>0</v>
      </c>
      <c r="BK371" s="20">
        <v>0</v>
      </c>
      <c r="BL371" s="20">
        <v>0</v>
      </c>
      <c r="BM371" s="20">
        <v>0</v>
      </c>
      <c r="BN371" s="20">
        <v>0</v>
      </c>
      <c r="BO371" s="20">
        <v>0</v>
      </c>
      <c r="BP371" s="20">
        <v>0</v>
      </c>
      <c r="BQ371" s="20">
        <v>0</v>
      </c>
      <c r="BR371" s="20">
        <v>0</v>
      </c>
      <c r="BS371" s="20">
        <v>0</v>
      </c>
      <c r="BT371" s="20">
        <v>0</v>
      </c>
      <c r="BU371" s="20">
        <v>0</v>
      </c>
      <c r="BV371" s="20">
        <v>0</v>
      </c>
      <c r="BW371" s="20">
        <v>0</v>
      </c>
      <c r="BX371" s="20">
        <v>0</v>
      </c>
      <c r="BY371" s="20">
        <v>0</v>
      </c>
      <c r="BZ371" s="20">
        <v>0</v>
      </c>
      <c r="CA371" s="20">
        <v>0</v>
      </c>
      <c r="CB371" s="20">
        <v>0</v>
      </c>
      <c r="CC371" s="20">
        <v>0</v>
      </c>
      <c r="CD371" s="20">
        <v>0</v>
      </c>
      <c r="CE371" s="20">
        <v>0</v>
      </c>
      <c r="CF371" s="20">
        <v>0</v>
      </c>
      <c r="CG371" s="20">
        <v>0</v>
      </c>
      <c r="CH371" s="20">
        <v>0</v>
      </c>
      <c r="CI371" s="20">
        <v>0</v>
      </c>
      <c r="CJ371" s="20">
        <v>0</v>
      </c>
      <c r="CK371" s="20">
        <v>0</v>
      </c>
      <c r="CL371" s="20">
        <v>0</v>
      </c>
      <c r="CM371" s="20">
        <v>0</v>
      </c>
      <c r="CN371" s="20">
        <v>0</v>
      </c>
      <c r="CO371" s="20">
        <v>0</v>
      </c>
      <c r="CP371" s="20">
        <v>0</v>
      </c>
      <c r="CQ371" s="20">
        <v>0</v>
      </c>
      <c r="CR371" s="20">
        <v>0</v>
      </c>
      <c r="CS371" s="20">
        <v>0</v>
      </c>
      <c r="CT371" s="20">
        <v>0</v>
      </c>
      <c r="CU371" s="20">
        <v>0</v>
      </c>
      <c r="CV371" s="20">
        <v>0</v>
      </c>
      <c r="CW371" s="20">
        <v>0</v>
      </c>
      <c r="CX371" s="20">
        <v>0</v>
      </c>
      <c r="CY371" s="20">
        <v>0</v>
      </c>
      <c r="CZ371" s="20">
        <v>0</v>
      </c>
      <c r="DA371" s="20">
        <v>0</v>
      </c>
      <c r="DB371" s="20">
        <v>0</v>
      </c>
      <c r="DC371" s="20">
        <v>0</v>
      </c>
      <c r="DD371" s="20">
        <v>0</v>
      </c>
      <c r="DE371" s="20">
        <v>0</v>
      </c>
      <c r="DF371" s="20">
        <v>0</v>
      </c>
      <c r="DG371" s="16">
        <f t="shared" si="34"/>
        <v>10</v>
      </c>
      <c r="DH371" s="16">
        <f t="shared" si="35"/>
        <v>212</v>
      </c>
      <c r="DI371" s="17">
        <f t="shared" si="36"/>
        <v>21.2</v>
      </c>
      <c r="DJ371" s="119" t="s">
        <v>4</v>
      </c>
      <c r="DK371" s="44" t="s">
        <v>4</v>
      </c>
    </row>
    <row r="372" spans="1:115">
      <c r="A372" s="32" t="str">
        <f t="shared" si="32"/>
        <v xml:space="preserve">Essential (Original)--POLE MOUNTED ; &gt; 22 kV ;  &lt; = 60 kVA </v>
      </c>
      <c r="B372" s="32" t="str">
        <f t="shared" si="33"/>
        <v>Essential (Original)</v>
      </c>
      <c r="C372" s="384"/>
      <c r="D372" s="14"/>
      <c r="E372" s="15" t="s">
        <v>209</v>
      </c>
      <c r="F372" s="18">
        <v>0</v>
      </c>
      <c r="G372" s="18">
        <v>0</v>
      </c>
      <c r="H372" s="20">
        <v>0</v>
      </c>
      <c r="I372" s="20">
        <v>0</v>
      </c>
      <c r="J372" s="20">
        <v>0</v>
      </c>
      <c r="K372" s="20">
        <v>0</v>
      </c>
      <c r="L372" s="20">
        <v>0</v>
      </c>
      <c r="M372" s="20">
        <v>0</v>
      </c>
      <c r="N372" s="20">
        <v>0</v>
      </c>
      <c r="O372" s="20">
        <v>0</v>
      </c>
      <c r="P372" s="20">
        <v>0</v>
      </c>
      <c r="Q372" s="20">
        <v>0</v>
      </c>
      <c r="R372" s="20">
        <v>0</v>
      </c>
      <c r="S372" s="20">
        <v>0</v>
      </c>
      <c r="T372" s="20">
        <v>0</v>
      </c>
      <c r="U372" s="20">
        <v>0</v>
      </c>
      <c r="V372" s="20">
        <v>0</v>
      </c>
      <c r="W372" s="20">
        <v>0</v>
      </c>
      <c r="X372" s="20">
        <v>0</v>
      </c>
      <c r="Y372" s="20">
        <v>0</v>
      </c>
      <c r="Z372" s="20">
        <v>0</v>
      </c>
      <c r="AA372" s="20">
        <v>0</v>
      </c>
      <c r="AB372" s="20">
        <v>0</v>
      </c>
      <c r="AC372" s="20">
        <v>0</v>
      </c>
      <c r="AD372" s="20">
        <v>0</v>
      </c>
      <c r="AE372" s="20">
        <v>0</v>
      </c>
      <c r="AF372" s="20">
        <v>0</v>
      </c>
      <c r="AG372" s="20">
        <v>0</v>
      </c>
      <c r="AH372" s="20">
        <v>0</v>
      </c>
      <c r="AI372" s="20">
        <v>0</v>
      </c>
      <c r="AJ372" s="20">
        <v>0</v>
      </c>
      <c r="AK372" s="20">
        <v>0</v>
      </c>
      <c r="AL372" s="20">
        <v>0</v>
      </c>
      <c r="AM372" s="20">
        <v>0</v>
      </c>
      <c r="AN372" s="20">
        <v>0</v>
      </c>
      <c r="AO372" s="20">
        <v>0</v>
      </c>
      <c r="AP372" s="20">
        <v>0</v>
      </c>
      <c r="AQ372" s="20">
        <v>0</v>
      </c>
      <c r="AR372" s="20">
        <v>0</v>
      </c>
      <c r="AS372" s="20">
        <v>0</v>
      </c>
      <c r="AT372" s="20">
        <v>0</v>
      </c>
      <c r="AU372" s="20">
        <v>0</v>
      </c>
      <c r="AV372" s="20">
        <v>0</v>
      </c>
      <c r="AW372" s="20">
        <v>0</v>
      </c>
      <c r="AX372" s="20">
        <v>0</v>
      </c>
      <c r="AY372" s="20">
        <v>0</v>
      </c>
      <c r="AZ372" s="20">
        <v>0</v>
      </c>
      <c r="BA372" s="20">
        <v>0</v>
      </c>
      <c r="BB372" s="20">
        <v>0</v>
      </c>
      <c r="BC372" s="20">
        <v>0</v>
      </c>
      <c r="BD372" s="20">
        <v>0</v>
      </c>
      <c r="BE372" s="20">
        <v>0</v>
      </c>
      <c r="BF372" s="20">
        <v>0</v>
      </c>
      <c r="BG372" s="20">
        <v>0</v>
      </c>
      <c r="BH372" s="20">
        <v>0</v>
      </c>
      <c r="BI372" s="20">
        <v>0</v>
      </c>
      <c r="BJ372" s="20">
        <v>0</v>
      </c>
      <c r="BK372" s="20">
        <v>0</v>
      </c>
      <c r="BL372" s="20">
        <v>0</v>
      </c>
      <c r="BM372" s="20">
        <v>0</v>
      </c>
      <c r="BN372" s="20">
        <v>0</v>
      </c>
      <c r="BO372" s="20">
        <v>0</v>
      </c>
      <c r="BP372" s="20">
        <v>0</v>
      </c>
      <c r="BQ372" s="20">
        <v>0</v>
      </c>
      <c r="BR372" s="20">
        <v>0</v>
      </c>
      <c r="BS372" s="20">
        <v>0</v>
      </c>
      <c r="BT372" s="20">
        <v>0</v>
      </c>
      <c r="BU372" s="20">
        <v>0</v>
      </c>
      <c r="BV372" s="20">
        <v>0</v>
      </c>
      <c r="BW372" s="20">
        <v>0</v>
      </c>
      <c r="BX372" s="20">
        <v>0</v>
      </c>
      <c r="BY372" s="20">
        <v>0</v>
      </c>
      <c r="BZ372" s="20">
        <v>0</v>
      </c>
      <c r="CA372" s="20">
        <v>0</v>
      </c>
      <c r="CB372" s="20">
        <v>0</v>
      </c>
      <c r="CC372" s="20">
        <v>0</v>
      </c>
      <c r="CD372" s="20">
        <v>0</v>
      </c>
      <c r="CE372" s="20">
        <v>0</v>
      </c>
      <c r="CF372" s="20">
        <v>0</v>
      </c>
      <c r="CG372" s="20">
        <v>0</v>
      </c>
      <c r="CH372" s="20">
        <v>0</v>
      </c>
      <c r="CI372" s="20">
        <v>0</v>
      </c>
      <c r="CJ372" s="20">
        <v>0</v>
      </c>
      <c r="CK372" s="20">
        <v>0</v>
      </c>
      <c r="CL372" s="20">
        <v>0</v>
      </c>
      <c r="CM372" s="20">
        <v>0</v>
      </c>
      <c r="CN372" s="20">
        <v>0</v>
      </c>
      <c r="CO372" s="20">
        <v>0</v>
      </c>
      <c r="CP372" s="20">
        <v>0</v>
      </c>
      <c r="CQ372" s="20">
        <v>0</v>
      </c>
      <c r="CR372" s="20">
        <v>0</v>
      </c>
      <c r="CS372" s="20">
        <v>0</v>
      </c>
      <c r="CT372" s="20">
        <v>0</v>
      </c>
      <c r="CU372" s="20">
        <v>0</v>
      </c>
      <c r="CV372" s="20">
        <v>0</v>
      </c>
      <c r="CW372" s="20">
        <v>0</v>
      </c>
      <c r="CX372" s="20">
        <v>0</v>
      </c>
      <c r="CY372" s="20">
        <v>0</v>
      </c>
      <c r="CZ372" s="20">
        <v>0</v>
      </c>
      <c r="DA372" s="20">
        <v>0</v>
      </c>
      <c r="DB372" s="20">
        <v>0</v>
      </c>
      <c r="DC372" s="20">
        <v>0</v>
      </c>
      <c r="DD372" s="20">
        <v>0</v>
      </c>
      <c r="DE372" s="20">
        <v>0</v>
      </c>
      <c r="DF372" s="20">
        <v>0</v>
      </c>
      <c r="DG372" s="16">
        <f t="shared" si="34"/>
        <v>0</v>
      </c>
      <c r="DH372" s="16">
        <f t="shared" si="35"/>
        <v>0</v>
      </c>
      <c r="DI372" s="17" t="str">
        <f t="shared" si="36"/>
        <v/>
      </c>
      <c r="DJ372" s="119" t="s">
        <v>4</v>
      </c>
      <c r="DK372" s="44" t="s">
        <v>4</v>
      </c>
    </row>
    <row r="373" spans="1:115">
      <c r="A373" s="32" t="str">
        <f t="shared" si="32"/>
        <v>Essential (Original)--POLE MOUNTED ; &gt; 22 kV ;  &gt; 60 kVA AND &lt; = 600 kVA</v>
      </c>
      <c r="B373" s="32" t="str">
        <f t="shared" si="33"/>
        <v>Essential (Original)</v>
      </c>
      <c r="C373" s="384"/>
      <c r="D373" s="14"/>
      <c r="E373" s="15" t="s">
        <v>212</v>
      </c>
      <c r="F373" s="18">
        <v>0</v>
      </c>
      <c r="G373" s="18">
        <v>0</v>
      </c>
      <c r="H373" s="20">
        <v>0</v>
      </c>
      <c r="I373" s="20">
        <v>0</v>
      </c>
      <c r="J373" s="20">
        <v>0</v>
      </c>
      <c r="K373" s="20">
        <v>0</v>
      </c>
      <c r="L373" s="20">
        <v>0</v>
      </c>
      <c r="M373" s="20">
        <v>0</v>
      </c>
      <c r="N373" s="20">
        <v>0</v>
      </c>
      <c r="O373" s="20">
        <v>0</v>
      </c>
      <c r="P373" s="20">
        <v>0</v>
      </c>
      <c r="Q373" s="20">
        <v>0</v>
      </c>
      <c r="R373" s="20">
        <v>0</v>
      </c>
      <c r="S373" s="20">
        <v>0</v>
      </c>
      <c r="T373" s="20">
        <v>0</v>
      </c>
      <c r="U373" s="20">
        <v>0</v>
      </c>
      <c r="V373" s="20">
        <v>0</v>
      </c>
      <c r="W373" s="20">
        <v>0</v>
      </c>
      <c r="X373" s="20">
        <v>0</v>
      </c>
      <c r="Y373" s="20">
        <v>0</v>
      </c>
      <c r="Z373" s="20">
        <v>0</v>
      </c>
      <c r="AA373" s="20">
        <v>0</v>
      </c>
      <c r="AB373" s="20">
        <v>0</v>
      </c>
      <c r="AC373" s="20">
        <v>0</v>
      </c>
      <c r="AD373" s="20">
        <v>0</v>
      </c>
      <c r="AE373" s="20">
        <v>0</v>
      </c>
      <c r="AF373" s="20">
        <v>0</v>
      </c>
      <c r="AG373" s="20">
        <v>0</v>
      </c>
      <c r="AH373" s="20">
        <v>0</v>
      </c>
      <c r="AI373" s="20">
        <v>0</v>
      </c>
      <c r="AJ373" s="20">
        <v>0</v>
      </c>
      <c r="AK373" s="20">
        <v>0</v>
      </c>
      <c r="AL373" s="20">
        <v>0</v>
      </c>
      <c r="AM373" s="20">
        <v>0</v>
      </c>
      <c r="AN373" s="20">
        <v>0</v>
      </c>
      <c r="AO373" s="20">
        <v>0</v>
      </c>
      <c r="AP373" s="20">
        <v>0</v>
      </c>
      <c r="AQ373" s="20">
        <v>0</v>
      </c>
      <c r="AR373" s="20">
        <v>0</v>
      </c>
      <c r="AS373" s="20">
        <v>0</v>
      </c>
      <c r="AT373" s="20">
        <v>0</v>
      </c>
      <c r="AU373" s="20">
        <v>0</v>
      </c>
      <c r="AV373" s="20">
        <v>0</v>
      </c>
      <c r="AW373" s="20">
        <v>0</v>
      </c>
      <c r="AX373" s="20">
        <v>0</v>
      </c>
      <c r="AY373" s="20">
        <v>0</v>
      </c>
      <c r="AZ373" s="20">
        <v>0</v>
      </c>
      <c r="BA373" s="20">
        <v>0</v>
      </c>
      <c r="BB373" s="20">
        <v>0</v>
      </c>
      <c r="BC373" s="20">
        <v>0</v>
      </c>
      <c r="BD373" s="20">
        <v>0</v>
      </c>
      <c r="BE373" s="20">
        <v>0</v>
      </c>
      <c r="BF373" s="20">
        <v>0</v>
      </c>
      <c r="BG373" s="20">
        <v>0</v>
      </c>
      <c r="BH373" s="20">
        <v>0</v>
      </c>
      <c r="BI373" s="20">
        <v>0</v>
      </c>
      <c r="BJ373" s="20">
        <v>0</v>
      </c>
      <c r="BK373" s="20">
        <v>0</v>
      </c>
      <c r="BL373" s="20">
        <v>0</v>
      </c>
      <c r="BM373" s="20">
        <v>0</v>
      </c>
      <c r="BN373" s="20">
        <v>0</v>
      </c>
      <c r="BO373" s="20">
        <v>0</v>
      </c>
      <c r="BP373" s="20">
        <v>0</v>
      </c>
      <c r="BQ373" s="20">
        <v>0</v>
      </c>
      <c r="BR373" s="20">
        <v>0</v>
      </c>
      <c r="BS373" s="20">
        <v>0</v>
      </c>
      <c r="BT373" s="20">
        <v>0</v>
      </c>
      <c r="BU373" s="20">
        <v>0</v>
      </c>
      <c r="BV373" s="20">
        <v>0</v>
      </c>
      <c r="BW373" s="20">
        <v>0</v>
      </c>
      <c r="BX373" s="20">
        <v>0</v>
      </c>
      <c r="BY373" s="20">
        <v>0</v>
      </c>
      <c r="BZ373" s="20">
        <v>0</v>
      </c>
      <c r="CA373" s="20">
        <v>0</v>
      </c>
      <c r="CB373" s="20">
        <v>0</v>
      </c>
      <c r="CC373" s="20">
        <v>0</v>
      </c>
      <c r="CD373" s="20">
        <v>0</v>
      </c>
      <c r="CE373" s="20">
        <v>0</v>
      </c>
      <c r="CF373" s="20">
        <v>0</v>
      </c>
      <c r="CG373" s="20">
        <v>0</v>
      </c>
      <c r="CH373" s="20">
        <v>0</v>
      </c>
      <c r="CI373" s="20">
        <v>0</v>
      </c>
      <c r="CJ373" s="20">
        <v>0</v>
      </c>
      <c r="CK373" s="20">
        <v>0</v>
      </c>
      <c r="CL373" s="20">
        <v>0</v>
      </c>
      <c r="CM373" s="20">
        <v>0</v>
      </c>
      <c r="CN373" s="20">
        <v>0</v>
      </c>
      <c r="CO373" s="20">
        <v>0</v>
      </c>
      <c r="CP373" s="20">
        <v>0</v>
      </c>
      <c r="CQ373" s="20">
        <v>0</v>
      </c>
      <c r="CR373" s="20">
        <v>0</v>
      </c>
      <c r="CS373" s="20">
        <v>0</v>
      </c>
      <c r="CT373" s="20">
        <v>0</v>
      </c>
      <c r="CU373" s="20">
        <v>0</v>
      </c>
      <c r="CV373" s="20">
        <v>0</v>
      </c>
      <c r="CW373" s="20">
        <v>0</v>
      </c>
      <c r="CX373" s="20">
        <v>0</v>
      </c>
      <c r="CY373" s="20">
        <v>0</v>
      </c>
      <c r="CZ373" s="20">
        <v>0</v>
      </c>
      <c r="DA373" s="20">
        <v>0</v>
      </c>
      <c r="DB373" s="20">
        <v>0</v>
      </c>
      <c r="DC373" s="20">
        <v>0</v>
      </c>
      <c r="DD373" s="20">
        <v>0</v>
      </c>
      <c r="DE373" s="20">
        <v>0</v>
      </c>
      <c r="DF373" s="20">
        <v>0</v>
      </c>
      <c r="DG373" s="16">
        <f t="shared" si="34"/>
        <v>0</v>
      </c>
      <c r="DH373" s="16">
        <f t="shared" si="35"/>
        <v>0</v>
      </c>
      <c r="DI373" s="17" t="str">
        <f t="shared" si="36"/>
        <v/>
      </c>
      <c r="DJ373" s="119" t="s">
        <v>4</v>
      </c>
      <c r="DK373" s="44" t="s">
        <v>4</v>
      </c>
    </row>
    <row r="374" spans="1:115">
      <c r="A374" s="32" t="str">
        <f t="shared" si="32"/>
        <v>Essential (Original)--POLE MOUNTED ; &gt; 22 kV ;  &gt;  600 kVA</v>
      </c>
      <c r="B374" s="32" t="str">
        <f t="shared" si="33"/>
        <v>Essential (Original)</v>
      </c>
      <c r="C374" s="384"/>
      <c r="D374" s="14"/>
      <c r="E374" s="15" t="s">
        <v>213</v>
      </c>
      <c r="F374" s="18">
        <v>0</v>
      </c>
      <c r="G374" s="18">
        <v>0</v>
      </c>
      <c r="H374" s="20">
        <v>0</v>
      </c>
      <c r="I374" s="20">
        <v>0</v>
      </c>
      <c r="J374" s="20">
        <v>0</v>
      </c>
      <c r="K374" s="20">
        <v>0</v>
      </c>
      <c r="L374" s="20">
        <v>0</v>
      </c>
      <c r="M374" s="20">
        <v>0</v>
      </c>
      <c r="N374" s="20">
        <v>0</v>
      </c>
      <c r="O374" s="20">
        <v>0</v>
      </c>
      <c r="P374" s="20">
        <v>0</v>
      </c>
      <c r="Q374" s="20">
        <v>0</v>
      </c>
      <c r="R374" s="20">
        <v>0</v>
      </c>
      <c r="S374" s="20">
        <v>0</v>
      </c>
      <c r="T374" s="20">
        <v>0</v>
      </c>
      <c r="U374" s="20">
        <v>0</v>
      </c>
      <c r="V374" s="20">
        <v>0</v>
      </c>
      <c r="W374" s="20">
        <v>0</v>
      </c>
      <c r="X374" s="20">
        <v>0</v>
      </c>
      <c r="Y374" s="20">
        <v>0</v>
      </c>
      <c r="Z374" s="20">
        <v>0</v>
      </c>
      <c r="AA374" s="20">
        <v>0</v>
      </c>
      <c r="AB374" s="20">
        <v>0</v>
      </c>
      <c r="AC374" s="20">
        <v>0</v>
      </c>
      <c r="AD374" s="20">
        <v>0</v>
      </c>
      <c r="AE374" s="20">
        <v>0</v>
      </c>
      <c r="AF374" s="20">
        <v>0</v>
      </c>
      <c r="AG374" s="20">
        <v>0</v>
      </c>
      <c r="AH374" s="20">
        <v>0</v>
      </c>
      <c r="AI374" s="20">
        <v>0</v>
      </c>
      <c r="AJ374" s="20">
        <v>0</v>
      </c>
      <c r="AK374" s="20">
        <v>0</v>
      </c>
      <c r="AL374" s="20">
        <v>0</v>
      </c>
      <c r="AM374" s="20">
        <v>0</v>
      </c>
      <c r="AN374" s="20">
        <v>0</v>
      </c>
      <c r="AO374" s="20">
        <v>0</v>
      </c>
      <c r="AP374" s="20">
        <v>0</v>
      </c>
      <c r="AQ374" s="20">
        <v>0</v>
      </c>
      <c r="AR374" s="20">
        <v>0</v>
      </c>
      <c r="AS374" s="20">
        <v>0</v>
      </c>
      <c r="AT374" s="20">
        <v>0</v>
      </c>
      <c r="AU374" s="20">
        <v>0</v>
      </c>
      <c r="AV374" s="20">
        <v>0</v>
      </c>
      <c r="AW374" s="20">
        <v>0</v>
      </c>
      <c r="AX374" s="20">
        <v>0</v>
      </c>
      <c r="AY374" s="20">
        <v>0</v>
      </c>
      <c r="AZ374" s="20">
        <v>0</v>
      </c>
      <c r="BA374" s="20">
        <v>0</v>
      </c>
      <c r="BB374" s="20">
        <v>0</v>
      </c>
      <c r="BC374" s="20">
        <v>0</v>
      </c>
      <c r="BD374" s="20">
        <v>0</v>
      </c>
      <c r="BE374" s="20">
        <v>0</v>
      </c>
      <c r="BF374" s="20">
        <v>0</v>
      </c>
      <c r="BG374" s="20">
        <v>0</v>
      </c>
      <c r="BH374" s="20">
        <v>0</v>
      </c>
      <c r="BI374" s="20">
        <v>0</v>
      </c>
      <c r="BJ374" s="20">
        <v>0</v>
      </c>
      <c r="BK374" s="20">
        <v>0</v>
      </c>
      <c r="BL374" s="20">
        <v>0</v>
      </c>
      <c r="BM374" s="20">
        <v>0</v>
      </c>
      <c r="BN374" s="20">
        <v>0</v>
      </c>
      <c r="BO374" s="20">
        <v>0</v>
      </c>
      <c r="BP374" s="20">
        <v>0</v>
      </c>
      <c r="BQ374" s="20">
        <v>0</v>
      </c>
      <c r="BR374" s="20">
        <v>0</v>
      </c>
      <c r="BS374" s="20">
        <v>0</v>
      </c>
      <c r="BT374" s="20">
        <v>0</v>
      </c>
      <c r="BU374" s="20">
        <v>0</v>
      </c>
      <c r="BV374" s="20">
        <v>0</v>
      </c>
      <c r="BW374" s="20">
        <v>0</v>
      </c>
      <c r="BX374" s="20">
        <v>0</v>
      </c>
      <c r="BY374" s="20">
        <v>0</v>
      </c>
      <c r="BZ374" s="20">
        <v>0</v>
      </c>
      <c r="CA374" s="20">
        <v>0</v>
      </c>
      <c r="CB374" s="20">
        <v>0</v>
      </c>
      <c r="CC374" s="20">
        <v>0</v>
      </c>
      <c r="CD374" s="20">
        <v>0</v>
      </c>
      <c r="CE374" s="20">
        <v>0</v>
      </c>
      <c r="CF374" s="20">
        <v>0</v>
      </c>
      <c r="CG374" s="20">
        <v>0</v>
      </c>
      <c r="CH374" s="20">
        <v>0</v>
      </c>
      <c r="CI374" s="20">
        <v>0</v>
      </c>
      <c r="CJ374" s="20">
        <v>0</v>
      </c>
      <c r="CK374" s="20">
        <v>0</v>
      </c>
      <c r="CL374" s="20">
        <v>0</v>
      </c>
      <c r="CM374" s="20">
        <v>0</v>
      </c>
      <c r="CN374" s="20">
        <v>0</v>
      </c>
      <c r="CO374" s="20">
        <v>0</v>
      </c>
      <c r="CP374" s="20">
        <v>0</v>
      </c>
      <c r="CQ374" s="20">
        <v>0</v>
      </c>
      <c r="CR374" s="20">
        <v>0</v>
      </c>
      <c r="CS374" s="20">
        <v>0</v>
      </c>
      <c r="CT374" s="20">
        <v>0</v>
      </c>
      <c r="CU374" s="20">
        <v>0</v>
      </c>
      <c r="CV374" s="20">
        <v>0</v>
      </c>
      <c r="CW374" s="20">
        <v>0</v>
      </c>
      <c r="CX374" s="20">
        <v>0</v>
      </c>
      <c r="CY374" s="20">
        <v>0</v>
      </c>
      <c r="CZ374" s="20">
        <v>0</v>
      </c>
      <c r="DA374" s="20">
        <v>0</v>
      </c>
      <c r="DB374" s="20">
        <v>0</v>
      </c>
      <c r="DC374" s="20">
        <v>0</v>
      </c>
      <c r="DD374" s="20">
        <v>0</v>
      </c>
      <c r="DE374" s="20">
        <v>0</v>
      </c>
      <c r="DF374" s="20">
        <v>0</v>
      </c>
      <c r="DG374" s="16">
        <f t="shared" si="34"/>
        <v>0</v>
      </c>
      <c r="DH374" s="16">
        <f t="shared" si="35"/>
        <v>0</v>
      </c>
      <c r="DI374" s="17" t="str">
        <f t="shared" si="36"/>
        <v/>
      </c>
      <c r="DJ374" s="119" t="s">
        <v>4</v>
      </c>
      <c r="DK374" s="44" t="s">
        <v>4</v>
      </c>
    </row>
    <row r="375" spans="1:115">
      <c r="A375" s="32" t="str">
        <f t="shared" si="32"/>
        <v>Essential (Original)--KIOSK MOUNTED ; &lt; = 22kV ;  &lt; = 60 kVA ; SINGLE PHASE</v>
      </c>
      <c r="B375" s="32" t="str">
        <f t="shared" si="33"/>
        <v>Essential (Original)</v>
      </c>
      <c r="C375" s="384"/>
      <c r="D375" s="14"/>
      <c r="E375" s="15" t="s">
        <v>214</v>
      </c>
      <c r="F375" s="18">
        <v>45.8</v>
      </c>
      <c r="G375" s="18">
        <v>6.7675697262754522</v>
      </c>
      <c r="H375" s="20">
        <v>1</v>
      </c>
      <c r="I375" s="20">
        <v>1</v>
      </c>
      <c r="J375" s="20">
        <v>0</v>
      </c>
      <c r="K375" s="20">
        <v>1</v>
      </c>
      <c r="L375" s="20">
        <v>1</v>
      </c>
      <c r="M375" s="20">
        <v>4</v>
      </c>
      <c r="N375" s="20">
        <v>23</v>
      </c>
      <c r="O375" s="20">
        <v>11</v>
      </c>
      <c r="P375" s="20">
        <v>15</v>
      </c>
      <c r="Q375" s="20">
        <v>5</v>
      </c>
      <c r="R375" s="20">
        <v>0</v>
      </c>
      <c r="S375" s="20">
        <v>0</v>
      </c>
      <c r="T375" s="20">
        <v>1</v>
      </c>
      <c r="U375" s="20">
        <v>1</v>
      </c>
      <c r="V375" s="20">
        <v>0</v>
      </c>
      <c r="W375" s="20">
        <v>0</v>
      </c>
      <c r="X375" s="20">
        <v>0</v>
      </c>
      <c r="Y375" s="20">
        <v>0</v>
      </c>
      <c r="Z375" s="20">
        <v>0</v>
      </c>
      <c r="AA375" s="20">
        <v>1</v>
      </c>
      <c r="AB375" s="20">
        <v>0</v>
      </c>
      <c r="AC375" s="20">
        <v>0</v>
      </c>
      <c r="AD375" s="20">
        <v>0</v>
      </c>
      <c r="AE375" s="20">
        <v>0</v>
      </c>
      <c r="AF375" s="20">
        <v>0</v>
      </c>
      <c r="AG375" s="20">
        <v>0</v>
      </c>
      <c r="AH375" s="20">
        <v>0</v>
      </c>
      <c r="AI375" s="20">
        <v>0</v>
      </c>
      <c r="AJ375" s="20">
        <v>0</v>
      </c>
      <c r="AK375" s="20">
        <v>0</v>
      </c>
      <c r="AL375" s="20">
        <v>0</v>
      </c>
      <c r="AM375" s="20">
        <v>0</v>
      </c>
      <c r="AN375" s="20">
        <v>0</v>
      </c>
      <c r="AO375" s="20">
        <v>0</v>
      </c>
      <c r="AP375" s="20">
        <v>0</v>
      </c>
      <c r="AQ375" s="20">
        <v>0</v>
      </c>
      <c r="AR375" s="20">
        <v>0</v>
      </c>
      <c r="AS375" s="20">
        <v>0</v>
      </c>
      <c r="AT375" s="20">
        <v>0</v>
      </c>
      <c r="AU375" s="20">
        <v>0</v>
      </c>
      <c r="AV375" s="20">
        <v>0</v>
      </c>
      <c r="AW375" s="20">
        <v>0</v>
      </c>
      <c r="AX375" s="20">
        <v>0</v>
      </c>
      <c r="AY375" s="20">
        <v>0</v>
      </c>
      <c r="AZ375" s="20">
        <v>0</v>
      </c>
      <c r="BA375" s="20">
        <v>0</v>
      </c>
      <c r="BB375" s="20">
        <v>0</v>
      </c>
      <c r="BC375" s="20">
        <v>0</v>
      </c>
      <c r="BD375" s="20">
        <v>0</v>
      </c>
      <c r="BE375" s="20">
        <v>0</v>
      </c>
      <c r="BF375" s="20">
        <v>0</v>
      </c>
      <c r="BG375" s="20">
        <v>0</v>
      </c>
      <c r="BH375" s="20">
        <v>0</v>
      </c>
      <c r="BI375" s="20">
        <v>0</v>
      </c>
      <c r="BJ375" s="20">
        <v>0</v>
      </c>
      <c r="BK375" s="20">
        <v>0</v>
      </c>
      <c r="BL375" s="20">
        <v>0</v>
      </c>
      <c r="BM375" s="20">
        <v>0</v>
      </c>
      <c r="BN375" s="20">
        <v>0</v>
      </c>
      <c r="BO375" s="20">
        <v>0</v>
      </c>
      <c r="BP375" s="20">
        <v>0</v>
      </c>
      <c r="BQ375" s="20">
        <v>0</v>
      </c>
      <c r="BR375" s="20">
        <v>0</v>
      </c>
      <c r="BS375" s="20">
        <v>0</v>
      </c>
      <c r="BT375" s="20">
        <v>0</v>
      </c>
      <c r="BU375" s="20">
        <v>0</v>
      </c>
      <c r="BV375" s="20">
        <v>0</v>
      </c>
      <c r="BW375" s="20">
        <v>0</v>
      </c>
      <c r="BX375" s="20">
        <v>0</v>
      </c>
      <c r="BY375" s="20">
        <v>0</v>
      </c>
      <c r="BZ375" s="20">
        <v>0</v>
      </c>
      <c r="CA375" s="20">
        <v>0</v>
      </c>
      <c r="CB375" s="20">
        <v>0</v>
      </c>
      <c r="CC375" s="20">
        <v>0</v>
      </c>
      <c r="CD375" s="20">
        <v>0</v>
      </c>
      <c r="CE375" s="20">
        <v>0</v>
      </c>
      <c r="CF375" s="20">
        <v>0</v>
      </c>
      <c r="CG375" s="20">
        <v>0</v>
      </c>
      <c r="CH375" s="20">
        <v>0</v>
      </c>
      <c r="CI375" s="20">
        <v>0</v>
      </c>
      <c r="CJ375" s="20">
        <v>0</v>
      </c>
      <c r="CK375" s="20">
        <v>0</v>
      </c>
      <c r="CL375" s="20">
        <v>0</v>
      </c>
      <c r="CM375" s="20">
        <v>0</v>
      </c>
      <c r="CN375" s="20">
        <v>0</v>
      </c>
      <c r="CO375" s="20">
        <v>0</v>
      </c>
      <c r="CP375" s="20">
        <v>0</v>
      </c>
      <c r="CQ375" s="20">
        <v>0</v>
      </c>
      <c r="CR375" s="20">
        <v>0</v>
      </c>
      <c r="CS375" s="20">
        <v>0</v>
      </c>
      <c r="CT375" s="20">
        <v>0</v>
      </c>
      <c r="CU375" s="20">
        <v>0</v>
      </c>
      <c r="CV375" s="20">
        <v>0</v>
      </c>
      <c r="CW375" s="20">
        <v>0</v>
      </c>
      <c r="CX375" s="20">
        <v>0</v>
      </c>
      <c r="CY375" s="20">
        <v>0</v>
      </c>
      <c r="CZ375" s="20">
        <v>0</v>
      </c>
      <c r="DA375" s="20">
        <v>0</v>
      </c>
      <c r="DB375" s="20">
        <v>0</v>
      </c>
      <c r="DC375" s="20">
        <v>0</v>
      </c>
      <c r="DD375" s="20">
        <v>0</v>
      </c>
      <c r="DE375" s="20">
        <v>0</v>
      </c>
      <c r="DF375" s="20">
        <v>0</v>
      </c>
      <c r="DG375" s="16">
        <f t="shared" si="34"/>
        <v>65</v>
      </c>
      <c r="DH375" s="16">
        <f t="shared" si="35"/>
        <v>517</v>
      </c>
      <c r="DI375" s="17">
        <f t="shared" si="36"/>
        <v>7.953846153846154</v>
      </c>
      <c r="DJ375" s="119" t="s">
        <v>4</v>
      </c>
      <c r="DK375" s="44" t="s">
        <v>4</v>
      </c>
    </row>
    <row r="376" spans="1:115">
      <c r="A376" s="32" t="str">
        <f t="shared" si="32"/>
        <v>Essential (Original)--KIOSK MOUNTED ; &lt; = 22kV ;  &gt; 60 kVA AND &lt; = 600 kVA ; SINGLE PHASE</v>
      </c>
      <c r="B376" s="32" t="str">
        <f t="shared" si="33"/>
        <v>Essential (Original)</v>
      </c>
      <c r="C376" s="384"/>
      <c r="D376" s="14"/>
      <c r="E376" s="15" t="s">
        <v>215</v>
      </c>
      <c r="F376" s="18">
        <v>45.8</v>
      </c>
      <c r="G376" s="18">
        <v>6.7675697262754522</v>
      </c>
      <c r="H376" s="20">
        <v>0</v>
      </c>
      <c r="I376" s="20">
        <v>0</v>
      </c>
      <c r="J376" s="20">
        <v>0</v>
      </c>
      <c r="K376" s="20">
        <v>0</v>
      </c>
      <c r="L376" s="20">
        <v>0</v>
      </c>
      <c r="M376" s="20">
        <v>1.0909090909090908</v>
      </c>
      <c r="N376" s="20">
        <v>1.0909090909090908</v>
      </c>
      <c r="O376" s="20">
        <v>2.1818181818181817</v>
      </c>
      <c r="P376" s="20">
        <v>2.1818181818181817</v>
      </c>
      <c r="Q376" s="20">
        <v>1.0909090909090908</v>
      </c>
      <c r="R376" s="20">
        <v>1.0909090909090908</v>
      </c>
      <c r="S376" s="20">
        <v>0</v>
      </c>
      <c r="T376" s="20">
        <v>0</v>
      </c>
      <c r="U376" s="20">
        <v>0</v>
      </c>
      <c r="V376" s="20">
        <v>0</v>
      </c>
      <c r="W376" s="20">
        <v>0</v>
      </c>
      <c r="X376" s="20">
        <v>0</v>
      </c>
      <c r="Y376" s="20">
        <v>0</v>
      </c>
      <c r="Z376" s="20">
        <v>0</v>
      </c>
      <c r="AA376" s="20">
        <v>0</v>
      </c>
      <c r="AB376" s="20">
        <v>0</v>
      </c>
      <c r="AC376" s="20">
        <v>0</v>
      </c>
      <c r="AD376" s="20">
        <v>0</v>
      </c>
      <c r="AE376" s="20">
        <v>0</v>
      </c>
      <c r="AF376" s="20">
        <v>0</v>
      </c>
      <c r="AG376" s="20">
        <v>0</v>
      </c>
      <c r="AH376" s="20">
        <v>0</v>
      </c>
      <c r="AI376" s="20">
        <v>0</v>
      </c>
      <c r="AJ376" s="20">
        <v>0</v>
      </c>
      <c r="AK376" s="20">
        <v>0</v>
      </c>
      <c r="AL376" s="20">
        <v>0</v>
      </c>
      <c r="AM376" s="20">
        <v>1.0909090909090908</v>
      </c>
      <c r="AN376" s="20">
        <v>0</v>
      </c>
      <c r="AO376" s="20">
        <v>0</v>
      </c>
      <c r="AP376" s="20">
        <v>0</v>
      </c>
      <c r="AQ376" s="20">
        <v>0</v>
      </c>
      <c r="AR376" s="20">
        <v>0</v>
      </c>
      <c r="AS376" s="20">
        <v>0</v>
      </c>
      <c r="AT376" s="20">
        <v>0</v>
      </c>
      <c r="AU376" s="20">
        <v>0</v>
      </c>
      <c r="AV376" s="20">
        <v>1.0909090909090908</v>
      </c>
      <c r="AW376" s="20">
        <v>0</v>
      </c>
      <c r="AX376" s="20">
        <v>0</v>
      </c>
      <c r="AY376" s="20">
        <v>0</v>
      </c>
      <c r="AZ376" s="20">
        <v>0</v>
      </c>
      <c r="BA376" s="20">
        <v>0</v>
      </c>
      <c r="BB376" s="20">
        <v>0</v>
      </c>
      <c r="BC376" s="20">
        <v>0</v>
      </c>
      <c r="BD376" s="20">
        <v>0</v>
      </c>
      <c r="BE376" s="20">
        <v>0</v>
      </c>
      <c r="BF376" s="20">
        <v>0</v>
      </c>
      <c r="BG376" s="20">
        <v>0</v>
      </c>
      <c r="BH376" s="20">
        <v>0</v>
      </c>
      <c r="BI376" s="20">
        <v>1.0909090909090908</v>
      </c>
      <c r="BJ376" s="20">
        <v>0</v>
      </c>
      <c r="BK376" s="20">
        <v>0</v>
      </c>
      <c r="BL376" s="20">
        <v>0</v>
      </c>
      <c r="BM376" s="20">
        <v>0</v>
      </c>
      <c r="BN376" s="20">
        <v>0</v>
      </c>
      <c r="BO376" s="20">
        <v>0</v>
      </c>
      <c r="BP376" s="20">
        <v>0</v>
      </c>
      <c r="BQ376" s="20">
        <v>0</v>
      </c>
      <c r="BR376" s="20">
        <v>0</v>
      </c>
      <c r="BS376" s="20">
        <v>0</v>
      </c>
      <c r="BT376" s="20">
        <v>0</v>
      </c>
      <c r="BU376" s="20">
        <v>0</v>
      </c>
      <c r="BV376" s="20">
        <v>0</v>
      </c>
      <c r="BW376" s="20">
        <v>0</v>
      </c>
      <c r="BX376" s="20">
        <v>0</v>
      </c>
      <c r="BY376" s="20">
        <v>0</v>
      </c>
      <c r="BZ376" s="20">
        <v>0</v>
      </c>
      <c r="CA376" s="20">
        <v>0</v>
      </c>
      <c r="CB376" s="20">
        <v>0</v>
      </c>
      <c r="CC376" s="20">
        <v>0</v>
      </c>
      <c r="CD376" s="20">
        <v>0</v>
      </c>
      <c r="CE376" s="20">
        <v>0</v>
      </c>
      <c r="CF376" s="20">
        <v>0</v>
      </c>
      <c r="CG376" s="20">
        <v>0</v>
      </c>
      <c r="CH376" s="20">
        <v>0</v>
      </c>
      <c r="CI376" s="20">
        <v>0</v>
      </c>
      <c r="CJ376" s="20">
        <v>0</v>
      </c>
      <c r="CK376" s="20">
        <v>0</v>
      </c>
      <c r="CL376" s="20">
        <v>0</v>
      </c>
      <c r="CM376" s="20">
        <v>0</v>
      </c>
      <c r="CN376" s="20">
        <v>0</v>
      </c>
      <c r="CO376" s="20">
        <v>0</v>
      </c>
      <c r="CP376" s="20">
        <v>0</v>
      </c>
      <c r="CQ376" s="20">
        <v>0</v>
      </c>
      <c r="CR376" s="20">
        <v>0</v>
      </c>
      <c r="CS376" s="20">
        <v>0</v>
      </c>
      <c r="CT376" s="20">
        <v>0</v>
      </c>
      <c r="CU376" s="20">
        <v>0</v>
      </c>
      <c r="CV376" s="20">
        <v>0</v>
      </c>
      <c r="CW376" s="20">
        <v>0</v>
      </c>
      <c r="CX376" s="20">
        <v>0</v>
      </c>
      <c r="CY376" s="20">
        <v>0</v>
      </c>
      <c r="CZ376" s="20">
        <v>0</v>
      </c>
      <c r="DA376" s="20">
        <v>0</v>
      </c>
      <c r="DB376" s="20">
        <v>0</v>
      </c>
      <c r="DC376" s="20">
        <v>0</v>
      </c>
      <c r="DD376" s="20">
        <v>0</v>
      </c>
      <c r="DE376" s="20">
        <v>0</v>
      </c>
      <c r="DF376" s="20">
        <v>0</v>
      </c>
      <c r="DG376" s="16">
        <f t="shared" si="34"/>
        <v>11.999999999999996</v>
      </c>
      <c r="DH376" s="16">
        <f t="shared" si="35"/>
        <v>212.72727272727272</v>
      </c>
      <c r="DI376" s="17">
        <f t="shared" si="36"/>
        <v>17.72727272727273</v>
      </c>
      <c r="DJ376" s="119" t="s">
        <v>4</v>
      </c>
      <c r="DK376" s="44" t="s">
        <v>4</v>
      </c>
    </row>
    <row r="377" spans="1:115">
      <c r="A377" s="32" t="str">
        <f t="shared" si="32"/>
        <v>Essential (Original)--KIOSK MOUNTED ; &lt; = 22kV ;  &gt; 600 kVA ; SINGLE PHASE</v>
      </c>
      <c r="B377" s="32" t="str">
        <f t="shared" si="33"/>
        <v>Essential (Original)</v>
      </c>
      <c r="C377" s="384"/>
      <c r="D377" s="14"/>
      <c r="E377" s="15" t="s">
        <v>216</v>
      </c>
      <c r="F377" s="18">
        <v>45.8</v>
      </c>
      <c r="G377" s="18">
        <v>6.7675697262754522</v>
      </c>
      <c r="H377" s="20">
        <v>0</v>
      </c>
      <c r="I377" s="20">
        <v>0</v>
      </c>
      <c r="J377" s="20">
        <v>0</v>
      </c>
      <c r="K377" s="20">
        <v>0</v>
      </c>
      <c r="L377" s="20">
        <v>0</v>
      </c>
      <c r="M377" s="20">
        <v>0</v>
      </c>
      <c r="N377" s="20">
        <v>0</v>
      </c>
      <c r="O377" s="20">
        <v>0</v>
      </c>
      <c r="P377" s="20">
        <v>0</v>
      </c>
      <c r="Q377" s="20">
        <v>0</v>
      </c>
      <c r="R377" s="20">
        <v>0</v>
      </c>
      <c r="S377" s="20">
        <v>0</v>
      </c>
      <c r="T377" s="20">
        <v>0</v>
      </c>
      <c r="U377" s="20">
        <v>0</v>
      </c>
      <c r="V377" s="20">
        <v>0</v>
      </c>
      <c r="W377" s="20">
        <v>0</v>
      </c>
      <c r="X377" s="20">
        <v>0</v>
      </c>
      <c r="Y377" s="20">
        <v>0</v>
      </c>
      <c r="Z377" s="20">
        <v>0</v>
      </c>
      <c r="AA377" s="20">
        <v>0</v>
      </c>
      <c r="AB377" s="20">
        <v>0</v>
      </c>
      <c r="AC377" s="20">
        <v>0</v>
      </c>
      <c r="AD377" s="20">
        <v>0</v>
      </c>
      <c r="AE377" s="20">
        <v>2</v>
      </c>
      <c r="AF377" s="20">
        <v>0</v>
      </c>
      <c r="AG377" s="20">
        <v>0</v>
      </c>
      <c r="AH377" s="20">
        <v>0</v>
      </c>
      <c r="AI377" s="20">
        <v>0</v>
      </c>
      <c r="AJ377" s="20">
        <v>0</v>
      </c>
      <c r="AK377" s="20">
        <v>0</v>
      </c>
      <c r="AL377" s="20">
        <v>0</v>
      </c>
      <c r="AM377" s="20">
        <v>0</v>
      </c>
      <c r="AN377" s="20">
        <v>0</v>
      </c>
      <c r="AO377" s="20">
        <v>0</v>
      </c>
      <c r="AP377" s="20">
        <v>0</v>
      </c>
      <c r="AQ377" s="20">
        <v>0</v>
      </c>
      <c r="AR377" s="20">
        <v>0</v>
      </c>
      <c r="AS377" s="20">
        <v>0</v>
      </c>
      <c r="AT377" s="20">
        <v>0</v>
      </c>
      <c r="AU377" s="20">
        <v>0</v>
      </c>
      <c r="AV377" s="20">
        <v>0</v>
      </c>
      <c r="AW377" s="20">
        <v>0</v>
      </c>
      <c r="AX377" s="20">
        <v>0</v>
      </c>
      <c r="AY377" s="20">
        <v>0</v>
      </c>
      <c r="AZ377" s="20">
        <v>0</v>
      </c>
      <c r="BA377" s="20">
        <v>0</v>
      </c>
      <c r="BB377" s="20">
        <v>0</v>
      </c>
      <c r="BC377" s="20">
        <v>0</v>
      </c>
      <c r="BD377" s="20">
        <v>0</v>
      </c>
      <c r="BE377" s="20">
        <v>0</v>
      </c>
      <c r="BF377" s="20">
        <v>0</v>
      </c>
      <c r="BG377" s="20">
        <v>0</v>
      </c>
      <c r="BH377" s="20">
        <v>0</v>
      </c>
      <c r="BI377" s="20">
        <v>0</v>
      </c>
      <c r="BJ377" s="20">
        <v>0</v>
      </c>
      <c r="BK377" s="20">
        <v>0</v>
      </c>
      <c r="BL377" s="20">
        <v>0</v>
      </c>
      <c r="BM377" s="20">
        <v>0</v>
      </c>
      <c r="BN377" s="20">
        <v>0</v>
      </c>
      <c r="BO377" s="20">
        <v>0</v>
      </c>
      <c r="BP377" s="20">
        <v>0</v>
      </c>
      <c r="BQ377" s="20">
        <v>0</v>
      </c>
      <c r="BR377" s="20">
        <v>0</v>
      </c>
      <c r="BS377" s="20">
        <v>0</v>
      </c>
      <c r="BT377" s="20">
        <v>0</v>
      </c>
      <c r="BU377" s="20">
        <v>0</v>
      </c>
      <c r="BV377" s="20">
        <v>0</v>
      </c>
      <c r="BW377" s="20">
        <v>0</v>
      </c>
      <c r="BX377" s="20">
        <v>0</v>
      </c>
      <c r="BY377" s="20">
        <v>0</v>
      </c>
      <c r="BZ377" s="20">
        <v>0</v>
      </c>
      <c r="CA377" s="20">
        <v>0</v>
      </c>
      <c r="CB377" s="20">
        <v>0</v>
      </c>
      <c r="CC377" s="20">
        <v>0</v>
      </c>
      <c r="CD377" s="20">
        <v>0</v>
      </c>
      <c r="CE377" s="20">
        <v>0</v>
      </c>
      <c r="CF377" s="20">
        <v>0</v>
      </c>
      <c r="CG377" s="20">
        <v>0</v>
      </c>
      <c r="CH377" s="20">
        <v>0</v>
      </c>
      <c r="CI377" s="20">
        <v>0</v>
      </c>
      <c r="CJ377" s="20">
        <v>0</v>
      </c>
      <c r="CK377" s="20">
        <v>0</v>
      </c>
      <c r="CL377" s="20">
        <v>0</v>
      </c>
      <c r="CM377" s="20">
        <v>0</v>
      </c>
      <c r="CN377" s="20">
        <v>0</v>
      </c>
      <c r="CO377" s="20">
        <v>0</v>
      </c>
      <c r="CP377" s="20">
        <v>0</v>
      </c>
      <c r="CQ377" s="20">
        <v>0</v>
      </c>
      <c r="CR377" s="20">
        <v>0</v>
      </c>
      <c r="CS377" s="20">
        <v>0</v>
      </c>
      <c r="CT377" s="20">
        <v>0</v>
      </c>
      <c r="CU377" s="20">
        <v>0</v>
      </c>
      <c r="CV377" s="20">
        <v>0</v>
      </c>
      <c r="CW377" s="20">
        <v>0</v>
      </c>
      <c r="CX377" s="20">
        <v>0</v>
      </c>
      <c r="CY377" s="20">
        <v>0</v>
      </c>
      <c r="CZ377" s="20">
        <v>0</v>
      </c>
      <c r="DA377" s="20">
        <v>0</v>
      </c>
      <c r="DB377" s="20">
        <v>0</v>
      </c>
      <c r="DC377" s="20">
        <v>0</v>
      </c>
      <c r="DD377" s="20">
        <v>0</v>
      </c>
      <c r="DE377" s="20">
        <v>0</v>
      </c>
      <c r="DF377" s="20">
        <v>0</v>
      </c>
      <c r="DG377" s="16">
        <f t="shared" si="34"/>
        <v>2</v>
      </c>
      <c r="DH377" s="16">
        <f t="shared" si="35"/>
        <v>48</v>
      </c>
      <c r="DI377" s="17">
        <f t="shared" si="36"/>
        <v>24</v>
      </c>
      <c r="DJ377" s="119" t="s">
        <v>4</v>
      </c>
      <c r="DK377" s="44" t="s">
        <v>4</v>
      </c>
    </row>
    <row r="378" spans="1:115">
      <c r="A378" s="32" t="str">
        <f t="shared" si="32"/>
        <v>Essential (Original)--KIOSK MOUNTED ; &lt; = 22kV ;  &lt; = 60 kVA  ; MULTIPLE PHASE</v>
      </c>
      <c r="B378" s="32" t="str">
        <f t="shared" si="33"/>
        <v>Essential (Original)</v>
      </c>
      <c r="C378" s="384"/>
      <c r="D378" s="14"/>
      <c r="E378" s="15" t="s">
        <v>217</v>
      </c>
      <c r="F378" s="18">
        <v>45.8</v>
      </c>
      <c r="G378" s="18">
        <v>6.7675697262754522</v>
      </c>
      <c r="H378" s="20">
        <v>0</v>
      </c>
      <c r="I378" s="20">
        <v>1.0132450331125828</v>
      </c>
      <c r="J378" s="20">
        <v>1.0132450331125828</v>
      </c>
      <c r="K378" s="20">
        <v>1.0132450331125828</v>
      </c>
      <c r="L378" s="20">
        <v>0</v>
      </c>
      <c r="M378" s="20">
        <v>0</v>
      </c>
      <c r="N378" s="20">
        <v>1.0132450331125828</v>
      </c>
      <c r="O378" s="20">
        <v>1.0132450331125828</v>
      </c>
      <c r="P378" s="20">
        <v>0</v>
      </c>
      <c r="Q378" s="20">
        <v>5.0662251655629138</v>
      </c>
      <c r="R378" s="20">
        <v>1.0132450331125828</v>
      </c>
      <c r="S378" s="20">
        <v>2.0264900662251657</v>
      </c>
      <c r="T378" s="20">
        <v>1.0132450331125828</v>
      </c>
      <c r="U378" s="20">
        <v>7.0927152317880795</v>
      </c>
      <c r="V378" s="20">
        <v>5.0662251655629138</v>
      </c>
      <c r="W378" s="20">
        <v>3.0397350993377485</v>
      </c>
      <c r="X378" s="20">
        <v>1.0132450331125828</v>
      </c>
      <c r="Y378" s="20">
        <v>4.0529801324503314</v>
      </c>
      <c r="Z378" s="20">
        <v>16.211920529801326</v>
      </c>
      <c r="AA378" s="20">
        <v>1.0132450331125828</v>
      </c>
      <c r="AB378" s="20">
        <v>18.23841059602649</v>
      </c>
      <c r="AC378" s="20">
        <v>3.0397350993377485</v>
      </c>
      <c r="AD378" s="20">
        <v>1.0132450331125828</v>
      </c>
      <c r="AE378" s="20">
        <v>12.158940397350994</v>
      </c>
      <c r="AF378" s="20">
        <v>4.0529801324503314</v>
      </c>
      <c r="AG378" s="20">
        <v>4.0529801324503314</v>
      </c>
      <c r="AH378" s="20">
        <v>2.0264900662251657</v>
      </c>
      <c r="AI378" s="20">
        <v>6.0794701986754971</v>
      </c>
      <c r="AJ378" s="20">
        <v>5.0662251655629138</v>
      </c>
      <c r="AK378" s="20">
        <v>12.158940397350994</v>
      </c>
      <c r="AL378" s="20">
        <v>20.264900662251655</v>
      </c>
      <c r="AM378" s="20">
        <v>0</v>
      </c>
      <c r="AN378" s="20">
        <v>8.1059602649006628</v>
      </c>
      <c r="AO378" s="20">
        <v>0</v>
      </c>
      <c r="AP378" s="20">
        <v>1.0132450331125828</v>
      </c>
      <c r="AQ378" s="20">
        <v>0</v>
      </c>
      <c r="AR378" s="20">
        <v>0</v>
      </c>
      <c r="AS378" s="20">
        <v>0</v>
      </c>
      <c r="AT378" s="20">
        <v>0</v>
      </c>
      <c r="AU378" s="20">
        <v>0</v>
      </c>
      <c r="AV378" s="20">
        <v>0</v>
      </c>
      <c r="AW378" s="20">
        <v>0</v>
      </c>
      <c r="AX378" s="20">
        <v>0</v>
      </c>
      <c r="AY378" s="20">
        <v>0</v>
      </c>
      <c r="AZ378" s="20">
        <v>0</v>
      </c>
      <c r="BA378" s="20">
        <v>1.0132450331125828</v>
      </c>
      <c r="BB378" s="20">
        <v>0</v>
      </c>
      <c r="BC378" s="20">
        <v>0</v>
      </c>
      <c r="BD378" s="20">
        <v>0</v>
      </c>
      <c r="BE378" s="20">
        <v>0</v>
      </c>
      <c r="BF378" s="20">
        <v>0</v>
      </c>
      <c r="BG378" s="20">
        <v>0</v>
      </c>
      <c r="BH378" s="20">
        <v>1.0132450331125828</v>
      </c>
      <c r="BI378" s="20">
        <v>0</v>
      </c>
      <c r="BJ378" s="20">
        <v>0</v>
      </c>
      <c r="BK378" s="20">
        <v>0</v>
      </c>
      <c r="BL378" s="20">
        <v>0</v>
      </c>
      <c r="BM378" s="20">
        <v>0</v>
      </c>
      <c r="BN378" s="20">
        <v>0</v>
      </c>
      <c r="BO378" s="20">
        <v>1.0132450331125828</v>
      </c>
      <c r="BP378" s="20">
        <v>0</v>
      </c>
      <c r="BQ378" s="20">
        <v>0</v>
      </c>
      <c r="BR378" s="20">
        <v>1.0132450331125828</v>
      </c>
      <c r="BS378" s="20">
        <v>0</v>
      </c>
      <c r="BT378" s="20">
        <v>0</v>
      </c>
      <c r="BU378" s="20">
        <v>0</v>
      </c>
      <c r="BV378" s="20">
        <v>0</v>
      </c>
      <c r="BW378" s="20">
        <v>0</v>
      </c>
      <c r="BX378" s="20">
        <v>0</v>
      </c>
      <c r="BY378" s="20">
        <v>0</v>
      </c>
      <c r="BZ378" s="20">
        <v>0</v>
      </c>
      <c r="CA378" s="20">
        <v>0</v>
      </c>
      <c r="CB378" s="20">
        <v>0</v>
      </c>
      <c r="CC378" s="20">
        <v>0</v>
      </c>
      <c r="CD378" s="20">
        <v>0</v>
      </c>
      <c r="CE378" s="20">
        <v>0</v>
      </c>
      <c r="CF378" s="20">
        <v>0</v>
      </c>
      <c r="CG378" s="20">
        <v>0</v>
      </c>
      <c r="CH378" s="20">
        <v>0</v>
      </c>
      <c r="CI378" s="20">
        <v>0</v>
      </c>
      <c r="CJ378" s="20">
        <v>0</v>
      </c>
      <c r="CK378" s="20">
        <v>0</v>
      </c>
      <c r="CL378" s="20">
        <v>0</v>
      </c>
      <c r="CM378" s="20">
        <v>0</v>
      </c>
      <c r="CN378" s="20">
        <v>0</v>
      </c>
      <c r="CO378" s="20">
        <v>0</v>
      </c>
      <c r="CP378" s="20">
        <v>0</v>
      </c>
      <c r="CQ378" s="20">
        <v>0</v>
      </c>
      <c r="CR378" s="20">
        <v>0</v>
      </c>
      <c r="CS378" s="20">
        <v>0</v>
      </c>
      <c r="CT378" s="20">
        <v>0</v>
      </c>
      <c r="CU378" s="20">
        <v>0</v>
      </c>
      <c r="CV378" s="20">
        <v>0</v>
      </c>
      <c r="CW378" s="20">
        <v>0</v>
      </c>
      <c r="CX378" s="20">
        <v>0</v>
      </c>
      <c r="CY378" s="20">
        <v>0</v>
      </c>
      <c r="CZ378" s="20">
        <v>0</v>
      </c>
      <c r="DA378" s="20">
        <v>0</v>
      </c>
      <c r="DB378" s="20">
        <v>0</v>
      </c>
      <c r="DC378" s="20">
        <v>0</v>
      </c>
      <c r="DD378" s="20">
        <v>0</v>
      </c>
      <c r="DE378" s="20">
        <v>0</v>
      </c>
      <c r="DF378" s="20">
        <v>0</v>
      </c>
      <c r="DG378" s="16">
        <f t="shared" si="34"/>
        <v>152.99999999999997</v>
      </c>
      <c r="DH378" s="16">
        <f t="shared" si="35"/>
        <v>3630.4569536423842</v>
      </c>
      <c r="DI378" s="17">
        <f t="shared" si="36"/>
        <v>23.728476821192057</v>
      </c>
      <c r="DJ378" s="119" t="s">
        <v>4</v>
      </c>
      <c r="DK378" s="44" t="s">
        <v>4</v>
      </c>
    </row>
    <row r="379" spans="1:115">
      <c r="A379" s="32" t="str">
        <f t="shared" si="32"/>
        <v>Essential (Original)--KIOSK MOUNTED ; &lt; = 22kV ;  &gt; 60 kVA AND &lt; = 600 kVA  ; MULTIPLE PHASE</v>
      </c>
      <c r="B379" s="32" t="str">
        <f t="shared" si="33"/>
        <v>Essential (Original)</v>
      </c>
      <c r="C379" s="384"/>
      <c r="D379" s="14"/>
      <c r="E379" s="15" t="s">
        <v>218</v>
      </c>
      <c r="F379" s="18">
        <v>45.8</v>
      </c>
      <c r="G379" s="18">
        <v>6.7675697262754522</v>
      </c>
      <c r="H379" s="20">
        <v>100.050390526581</v>
      </c>
      <c r="I379" s="20">
        <v>117.95414462081129</v>
      </c>
      <c r="J379" s="20">
        <v>156.92113882590073</v>
      </c>
      <c r="K379" s="20">
        <v>119.00730662635425</v>
      </c>
      <c r="L379" s="20">
        <v>149.54900478710002</v>
      </c>
      <c r="M379" s="20">
        <v>193.78180901990424</v>
      </c>
      <c r="N379" s="20">
        <v>184.30335097001765</v>
      </c>
      <c r="O379" s="20">
        <v>171.66540690350215</v>
      </c>
      <c r="P379" s="20">
        <v>223.27034517510708</v>
      </c>
      <c r="Q379" s="20">
        <v>231.69564121945075</v>
      </c>
      <c r="R379" s="20">
        <v>137.9642227261275</v>
      </c>
      <c r="S379" s="20">
        <v>121.11363063744017</v>
      </c>
      <c r="T379" s="20">
        <v>97.944066515495081</v>
      </c>
      <c r="U379" s="20">
        <v>117.95414462081129</v>
      </c>
      <c r="V379" s="20">
        <v>83.199798437893676</v>
      </c>
      <c r="W379" s="20">
        <v>57.923910304862687</v>
      </c>
      <c r="X379" s="20">
        <v>42.126480221718317</v>
      </c>
      <c r="Y379" s="20">
        <v>40.0201562106324</v>
      </c>
      <c r="Z379" s="20">
        <v>131.64525069286975</v>
      </c>
      <c r="AA379" s="20">
        <v>122.16679264298313</v>
      </c>
      <c r="AB379" s="20">
        <v>92.678256487780303</v>
      </c>
      <c r="AC379" s="20">
        <v>108.47568657092467</v>
      </c>
      <c r="AD379" s="20">
        <v>128.48576467624088</v>
      </c>
      <c r="AE379" s="20">
        <v>97.944066515495081</v>
      </c>
      <c r="AF379" s="20">
        <v>90.571932476694386</v>
      </c>
      <c r="AG379" s="20">
        <v>43.179642227261276</v>
      </c>
      <c r="AH379" s="20">
        <v>36.860670194003525</v>
      </c>
      <c r="AI379" s="20">
        <v>93.731418493323261</v>
      </c>
      <c r="AJ379" s="20">
        <v>50.551776266061978</v>
      </c>
      <c r="AK379" s="20">
        <v>46.339128243890151</v>
      </c>
      <c r="AL379" s="20">
        <v>48.445452254976061</v>
      </c>
      <c r="AM379" s="20">
        <v>148.49584278155706</v>
      </c>
      <c r="AN379" s="20">
        <v>81.093474426807759</v>
      </c>
      <c r="AO379" s="20">
        <v>105.31620055429579</v>
      </c>
      <c r="AP379" s="20">
        <v>44.232804232804234</v>
      </c>
      <c r="AQ379" s="20">
        <v>45.285966238347193</v>
      </c>
      <c r="AR379" s="20">
        <v>36.860670194003525</v>
      </c>
      <c r="AS379" s="20">
        <v>38.966994205089442</v>
      </c>
      <c r="AT379" s="20">
        <v>42.126480221718317</v>
      </c>
      <c r="AU379" s="20">
        <v>52.658100277147895</v>
      </c>
      <c r="AV379" s="20">
        <v>20.0100781053162</v>
      </c>
      <c r="AW379" s="20">
        <v>13.691106072058453</v>
      </c>
      <c r="AX379" s="20">
        <v>11.584782060972538</v>
      </c>
      <c r="AY379" s="20">
        <v>37.913832199546484</v>
      </c>
      <c r="AZ379" s="20">
        <v>10.531620055429579</v>
      </c>
      <c r="BA379" s="20">
        <v>5.2658100277147897</v>
      </c>
      <c r="BB379" s="20">
        <v>4.2126480221718321</v>
      </c>
      <c r="BC379" s="20">
        <v>5.2658100277147897</v>
      </c>
      <c r="BD379" s="20">
        <v>3.1594860166288736</v>
      </c>
      <c r="BE379" s="20">
        <v>1.053162005542958</v>
      </c>
      <c r="BF379" s="20">
        <v>12.637944066515495</v>
      </c>
      <c r="BG379" s="20">
        <v>2.106324011085916</v>
      </c>
      <c r="BH379" s="20">
        <v>2.106324011085916</v>
      </c>
      <c r="BI379" s="20">
        <v>3.1594860166288736</v>
      </c>
      <c r="BJ379" s="20">
        <v>2.106324011085916</v>
      </c>
      <c r="BK379" s="20">
        <v>0</v>
      </c>
      <c r="BL379" s="20">
        <v>0</v>
      </c>
      <c r="BM379" s="20">
        <v>0</v>
      </c>
      <c r="BN379" s="20">
        <v>3.1594860166288736</v>
      </c>
      <c r="BO379" s="20">
        <v>0</v>
      </c>
      <c r="BP379" s="20">
        <v>1.053162005542958</v>
      </c>
      <c r="BQ379" s="20">
        <v>2.106324011085916</v>
      </c>
      <c r="BR379" s="20">
        <v>0</v>
      </c>
      <c r="BS379" s="20">
        <v>3.1594860166288736</v>
      </c>
      <c r="BT379" s="20">
        <v>0</v>
      </c>
      <c r="BU379" s="20">
        <v>0</v>
      </c>
      <c r="BV379" s="20">
        <v>0</v>
      </c>
      <c r="BW379" s="20">
        <v>0</v>
      </c>
      <c r="BX379" s="20">
        <v>0</v>
      </c>
      <c r="BY379" s="20">
        <v>0</v>
      </c>
      <c r="BZ379" s="20">
        <v>0</v>
      </c>
      <c r="CA379" s="20">
        <v>0</v>
      </c>
      <c r="CB379" s="20">
        <v>0</v>
      </c>
      <c r="CC379" s="20">
        <v>2.106324011085916</v>
      </c>
      <c r="CD379" s="20">
        <v>0</v>
      </c>
      <c r="CE379" s="20">
        <v>0</v>
      </c>
      <c r="CF379" s="20">
        <v>0</v>
      </c>
      <c r="CG379" s="20">
        <v>0</v>
      </c>
      <c r="CH379" s="20">
        <v>0</v>
      </c>
      <c r="CI379" s="20">
        <v>0</v>
      </c>
      <c r="CJ379" s="20">
        <v>0</v>
      </c>
      <c r="CK379" s="20">
        <v>0</v>
      </c>
      <c r="CL379" s="20">
        <v>0</v>
      </c>
      <c r="CM379" s="20">
        <v>1.053162005542958</v>
      </c>
      <c r="CN379" s="20">
        <v>0</v>
      </c>
      <c r="CO379" s="20">
        <v>0</v>
      </c>
      <c r="CP379" s="20">
        <v>0</v>
      </c>
      <c r="CQ379" s="20">
        <v>0</v>
      </c>
      <c r="CR379" s="20">
        <v>0</v>
      </c>
      <c r="CS379" s="20">
        <v>0</v>
      </c>
      <c r="CT379" s="20">
        <v>0</v>
      </c>
      <c r="CU379" s="20">
        <v>0</v>
      </c>
      <c r="CV379" s="20">
        <v>0</v>
      </c>
      <c r="CW379" s="20">
        <v>0</v>
      </c>
      <c r="CX379" s="20">
        <v>0</v>
      </c>
      <c r="CY379" s="20">
        <v>0</v>
      </c>
      <c r="CZ379" s="20">
        <v>0</v>
      </c>
      <c r="DA379" s="20">
        <v>0</v>
      </c>
      <c r="DB379" s="20">
        <v>0</v>
      </c>
      <c r="DC379" s="20">
        <v>0</v>
      </c>
      <c r="DD379" s="20">
        <v>0</v>
      </c>
      <c r="DE379" s="20">
        <v>0</v>
      </c>
      <c r="DF379" s="20">
        <v>0</v>
      </c>
      <c r="DG379" s="16">
        <f t="shared" si="34"/>
        <v>4179.9999999999982</v>
      </c>
      <c r="DH379" s="16">
        <f t="shared" si="35"/>
        <v>73334.829931972738</v>
      </c>
      <c r="DI379" s="17">
        <f t="shared" si="36"/>
        <v>17.544217687074827</v>
      </c>
      <c r="DJ379" s="119" t="s">
        <v>4</v>
      </c>
      <c r="DK379" s="44" t="s">
        <v>4</v>
      </c>
    </row>
    <row r="380" spans="1:115">
      <c r="A380" s="32" t="str">
        <f t="shared" si="32"/>
        <v>Essential (Original)--KIOSK MOUNTED ; &lt; = 22kV ;  &gt; 600 kVA  ; MULTIPLE PHASE</v>
      </c>
      <c r="B380" s="32" t="str">
        <f t="shared" si="33"/>
        <v>Essential (Original)</v>
      </c>
      <c r="C380" s="384"/>
      <c r="D380" s="14"/>
      <c r="E380" s="15" t="s">
        <v>219</v>
      </c>
      <c r="F380" s="18">
        <v>45.8</v>
      </c>
      <c r="G380" s="18">
        <v>6.7675697262754522</v>
      </c>
      <c r="H380" s="20">
        <v>56.477093206951025</v>
      </c>
      <c r="I380" s="20">
        <v>49.289099526066352</v>
      </c>
      <c r="J380" s="20">
        <v>84.202211690363356</v>
      </c>
      <c r="K380" s="20">
        <v>64.691943127962091</v>
      </c>
      <c r="L380" s="20">
        <v>61.611374407582936</v>
      </c>
      <c r="M380" s="20">
        <v>87.28278041074249</v>
      </c>
      <c r="N380" s="20">
        <v>101.65876777251185</v>
      </c>
      <c r="O380" s="20">
        <v>78.04107424960506</v>
      </c>
      <c r="P380" s="20">
        <v>74.960505529225912</v>
      </c>
      <c r="Q380" s="20">
        <v>52.369668246445499</v>
      </c>
      <c r="R380" s="20">
        <v>43.127962085308056</v>
      </c>
      <c r="S380" s="20">
        <v>35.939968404423382</v>
      </c>
      <c r="T380" s="20">
        <v>50.315955766192729</v>
      </c>
      <c r="U380" s="20">
        <v>35.939968404423382</v>
      </c>
      <c r="V380" s="20">
        <v>36.96682464454976</v>
      </c>
      <c r="W380" s="20">
        <v>36.96682464454976</v>
      </c>
      <c r="X380" s="20">
        <v>13.349131121642969</v>
      </c>
      <c r="Y380" s="20">
        <v>20.537124802527646</v>
      </c>
      <c r="Z380" s="20">
        <v>24.644549763033176</v>
      </c>
      <c r="AA380" s="20">
        <v>28.751974723538705</v>
      </c>
      <c r="AB380" s="20">
        <v>10.268562401263823</v>
      </c>
      <c r="AC380" s="20">
        <v>15.402843601895734</v>
      </c>
      <c r="AD380" s="20">
        <v>26.698262243285939</v>
      </c>
      <c r="AE380" s="20">
        <v>13.349131121642969</v>
      </c>
      <c r="AF380" s="20">
        <v>11.295418641390205</v>
      </c>
      <c r="AG380" s="20">
        <v>15.402843601895734</v>
      </c>
      <c r="AH380" s="20">
        <v>21.563981042654028</v>
      </c>
      <c r="AI380" s="20">
        <v>5.1342812006319116</v>
      </c>
      <c r="AJ380" s="20">
        <v>13.349131121642969</v>
      </c>
      <c r="AK380" s="20">
        <v>7.1879936808846763</v>
      </c>
      <c r="AL380" s="20">
        <v>15.402843601895734</v>
      </c>
      <c r="AM380" s="20">
        <v>19.510268562401265</v>
      </c>
      <c r="AN380" s="20">
        <v>9.24170616113744</v>
      </c>
      <c r="AO380" s="20">
        <v>11.295418641390205</v>
      </c>
      <c r="AP380" s="20">
        <v>9.24170616113744</v>
      </c>
      <c r="AQ380" s="20">
        <v>8.2148499210110586</v>
      </c>
      <c r="AR380" s="20">
        <v>7.1879936808846763</v>
      </c>
      <c r="AS380" s="20">
        <v>1.0268562401263823</v>
      </c>
      <c r="AT380" s="20">
        <v>7.1879936808846763</v>
      </c>
      <c r="AU380" s="20">
        <v>8.2148499210110586</v>
      </c>
      <c r="AV380" s="20">
        <v>2.0537124802527646</v>
      </c>
      <c r="AW380" s="20">
        <v>5.1342812006319116</v>
      </c>
      <c r="AX380" s="20">
        <v>4.1074249605055293</v>
      </c>
      <c r="AY380" s="20">
        <v>4.1074249605055293</v>
      </c>
      <c r="AZ380" s="20">
        <v>2.0537124802527646</v>
      </c>
      <c r="BA380" s="20">
        <v>3.080568720379147</v>
      </c>
      <c r="BB380" s="20">
        <v>0</v>
      </c>
      <c r="BC380" s="20">
        <v>1.0268562401263823</v>
      </c>
      <c r="BD380" s="20">
        <v>0</v>
      </c>
      <c r="BE380" s="20">
        <v>1.0268562401263823</v>
      </c>
      <c r="BF380" s="20">
        <v>0</v>
      </c>
      <c r="BG380" s="20">
        <v>2.0537124802527646</v>
      </c>
      <c r="BH380" s="20">
        <v>0</v>
      </c>
      <c r="BI380" s="20">
        <v>1.0268562401263823</v>
      </c>
      <c r="BJ380" s="20">
        <v>0</v>
      </c>
      <c r="BK380" s="20">
        <v>0</v>
      </c>
      <c r="BL380" s="20">
        <v>0</v>
      </c>
      <c r="BM380" s="20">
        <v>0</v>
      </c>
      <c r="BN380" s="20">
        <v>0</v>
      </c>
      <c r="BO380" s="20">
        <v>0</v>
      </c>
      <c r="BP380" s="20">
        <v>1.0268562401263823</v>
      </c>
      <c r="BQ380" s="20">
        <v>0</v>
      </c>
      <c r="BR380" s="20">
        <v>0</v>
      </c>
      <c r="BS380" s="20">
        <v>0</v>
      </c>
      <c r="BT380" s="20">
        <v>0</v>
      </c>
      <c r="BU380" s="20">
        <v>0</v>
      </c>
      <c r="BV380" s="20">
        <v>0</v>
      </c>
      <c r="BW380" s="20">
        <v>0</v>
      </c>
      <c r="BX380" s="20">
        <v>0</v>
      </c>
      <c r="BY380" s="20">
        <v>0</v>
      </c>
      <c r="BZ380" s="20">
        <v>0</v>
      </c>
      <c r="CA380" s="20">
        <v>0</v>
      </c>
      <c r="CB380" s="20">
        <v>0</v>
      </c>
      <c r="CC380" s="20">
        <v>0</v>
      </c>
      <c r="CD380" s="20">
        <v>0</v>
      </c>
      <c r="CE380" s="20">
        <v>0</v>
      </c>
      <c r="CF380" s="20">
        <v>0</v>
      </c>
      <c r="CG380" s="20">
        <v>0</v>
      </c>
      <c r="CH380" s="20">
        <v>0</v>
      </c>
      <c r="CI380" s="20">
        <v>0</v>
      </c>
      <c r="CJ380" s="20">
        <v>0</v>
      </c>
      <c r="CK380" s="20">
        <v>0</v>
      </c>
      <c r="CL380" s="20">
        <v>0</v>
      </c>
      <c r="CM380" s="20">
        <v>0</v>
      </c>
      <c r="CN380" s="20">
        <v>0</v>
      </c>
      <c r="CO380" s="20">
        <v>0</v>
      </c>
      <c r="CP380" s="20">
        <v>0</v>
      </c>
      <c r="CQ380" s="20">
        <v>0</v>
      </c>
      <c r="CR380" s="20">
        <v>0</v>
      </c>
      <c r="CS380" s="20">
        <v>0</v>
      </c>
      <c r="CT380" s="20">
        <v>0</v>
      </c>
      <c r="CU380" s="20">
        <v>0</v>
      </c>
      <c r="CV380" s="20">
        <v>0</v>
      </c>
      <c r="CW380" s="20">
        <v>0</v>
      </c>
      <c r="CX380" s="20">
        <v>0</v>
      </c>
      <c r="CY380" s="20">
        <v>0</v>
      </c>
      <c r="CZ380" s="20">
        <v>0</v>
      </c>
      <c r="DA380" s="20">
        <v>0</v>
      </c>
      <c r="DB380" s="20">
        <v>0</v>
      </c>
      <c r="DC380" s="20">
        <v>0</v>
      </c>
      <c r="DD380" s="20">
        <v>0</v>
      </c>
      <c r="DE380" s="20">
        <v>0</v>
      </c>
      <c r="DF380" s="20">
        <v>0</v>
      </c>
      <c r="DG380" s="16">
        <f t="shared" si="34"/>
        <v>1299.9999999999991</v>
      </c>
      <c r="DH380" s="16">
        <f t="shared" si="35"/>
        <v>16922.590837282787</v>
      </c>
      <c r="DI380" s="17">
        <f t="shared" si="36"/>
        <v>13.017377567140615</v>
      </c>
      <c r="DJ380" s="119" t="s">
        <v>4</v>
      </c>
      <c r="DK380" s="44" t="s">
        <v>4</v>
      </c>
    </row>
    <row r="381" spans="1:115">
      <c r="A381" s="32" t="str">
        <f t="shared" si="32"/>
        <v xml:space="preserve">Essential (Original)--KIOSK MOUNTED ; &gt; 22 kV ;  &lt; = 60 kVA </v>
      </c>
      <c r="B381" s="32" t="str">
        <f t="shared" si="33"/>
        <v>Essential (Original)</v>
      </c>
      <c r="C381" s="384"/>
      <c r="D381" s="14"/>
      <c r="E381" s="15" t="s">
        <v>220</v>
      </c>
      <c r="F381" s="18">
        <v>0</v>
      </c>
      <c r="G381" s="18">
        <v>0</v>
      </c>
      <c r="H381" s="20">
        <v>0</v>
      </c>
      <c r="I381" s="20">
        <v>0</v>
      </c>
      <c r="J381" s="20">
        <v>0</v>
      </c>
      <c r="K381" s="20">
        <v>0</v>
      </c>
      <c r="L381" s="20">
        <v>0</v>
      </c>
      <c r="M381" s="20">
        <v>0</v>
      </c>
      <c r="N381" s="20">
        <v>0</v>
      </c>
      <c r="O381" s="20">
        <v>0</v>
      </c>
      <c r="P381" s="20">
        <v>0</v>
      </c>
      <c r="Q381" s="20">
        <v>0</v>
      </c>
      <c r="R381" s="20">
        <v>0</v>
      </c>
      <c r="S381" s="20">
        <v>0</v>
      </c>
      <c r="T381" s="20">
        <v>0</v>
      </c>
      <c r="U381" s="20">
        <v>0</v>
      </c>
      <c r="V381" s="20">
        <v>0</v>
      </c>
      <c r="W381" s="20">
        <v>0</v>
      </c>
      <c r="X381" s="20">
        <v>0</v>
      </c>
      <c r="Y381" s="20">
        <v>0</v>
      </c>
      <c r="Z381" s="20">
        <v>0</v>
      </c>
      <c r="AA381" s="20">
        <v>0</v>
      </c>
      <c r="AB381" s="20">
        <v>0</v>
      </c>
      <c r="AC381" s="20">
        <v>0</v>
      </c>
      <c r="AD381" s="20">
        <v>0</v>
      </c>
      <c r="AE381" s="20">
        <v>0</v>
      </c>
      <c r="AF381" s="20">
        <v>0</v>
      </c>
      <c r="AG381" s="20">
        <v>0</v>
      </c>
      <c r="AH381" s="20">
        <v>0</v>
      </c>
      <c r="AI381" s="20">
        <v>0</v>
      </c>
      <c r="AJ381" s="20">
        <v>0</v>
      </c>
      <c r="AK381" s="20">
        <v>0</v>
      </c>
      <c r="AL381" s="20">
        <v>0</v>
      </c>
      <c r="AM381" s="20">
        <v>0</v>
      </c>
      <c r="AN381" s="20">
        <v>0</v>
      </c>
      <c r="AO381" s="20">
        <v>0</v>
      </c>
      <c r="AP381" s="20">
        <v>0</v>
      </c>
      <c r="AQ381" s="20">
        <v>0</v>
      </c>
      <c r="AR381" s="20">
        <v>0</v>
      </c>
      <c r="AS381" s="20">
        <v>0</v>
      </c>
      <c r="AT381" s="20">
        <v>0</v>
      </c>
      <c r="AU381" s="20">
        <v>0</v>
      </c>
      <c r="AV381" s="20">
        <v>0</v>
      </c>
      <c r="AW381" s="20">
        <v>0</v>
      </c>
      <c r="AX381" s="20">
        <v>0</v>
      </c>
      <c r="AY381" s="20">
        <v>0</v>
      </c>
      <c r="AZ381" s="20">
        <v>0</v>
      </c>
      <c r="BA381" s="20">
        <v>0</v>
      </c>
      <c r="BB381" s="20">
        <v>0</v>
      </c>
      <c r="BC381" s="20">
        <v>0</v>
      </c>
      <c r="BD381" s="20">
        <v>0</v>
      </c>
      <c r="BE381" s="20">
        <v>0</v>
      </c>
      <c r="BF381" s="20">
        <v>0</v>
      </c>
      <c r="BG381" s="20">
        <v>0</v>
      </c>
      <c r="BH381" s="20">
        <v>0</v>
      </c>
      <c r="BI381" s="20">
        <v>0</v>
      </c>
      <c r="BJ381" s="20">
        <v>0</v>
      </c>
      <c r="BK381" s="20">
        <v>0</v>
      </c>
      <c r="BL381" s="20">
        <v>0</v>
      </c>
      <c r="BM381" s="20">
        <v>0</v>
      </c>
      <c r="BN381" s="20">
        <v>0</v>
      </c>
      <c r="BO381" s="20">
        <v>0</v>
      </c>
      <c r="BP381" s="20">
        <v>0</v>
      </c>
      <c r="BQ381" s="20">
        <v>0</v>
      </c>
      <c r="BR381" s="20">
        <v>0</v>
      </c>
      <c r="BS381" s="20">
        <v>0</v>
      </c>
      <c r="BT381" s="20">
        <v>0</v>
      </c>
      <c r="BU381" s="20">
        <v>0</v>
      </c>
      <c r="BV381" s="20">
        <v>0</v>
      </c>
      <c r="BW381" s="20">
        <v>0</v>
      </c>
      <c r="BX381" s="20">
        <v>0</v>
      </c>
      <c r="BY381" s="20">
        <v>0</v>
      </c>
      <c r="BZ381" s="20">
        <v>0</v>
      </c>
      <c r="CA381" s="20">
        <v>0</v>
      </c>
      <c r="CB381" s="20">
        <v>0</v>
      </c>
      <c r="CC381" s="20">
        <v>0</v>
      </c>
      <c r="CD381" s="20">
        <v>0</v>
      </c>
      <c r="CE381" s="20">
        <v>0</v>
      </c>
      <c r="CF381" s="20">
        <v>0</v>
      </c>
      <c r="CG381" s="20">
        <v>0</v>
      </c>
      <c r="CH381" s="20">
        <v>0</v>
      </c>
      <c r="CI381" s="20">
        <v>0</v>
      </c>
      <c r="CJ381" s="20">
        <v>0</v>
      </c>
      <c r="CK381" s="20">
        <v>0</v>
      </c>
      <c r="CL381" s="20">
        <v>0</v>
      </c>
      <c r="CM381" s="20">
        <v>0</v>
      </c>
      <c r="CN381" s="20">
        <v>0</v>
      </c>
      <c r="CO381" s="20">
        <v>0</v>
      </c>
      <c r="CP381" s="20">
        <v>0</v>
      </c>
      <c r="CQ381" s="20">
        <v>0</v>
      </c>
      <c r="CR381" s="20">
        <v>0</v>
      </c>
      <c r="CS381" s="20">
        <v>0</v>
      </c>
      <c r="CT381" s="20">
        <v>0</v>
      </c>
      <c r="CU381" s="20">
        <v>0</v>
      </c>
      <c r="CV381" s="20">
        <v>0</v>
      </c>
      <c r="CW381" s="20">
        <v>0</v>
      </c>
      <c r="CX381" s="20">
        <v>0</v>
      </c>
      <c r="CY381" s="20">
        <v>0</v>
      </c>
      <c r="CZ381" s="20">
        <v>0</v>
      </c>
      <c r="DA381" s="20">
        <v>0</v>
      </c>
      <c r="DB381" s="20">
        <v>0</v>
      </c>
      <c r="DC381" s="20">
        <v>0</v>
      </c>
      <c r="DD381" s="20">
        <v>0</v>
      </c>
      <c r="DE381" s="20">
        <v>0</v>
      </c>
      <c r="DF381" s="20">
        <v>0</v>
      </c>
      <c r="DG381" s="16">
        <f t="shared" si="34"/>
        <v>0</v>
      </c>
      <c r="DH381" s="16">
        <f t="shared" si="35"/>
        <v>0</v>
      </c>
      <c r="DI381" s="17" t="str">
        <f t="shared" si="36"/>
        <v/>
      </c>
      <c r="DJ381" s="119" t="s">
        <v>4</v>
      </c>
      <c r="DK381" s="44" t="s">
        <v>4</v>
      </c>
    </row>
    <row r="382" spans="1:115">
      <c r="A382" s="32" t="str">
        <f t="shared" si="32"/>
        <v xml:space="preserve">Essential (Original)--KIOSK MOUNTED ; &gt; 22 kV ;  &gt; 60 kVA AND &lt; = 600 kVA </v>
      </c>
      <c r="B382" s="32" t="str">
        <f t="shared" si="33"/>
        <v>Essential (Original)</v>
      </c>
      <c r="C382" s="384"/>
      <c r="D382" s="14"/>
      <c r="E382" s="15" t="s">
        <v>221</v>
      </c>
      <c r="F382" s="18">
        <v>45.8</v>
      </c>
      <c r="G382" s="18">
        <v>6.7675697262754522</v>
      </c>
      <c r="H382" s="20">
        <v>0</v>
      </c>
      <c r="I382" s="20">
        <v>0</v>
      </c>
      <c r="J382" s="20">
        <v>0</v>
      </c>
      <c r="K382" s="20">
        <v>0</v>
      </c>
      <c r="L382" s="20">
        <v>0</v>
      </c>
      <c r="M382" s="20">
        <v>1</v>
      </c>
      <c r="N382" s="20">
        <v>1</v>
      </c>
      <c r="O382" s="20">
        <v>2</v>
      </c>
      <c r="P382" s="20">
        <v>0</v>
      </c>
      <c r="Q382" s="20">
        <v>0</v>
      </c>
      <c r="R382" s="20">
        <v>1</v>
      </c>
      <c r="S382" s="20">
        <v>1</v>
      </c>
      <c r="T382" s="20">
        <v>0</v>
      </c>
      <c r="U382" s="20">
        <v>1</v>
      </c>
      <c r="V382" s="20">
        <v>1</v>
      </c>
      <c r="W382" s="20">
        <v>0</v>
      </c>
      <c r="X382" s="20">
        <v>1</v>
      </c>
      <c r="Y382" s="20">
        <v>0</v>
      </c>
      <c r="Z382" s="20">
        <v>0</v>
      </c>
      <c r="AA382" s="20">
        <v>0</v>
      </c>
      <c r="AB382" s="20">
        <v>0</v>
      </c>
      <c r="AC382" s="20">
        <v>0</v>
      </c>
      <c r="AD382" s="20">
        <v>0</v>
      </c>
      <c r="AE382" s="20">
        <v>0</v>
      </c>
      <c r="AF382" s="20">
        <v>0</v>
      </c>
      <c r="AG382" s="20">
        <v>0</v>
      </c>
      <c r="AH382" s="20">
        <v>0</v>
      </c>
      <c r="AI382" s="20">
        <v>0</v>
      </c>
      <c r="AJ382" s="20">
        <v>0</v>
      </c>
      <c r="AK382" s="20">
        <v>0</v>
      </c>
      <c r="AL382" s="20">
        <v>0</v>
      </c>
      <c r="AM382" s="20">
        <v>0</v>
      </c>
      <c r="AN382" s="20">
        <v>0</v>
      </c>
      <c r="AO382" s="20">
        <v>0</v>
      </c>
      <c r="AP382" s="20">
        <v>0</v>
      </c>
      <c r="AQ382" s="20">
        <v>0</v>
      </c>
      <c r="AR382" s="20">
        <v>0</v>
      </c>
      <c r="AS382" s="20">
        <v>0</v>
      </c>
      <c r="AT382" s="20">
        <v>0</v>
      </c>
      <c r="AU382" s="20">
        <v>0</v>
      </c>
      <c r="AV382" s="20">
        <v>0</v>
      </c>
      <c r="AW382" s="20">
        <v>0</v>
      </c>
      <c r="AX382" s="20">
        <v>0</v>
      </c>
      <c r="AY382" s="20">
        <v>0</v>
      </c>
      <c r="AZ382" s="20">
        <v>0</v>
      </c>
      <c r="BA382" s="20">
        <v>0</v>
      </c>
      <c r="BB382" s="20">
        <v>0</v>
      </c>
      <c r="BC382" s="20">
        <v>0</v>
      </c>
      <c r="BD382" s="20">
        <v>0</v>
      </c>
      <c r="BE382" s="20">
        <v>0</v>
      </c>
      <c r="BF382" s="20">
        <v>0</v>
      </c>
      <c r="BG382" s="20">
        <v>0</v>
      </c>
      <c r="BH382" s="20">
        <v>0</v>
      </c>
      <c r="BI382" s="20">
        <v>0</v>
      </c>
      <c r="BJ382" s="20">
        <v>0</v>
      </c>
      <c r="BK382" s="20">
        <v>0</v>
      </c>
      <c r="BL382" s="20">
        <v>0</v>
      </c>
      <c r="BM382" s="20">
        <v>0</v>
      </c>
      <c r="BN382" s="20">
        <v>0</v>
      </c>
      <c r="BO382" s="20">
        <v>0</v>
      </c>
      <c r="BP382" s="20">
        <v>0</v>
      </c>
      <c r="BQ382" s="20">
        <v>0</v>
      </c>
      <c r="BR382" s="20">
        <v>0</v>
      </c>
      <c r="BS382" s="20">
        <v>0</v>
      </c>
      <c r="BT382" s="20">
        <v>0</v>
      </c>
      <c r="BU382" s="20">
        <v>0</v>
      </c>
      <c r="BV382" s="20">
        <v>0</v>
      </c>
      <c r="BW382" s="20">
        <v>0</v>
      </c>
      <c r="BX382" s="20">
        <v>0</v>
      </c>
      <c r="BY382" s="20">
        <v>0</v>
      </c>
      <c r="BZ382" s="20">
        <v>0</v>
      </c>
      <c r="CA382" s="20">
        <v>0</v>
      </c>
      <c r="CB382" s="20">
        <v>0</v>
      </c>
      <c r="CC382" s="20">
        <v>0</v>
      </c>
      <c r="CD382" s="20">
        <v>0</v>
      </c>
      <c r="CE382" s="20">
        <v>0</v>
      </c>
      <c r="CF382" s="20">
        <v>0</v>
      </c>
      <c r="CG382" s="20">
        <v>0</v>
      </c>
      <c r="CH382" s="20">
        <v>0</v>
      </c>
      <c r="CI382" s="20">
        <v>0</v>
      </c>
      <c r="CJ382" s="20">
        <v>0</v>
      </c>
      <c r="CK382" s="20">
        <v>0</v>
      </c>
      <c r="CL382" s="20">
        <v>0</v>
      </c>
      <c r="CM382" s="20">
        <v>0</v>
      </c>
      <c r="CN382" s="20">
        <v>0</v>
      </c>
      <c r="CO382" s="20">
        <v>0</v>
      </c>
      <c r="CP382" s="20">
        <v>0</v>
      </c>
      <c r="CQ382" s="20">
        <v>0</v>
      </c>
      <c r="CR382" s="20">
        <v>0</v>
      </c>
      <c r="CS382" s="20">
        <v>0</v>
      </c>
      <c r="CT382" s="20">
        <v>0</v>
      </c>
      <c r="CU382" s="20">
        <v>0</v>
      </c>
      <c r="CV382" s="20">
        <v>0</v>
      </c>
      <c r="CW382" s="20">
        <v>0</v>
      </c>
      <c r="CX382" s="20">
        <v>0</v>
      </c>
      <c r="CY382" s="20">
        <v>0</v>
      </c>
      <c r="CZ382" s="20">
        <v>0</v>
      </c>
      <c r="DA382" s="20">
        <v>0</v>
      </c>
      <c r="DB382" s="20">
        <v>0</v>
      </c>
      <c r="DC382" s="20">
        <v>0</v>
      </c>
      <c r="DD382" s="20">
        <v>0</v>
      </c>
      <c r="DE382" s="20">
        <v>0</v>
      </c>
      <c r="DF382" s="20">
        <v>0</v>
      </c>
      <c r="DG382" s="16">
        <f t="shared" si="34"/>
        <v>9</v>
      </c>
      <c r="DH382" s="16">
        <f t="shared" si="35"/>
        <v>98</v>
      </c>
      <c r="DI382" s="17">
        <f t="shared" si="36"/>
        <v>10.888888888888889</v>
      </c>
      <c r="DJ382" s="119" t="s">
        <v>4</v>
      </c>
      <c r="DK382" s="44" t="s">
        <v>4</v>
      </c>
    </row>
    <row r="383" spans="1:115">
      <c r="A383" s="32" t="str">
        <f t="shared" si="32"/>
        <v>Essential (Original)--KIOSK MOUNTED ; &gt; 22 kV ;  &gt; 600 kVA</v>
      </c>
      <c r="B383" s="32" t="str">
        <f t="shared" si="33"/>
        <v>Essential (Original)</v>
      </c>
      <c r="C383" s="384"/>
      <c r="D383" s="14"/>
      <c r="E383" s="15" t="s">
        <v>222</v>
      </c>
      <c r="F383" s="18">
        <v>45.8</v>
      </c>
      <c r="G383" s="18">
        <v>6.7675697262754522</v>
      </c>
      <c r="H383" s="20">
        <v>0</v>
      </c>
      <c r="I383" s="20">
        <v>1</v>
      </c>
      <c r="J383" s="20">
        <v>0</v>
      </c>
      <c r="K383" s="20">
        <v>1</v>
      </c>
      <c r="L383" s="20">
        <v>0</v>
      </c>
      <c r="M383" s="20">
        <v>3</v>
      </c>
      <c r="N383" s="20">
        <v>2</v>
      </c>
      <c r="O383" s="20">
        <v>5</v>
      </c>
      <c r="P383" s="20">
        <v>2</v>
      </c>
      <c r="Q383" s="20">
        <v>1</v>
      </c>
      <c r="R383" s="20">
        <v>1</v>
      </c>
      <c r="S383" s="20">
        <v>0</v>
      </c>
      <c r="T383" s="20">
        <v>3</v>
      </c>
      <c r="U383" s="20">
        <v>5</v>
      </c>
      <c r="V383" s="20">
        <v>6</v>
      </c>
      <c r="W383" s="20">
        <v>2</v>
      </c>
      <c r="X383" s="20">
        <v>0</v>
      </c>
      <c r="Y383" s="20">
        <v>2</v>
      </c>
      <c r="Z383" s="20">
        <v>3</v>
      </c>
      <c r="AA383" s="20">
        <v>0</v>
      </c>
      <c r="AB383" s="20">
        <v>0</v>
      </c>
      <c r="AC383" s="20">
        <v>0</v>
      </c>
      <c r="AD383" s="20">
        <v>0</v>
      </c>
      <c r="AE383" s="20">
        <v>0</v>
      </c>
      <c r="AF383" s="20">
        <v>0</v>
      </c>
      <c r="AG383" s="20">
        <v>0</v>
      </c>
      <c r="AH383" s="20">
        <v>0</v>
      </c>
      <c r="AI383" s="20">
        <v>0</v>
      </c>
      <c r="AJ383" s="20">
        <v>0</v>
      </c>
      <c r="AK383" s="20">
        <v>0</v>
      </c>
      <c r="AL383" s="20">
        <v>0</v>
      </c>
      <c r="AM383" s="20">
        <v>0</v>
      </c>
      <c r="AN383" s="20">
        <v>0</v>
      </c>
      <c r="AO383" s="20">
        <v>2</v>
      </c>
      <c r="AP383" s="20">
        <v>0</v>
      </c>
      <c r="AQ383" s="20">
        <v>0</v>
      </c>
      <c r="AR383" s="20">
        <v>0</v>
      </c>
      <c r="AS383" s="20">
        <v>0</v>
      </c>
      <c r="AT383" s="20">
        <v>0</v>
      </c>
      <c r="AU383" s="20">
        <v>0</v>
      </c>
      <c r="AV383" s="20">
        <v>0</v>
      </c>
      <c r="AW383" s="20">
        <v>0</v>
      </c>
      <c r="AX383" s="20">
        <v>0</v>
      </c>
      <c r="AY383" s="20">
        <v>1</v>
      </c>
      <c r="AZ383" s="20">
        <v>0</v>
      </c>
      <c r="BA383" s="20">
        <v>0</v>
      </c>
      <c r="BB383" s="20">
        <v>0</v>
      </c>
      <c r="BC383" s="20">
        <v>0</v>
      </c>
      <c r="BD383" s="20">
        <v>0</v>
      </c>
      <c r="BE383" s="20">
        <v>0</v>
      </c>
      <c r="BF383" s="20">
        <v>0</v>
      </c>
      <c r="BG383" s="20">
        <v>0</v>
      </c>
      <c r="BH383" s="20">
        <v>0</v>
      </c>
      <c r="BI383" s="20">
        <v>0</v>
      </c>
      <c r="BJ383" s="20">
        <v>0</v>
      </c>
      <c r="BK383" s="20">
        <v>0</v>
      </c>
      <c r="BL383" s="20">
        <v>0</v>
      </c>
      <c r="BM383" s="20">
        <v>0</v>
      </c>
      <c r="BN383" s="20">
        <v>0</v>
      </c>
      <c r="BO383" s="20">
        <v>0</v>
      </c>
      <c r="BP383" s="20">
        <v>0</v>
      </c>
      <c r="BQ383" s="20">
        <v>0</v>
      </c>
      <c r="BR383" s="20">
        <v>0</v>
      </c>
      <c r="BS383" s="20">
        <v>0</v>
      </c>
      <c r="BT383" s="20">
        <v>0</v>
      </c>
      <c r="BU383" s="20">
        <v>0</v>
      </c>
      <c r="BV383" s="20">
        <v>0</v>
      </c>
      <c r="BW383" s="20">
        <v>0</v>
      </c>
      <c r="BX383" s="20">
        <v>0</v>
      </c>
      <c r="BY383" s="20">
        <v>0</v>
      </c>
      <c r="BZ383" s="20">
        <v>0</v>
      </c>
      <c r="CA383" s="20">
        <v>0</v>
      </c>
      <c r="CB383" s="20">
        <v>0</v>
      </c>
      <c r="CC383" s="20">
        <v>0</v>
      </c>
      <c r="CD383" s="20">
        <v>0</v>
      </c>
      <c r="CE383" s="20">
        <v>0</v>
      </c>
      <c r="CF383" s="20">
        <v>0</v>
      </c>
      <c r="CG383" s="20">
        <v>0</v>
      </c>
      <c r="CH383" s="20">
        <v>0</v>
      </c>
      <c r="CI383" s="20">
        <v>0</v>
      </c>
      <c r="CJ383" s="20">
        <v>0</v>
      </c>
      <c r="CK383" s="20">
        <v>0</v>
      </c>
      <c r="CL383" s="20">
        <v>0</v>
      </c>
      <c r="CM383" s="20">
        <v>0</v>
      </c>
      <c r="CN383" s="20">
        <v>0</v>
      </c>
      <c r="CO383" s="20">
        <v>0</v>
      </c>
      <c r="CP383" s="20">
        <v>0</v>
      </c>
      <c r="CQ383" s="20">
        <v>0</v>
      </c>
      <c r="CR383" s="20">
        <v>0</v>
      </c>
      <c r="CS383" s="20">
        <v>0</v>
      </c>
      <c r="CT383" s="20">
        <v>0</v>
      </c>
      <c r="CU383" s="20">
        <v>0</v>
      </c>
      <c r="CV383" s="20">
        <v>0</v>
      </c>
      <c r="CW383" s="20">
        <v>0</v>
      </c>
      <c r="CX383" s="20">
        <v>0</v>
      </c>
      <c r="CY383" s="20">
        <v>0</v>
      </c>
      <c r="CZ383" s="20">
        <v>0</v>
      </c>
      <c r="DA383" s="20">
        <v>0</v>
      </c>
      <c r="DB383" s="20">
        <v>0</v>
      </c>
      <c r="DC383" s="20">
        <v>0</v>
      </c>
      <c r="DD383" s="20">
        <v>0</v>
      </c>
      <c r="DE383" s="20">
        <v>0</v>
      </c>
      <c r="DF383" s="20">
        <v>0</v>
      </c>
      <c r="DG383" s="16">
        <f t="shared" si="34"/>
        <v>40</v>
      </c>
      <c r="DH383" s="16">
        <f t="shared" si="35"/>
        <v>553</v>
      </c>
      <c r="DI383" s="17">
        <f t="shared" si="36"/>
        <v>13.824999999999999</v>
      </c>
      <c r="DJ383" s="119" t="s">
        <v>4</v>
      </c>
      <c r="DK383" s="44" t="s">
        <v>4</v>
      </c>
    </row>
    <row r="384" spans="1:115">
      <c r="A384" s="32" t="str">
        <f t="shared" si="32"/>
        <v xml:space="preserve">Essential (Original)--KIOSK MOUNTED ; &gt; 22 kV ;  &lt; = 60 kVA </v>
      </c>
      <c r="B384" s="32" t="str">
        <f t="shared" si="33"/>
        <v>Essential (Original)</v>
      </c>
      <c r="C384" s="384"/>
      <c r="D384" s="14"/>
      <c r="E384" s="15" t="s">
        <v>220</v>
      </c>
      <c r="F384" s="18">
        <v>0</v>
      </c>
      <c r="G384" s="18">
        <v>0</v>
      </c>
      <c r="H384" s="20">
        <v>0</v>
      </c>
      <c r="I384" s="20">
        <v>0</v>
      </c>
      <c r="J384" s="20">
        <v>0</v>
      </c>
      <c r="K384" s="20">
        <v>0</v>
      </c>
      <c r="L384" s="20">
        <v>0</v>
      </c>
      <c r="M384" s="20">
        <v>0</v>
      </c>
      <c r="N384" s="20">
        <v>0</v>
      </c>
      <c r="O384" s="20">
        <v>0</v>
      </c>
      <c r="P384" s="20">
        <v>0</v>
      </c>
      <c r="Q384" s="20">
        <v>0</v>
      </c>
      <c r="R384" s="20">
        <v>0</v>
      </c>
      <c r="S384" s="20">
        <v>0</v>
      </c>
      <c r="T384" s="20">
        <v>0</v>
      </c>
      <c r="U384" s="20">
        <v>0</v>
      </c>
      <c r="V384" s="20">
        <v>0</v>
      </c>
      <c r="W384" s="20">
        <v>0</v>
      </c>
      <c r="X384" s="20">
        <v>0</v>
      </c>
      <c r="Y384" s="20">
        <v>0</v>
      </c>
      <c r="Z384" s="20">
        <v>0</v>
      </c>
      <c r="AA384" s="20">
        <v>0</v>
      </c>
      <c r="AB384" s="20">
        <v>0</v>
      </c>
      <c r="AC384" s="20">
        <v>0</v>
      </c>
      <c r="AD384" s="20">
        <v>0</v>
      </c>
      <c r="AE384" s="20">
        <v>0</v>
      </c>
      <c r="AF384" s="20">
        <v>0</v>
      </c>
      <c r="AG384" s="20">
        <v>0</v>
      </c>
      <c r="AH384" s="20">
        <v>0</v>
      </c>
      <c r="AI384" s="20">
        <v>0</v>
      </c>
      <c r="AJ384" s="20">
        <v>0</v>
      </c>
      <c r="AK384" s="20">
        <v>0</v>
      </c>
      <c r="AL384" s="20">
        <v>0</v>
      </c>
      <c r="AM384" s="20">
        <v>0</v>
      </c>
      <c r="AN384" s="20">
        <v>0</v>
      </c>
      <c r="AO384" s="20">
        <v>0</v>
      </c>
      <c r="AP384" s="20">
        <v>0</v>
      </c>
      <c r="AQ384" s="20">
        <v>0</v>
      </c>
      <c r="AR384" s="20">
        <v>0</v>
      </c>
      <c r="AS384" s="20">
        <v>0</v>
      </c>
      <c r="AT384" s="20">
        <v>0</v>
      </c>
      <c r="AU384" s="20">
        <v>0</v>
      </c>
      <c r="AV384" s="20">
        <v>0</v>
      </c>
      <c r="AW384" s="20">
        <v>0</v>
      </c>
      <c r="AX384" s="20">
        <v>0</v>
      </c>
      <c r="AY384" s="20">
        <v>0</v>
      </c>
      <c r="AZ384" s="20">
        <v>0</v>
      </c>
      <c r="BA384" s="20">
        <v>0</v>
      </c>
      <c r="BB384" s="20">
        <v>0</v>
      </c>
      <c r="BC384" s="20">
        <v>0</v>
      </c>
      <c r="BD384" s="20">
        <v>0</v>
      </c>
      <c r="BE384" s="20">
        <v>0</v>
      </c>
      <c r="BF384" s="20">
        <v>0</v>
      </c>
      <c r="BG384" s="20">
        <v>0</v>
      </c>
      <c r="BH384" s="20">
        <v>0</v>
      </c>
      <c r="BI384" s="20">
        <v>0</v>
      </c>
      <c r="BJ384" s="20">
        <v>0</v>
      </c>
      <c r="BK384" s="20">
        <v>0</v>
      </c>
      <c r="BL384" s="20">
        <v>0</v>
      </c>
      <c r="BM384" s="20">
        <v>0</v>
      </c>
      <c r="BN384" s="20">
        <v>0</v>
      </c>
      <c r="BO384" s="20">
        <v>0</v>
      </c>
      <c r="BP384" s="20">
        <v>0</v>
      </c>
      <c r="BQ384" s="20">
        <v>0</v>
      </c>
      <c r="BR384" s="20">
        <v>0</v>
      </c>
      <c r="BS384" s="20">
        <v>0</v>
      </c>
      <c r="BT384" s="20">
        <v>0</v>
      </c>
      <c r="BU384" s="20">
        <v>0</v>
      </c>
      <c r="BV384" s="20">
        <v>0</v>
      </c>
      <c r="BW384" s="20">
        <v>0</v>
      </c>
      <c r="BX384" s="20">
        <v>0</v>
      </c>
      <c r="BY384" s="20">
        <v>0</v>
      </c>
      <c r="BZ384" s="20">
        <v>0</v>
      </c>
      <c r="CA384" s="20">
        <v>0</v>
      </c>
      <c r="CB384" s="20">
        <v>0</v>
      </c>
      <c r="CC384" s="20">
        <v>0</v>
      </c>
      <c r="CD384" s="20">
        <v>0</v>
      </c>
      <c r="CE384" s="20">
        <v>0</v>
      </c>
      <c r="CF384" s="20">
        <v>0</v>
      </c>
      <c r="CG384" s="20">
        <v>0</v>
      </c>
      <c r="CH384" s="20">
        <v>0</v>
      </c>
      <c r="CI384" s="20">
        <v>0</v>
      </c>
      <c r="CJ384" s="20">
        <v>0</v>
      </c>
      <c r="CK384" s="20">
        <v>0</v>
      </c>
      <c r="CL384" s="20">
        <v>0</v>
      </c>
      <c r="CM384" s="20">
        <v>0</v>
      </c>
      <c r="CN384" s="20">
        <v>0</v>
      </c>
      <c r="CO384" s="20">
        <v>0</v>
      </c>
      <c r="CP384" s="20">
        <v>0</v>
      </c>
      <c r="CQ384" s="20">
        <v>0</v>
      </c>
      <c r="CR384" s="20">
        <v>0</v>
      </c>
      <c r="CS384" s="20">
        <v>0</v>
      </c>
      <c r="CT384" s="20">
        <v>0</v>
      </c>
      <c r="CU384" s="20">
        <v>0</v>
      </c>
      <c r="CV384" s="20">
        <v>0</v>
      </c>
      <c r="CW384" s="20">
        <v>0</v>
      </c>
      <c r="CX384" s="20">
        <v>0</v>
      </c>
      <c r="CY384" s="20">
        <v>0</v>
      </c>
      <c r="CZ384" s="20">
        <v>0</v>
      </c>
      <c r="DA384" s="20">
        <v>0</v>
      </c>
      <c r="DB384" s="20">
        <v>0</v>
      </c>
      <c r="DC384" s="20">
        <v>0</v>
      </c>
      <c r="DD384" s="20">
        <v>0</v>
      </c>
      <c r="DE384" s="20">
        <v>0</v>
      </c>
      <c r="DF384" s="20">
        <v>0</v>
      </c>
      <c r="DG384" s="16">
        <f t="shared" si="34"/>
        <v>0</v>
      </c>
      <c r="DH384" s="16">
        <f t="shared" si="35"/>
        <v>0</v>
      </c>
      <c r="DI384" s="17" t="str">
        <f t="shared" si="36"/>
        <v/>
      </c>
      <c r="DJ384" s="119" t="s">
        <v>4</v>
      </c>
      <c r="DK384" s="44" t="s">
        <v>4</v>
      </c>
    </row>
    <row r="385" spans="1:115">
      <c r="A385" s="32" t="str">
        <f t="shared" si="32"/>
        <v>Essential (Original)--KIOSK MOUNTED ; &gt; 22 kV ;  &gt; 60 kVA AND &lt; = 600 kVA</v>
      </c>
      <c r="B385" s="32" t="str">
        <f t="shared" si="33"/>
        <v>Essential (Original)</v>
      </c>
      <c r="C385" s="384"/>
      <c r="D385" s="14"/>
      <c r="E385" s="15" t="s">
        <v>223</v>
      </c>
      <c r="F385" s="18">
        <v>0</v>
      </c>
      <c r="G385" s="18">
        <v>0</v>
      </c>
      <c r="H385" s="20">
        <v>0</v>
      </c>
      <c r="I385" s="20">
        <v>0</v>
      </c>
      <c r="J385" s="20">
        <v>0</v>
      </c>
      <c r="K385" s="20">
        <v>0</v>
      </c>
      <c r="L385" s="20">
        <v>0</v>
      </c>
      <c r="M385" s="20">
        <v>0</v>
      </c>
      <c r="N385" s="20">
        <v>0</v>
      </c>
      <c r="O385" s="20">
        <v>0</v>
      </c>
      <c r="P385" s="20">
        <v>0</v>
      </c>
      <c r="Q385" s="20">
        <v>0</v>
      </c>
      <c r="R385" s="20">
        <v>0</v>
      </c>
      <c r="S385" s="20">
        <v>0</v>
      </c>
      <c r="T385" s="20">
        <v>0</v>
      </c>
      <c r="U385" s="20">
        <v>0</v>
      </c>
      <c r="V385" s="20">
        <v>0</v>
      </c>
      <c r="W385" s="20">
        <v>0</v>
      </c>
      <c r="X385" s="20">
        <v>0</v>
      </c>
      <c r="Y385" s="20">
        <v>0</v>
      </c>
      <c r="Z385" s="20">
        <v>0</v>
      </c>
      <c r="AA385" s="20">
        <v>0</v>
      </c>
      <c r="AB385" s="20">
        <v>0</v>
      </c>
      <c r="AC385" s="20">
        <v>0</v>
      </c>
      <c r="AD385" s="20">
        <v>0</v>
      </c>
      <c r="AE385" s="20">
        <v>0</v>
      </c>
      <c r="AF385" s="20">
        <v>0</v>
      </c>
      <c r="AG385" s="20">
        <v>0</v>
      </c>
      <c r="AH385" s="20">
        <v>0</v>
      </c>
      <c r="AI385" s="20">
        <v>0</v>
      </c>
      <c r="AJ385" s="20">
        <v>0</v>
      </c>
      <c r="AK385" s="20">
        <v>0</v>
      </c>
      <c r="AL385" s="20">
        <v>0</v>
      </c>
      <c r="AM385" s="20">
        <v>0</v>
      </c>
      <c r="AN385" s="20">
        <v>0</v>
      </c>
      <c r="AO385" s="20">
        <v>0</v>
      </c>
      <c r="AP385" s="20">
        <v>0</v>
      </c>
      <c r="AQ385" s="20">
        <v>0</v>
      </c>
      <c r="AR385" s="20">
        <v>0</v>
      </c>
      <c r="AS385" s="20">
        <v>0</v>
      </c>
      <c r="AT385" s="20">
        <v>0</v>
      </c>
      <c r="AU385" s="20">
        <v>0</v>
      </c>
      <c r="AV385" s="20">
        <v>0</v>
      </c>
      <c r="AW385" s="20">
        <v>0</v>
      </c>
      <c r="AX385" s="20">
        <v>0</v>
      </c>
      <c r="AY385" s="20">
        <v>0</v>
      </c>
      <c r="AZ385" s="20">
        <v>0</v>
      </c>
      <c r="BA385" s="20">
        <v>0</v>
      </c>
      <c r="BB385" s="20">
        <v>0</v>
      </c>
      <c r="BC385" s="20">
        <v>0</v>
      </c>
      <c r="BD385" s="20">
        <v>0</v>
      </c>
      <c r="BE385" s="20">
        <v>0</v>
      </c>
      <c r="BF385" s="20">
        <v>0</v>
      </c>
      <c r="BG385" s="20">
        <v>0</v>
      </c>
      <c r="BH385" s="20">
        <v>0</v>
      </c>
      <c r="BI385" s="20">
        <v>0</v>
      </c>
      <c r="BJ385" s="20">
        <v>0</v>
      </c>
      <c r="BK385" s="20">
        <v>0</v>
      </c>
      <c r="BL385" s="20">
        <v>0</v>
      </c>
      <c r="BM385" s="20">
        <v>0</v>
      </c>
      <c r="BN385" s="20">
        <v>0</v>
      </c>
      <c r="BO385" s="20">
        <v>0</v>
      </c>
      <c r="BP385" s="20">
        <v>0</v>
      </c>
      <c r="BQ385" s="20">
        <v>0</v>
      </c>
      <c r="BR385" s="20">
        <v>0</v>
      </c>
      <c r="BS385" s="20">
        <v>0</v>
      </c>
      <c r="BT385" s="20">
        <v>0</v>
      </c>
      <c r="BU385" s="20">
        <v>0</v>
      </c>
      <c r="BV385" s="20">
        <v>0</v>
      </c>
      <c r="BW385" s="20">
        <v>0</v>
      </c>
      <c r="BX385" s="20">
        <v>0</v>
      </c>
      <c r="BY385" s="20">
        <v>0</v>
      </c>
      <c r="BZ385" s="20">
        <v>0</v>
      </c>
      <c r="CA385" s="20">
        <v>0</v>
      </c>
      <c r="CB385" s="20">
        <v>0</v>
      </c>
      <c r="CC385" s="20">
        <v>0</v>
      </c>
      <c r="CD385" s="20">
        <v>0</v>
      </c>
      <c r="CE385" s="20">
        <v>0</v>
      </c>
      <c r="CF385" s="20">
        <v>0</v>
      </c>
      <c r="CG385" s="20">
        <v>0</v>
      </c>
      <c r="CH385" s="20">
        <v>0</v>
      </c>
      <c r="CI385" s="20">
        <v>0</v>
      </c>
      <c r="CJ385" s="20">
        <v>0</v>
      </c>
      <c r="CK385" s="20">
        <v>0</v>
      </c>
      <c r="CL385" s="20">
        <v>0</v>
      </c>
      <c r="CM385" s="20">
        <v>0</v>
      </c>
      <c r="CN385" s="20">
        <v>0</v>
      </c>
      <c r="CO385" s="20">
        <v>0</v>
      </c>
      <c r="CP385" s="20">
        <v>0</v>
      </c>
      <c r="CQ385" s="20">
        <v>0</v>
      </c>
      <c r="CR385" s="20">
        <v>0</v>
      </c>
      <c r="CS385" s="20">
        <v>0</v>
      </c>
      <c r="CT385" s="20">
        <v>0</v>
      </c>
      <c r="CU385" s="20">
        <v>0</v>
      </c>
      <c r="CV385" s="20">
        <v>0</v>
      </c>
      <c r="CW385" s="20">
        <v>0</v>
      </c>
      <c r="CX385" s="20">
        <v>0</v>
      </c>
      <c r="CY385" s="20">
        <v>0</v>
      </c>
      <c r="CZ385" s="20">
        <v>0</v>
      </c>
      <c r="DA385" s="20">
        <v>0</v>
      </c>
      <c r="DB385" s="20">
        <v>0</v>
      </c>
      <c r="DC385" s="20">
        <v>0</v>
      </c>
      <c r="DD385" s="20">
        <v>0</v>
      </c>
      <c r="DE385" s="20">
        <v>0</v>
      </c>
      <c r="DF385" s="20">
        <v>0</v>
      </c>
      <c r="DG385" s="16">
        <f t="shared" si="34"/>
        <v>0</v>
      </c>
      <c r="DH385" s="16">
        <f t="shared" si="35"/>
        <v>0</v>
      </c>
      <c r="DI385" s="17" t="str">
        <f t="shared" si="36"/>
        <v/>
      </c>
      <c r="DJ385" s="119" t="s">
        <v>4</v>
      </c>
      <c r="DK385" s="44" t="s">
        <v>4</v>
      </c>
    </row>
    <row r="386" spans="1:115">
      <c r="A386" s="32" t="str">
        <f t="shared" si="32"/>
        <v>Essential (Original)--KIOSK MOUNTED ; &gt; 22 kV ;  &gt;  600 kVA</v>
      </c>
      <c r="B386" s="32" t="str">
        <f t="shared" si="33"/>
        <v>Essential (Original)</v>
      </c>
      <c r="C386" s="384"/>
      <c r="D386" s="14"/>
      <c r="E386" s="15" t="s">
        <v>224</v>
      </c>
      <c r="F386" s="18">
        <v>0</v>
      </c>
      <c r="G386" s="18">
        <v>0</v>
      </c>
      <c r="H386" s="20">
        <v>0</v>
      </c>
      <c r="I386" s="20">
        <v>0</v>
      </c>
      <c r="J386" s="20">
        <v>0</v>
      </c>
      <c r="K386" s="20">
        <v>0</v>
      </c>
      <c r="L386" s="20">
        <v>0</v>
      </c>
      <c r="M386" s="20">
        <v>0</v>
      </c>
      <c r="N386" s="20">
        <v>0</v>
      </c>
      <c r="O386" s="20">
        <v>0</v>
      </c>
      <c r="P386" s="20">
        <v>0</v>
      </c>
      <c r="Q386" s="20">
        <v>0</v>
      </c>
      <c r="R386" s="20">
        <v>0</v>
      </c>
      <c r="S386" s="20">
        <v>0</v>
      </c>
      <c r="T386" s="20">
        <v>0</v>
      </c>
      <c r="U386" s="20">
        <v>0</v>
      </c>
      <c r="V386" s="20">
        <v>0</v>
      </c>
      <c r="W386" s="20">
        <v>0</v>
      </c>
      <c r="X386" s="20">
        <v>0</v>
      </c>
      <c r="Y386" s="20">
        <v>0</v>
      </c>
      <c r="Z386" s="20">
        <v>0</v>
      </c>
      <c r="AA386" s="20">
        <v>0</v>
      </c>
      <c r="AB386" s="20">
        <v>0</v>
      </c>
      <c r="AC386" s="20">
        <v>0</v>
      </c>
      <c r="AD386" s="20">
        <v>0</v>
      </c>
      <c r="AE386" s="20">
        <v>0</v>
      </c>
      <c r="AF386" s="20">
        <v>0</v>
      </c>
      <c r="AG386" s="20">
        <v>0</v>
      </c>
      <c r="AH386" s="20">
        <v>0</v>
      </c>
      <c r="AI386" s="20">
        <v>0</v>
      </c>
      <c r="AJ386" s="20">
        <v>0</v>
      </c>
      <c r="AK386" s="20">
        <v>0</v>
      </c>
      <c r="AL386" s="20">
        <v>0</v>
      </c>
      <c r="AM386" s="20">
        <v>0</v>
      </c>
      <c r="AN386" s="20">
        <v>0</v>
      </c>
      <c r="AO386" s="20">
        <v>0</v>
      </c>
      <c r="AP386" s="20">
        <v>0</v>
      </c>
      <c r="AQ386" s="20">
        <v>0</v>
      </c>
      <c r="AR386" s="20">
        <v>0</v>
      </c>
      <c r="AS386" s="20">
        <v>0</v>
      </c>
      <c r="AT386" s="20">
        <v>0</v>
      </c>
      <c r="AU386" s="20">
        <v>0</v>
      </c>
      <c r="AV386" s="20">
        <v>0</v>
      </c>
      <c r="AW386" s="20">
        <v>0</v>
      </c>
      <c r="AX386" s="20">
        <v>0</v>
      </c>
      <c r="AY386" s="20">
        <v>0</v>
      </c>
      <c r="AZ386" s="20">
        <v>0</v>
      </c>
      <c r="BA386" s="20">
        <v>0</v>
      </c>
      <c r="BB386" s="20">
        <v>0</v>
      </c>
      <c r="BC386" s="20">
        <v>0</v>
      </c>
      <c r="BD386" s="20">
        <v>0</v>
      </c>
      <c r="BE386" s="20">
        <v>0</v>
      </c>
      <c r="BF386" s="20">
        <v>0</v>
      </c>
      <c r="BG386" s="20">
        <v>0</v>
      </c>
      <c r="BH386" s="20">
        <v>0</v>
      </c>
      <c r="BI386" s="20">
        <v>0</v>
      </c>
      <c r="BJ386" s="20">
        <v>0</v>
      </c>
      <c r="BK386" s="20">
        <v>0</v>
      </c>
      <c r="BL386" s="20">
        <v>0</v>
      </c>
      <c r="BM386" s="20">
        <v>0</v>
      </c>
      <c r="BN386" s="20">
        <v>0</v>
      </c>
      <c r="BO386" s="20">
        <v>0</v>
      </c>
      <c r="BP386" s="20">
        <v>0</v>
      </c>
      <c r="BQ386" s="20">
        <v>0</v>
      </c>
      <c r="BR386" s="20">
        <v>0</v>
      </c>
      <c r="BS386" s="20">
        <v>0</v>
      </c>
      <c r="BT386" s="20">
        <v>0</v>
      </c>
      <c r="BU386" s="20">
        <v>0</v>
      </c>
      <c r="BV386" s="20">
        <v>0</v>
      </c>
      <c r="BW386" s="20">
        <v>0</v>
      </c>
      <c r="BX386" s="20">
        <v>0</v>
      </c>
      <c r="BY386" s="20">
        <v>0</v>
      </c>
      <c r="BZ386" s="20">
        <v>0</v>
      </c>
      <c r="CA386" s="20">
        <v>0</v>
      </c>
      <c r="CB386" s="20">
        <v>0</v>
      </c>
      <c r="CC386" s="20">
        <v>0</v>
      </c>
      <c r="CD386" s="20">
        <v>0</v>
      </c>
      <c r="CE386" s="20">
        <v>0</v>
      </c>
      <c r="CF386" s="20">
        <v>0</v>
      </c>
      <c r="CG386" s="20">
        <v>0</v>
      </c>
      <c r="CH386" s="20">
        <v>0</v>
      </c>
      <c r="CI386" s="20">
        <v>0</v>
      </c>
      <c r="CJ386" s="20">
        <v>0</v>
      </c>
      <c r="CK386" s="20">
        <v>0</v>
      </c>
      <c r="CL386" s="20">
        <v>0</v>
      </c>
      <c r="CM386" s="20">
        <v>0</v>
      </c>
      <c r="CN386" s="20">
        <v>0</v>
      </c>
      <c r="CO386" s="20">
        <v>0</v>
      </c>
      <c r="CP386" s="20">
        <v>0</v>
      </c>
      <c r="CQ386" s="20">
        <v>0</v>
      </c>
      <c r="CR386" s="20">
        <v>0</v>
      </c>
      <c r="CS386" s="20">
        <v>0</v>
      </c>
      <c r="CT386" s="20">
        <v>0</v>
      </c>
      <c r="CU386" s="20">
        <v>0</v>
      </c>
      <c r="CV386" s="20">
        <v>0</v>
      </c>
      <c r="CW386" s="20">
        <v>0</v>
      </c>
      <c r="CX386" s="20">
        <v>0</v>
      </c>
      <c r="CY386" s="20">
        <v>0</v>
      </c>
      <c r="CZ386" s="20">
        <v>0</v>
      </c>
      <c r="DA386" s="20">
        <v>0</v>
      </c>
      <c r="DB386" s="20">
        <v>0</v>
      </c>
      <c r="DC386" s="20">
        <v>0</v>
      </c>
      <c r="DD386" s="20">
        <v>0</v>
      </c>
      <c r="DE386" s="20">
        <v>0</v>
      </c>
      <c r="DF386" s="20">
        <v>0</v>
      </c>
      <c r="DG386" s="16">
        <f t="shared" si="34"/>
        <v>0</v>
      </c>
      <c r="DH386" s="16">
        <f t="shared" si="35"/>
        <v>0</v>
      </c>
      <c r="DI386" s="17" t="str">
        <f t="shared" si="36"/>
        <v/>
      </c>
      <c r="DJ386" s="119" t="s">
        <v>4</v>
      </c>
      <c r="DK386" s="44" t="s">
        <v>4</v>
      </c>
    </row>
    <row r="387" spans="1:115">
      <c r="A387" s="32" t="str">
        <f t="shared" si="32"/>
        <v>Essential (Original)--GROUND OUTDOOR / INDOOR CHAMBER MOUNTED ; ˂ 22 kV ;  &lt; = 60 kVA ; SINGLE PHASE</v>
      </c>
      <c r="B387" s="32" t="str">
        <f t="shared" si="33"/>
        <v>Essential (Original)</v>
      </c>
      <c r="C387" s="384"/>
      <c r="D387" s="14"/>
      <c r="E387" s="15" t="s">
        <v>225</v>
      </c>
      <c r="F387" s="18">
        <v>0</v>
      </c>
      <c r="G387" s="18">
        <v>0</v>
      </c>
      <c r="H387" s="20">
        <v>0</v>
      </c>
      <c r="I387" s="20">
        <v>0</v>
      </c>
      <c r="J387" s="20">
        <v>0</v>
      </c>
      <c r="K387" s="20">
        <v>0</v>
      </c>
      <c r="L387" s="20">
        <v>0</v>
      </c>
      <c r="M387" s="20">
        <v>0</v>
      </c>
      <c r="N387" s="20">
        <v>0</v>
      </c>
      <c r="O387" s="20">
        <v>0</v>
      </c>
      <c r="P387" s="20">
        <v>0</v>
      </c>
      <c r="Q387" s="20">
        <v>0</v>
      </c>
      <c r="R387" s="20">
        <v>0</v>
      </c>
      <c r="S387" s="20">
        <v>0</v>
      </c>
      <c r="T387" s="20">
        <v>0</v>
      </c>
      <c r="U387" s="20">
        <v>0</v>
      </c>
      <c r="V387" s="20">
        <v>0</v>
      </c>
      <c r="W387" s="20">
        <v>0</v>
      </c>
      <c r="X387" s="20">
        <v>0</v>
      </c>
      <c r="Y387" s="20">
        <v>0</v>
      </c>
      <c r="Z387" s="20">
        <v>0</v>
      </c>
      <c r="AA387" s="20">
        <v>0</v>
      </c>
      <c r="AB387" s="20">
        <v>0</v>
      </c>
      <c r="AC387" s="20">
        <v>0</v>
      </c>
      <c r="AD387" s="20">
        <v>0</v>
      </c>
      <c r="AE387" s="20">
        <v>0</v>
      </c>
      <c r="AF387" s="20">
        <v>0</v>
      </c>
      <c r="AG387" s="20">
        <v>0</v>
      </c>
      <c r="AH387" s="20">
        <v>0</v>
      </c>
      <c r="AI387" s="20">
        <v>0</v>
      </c>
      <c r="AJ387" s="20">
        <v>0</v>
      </c>
      <c r="AK387" s="20">
        <v>0</v>
      </c>
      <c r="AL387" s="20">
        <v>0</v>
      </c>
      <c r="AM387" s="20">
        <v>0</v>
      </c>
      <c r="AN387" s="20">
        <v>0</v>
      </c>
      <c r="AO387" s="20">
        <v>0</v>
      </c>
      <c r="AP387" s="20">
        <v>0</v>
      </c>
      <c r="AQ387" s="20">
        <v>0</v>
      </c>
      <c r="AR387" s="20">
        <v>0</v>
      </c>
      <c r="AS387" s="20">
        <v>0</v>
      </c>
      <c r="AT387" s="20">
        <v>0</v>
      </c>
      <c r="AU387" s="20">
        <v>0</v>
      </c>
      <c r="AV387" s="20">
        <v>0</v>
      </c>
      <c r="AW387" s="20">
        <v>0</v>
      </c>
      <c r="AX387" s="20">
        <v>0</v>
      </c>
      <c r="AY387" s="20">
        <v>0</v>
      </c>
      <c r="AZ387" s="20">
        <v>0</v>
      </c>
      <c r="BA387" s="20">
        <v>0</v>
      </c>
      <c r="BB387" s="20">
        <v>0</v>
      </c>
      <c r="BC387" s="20">
        <v>0</v>
      </c>
      <c r="BD387" s="20">
        <v>0</v>
      </c>
      <c r="BE387" s="20">
        <v>0</v>
      </c>
      <c r="BF387" s="20">
        <v>0</v>
      </c>
      <c r="BG387" s="20">
        <v>0</v>
      </c>
      <c r="BH387" s="20">
        <v>0</v>
      </c>
      <c r="BI387" s="20">
        <v>0</v>
      </c>
      <c r="BJ387" s="20">
        <v>0</v>
      </c>
      <c r="BK387" s="20">
        <v>0</v>
      </c>
      <c r="BL387" s="20">
        <v>0</v>
      </c>
      <c r="BM387" s="20">
        <v>0</v>
      </c>
      <c r="BN387" s="20">
        <v>0</v>
      </c>
      <c r="BO387" s="20">
        <v>0</v>
      </c>
      <c r="BP387" s="20">
        <v>0</v>
      </c>
      <c r="BQ387" s="20">
        <v>0</v>
      </c>
      <c r="BR387" s="20">
        <v>0</v>
      </c>
      <c r="BS387" s="20">
        <v>0</v>
      </c>
      <c r="BT387" s="20">
        <v>0</v>
      </c>
      <c r="BU387" s="20">
        <v>0</v>
      </c>
      <c r="BV387" s="20">
        <v>0</v>
      </c>
      <c r="BW387" s="20">
        <v>0</v>
      </c>
      <c r="BX387" s="20">
        <v>0</v>
      </c>
      <c r="BY387" s="20">
        <v>0</v>
      </c>
      <c r="BZ387" s="20">
        <v>0</v>
      </c>
      <c r="CA387" s="20">
        <v>0</v>
      </c>
      <c r="CB387" s="20">
        <v>0</v>
      </c>
      <c r="CC387" s="20">
        <v>0</v>
      </c>
      <c r="CD387" s="20">
        <v>0</v>
      </c>
      <c r="CE387" s="20">
        <v>0</v>
      </c>
      <c r="CF387" s="20">
        <v>0</v>
      </c>
      <c r="CG387" s="20">
        <v>0</v>
      </c>
      <c r="CH387" s="20">
        <v>0</v>
      </c>
      <c r="CI387" s="20">
        <v>0</v>
      </c>
      <c r="CJ387" s="20">
        <v>0</v>
      </c>
      <c r="CK387" s="20">
        <v>0</v>
      </c>
      <c r="CL387" s="20">
        <v>0</v>
      </c>
      <c r="CM387" s="20">
        <v>0</v>
      </c>
      <c r="CN387" s="20">
        <v>0</v>
      </c>
      <c r="CO387" s="20">
        <v>0</v>
      </c>
      <c r="CP387" s="20">
        <v>0</v>
      </c>
      <c r="CQ387" s="20">
        <v>0</v>
      </c>
      <c r="CR387" s="20">
        <v>0</v>
      </c>
      <c r="CS387" s="20">
        <v>0</v>
      </c>
      <c r="CT387" s="20">
        <v>0</v>
      </c>
      <c r="CU387" s="20">
        <v>0</v>
      </c>
      <c r="CV387" s="20">
        <v>0</v>
      </c>
      <c r="CW387" s="20">
        <v>0</v>
      </c>
      <c r="CX387" s="20">
        <v>0</v>
      </c>
      <c r="CY387" s="20">
        <v>0</v>
      </c>
      <c r="CZ387" s="20">
        <v>0</v>
      </c>
      <c r="DA387" s="20">
        <v>0</v>
      </c>
      <c r="DB387" s="20">
        <v>0</v>
      </c>
      <c r="DC387" s="20">
        <v>0</v>
      </c>
      <c r="DD387" s="20">
        <v>0</v>
      </c>
      <c r="DE387" s="20">
        <v>0</v>
      </c>
      <c r="DF387" s="20">
        <v>0</v>
      </c>
      <c r="DG387" s="16">
        <f t="shared" si="34"/>
        <v>0</v>
      </c>
      <c r="DH387" s="16">
        <f t="shared" si="35"/>
        <v>0</v>
      </c>
      <c r="DI387" s="17" t="str">
        <f t="shared" si="36"/>
        <v/>
      </c>
      <c r="DJ387" s="119" t="s">
        <v>4</v>
      </c>
      <c r="DK387" s="44" t="s">
        <v>4</v>
      </c>
    </row>
    <row r="388" spans="1:115">
      <c r="A388" s="32" t="str">
        <f t="shared" si="32"/>
        <v>Essential (Original)--GROUND OUTDOOR / INDOOR CHAMBER MOUNTED ; ˂  22 kV ;  &gt; 60 kVA  AND &lt; = 600 kVA ; SINGLE PHASE</v>
      </c>
      <c r="B388" s="32" t="str">
        <f t="shared" si="33"/>
        <v>Essential (Original)</v>
      </c>
      <c r="C388" s="384"/>
      <c r="D388" s="14"/>
      <c r="E388" s="15" t="s">
        <v>226</v>
      </c>
      <c r="F388" s="18">
        <v>45.8</v>
      </c>
      <c r="G388" s="18">
        <v>6.7675697262754522</v>
      </c>
      <c r="H388" s="20">
        <v>0</v>
      </c>
      <c r="I388" s="20">
        <v>0</v>
      </c>
      <c r="J388" s="20">
        <v>0</v>
      </c>
      <c r="K388" s="20">
        <v>0</v>
      </c>
      <c r="L388" s="20">
        <v>0</v>
      </c>
      <c r="M388" s="20">
        <v>0</v>
      </c>
      <c r="N388" s="20">
        <v>0</v>
      </c>
      <c r="O388" s="20">
        <v>0</v>
      </c>
      <c r="P388" s="20">
        <v>0</v>
      </c>
      <c r="Q388" s="20">
        <v>0</v>
      </c>
      <c r="R388" s="20">
        <v>0</v>
      </c>
      <c r="S388" s="20">
        <v>0</v>
      </c>
      <c r="T388" s="20">
        <v>0</v>
      </c>
      <c r="U388" s="20">
        <v>0</v>
      </c>
      <c r="V388" s="20">
        <v>0</v>
      </c>
      <c r="W388" s="20">
        <v>0</v>
      </c>
      <c r="X388" s="20">
        <v>0</v>
      </c>
      <c r="Y388" s="20">
        <v>0</v>
      </c>
      <c r="Z388" s="20">
        <v>0</v>
      </c>
      <c r="AA388" s="20">
        <v>0</v>
      </c>
      <c r="AB388" s="20">
        <v>0</v>
      </c>
      <c r="AC388" s="20">
        <v>0</v>
      </c>
      <c r="AD388" s="20">
        <v>0</v>
      </c>
      <c r="AE388" s="20">
        <v>2</v>
      </c>
      <c r="AF388" s="20">
        <v>0</v>
      </c>
      <c r="AG388" s="20">
        <v>0</v>
      </c>
      <c r="AH388" s="20">
        <v>0</v>
      </c>
      <c r="AI388" s="20">
        <v>0</v>
      </c>
      <c r="AJ388" s="20">
        <v>0</v>
      </c>
      <c r="AK388" s="20">
        <v>0</v>
      </c>
      <c r="AL388" s="20">
        <v>0</v>
      </c>
      <c r="AM388" s="20">
        <v>0</v>
      </c>
      <c r="AN388" s="20">
        <v>0</v>
      </c>
      <c r="AO388" s="20">
        <v>0</v>
      </c>
      <c r="AP388" s="20">
        <v>0</v>
      </c>
      <c r="AQ388" s="20">
        <v>0</v>
      </c>
      <c r="AR388" s="20">
        <v>0</v>
      </c>
      <c r="AS388" s="20">
        <v>0</v>
      </c>
      <c r="AT388" s="20">
        <v>0</v>
      </c>
      <c r="AU388" s="20">
        <v>0</v>
      </c>
      <c r="AV388" s="20">
        <v>0</v>
      </c>
      <c r="AW388" s="20">
        <v>0</v>
      </c>
      <c r="AX388" s="20">
        <v>0</v>
      </c>
      <c r="AY388" s="20">
        <v>0</v>
      </c>
      <c r="AZ388" s="20">
        <v>0</v>
      </c>
      <c r="BA388" s="20">
        <v>0</v>
      </c>
      <c r="BB388" s="20">
        <v>0</v>
      </c>
      <c r="BC388" s="20">
        <v>0</v>
      </c>
      <c r="BD388" s="20">
        <v>0</v>
      </c>
      <c r="BE388" s="20">
        <v>0</v>
      </c>
      <c r="BF388" s="20">
        <v>0</v>
      </c>
      <c r="BG388" s="20">
        <v>0</v>
      </c>
      <c r="BH388" s="20">
        <v>0</v>
      </c>
      <c r="BI388" s="20">
        <v>0</v>
      </c>
      <c r="BJ388" s="20">
        <v>0</v>
      </c>
      <c r="BK388" s="20">
        <v>0</v>
      </c>
      <c r="BL388" s="20">
        <v>0</v>
      </c>
      <c r="BM388" s="20">
        <v>0</v>
      </c>
      <c r="BN388" s="20">
        <v>0</v>
      </c>
      <c r="BO388" s="20">
        <v>0</v>
      </c>
      <c r="BP388" s="20">
        <v>0</v>
      </c>
      <c r="BQ388" s="20">
        <v>0</v>
      </c>
      <c r="BR388" s="20">
        <v>0</v>
      </c>
      <c r="BS388" s="20">
        <v>0</v>
      </c>
      <c r="BT388" s="20">
        <v>0</v>
      </c>
      <c r="BU388" s="20">
        <v>0</v>
      </c>
      <c r="BV388" s="20">
        <v>0</v>
      </c>
      <c r="BW388" s="20">
        <v>0</v>
      </c>
      <c r="BX388" s="20">
        <v>0</v>
      </c>
      <c r="BY388" s="20">
        <v>0</v>
      </c>
      <c r="BZ388" s="20">
        <v>0</v>
      </c>
      <c r="CA388" s="20">
        <v>0</v>
      </c>
      <c r="CB388" s="20">
        <v>0</v>
      </c>
      <c r="CC388" s="20">
        <v>0</v>
      </c>
      <c r="CD388" s="20">
        <v>0</v>
      </c>
      <c r="CE388" s="20">
        <v>0</v>
      </c>
      <c r="CF388" s="20">
        <v>0</v>
      </c>
      <c r="CG388" s="20">
        <v>0</v>
      </c>
      <c r="CH388" s="20">
        <v>0</v>
      </c>
      <c r="CI388" s="20">
        <v>0</v>
      </c>
      <c r="CJ388" s="20">
        <v>0</v>
      </c>
      <c r="CK388" s="20">
        <v>0</v>
      </c>
      <c r="CL388" s="20">
        <v>0</v>
      </c>
      <c r="CM388" s="20">
        <v>0</v>
      </c>
      <c r="CN388" s="20">
        <v>0</v>
      </c>
      <c r="CO388" s="20">
        <v>0</v>
      </c>
      <c r="CP388" s="20">
        <v>0</v>
      </c>
      <c r="CQ388" s="20">
        <v>0</v>
      </c>
      <c r="CR388" s="20">
        <v>0</v>
      </c>
      <c r="CS388" s="20">
        <v>0</v>
      </c>
      <c r="CT388" s="20">
        <v>0</v>
      </c>
      <c r="CU388" s="20">
        <v>0</v>
      </c>
      <c r="CV388" s="20">
        <v>0</v>
      </c>
      <c r="CW388" s="20">
        <v>0</v>
      </c>
      <c r="CX388" s="20">
        <v>0</v>
      </c>
      <c r="CY388" s="20">
        <v>0</v>
      </c>
      <c r="CZ388" s="20">
        <v>0</v>
      </c>
      <c r="DA388" s="20">
        <v>0</v>
      </c>
      <c r="DB388" s="20">
        <v>0</v>
      </c>
      <c r="DC388" s="20">
        <v>0</v>
      </c>
      <c r="DD388" s="20">
        <v>0</v>
      </c>
      <c r="DE388" s="20">
        <v>0</v>
      </c>
      <c r="DF388" s="20">
        <v>0</v>
      </c>
      <c r="DG388" s="16">
        <f t="shared" si="34"/>
        <v>2</v>
      </c>
      <c r="DH388" s="16">
        <f t="shared" si="35"/>
        <v>48</v>
      </c>
      <c r="DI388" s="17">
        <f t="shared" si="36"/>
        <v>24</v>
      </c>
      <c r="DJ388" s="119" t="s">
        <v>4</v>
      </c>
      <c r="DK388" s="44" t="s">
        <v>4</v>
      </c>
    </row>
    <row r="389" spans="1:115">
      <c r="A389" s="32" t="str">
        <f t="shared" si="32"/>
        <v>Essential (Original)--GROUND OUTDOOR / INDOOR CHAMBER MOUNTED ; ˂  22 kV ;  &gt;  600 kVA ; SINGLE PHASE</v>
      </c>
      <c r="B389" s="32" t="str">
        <f t="shared" si="33"/>
        <v>Essential (Original)</v>
      </c>
      <c r="C389" s="384"/>
      <c r="D389" s="14"/>
      <c r="E389" s="15" t="s">
        <v>227</v>
      </c>
      <c r="F389" s="18">
        <v>45.8</v>
      </c>
      <c r="G389" s="18">
        <v>6.7675697262754522</v>
      </c>
      <c r="H389" s="20">
        <v>0</v>
      </c>
      <c r="I389" s="20">
        <v>0</v>
      </c>
      <c r="J389" s="20">
        <v>0</v>
      </c>
      <c r="K389" s="20">
        <v>0</v>
      </c>
      <c r="L389" s="20">
        <v>0</v>
      </c>
      <c r="M389" s="20">
        <v>0</v>
      </c>
      <c r="N389" s="20">
        <v>0</v>
      </c>
      <c r="O389" s="20">
        <v>0</v>
      </c>
      <c r="P389" s="20">
        <v>0</v>
      </c>
      <c r="Q389" s="20">
        <v>0</v>
      </c>
      <c r="R389" s="20">
        <v>0</v>
      </c>
      <c r="S389" s="20">
        <v>0</v>
      </c>
      <c r="T389" s="20">
        <v>0</v>
      </c>
      <c r="U389" s="20">
        <v>0</v>
      </c>
      <c r="V389" s="20">
        <v>0</v>
      </c>
      <c r="W389" s="20">
        <v>0</v>
      </c>
      <c r="X389" s="20">
        <v>0</v>
      </c>
      <c r="Y389" s="20">
        <v>0</v>
      </c>
      <c r="Z389" s="20">
        <v>0</v>
      </c>
      <c r="AA389" s="20">
        <v>0</v>
      </c>
      <c r="AB389" s="20">
        <v>0</v>
      </c>
      <c r="AC389" s="20">
        <v>0</v>
      </c>
      <c r="AD389" s="20">
        <v>0</v>
      </c>
      <c r="AE389" s="20">
        <v>0</v>
      </c>
      <c r="AF389" s="20">
        <v>0</v>
      </c>
      <c r="AG389" s="20">
        <v>0</v>
      </c>
      <c r="AH389" s="20">
        <v>0</v>
      </c>
      <c r="AI389" s="20">
        <v>0</v>
      </c>
      <c r="AJ389" s="20">
        <v>0</v>
      </c>
      <c r="AK389" s="20">
        <v>0</v>
      </c>
      <c r="AL389" s="20">
        <v>0</v>
      </c>
      <c r="AM389" s="20">
        <v>0</v>
      </c>
      <c r="AN389" s="20">
        <v>0</v>
      </c>
      <c r="AO389" s="20">
        <v>0</v>
      </c>
      <c r="AP389" s="20">
        <v>0</v>
      </c>
      <c r="AQ389" s="20">
        <v>0</v>
      </c>
      <c r="AR389" s="20">
        <v>0</v>
      </c>
      <c r="AS389" s="20">
        <v>0</v>
      </c>
      <c r="AT389" s="20">
        <v>0</v>
      </c>
      <c r="AU389" s="20">
        <v>0</v>
      </c>
      <c r="AV389" s="20">
        <v>0</v>
      </c>
      <c r="AW389" s="20">
        <v>0</v>
      </c>
      <c r="AX389" s="20">
        <v>0</v>
      </c>
      <c r="AY389" s="20">
        <v>0</v>
      </c>
      <c r="AZ389" s="20">
        <v>0</v>
      </c>
      <c r="BA389" s="20">
        <v>0</v>
      </c>
      <c r="BB389" s="20">
        <v>0</v>
      </c>
      <c r="BC389" s="20">
        <v>0</v>
      </c>
      <c r="BD389" s="20">
        <v>0</v>
      </c>
      <c r="BE389" s="20">
        <v>0</v>
      </c>
      <c r="BF389" s="20">
        <v>0</v>
      </c>
      <c r="BG389" s="20">
        <v>0</v>
      </c>
      <c r="BH389" s="20">
        <v>0</v>
      </c>
      <c r="BI389" s="20">
        <v>0</v>
      </c>
      <c r="BJ389" s="20">
        <v>0</v>
      </c>
      <c r="BK389" s="20">
        <v>0</v>
      </c>
      <c r="BL389" s="20">
        <v>0</v>
      </c>
      <c r="BM389" s="20">
        <v>0</v>
      </c>
      <c r="BN389" s="20">
        <v>0</v>
      </c>
      <c r="BO389" s="20">
        <v>0</v>
      </c>
      <c r="BP389" s="20">
        <v>0</v>
      </c>
      <c r="BQ389" s="20">
        <v>0</v>
      </c>
      <c r="BR389" s="20">
        <v>0</v>
      </c>
      <c r="BS389" s="20">
        <v>0</v>
      </c>
      <c r="BT389" s="20">
        <v>0</v>
      </c>
      <c r="BU389" s="20">
        <v>0</v>
      </c>
      <c r="BV389" s="20">
        <v>0</v>
      </c>
      <c r="BW389" s="20">
        <v>0</v>
      </c>
      <c r="BX389" s="20">
        <v>0</v>
      </c>
      <c r="BY389" s="20">
        <v>0</v>
      </c>
      <c r="BZ389" s="20">
        <v>0</v>
      </c>
      <c r="CA389" s="20">
        <v>0</v>
      </c>
      <c r="CB389" s="20">
        <v>0</v>
      </c>
      <c r="CC389" s="20">
        <v>0</v>
      </c>
      <c r="CD389" s="20">
        <v>0</v>
      </c>
      <c r="CE389" s="20">
        <v>0</v>
      </c>
      <c r="CF389" s="20">
        <v>0</v>
      </c>
      <c r="CG389" s="20">
        <v>0</v>
      </c>
      <c r="CH389" s="20">
        <v>0</v>
      </c>
      <c r="CI389" s="20">
        <v>0</v>
      </c>
      <c r="CJ389" s="20">
        <v>0</v>
      </c>
      <c r="CK389" s="20">
        <v>0</v>
      </c>
      <c r="CL389" s="20">
        <v>0</v>
      </c>
      <c r="CM389" s="20">
        <v>0</v>
      </c>
      <c r="CN389" s="20">
        <v>0</v>
      </c>
      <c r="CO389" s="20">
        <v>0</v>
      </c>
      <c r="CP389" s="20">
        <v>0</v>
      </c>
      <c r="CQ389" s="20">
        <v>0</v>
      </c>
      <c r="CR389" s="20">
        <v>0</v>
      </c>
      <c r="CS389" s="20">
        <v>0</v>
      </c>
      <c r="CT389" s="20">
        <v>0</v>
      </c>
      <c r="CU389" s="20">
        <v>0</v>
      </c>
      <c r="CV389" s="20">
        <v>0</v>
      </c>
      <c r="CW389" s="20">
        <v>0</v>
      </c>
      <c r="CX389" s="20">
        <v>0</v>
      </c>
      <c r="CY389" s="20">
        <v>0</v>
      </c>
      <c r="CZ389" s="20">
        <v>0</v>
      </c>
      <c r="DA389" s="20">
        <v>0</v>
      </c>
      <c r="DB389" s="20">
        <v>0</v>
      </c>
      <c r="DC389" s="20">
        <v>0</v>
      </c>
      <c r="DD389" s="20">
        <v>0</v>
      </c>
      <c r="DE389" s="20">
        <v>0</v>
      </c>
      <c r="DF389" s="20">
        <v>0</v>
      </c>
      <c r="DG389" s="16">
        <f t="shared" si="34"/>
        <v>0</v>
      </c>
      <c r="DH389" s="16">
        <f t="shared" si="35"/>
        <v>0</v>
      </c>
      <c r="DI389" s="17" t="str">
        <f t="shared" si="36"/>
        <v/>
      </c>
      <c r="DJ389" s="119" t="s">
        <v>4</v>
      </c>
      <c r="DK389" s="44" t="s">
        <v>4</v>
      </c>
    </row>
    <row r="390" spans="1:115">
      <c r="A390" s="32" t="str">
        <f t="shared" si="32"/>
        <v>Essential (Original)--GROUND OUTDOOR / INDOOR CHAMBER MOUNTED ; ˂  22 kV ;  &lt; = 60 kVA ; MULTIPLE PHASE</v>
      </c>
      <c r="B390" s="32" t="str">
        <f t="shared" si="33"/>
        <v>Essential (Original)</v>
      </c>
      <c r="C390" s="384"/>
      <c r="D390" s="14"/>
      <c r="E390" s="15" t="s">
        <v>228</v>
      </c>
      <c r="F390" s="18">
        <v>45.8</v>
      </c>
      <c r="G390" s="18">
        <v>6.7675697262754522</v>
      </c>
      <c r="H390" s="20">
        <v>0</v>
      </c>
      <c r="I390" s="20">
        <v>0</v>
      </c>
      <c r="J390" s="20">
        <v>0</v>
      </c>
      <c r="K390" s="20">
        <v>1.8481012658227849</v>
      </c>
      <c r="L390" s="20">
        <v>0</v>
      </c>
      <c r="M390" s="20">
        <v>3.6962025316455698</v>
      </c>
      <c r="N390" s="20">
        <v>0</v>
      </c>
      <c r="O390" s="20">
        <v>0</v>
      </c>
      <c r="P390" s="20">
        <v>0</v>
      </c>
      <c r="Q390" s="20">
        <v>1.8481012658227849</v>
      </c>
      <c r="R390" s="20">
        <v>0</v>
      </c>
      <c r="S390" s="20">
        <v>3.6962025316455698</v>
      </c>
      <c r="T390" s="20">
        <v>1.8481012658227849</v>
      </c>
      <c r="U390" s="20">
        <v>0</v>
      </c>
      <c r="V390" s="20">
        <v>3.6962025316455698</v>
      </c>
      <c r="W390" s="20">
        <v>0</v>
      </c>
      <c r="X390" s="20">
        <v>0</v>
      </c>
      <c r="Y390" s="20">
        <v>3.6962025316455698</v>
      </c>
      <c r="Z390" s="20">
        <v>1.8481012658227849</v>
      </c>
      <c r="AA390" s="20">
        <v>1.8481012658227849</v>
      </c>
      <c r="AB390" s="20">
        <v>0</v>
      </c>
      <c r="AC390" s="20">
        <v>1.8481012658227849</v>
      </c>
      <c r="AD390" s="20">
        <v>3.6962025316455698</v>
      </c>
      <c r="AE390" s="20">
        <v>1.8481012658227849</v>
      </c>
      <c r="AF390" s="20">
        <v>3.6962025316455698</v>
      </c>
      <c r="AG390" s="20">
        <v>3.6962025316455698</v>
      </c>
      <c r="AH390" s="20">
        <v>0</v>
      </c>
      <c r="AI390" s="20">
        <v>1.8481012658227849</v>
      </c>
      <c r="AJ390" s="20">
        <v>0</v>
      </c>
      <c r="AK390" s="20">
        <v>3.6962025316455698</v>
      </c>
      <c r="AL390" s="20">
        <v>1.8481012658227849</v>
      </c>
      <c r="AM390" s="20">
        <v>1.8481012658227849</v>
      </c>
      <c r="AN390" s="20">
        <v>9.2405063291139236</v>
      </c>
      <c r="AO390" s="20">
        <v>1.8481012658227849</v>
      </c>
      <c r="AP390" s="20">
        <v>0</v>
      </c>
      <c r="AQ390" s="20">
        <v>1.8481012658227849</v>
      </c>
      <c r="AR390" s="20">
        <v>5.5443037974683547</v>
      </c>
      <c r="AS390" s="20">
        <v>7.3924050632911396</v>
      </c>
      <c r="AT390" s="20">
        <v>3.6962025316455698</v>
      </c>
      <c r="AU390" s="20">
        <v>7.3924050632911396</v>
      </c>
      <c r="AV390" s="20">
        <v>0</v>
      </c>
      <c r="AW390" s="20">
        <v>0</v>
      </c>
      <c r="AX390" s="20">
        <v>1.8481012658227849</v>
      </c>
      <c r="AY390" s="20">
        <v>3.6962025316455698</v>
      </c>
      <c r="AZ390" s="20">
        <v>0</v>
      </c>
      <c r="BA390" s="20">
        <v>22.177215189873419</v>
      </c>
      <c r="BB390" s="20">
        <v>5.5443037974683547</v>
      </c>
      <c r="BC390" s="20">
        <v>7.3924050632911396</v>
      </c>
      <c r="BD390" s="20">
        <v>0</v>
      </c>
      <c r="BE390" s="20">
        <v>5.5443037974683547</v>
      </c>
      <c r="BF390" s="20">
        <v>3.6962025316455698</v>
      </c>
      <c r="BG390" s="20">
        <v>3.6962025316455698</v>
      </c>
      <c r="BH390" s="20">
        <v>0</v>
      </c>
      <c r="BI390" s="20">
        <v>1.8481012658227849</v>
      </c>
      <c r="BJ390" s="20">
        <v>0</v>
      </c>
      <c r="BK390" s="20">
        <v>0</v>
      </c>
      <c r="BL390" s="20">
        <v>3.6962025316455698</v>
      </c>
      <c r="BM390" s="20">
        <v>0</v>
      </c>
      <c r="BN390" s="20">
        <v>0</v>
      </c>
      <c r="BO390" s="20">
        <v>0</v>
      </c>
      <c r="BP390" s="20">
        <v>0</v>
      </c>
      <c r="BQ390" s="20">
        <v>0</v>
      </c>
      <c r="BR390" s="20">
        <v>1.8481012658227849</v>
      </c>
      <c r="BS390" s="20">
        <v>0</v>
      </c>
      <c r="BT390" s="20">
        <v>0</v>
      </c>
      <c r="BU390" s="20">
        <v>0</v>
      </c>
      <c r="BV390" s="20">
        <v>0</v>
      </c>
      <c r="BW390" s="20">
        <v>0</v>
      </c>
      <c r="BX390" s="20">
        <v>0</v>
      </c>
      <c r="BY390" s="20">
        <v>0</v>
      </c>
      <c r="BZ390" s="20">
        <v>0</v>
      </c>
      <c r="CA390" s="20">
        <v>0</v>
      </c>
      <c r="CB390" s="20">
        <v>0</v>
      </c>
      <c r="CC390" s="20">
        <v>0</v>
      </c>
      <c r="CD390" s="20">
        <v>0</v>
      </c>
      <c r="CE390" s="20">
        <v>0</v>
      </c>
      <c r="CF390" s="20">
        <v>0</v>
      </c>
      <c r="CG390" s="20">
        <v>0</v>
      </c>
      <c r="CH390" s="20">
        <v>0</v>
      </c>
      <c r="CI390" s="20">
        <v>0</v>
      </c>
      <c r="CJ390" s="20">
        <v>0</v>
      </c>
      <c r="CK390" s="20">
        <v>0</v>
      </c>
      <c r="CL390" s="20">
        <v>0</v>
      </c>
      <c r="CM390" s="20">
        <v>0</v>
      </c>
      <c r="CN390" s="20">
        <v>0</v>
      </c>
      <c r="CO390" s="20">
        <v>0</v>
      </c>
      <c r="CP390" s="20">
        <v>0</v>
      </c>
      <c r="CQ390" s="20">
        <v>0</v>
      </c>
      <c r="CR390" s="20">
        <v>0</v>
      </c>
      <c r="CS390" s="20">
        <v>0</v>
      </c>
      <c r="CT390" s="20">
        <v>0</v>
      </c>
      <c r="CU390" s="20">
        <v>0</v>
      </c>
      <c r="CV390" s="20">
        <v>0</v>
      </c>
      <c r="CW390" s="20">
        <v>0</v>
      </c>
      <c r="CX390" s="20">
        <v>0</v>
      </c>
      <c r="CY390" s="20">
        <v>0</v>
      </c>
      <c r="CZ390" s="20">
        <v>0</v>
      </c>
      <c r="DA390" s="20">
        <v>0</v>
      </c>
      <c r="DB390" s="20">
        <v>0</v>
      </c>
      <c r="DC390" s="20">
        <v>0</v>
      </c>
      <c r="DD390" s="20">
        <v>0</v>
      </c>
      <c r="DE390" s="20">
        <v>0</v>
      </c>
      <c r="DF390" s="20">
        <v>0</v>
      </c>
      <c r="DG390" s="16">
        <f t="shared" si="34"/>
        <v>146</v>
      </c>
      <c r="DH390" s="16">
        <f t="shared" si="35"/>
        <v>5270.7848101265818</v>
      </c>
      <c r="DI390" s="17">
        <f t="shared" si="36"/>
        <v>36.101265822784804</v>
      </c>
      <c r="DJ390" s="119" t="s">
        <v>4</v>
      </c>
      <c r="DK390" s="44" t="s">
        <v>4</v>
      </c>
    </row>
    <row r="391" spans="1:115">
      <c r="A391" s="32" t="str">
        <f t="shared" si="32"/>
        <v>Essential (Original)--GROUND OUTDOOR / INDOOR CHAMBER MOUNTED ; ˂  22 kV ;  &gt; 60 kVA  AND &lt; = 600 kVA ; MULTIPLE PHASE</v>
      </c>
      <c r="B391" s="32" t="str">
        <f t="shared" si="33"/>
        <v>Essential (Original)</v>
      </c>
      <c r="C391" s="384"/>
      <c r="D391" s="14"/>
      <c r="E391" s="15" t="s">
        <v>229</v>
      </c>
      <c r="F391" s="18">
        <v>45.8</v>
      </c>
      <c r="G391" s="18">
        <v>6.7675697262754522</v>
      </c>
      <c r="H391" s="20">
        <v>6.3509316770186333</v>
      </c>
      <c r="I391" s="20">
        <v>5.0807453416149064</v>
      </c>
      <c r="J391" s="20">
        <v>3.81055900621118</v>
      </c>
      <c r="K391" s="20">
        <v>7.6211180124223601</v>
      </c>
      <c r="L391" s="20">
        <v>11.43167701863354</v>
      </c>
      <c r="M391" s="20">
        <v>34.295031055900623</v>
      </c>
      <c r="N391" s="20">
        <v>38.105590062111801</v>
      </c>
      <c r="O391" s="20">
        <v>19.052795031055901</v>
      </c>
      <c r="P391" s="20">
        <v>17.782608695652172</v>
      </c>
      <c r="Q391" s="20">
        <v>20.322981366459626</v>
      </c>
      <c r="R391" s="20">
        <v>6.3509316770186333</v>
      </c>
      <c r="S391" s="20">
        <v>6.3509316770186333</v>
      </c>
      <c r="T391" s="20">
        <v>8.891304347826086</v>
      </c>
      <c r="U391" s="20">
        <v>5.0807453416149064</v>
      </c>
      <c r="V391" s="20">
        <v>3.81055900621118</v>
      </c>
      <c r="W391" s="20">
        <v>3.81055900621118</v>
      </c>
      <c r="X391" s="20">
        <v>3.81055900621118</v>
      </c>
      <c r="Y391" s="20">
        <v>3.81055900621118</v>
      </c>
      <c r="Z391" s="20">
        <v>5.0807453416149064</v>
      </c>
      <c r="AA391" s="20">
        <v>5.0807453416149064</v>
      </c>
      <c r="AB391" s="20">
        <v>5.0807453416149064</v>
      </c>
      <c r="AC391" s="20">
        <v>3.81055900621118</v>
      </c>
      <c r="AD391" s="20">
        <v>5.0807453416149064</v>
      </c>
      <c r="AE391" s="20">
        <v>8.891304347826086</v>
      </c>
      <c r="AF391" s="20">
        <v>2.5403726708074532</v>
      </c>
      <c r="AG391" s="20">
        <v>7.6211180124223601</v>
      </c>
      <c r="AH391" s="20">
        <v>1.2701863354037266</v>
      </c>
      <c r="AI391" s="20">
        <v>0</v>
      </c>
      <c r="AJ391" s="20">
        <v>2.5403726708074532</v>
      </c>
      <c r="AK391" s="20">
        <v>7.6211180124223601</v>
      </c>
      <c r="AL391" s="20">
        <v>10.161490683229813</v>
      </c>
      <c r="AM391" s="20">
        <v>3.81055900621118</v>
      </c>
      <c r="AN391" s="20">
        <v>21.593167701863354</v>
      </c>
      <c r="AO391" s="20">
        <v>11.43167701863354</v>
      </c>
      <c r="AP391" s="20">
        <v>6.3509316770186333</v>
      </c>
      <c r="AQ391" s="20">
        <v>7.6211180124223601</v>
      </c>
      <c r="AR391" s="20">
        <v>3.81055900621118</v>
      </c>
      <c r="AS391" s="20">
        <v>7.6211180124223601</v>
      </c>
      <c r="AT391" s="20">
        <v>0</v>
      </c>
      <c r="AU391" s="20">
        <v>1.2701863354037266</v>
      </c>
      <c r="AV391" s="20">
        <v>5.0807453416149064</v>
      </c>
      <c r="AW391" s="20">
        <v>5.0807453416149064</v>
      </c>
      <c r="AX391" s="20">
        <v>2.5403726708074532</v>
      </c>
      <c r="AY391" s="20">
        <v>16.512422360248447</v>
      </c>
      <c r="AZ391" s="20">
        <v>0</v>
      </c>
      <c r="BA391" s="20">
        <v>6.3509316770186333</v>
      </c>
      <c r="BB391" s="20">
        <v>3.81055900621118</v>
      </c>
      <c r="BC391" s="20">
        <v>2.5403726708074532</v>
      </c>
      <c r="BD391" s="20">
        <v>2.5403726708074532</v>
      </c>
      <c r="BE391" s="20">
        <v>5.0807453416149064</v>
      </c>
      <c r="BF391" s="20">
        <v>5.0807453416149064</v>
      </c>
      <c r="BG391" s="20">
        <v>2.5403726708074532</v>
      </c>
      <c r="BH391" s="20">
        <v>2.5403726708074532</v>
      </c>
      <c r="BI391" s="20">
        <v>5.0807453416149064</v>
      </c>
      <c r="BJ391" s="20">
        <v>0</v>
      </c>
      <c r="BK391" s="20">
        <v>0</v>
      </c>
      <c r="BL391" s="20">
        <v>1.2701863354037266</v>
      </c>
      <c r="BM391" s="20">
        <v>0</v>
      </c>
      <c r="BN391" s="20">
        <v>3.81055900621118</v>
      </c>
      <c r="BO391" s="20">
        <v>0</v>
      </c>
      <c r="BP391" s="20">
        <v>1.2701863354037266</v>
      </c>
      <c r="BQ391" s="20">
        <v>0</v>
      </c>
      <c r="BR391" s="20">
        <v>0</v>
      </c>
      <c r="BS391" s="20">
        <v>0</v>
      </c>
      <c r="BT391" s="20">
        <v>0</v>
      </c>
      <c r="BU391" s="20">
        <v>0</v>
      </c>
      <c r="BV391" s="20">
        <v>0</v>
      </c>
      <c r="BW391" s="20">
        <v>2.5403726708074532</v>
      </c>
      <c r="BX391" s="20">
        <v>0</v>
      </c>
      <c r="BY391" s="20">
        <v>0</v>
      </c>
      <c r="BZ391" s="20">
        <v>0</v>
      </c>
      <c r="CA391" s="20">
        <v>0</v>
      </c>
      <c r="CB391" s="20">
        <v>0</v>
      </c>
      <c r="CC391" s="20">
        <v>1.2701863354037266</v>
      </c>
      <c r="CD391" s="20">
        <v>0</v>
      </c>
      <c r="CE391" s="20">
        <v>0</v>
      </c>
      <c r="CF391" s="20">
        <v>0</v>
      </c>
      <c r="CG391" s="20">
        <v>0</v>
      </c>
      <c r="CH391" s="20">
        <v>0</v>
      </c>
      <c r="CI391" s="20">
        <v>0</v>
      </c>
      <c r="CJ391" s="20">
        <v>0</v>
      </c>
      <c r="CK391" s="20">
        <v>0</v>
      </c>
      <c r="CL391" s="20">
        <v>0</v>
      </c>
      <c r="CM391" s="20">
        <v>0</v>
      </c>
      <c r="CN391" s="20">
        <v>0</v>
      </c>
      <c r="CO391" s="20">
        <v>0</v>
      </c>
      <c r="CP391" s="20">
        <v>0</v>
      </c>
      <c r="CQ391" s="20">
        <v>0</v>
      </c>
      <c r="CR391" s="20">
        <v>0</v>
      </c>
      <c r="CS391" s="20">
        <v>0</v>
      </c>
      <c r="CT391" s="20">
        <v>0</v>
      </c>
      <c r="CU391" s="20">
        <v>0</v>
      </c>
      <c r="CV391" s="20">
        <v>0</v>
      </c>
      <c r="CW391" s="20">
        <v>0</v>
      </c>
      <c r="CX391" s="20">
        <v>0</v>
      </c>
      <c r="CY391" s="20">
        <v>0</v>
      </c>
      <c r="CZ391" s="20">
        <v>0</v>
      </c>
      <c r="DA391" s="20">
        <v>0</v>
      </c>
      <c r="DB391" s="20">
        <v>0</v>
      </c>
      <c r="DC391" s="20">
        <v>0</v>
      </c>
      <c r="DD391" s="20">
        <v>0</v>
      </c>
      <c r="DE391" s="20">
        <v>0</v>
      </c>
      <c r="DF391" s="20">
        <v>0</v>
      </c>
      <c r="DG391" s="16">
        <f t="shared" si="34"/>
        <v>409</v>
      </c>
      <c r="DH391" s="16">
        <f t="shared" si="35"/>
        <v>9192.3385093167726</v>
      </c>
      <c r="DI391" s="17">
        <f t="shared" si="36"/>
        <v>22.475155279503113</v>
      </c>
      <c r="DJ391" s="119" t="s">
        <v>4</v>
      </c>
      <c r="DK391" s="44" t="s">
        <v>4</v>
      </c>
    </row>
    <row r="392" spans="1:115">
      <c r="A392" s="32" t="str">
        <f t="shared" si="32"/>
        <v>Essential (Original)--GROUND OUTDOOR / INDOOR CHAMBER MOUNTED ; ˂  22 kV ;  &gt;  600 kVA ; MULTIPLE PHASE</v>
      </c>
      <c r="B392" s="32" t="str">
        <f t="shared" si="33"/>
        <v>Essential (Original)</v>
      </c>
      <c r="C392" s="384"/>
      <c r="D392" s="14"/>
      <c r="E392" s="15" t="s">
        <v>230</v>
      </c>
      <c r="F392" s="18">
        <v>45.8</v>
      </c>
      <c r="G392" s="18">
        <v>6.7675697262754522</v>
      </c>
      <c r="H392" s="20">
        <v>3.1741071428571428</v>
      </c>
      <c r="I392" s="20">
        <v>0</v>
      </c>
      <c r="J392" s="20">
        <v>5.2901785714285712</v>
      </c>
      <c r="K392" s="20">
        <v>1.0580357142857142</v>
      </c>
      <c r="L392" s="20">
        <v>0</v>
      </c>
      <c r="M392" s="20">
        <v>6.3482142857142856</v>
      </c>
      <c r="N392" s="20">
        <v>3.1741071428571428</v>
      </c>
      <c r="O392" s="20">
        <v>0</v>
      </c>
      <c r="P392" s="20">
        <v>0</v>
      </c>
      <c r="Q392" s="20">
        <v>0</v>
      </c>
      <c r="R392" s="20">
        <v>5.2901785714285712</v>
      </c>
      <c r="S392" s="20">
        <v>2.1160714285714284</v>
      </c>
      <c r="T392" s="20">
        <v>9.5223214285714288</v>
      </c>
      <c r="U392" s="20">
        <v>1.0580357142857142</v>
      </c>
      <c r="V392" s="20">
        <v>7.40625</v>
      </c>
      <c r="W392" s="20">
        <v>5.2901785714285712</v>
      </c>
      <c r="X392" s="20">
        <v>4.2321428571428568</v>
      </c>
      <c r="Y392" s="20">
        <v>0</v>
      </c>
      <c r="Z392" s="20">
        <v>19.044642857142858</v>
      </c>
      <c r="AA392" s="20">
        <v>1.0580357142857142</v>
      </c>
      <c r="AB392" s="20">
        <v>7.40625</v>
      </c>
      <c r="AC392" s="20">
        <v>5.2901785714285712</v>
      </c>
      <c r="AD392" s="20">
        <v>4.2321428571428568</v>
      </c>
      <c r="AE392" s="20">
        <v>2.1160714285714284</v>
      </c>
      <c r="AF392" s="20">
        <v>0</v>
      </c>
      <c r="AG392" s="20">
        <v>4.2321428571428568</v>
      </c>
      <c r="AH392" s="20">
        <v>4.2321428571428568</v>
      </c>
      <c r="AI392" s="20">
        <v>7.40625</v>
      </c>
      <c r="AJ392" s="20">
        <v>2.1160714285714284</v>
      </c>
      <c r="AK392" s="20">
        <v>4.2321428571428568</v>
      </c>
      <c r="AL392" s="20">
        <v>4.2321428571428568</v>
      </c>
      <c r="AM392" s="20">
        <v>6.3482142857142856</v>
      </c>
      <c r="AN392" s="20">
        <v>7.40625</v>
      </c>
      <c r="AO392" s="20">
        <v>20.102678571428573</v>
      </c>
      <c r="AP392" s="20">
        <v>11.638392857142858</v>
      </c>
      <c r="AQ392" s="20">
        <v>7.40625</v>
      </c>
      <c r="AR392" s="20">
        <v>4.2321428571428568</v>
      </c>
      <c r="AS392" s="20">
        <v>4.2321428571428568</v>
      </c>
      <c r="AT392" s="20">
        <v>11.638392857142858</v>
      </c>
      <c r="AU392" s="20">
        <v>2.1160714285714284</v>
      </c>
      <c r="AV392" s="20">
        <v>3.1741071428571428</v>
      </c>
      <c r="AW392" s="20">
        <v>6.3482142857142856</v>
      </c>
      <c r="AX392" s="20">
        <v>1.0580357142857142</v>
      </c>
      <c r="AY392" s="20">
        <v>10.580357142857142</v>
      </c>
      <c r="AZ392" s="20">
        <v>2.1160714285714284</v>
      </c>
      <c r="BA392" s="20">
        <v>0</v>
      </c>
      <c r="BB392" s="20">
        <v>6.3482142857142856</v>
      </c>
      <c r="BC392" s="20">
        <v>3.1741071428571428</v>
      </c>
      <c r="BD392" s="20">
        <v>0</v>
      </c>
      <c r="BE392" s="20">
        <v>2.1160714285714284</v>
      </c>
      <c r="BF392" s="20">
        <v>2.1160714285714284</v>
      </c>
      <c r="BG392" s="20">
        <v>2.1160714285714284</v>
      </c>
      <c r="BH392" s="20">
        <v>0</v>
      </c>
      <c r="BI392" s="20">
        <v>0</v>
      </c>
      <c r="BJ392" s="20">
        <v>0</v>
      </c>
      <c r="BK392" s="20">
        <v>0</v>
      </c>
      <c r="BL392" s="20">
        <v>0</v>
      </c>
      <c r="BM392" s="20">
        <v>0</v>
      </c>
      <c r="BN392" s="20">
        <v>0</v>
      </c>
      <c r="BO392" s="20">
        <v>0</v>
      </c>
      <c r="BP392" s="20">
        <v>0</v>
      </c>
      <c r="BQ392" s="20">
        <v>0</v>
      </c>
      <c r="BR392" s="20">
        <v>0</v>
      </c>
      <c r="BS392" s="20">
        <v>3.1741071428571428</v>
      </c>
      <c r="BT392" s="20">
        <v>0</v>
      </c>
      <c r="BU392" s="20">
        <v>0</v>
      </c>
      <c r="BV392" s="20">
        <v>0</v>
      </c>
      <c r="BW392" s="20">
        <v>0</v>
      </c>
      <c r="BX392" s="20">
        <v>0</v>
      </c>
      <c r="BY392" s="20">
        <v>0</v>
      </c>
      <c r="BZ392" s="20">
        <v>0</v>
      </c>
      <c r="CA392" s="20">
        <v>0</v>
      </c>
      <c r="CB392" s="20">
        <v>0</v>
      </c>
      <c r="CC392" s="20">
        <v>0</v>
      </c>
      <c r="CD392" s="20">
        <v>0</v>
      </c>
      <c r="CE392" s="20">
        <v>0</v>
      </c>
      <c r="CF392" s="20">
        <v>0</v>
      </c>
      <c r="CG392" s="20">
        <v>0</v>
      </c>
      <c r="CH392" s="20">
        <v>0</v>
      </c>
      <c r="CI392" s="20">
        <v>0</v>
      </c>
      <c r="CJ392" s="20">
        <v>0</v>
      </c>
      <c r="CK392" s="20">
        <v>0</v>
      </c>
      <c r="CL392" s="20">
        <v>0</v>
      </c>
      <c r="CM392" s="20">
        <v>0</v>
      </c>
      <c r="CN392" s="20">
        <v>0</v>
      </c>
      <c r="CO392" s="20">
        <v>0</v>
      </c>
      <c r="CP392" s="20">
        <v>0</v>
      </c>
      <c r="CQ392" s="20">
        <v>0</v>
      </c>
      <c r="CR392" s="20">
        <v>0</v>
      </c>
      <c r="CS392" s="20">
        <v>0</v>
      </c>
      <c r="CT392" s="20">
        <v>0</v>
      </c>
      <c r="CU392" s="20">
        <v>0</v>
      </c>
      <c r="CV392" s="20">
        <v>0</v>
      </c>
      <c r="CW392" s="20">
        <v>0</v>
      </c>
      <c r="CX392" s="20">
        <v>0</v>
      </c>
      <c r="CY392" s="20">
        <v>0</v>
      </c>
      <c r="CZ392" s="20">
        <v>0</v>
      </c>
      <c r="DA392" s="20">
        <v>0</v>
      </c>
      <c r="DB392" s="20">
        <v>0</v>
      </c>
      <c r="DC392" s="20">
        <v>0</v>
      </c>
      <c r="DD392" s="20">
        <v>0</v>
      </c>
      <c r="DE392" s="20">
        <v>0</v>
      </c>
      <c r="DF392" s="20">
        <v>0</v>
      </c>
      <c r="DG392" s="16">
        <f t="shared" si="34"/>
        <v>236.99999999999994</v>
      </c>
      <c r="DH392" s="16">
        <f t="shared" si="35"/>
        <v>6769.3125000000018</v>
      </c>
      <c r="DI392" s="17">
        <f t="shared" si="36"/>
        <v>28.562500000000014</v>
      </c>
      <c r="DJ392" s="119" t="s">
        <v>4</v>
      </c>
      <c r="DK392" s="44" t="s">
        <v>4</v>
      </c>
    </row>
    <row r="393" spans="1:115">
      <c r="A393" s="32" t="str">
        <f t="shared" si="32"/>
        <v>Essential (Original)--GROUND OUTDOOR / INDOOR CHAMBER MOUNTED ; &gt; = 22 kV &amp; &lt; = 33 kV ;  &lt; = 15 MVA</v>
      </c>
      <c r="B393" s="32" t="str">
        <f t="shared" si="33"/>
        <v>Essential (Original)</v>
      </c>
      <c r="C393" s="384"/>
      <c r="D393" s="14"/>
      <c r="E393" s="15" t="s">
        <v>231</v>
      </c>
      <c r="F393" s="18">
        <v>45.8</v>
      </c>
      <c r="G393" s="18">
        <v>6.7675697262754522</v>
      </c>
      <c r="H393" s="20">
        <v>3.9953917050691246</v>
      </c>
      <c r="I393" s="20">
        <v>6.6589861751152073</v>
      </c>
      <c r="J393" s="20">
        <v>2.6635944700460827</v>
      </c>
      <c r="K393" s="20">
        <v>9.32258064516129</v>
      </c>
      <c r="L393" s="20">
        <v>6.6589861751152073</v>
      </c>
      <c r="M393" s="20">
        <v>3.9953917050691246</v>
      </c>
      <c r="N393" s="20">
        <v>3.9953917050691246</v>
      </c>
      <c r="O393" s="20">
        <v>6.6589861751152073</v>
      </c>
      <c r="P393" s="20">
        <v>6.6589861751152073</v>
      </c>
      <c r="Q393" s="20">
        <v>1.3317972350230414</v>
      </c>
      <c r="R393" s="20">
        <v>6.6589861751152073</v>
      </c>
      <c r="S393" s="20">
        <v>5.3271889400921655</v>
      </c>
      <c r="T393" s="20">
        <v>6.6589861751152073</v>
      </c>
      <c r="U393" s="20">
        <v>3.9953917050691246</v>
      </c>
      <c r="V393" s="20">
        <v>1.3317972350230414</v>
      </c>
      <c r="W393" s="20">
        <v>6.6589861751152073</v>
      </c>
      <c r="X393" s="20">
        <v>2.6635944700460827</v>
      </c>
      <c r="Y393" s="20">
        <v>1.3317972350230414</v>
      </c>
      <c r="Z393" s="20">
        <v>6.6589861751152073</v>
      </c>
      <c r="AA393" s="20">
        <v>9.32258064516129</v>
      </c>
      <c r="AB393" s="20">
        <v>10.654377880184331</v>
      </c>
      <c r="AC393" s="20">
        <v>0</v>
      </c>
      <c r="AD393" s="20">
        <v>7.9907834101382491</v>
      </c>
      <c r="AE393" s="20">
        <v>1.3317972350230414</v>
      </c>
      <c r="AF393" s="20">
        <v>9.32258064516129</v>
      </c>
      <c r="AG393" s="20">
        <v>11.986175115207374</v>
      </c>
      <c r="AH393" s="20">
        <v>5.3271889400921655</v>
      </c>
      <c r="AI393" s="20">
        <v>7.9907834101382491</v>
      </c>
      <c r="AJ393" s="20">
        <v>3.9953917050691246</v>
      </c>
      <c r="AK393" s="20">
        <v>2.6635944700460827</v>
      </c>
      <c r="AL393" s="20">
        <v>7.9907834101382491</v>
      </c>
      <c r="AM393" s="20">
        <v>10.654377880184331</v>
      </c>
      <c r="AN393" s="20">
        <v>10.654377880184331</v>
      </c>
      <c r="AO393" s="20">
        <v>18.64516129032258</v>
      </c>
      <c r="AP393" s="20">
        <v>7.9907834101382491</v>
      </c>
      <c r="AQ393" s="20">
        <v>3.9953917050691246</v>
      </c>
      <c r="AR393" s="20">
        <v>6.6589861751152073</v>
      </c>
      <c r="AS393" s="20">
        <v>9.32258064516129</v>
      </c>
      <c r="AT393" s="20">
        <v>5.3271889400921655</v>
      </c>
      <c r="AU393" s="20">
        <v>1.3317972350230414</v>
      </c>
      <c r="AV393" s="20">
        <v>3.9953917050691246</v>
      </c>
      <c r="AW393" s="20">
        <v>2.6635944700460827</v>
      </c>
      <c r="AX393" s="20">
        <v>2.6635944700460827</v>
      </c>
      <c r="AY393" s="20">
        <v>7.9907834101382491</v>
      </c>
      <c r="AZ393" s="20">
        <v>3.9953917050691246</v>
      </c>
      <c r="BA393" s="20">
        <v>1.3317972350230414</v>
      </c>
      <c r="BB393" s="20">
        <v>2.6635944700460827</v>
      </c>
      <c r="BC393" s="20">
        <v>2.6635944700460827</v>
      </c>
      <c r="BD393" s="20">
        <v>5.3271889400921655</v>
      </c>
      <c r="BE393" s="20">
        <v>1.3317972350230414</v>
      </c>
      <c r="BF393" s="20">
        <v>2.6635944700460827</v>
      </c>
      <c r="BG393" s="20">
        <v>0</v>
      </c>
      <c r="BH393" s="20">
        <v>1.3317972350230414</v>
      </c>
      <c r="BI393" s="20">
        <v>2.6635944700460827</v>
      </c>
      <c r="BJ393" s="20">
        <v>1.3317972350230414</v>
      </c>
      <c r="BK393" s="20">
        <v>0</v>
      </c>
      <c r="BL393" s="20">
        <v>0</v>
      </c>
      <c r="BM393" s="20">
        <v>0</v>
      </c>
      <c r="BN393" s="20">
        <v>0</v>
      </c>
      <c r="BO393" s="20">
        <v>0</v>
      </c>
      <c r="BP393" s="20">
        <v>0</v>
      </c>
      <c r="BQ393" s="20">
        <v>0</v>
      </c>
      <c r="BR393" s="20">
        <v>0</v>
      </c>
      <c r="BS393" s="20">
        <v>0</v>
      </c>
      <c r="BT393" s="20">
        <v>0</v>
      </c>
      <c r="BU393" s="20">
        <v>0</v>
      </c>
      <c r="BV393" s="20">
        <v>0</v>
      </c>
      <c r="BW393" s="20">
        <v>0</v>
      </c>
      <c r="BX393" s="20">
        <v>0</v>
      </c>
      <c r="BY393" s="20">
        <v>0</v>
      </c>
      <c r="BZ393" s="20">
        <v>0</v>
      </c>
      <c r="CA393" s="20">
        <v>0</v>
      </c>
      <c r="CB393" s="20">
        <v>0</v>
      </c>
      <c r="CC393" s="20">
        <v>0</v>
      </c>
      <c r="CD393" s="20">
        <v>0</v>
      </c>
      <c r="CE393" s="20">
        <v>0</v>
      </c>
      <c r="CF393" s="20">
        <v>0</v>
      </c>
      <c r="CG393" s="20">
        <v>0</v>
      </c>
      <c r="CH393" s="20">
        <v>0</v>
      </c>
      <c r="CI393" s="20">
        <v>0</v>
      </c>
      <c r="CJ393" s="20">
        <v>0</v>
      </c>
      <c r="CK393" s="20">
        <v>0</v>
      </c>
      <c r="CL393" s="20">
        <v>0</v>
      </c>
      <c r="CM393" s="20">
        <v>0</v>
      </c>
      <c r="CN393" s="20">
        <v>0</v>
      </c>
      <c r="CO393" s="20">
        <v>0</v>
      </c>
      <c r="CP393" s="20">
        <v>0</v>
      </c>
      <c r="CQ393" s="20">
        <v>0</v>
      </c>
      <c r="CR393" s="20">
        <v>0</v>
      </c>
      <c r="CS393" s="20">
        <v>0</v>
      </c>
      <c r="CT393" s="20">
        <v>0</v>
      </c>
      <c r="CU393" s="20">
        <v>0</v>
      </c>
      <c r="CV393" s="20">
        <v>0</v>
      </c>
      <c r="CW393" s="20">
        <v>0</v>
      </c>
      <c r="CX393" s="20">
        <v>0</v>
      </c>
      <c r="CY393" s="20">
        <v>0</v>
      </c>
      <c r="CZ393" s="20">
        <v>0</v>
      </c>
      <c r="DA393" s="20">
        <v>0</v>
      </c>
      <c r="DB393" s="20">
        <v>0</v>
      </c>
      <c r="DC393" s="20">
        <v>0</v>
      </c>
      <c r="DD393" s="20">
        <v>0</v>
      </c>
      <c r="DE393" s="20">
        <v>0</v>
      </c>
      <c r="DF393" s="20">
        <v>0</v>
      </c>
      <c r="DG393" s="16">
        <f t="shared" si="34"/>
        <v>288.99999999999994</v>
      </c>
      <c r="DH393" s="16">
        <f t="shared" si="35"/>
        <v>7456.7327188940098</v>
      </c>
      <c r="DI393" s="17">
        <f t="shared" si="36"/>
        <v>25.801843317972356</v>
      </c>
      <c r="DJ393" s="119" t="s">
        <v>4</v>
      </c>
      <c r="DK393" s="119" t="s">
        <v>1530</v>
      </c>
    </row>
    <row r="394" spans="1:115">
      <c r="A394" s="32" t="str">
        <f t="shared" si="32"/>
        <v>Essential (Original)--GROUND OUTDOOR / INDOOR CHAMBER MOUNTED ; &gt; = 22 kV &amp; &lt; = 33 kV ;  &gt; 15 MVA AND &lt; = 40 MVA</v>
      </c>
      <c r="B394" s="32" t="str">
        <f t="shared" si="33"/>
        <v>Essential (Original)</v>
      </c>
      <c r="C394" s="384"/>
      <c r="D394" s="14"/>
      <c r="E394" s="15" t="s">
        <v>232</v>
      </c>
      <c r="F394" s="18">
        <v>45.8</v>
      </c>
      <c r="G394" s="18">
        <v>6.7675697262754522</v>
      </c>
      <c r="H394" s="20">
        <v>0</v>
      </c>
      <c r="I394" s="20">
        <v>0</v>
      </c>
      <c r="J394" s="20">
        <v>4</v>
      </c>
      <c r="K394" s="20">
        <v>0</v>
      </c>
      <c r="L394" s="20">
        <v>0</v>
      </c>
      <c r="M394" s="20">
        <v>0</v>
      </c>
      <c r="N394" s="20">
        <v>1</v>
      </c>
      <c r="O394" s="20">
        <v>0</v>
      </c>
      <c r="P394" s="20">
        <v>0</v>
      </c>
      <c r="Q394" s="20">
        <v>0</v>
      </c>
      <c r="R394" s="20">
        <v>0</v>
      </c>
      <c r="S394" s="20">
        <v>0</v>
      </c>
      <c r="T394" s="20">
        <v>0</v>
      </c>
      <c r="U394" s="20">
        <v>0</v>
      </c>
      <c r="V394" s="20">
        <v>0</v>
      </c>
      <c r="W394" s="20">
        <v>1</v>
      </c>
      <c r="X394" s="20">
        <v>0</v>
      </c>
      <c r="Y394" s="20">
        <v>0</v>
      </c>
      <c r="Z394" s="20">
        <v>1</v>
      </c>
      <c r="AA394" s="20">
        <v>5</v>
      </c>
      <c r="AB394" s="20">
        <v>0</v>
      </c>
      <c r="AC394" s="20">
        <v>0</v>
      </c>
      <c r="AD394" s="20">
        <v>0</v>
      </c>
      <c r="AE394" s="20">
        <v>0</v>
      </c>
      <c r="AF394" s="20">
        <v>0</v>
      </c>
      <c r="AG394" s="20">
        <v>0</v>
      </c>
      <c r="AH394" s="20">
        <v>1</v>
      </c>
      <c r="AI394" s="20">
        <v>0</v>
      </c>
      <c r="AJ394" s="20">
        <v>0</v>
      </c>
      <c r="AK394" s="20">
        <v>0</v>
      </c>
      <c r="AL394" s="20">
        <v>0</v>
      </c>
      <c r="AM394" s="20">
        <v>0</v>
      </c>
      <c r="AN394" s="20">
        <v>0</v>
      </c>
      <c r="AO394" s="20">
        <v>2</v>
      </c>
      <c r="AP394" s="20">
        <v>0</v>
      </c>
      <c r="AQ394" s="20">
        <v>2</v>
      </c>
      <c r="AR394" s="20">
        <v>0</v>
      </c>
      <c r="AS394" s="20">
        <v>0</v>
      </c>
      <c r="AT394" s="20">
        <v>0</v>
      </c>
      <c r="AU394" s="20">
        <v>2</v>
      </c>
      <c r="AV394" s="20">
        <v>0</v>
      </c>
      <c r="AW394" s="20">
        <v>0</v>
      </c>
      <c r="AX394" s="20">
        <v>0</v>
      </c>
      <c r="AY394" s="20">
        <v>0</v>
      </c>
      <c r="AZ394" s="20">
        <v>0</v>
      </c>
      <c r="BA394" s="20">
        <v>0</v>
      </c>
      <c r="BB394" s="20">
        <v>1</v>
      </c>
      <c r="BC394" s="20">
        <v>1</v>
      </c>
      <c r="BD394" s="20">
        <v>2</v>
      </c>
      <c r="BE394" s="20">
        <v>0</v>
      </c>
      <c r="BF394" s="20">
        <v>0</v>
      </c>
      <c r="BG394" s="20">
        <v>0</v>
      </c>
      <c r="BH394" s="20">
        <v>0</v>
      </c>
      <c r="BI394" s="20">
        <v>0</v>
      </c>
      <c r="BJ394" s="20">
        <v>0</v>
      </c>
      <c r="BK394" s="20">
        <v>0</v>
      </c>
      <c r="BL394" s="20">
        <v>0</v>
      </c>
      <c r="BM394" s="20">
        <v>0</v>
      </c>
      <c r="BN394" s="20">
        <v>0</v>
      </c>
      <c r="BO394" s="20">
        <v>0</v>
      </c>
      <c r="BP394" s="20">
        <v>0</v>
      </c>
      <c r="BQ394" s="20">
        <v>0</v>
      </c>
      <c r="BR394" s="20">
        <v>0</v>
      </c>
      <c r="BS394" s="20">
        <v>0</v>
      </c>
      <c r="BT394" s="20">
        <v>0</v>
      </c>
      <c r="BU394" s="20">
        <v>0</v>
      </c>
      <c r="BV394" s="20">
        <v>0</v>
      </c>
      <c r="BW394" s="20">
        <v>0</v>
      </c>
      <c r="BX394" s="20">
        <v>0</v>
      </c>
      <c r="BY394" s="20">
        <v>0</v>
      </c>
      <c r="BZ394" s="20">
        <v>0</v>
      </c>
      <c r="CA394" s="20">
        <v>0</v>
      </c>
      <c r="CB394" s="20">
        <v>0</v>
      </c>
      <c r="CC394" s="20">
        <v>0</v>
      </c>
      <c r="CD394" s="20">
        <v>0</v>
      </c>
      <c r="CE394" s="20">
        <v>0</v>
      </c>
      <c r="CF394" s="20">
        <v>0</v>
      </c>
      <c r="CG394" s="20">
        <v>0</v>
      </c>
      <c r="CH394" s="20">
        <v>0</v>
      </c>
      <c r="CI394" s="20">
        <v>0</v>
      </c>
      <c r="CJ394" s="20">
        <v>0</v>
      </c>
      <c r="CK394" s="20">
        <v>0</v>
      </c>
      <c r="CL394" s="20">
        <v>0</v>
      </c>
      <c r="CM394" s="20">
        <v>0</v>
      </c>
      <c r="CN394" s="20">
        <v>0</v>
      </c>
      <c r="CO394" s="20">
        <v>0</v>
      </c>
      <c r="CP394" s="20">
        <v>0</v>
      </c>
      <c r="CQ394" s="20">
        <v>0</v>
      </c>
      <c r="CR394" s="20">
        <v>0</v>
      </c>
      <c r="CS394" s="20">
        <v>0</v>
      </c>
      <c r="CT394" s="20">
        <v>0</v>
      </c>
      <c r="CU394" s="20">
        <v>0</v>
      </c>
      <c r="CV394" s="20">
        <v>0</v>
      </c>
      <c r="CW394" s="20">
        <v>0</v>
      </c>
      <c r="CX394" s="20">
        <v>0</v>
      </c>
      <c r="CY394" s="20">
        <v>0</v>
      </c>
      <c r="CZ394" s="20">
        <v>0</v>
      </c>
      <c r="DA394" s="20">
        <v>0</v>
      </c>
      <c r="DB394" s="20">
        <v>0</v>
      </c>
      <c r="DC394" s="20">
        <v>0</v>
      </c>
      <c r="DD394" s="20">
        <v>0</v>
      </c>
      <c r="DE394" s="20">
        <v>0</v>
      </c>
      <c r="DF394" s="20">
        <v>0</v>
      </c>
      <c r="DG394" s="16">
        <f t="shared" si="34"/>
        <v>23</v>
      </c>
      <c r="DH394" s="16">
        <f t="shared" si="35"/>
        <v>594</v>
      </c>
      <c r="DI394" s="17">
        <f t="shared" si="36"/>
        <v>25.826086956521738</v>
      </c>
      <c r="DJ394" s="119" t="s">
        <v>4</v>
      </c>
      <c r="DK394" s="119" t="s">
        <v>1530</v>
      </c>
    </row>
    <row r="395" spans="1:115">
      <c r="A395" s="32" t="str">
        <f t="shared" si="32"/>
        <v>Essential (Original)--GROUND OUTDOOR / INDOOR CHAMBER MOUNTED ; &gt; = 22 kV &amp; &lt; = 33 kV ;  &gt; 40 MVA</v>
      </c>
      <c r="B395" s="32" t="str">
        <f t="shared" si="33"/>
        <v>Essential (Original)</v>
      </c>
      <c r="C395" s="384"/>
      <c r="D395" s="14"/>
      <c r="E395" s="15" t="s">
        <v>233</v>
      </c>
      <c r="F395" s="18">
        <v>45.8</v>
      </c>
      <c r="G395" s="18">
        <v>6.7675697262754522</v>
      </c>
      <c r="H395" s="20">
        <v>0</v>
      </c>
      <c r="I395" s="20">
        <v>0</v>
      </c>
      <c r="J395" s="20">
        <v>0</v>
      </c>
      <c r="K395" s="20">
        <v>0</v>
      </c>
      <c r="L395" s="20">
        <v>0</v>
      </c>
      <c r="M395" s="20">
        <v>0</v>
      </c>
      <c r="N395" s="20">
        <v>0</v>
      </c>
      <c r="O395" s="20">
        <v>0</v>
      </c>
      <c r="P395" s="20">
        <v>0</v>
      </c>
      <c r="Q395" s="20">
        <v>0</v>
      </c>
      <c r="R395" s="20">
        <v>0</v>
      </c>
      <c r="S395" s="20">
        <v>0</v>
      </c>
      <c r="T395" s="20">
        <v>0</v>
      </c>
      <c r="U395" s="20">
        <v>0</v>
      </c>
      <c r="V395" s="20">
        <v>0</v>
      </c>
      <c r="W395" s="20">
        <v>0</v>
      </c>
      <c r="X395" s="20">
        <v>0</v>
      </c>
      <c r="Y395" s="20">
        <v>0</v>
      </c>
      <c r="Z395" s="20">
        <v>0</v>
      </c>
      <c r="AA395" s="20">
        <v>0</v>
      </c>
      <c r="AB395" s="20">
        <v>0</v>
      </c>
      <c r="AC395" s="20">
        <v>0</v>
      </c>
      <c r="AD395" s="20">
        <v>0</v>
      </c>
      <c r="AE395" s="20">
        <v>0</v>
      </c>
      <c r="AF395" s="20">
        <v>0</v>
      </c>
      <c r="AG395" s="20">
        <v>0</v>
      </c>
      <c r="AH395" s="20">
        <v>0</v>
      </c>
      <c r="AI395" s="20">
        <v>0</v>
      </c>
      <c r="AJ395" s="20">
        <v>0</v>
      </c>
      <c r="AK395" s="20">
        <v>0</v>
      </c>
      <c r="AL395" s="20">
        <v>0</v>
      </c>
      <c r="AM395" s="20">
        <v>0</v>
      </c>
      <c r="AN395" s="20">
        <v>0</v>
      </c>
      <c r="AO395" s="20">
        <v>0</v>
      </c>
      <c r="AP395" s="20">
        <v>0</v>
      </c>
      <c r="AQ395" s="20">
        <v>0</v>
      </c>
      <c r="AR395" s="20">
        <v>0</v>
      </c>
      <c r="AS395" s="20">
        <v>0</v>
      </c>
      <c r="AT395" s="20">
        <v>0</v>
      </c>
      <c r="AU395" s="20">
        <v>0</v>
      </c>
      <c r="AV395" s="20">
        <v>0</v>
      </c>
      <c r="AW395" s="20">
        <v>0</v>
      </c>
      <c r="AX395" s="20">
        <v>0</v>
      </c>
      <c r="AY395" s="20">
        <v>0</v>
      </c>
      <c r="AZ395" s="20">
        <v>0</v>
      </c>
      <c r="BA395" s="20">
        <v>0</v>
      </c>
      <c r="BB395" s="20">
        <v>0</v>
      </c>
      <c r="BC395" s="20">
        <v>0</v>
      </c>
      <c r="BD395" s="20">
        <v>0</v>
      </c>
      <c r="BE395" s="20">
        <v>0</v>
      </c>
      <c r="BF395" s="20">
        <v>0</v>
      </c>
      <c r="BG395" s="20">
        <v>0</v>
      </c>
      <c r="BH395" s="20">
        <v>0</v>
      </c>
      <c r="BI395" s="20">
        <v>0</v>
      </c>
      <c r="BJ395" s="20">
        <v>0</v>
      </c>
      <c r="BK395" s="20">
        <v>0</v>
      </c>
      <c r="BL395" s="20">
        <v>0</v>
      </c>
      <c r="BM395" s="20">
        <v>0</v>
      </c>
      <c r="BN395" s="20">
        <v>0</v>
      </c>
      <c r="BO395" s="20">
        <v>0</v>
      </c>
      <c r="BP395" s="20">
        <v>0</v>
      </c>
      <c r="BQ395" s="20">
        <v>0</v>
      </c>
      <c r="BR395" s="20">
        <v>0</v>
      </c>
      <c r="BS395" s="20">
        <v>0</v>
      </c>
      <c r="BT395" s="20">
        <v>0</v>
      </c>
      <c r="BU395" s="20">
        <v>0</v>
      </c>
      <c r="BV395" s="20">
        <v>0</v>
      </c>
      <c r="BW395" s="20">
        <v>0</v>
      </c>
      <c r="BX395" s="20">
        <v>0</v>
      </c>
      <c r="BY395" s="20">
        <v>0</v>
      </c>
      <c r="BZ395" s="20">
        <v>0</v>
      </c>
      <c r="CA395" s="20">
        <v>0</v>
      </c>
      <c r="CB395" s="20">
        <v>0</v>
      </c>
      <c r="CC395" s="20">
        <v>0</v>
      </c>
      <c r="CD395" s="20">
        <v>0</v>
      </c>
      <c r="CE395" s="20">
        <v>0</v>
      </c>
      <c r="CF395" s="20">
        <v>0</v>
      </c>
      <c r="CG395" s="20">
        <v>0</v>
      </c>
      <c r="CH395" s="20">
        <v>0</v>
      </c>
      <c r="CI395" s="20">
        <v>0</v>
      </c>
      <c r="CJ395" s="20">
        <v>0</v>
      </c>
      <c r="CK395" s="20">
        <v>0</v>
      </c>
      <c r="CL395" s="20">
        <v>0</v>
      </c>
      <c r="CM395" s="20">
        <v>0</v>
      </c>
      <c r="CN395" s="20">
        <v>0</v>
      </c>
      <c r="CO395" s="20">
        <v>0</v>
      </c>
      <c r="CP395" s="20">
        <v>0</v>
      </c>
      <c r="CQ395" s="20">
        <v>0</v>
      </c>
      <c r="CR395" s="20">
        <v>0</v>
      </c>
      <c r="CS395" s="20">
        <v>0</v>
      </c>
      <c r="CT395" s="20">
        <v>0</v>
      </c>
      <c r="CU395" s="20">
        <v>0</v>
      </c>
      <c r="CV395" s="20">
        <v>0</v>
      </c>
      <c r="CW395" s="20">
        <v>0</v>
      </c>
      <c r="CX395" s="20">
        <v>0</v>
      </c>
      <c r="CY395" s="20">
        <v>0</v>
      </c>
      <c r="CZ395" s="20">
        <v>0</v>
      </c>
      <c r="DA395" s="20">
        <v>0</v>
      </c>
      <c r="DB395" s="20">
        <v>0</v>
      </c>
      <c r="DC395" s="20">
        <v>0</v>
      </c>
      <c r="DD395" s="20">
        <v>0</v>
      </c>
      <c r="DE395" s="20">
        <v>0</v>
      </c>
      <c r="DF395" s="20">
        <v>0</v>
      </c>
      <c r="DG395" s="16">
        <f t="shared" si="34"/>
        <v>0</v>
      </c>
      <c r="DH395" s="16">
        <f t="shared" si="35"/>
        <v>0</v>
      </c>
      <c r="DI395" s="17" t="str">
        <f t="shared" si="36"/>
        <v/>
      </c>
      <c r="DJ395" s="119" t="s">
        <v>4</v>
      </c>
      <c r="DK395" s="119" t="s">
        <v>1530</v>
      </c>
    </row>
    <row r="396" spans="1:115">
      <c r="A396" s="32" t="str">
        <f t="shared" si="32"/>
        <v>Essential (Original)--GROUND OUTDOOR / INDOOR CHAMBER MOUNTED ; &gt; 33 kV &amp; &lt; = 66 kV ;  &lt; = 15 MVA</v>
      </c>
      <c r="B396" s="32" t="str">
        <f t="shared" si="33"/>
        <v>Essential (Original)</v>
      </c>
      <c r="C396" s="384"/>
      <c r="D396" s="14"/>
      <c r="E396" s="15" t="s">
        <v>234</v>
      </c>
      <c r="F396" s="18">
        <v>45.8</v>
      </c>
      <c r="G396" s="18">
        <v>6.7675697262754522</v>
      </c>
      <c r="H396" s="20">
        <v>0</v>
      </c>
      <c r="I396" s="20">
        <v>0</v>
      </c>
      <c r="J396" s="20">
        <v>0</v>
      </c>
      <c r="K396" s="20">
        <v>1.3870967741935485</v>
      </c>
      <c r="L396" s="20">
        <v>6.935483870967742</v>
      </c>
      <c r="M396" s="20">
        <v>16.64516129032258</v>
      </c>
      <c r="N396" s="20">
        <v>0</v>
      </c>
      <c r="O396" s="20">
        <v>0</v>
      </c>
      <c r="P396" s="20">
        <v>0</v>
      </c>
      <c r="Q396" s="20">
        <v>0</v>
      </c>
      <c r="R396" s="20">
        <v>0</v>
      </c>
      <c r="S396" s="20">
        <v>1.3870967741935485</v>
      </c>
      <c r="T396" s="20">
        <v>0</v>
      </c>
      <c r="U396" s="20">
        <v>0</v>
      </c>
      <c r="V396" s="20">
        <v>1.3870967741935485</v>
      </c>
      <c r="W396" s="20">
        <v>0</v>
      </c>
      <c r="X396" s="20">
        <v>0</v>
      </c>
      <c r="Y396" s="20">
        <v>0</v>
      </c>
      <c r="Z396" s="20">
        <v>0</v>
      </c>
      <c r="AA396" s="20">
        <v>1.3870967741935485</v>
      </c>
      <c r="AB396" s="20">
        <v>0</v>
      </c>
      <c r="AC396" s="20">
        <v>0</v>
      </c>
      <c r="AD396" s="20">
        <v>0</v>
      </c>
      <c r="AE396" s="20">
        <v>0</v>
      </c>
      <c r="AF396" s="20">
        <v>0</v>
      </c>
      <c r="AG396" s="20">
        <v>0</v>
      </c>
      <c r="AH396" s="20">
        <v>0</v>
      </c>
      <c r="AI396" s="20">
        <v>0</v>
      </c>
      <c r="AJ396" s="20">
        <v>0</v>
      </c>
      <c r="AK396" s="20">
        <v>12.483870967741936</v>
      </c>
      <c r="AL396" s="20">
        <v>0</v>
      </c>
      <c r="AM396" s="20">
        <v>0</v>
      </c>
      <c r="AN396" s="20">
        <v>0</v>
      </c>
      <c r="AO396" s="20">
        <v>0</v>
      </c>
      <c r="AP396" s="20">
        <v>0</v>
      </c>
      <c r="AQ396" s="20">
        <v>0</v>
      </c>
      <c r="AR396" s="20">
        <v>0</v>
      </c>
      <c r="AS396" s="20">
        <v>0</v>
      </c>
      <c r="AT396" s="20">
        <v>0</v>
      </c>
      <c r="AU396" s="20">
        <v>0</v>
      </c>
      <c r="AV396" s="20">
        <v>0</v>
      </c>
      <c r="AW396" s="20">
        <v>0</v>
      </c>
      <c r="AX396" s="20">
        <v>0</v>
      </c>
      <c r="AY396" s="20">
        <v>0</v>
      </c>
      <c r="AZ396" s="20">
        <v>0</v>
      </c>
      <c r="BA396" s="20">
        <v>0</v>
      </c>
      <c r="BB396" s="20">
        <v>0</v>
      </c>
      <c r="BC396" s="20">
        <v>0</v>
      </c>
      <c r="BD396" s="20">
        <v>1.3870967741935485</v>
      </c>
      <c r="BE396" s="20">
        <v>0</v>
      </c>
      <c r="BF396" s="20">
        <v>0</v>
      </c>
      <c r="BG396" s="20">
        <v>0</v>
      </c>
      <c r="BH396" s="20">
        <v>0</v>
      </c>
      <c r="BI396" s="20">
        <v>0</v>
      </c>
      <c r="BJ396" s="20">
        <v>0</v>
      </c>
      <c r="BK396" s="20">
        <v>0</v>
      </c>
      <c r="BL396" s="20">
        <v>0</v>
      </c>
      <c r="BM396" s="20">
        <v>0</v>
      </c>
      <c r="BN396" s="20">
        <v>0</v>
      </c>
      <c r="BO396" s="20">
        <v>0</v>
      </c>
      <c r="BP396" s="20">
        <v>0</v>
      </c>
      <c r="BQ396" s="20">
        <v>0</v>
      </c>
      <c r="BR396" s="20">
        <v>0</v>
      </c>
      <c r="BS396" s="20">
        <v>0</v>
      </c>
      <c r="BT396" s="20">
        <v>0</v>
      </c>
      <c r="BU396" s="20">
        <v>0</v>
      </c>
      <c r="BV396" s="20">
        <v>0</v>
      </c>
      <c r="BW396" s="20">
        <v>0</v>
      </c>
      <c r="BX396" s="20">
        <v>0</v>
      </c>
      <c r="BY396" s="20">
        <v>0</v>
      </c>
      <c r="BZ396" s="20">
        <v>0</v>
      </c>
      <c r="CA396" s="20">
        <v>0</v>
      </c>
      <c r="CB396" s="20">
        <v>0</v>
      </c>
      <c r="CC396" s="20">
        <v>0</v>
      </c>
      <c r="CD396" s="20">
        <v>0</v>
      </c>
      <c r="CE396" s="20">
        <v>0</v>
      </c>
      <c r="CF396" s="20">
        <v>0</v>
      </c>
      <c r="CG396" s="20">
        <v>0</v>
      </c>
      <c r="CH396" s="20">
        <v>0</v>
      </c>
      <c r="CI396" s="20">
        <v>0</v>
      </c>
      <c r="CJ396" s="20">
        <v>0</v>
      </c>
      <c r="CK396" s="20">
        <v>0</v>
      </c>
      <c r="CL396" s="20">
        <v>0</v>
      </c>
      <c r="CM396" s="20">
        <v>0</v>
      </c>
      <c r="CN396" s="20">
        <v>0</v>
      </c>
      <c r="CO396" s="20">
        <v>0</v>
      </c>
      <c r="CP396" s="20">
        <v>0</v>
      </c>
      <c r="CQ396" s="20">
        <v>0</v>
      </c>
      <c r="CR396" s="20">
        <v>0</v>
      </c>
      <c r="CS396" s="20">
        <v>0</v>
      </c>
      <c r="CT396" s="20">
        <v>0</v>
      </c>
      <c r="CU396" s="20">
        <v>0</v>
      </c>
      <c r="CV396" s="20">
        <v>0</v>
      </c>
      <c r="CW396" s="20">
        <v>0</v>
      </c>
      <c r="CX396" s="20">
        <v>0</v>
      </c>
      <c r="CY396" s="20">
        <v>0</v>
      </c>
      <c r="CZ396" s="20">
        <v>0</v>
      </c>
      <c r="DA396" s="20">
        <v>0</v>
      </c>
      <c r="DB396" s="20">
        <v>0</v>
      </c>
      <c r="DC396" s="20">
        <v>0</v>
      </c>
      <c r="DD396" s="20">
        <v>0</v>
      </c>
      <c r="DE396" s="20">
        <v>0</v>
      </c>
      <c r="DF396" s="20">
        <v>0</v>
      </c>
      <c r="DG396" s="16">
        <f t="shared" si="34"/>
        <v>43</v>
      </c>
      <c r="DH396" s="16">
        <f t="shared" si="35"/>
        <v>647.77419354838707</v>
      </c>
      <c r="DI396" s="17">
        <f t="shared" si="36"/>
        <v>15.064516129032258</v>
      </c>
      <c r="DJ396" s="119" t="s">
        <v>4</v>
      </c>
      <c r="DK396" s="119" t="s">
        <v>1530</v>
      </c>
    </row>
    <row r="397" spans="1:115">
      <c r="A397" s="32" t="str">
        <f t="shared" si="32"/>
        <v>Essential (Original)--GROUND OUTDOOR / INDOOR CHAMBER MOUNTED ; &gt; 33 kV &amp; &lt; = 66 kV ;  &gt; 15 MVA AND &lt; = 40 MVA</v>
      </c>
      <c r="B397" s="32" t="str">
        <f t="shared" si="33"/>
        <v>Essential (Original)</v>
      </c>
      <c r="C397" s="384"/>
      <c r="D397" s="14"/>
      <c r="E397" s="15" t="s">
        <v>235</v>
      </c>
      <c r="F397" s="18">
        <v>45.8</v>
      </c>
      <c r="G397" s="18">
        <v>6.7675697262754522</v>
      </c>
      <c r="H397" s="20">
        <v>0</v>
      </c>
      <c r="I397" s="20">
        <v>0</v>
      </c>
      <c r="J397" s="20">
        <v>0</v>
      </c>
      <c r="K397" s="20">
        <v>0</v>
      </c>
      <c r="L397" s="20">
        <v>0</v>
      </c>
      <c r="M397" s="20">
        <v>0</v>
      </c>
      <c r="N397" s="20">
        <v>0</v>
      </c>
      <c r="O397" s="20">
        <v>0</v>
      </c>
      <c r="P397" s="20">
        <v>0</v>
      </c>
      <c r="Q397" s="20">
        <v>0</v>
      </c>
      <c r="R397" s="20">
        <v>0</v>
      </c>
      <c r="S397" s="20">
        <v>0</v>
      </c>
      <c r="T397" s="20">
        <v>0</v>
      </c>
      <c r="U397" s="20">
        <v>0</v>
      </c>
      <c r="V397" s="20">
        <v>0</v>
      </c>
      <c r="W397" s="20">
        <v>0</v>
      </c>
      <c r="X397" s="20">
        <v>0</v>
      </c>
      <c r="Y397" s="20">
        <v>0</v>
      </c>
      <c r="Z397" s="20">
        <v>0</v>
      </c>
      <c r="AA397" s="20">
        <v>0</v>
      </c>
      <c r="AB397" s="20">
        <v>0</v>
      </c>
      <c r="AC397" s="20">
        <v>0</v>
      </c>
      <c r="AD397" s="20">
        <v>0</v>
      </c>
      <c r="AE397" s="20">
        <v>0</v>
      </c>
      <c r="AF397" s="20">
        <v>0</v>
      </c>
      <c r="AG397" s="20">
        <v>0</v>
      </c>
      <c r="AH397" s="20">
        <v>0</v>
      </c>
      <c r="AI397" s="20">
        <v>0</v>
      </c>
      <c r="AJ397" s="20">
        <v>0</v>
      </c>
      <c r="AK397" s="20">
        <v>0</v>
      </c>
      <c r="AL397" s="20">
        <v>0</v>
      </c>
      <c r="AM397" s="20">
        <v>0</v>
      </c>
      <c r="AN397" s="20">
        <v>0</v>
      </c>
      <c r="AO397" s="20">
        <v>0</v>
      </c>
      <c r="AP397" s="20">
        <v>0</v>
      </c>
      <c r="AQ397" s="20">
        <v>0</v>
      </c>
      <c r="AR397" s="20">
        <v>0</v>
      </c>
      <c r="AS397" s="20">
        <v>0</v>
      </c>
      <c r="AT397" s="20">
        <v>0</v>
      </c>
      <c r="AU397" s="20">
        <v>0</v>
      </c>
      <c r="AV397" s="20">
        <v>0</v>
      </c>
      <c r="AW397" s="20">
        <v>0</v>
      </c>
      <c r="AX397" s="20">
        <v>0</v>
      </c>
      <c r="AY397" s="20">
        <v>0</v>
      </c>
      <c r="AZ397" s="20">
        <v>0</v>
      </c>
      <c r="BA397" s="20">
        <v>0</v>
      </c>
      <c r="BB397" s="20">
        <v>0</v>
      </c>
      <c r="BC397" s="20">
        <v>0</v>
      </c>
      <c r="BD397" s="20">
        <v>0</v>
      </c>
      <c r="BE397" s="20">
        <v>0</v>
      </c>
      <c r="BF397" s="20">
        <v>0</v>
      </c>
      <c r="BG397" s="20">
        <v>0</v>
      </c>
      <c r="BH397" s="20">
        <v>0</v>
      </c>
      <c r="BI397" s="20">
        <v>0</v>
      </c>
      <c r="BJ397" s="20">
        <v>0</v>
      </c>
      <c r="BK397" s="20">
        <v>0</v>
      </c>
      <c r="BL397" s="20">
        <v>0</v>
      </c>
      <c r="BM397" s="20">
        <v>0</v>
      </c>
      <c r="BN397" s="20">
        <v>0</v>
      </c>
      <c r="BO397" s="20">
        <v>0</v>
      </c>
      <c r="BP397" s="20">
        <v>0</v>
      </c>
      <c r="BQ397" s="20">
        <v>0</v>
      </c>
      <c r="BR397" s="20">
        <v>0</v>
      </c>
      <c r="BS397" s="20">
        <v>0</v>
      </c>
      <c r="BT397" s="20">
        <v>0</v>
      </c>
      <c r="BU397" s="20">
        <v>0</v>
      </c>
      <c r="BV397" s="20">
        <v>0</v>
      </c>
      <c r="BW397" s="20">
        <v>0</v>
      </c>
      <c r="BX397" s="20">
        <v>0</v>
      </c>
      <c r="BY397" s="20">
        <v>0</v>
      </c>
      <c r="BZ397" s="20">
        <v>0</v>
      </c>
      <c r="CA397" s="20">
        <v>0</v>
      </c>
      <c r="CB397" s="20">
        <v>0</v>
      </c>
      <c r="CC397" s="20">
        <v>0</v>
      </c>
      <c r="CD397" s="20">
        <v>0</v>
      </c>
      <c r="CE397" s="20">
        <v>0</v>
      </c>
      <c r="CF397" s="20">
        <v>0</v>
      </c>
      <c r="CG397" s="20">
        <v>0</v>
      </c>
      <c r="CH397" s="20">
        <v>0</v>
      </c>
      <c r="CI397" s="20">
        <v>0</v>
      </c>
      <c r="CJ397" s="20">
        <v>0</v>
      </c>
      <c r="CK397" s="20">
        <v>0</v>
      </c>
      <c r="CL397" s="20">
        <v>0</v>
      </c>
      <c r="CM397" s="20">
        <v>0</v>
      </c>
      <c r="CN397" s="20">
        <v>0</v>
      </c>
      <c r="CO397" s="20">
        <v>0</v>
      </c>
      <c r="CP397" s="20">
        <v>0</v>
      </c>
      <c r="CQ397" s="20">
        <v>0</v>
      </c>
      <c r="CR397" s="20">
        <v>0</v>
      </c>
      <c r="CS397" s="20">
        <v>0</v>
      </c>
      <c r="CT397" s="20">
        <v>0</v>
      </c>
      <c r="CU397" s="20">
        <v>0</v>
      </c>
      <c r="CV397" s="20">
        <v>0</v>
      </c>
      <c r="CW397" s="20">
        <v>0</v>
      </c>
      <c r="CX397" s="20">
        <v>0</v>
      </c>
      <c r="CY397" s="20">
        <v>0</v>
      </c>
      <c r="CZ397" s="20">
        <v>0</v>
      </c>
      <c r="DA397" s="20">
        <v>0</v>
      </c>
      <c r="DB397" s="20">
        <v>0</v>
      </c>
      <c r="DC397" s="20">
        <v>0</v>
      </c>
      <c r="DD397" s="20">
        <v>0</v>
      </c>
      <c r="DE397" s="20">
        <v>0</v>
      </c>
      <c r="DF397" s="20">
        <v>0</v>
      </c>
      <c r="DG397" s="16">
        <f t="shared" si="34"/>
        <v>0</v>
      </c>
      <c r="DH397" s="16">
        <f t="shared" si="35"/>
        <v>0</v>
      </c>
      <c r="DI397" s="17" t="str">
        <f t="shared" si="36"/>
        <v/>
      </c>
      <c r="DJ397" s="119" t="s">
        <v>4</v>
      </c>
      <c r="DK397" s="119" t="s">
        <v>1530</v>
      </c>
    </row>
    <row r="398" spans="1:115">
      <c r="A398" s="32" t="str">
        <f t="shared" si="32"/>
        <v>Essential (Original)--GROUND OUTDOOR / INDOOR CHAMBER MOUNTED ; &gt; 33 kV &amp; &lt; = 66 kV ;  &gt; 40 MVA</v>
      </c>
      <c r="B398" s="32" t="str">
        <f t="shared" si="33"/>
        <v>Essential (Original)</v>
      </c>
      <c r="C398" s="384"/>
      <c r="D398" s="14"/>
      <c r="E398" s="15" t="s">
        <v>236</v>
      </c>
      <c r="F398" s="18">
        <v>45.8</v>
      </c>
      <c r="G398" s="18">
        <v>6.7675697262754522</v>
      </c>
      <c r="H398" s="20">
        <v>0</v>
      </c>
      <c r="I398" s="20">
        <v>0</v>
      </c>
      <c r="J398" s="20">
        <v>0</v>
      </c>
      <c r="K398" s="20">
        <v>0</v>
      </c>
      <c r="L398" s="20">
        <v>0</v>
      </c>
      <c r="M398" s="20">
        <v>0</v>
      </c>
      <c r="N398" s="20">
        <v>0</v>
      </c>
      <c r="O398" s="20">
        <v>0</v>
      </c>
      <c r="P398" s="20">
        <v>0</v>
      </c>
      <c r="Q398" s="20">
        <v>0</v>
      </c>
      <c r="R398" s="20">
        <v>0</v>
      </c>
      <c r="S398" s="20">
        <v>0</v>
      </c>
      <c r="T398" s="20">
        <v>0</v>
      </c>
      <c r="U398" s="20">
        <v>0</v>
      </c>
      <c r="V398" s="20">
        <v>0</v>
      </c>
      <c r="W398" s="20">
        <v>0</v>
      </c>
      <c r="X398" s="20">
        <v>0</v>
      </c>
      <c r="Y398" s="20">
        <v>0</v>
      </c>
      <c r="Z398" s="20">
        <v>0</v>
      </c>
      <c r="AA398" s="20">
        <v>0</v>
      </c>
      <c r="AB398" s="20">
        <v>0</v>
      </c>
      <c r="AC398" s="20">
        <v>0</v>
      </c>
      <c r="AD398" s="20">
        <v>0</v>
      </c>
      <c r="AE398" s="20">
        <v>0</v>
      </c>
      <c r="AF398" s="20">
        <v>0</v>
      </c>
      <c r="AG398" s="20">
        <v>0</v>
      </c>
      <c r="AH398" s="20">
        <v>0</v>
      </c>
      <c r="AI398" s="20">
        <v>0</v>
      </c>
      <c r="AJ398" s="20">
        <v>0</v>
      </c>
      <c r="AK398" s="20">
        <v>0</v>
      </c>
      <c r="AL398" s="20">
        <v>0</v>
      </c>
      <c r="AM398" s="20">
        <v>0</v>
      </c>
      <c r="AN398" s="20">
        <v>0</v>
      </c>
      <c r="AO398" s="20">
        <v>0</v>
      </c>
      <c r="AP398" s="20">
        <v>0</v>
      </c>
      <c r="AQ398" s="20">
        <v>0</v>
      </c>
      <c r="AR398" s="20">
        <v>0</v>
      </c>
      <c r="AS398" s="20">
        <v>0</v>
      </c>
      <c r="AT398" s="20">
        <v>0</v>
      </c>
      <c r="AU398" s="20">
        <v>0</v>
      </c>
      <c r="AV398" s="20">
        <v>0</v>
      </c>
      <c r="AW398" s="20">
        <v>0</v>
      </c>
      <c r="AX398" s="20">
        <v>0</v>
      </c>
      <c r="AY398" s="20">
        <v>0</v>
      </c>
      <c r="AZ398" s="20">
        <v>0</v>
      </c>
      <c r="BA398" s="20">
        <v>0</v>
      </c>
      <c r="BB398" s="20">
        <v>0</v>
      </c>
      <c r="BC398" s="20">
        <v>0</v>
      </c>
      <c r="BD398" s="20">
        <v>0</v>
      </c>
      <c r="BE398" s="20">
        <v>0</v>
      </c>
      <c r="BF398" s="20">
        <v>0</v>
      </c>
      <c r="BG398" s="20">
        <v>0</v>
      </c>
      <c r="BH398" s="20">
        <v>0</v>
      </c>
      <c r="BI398" s="20">
        <v>0</v>
      </c>
      <c r="BJ398" s="20">
        <v>0</v>
      </c>
      <c r="BK398" s="20">
        <v>0</v>
      </c>
      <c r="BL398" s="20">
        <v>0</v>
      </c>
      <c r="BM398" s="20">
        <v>0</v>
      </c>
      <c r="BN398" s="20">
        <v>0</v>
      </c>
      <c r="BO398" s="20">
        <v>0</v>
      </c>
      <c r="BP398" s="20">
        <v>0</v>
      </c>
      <c r="BQ398" s="20">
        <v>0</v>
      </c>
      <c r="BR398" s="20">
        <v>0</v>
      </c>
      <c r="BS398" s="20">
        <v>0</v>
      </c>
      <c r="BT398" s="20">
        <v>0</v>
      </c>
      <c r="BU398" s="20">
        <v>0</v>
      </c>
      <c r="BV398" s="20">
        <v>0</v>
      </c>
      <c r="BW398" s="20">
        <v>0</v>
      </c>
      <c r="BX398" s="20">
        <v>0</v>
      </c>
      <c r="BY398" s="20">
        <v>0</v>
      </c>
      <c r="BZ398" s="20">
        <v>0</v>
      </c>
      <c r="CA398" s="20">
        <v>0</v>
      </c>
      <c r="CB398" s="20">
        <v>0</v>
      </c>
      <c r="CC398" s="20">
        <v>0</v>
      </c>
      <c r="CD398" s="20">
        <v>0</v>
      </c>
      <c r="CE398" s="20">
        <v>0</v>
      </c>
      <c r="CF398" s="20">
        <v>0</v>
      </c>
      <c r="CG398" s="20">
        <v>0</v>
      </c>
      <c r="CH398" s="20">
        <v>0</v>
      </c>
      <c r="CI398" s="20">
        <v>0</v>
      </c>
      <c r="CJ398" s="20">
        <v>0</v>
      </c>
      <c r="CK398" s="20">
        <v>0</v>
      </c>
      <c r="CL398" s="20">
        <v>0</v>
      </c>
      <c r="CM398" s="20">
        <v>0</v>
      </c>
      <c r="CN398" s="20">
        <v>0</v>
      </c>
      <c r="CO398" s="20">
        <v>0</v>
      </c>
      <c r="CP398" s="20">
        <v>0</v>
      </c>
      <c r="CQ398" s="20">
        <v>0</v>
      </c>
      <c r="CR398" s="20">
        <v>0</v>
      </c>
      <c r="CS398" s="20">
        <v>0</v>
      </c>
      <c r="CT398" s="20">
        <v>0</v>
      </c>
      <c r="CU398" s="20">
        <v>0</v>
      </c>
      <c r="CV398" s="20">
        <v>0</v>
      </c>
      <c r="CW398" s="20">
        <v>0</v>
      </c>
      <c r="CX398" s="20">
        <v>0</v>
      </c>
      <c r="CY398" s="20">
        <v>0</v>
      </c>
      <c r="CZ398" s="20">
        <v>0</v>
      </c>
      <c r="DA398" s="20">
        <v>0</v>
      </c>
      <c r="DB398" s="20">
        <v>0</v>
      </c>
      <c r="DC398" s="20">
        <v>0</v>
      </c>
      <c r="DD398" s="20">
        <v>0</v>
      </c>
      <c r="DE398" s="20">
        <v>0</v>
      </c>
      <c r="DF398" s="20">
        <v>0</v>
      </c>
      <c r="DG398" s="16">
        <f t="shared" si="34"/>
        <v>0</v>
      </c>
      <c r="DH398" s="16">
        <f t="shared" si="35"/>
        <v>0</v>
      </c>
      <c r="DI398" s="17" t="str">
        <f t="shared" si="36"/>
        <v/>
      </c>
      <c r="DJ398" s="119" t="s">
        <v>4</v>
      </c>
      <c r="DK398" s="119" t="s">
        <v>1530</v>
      </c>
    </row>
    <row r="399" spans="1:115">
      <c r="A399" s="32" t="str">
        <f t="shared" si="32"/>
        <v>Essential (Original)--GROUND OUTDOOR / INDOOR CHAMBER MOUNTED ; &gt; 66 kV &amp; &lt; = 132 kV ;  &lt; = 100 MVA</v>
      </c>
      <c r="B399" s="32" t="str">
        <f t="shared" si="33"/>
        <v>Essential (Original)</v>
      </c>
      <c r="C399" s="384"/>
      <c r="D399" s="14"/>
      <c r="E399" s="15" t="s">
        <v>237</v>
      </c>
      <c r="F399" s="18">
        <v>45.8</v>
      </c>
      <c r="G399" s="18">
        <v>6.7675697262754522</v>
      </c>
      <c r="H399" s="20">
        <v>0</v>
      </c>
      <c r="I399" s="20">
        <v>0</v>
      </c>
      <c r="J399" s="20">
        <v>0</v>
      </c>
      <c r="K399" s="20">
        <v>0</v>
      </c>
      <c r="L399" s="20">
        <v>0</v>
      </c>
      <c r="M399" s="20">
        <v>0</v>
      </c>
      <c r="N399" s="20">
        <v>0</v>
      </c>
      <c r="O399" s="20">
        <v>0</v>
      </c>
      <c r="P399" s="20">
        <v>0</v>
      </c>
      <c r="Q399" s="20">
        <v>0</v>
      </c>
      <c r="R399" s="20">
        <v>2</v>
      </c>
      <c r="S399" s="20">
        <v>0</v>
      </c>
      <c r="T399" s="20">
        <v>0</v>
      </c>
      <c r="U399" s="20">
        <v>0</v>
      </c>
      <c r="V399" s="20">
        <v>0</v>
      </c>
      <c r="W399" s="20">
        <v>0</v>
      </c>
      <c r="X399" s="20">
        <v>0</v>
      </c>
      <c r="Y399" s="20">
        <v>0</v>
      </c>
      <c r="Z399" s="20">
        <v>0</v>
      </c>
      <c r="AA399" s="20">
        <v>0</v>
      </c>
      <c r="AB399" s="20">
        <v>0</v>
      </c>
      <c r="AC399" s="20">
        <v>0</v>
      </c>
      <c r="AD399" s="20">
        <v>0</v>
      </c>
      <c r="AE399" s="20">
        <v>0</v>
      </c>
      <c r="AF399" s="20">
        <v>0</v>
      </c>
      <c r="AG399" s="20">
        <v>0</v>
      </c>
      <c r="AH399" s="20">
        <v>0</v>
      </c>
      <c r="AI399" s="20">
        <v>0</v>
      </c>
      <c r="AJ399" s="20">
        <v>0</v>
      </c>
      <c r="AK399" s="20">
        <v>0</v>
      </c>
      <c r="AL399" s="20">
        <v>0</v>
      </c>
      <c r="AM399" s="20">
        <v>0</v>
      </c>
      <c r="AN399" s="20">
        <v>0</v>
      </c>
      <c r="AO399" s="20">
        <v>0</v>
      </c>
      <c r="AP399" s="20">
        <v>0</v>
      </c>
      <c r="AQ399" s="20">
        <v>0</v>
      </c>
      <c r="AR399" s="20">
        <v>0</v>
      </c>
      <c r="AS399" s="20">
        <v>0</v>
      </c>
      <c r="AT399" s="20">
        <v>0</v>
      </c>
      <c r="AU399" s="20">
        <v>0</v>
      </c>
      <c r="AV399" s="20">
        <v>0</v>
      </c>
      <c r="AW399" s="20">
        <v>0</v>
      </c>
      <c r="AX399" s="20">
        <v>0</v>
      </c>
      <c r="AY399" s="20">
        <v>0</v>
      </c>
      <c r="AZ399" s="20">
        <v>0</v>
      </c>
      <c r="BA399" s="20">
        <v>0</v>
      </c>
      <c r="BB399" s="20">
        <v>0</v>
      </c>
      <c r="BC399" s="20">
        <v>0</v>
      </c>
      <c r="BD399" s="20">
        <v>0</v>
      </c>
      <c r="BE399" s="20">
        <v>0</v>
      </c>
      <c r="BF399" s="20">
        <v>0</v>
      </c>
      <c r="BG399" s="20">
        <v>0</v>
      </c>
      <c r="BH399" s="20">
        <v>0</v>
      </c>
      <c r="BI399" s="20">
        <v>0</v>
      </c>
      <c r="BJ399" s="20">
        <v>0</v>
      </c>
      <c r="BK399" s="20">
        <v>0</v>
      </c>
      <c r="BL399" s="20">
        <v>0</v>
      </c>
      <c r="BM399" s="20">
        <v>0</v>
      </c>
      <c r="BN399" s="20">
        <v>0</v>
      </c>
      <c r="BO399" s="20">
        <v>0</v>
      </c>
      <c r="BP399" s="20">
        <v>0</v>
      </c>
      <c r="BQ399" s="20">
        <v>0</v>
      </c>
      <c r="BR399" s="20">
        <v>0</v>
      </c>
      <c r="BS399" s="20">
        <v>0</v>
      </c>
      <c r="BT399" s="20">
        <v>0</v>
      </c>
      <c r="BU399" s="20">
        <v>0</v>
      </c>
      <c r="BV399" s="20">
        <v>0</v>
      </c>
      <c r="BW399" s="20">
        <v>0</v>
      </c>
      <c r="BX399" s="20">
        <v>0</v>
      </c>
      <c r="BY399" s="20">
        <v>0</v>
      </c>
      <c r="BZ399" s="20">
        <v>0</v>
      </c>
      <c r="CA399" s="20">
        <v>0</v>
      </c>
      <c r="CB399" s="20">
        <v>0</v>
      </c>
      <c r="CC399" s="20">
        <v>0</v>
      </c>
      <c r="CD399" s="20">
        <v>0</v>
      </c>
      <c r="CE399" s="20">
        <v>0</v>
      </c>
      <c r="CF399" s="20">
        <v>0</v>
      </c>
      <c r="CG399" s="20">
        <v>0</v>
      </c>
      <c r="CH399" s="20">
        <v>0</v>
      </c>
      <c r="CI399" s="20">
        <v>0</v>
      </c>
      <c r="CJ399" s="20">
        <v>0</v>
      </c>
      <c r="CK399" s="20">
        <v>0</v>
      </c>
      <c r="CL399" s="20">
        <v>0</v>
      </c>
      <c r="CM399" s="20">
        <v>0</v>
      </c>
      <c r="CN399" s="20">
        <v>0</v>
      </c>
      <c r="CO399" s="20">
        <v>0</v>
      </c>
      <c r="CP399" s="20">
        <v>0</v>
      </c>
      <c r="CQ399" s="20">
        <v>0</v>
      </c>
      <c r="CR399" s="20">
        <v>0</v>
      </c>
      <c r="CS399" s="20">
        <v>0</v>
      </c>
      <c r="CT399" s="20">
        <v>0</v>
      </c>
      <c r="CU399" s="20">
        <v>0</v>
      </c>
      <c r="CV399" s="20">
        <v>0</v>
      </c>
      <c r="CW399" s="20">
        <v>0</v>
      </c>
      <c r="CX399" s="20">
        <v>0</v>
      </c>
      <c r="CY399" s="20">
        <v>0</v>
      </c>
      <c r="CZ399" s="20">
        <v>0</v>
      </c>
      <c r="DA399" s="20">
        <v>0</v>
      </c>
      <c r="DB399" s="20">
        <v>0</v>
      </c>
      <c r="DC399" s="20">
        <v>0</v>
      </c>
      <c r="DD399" s="20">
        <v>0</v>
      </c>
      <c r="DE399" s="20">
        <v>0</v>
      </c>
      <c r="DF399" s="20">
        <v>0</v>
      </c>
      <c r="DG399" s="16">
        <f t="shared" si="34"/>
        <v>2</v>
      </c>
      <c r="DH399" s="16">
        <f t="shared" si="35"/>
        <v>22</v>
      </c>
      <c r="DI399" s="17">
        <f t="shared" si="36"/>
        <v>11</v>
      </c>
      <c r="DJ399" s="119" t="s">
        <v>4</v>
      </c>
      <c r="DK399" s="119" t="s">
        <v>1530</v>
      </c>
    </row>
    <row r="400" spans="1:115">
      <c r="A400" s="32" t="str">
        <f t="shared" si="32"/>
        <v>Essential (Original)--GROUND OUTDOOR / INDOOR CHAMBER MOUNTED ; &gt; 66 kV &amp; &lt; = 132 kV ;  &gt; 100 MVA</v>
      </c>
      <c r="B400" s="32" t="str">
        <f t="shared" si="33"/>
        <v>Essential (Original)</v>
      </c>
      <c r="C400" s="384"/>
      <c r="D400" s="14"/>
      <c r="E400" s="15" t="s">
        <v>238</v>
      </c>
      <c r="F400" s="18">
        <v>45.8</v>
      </c>
      <c r="G400" s="18">
        <v>6.7675697262754522</v>
      </c>
      <c r="H400" s="20">
        <v>0</v>
      </c>
      <c r="I400" s="20">
        <v>0</v>
      </c>
      <c r="J400" s="20">
        <v>0</v>
      </c>
      <c r="K400" s="20">
        <v>0</v>
      </c>
      <c r="L400" s="20">
        <v>0</v>
      </c>
      <c r="M400" s="20">
        <v>0</v>
      </c>
      <c r="N400" s="20">
        <v>0</v>
      </c>
      <c r="O400" s="20">
        <v>0</v>
      </c>
      <c r="P400" s="20">
        <v>0</v>
      </c>
      <c r="Q400" s="20">
        <v>0</v>
      </c>
      <c r="R400" s="20">
        <v>0</v>
      </c>
      <c r="S400" s="20">
        <v>0</v>
      </c>
      <c r="T400" s="20">
        <v>0</v>
      </c>
      <c r="U400" s="20">
        <v>0</v>
      </c>
      <c r="V400" s="20">
        <v>0</v>
      </c>
      <c r="W400" s="20">
        <v>0</v>
      </c>
      <c r="X400" s="20">
        <v>0</v>
      </c>
      <c r="Y400" s="20">
        <v>0</v>
      </c>
      <c r="Z400" s="20">
        <v>0</v>
      </c>
      <c r="AA400" s="20">
        <v>0</v>
      </c>
      <c r="AB400" s="20">
        <v>0</v>
      </c>
      <c r="AC400" s="20">
        <v>0</v>
      </c>
      <c r="AD400" s="20">
        <v>0</v>
      </c>
      <c r="AE400" s="20">
        <v>0</v>
      </c>
      <c r="AF400" s="20">
        <v>0</v>
      </c>
      <c r="AG400" s="20">
        <v>0</v>
      </c>
      <c r="AH400" s="20">
        <v>0</v>
      </c>
      <c r="AI400" s="20">
        <v>0</v>
      </c>
      <c r="AJ400" s="20">
        <v>0</v>
      </c>
      <c r="AK400" s="20">
        <v>0</v>
      </c>
      <c r="AL400" s="20">
        <v>0</v>
      </c>
      <c r="AM400" s="20">
        <v>0</v>
      </c>
      <c r="AN400" s="20">
        <v>0</v>
      </c>
      <c r="AO400" s="20">
        <v>0</v>
      </c>
      <c r="AP400" s="20">
        <v>0</v>
      </c>
      <c r="AQ400" s="20">
        <v>0</v>
      </c>
      <c r="AR400" s="20">
        <v>0</v>
      </c>
      <c r="AS400" s="20">
        <v>0</v>
      </c>
      <c r="AT400" s="20">
        <v>0</v>
      </c>
      <c r="AU400" s="20">
        <v>0</v>
      </c>
      <c r="AV400" s="20">
        <v>0</v>
      </c>
      <c r="AW400" s="20">
        <v>0</v>
      </c>
      <c r="AX400" s="20">
        <v>0</v>
      </c>
      <c r="AY400" s="20">
        <v>0</v>
      </c>
      <c r="AZ400" s="20">
        <v>0</v>
      </c>
      <c r="BA400" s="20">
        <v>0</v>
      </c>
      <c r="BB400" s="20">
        <v>0</v>
      </c>
      <c r="BC400" s="20">
        <v>0</v>
      </c>
      <c r="BD400" s="20">
        <v>0</v>
      </c>
      <c r="BE400" s="20">
        <v>0</v>
      </c>
      <c r="BF400" s="20">
        <v>0</v>
      </c>
      <c r="BG400" s="20">
        <v>0</v>
      </c>
      <c r="BH400" s="20">
        <v>0</v>
      </c>
      <c r="BI400" s="20">
        <v>0</v>
      </c>
      <c r="BJ400" s="20">
        <v>0</v>
      </c>
      <c r="BK400" s="20">
        <v>0</v>
      </c>
      <c r="BL400" s="20">
        <v>0</v>
      </c>
      <c r="BM400" s="20">
        <v>0</v>
      </c>
      <c r="BN400" s="20">
        <v>0</v>
      </c>
      <c r="BO400" s="20">
        <v>0</v>
      </c>
      <c r="BP400" s="20">
        <v>0</v>
      </c>
      <c r="BQ400" s="20">
        <v>0</v>
      </c>
      <c r="BR400" s="20">
        <v>0</v>
      </c>
      <c r="BS400" s="20">
        <v>0</v>
      </c>
      <c r="BT400" s="20">
        <v>0</v>
      </c>
      <c r="BU400" s="20">
        <v>0</v>
      </c>
      <c r="BV400" s="20">
        <v>0</v>
      </c>
      <c r="BW400" s="20">
        <v>0</v>
      </c>
      <c r="BX400" s="20">
        <v>0</v>
      </c>
      <c r="BY400" s="20">
        <v>0</v>
      </c>
      <c r="BZ400" s="20">
        <v>0</v>
      </c>
      <c r="CA400" s="20">
        <v>0</v>
      </c>
      <c r="CB400" s="20">
        <v>0</v>
      </c>
      <c r="CC400" s="20">
        <v>0</v>
      </c>
      <c r="CD400" s="20">
        <v>0</v>
      </c>
      <c r="CE400" s="20">
        <v>0</v>
      </c>
      <c r="CF400" s="20">
        <v>0</v>
      </c>
      <c r="CG400" s="20">
        <v>0</v>
      </c>
      <c r="CH400" s="20">
        <v>0</v>
      </c>
      <c r="CI400" s="20">
        <v>0</v>
      </c>
      <c r="CJ400" s="20">
        <v>0</v>
      </c>
      <c r="CK400" s="20">
        <v>0</v>
      </c>
      <c r="CL400" s="20">
        <v>0</v>
      </c>
      <c r="CM400" s="20">
        <v>0</v>
      </c>
      <c r="CN400" s="20">
        <v>0</v>
      </c>
      <c r="CO400" s="20">
        <v>0</v>
      </c>
      <c r="CP400" s="20">
        <v>0</v>
      </c>
      <c r="CQ400" s="20">
        <v>0</v>
      </c>
      <c r="CR400" s="20">
        <v>0</v>
      </c>
      <c r="CS400" s="20">
        <v>0</v>
      </c>
      <c r="CT400" s="20">
        <v>0</v>
      </c>
      <c r="CU400" s="20">
        <v>0</v>
      </c>
      <c r="CV400" s="20">
        <v>0</v>
      </c>
      <c r="CW400" s="20">
        <v>0</v>
      </c>
      <c r="CX400" s="20">
        <v>0</v>
      </c>
      <c r="CY400" s="20">
        <v>0</v>
      </c>
      <c r="CZ400" s="20">
        <v>0</v>
      </c>
      <c r="DA400" s="20">
        <v>0</v>
      </c>
      <c r="DB400" s="20">
        <v>0</v>
      </c>
      <c r="DC400" s="20">
        <v>0</v>
      </c>
      <c r="DD400" s="20">
        <v>0</v>
      </c>
      <c r="DE400" s="20">
        <v>0</v>
      </c>
      <c r="DF400" s="20">
        <v>0</v>
      </c>
      <c r="DG400" s="16">
        <f t="shared" si="34"/>
        <v>0</v>
      </c>
      <c r="DH400" s="16">
        <f t="shared" si="35"/>
        <v>0</v>
      </c>
      <c r="DI400" s="17" t="str">
        <f t="shared" si="36"/>
        <v/>
      </c>
      <c r="DJ400" s="119" t="s">
        <v>4</v>
      </c>
      <c r="DK400" s="119" t="s">
        <v>1530</v>
      </c>
    </row>
    <row r="401" spans="1:115">
      <c r="A401" s="32" t="str">
        <f t="shared" si="32"/>
        <v>Essential (Original)--GROUND OUTDOOR / INDOOR CHAMBER MOUNTED ; &gt; 132 kV ;  &lt; = 100 MVA</v>
      </c>
      <c r="B401" s="32" t="str">
        <f t="shared" si="33"/>
        <v>Essential (Original)</v>
      </c>
      <c r="C401" s="384"/>
      <c r="D401" s="14"/>
      <c r="E401" s="15" t="s">
        <v>239</v>
      </c>
      <c r="F401" s="18">
        <v>45.8</v>
      </c>
      <c r="G401" s="18">
        <v>6.7675697262754522</v>
      </c>
      <c r="H401" s="20">
        <v>0</v>
      </c>
      <c r="I401" s="20">
        <v>0</v>
      </c>
      <c r="J401" s="20">
        <v>0</v>
      </c>
      <c r="K401" s="20">
        <v>0</v>
      </c>
      <c r="L401" s="20">
        <v>0</v>
      </c>
      <c r="M401" s="20">
        <v>0</v>
      </c>
      <c r="N401" s="20">
        <v>0</v>
      </c>
      <c r="O401" s="20">
        <v>0</v>
      </c>
      <c r="P401" s="20">
        <v>0</v>
      </c>
      <c r="Q401" s="20">
        <v>0</v>
      </c>
      <c r="R401" s="20">
        <v>0</v>
      </c>
      <c r="S401" s="20">
        <v>0</v>
      </c>
      <c r="T401" s="20">
        <v>0</v>
      </c>
      <c r="U401" s="20">
        <v>0</v>
      </c>
      <c r="V401" s="20">
        <v>0</v>
      </c>
      <c r="W401" s="20">
        <v>0</v>
      </c>
      <c r="X401" s="20">
        <v>0</v>
      </c>
      <c r="Y401" s="20">
        <v>0</v>
      </c>
      <c r="Z401" s="20">
        <v>0</v>
      </c>
      <c r="AA401" s="20">
        <v>0</v>
      </c>
      <c r="AB401" s="20">
        <v>0</v>
      </c>
      <c r="AC401" s="20">
        <v>0</v>
      </c>
      <c r="AD401" s="20">
        <v>0</v>
      </c>
      <c r="AE401" s="20">
        <v>0</v>
      </c>
      <c r="AF401" s="20">
        <v>0</v>
      </c>
      <c r="AG401" s="20">
        <v>0</v>
      </c>
      <c r="AH401" s="20">
        <v>0</v>
      </c>
      <c r="AI401" s="20">
        <v>0</v>
      </c>
      <c r="AJ401" s="20">
        <v>0</v>
      </c>
      <c r="AK401" s="20">
        <v>0</v>
      </c>
      <c r="AL401" s="20">
        <v>0</v>
      </c>
      <c r="AM401" s="20">
        <v>0</v>
      </c>
      <c r="AN401" s="20">
        <v>0</v>
      </c>
      <c r="AO401" s="20">
        <v>0</v>
      </c>
      <c r="AP401" s="20">
        <v>0</v>
      </c>
      <c r="AQ401" s="20">
        <v>0</v>
      </c>
      <c r="AR401" s="20">
        <v>0</v>
      </c>
      <c r="AS401" s="20">
        <v>0</v>
      </c>
      <c r="AT401" s="20">
        <v>0</v>
      </c>
      <c r="AU401" s="20">
        <v>0</v>
      </c>
      <c r="AV401" s="20">
        <v>0</v>
      </c>
      <c r="AW401" s="20">
        <v>0</v>
      </c>
      <c r="AX401" s="20">
        <v>0</v>
      </c>
      <c r="AY401" s="20">
        <v>0</v>
      </c>
      <c r="AZ401" s="20">
        <v>0</v>
      </c>
      <c r="BA401" s="20">
        <v>0</v>
      </c>
      <c r="BB401" s="20">
        <v>0</v>
      </c>
      <c r="BC401" s="20">
        <v>0</v>
      </c>
      <c r="BD401" s="20">
        <v>0</v>
      </c>
      <c r="BE401" s="20">
        <v>0</v>
      </c>
      <c r="BF401" s="20">
        <v>0</v>
      </c>
      <c r="BG401" s="20">
        <v>0</v>
      </c>
      <c r="BH401" s="20">
        <v>0</v>
      </c>
      <c r="BI401" s="20">
        <v>0</v>
      </c>
      <c r="BJ401" s="20">
        <v>0</v>
      </c>
      <c r="BK401" s="20">
        <v>0</v>
      </c>
      <c r="BL401" s="20">
        <v>0</v>
      </c>
      <c r="BM401" s="20">
        <v>0</v>
      </c>
      <c r="BN401" s="20">
        <v>0</v>
      </c>
      <c r="BO401" s="20">
        <v>0</v>
      </c>
      <c r="BP401" s="20">
        <v>0</v>
      </c>
      <c r="BQ401" s="20">
        <v>0</v>
      </c>
      <c r="BR401" s="20">
        <v>0</v>
      </c>
      <c r="BS401" s="20">
        <v>0</v>
      </c>
      <c r="BT401" s="20">
        <v>0</v>
      </c>
      <c r="BU401" s="20">
        <v>0</v>
      </c>
      <c r="BV401" s="20">
        <v>0</v>
      </c>
      <c r="BW401" s="20">
        <v>0</v>
      </c>
      <c r="BX401" s="20">
        <v>0</v>
      </c>
      <c r="BY401" s="20">
        <v>0</v>
      </c>
      <c r="BZ401" s="20">
        <v>0</v>
      </c>
      <c r="CA401" s="20">
        <v>0</v>
      </c>
      <c r="CB401" s="20">
        <v>0</v>
      </c>
      <c r="CC401" s="20">
        <v>0</v>
      </c>
      <c r="CD401" s="20">
        <v>0</v>
      </c>
      <c r="CE401" s="20">
        <v>0</v>
      </c>
      <c r="CF401" s="20">
        <v>0</v>
      </c>
      <c r="CG401" s="20">
        <v>0</v>
      </c>
      <c r="CH401" s="20">
        <v>0</v>
      </c>
      <c r="CI401" s="20">
        <v>0</v>
      </c>
      <c r="CJ401" s="20">
        <v>0</v>
      </c>
      <c r="CK401" s="20">
        <v>0</v>
      </c>
      <c r="CL401" s="20">
        <v>0</v>
      </c>
      <c r="CM401" s="20">
        <v>0</v>
      </c>
      <c r="CN401" s="20">
        <v>0</v>
      </c>
      <c r="CO401" s="20">
        <v>0</v>
      </c>
      <c r="CP401" s="20">
        <v>0</v>
      </c>
      <c r="CQ401" s="20">
        <v>0</v>
      </c>
      <c r="CR401" s="20">
        <v>0</v>
      </c>
      <c r="CS401" s="20">
        <v>0</v>
      </c>
      <c r="CT401" s="20">
        <v>0</v>
      </c>
      <c r="CU401" s="20">
        <v>0</v>
      </c>
      <c r="CV401" s="20">
        <v>0</v>
      </c>
      <c r="CW401" s="20">
        <v>0</v>
      </c>
      <c r="CX401" s="20">
        <v>0</v>
      </c>
      <c r="CY401" s="20">
        <v>0</v>
      </c>
      <c r="CZ401" s="20">
        <v>0</v>
      </c>
      <c r="DA401" s="20">
        <v>0</v>
      </c>
      <c r="DB401" s="20">
        <v>0</v>
      </c>
      <c r="DC401" s="20">
        <v>0</v>
      </c>
      <c r="DD401" s="20">
        <v>0</v>
      </c>
      <c r="DE401" s="20">
        <v>0</v>
      </c>
      <c r="DF401" s="20">
        <v>0</v>
      </c>
      <c r="DG401" s="16">
        <f t="shared" si="34"/>
        <v>0</v>
      </c>
      <c r="DH401" s="16">
        <f t="shared" si="35"/>
        <v>0</v>
      </c>
      <c r="DI401" s="17" t="str">
        <f t="shared" si="36"/>
        <v/>
      </c>
      <c r="DJ401" s="119" t="s">
        <v>4</v>
      </c>
      <c r="DK401" s="119" t="s">
        <v>1530</v>
      </c>
    </row>
    <row r="402" spans="1:115">
      <c r="A402" s="32" t="str">
        <f t="shared" si="32"/>
        <v>Essential (Original)--GROUND OUTDOOR / INDOOR CHAMBER MOUNTED ; &gt; 132 kV ;  &gt; 100 MVA</v>
      </c>
      <c r="B402" s="32" t="str">
        <f t="shared" si="33"/>
        <v>Essential (Original)</v>
      </c>
      <c r="C402" s="384"/>
      <c r="D402" s="14"/>
      <c r="E402" s="15" t="s">
        <v>240</v>
      </c>
      <c r="F402" s="18">
        <v>0</v>
      </c>
      <c r="G402" s="18">
        <v>0</v>
      </c>
      <c r="H402" s="20">
        <v>0</v>
      </c>
      <c r="I402" s="20">
        <v>0</v>
      </c>
      <c r="J402" s="20">
        <v>0</v>
      </c>
      <c r="K402" s="20">
        <v>0</v>
      </c>
      <c r="L402" s="20">
        <v>0</v>
      </c>
      <c r="M402" s="20">
        <v>0</v>
      </c>
      <c r="N402" s="20">
        <v>0</v>
      </c>
      <c r="O402" s="20">
        <v>0</v>
      </c>
      <c r="P402" s="20">
        <v>0</v>
      </c>
      <c r="Q402" s="20">
        <v>0</v>
      </c>
      <c r="R402" s="20">
        <v>0</v>
      </c>
      <c r="S402" s="20">
        <v>0</v>
      </c>
      <c r="T402" s="20">
        <v>0</v>
      </c>
      <c r="U402" s="20">
        <v>0</v>
      </c>
      <c r="V402" s="20">
        <v>0</v>
      </c>
      <c r="W402" s="20">
        <v>0</v>
      </c>
      <c r="X402" s="20">
        <v>0</v>
      </c>
      <c r="Y402" s="20">
        <v>0</v>
      </c>
      <c r="Z402" s="20">
        <v>0</v>
      </c>
      <c r="AA402" s="20">
        <v>0</v>
      </c>
      <c r="AB402" s="20">
        <v>0</v>
      </c>
      <c r="AC402" s="20">
        <v>0</v>
      </c>
      <c r="AD402" s="20">
        <v>0</v>
      </c>
      <c r="AE402" s="20">
        <v>0</v>
      </c>
      <c r="AF402" s="20">
        <v>0</v>
      </c>
      <c r="AG402" s="20">
        <v>0</v>
      </c>
      <c r="AH402" s="20">
        <v>0</v>
      </c>
      <c r="AI402" s="20">
        <v>0</v>
      </c>
      <c r="AJ402" s="20">
        <v>0</v>
      </c>
      <c r="AK402" s="20">
        <v>0</v>
      </c>
      <c r="AL402" s="20">
        <v>0</v>
      </c>
      <c r="AM402" s="20">
        <v>0</v>
      </c>
      <c r="AN402" s="20">
        <v>0</v>
      </c>
      <c r="AO402" s="20">
        <v>0</v>
      </c>
      <c r="AP402" s="20">
        <v>0</v>
      </c>
      <c r="AQ402" s="20">
        <v>0</v>
      </c>
      <c r="AR402" s="20">
        <v>0</v>
      </c>
      <c r="AS402" s="20">
        <v>0</v>
      </c>
      <c r="AT402" s="20">
        <v>0</v>
      </c>
      <c r="AU402" s="20">
        <v>0</v>
      </c>
      <c r="AV402" s="20">
        <v>0</v>
      </c>
      <c r="AW402" s="20">
        <v>0</v>
      </c>
      <c r="AX402" s="20">
        <v>0</v>
      </c>
      <c r="AY402" s="20">
        <v>0</v>
      </c>
      <c r="AZ402" s="20">
        <v>0</v>
      </c>
      <c r="BA402" s="20">
        <v>0</v>
      </c>
      <c r="BB402" s="20">
        <v>0</v>
      </c>
      <c r="BC402" s="20">
        <v>0</v>
      </c>
      <c r="BD402" s="20">
        <v>0</v>
      </c>
      <c r="BE402" s="20">
        <v>0</v>
      </c>
      <c r="BF402" s="20">
        <v>0</v>
      </c>
      <c r="BG402" s="20">
        <v>0</v>
      </c>
      <c r="BH402" s="20">
        <v>0</v>
      </c>
      <c r="BI402" s="20">
        <v>0</v>
      </c>
      <c r="BJ402" s="20">
        <v>0</v>
      </c>
      <c r="BK402" s="20">
        <v>0</v>
      </c>
      <c r="BL402" s="20">
        <v>0</v>
      </c>
      <c r="BM402" s="20">
        <v>0</v>
      </c>
      <c r="BN402" s="20">
        <v>0</v>
      </c>
      <c r="BO402" s="20">
        <v>0</v>
      </c>
      <c r="BP402" s="20">
        <v>0</v>
      </c>
      <c r="BQ402" s="20">
        <v>0</v>
      </c>
      <c r="BR402" s="20">
        <v>0</v>
      </c>
      <c r="BS402" s="20">
        <v>0</v>
      </c>
      <c r="BT402" s="20">
        <v>0</v>
      </c>
      <c r="BU402" s="20">
        <v>0</v>
      </c>
      <c r="BV402" s="20">
        <v>0</v>
      </c>
      <c r="BW402" s="20">
        <v>0</v>
      </c>
      <c r="BX402" s="20">
        <v>0</v>
      </c>
      <c r="BY402" s="20">
        <v>0</v>
      </c>
      <c r="BZ402" s="20">
        <v>0</v>
      </c>
      <c r="CA402" s="20">
        <v>0</v>
      </c>
      <c r="CB402" s="20">
        <v>0</v>
      </c>
      <c r="CC402" s="20">
        <v>0</v>
      </c>
      <c r="CD402" s="20">
        <v>0</v>
      </c>
      <c r="CE402" s="20">
        <v>0</v>
      </c>
      <c r="CF402" s="20">
        <v>0</v>
      </c>
      <c r="CG402" s="20">
        <v>0</v>
      </c>
      <c r="CH402" s="20">
        <v>0</v>
      </c>
      <c r="CI402" s="20">
        <v>0</v>
      </c>
      <c r="CJ402" s="20">
        <v>0</v>
      </c>
      <c r="CK402" s="20">
        <v>0</v>
      </c>
      <c r="CL402" s="20">
        <v>0</v>
      </c>
      <c r="CM402" s="20">
        <v>0</v>
      </c>
      <c r="CN402" s="20">
        <v>0</v>
      </c>
      <c r="CO402" s="20">
        <v>0</v>
      </c>
      <c r="CP402" s="20">
        <v>0</v>
      </c>
      <c r="CQ402" s="20">
        <v>0</v>
      </c>
      <c r="CR402" s="20">
        <v>0</v>
      </c>
      <c r="CS402" s="20">
        <v>0</v>
      </c>
      <c r="CT402" s="20">
        <v>0</v>
      </c>
      <c r="CU402" s="20">
        <v>0</v>
      </c>
      <c r="CV402" s="20">
        <v>0</v>
      </c>
      <c r="CW402" s="20">
        <v>0</v>
      </c>
      <c r="CX402" s="20">
        <v>0</v>
      </c>
      <c r="CY402" s="20">
        <v>0</v>
      </c>
      <c r="CZ402" s="20">
        <v>0</v>
      </c>
      <c r="DA402" s="20">
        <v>0</v>
      </c>
      <c r="DB402" s="20">
        <v>0</v>
      </c>
      <c r="DC402" s="20">
        <v>0</v>
      </c>
      <c r="DD402" s="20">
        <v>0</v>
      </c>
      <c r="DE402" s="20">
        <v>0</v>
      </c>
      <c r="DF402" s="20">
        <v>0</v>
      </c>
      <c r="DG402" s="16">
        <f t="shared" si="34"/>
        <v>0</v>
      </c>
      <c r="DH402" s="16">
        <f t="shared" si="35"/>
        <v>0</v>
      </c>
      <c r="DI402" s="17" t="str">
        <f t="shared" si="36"/>
        <v/>
      </c>
      <c r="DJ402" s="119" t="s">
        <v>4</v>
      </c>
      <c r="DK402" s="119" t="s">
        <v>1530</v>
      </c>
    </row>
    <row r="403" spans="1:115" ht="60">
      <c r="A403" s="32" t="str">
        <f t="shared" si="32"/>
        <v>Essential (Original)-ZONE SUB POWER TRANSFORMERS BY: 
HIGHEST OPERATING VOLTAGE ; AMPERE RATING(MVA); -&lt; = 22kV ;  &lt; = 15MVA</v>
      </c>
      <c r="B403" s="32" t="str">
        <f t="shared" si="33"/>
        <v>Essential (Original)</v>
      </c>
      <c r="C403" s="384"/>
      <c r="D403" s="14" t="s">
        <v>656</v>
      </c>
      <c r="E403" s="15" t="s">
        <v>528</v>
      </c>
      <c r="F403" s="18">
        <v>40.200000000000003</v>
      </c>
      <c r="G403" s="18">
        <v>6.3403469936589438</v>
      </c>
      <c r="H403" s="20">
        <v>5.0512820512820511</v>
      </c>
      <c r="I403" s="20">
        <v>4.0410256410256409</v>
      </c>
      <c r="J403" s="20">
        <v>12.123076923076923</v>
      </c>
      <c r="K403" s="20">
        <v>12.123076923076923</v>
      </c>
      <c r="L403" s="20">
        <v>1.0102564102564102</v>
      </c>
      <c r="M403" s="20">
        <v>10.102564102564102</v>
      </c>
      <c r="N403" s="20">
        <v>4.0410256410256409</v>
      </c>
      <c r="O403" s="20">
        <v>5.0512820512820511</v>
      </c>
      <c r="P403" s="20">
        <v>2.0205128205128204</v>
      </c>
      <c r="Q403" s="20">
        <v>5.0512820512820511</v>
      </c>
      <c r="R403" s="20">
        <v>3.0307692307692307</v>
      </c>
      <c r="S403" s="20">
        <v>5.0512820512820511</v>
      </c>
      <c r="T403" s="20">
        <v>4.0410256410256409</v>
      </c>
      <c r="U403" s="20">
        <v>3.0307692307692307</v>
      </c>
      <c r="V403" s="20">
        <v>6.0615384615384613</v>
      </c>
      <c r="W403" s="20">
        <v>1.0102564102564102</v>
      </c>
      <c r="X403" s="20">
        <v>0</v>
      </c>
      <c r="Y403" s="20">
        <v>0</v>
      </c>
      <c r="Z403" s="20">
        <v>3.0307692307692307</v>
      </c>
      <c r="AA403" s="20">
        <v>4.0410256410256409</v>
      </c>
      <c r="AB403" s="20">
        <v>3.0307692307692307</v>
      </c>
      <c r="AC403" s="20">
        <v>3.0307692307692307</v>
      </c>
      <c r="AD403" s="20">
        <v>6.0615384615384613</v>
      </c>
      <c r="AE403" s="20">
        <v>3.0307692307692307</v>
      </c>
      <c r="AF403" s="20">
        <v>5.0512820512820511</v>
      </c>
      <c r="AG403" s="20">
        <v>3.0307692307692307</v>
      </c>
      <c r="AH403" s="20">
        <v>12.123076923076923</v>
      </c>
      <c r="AI403" s="20">
        <v>7.0717948717948715</v>
      </c>
      <c r="AJ403" s="20">
        <v>10.102564102564102</v>
      </c>
      <c r="AK403" s="20">
        <v>0</v>
      </c>
      <c r="AL403" s="20">
        <v>3.0307692307692307</v>
      </c>
      <c r="AM403" s="20">
        <v>6.0615384615384613</v>
      </c>
      <c r="AN403" s="20">
        <v>9.092307692307692</v>
      </c>
      <c r="AO403" s="20">
        <v>9.092307692307692</v>
      </c>
      <c r="AP403" s="20">
        <v>3.0307692307692307</v>
      </c>
      <c r="AQ403" s="20">
        <v>4.0410256410256409</v>
      </c>
      <c r="AR403" s="20">
        <v>5.0512820512820511</v>
      </c>
      <c r="AS403" s="20">
        <v>2.0205128205128204</v>
      </c>
      <c r="AT403" s="20">
        <v>1.0102564102564102</v>
      </c>
      <c r="AU403" s="20">
        <v>5.0512820512820511</v>
      </c>
      <c r="AV403" s="20">
        <v>3.0307692307692307</v>
      </c>
      <c r="AW403" s="20">
        <v>4.0410256410256409</v>
      </c>
      <c r="AX403" s="20">
        <v>15.153846153846153</v>
      </c>
      <c r="AY403" s="20">
        <v>16.164102564102564</v>
      </c>
      <c r="AZ403" s="20">
        <v>8.0820512820512818</v>
      </c>
      <c r="BA403" s="20">
        <v>10.102564102564102</v>
      </c>
      <c r="BB403" s="20">
        <v>10.102564102564102</v>
      </c>
      <c r="BC403" s="20">
        <v>18.184615384615384</v>
      </c>
      <c r="BD403" s="20">
        <v>21.215384615384615</v>
      </c>
      <c r="BE403" s="20">
        <v>9.092307692307692</v>
      </c>
      <c r="BF403" s="20">
        <v>17.174358974358974</v>
      </c>
      <c r="BG403" s="20">
        <v>7.0717948717948715</v>
      </c>
      <c r="BH403" s="20">
        <v>8.0820512820512818</v>
      </c>
      <c r="BI403" s="20">
        <v>19.194871794871794</v>
      </c>
      <c r="BJ403" s="20">
        <v>5.0512820512820511</v>
      </c>
      <c r="BK403" s="20">
        <v>4.0410256410256409</v>
      </c>
      <c r="BL403" s="20">
        <v>1.0102564102564102</v>
      </c>
      <c r="BM403" s="20">
        <v>5.0512820512820511</v>
      </c>
      <c r="BN403" s="20">
        <v>5.0512820512820511</v>
      </c>
      <c r="BO403" s="20">
        <v>0</v>
      </c>
      <c r="BP403" s="20">
        <v>2.0205128205128204</v>
      </c>
      <c r="BQ403" s="20">
        <v>3.0307692307692307</v>
      </c>
      <c r="BR403" s="20">
        <v>1.0102564102564102</v>
      </c>
      <c r="BS403" s="20">
        <v>4.0410256410256409</v>
      </c>
      <c r="BT403" s="20">
        <v>0</v>
      </c>
      <c r="BU403" s="20">
        <v>2.0205128205128204</v>
      </c>
      <c r="BV403" s="20">
        <v>0</v>
      </c>
      <c r="BW403" s="20">
        <v>1.0102564102564102</v>
      </c>
      <c r="BX403" s="20">
        <v>1.0102564102564102</v>
      </c>
      <c r="BY403" s="20">
        <v>0</v>
      </c>
      <c r="BZ403" s="20">
        <v>0</v>
      </c>
      <c r="CA403" s="20">
        <v>2.0205128205128204</v>
      </c>
      <c r="CB403" s="20">
        <v>0</v>
      </c>
      <c r="CC403" s="20">
        <v>0</v>
      </c>
      <c r="CD403" s="20">
        <v>0</v>
      </c>
      <c r="CE403" s="20">
        <v>0</v>
      </c>
      <c r="CF403" s="20">
        <v>0</v>
      </c>
      <c r="CG403" s="20">
        <v>1.0102564102564102</v>
      </c>
      <c r="CH403" s="20">
        <v>0</v>
      </c>
      <c r="CI403" s="20">
        <v>0</v>
      </c>
      <c r="CJ403" s="20">
        <v>0</v>
      </c>
      <c r="CK403" s="20">
        <v>0</v>
      </c>
      <c r="CL403" s="20">
        <v>0</v>
      </c>
      <c r="CM403" s="20">
        <v>0</v>
      </c>
      <c r="CN403" s="20">
        <v>0</v>
      </c>
      <c r="CO403" s="20">
        <v>0</v>
      </c>
      <c r="CP403" s="20">
        <v>0</v>
      </c>
      <c r="CQ403" s="20">
        <v>0</v>
      </c>
      <c r="CR403" s="20">
        <v>0</v>
      </c>
      <c r="CS403" s="20">
        <v>0</v>
      </c>
      <c r="CT403" s="20">
        <v>0</v>
      </c>
      <c r="CU403" s="20">
        <v>0</v>
      </c>
      <c r="CV403" s="20">
        <v>0</v>
      </c>
      <c r="CW403" s="20">
        <v>0</v>
      </c>
      <c r="CX403" s="20">
        <v>0</v>
      </c>
      <c r="CY403" s="20">
        <v>0</v>
      </c>
      <c r="CZ403" s="20">
        <v>0</v>
      </c>
      <c r="DA403" s="20">
        <v>0</v>
      </c>
      <c r="DB403" s="20">
        <v>0</v>
      </c>
      <c r="DC403" s="20">
        <v>0</v>
      </c>
      <c r="DD403" s="20">
        <v>0</v>
      </c>
      <c r="DE403" s="20">
        <v>0</v>
      </c>
      <c r="DF403" s="20">
        <v>0</v>
      </c>
      <c r="DG403" s="16">
        <f t="shared" si="34"/>
        <v>394.00000000000017</v>
      </c>
      <c r="DH403" s="16">
        <f t="shared" si="35"/>
        <v>14072.871794871795</v>
      </c>
      <c r="DI403" s="17">
        <f t="shared" si="36"/>
        <v>35.717948717948701</v>
      </c>
      <c r="DJ403" s="119" t="s">
        <v>4</v>
      </c>
      <c r="DK403" s="119" t="s">
        <v>1530</v>
      </c>
    </row>
    <row r="404" spans="1:115">
      <c r="A404" s="32" t="str">
        <f t="shared" si="32"/>
        <v>Essential (Original)--&lt; = 22kV ;  &gt; 15MVA and &lt;= 40MVA</v>
      </c>
      <c r="B404" s="32" t="str">
        <f t="shared" si="33"/>
        <v>Essential (Original)</v>
      </c>
      <c r="C404" s="384"/>
      <c r="D404" s="14"/>
      <c r="E404" s="15" t="s">
        <v>529</v>
      </c>
      <c r="F404" s="18">
        <v>40.200000000000003</v>
      </c>
      <c r="G404" s="18">
        <v>6.3403469936589438</v>
      </c>
      <c r="H404" s="20">
        <v>1</v>
      </c>
      <c r="I404" s="20">
        <v>10</v>
      </c>
      <c r="J404" s="20">
        <v>7</v>
      </c>
      <c r="K404" s="20">
        <v>10</v>
      </c>
      <c r="L404" s="20">
        <v>6</v>
      </c>
      <c r="M404" s="20">
        <v>9</v>
      </c>
      <c r="N404" s="20">
        <v>19</v>
      </c>
      <c r="O404" s="20">
        <v>6</v>
      </c>
      <c r="P404" s="20">
        <v>4</v>
      </c>
      <c r="Q404" s="20">
        <v>13</v>
      </c>
      <c r="R404" s="20">
        <v>4</v>
      </c>
      <c r="S404" s="20">
        <v>3</v>
      </c>
      <c r="T404" s="20">
        <v>1</v>
      </c>
      <c r="U404" s="20">
        <v>0</v>
      </c>
      <c r="V404" s="20">
        <v>0</v>
      </c>
      <c r="W404" s="20">
        <v>0</v>
      </c>
      <c r="X404" s="20">
        <v>0</v>
      </c>
      <c r="Y404" s="20">
        <v>0</v>
      </c>
      <c r="Z404" s="20">
        <v>1</v>
      </c>
      <c r="AA404" s="20">
        <v>2</v>
      </c>
      <c r="AB404" s="20">
        <v>0</v>
      </c>
      <c r="AC404" s="20">
        <v>2</v>
      </c>
      <c r="AD404" s="20">
        <v>1</v>
      </c>
      <c r="AE404" s="20">
        <v>4</v>
      </c>
      <c r="AF404" s="20">
        <v>1</v>
      </c>
      <c r="AG404" s="20">
        <v>2</v>
      </c>
      <c r="AH404" s="20">
        <v>6</v>
      </c>
      <c r="AI404" s="20">
        <v>2</v>
      </c>
      <c r="AJ404" s="20">
        <v>6</v>
      </c>
      <c r="AK404" s="20">
        <v>6</v>
      </c>
      <c r="AL404" s="20">
        <v>5</v>
      </c>
      <c r="AM404" s="20">
        <v>7</v>
      </c>
      <c r="AN404" s="20">
        <v>10</v>
      </c>
      <c r="AO404" s="20">
        <v>2</v>
      </c>
      <c r="AP404" s="20">
        <v>1</v>
      </c>
      <c r="AQ404" s="20">
        <v>3</v>
      </c>
      <c r="AR404" s="20">
        <v>9</v>
      </c>
      <c r="AS404" s="20">
        <v>3</v>
      </c>
      <c r="AT404" s="20">
        <v>0</v>
      </c>
      <c r="AU404" s="20">
        <v>0</v>
      </c>
      <c r="AV404" s="20">
        <v>2</v>
      </c>
      <c r="AW404" s="20">
        <v>0</v>
      </c>
      <c r="AX404" s="20">
        <v>0</v>
      </c>
      <c r="AY404" s="20">
        <v>4</v>
      </c>
      <c r="AZ404" s="20">
        <v>2</v>
      </c>
      <c r="BA404" s="20">
        <v>0</v>
      </c>
      <c r="BB404" s="20">
        <v>3</v>
      </c>
      <c r="BC404" s="20">
        <v>3</v>
      </c>
      <c r="BD404" s="20">
        <v>1</v>
      </c>
      <c r="BE404" s="20">
        <v>0</v>
      </c>
      <c r="BF404" s="20">
        <v>1</v>
      </c>
      <c r="BG404" s="20">
        <v>0</v>
      </c>
      <c r="BH404" s="20">
        <v>0</v>
      </c>
      <c r="BI404" s="20">
        <v>0</v>
      </c>
      <c r="BJ404" s="20">
        <v>0</v>
      </c>
      <c r="BK404" s="20">
        <v>0</v>
      </c>
      <c r="BL404" s="20">
        <v>0</v>
      </c>
      <c r="BM404" s="20">
        <v>0</v>
      </c>
      <c r="BN404" s="20">
        <v>0</v>
      </c>
      <c r="BO404" s="20">
        <v>0</v>
      </c>
      <c r="BP404" s="20">
        <v>0</v>
      </c>
      <c r="BQ404" s="20">
        <v>0</v>
      </c>
      <c r="BR404" s="20">
        <v>0</v>
      </c>
      <c r="BS404" s="20">
        <v>0</v>
      </c>
      <c r="BT404" s="20">
        <v>0</v>
      </c>
      <c r="BU404" s="20">
        <v>0</v>
      </c>
      <c r="BV404" s="20">
        <v>0</v>
      </c>
      <c r="BW404" s="20">
        <v>0</v>
      </c>
      <c r="BX404" s="20">
        <v>0</v>
      </c>
      <c r="BY404" s="20">
        <v>0</v>
      </c>
      <c r="BZ404" s="20">
        <v>0</v>
      </c>
      <c r="CA404" s="20">
        <v>0</v>
      </c>
      <c r="CB404" s="20">
        <v>0</v>
      </c>
      <c r="CC404" s="20">
        <v>0</v>
      </c>
      <c r="CD404" s="20">
        <v>0</v>
      </c>
      <c r="CE404" s="20">
        <v>0</v>
      </c>
      <c r="CF404" s="20">
        <v>0</v>
      </c>
      <c r="CG404" s="20">
        <v>0</v>
      </c>
      <c r="CH404" s="20">
        <v>0</v>
      </c>
      <c r="CI404" s="20">
        <v>0</v>
      </c>
      <c r="CJ404" s="20">
        <v>0</v>
      </c>
      <c r="CK404" s="20">
        <v>0</v>
      </c>
      <c r="CL404" s="20">
        <v>0</v>
      </c>
      <c r="CM404" s="20">
        <v>0</v>
      </c>
      <c r="CN404" s="20">
        <v>0</v>
      </c>
      <c r="CO404" s="20">
        <v>0</v>
      </c>
      <c r="CP404" s="20">
        <v>0</v>
      </c>
      <c r="CQ404" s="20">
        <v>0</v>
      </c>
      <c r="CR404" s="20">
        <v>0</v>
      </c>
      <c r="CS404" s="20">
        <v>0</v>
      </c>
      <c r="CT404" s="20">
        <v>0</v>
      </c>
      <c r="CU404" s="20">
        <v>0</v>
      </c>
      <c r="CV404" s="20">
        <v>0</v>
      </c>
      <c r="CW404" s="20">
        <v>0</v>
      </c>
      <c r="CX404" s="20">
        <v>0</v>
      </c>
      <c r="CY404" s="20">
        <v>0</v>
      </c>
      <c r="CZ404" s="20">
        <v>0</v>
      </c>
      <c r="DA404" s="20">
        <v>0</v>
      </c>
      <c r="DB404" s="20">
        <v>0</v>
      </c>
      <c r="DC404" s="20">
        <v>0</v>
      </c>
      <c r="DD404" s="20">
        <v>0</v>
      </c>
      <c r="DE404" s="20">
        <v>0</v>
      </c>
      <c r="DF404" s="20">
        <v>0</v>
      </c>
      <c r="DG404" s="16">
        <f t="shared" si="34"/>
        <v>182</v>
      </c>
      <c r="DH404" s="16">
        <f t="shared" si="35"/>
        <v>3577</v>
      </c>
      <c r="DI404" s="17">
        <f t="shared" si="36"/>
        <v>19.653846153846153</v>
      </c>
      <c r="DJ404" s="119" t="s">
        <v>4</v>
      </c>
      <c r="DK404" s="119" t="s">
        <v>1530</v>
      </c>
    </row>
    <row r="405" spans="1:115">
      <c r="A405" s="32" t="str">
        <f t="shared" si="32"/>
        <v>Essential (Original)--&lt; = 22kV ;  &gt; 40MVA and &lt;= 100MVA</v>
      </c>
      <c r="B405" s="32" t="str">
        <f t="shared" si="33"/>
        <v>Essential (Original)</v>
      </c>
      <c r="C405" s="384"/>
      <c r="D405" s="14"/>
      <c r="E405" s="15" t="s">
        <v>530</v>
      </c>
      <c r="F405" s="18">
        <v>40.200000000000003</v>
      </c>
      <c r="G405" s="18">
        <v>6.3403469936589438</v>
      </c>
      <c r="H405" s="20">
        <v>0</v>
      </c>
      <c r="I405" s="20">
        <v>2</v>
      </c>
      <c r="J405" s="20">
        <v>0</v>
      </c>
      <c r="K405" s="20">
        <v>0</v>
      </c>
      <c r="L405" s="20">
        <v>0</v>
      </c>
      <c r="M405" s="20">
        <v>3</v>
      </c>
      <c r="N405" s="20">
        <v>0</v>
      </c>
      <c r="O405" s="20">
        <v>2</v>
      </c>
      <c r="P405" s="20">
        <v>0</v>
      </c>
      <c r="Q405" s="20">
        <v>0</v>
      </c>
      <c r="R405" s="20">
        <v>0</v>
      </c>
      <c r="S405" s="20">
        <v>0</v>
      </c>
      <c r="T405" s="20">
        <v>0</v>
      </c>
      <c r="U405" s="20">
        <v>0</v>
      </c>
      <c r="V405" s="20">
        <v>0</v>
      </c>
      <c r="W405" s="20">
        <v>0</v>
      </c>
      <c r="X405" s="20">
        <v>0</v>
      </c>
      <c r="Y405" s="20">
        <v>0</v>
      </c>
      <c r="Z405" s="20">
        <v>4</v>
      </c>
      <c r="AA405" s="20">
        <v>0</v>
      </c>
      <c r="AB405" s="20">
        <v>0</v>
      </c>
      <c r="AC405" s="20">
        <v>0</v>
      </c>
      <c r="AD405" s="20">
        <v>0</v>
      </c>
      <c r="AE405" s="20">
        <v>2</v>
      </c>
      <c r="AF405" s="20">
        <v>0</v>
      </c>
      <c r="AG405" s="20">
        <v>0</v>
      </c>
      <c r="AH405" s="20">
        <v>0</v>
      </c>
      <c r="AI405" s="20">
        <v>0</v>
      </c>
      <c r="AJ405" s="20">
        <v>0</v>
      </c>
      <c r="AK405" s="20">
        <v>0</v>
      </c>
      <c r="AL405" s="20">
        <v>0</v>
      </c>
      <c r="AM405" s="20">
        <v>0</v>
      </c>
      <c r="AN405" s="20">
        <v>0</v>
      </c>
      <c r="AO405" s="20">
        <v>0</v>
      </c>
      <c r="AP405" s="20">
        <v>0</v>
      </c>
      <c r="AQ405" s="20">
        <v>0</v>
      </c>
      <c r="AR405" s="20">
        <v>0</v>
      </c>
      <c r="AS405" s="20">
        <v>0</v>
      </c>
      <c r="AT405" s="20">
        <v>0</v>
      </c>
      <c r="AU405" s="20">
        <v>0</v>
      </c>
      <c r="AV405" s="20">
        <v>0</v>
      </c>
      <c r="AW405" s="20">
        <v>0</v>
      </c>
      <c r="AX405" s="20">
        <v>0</v>
      </c>
      <c r="AY405" s="20">
        <v>0</v>
      </c>
      <c r="AZ405" s="20">
        <v>0</v>
      </c>
      <c r="BA405" s="20">
        <v>0</v>
      </c>
      <c r="BB405" s="20">
        <v>0</v>
      </c>
      <c r="BC405" s="20">
        <v>0</v>
      </c>
      <c r="BD405" s="20">
        <v>0</v>
      </c>
      <c r="BE405" s="20">
        <v>0</v>
      </c>
      <c r="BF405" s="20">
        <v>0</v>
      </c>
      <c r="BG405" s="20">
        <v>0</v>
      </c>
      <c r="BH405" s="20">
        <v>0</v>
      </c>
      <c r="BI405" s="20">
        <v>0</v>
      </c>
      <c r="BJ405" s="20">
        <v>0</v>
      </c>
      <c r="BK405" s="20">
        <v>0</v>
      </c>
      <c r="BL405" s="20">
        <v>0</v>
      </c>
      <c r="BM405" s="20">
        <v>0</v>
      </c>
      <c r="BN405" s="20">
        <v>0</v>
      </c>
      <c r="BO405" s="20">
        <v>0</v>
      </c>
      <c r="BP405" s="20">
        <v>0</v>
      </c>
      <c r="BQ405" s="20">
        <v>0</v>
      </c>
      <c r="BR405" s="20">
        <v>0</v>
      </c>
      <c r="BS405" s="20">
        <v>0</v>
      </c>
      <c r="BT405" s="20">
        <v>0</v>
      </c>
      <c r="BU405" s="20">
        <v>0</v>
      </c>
      <c r="BV405" s="20">
        <v>0</v>
      </c>
      <c r="BW405" s="20">
        <v>0</v>
      </c>
      <c r="BX405" s="20">
        <v>0</v>
      </c>
      <c r="BY405" s="20">
        <v>0</v>
      </c>
      <c r="BZ405" s="20">
        <v>0</v>
      </c>
      <c r="CA405" s="20">
        <v>0</v>
      </c>
      <c r="CB405" s="20">
        <v>0</v>
      </c>
      <c r="CC405" s="20">
        <v>0</v>
      </c>
      <c r="CD405" s="20">
        <v>0</v>
      </c>
      <c r="CE405" s="20">
        <v>0</v>
      </c>
      <c r="CF405" s="20">
        <v>0</v>
      </c>
      <c r="CG405" s="20">
        <v>0</v>
      </c>
      <c r="CH405" s="20">
        <v>0</v>
      </c>
      <c r="CI405" s="20">
        <v>0</v>
      </c>
      <c r="CJ405" s="20">
        <v>0</v>
      </c>
      <c r="CK405" s="20">
        <v>0</v>
      </c>
      <c r="CL405" s="20">
        <v>0</v>
      </c>
      <c r="CM405" s="20">
        <v>0</v>
      </c>
      <c r="CN405" s="20">
        <v>0</v>
      </c>
      <c r="CO405" s="20">
        <v>0</v>
      </c>
      <c r="CP405" s="20">
        <v>0</v>
      </c>
      <c r="CQ405" s="20">
        <v>0</v>
      </c>
      <c r="CR405" s="20">
        <v>0</v>
      </c>
      <c r="CS405" s="20">
        <v>0</v>
      </c>
      <c r="CT405" s="20">
        <v>0</v>
      </c>
      <c r="CU405" s="20">
        <v>0</v>
      </c>
      <c r="CV405" s="20">
        <v>0</v>
      </c>
      <c r="CW405" s="20">
        <v>0</v>
      </c>
      <c r="CX405" s="20">
        <v>0</v>
      </c>
      <c r="CY405" s="20">
        <v>0</v>
      </c>
      <c r="CZ405" s="20">
        <v>0</v>
      </c>
      <c r="DA405" s="20">
        <v>0</v>
      </c>
      <c r="DB405" s="20">
        <v>0</v>
      </c>
      <c r="DC405" s="20">
        <v>0</v>
      </c>
      <c r="DD405" s="20">
        <v>0</v>
      </c>
      <c r="DE405" s="20">
        <v>0</v>
      </c>
      <c r="DF405" s="20">
        <v>0</v>
      </c>
      <c r="DG405" s="16">
        <f t="shared" si="34"/>
        <v>13</v>
      </c>
      <c r="DH405" s="16">
        <f t="shared" si="35"/>
        <v>162</v>
      </c>
      <c r="DI405" s="17">
        <f t="shared" si="36"/>
        <v>12.461538461538462</v>
      </c>
      <c r="DJ405" s="119" t="s">
        <v>4</v>
      </c>
      <c r="DK405" s="119" t="s">
        <v>1530</v>
      </c>
    </row>
    <row r="406" spans="1:115">
      <c r="A406" s="32" t="str">
        <f t="shared" si="32"/>
        <v>Essential (Original)--&gt;22kVA and &lt;= 66kVA ; &lt;= 15MVA</v>
      </c>
      <c r="B406" s="32" t="str">
        <f t="shared" si="33"/>
        <v>Essential (Original)</v>
      </c>
      <c r="C406" s="384"/>
      <c r="D406" s="14"/>
      <c r="E406" s="15" t="s">
        <v>531</v>
      </c>
      <c r="F406" s="18">
        <v>40.200000000000003</v>
      </c>
      <c r="G406" s="18">
        <v>6.3403469936589438</v>
      </c>
      <c r="H406" s="20">
        <v>1.0249999999999999</v>
      </c>
      <c r="I406" s="20">
        <v>0</v>
      </c>
      <c r="J406" s="20">
        <v>0</v>
      </c>
      <c r="K406" s="20">
        <v>2.0499999999999998</v>
      </c>
      <c r="L406" s="20">
        <v>0</v>
      </c>
      <c r="M406" s="20">
        <v>0</v>
      </c>
      <c r="N406" s="20">
        <v>0</v>
      </c>
      <c r="O406" s="20">
        <v>0</v>
      </c>
      <c r="P406" s="20">
        <v>1.0249999999999999</v>
      </c>
      <c r="Q406" s="20">
        <v>0</v>
      </c>
      <c r="R406" s="20">
        <v>0</v>
      </c>
      <c r="S406" s="20">
        <v>0</v>
      </c>
      <c r="T406" s="20">
        <v>1.0249999999999999</v>
      </c>
      <c r="U406" s="20">
        <v>0</v>
      </c>
      <c r="V406" s="20">
        <v>0</v>
      </c>
      <c r="W406" s="20">
        <v>1.0249999999999999</v>
      </c>
      <c r="X406" s="20">
        <v>1.0249999999999999</v>
      </c>
      <c r="Y406" s="20">
        <v>0</v>
      </c>
      <c r="Z406" s="20">
        <v>1.0249999999999999</v>
      </c>
      <c r="AA406" s="20">
        <v>1.0249999999999999</v>
      </c>
      <c r="AB406" s="20">
        <v>0</v>
      </c>
      <c r="AC406" s="20">
        <v>3.0750000000000002</v>
      </c>
      <c r="AD406" s="20">
        <v>2.0499999999999998</v>
      </c>
      <c r="AE406" s="20">
        <v>0</v>
      </c>
      <c r="AF406" s="20">
        <v>0</v>
      </c>
      <c r="AG406" s="20">
        <v>0</v>
      </c>
      <c r="AH406" s="20">
        <v>2.0499999999999998</v>
      </c>
      <c r="AI406" s="20">
        <v>0</v>
      </c>
      <c r="AJ406" s="20">
        <v>0</v>
      </c>
      <c r="AK406" s="20">
        <v>0</v>
      </c>
      <c r="AL406" s="20">
        <v>1.0249999999999999</v>
      </c>
      <c r="AM406" s="20">
        <v>2.0499999999999998</v>
      </c>
      <c r="AN406" s="20">
        <v>0</v>
      </c>
      <c r="AO406" s="20">
        <v>1.0249999999999999</v>
      </c>
      <c r="AP406" s="20">
        <v>0</v>
      </c>
      <c r="AQ406" s="20">
        <v>0</v>
      </c>
      <c r="AR406" s="20">
        <v>0</v>
      </c>
      <c r="AS406" s="20">
        <v>0</v>
      </c>
      <c r="AT406" s="20">
        <v>0</v>
      </c>
      <c r="AU406" s="20">
        <v>0</v>
      </c>
      <c r="AV406" s="20">
        <v>0</v>
      </c>
      <c r="AW406" s="20">
        <v>0</v>
      </c>
      <c r="AX406" s="20">
        <v>0</v>
      </c>
      <c r="AY406" s="20">
        <v>2.0499999999999998</v>
      </c>
      <c r="AZ406" s="20">
        <v>1.0249999999999999</v>
      </c>
      <c r="BA406" s="20">
        <v>0</v>
      </c>
      <c r="BB406" s="20">
        <v>0</v>
      </c>
      <c r="BC406" s="20">
        <v>0</v>
      </c>
      <c r="BD406" s="20">
        <v>3.0750000000000002</v>
      </c>
      <c r="BE406" s="20">
        <v>0</v>
      </c>
      <c r="BF406" s="20">
        <v>4.0999999999999996</v>
      </c>
      <c r="BG406" s="20">
        <v>1.0249999999999999</v>
      </c>
      <c r="BH406" s="20">
        <v>5.125</v>
      </c>
      <c r="BI406" s="20">
        <v>0</v>
      </c>
      <c r="BJ406" s="20">
        <v>0</v>
      </c>
      <c r="BK406" s="20">
        <v>1.0249999999999999</v>
      </c>
      <c r="BL406" s="20">
        <v>1.0249999999999999</v>
      </c>
      <c r="BM406" s="20">
        <v>0</v>
      </c>
      <c r="BN406" s="20">
        <v>0</v>
      </c>
      <c r="BO406" s="20">
        <v>0</v>
      </c>
      <c r="BP406" s="20">
        <v>0</v>
      </c>
      <c r="BQ406" s="20">
        <v>0</v>
      </c>
      <c r="BR406" s="20">
        <v>0</v>
      </c>
      <c r="BS406" s="20">
        <v>0</v>
      </c>
      <c r="BT406" s="20">
        <v>0</v>
      </c>
      <c r="BU406" s="20">
        <v>1.0249999999999999</v>
      </c>
      <c r="BV406" s="20">
        <v>0</v>
      </c>
      <c r="BW406" s="20">
        <v>0</v>
      </c>
      <c r="BX406" s="20">
        <v>0</v>
      </c>
      <c r="BY406" s="20">
        <v>0</v>
      </c>
      <c r="BZ406" s="20">
        <v>0</v>
      </c>
      <c r="CA406" s="20">
        <v>0</v>
      </c>
      <c r="CB406" s="20">
        <v>0</v>
      </c>
      <c r="CC406" s="20">
        <v>0</v>
      </c>
      <c r="CD406" s="20">
        <v>0</v>
      </c>
      <c r="CE406" s="20">
        <v>0</v>
      </c>
      <c r="CF406" s="20">
        <v>0</v>
      </c>
      <c r="CG406" s="20">
        <v>1.0249999999999999</v>
      </c>
      <c r="CH406" s="20">
        <v>0</v>
      </c>
      <c r="CI406" s="20">
        <v>0</v>
      </c>
      <c r="CJ406" s="20">
        <v>0</v>
      </c>
      <c r="CK406" s="20">
        <v>0</v>
      </c>
      <c r="CL406" s="20">
        <v>0</v>
      </c>
      <c r="CM406" s="20">
        <v>0</v>
      </c>
      <c r="CN406" s="20">
        <v>0</v>
      </c>
      <c r="CO406" s="20">
        <v>0</v>
      </c>
      <c r="CP406" s="20">
        <v>0</v>
      </c>
      <c r="CQ406" s="20">
        <v>0</v>
      </c>
      <c r="CR406" s="20">
        <v>0</v>
      </c>
      <c r="CS406" s="20">
        <v>0</v>
      </c>
      <c r="CT406" s="20">
        <v>0</v>
      </c>
      <c r="CU406" s="20">
        <v>0</v>
      </c>
      <c r="CV406" s="20">
        <v>0</v>
      </c>
      <c r="CW406" s="20">
        <v>0</v>
      </c>
      <c r="CX406" s="20">
        <v>0</v>
      </c>
      <c r="CY406" s="20">
        <v>0</v>
      </c>
      <c r="CZ406" s="20">
        <v>0</v>
      </c>
      <c r="DA406" s="20">
        <v>0</v>
      </c>
      <c r="DB406" s="20">
        <v>0</v>
      </c>
      <c r="DC406" s="20">
        <v>0</v>
      </c>
      <c r="DD406" s="20">
        <v>0</v>
      </c>
      <c r="DE406" s="20">
        <v>0</v>
      </c>
      <c r="DF406" s="20">
        <v>0</v>
      </c>
      <c r="DG406" s="16">
        <f t="shared" si="34"/>
        <v>40.999999999999993</v>
      </c>
      <c r="DH406" s="16">
        <f t="shared" si="35"/>
        <v>1492.4</v>
      </c>
      <c r="DI406" s="17">
        <f t="shared" si="36"/>
        <v>36.400000000000006</v>
      </c>
      <c r="DJ406" s="119" t="s">
        <v>4</v>
      </c>
      <c r="DK406" s="119" t="s">
        <v>1530</v>
      </c>
    </row>
    <row r="407" spans="1:115">
      <c r="A407" s="32" t="str">
        <f t="shared" si="32"/>
        <v>Essential (Original)--&gt;22kVA and &lt;= 66kVA; &gt; 15MVA and &lt;= 40MVA</v>
      </c>
      <c r="B407" s="32" t="str">
        <f t="shared" si="33"/>
        <v>Essential (Original)</v>
      </c>
      <c r="C407" s="384"/>
      <c r="D407" s="14"/>
      <c r="E407" s="15" t="s">
        <v>532</v>
      </c>
      <c r="F407" s="18">
        <v>40.200000000000003</v>
      </c>
      <c r="G407" s="18">
        <v>6.3403469936589438</v>
      </c>
      <c r="H407" s="20">
        <v>1</v>
      </c>
      <c r="I407" s="20">
        <v>1</v>
      </c>
      <c r="J407" s="20">
        <v>0</v>
      </c>
      <c r="K407" s="20">
        <v>1</v>
      </c>
      <c r="L407" s="20">
        <v>0</v>
      </c>
      <c r="M407" s="20">
        <v>0</v>
      </c>
      <c r="N407" s="20">
        <v>0</v>
      </c>
      <c r="O407" s="20">
        <v>0</v>
      </c>
      <c r="P407" s="20">
        <v>2</v>
      </c>
      <c r="Q407" s="20">
        <v>0</v>
      </c>
      <c r="R407" s="20">
        <v>0</v>
      </c>
      <c r="S407" s="20">
        <v>0</v>
      </c>
      <c r="T407" s="20">
        <v>2</v>
      </c>
      <c r="U407" s="20">
        <v>1</v>
      </c>
      <c r="V407" s="20">
        <v>0</v>
      </c>
      <c r="W407" s="20">
        <v>0</v>
      </c>
      <c r="X407" s="20">
        <v>0</v>
      </c>
      <c r="Y407" s="20">
        <v>0</v>
      </c>
      <c r="Z407" s="20">
        <v>2</v>
      </c>
      <c r="AA407" s="20">
        <v>0</v>
      </c>
      <c r="AB407" s="20">
        <v>0</v>
      </c>
      <c r="AC407" s="20">
        <v>0</v>
      </c>
      <c r="AD407" s="20">
        <v>0</v>
      </c>
      <c r="AE407" s="20">
        <v>0</v>
      </c>
      <c r="AF407" s="20">
        <v>0</v>
      </c>
      <c r="AG407" s="20">
        <v>0</v>
      </c>
      <c r="AH407" s="20">
        <v>0</v>
      </c>
      <c r="AI407" s="20">
        <v>0</v>
      </c>
      <c r="AJ407" s="20">
        <v>0</v>
      </c>
      <c r="AK407" s="20">
        <v>0</v>
      </c>
      <c r="AL407" s="20">
        <v>1</v>
      </c>
      <c r="AM407" s="20">
        <v>0</v>
      </c>
      <c r="AN407" s="20">
        <v>0</v>
      </c>
      <c r="AO407" s="20">
        <v>0</v>
      </c>
      <c r="AP407" s="20">
        <v>0</v>
      </c>
      <c r="AQ407" s="20">
        <v>0</v>
      </c>
      <c r="AR407" s="20">
        <v>0</v>
      </c>
      <c r="AS407" s="20">
        <v>0</v>
      </c>
      <c r="AT407" s="20">
        <v>0</v>
      </c>
      <c r="AU407" s="20">
        <v>0</v>
      </c>
      <c r="AV407" s="20">
        <v>0</v>
      </c>
      <c r="AW407" s="20">
        <v>0</v>
      </c>
      <c r="AX407" s="20">
        <v>0</v>
      </c>
      <c r="AY407" s="20">
        <v>0</v>
      </c>
      <c r="AZ407" s="20">
        <v>0</v>
      </c>
      <c r="BA407" s="20">
        <v>0</v>
      </c>
      <c r="BB407" s="20">
        <v>0</v>
      </c>
      <c r="BC407" s="20">
        <v>2</v>
      </c>
      <c r="BD407" s="20">
        <v>0</v>
      </c>
      <c r="BE407" s="20">
        <v>2</v>
      </c>
      <c r="BF407" s="20">
        <v>0</v>
      </c>
      <c r="BG407" s="20">
        <v>0</v>
      </c>
      <c r="BH407" s="20">
        <v>2</v>
      </c>
      <c r="BI407" s="20">
        <v>0</v>
      </c>
      <c r="BJ407" s="20">
        <v>0</v>
      </c>
      <c r="BK407" s="20">
        <v>0</v>
      </c>
      <c r="BL407" s="20">
        <v>0</v>
      </c>
      <c r="BM407" s="20">
        <v>1</v>
      </c>
      <c r="BN407" s="20">
        <v>0</v>
      </c>
      <c r="BO407" s="20">
        <v>0</v>
      </c>
      <c r="BP407" s="20">
        <v>0</v>
      </c>
      <c r="BQ407" s="20">
        <v>0</v>
      </c>
      <c r="BR407" s="20">
        <v>0</v>
      </c>
      <c r="BS407" s="20">
        <v>0</v>
      </c>
      <c r="BT407" s="20">
        <v>0</v>
      </c>
      <c r="BU407" s="20">
        <v>0</v>
      </c>
      <c r="BV407" s="20">
        <v>0</v>
      </c>
      <c r="BW407" s="20">
        <v>0</v>
      </c>
      <c r="BX407" s="20">
        <v>0</v>
      </c>
      <c r="BY407" s="20">
        <v>0</v>
      </c>
      <c r="BZ407" s="20">
        <v>0</v>
      </c>
      <c r="CA407" s="20">
        <v>0</v>
      </c>
      <c r="CB407" s="20">
        <v>0</v>
      </c>
      <c r="CC407" s="20">
        <v>0</v>
      </c>
      <c r="CD407" s="20">
        <v>0</v>
      </c>
      <c r="CE407" s="20">
        <v>0</v>
      </c>
      <c r="CF407" s="20">
        <v>0</v>
      </c>
      <c r="CG407" s="20">
        <v>0</v>
      </c>
      <c r="CH407" s="20">
        <v>0</v>
      </c>
      <c r="CI407" s="20">
        <v>0</v>
      </c>
      <c r="CJ407" s="20">
        <v>0</v>
      </c>
      <c r="CK407" s="20">
        <v>0</v>
      </c>
      <c r="CL407" s="20">
        <v>0</v>
      </c>
      <c r="CM407" s="20">
        <v>0</v>
      </c>
      <c r="CN407" s="20">
        <v>0</v>
      </c>
      <c r="CO407" s="20">
        <v>0</v>
      </c>
      <c r="CP407" s="20">
        <v>0</v>
      </c>
      <c r="CQ407" s="20">
        <v>0</v>
      </c>
      <c r="CR407" s="20">
        <v>0</v>
      </c>
      <c r="CS407" s="20">
        <v>0</v>
      </c>
      <c r="CT407" s="20">
        <v>0</v>
      </c>
      <c r="CU407" s="20">
        <v>0</v>
      </c>
      <c r="CV407" s="20">
        <v>0</v>
      </c>
      <c r="CW407" s="20">
        <v>0</v>
      </c>
      <c r="CX407" s="20">
        <v>0</v>
      </c>
      <c r="CY407" s="20">
        <v>0</v>
      </c>
      <c r="CZ407" s="20">
        <v>0</v>
      </c>
      <c r="DA407" s="20">
        <v>0</v>
      </c>
      <c r="DB407" s="20">
        <v>0</v>
      </c>
      <c r="DC407" s="20">
        <v>0</v>
      </c>
      <c r="DD407" s="20">
        <v>0</v>
      </c>
      <c r="DE407" s="20">
        <v>0</v>
      </c>
      <c r="DF407" s="20">
        <v>0</v>
      </c>
      <c r="DG407" s="16">
        <f t="shared" si="34"/>
        <v>18</v>
      </c>
      <c r="DH407" s="16">
        <f t="shared" si="35"/>
        <v>494</v>
      </c>
      <c r="DI407" s="17">
        <f t="shared" si="36"/>
        <v>27.444444444444443</v>
      </c>
      <c r="DJ407" s="119" t="s">
        <v>4</v>
      </c>
      <c r="DK407" s="119" t="s">
        <v>1530</v>
      </c>
    </row>
    <row r="408" spans="1:115">
      <c r="A408" s="32" t="str">
        <f t="shared" ref="A408:A471" si="37">B408&amp;"-"&amp;D408&amp;"-"&amp;E408</f>
        <v>Essential (Original)--&gt;22kVA and &lt;= 66kVA;  &gt; 40MVA and &lt;= 100MVA</v>
      </c>
      <c r="B408" s="32" t="str">
        <f t="shared" ref="B408:B471" si="38">IF(C408&gt;0,C408,B407)</f>
        <v>Essential (Original)</v>
      </c>
      <c r="C408" s="384"/>
      <c r="D408" s="14"/>
      <c r="E408" s="15" t="s">
        <v>533</v>
      </c>
      <c r="F408" s="18">
        <v>40.200000000000003</v>
      </c>
      <c r="G408" s="18">
        <v>6.3403469936589438</v>
      </c>
      <c r="H408" s="20">
        <v>0</v>
      </c>
      <c r="I408" s="20">
        <v>0</v>
      </c>
      <c r="J408" s="20">
        <v>2</v>
      </c>
      <c r="K408" s="20">
        <v>0</v>
      </c>
      <c r="L408" s="20">
        <v>0</v>
      </c>
      <c r="M408" s="20">
        <v>6</v>
      </c>
      <c r="N408" s="20">
        <v>2</v>
      </c>
      <c r="O408" s="20">
        <v>0</v>
      </c>
      <c r="P408" s="20">
        <v>2</v>
      </c>
      <c r="Q408" s="20">
        <v>1</v>
      </c>
      <c r="R408" s="20">
        <v>2</v>
      </c>
      <c r="S408" s="20">
        <v>1</v>
      </c>
      <c r="T408" s="20">
        <v>1</v>
      </c>
      <c r="U408" s="20">
        <v>1</v>
      </c>
      <c r="V408" s="20">
        <v>1</v>
      </c>
      <c r="W408" s="20">
        <v>0</v>
      </c>
      <c r="X408" s="20">
        <v>0</v>
      </c>
      <c r="Y408" s="20">
        <v>0</v>
      </c>
      <c r="Z408" s="20">
        <v>0</v>
      </c>
      <c r="AA408" s="20">
        <v>0</v>
      </c>
      <c r="AB408" s="20">
        <v>0</v>
      </c>
      <c r="AC408" s="20">
        <v>0</v>
      </c>
      <c r="AD408" s="20">
        <v>0</v>
      </c>
      <c r="AE408" s="20">
        <v>0</v>
      </c>
      <c r="AF408" s="20">
        <v>0</v>
      </c>
      <c r="AG408" s="20">
        <v>0</v>
      </c>
      <c r="AH408" s="20">
        <v>0</v>
      </c>
      <c r="AI408" s="20">
        <v>0</v>
      </c>
      <c r="AJ408" s="20">
        <v>0</v>
      </c>
      <c r="AK408" s="20">
        <v>4</v>
      </c>
      <c r="AL408" s="20">
        <v>0</v>
      </c>
      <c r="AM408" s="20">
        <v>1</v>
      </c>
      <c r="AN408" s="20">
        <v>1</v>
      </c>
      <c r="AO408" s="20">
        <v>0</v>
      </c>
      <c r="AP408" s="20">
        <v>0</v>
      </c>
      <c r="AQ408" s="20">
        <v>1</v>
      </c>
      <c r="AR408" s="20">
        <v>0</v>
      </c>
      <c r="AS408" s="20">
        <v>0</v>
      </c>
      <c r="AT408" s="20">
        <v>0</v>
      </c>
      <c r="AU408" s="20">
        <v>0</v>
      </c>
      <c r="AV408" s="20">
        <v>0</v>
      </c>
      <c r="AW408" s="20">
        <v>0</v>
      </c>
      <c r="AX408" s="20">
        <v>0</v>
      </c>
      <c r="AY408" s="20">
        <v>0</v>
      </c>
      <c r="AZ408" s="20">
        <v>0</v>
      </c>
      <c r="BA408" s="20">
        <v>0</v>
      </c>
      <c r="BB408" s="20">
        <v>0</v>
      </c>
      <c r="BC408" s="20">
        <v>0</v>
      </c>
      <c r="BD408" s="20">
        <v>0</v>
      </c>
      <c r="BE408" s="20">
        <v>0</v>
      </c>
      <c r="BF408" s="20">
        <v>0</v>
      </c>
      <c r="BG408" s="20">
        <v>0</v>
      </c>
      <c r="BH408" s="20">
        <v>0</v>
      </c>
      <c r="BI408" s="20">
        <v>0</v>
      </c>
      <c r="BJ408" s="20">
        <v>0</v>
      </c>
      <c r="BK408" s="20">
        <v>0</v>
      </c>
      <c r="BL408" s="20">
        <v>0</v>
      </c>
      <c r="BM408" s="20">
        <v>0</v>
      </c>
      <c r="BN408" s="20">
        <v>0</v>
      </c>
      <c r="BO408" s="20">
        <v>0</v>
      </c>
      <c r="BP408" s="20">
        <v>0</v>
      </c>
      <c r="BQ408" s="20">
        <v>0</v>
      </c>
      <c r="BR408" s="20">
        <v>0</v>
      </c>
      <c r="BS408" s="20">
        <v>0</v>
      </c>
      <c r="BT408" s="20">
        <v>0</v>
      </c>
      <c r="BU408" s="20">
        <v>0</v>
      </c>
      <c r="BV408" s="20">
        <v>0</v>
      </c>
      <c r="BW408" s="20">
        <v>0</v>
      </c>
      <c r="BX408" s="20">
        <v>0</v>
      </c>
      <c r="BY408" s="20">
        <v>0</v>
      </c>
      <c r="BZ408" s="20">
        <v>0</v>
      </c>
      <c r="CA408" s="20">
        <v>0</v>
      </c>
      <c r="CB408" s="20">
        <v>0</v>
      </c>
      <c r="CC408" s="20">
        <v>0</v>
      </c>
      <c r="CD408" s="20">
        <v>0</v>
      </c>
      <c r="CE408" s="20">
        <v>0</v>
      </c>
      <c r="CF408" s="20">
        <v>0</v>
      </c>
      <c r="CG408" s="20">
        <v>0</v>
      </c>
      <c r="CH408" s="20">
        <v>0</v>
      </c>
      <c r="CI408" s="20">
        <v>0</v>
      </c>
      <c r="CJ408" s="20">
        <v>0</v>
      </c>
      <c r="CK408" s="20">
        <v>0</v>
      </c>
      <c r="CL408" s="20">
        <v>0</v>
      </c>
      <c r="CM408" s="20">
        <v>0</v>
      </c>
      <c r="CN408" s="20">
        <v>0</v>
      </c>
      <c r="CO408" s="20">
        <v>0</v>
      </c>
      <c r="CP408" s="20">
        <v>0</v>
      </c>
      <c r="CQ408" s="20">
        <v>0</v>
      </c>
      <c r="CR408" s="20">
        <v>0</v>
      </c>
      <c r="CS408" s="20">
        <v>0</v>
      </c>
      <c r="CT408" s="20">
        <v>0</v>
      </c>
      <c r="CU408" s="20">
        <v>0</v>
      </c>
      <c r="CV408" s="20">
        <v>0</v>
      </c>
      <c r="CW408" s="20">
        <v>0</v>
      </c>
      <c r="CX408" s="20">
        <v>0</v>
      </c>
      <c r="CY408" s="20">
        <v>0</v>
      </c>
      <c r="CZ408" s="20">
        <v>0</v>
      </c>
      <c r="DA408" s="20">
        <v>0</v>
      </c>
      <c r="DB408" s="20">
        <v>0</v>
      </c>
      <c r="DC408" s="20">
        <v>0</v>
      </c>
      <c r="DD408" s="20">
        <v>0</v>
      </c>
      <c r="DE408" s="20">
        <v>0</v>
      </c>
      <c r="DF408" s="20">
        <v>0</v>
      </c>
      <c r="DG408" s="16">
        <f t="shared" si="34"/>
        <v>26</v>
      </c>
      <c r="DH408" s="16">
        <f t="shared" si="35"/>
        <v>381</v>
      </c>
      <c r="DI408" s="17">
        <f t="shared" si="36"/>
        <v>14.653846153846153</v>
      </c>
      <c r="DJ408" s="119" t="s">
        <v>4</v>
      </c>
      <c r="DK408" s="119" t="s">
        <v>1530</v>
      </c>
    </row>
    <row r="409" spans="1:115">
      <c r="A409" s="32" t="str">
        <f t="shared" si="37"/>
        <v>Essential (Original)--&gt;22kVA and &lt;= 66kVA ; &gt; 100MVA</v>
      </c>
      <c r="B409" s="32" t="str">
        <f t="shared" si="38"/>
        <v>Essential (Original)</v>
      </c>
      <c r="C409" s="384"/>
      <c r="D409" s="14"/>
      <c r="E409" s="15" t="s">
        <v>534</v>
      </c>
      <c r="F409" s="18">
        <v>40.200000000000003</v>
      </c>
      <c r="G409" s="18">
        <v>6.3403469936589438</v>
      </c>
      <c r="H409" s="20">
        <v>0</v>
      </c>
      <c r="I409" s="20">
        <v>0</v>
      </c>
      <c r="J409" s="20">
        <v>0</v>
      </c>
      <c r="K409" s="20">
        <v>0</v>
      </c>
      <c r="L409" s="20">
        <v>0</v>
      </c>
      <c r="M409" s="20">
        <v>0</v>
      </c>
      <c r="N409" s="20">
        <v>0</v>
      </c>
      <c r="O409" s="20">
        <v>3</v>
      </c>
      <c r="P409" s="20">
        <v>0</v>
      </c>
      <c r="Q409" s="20">
        <v>0</v>
      </c>
      <c r="R409" s="20">
        <v>0</v>
      </c>
      <c r="S409" s="20">
        <v>0</v>
      </c>
      <c r="T409" s="20">
        <v>0</v>
      </c>
      <c r="U409" s="20">
        <v>0</v>
      </c>
      <c r="V409" s="20">
        <v>0</v>
      </c>
      <c r="W409" s="20">
        <v>0</v>
      </c>
      <c r="X409" s="20">
        <v>0</v>
      </c>
      <c r="Y409" s="20">
        <v>0</v>
      </c>
      <c r="Z409" s="20">
        <v>0</v>
      </c>
      <c r="AA409" s="20">
        <v>0</v>
      </c>
      <c r="AB409" s="20">
        <v>0</v>
      </c>
      <c r="AC409" s="20">
        <v>0</v>
      </c>
      <c r="AD409" s="20">
        <v>0</v>
      </c>
      <c r="AE409" s="20">
        <v>0</v>
      </c>
      <c r="AF409" s="20">
        <v>0</v>
      </c>
      <c r="AG409" s="20">
        <v>0</v>
      </c>
      <c r="AH409" s="20">
        <v>0</v>
      </c>
      <c r="AI409" s="20">
        <v>0</v>
      </c>
      <c r="AJ409" s="20">
        <v>0</v>
      </c>
      <c r="AK409" s="20">
        <v>0</v>
      </c>
      <c r="AL409" s="20">
        <v>0</v>
      </c>
      <c r="AM409" s="20">
        <v>0</v>
      </c>
      <c r="AN409" s="20">
        <v>0</v>
      </c>
      <c r="AO409" s="20">
        <v>0</v>
      </c>
      <c r="AP409" s="20">
        <v>0</v>
      </c>
      <c r="AQ409" s="20">
        <v>0</v>
      </c>
      <c r="AR409" s="20">
        <v>0</v>
      </c>
      <c r="AS409" s="20">
        <v>0</v>
      </c>
      <c r="AT409" s="20">
        <v>0</v>
      </c>
      <c r="AU409" s="20">
        <v>0</v>
      </c>
      <c r="AV409" s="20">
        <v>0</v>
      </c>
      <c r="AW409" s="20">
        <v>0</v>
      </c>
      <c r="AX409" s="20">
        <v>0</v>
      </c>
      <c r="AY409" s="20">
        <v>0</v>
      </c>
      <c r="AZ409" s="20">
        <v>0</v>
      </c>
      <c r="BA409" s="20">
        <v>0</v>
      </c>
      <c r="BB409" s="20">
        <v>0</v>
      </c>
      <c r="BC409" s="20">
        <v>0</v>
      </c>
      <c r="BD409" s="20">
        <v>0</v>
      </c>
      <c r="BE409" s="20">
        <v>0</v>
      </c>
      <c r="BF409" s="20">
        <v>0</v>
      </c>
      <c r="BG409" s="20">
        <v>0</v>
      </c>
      <c r="BH409" s="20">
        <v>0</v>
      </c>
      <c r="BI409" s="20">
        <v>0</v>
      </c>
      <c r="BJ409" s="20">
        <v>0</v>
      </c>
      <c r="BK409" s="20">
        <v>0</v>
      </c>
      <c r="BL409" s="20">
        <v>0</v>
      </c>
      <c r="BM409" s="20">
        <v>0</v>
      </c>
      <c r="BN409" s="20">
        <v>0</v>
      </c>
      <c r="BO409" s="20">
        <v>0</v>
      </c>
      <c r="BP409" s="20">
        <v>0</v>
      </c>
      <c r="BQ409" s="20">
        <v>0</v>
      </c>
      <c r="BR409" s="20">
        <v>0</v>
      </c>
      <c r="BS409" s="20">
        <v>0</v>
      </c>
      <c r="BT409" s="20">
        <v>0</v>
      </c>
      <c r="BU409" s="20">
        <v>0</v>
      </c>
      <c r="BV409" s="20">
        <v>0</v>
      </c>
      <c r="BW409" s="20">
        <v>0</v>
      </c>
      <c r="BX409" s="20">
        <v>0</v>
      </c>
      <c r="BY409" s="20">
        <v>0</v>
      </c>
      <c r="BZ409" s="20">
        <v>0</v>
      </c>
      <c r="CA409" s="20">
        <v>0</v>
      </c>
      <c r="CB409" s="20">
        <v>0</v>
      </c>
      <c r="CC409" s="20">
        <v>0</v>
      </c>
      <c r="CD409" s="20">
        <v>0</v>
      </c>
      <c r="CE409" s="20">
        <v>0</v>
      </c>
      <c r="CF409" s="20">
        <v>0</v>
      </c>
      <c r="CG409" s="20">
        <v>0</v>
      </c>
      <c r="CH409" s="20">
        <v>0</v>
      </c>
      <c r="CI409" s="20">
        <v>0</v>
      </c>
      <c r="CJ409" s="20">
        <v>0</v>
      </c>
      <c r="CK409" s="20">
        <v>0</v>
      </c>
      <c r="CL409" s="20">
        <v>0</v>
      </c>
      <c r="CM409" s="20">
        <v>0</v>
      </c>
      <c r="CN409" s="20">
        <v>0</v>
      </c>
      <c r="CO409" s="20">
        <v>0</v>
      </c>
      <c r="CP409" s="20">
        <v>0</v>
      </c>
      <c r="CQ409" s="20">
        <v>0</v>
      </c>
      <c r="CR409" s="20">
        <v>0</v>
      </c>
      <c r="CS409" s="20">
        <v>0</v>
      </c>
      <c r="CT409" s="20">
        <v>0</v>
      </c>
      <c r="CU409" s="20">
        <v>0</v>
      </c>
      <c r="CV409" s="20">
        <v>0</v>
      </c>
      <c r="CW409" s="20">
        <v>0</v>
      </c>
      <c r="CX409" s="20">
        <v>0</v>
      </c>
      <c r="CY409" s="20">
        <v>0</v>
      </c>
      <c r="CZ409" s="20">
        <v>0</v>
      </c>
      <c r="DA409" s="20">
        <v>0</v>
      </c>
      <c r="DB409" s="20">
        <v>0</v>
      </c>
      <c r="DC409" s="20">
        <v>0</v>
      </c>
      <c r="DD409" s="20">
        <v>0</v>
      </c>
      <c r="DE409" s="20">
        <v>0</v>
      </c>
      <c r="DF409" s="20">
        <v>0</v>
      </c>
      <c r="DG409" s="16">
        <f t="shared" si="34"/>
        <v>3</v>
      </c>
      <c r="DH409" s="16">
        <f t="shared" si="35"/>
        <v>24</v>
      </c>
      <c r="DI409" s="17">
        <f t="shared" si="36"/>
        <v>8</v>
      </c>
      <c r="DJ409" s="119" t="s">
        <v>4</v>
      </c>
      <c r="DK409" s="119" t="s">
        <v>1530</v>
      </c>
    </row>
    <row r="410" spans="1:115" ht="45">
      <c r="A410" s="32" t="str">
        <f t="shared" si="37"/>
        <v>Essential (Original)-SWITCHGEAR BY: 
HIGHEST OPERATING VOLTAGE ; SWITCH FUNCTION-˂ = 11 kV ;  FUSE</v>
      </c>
      <c r="B410" s="32" t="str">
        <f t="shared" si="38"/>
        <v>Essential (Original)</v>
      </c>
      <c r="C410" s="384"/>
      <c r="D410" s="14" t="s">
        <v>545</v>
      </c>
      <c r="E410" s="15" t="s">
        <v>246</v>
      </c>
      <c r="F410" s="18">
        <v>53.8</v>
      </c>
      <c r="G410" s="18">
        <v>7.334848328356899</v>
      </c>
      <c r="H410" s="20">
        <v>7664</v>
      </c>
      <c r="I410" s="20">
        <v>11058</v>
      </c>
      <c r="J410" s="20">
        <v>9144</v>
      </c>
      <c r="K410" s="20">
        <v>9393</v>
      </c>
      <c r="L410" s="20">
        <v>6518</v>
      </c>
      <c r="M410" s="20">
        <v>7231</v>
      </c>
      <c r="N410" s="20">
        <v>6172</v>
      </c>
      <c r="O410" s="20">
        <v>7231</v>
      </c>
      <c r="P410" s="20">
        <v>6291</v>
      </c>
      <c r="Q410" s="20">
        <v>6129</v>
      </c>
      <c r="R410" s="20">
        <v>3978</v>
      </c>
      <c r="S410" s="20">
        <v>4291</v>
      </c>
      <c r="T410" s="20">
        <v>5156</v>
      </c>
      <c r="U410" s="20">
        <v>3956</v>
      </c>
      <c r="V410" s="20">
        <v>2929</v>
      </c>
      <c r="W410" s="20">
        <v>2778</v>
      </c>
      <c r="X410" s="20">
        <v>3048</v>
      </c>
      <c r="Y410" s="20">
        <v>3145</v>
      </c>
      <c r="Z410" s="20">
        <v>5750</v>
      </c>
      <c r="AA410" s="20">
        <v>5945</v>
      </c>
      <c r="AB410" s="20">
        <v>5221</v>
      </c>
      <c r="AC410" s="20">
        <v>5523</v>
      </c>
      <c r="AD410" s="20">
        <v>7285</v>
      </c>
      <c r="AE410" s="20">
        <v>7188</v>
      </c>
      <c r="AF410" s="20">
        <v>6204</v>
      </c>
      <c r="AG410" s="20">
        <v>6053</v>
      </c>
      <c r="AH410" s="20">
        <v>8031</v>
      </c>
      <c r="AI410" s="20">
        <v>5848</v>
      </c>
      <c r="AJ410" s="20">
        <v>14484</v>
      </c>
      <c r="AK410" s="20">
        <v>4864</v>
      </c>
      <c r="AL410" s="20">
        <v>3189</v>
      </c>
      <c r="AM410" s="20">
        <v>5750</v>
      </c>
      <c r="AN410" s="20">
        <v>5523</v>
      </c>
      <c r="AO410" s="20">
        <v>6442</v>
      </c>
      <c r="AP410" s="20">
        <v>3383</v>
      </c>
      <c r="AQ410" s="20">
        <v>4605</v>
      </c>
      <c r="AR410" s="20">
        <v>4875</v>
      </c>
      <c r="AS410" s="20">
        <v>4410</v>
      </c>
      <c r="AT410" s="20">
        <v>5188</v>
      </c>
      <c r="AU410" s="20">
        <v>4486</v>
      </c>
      <c r="AV410" s="20">
        <v>4302</v>
      </c>
      <c r="AW410" s="20">
        <v>4421</v>
      </c>
      <c r="AX410" s="20">
        <v>5545</v>
      </c>
      <c r="AY410" s="20">
        <v>9134</v>
      </c>
      <c r="AZ410" s="20">
        <v>6421</v>
      </c>
      <c r="BA410" s="20">
        <v>4615</v>
      </c>
      <c r="BB410" s="20">
        <v>3686</v>
      </c>
      <c r="BC410" s="20">
        <v>8334</v>
      </c>
      <c r="BD410" s="20">
        <v>5545</v>
      </c>
      <c r="BE410" s="20">
        <v>1794</v>
      </c>
      <c r="BF410" s="20">
        <v>1286</v>
      </c>
      <c r="BG410" s="20">
        <v>2097</v>
      </c>
      <c r="BH410" s="20">
        <v>5221</v>
      </c>
      <c r="BI410" s="20">
        <v>11976</v>
      </c>
      <c r="BJ410" s="20">
        <v>1221</v>
      </c>
      <c r="BK410" s="20">
        <v>2346</v>
      </c>
      <c r="BL410" s="20">
        <v>1362</v>
      </c>
      <c r="BM410" s="20">
        <v>2540</v>
      </c>
      <c r="BN410" s="20">
        <v>4313</v>
      </c>
      <c r="BO410" s="20">
        <v>3254</v>
      </c>
      <c r="BP410" s="20">
        <v>465</v>
      </c>
      <c r="BQ410" s="20">
        <v>1557</v>
      </c>
      <c r="BR410" s="20">
        <v>108</v>
      </c>
      <c r="BS410" s="20">
        <v>6821</v>
      </c>
      <c r="BT410" s="20">
        <v>530</v>
      </c>
      <c r="BU410" s="20">
        <v>108</v>
      </c>
      <c r="BV410" s="20">
        <v>130</v>
      </c>
      <c r="BW410" s="20">
        <v>141</v>
      </c>
      <c r="BX410" s="20">
        <v>65</v>
      </c>
      <c r="BY410" s="20">
        <v>22</v>
      </c>
      <c r="BZ410" s="20">
        <v>0</v>
      </c>
      <c r="CA410" s="20">
        <v>11</v>
      </c>
      <c r="CB410" s="20">
        <v>0</v>
      </c>
      <c r="CC410" s="20">
        <v>162</v>
      </c>
      <c r="CD410" s="20">
        <v>32</v>
      </c>
      <c r="CE410" s="20">
        <v>32</v>
      </c>
      <c r="CF410" s="20">
        <v>22</v>
      </c>
      <c r="CG410" s="20">
        <v>97</v>
      </c>
      <c r="CH410" s="20">
        <v>0</v>
      </c>
      <c r="CI410" s="20">
        <v>22</v>
      </c>
      <c r="CJ410" s="20">
        <v>0</v>
      </c>
      <c r="CK410" s="20">
        <v>32</v>
      </c>
      <c r="CL410" s="20">
        <v>0</v>
      </c>
      <c r="CM410" s="20">
        <v>162</v>
      </c>
      <c r="CN410" s="20">
        <v>0</v>
      </c>
      <c r="CO410" s="20">
        <v>0</v>
      </c>
      <c r="CP410" s="20">
        <v>0</v>
      </c>
      <c r="CQ410" s="20">
        <v>0</v>
      </c>
      <c r="CR410" s="20">
        <v>0</v>
      </c>
      <c r="CS410" s="20">
        <v>0</v>
      </c>
      <c r="CT410" s="20">
        <v>0</v>
      </c>
      <c r="CU410" s="20">
        <v>0</v>
      </c>
      <c r="CV410" s="20">
        <v>0</v>
      </c>
      <c r="CW410" s="20">
        <v>0</v>
      </c>
      <c r="CX410" s="20">
        <v>0</v>
      </c>
      <c r="CY410" s="20">
        <v>0</v>
      </c>
      <c r="CZ410" s="20">
        <v>0</v>
      </c>
      <c r="DA410" s="20">
        <v>0</v>
      </c>
      <c r="DB410" s="20">
        <v>0</v>
      </c>
      <c r="DC410" s="20">
        <v>0</v>
      </c>
      <c r="DD410" s="20">
        <v>0</v>
      </c>
      <c r="DE410" s="20">
        <v>0</v>
      </c>
      <c r="DF410" s="20">
        <v>0</v>
      </c>
      <c r="DG410" s="16">
        <f t="shared" si="34"/>
        <v>336291</v>
      </c>
      <c r="DH410" s="16">
        <f t="shared" si="35"/>
        <v>9649189</v>
      </c>
      <c r="DI410" s="17">
        <f t="shared" si="36"/>
        <v>28.692974239572276</v>
      </c>
      <c r="DJ410" s="119" t="s">
        <v>2</v>
      </c>
      <c r="DK410" t="s">
        <v>2</v>
      </c>
    </row>
    <row r="411" spans="1:115">
      <c r="A411" s="32" t="str">
        <f t="shared" si="37"/>
        <v>Essential (Original)--˂ = 11 kV  ; SWITCH</v>
      </c>
      <c r="B411" s="32" t="str">
        <f t="shared" si="38"/>
        <v>Essential (Original)</v>
      </c>
      <c r="C411" s="384"/>
      <c r="D411" s="14"/>
      <c r="E411" s="15" t="s">
        <v>247</v>
      </c>
      <c r="F411" s="18">
        <v>53.8</v>
      </c>
      <c r="G411" s="18">
        <v>7.334848328356899</v>
      </c>
      <c r="H411" s="20">
        <v>1649</v>
      </c>
      <c r="I411" s="20">
        <v>2234</v>
      </c>
      <c r="J411" s="20">
        <v>2075</v>
      </c>
      <c r="K411" s="20">
        <v>1555</v>
      </c>
      <c r="L411" s="20">
        <v>1312</v>
      </c>
      <c r="M411" s="20">
        <v>1218</v>
      </c>
      <c r="N411" s="20">
        <v>1143</v>
      </c>
      <c r="O411" s="20">
        <v>950</v>
      </c>
      <c r="P411" s="20">
        <v>910</v>
      </c>
      <c r="Q411" s="20">
        <v>673</v>
      </c>
      <c r="R411" s="20">
        <v>585</v>
      </c>
      <c r="S411" s="20">
        <v>551</v>
      </c>
      <c r="T411" s="20">
        <v>524</v>
      </c>
      <c r="U411" s="20">
        <v>451</v>
      </c>
      <c r="V411" s="20">
        <v>334</v>
      </c>
      <c r="W411" s="20">
        <v>407</v>
      </c>
      <c r="X411" s="20">
        <v>262</v>
      </c>
      <c r="Y411" s="20">
        <v>365</v>
      </c>
      <c r="Z411" s="20">
        <v>643</v>
      </c>
      <c r="AA411" s="20">
        <v>787</v>
      </c>
      <c r="AB411" s="20">
        <v>713</v>
      </c>
      <c r="AC411" s="20">
        <v>733</v>
      </c>
      <c r="AD411" s="20">
        <v>812</v>
      </c>
      <c r="AE411" s="20">
        <v>802</v>
      </c>
      <c r="AF411" s="20">
        <v>710</v>
      </c>
      <c r="AG411" s="20">
        <v>660</v>
      </c>
      <c r="AH411" s="20">
        <v>816</v>
      </c>
      <c r="AI411" s="20">
        <v>710</v>
      </c>
      <c r="AJ411" s="20">
        <v>1135</v>
      </c>
      <c r="AK411" s="20">
        <v>564</v>
      </c>
      <c r="AL411" s="20">
        <v>464</v>
      </c>
      <c r="AM411" s="20">
        <v>742</v>
      </c>
      <c r="AN411" s="20">
        <v>766</v>
      </c>
      <c r="AO411" s="20">
        <v>772</v>
      </c>
      <c r="AP411" s="20">
        <v>438</v>
      </c>
      <c r="AQ411" s="20">
        <v>570</v>
      </c>
      <c r="AR411" s="20">
        <v>669</v>
      </c>
      <c r="AS411" s="20">
        <v>498</v>
      </c>
      <c r="AT411" s="20">
        <v>641</v>
      </c>
      <c r="AU411" s="20">
        <v>587</v>
      </c>
      <c r="AV411" s="20">
        <v>596</v>
      </c>
      <c r="AW411" s="20">
        <v>634</v>
      </c>
      <c r="AX411" s="20">
        <v>767</v>
      </c>
      <c r="AY411" s="20">
        <v>1356</v>
      </c>
      <c r="AZ411" s="20">
        <v>839</v>
      </c>
      <c r="BA411" s="20">
        <v>600</v>
      </c>
      <c r="BB411" s="20">
        <v>479</v>
      </c>
      <c r="BC411" s="20">
        <v>1156</v>
      </c>
      <c r="BD411" s="20">
        <v>863</v>
      </c>
      <c r="BE411" s="20">
        <v>212</v>
      </c>
      <c r="BF411" s="20">
        <v>248</v>
      </c>
      <c r="BG411" s="20">
        <v>151</v>
      </c>
      <c r="BH411" s="20">
        <v>399</v>
      </c>
      <c r="BI411" s="20">
        <v>1452</v>
      </c>
      <c r="BJ411" s="20">
        <v>60</v>
      </c>
      <c r="BK411" s="20">
        <v>251</v>
      </c>
      <c r="BL411" s="20">
        <v>113</v>
      </c>
      <c r="BM411" s="20">
        <v>130</v>
      </c>
      <c r="BN411" s="20">
        <v>543</v>
      </c>
      <c r="BO411" s="20">
        <v>75</v>
      </c>
      <c r="BP411" s="20">
        <v>214</v>
      </c>
      <c r="BQ411" s="20">
        <v>406</v>
      </c>
      <c r="BR411" s="20">
        <v>14</v>
      </c>
      <c r="BS411" s="20">
        <v>1205</v>
      </c>
      <c r="BT411" s="20">
        <v>123</v>
      </c>
      <c r="BU411" s="20">
        <v>28</v>
      </c>
      <c r="BV411" s="20">
        <v>10</v>
      </c>
      <c r="BW411" s="20">
        <v>33</v>
      </c>
      <c r="BX411" s="20">
        <v>10</v>
      </c>
      <c r="BY411" s="20">
        <v>2</v>
      </c>
      <c r="BZ411" s="20">
        <v>3</v>
      </c>
      <c r="CA411" s="20">
        <v>4</v>
      </c>
      <c r="CB411" s="20">
        <v>0</v>
      </c>
      <c r="CC411" s="20">
        <v>15</v>
      </c>
      <c r="CD411" s="20">
        <v>5</v>
      </c>
      <c r="CE411" s="20">
        <v>9</v>
      </c>
      <c r="CF411" s="20">
        <v>1</v>
      </c>
      <c r="CG411" s="20">
        <v>6</v>
      </c>
      <c r="CH411" s="20">
        <v>1</v>
      </c>
      <c r="CI411" s="20">
        <v>1</v>
      </c>
      <c r="CJ411" s="20">
        <v>0</v>
      </c>
      <c r="CK411" s="20">
        <v>0</v>
      </c>
      <c r="CL411" s="20">
        <v>0</v>
      </c>
      <c r="CM411" s="20">
        <v>53</v>
      </c>
      <c r="CN411" s="20">
        <v>0</v>
      </c>
      <c r="CO411" s="20">
        <v>0</v>
      </c>
      <c r="CP411" s="20">
        <v>0</v>
      </c>
      <c r="CQ411" s="20">
        <v>0</v>
      </c>
      <c r="CR411" s="20">
        <v>1</v>
      </c>
      <c r="CS411" s="20">
        <v>0</v>
      </c>
      <c r="CT411" s="20">
        <v>0</v>
      </c>
      <c r="CU411" s="20">
        <v>0</v>
      </c>
      <c r="CV411" s="20">
        <v>0</v>
      </c>
      <c r="CW411" s="20">
        <v>0</v>
      </c>
      <c r="CX411" s="20">
        <v>0</v>
      </c>
      <c r="CY411" s="20">
        <v>0</v>
      </c>
      <c r="CZ411" s="20">
        <v>0</v>
      </c>
      <c r="DA411" s="20">
        <v>0</v>
      </c>
      <c r="DB411" s="20">
        <v>0</v>
      </c>
      <c r="DC411" s="20">
        <v>0</v>
      </c>
      <c r="DD411" s="20">
        <v>0</v>
      </c>
      <c r="DE411" s="20">
        <v>0</v>
      </c>
      <c r="DF411" s="20">
        <v>0</v>
      </c>
      <c r="DG411" s="16">
        <f t="shared" si="34"/>
        <v>45498</v>
      </c>
      <c r="DH411" s="16">
        <f t="shared" si="35"/>
        <v>1218578</v>
      </c>
      <c r="DI411" s="17">
        <f t="shared" si="36"/>
        <v>26.78311134555365</v>
      </c>
      <c r="DJ411" s="119" t="s">
        <v>2</v>
      </c>
      <c r="DK411" s="44" t="s">
        <v>2</v>
      </c>
    </row>
    <row r="412" spans="1:115">
      <c r="A412" s="32" t="str">
        <f t="shared" si="37"/>
        <v>Essential (Original)--˂ = 11 kV ;  CIRCUIT BREAKER</v>
      </c>
      <c r="B412" s="32" t="str">
        <f t="shared" si="38"/>
        <v>Essential (Original)</v>
      </c>
      <c r="C412" s="384"/>
      <c r="D412" s="14"/>
      <c r="E412" s="15" t="s">
        <v>248</v>
      </c>
      <c r="F412" s="18">
        <v>53.8</v>
      </c>
      <c r="G412" s="18">
        <v>7.334848328356899</v>
      </c>
      <c r="H412" s="20">
        <v>356</v>
      </c>
      <c r="I412" s="20">
        <v>572</v>
      </c>
      <c r="J412" s="20">
        <v>731</v>
      </c>
      <c r="K412" s="20">
        <v>502</v>
      </c>
      <c r="L412" s="20">
        <v>812</v>
      </c>
      <c r="M412" s="20">
        <v>745</v>
      </c>
      <c r="N412" s="20">
        <v>998</v>
      </c>
      <c r="O412" s="20">
        <v>693</v>
      </c>
      <c r="P412" s="20">
        <v>753</v>
      </c>
      <c r="Q412" s="20">
        <v>553</v>
      </c>
      <c r="R412" s="20">
        <v>208</v>
      </c>
      <c r="S412" s="20">
        <v>326</v>
      </c>
      <c r="T412" s="20">
        <v>267</v>
      </c>
      <c r="U412" s="20">
        <v>197</v>
      </c>
      <c r="V412" s="20">
        <v>121</v>
      </c>
      <c r="W412" s="20">
        <v>81</v>
      </c>
      <c r="X412" s="20">
        <v>127</v>
      </c>
      <c r="Y412" s="20">
        <v>49</v>
      </c>
      <c r="Z412" s="20">
        <v>245</v>
      </c>
      <c r="AA412" s="20">
        <v>116</v>
      </c>
      <c r="AB412" s="20">
        <v>140</v>
      </c>
      <c r="AC412" s="20">
        <v>165</v>
      </c>
      <c r="AD412" s="20">
        <v>173</v>
      </c>
      <c r="AE412" s="20">
        <v>148</v>
      </c>
      <c r="AF412" s="20">
        <v>129</v>
      </c>
      <c r="AG412" s="20">
        <v>73</v>
      </c>
      <c r="AH412" s="20">
        <v>197</v>
      </c>
      <c r="AI412" s="20">
        <v>54</v>
      </c>
      <c r="AJ412" s="20">
        <v>138</v>
      </c>
      <c r="AK412" s="20">
        <v>40</v>
      </c>
      <c r="AL412" s="20">
        <v>59</v>
      </c>
      <c r="AM412" s="20">
        <v>186</v>
      </c>
      <c r="AN412" s="20">
        <v>78</v>
      </c>
      <c r="AO412" s="20">
        <v>84</v>
      </c>
      <c r="AP412" s="20">
        <v>24</v>
      </c>
      <c r="AQ412" s="20">
        <v>76</v>
      </c>
      <c r="AR412" s="20">
        <v>108</v>
      </c>
      <c r="AS412" s="20">
        <v>35</v>
      </c>
      <c r="AT412" s="20">
        <v>76</v>
      </c>
      <c r="AU412" s="20">
        <v>30</v>
      </c>
      <c r="AV412" s="20">
        <v>54</v>
      </c>
      <c r="AW412" s="20">
        <v>78</v>
      </c>
      <c r="AX412" s="20">
        <v>59</v>
      </c>
      <c r="AY412" s="20">
        <v>70</v>
      </c>
      <c r="AZ412" s="20">
        <v>143</v>
      </c>
      <c r="BA412" s="20">
        <v>143</v>
      </c>
      <c r="BB412" s="20">
        <v>32</v>
      </c>
      <c r="BC412" s="20">
        <v>81</v>
      </c>
      <c r="BD412" s="20">
        <v>127</v>
      </c>
      <c r="BE412" s="20">
        <v>8</v>
      </c>
      <c r="BF412" s="20">
        <v>5</v>
      </c>
      <c r="BG412" s="20">
        <v>5</v>
      </c>
      <c r="BH412" s="20">
        <v>5</v>
      </c>
      <c r="BI412" s="20">
        <v>32</v>
      </c>
      <c r="BJ412" s="20">
        <v>0</v>
      </c>
      <c r="BK412" s="20">
        <v>8</v>
      </c>
      <c r="BL412" s="20">
        <v>8</v>
      </c>
      <c r="BM412" s="20">
        <v>11</v>
      </c>
      <c r="BN412" s="20">
        <v>57</v>
      </c>
      <c r="BO412" s="20">
        <v>0</v>
      </c>
      <c r="BP412" s="20">
        <v>8</v>
      </c>
      <c r="BQ412" s="20">
        <v>19</v>
      </c>
      <c r="BR412" s="20">
        <v>3</v>
      </c>
      <c r="BS412" s="20">
        <v>51</v>
      </c>
      <c r="BT412" s="20">
        <v>0</v>
      </c>
      <c r="BU412" s="20">
        <v>0</v>
      </c>
      <c r="BV412" s="20">
        <v>0</v>
      </c>
      <c r="BW412" s="20">
        <v>0</v>
      </c>
      <c r="BX412" s="20">
        <v>3</v>
      </c>
      <c r="BY412" s="20">
        <v>0</v>
      </c>
      <c r="BZ412" s="20">
        <v>0</v>
      </c>
      <c r="CA412" s="20">
        <v>0</v>
      </c>
      <c r="CB412" s="20">
        <v>0</v>
      </c>
      <c r="CC412" s="20">
        <v>5</v>
      </c>
      <c r="CD412" s="20">
        <v>0</v>
      </c>
      <c r="CE412" s="20">
        <v>0</v>
      </c>
      <c r="CF412" s="20">
        <v>0</v>
      </c>
      <c r="CG412" s="20">
        <v>3</v>
      </c>
      <c r="CH412" s="20">
        <v>3</v>
      </c>
      <c r="CI412" s="20">
        <v>0</v>
      </c>
      <c r="CJ412" s="20">
        <v>0</v>
      </c>
      <c r="CK412" s="20">
        <v>0</v>
      </c>
      <c r="CL412" s="20">
        <v>0</v>
      </c>
      <c r="CM412" s="20">
        <v>0</v>
      </c>
      <c r="CN412" s="20">
        <v>0</v>
      </c>
      <c r="CO412" s="20">
        <v>0</v>
      </c>
      <c r="CP412" s="20">
        <v>0</v>
      </c>
      <c r="CQ412" s="20">
        <v>0</v>
      </c>
      <c r="CR412" s="20">
        <v>0</v>
      </c>
      <c r="CS412" s="20">
        <v>0</v>
      </c>
      <c r="CT412" s="20">
        <v>0</v>
      </c>
      <c r="CU412" s="20">
        <v>0</v>
      </c>
      <c r="CV412" s="20">
        <v>0</v>
      </c>
      <c r="CW412" s="20">
        <v>0</v>
      </c>
      <c r="CX412" s="20">
        <v>0</v>
      </c>
      <c r="CY412" s="20">
        <v>0</v>
      </c>
      <c r="CZ412" s="20">
        <v>0</v>
      </c>
      <c r="DA412" s="20">
        <v>0</v>
      </c>
      <c r="DB412" s="20">
        <v>0</v>
      </c>
      <c r="DC412" s="20">
        <v>0</v>
      </c>
      <c r="DD412" s="20">
        <v>0</v>
      </c>
      <c r="DE412" s="20">
        <v>0</v>
      </c>
      <c r="DF412" s="20">
        <v>0</v>
      </c>
      <c r="DG412" s="16">
        <f t="shared" si="34"/>
        <v>11486</v>
      </c>
      <c r="DH412" s="16">
        <f t="shared" si="35"/>
        <v>171873</v>
      </c>
      <c r="DI412" s="17">
        <f t="shared" si="36"/>
        <v>14.963694932961866</v>
      </c>
      <c r="DJ412" s="119" t="s">
        <v>2</v>
      </c>
      <c r="DK412" s="44" t="s">
        <v>2</v>
      </c>
    </row>
    <row r="413" spans="1:115">
      <c r="A413" s="32" t="str">
        <f t="shared" si="37"/>
        <v>Essential (Original)--&gt; 11 kV &amp; &lt; = 22 kV  ; SWITCH</v>
      </c>
      <c r="B413" s="32" t="str">
        <f t="shared" si="38"/>
        <v>Essential (Original)</v>
      </c>
      <c r="C413" s="384"/>
      <c r="D413" s="14"/>
      <c r="E413" s="15" t="s">
        <v>249</v>
      </c>
      <c r="F413" s="18">
        <v>53.8</v>
      </c>
      <c r="G413" s="18">
        <v>7.334848328356899</v>
      </c>
      <c r="H413" s="20">
        <v>378</v>
      </c>
      <c r="I413" s="20">
        <v>564</v>
      </c>
      <c r="J413" s="20">
        <v>614</v>
      </c>
      <c r="K413" s="20">
        <v>366</v>
      </c>
      <c r="L413" s="20">
        <v>295</v>
      </c>
      <c r="M413" s="20">
        <v>191</v>
      </c>
      <c r="N413" s="20">
        <v>197</v>
      </c>
      <c r="O413" s="20">
        <v>164</v>
      </c>
      <c r="P413" s="20">
        <v>93</v>
      </c>
      <c r="Q413" s="20">
        <v>114</v>
      </c>
      <c r="R413" s="20">
        <v>104</v>
      </c>
      <c r="S413" s="20">
        <v>118</v>
      </c>
      <c r="T413" s="20">
        <v>368</v>
      </c>
      <c r="U413" s="20">
        <v>115</v>
      </c>
      <c r="V413" s="20">
        <v>76</v>
      </c>
      <c r="W413" s="20">
        <v>72</v>
      </c>
      <c r="X413" s="20">
        <v>83</v>
      </c>
      <c r="Y413" s="20">
        <v>106</v>
      </c>
      <c r="Z413" s="20">
        <v>152</v>
      </c>
      <c r="AA413" s="20">
        <v>147</v>
      </c>
      <c r="AB413" s="20">
        <v>108</v>
      </c>
      <c r="AC413" s="20">
        <v>161</v>
      </c>
      <c r="AD413" s="20">
        <v>177</v>
      </c>
      <c r="AE413" s="20">
        <v>195</v>
      </c>
      <c r="AF413" s="20">
        <v>165</v>
      </c>
      <c r="AG413" s="20">
        <v>197</v>
      </c>
      <c r="AH413" s="20">
        <v>244</v>
      </c>
      <c r="AI413" s="20">
        <v>237</v>
      </c>
      <c r="AJ413" s="20">
        <v>296</v>
      </c>
      <c r="AK413" s="20">
        <v>145</v>
      </c>
      <c r="AL413" s="20">
        <v>167</v>
      </c>
      <c r="AM413" s="20">
        <v>307</v>
      </c>
      <c r="AN413" s="20">
        <v>191</v>
      </c>
      <c r="AO413" s="20">
        <v>238</v>
      </c>
      <c r="AP413" s="20">
        <v>131</v>
      </c>
      <c r="AQ413" s="20">
        <v>142</v>
      </c>
      <c r="AR413" s="20">
        <v>125</v>
      </c>
      <c r="AS413" s="20">
        <v>115</v>
      </c>
      <c r="AT413" s="20">
        <v>130</v>
      </c>
      <c r="AU413" s="20">
        <v>103</v>
      </c>
      <c r="AV413" s="20">
        <v>93</v>
      </c>
      <c r="AW413" s="20">
        <v>85</v>
      </c>
      <c r="AX413" s="20">
        <v>123</v>
      </c>
      <c r="AY413" s="20">
        <v>292</v>
      </c>
      <c r="AZ413" s="20">
        <v>161</v>
      </c>
      <c r="BA413" s="20">
        <v>170</v>
      </c>
      <c r="BB413" s="20">
        <v>116</v>
      </c>
      <c r="BC413" s="20">
        <v>333</v>
      </c>
      <c r="BD413" s="20">
        <v>461</v>
      </c>
      <c r="BE413" s="20">
        <v>170</v>
      </c>
      <c r="BF413" s="20">
        <v>131</v>
      </c>
      <c r="BG413" s="20">
        <v>32</v>
      </c>
      <c r="BH413" s="20">
        <v>247</v>
      </c>
      <c r="BI413" s="20">
        <v>204</v>
      </c>
      <c r="BJ413" s="20">
        <v>75</v>
      </c>
      <c r="BK413" s="20">
        <v>170</v>
      </c>
      <c r="BL413" s="20">
        <v>14</v>
      </c>
      <c r="BM413" s="20">
        <v>60</v>
      </c>
      <c r="BN413" s="20">
        <v>236</v>
      </c>
      <c r="BO413" s="20">
        <v>24</v>
      </c>
      <c r="BP413" s="20">
        <v>30</v>
      </c>
      <c r="BQ413" s="20">
        <v>35</v>
      </c>
      <c r="BR413" s="20">
        <v>4</v>
      </c>
      <c r="BS413" s="20">
        <v>80</v>
      </c>
      <c r="BT413" s="20">
        <v>15</v>
      </c>
      <c r="BU413" s="20">
        <v>1</v>
      </c>
      <c r="BV413" s="20">
        <v>0</v>
      </c>
      <c r="BW413" s="20">
        <v>0</v>
      </c>
      <c r="BX413" s="20">
        <v>4</v>
      </c>
      <c r="BY413" s="20">
        <v>1</v>
      </c>
      <c r="BZ413" s="20">
        <v>0</v>
      </c>
      <c r="CA413" s="20">
        <v>0</v>
      </c>
      <c r="CB413" s="20">
        <v>0</v>
      </c>
      <c r="CC413" s="20">
        <v>15</v>
      </c>
      <c r="CD413" s="20">
        <v>1</v>
      </c>
      <c r="CE413" s="20">
        <v>0</v>
      </c>
      <c r="CF413" s="20">
        <v>0</v>
      </c>
      <c r="CG413" s="20">
        <v>0</v>
      </c>
      <c r="CH413" s="20">
        <v>0</v>
      </c>
      <c r="CI413" s="20">
        <v>0</v>
      </c>
      <c r="CJ413" s="20">
        <v>0</v>
      </c>
      <c r="CK413" s="20">
        <v>0</v>
      </c>
      <c r="CL413" s="20">
        <v>0</v>
      </c>
      <c r="CM413" s="20">
        <v>93</v>
      </c>
      <c r="CN413" s="20">
        <v>0</v>
      </c>
      <c r="CO413" s="20">
        <v>0</v>
      </c>
      <c r="CP413" s="20">
        <v>0</v>
      </c>
      <c r="CQ413" s="20">
        <v>0</v>
      </c>
      <c r="CR413" s="20">
        <v>0</v>
      </c>
      <c r="CS413" s="20">
        <v>0</v>
      </c>
      <c r="CT413" s="20">
        <v>0</v>
      </c>
      <c r="CU413" s="20">
        <v>0</v>
      </c>
      <c r="CV413" s="20">
        <v>0</v>
      </c>
      <c r="CW413" s="20">
        <v>0</v>
      </c>
      <c r="CX413" s="20">
        <v>0</v>
      </c>
      <c r="CY413" s="20">
        <v>0</v>
      </c>
      <c r="CZ413" s="20">
        <v>0</v>
      </c>
      <c r="DA413" s="20">
        <v>0</v>
      </c>
      <c r="DB413" s="20">
        <v>0</v>
      </c>
      <c r="DC413" s="20">
        <v>0</v>
      </c>
      <c r="DD413" s="20">
        <v>0</v>
      </c>
      <c r="DE413" s="20">
        <v>0</v>
      </c>
      <c r="DF413" s="20">
        <v>0</v>
      </c>
      <c r="DG413" s="16">
        <f t="shared" si="34"/>
        <v>11367</v>
      </c>
      <c r="DH413" s="16">
        <f t="shared" si="35"/>
        <v>318343</v>
      </c>
      <c r="DI413" s="17">
        <f t="shared" si="36"/>
        <v>28.005894255300429</v>
      </c>
      <c r="DJ413" s="119" t="s">
        <v>2</v>
      </c>
      <c r="DK413" s="44" t="s">
        <v>2</v>
      </c>
    </row>
    <row r="414" spans="1:115">
      <c r="A414" s="32" t="str">
        <f t="shared" si="37"/>
        <v>Essential (Original)--&gt; 11 kV &amp; &lt; = 22 kV  ; CIRCUIT BREAKER</v>
      </c>
      <c r="B414" s="32" t="str">
        <f t="shared" si="38"/>
        <v>Essential (Original)</v>
      </c>
      <c r="C414" s="384"/>
      <c r="D414" s="14"/>
      <c r="E414" s="15" t="s">
        <v>250</v>
      </c>
      <c r="F414" s="18">
        <v>53.8</v>
      </c>
      <c r="G414" s="18">
        <v>7.334848328356899</v>
      </c>
      <c r="H414" s="20">
        <v>152</v>
      </c>
      <c r="I414" s="20">
        <v>268</v>
      </c>
      <c r="J414" s="20">
        <v>285</v>
      </c>
      <c r="K414" s="20">
        <v>228</v>
      </c>
      <c r="L414" s="20">
        <v>166</v>
      </c>
      <c r="M414" s="20">
        <v>106</v>
      </c>
      <c r="N414" s="20">
        <v>170</v>
      </c>
      <c r="O414" s="20">
        <v>98</v>
      </c>
      <c r="P414" s="20">
        <v>82</v>
      </c>
      <c r="Q414" s="20">
        <v>75</v>
      </c>
      <c r="R414" s="20">
        <v>75</v>
      </c>
      <c r="S414" s="20">
        <v>47</v>
      </c>
      <c r="T414" s="20">
        <v>56</v>
      </c>
      <c r="U414" s="20">
        <v>46</v>
      </c>
      <c r="V414" s="20">
        <v>30</v>
      </c>
      <c r="W414" s="20">
        <v>41</v>
      </c>
      <c r="X414" s="20">
        <v>26</v>
      </c>
      <c r="Y414" s="20">
        <v>26</v>
      </c>
      <c r="Z414" s="20">
        <v>69</v>
      </c>
      <c r="AA414" s="20">
        <v>63</v>
      </c>
      <c r="AB414" s="20">
        <v>42</v>
      </c>
      <c r="AC414" s="20">
        <v>44</v>
      </c>
      <c r="AD414" s="20">
        <v>50</v>
      </c>
      <c r="AE414" s="20">
        <v>33</v>
      </c>
      <c r="AF414" s="20">
        <v>21</v>
      </c>
      <c r="AG414" s="20">
        <v>25</v>
      </c>
      <c r="AH414" s="20">
        <v>39</v>
      </c>
      <c r="AI414" s="20">
        <v>26</v>
      </c>
      <c r="AJ414" s="20">
        <v>12</v>
      </c>
      <c r="AK414" s="20">
        <v>25</v>
      </c>
      <c r="AL414" s="20">
        <v>27</v>
      </c>
      <c r="AM414" s="20">
        <v>33</v>
      </c>
      <c r="AN414" s="20">
        <v>27</v>
      </c>
      <c r="AO414" s="20">
        <v>20</v>
      </c>
      <c r="AP414" s="20">
        <v>9</v>
      </c>
      <c r="AQ414" s="20">
        <v>16</v>
      </c>
      <c r="AR414" s="20">
        <v>9</v>
      </c>
      <c r="AS414" s="20">
        <v>13</v>
      </c>
      <c r="AT414" s="20">
        <v>5</v>
      </c>
      <c r="AU414" s="20">
        <v>7</v>
      </c>
      <c r="AV414" s="20">
        <v>3</v>
      </c>
      <c r="AW414" s="20">
        <v>24</v>
      </c>
      <c r="AX414" s="20">
        <v>5</v>
      </c>
      <c r="AY414" s="20">
        <v>25</v>
      </c>
      <c r="AZ414" s="20">
        <v>9</v>
      </c>
      <c r="BA414" s="20">
        <v>10</v>
      </c>
      <c r="BB414" s="20">
        <v>24</v>
      </c>
      <c r="BC414" s="20">
        <v>16</v>
      </c>
      <c r="BD414" s="20">
        <v>41</v>
      </c>
      <c r="BE414" s="20">
        <v>20</v>
      </c>
      <c r="BF414" s="20">
        <v>22</v>
      </c>
      <c r="BG414" s="20">
        <v>3</v>
      </c>
      <c r="BH414" s="20">
        <v>1</v>
      </c>
      <c r="BI414" s="20">
        <v>10</v>
      </c>
      <c r="BJ414" s="20">
        <v>9</v>
      </c>
      <c r="BK414" s="20">
        <v>3</v>
      </c>
      <c r="BL414" s="20">
        <v>1</v>
      </c>
      <c r="BM414" s="20">
        <v>8</v>
      </c>
      <c r="BN414" s="20">
        <v>34</v>
      </c>
      <c r="BO414" s="20">
        <v>0</v>
      </c>
      <c r="BP414" s="20">
        <v>1</v>
      </c>
      <c r="BQ414" s="20">
        <v>0</v>
      </c>
      <c r="BR414" s="20">
        <v>0</v>
      </c>
      <c r="BS414" s="20">
        <v>12</v>
      </c>
      <c r="BT414" s="20">
        <v>0</v>
      </c>
      <c r="BU414" s="20">
        <v>1</v>
      </c>
      <c r="BV414" s="20">
        <v>0</v>
      </c>
      <c r="BW414" s="20">
        <v>0</v>
      </c>
      <c r="BX414" s="20">
        <v>0</v>
      </c>
      <c r="BY414" s="20">
        <v>0</v>
      </c>
      <c r="BZ414" s="20">
        <v>0</v>
      </c>
      <c r="CA414" s="20">
        <v>0</v>
      </c>
      <c r="CB414" s="20">
        <v>0</v>
      </c>
      <c r="CC414" s="20">
        <v>3</v>
      </c>
      <c r="CD414" s="20">
        <v>0</v>
      </c>
      <c r="CE414" s="20">
        <v>0</v>
      </c>
      <c r="CF414" s="20">
        <v>0</v>
      </c>
      <c r="CG414" s="20">
        <v>0</v>
      </c>
      <c r="CH414" s="20">
        <v>0</v>
      </c>
      <c r="CI414" s="20">
        <v>0</v>
      </c>
      <c r="CJ414" s="20">
        <v>0</v>
      </c>
      <c r="CK414" s="20">
        <v>0</v>
      </c>
      <c r="CL414" s="20">
        <v>0</v>
      </c>
      <c r="CM414" s="20">
        <v>1</v>
      </c>
      <c r="CN414" s="20">
        <v>0</v>
      </c>
      <c r="CO414" s="20">
        <v>0</v>
      </c>
      <c r="CP414" s="20">
        <v>0</v>
      </c>
      <c r="CQ414" s="20">
        <v>0</v>
      </c>
      <c r="CR414" s="20">
        <v>0</v>
      </c>
      <c r="CS414" s="20">
        <v>0</v>
      </c>
      <c r="CT414" s="20">
        <v>0</v>
      </c>
      <c r="CU414" s="20">
        <v>0</v>
      </c>
      <c r="CV414" s="20">
        <v>0</v>
      </c>
      <c r="CW414" s="20">
        <v>0</v>
      </c>
      <c r="CX414" s="20">
        <v>0</v>
      </c>
      <c r="CY414" s="20">
        <v>0</v>
      </c>
      <c r="CZ414" s="20">
        <v>0</v>
      </c>
      <c r="DA414" s="20">
        <v>0</v>
      </c>
      <c r="DB414" s="20">
        <v>0</v>
      </c>
      <c r="DC414" s="20">
        <v>0</v>
      </c>
      <c r="DD414" s="20">
        <v>0</v>
      </c>
      <c r="DE414" s="20">
        <v>0</v>
      </c>
      <c r="DF414" s="20">
        <v>0</v>
      </c>
      <c r="DG414" s="16">
        <f t="shared" si="34"/>
        <v>2878</v>
      </c>
      <c r="DH414" s="16">
        <f t="shared" si="35"/>
        <v>42712</v>
      </c>
      <c r="DI414" s="17">
        <f t="shared" si="36"/>
        <v>14.8408617095205</v>
      </c>
      <c r="DJ414" s="119" t="s">
        <v>2</v>
      </c>
      <c r="DK414" s="44" t="s">
        <v>2</v>
      </c>
    </row>
    <row r="415" spans="1:115">
      <c r="A415" s="32" t="str">
        <f t="shared" si="37"/>
        <v>Essential (Original)--&gt; 22 kV &amp; &lt; = 33 kV ; SWITCH</v>
      </c>
      <c r="B415" s="32" t="str">
        <f t="shared" si="38"/>
        <v>Essential (Original)</v>
      </c>
      <c r="C415" s="384"/>
      <c r="D415" s="14"/>
      <c r="E415" s="15" t="s">
        <v>251</v>
      </c>
      <c r="F415" s="18">
        <v>54.9</v>
      </c>
      <c r="G415" s="18">
        <v>7.4094534211370817</v>
      </c>
      <c r="H415" s="20">
        <v>28</v>
      </c>
      <c r="I415" s="20">
        <v>33</v>
      </c>
      <c r="J415" s="20">
        <v>37</v>
      </c>
      <c r="K415" s="20">
        <v>27</v>
      </c>
      <c r="L415" s="20">
        <v>18</v>
      </c>
      <c r="M415" s="20">
        <v>22</v>
      </c>
      <c r="N415" s="20">
        <v>27</v>
      </c>
      <c r="O415" s="20">
        <v>23</v>
      </c>
      <c r="P415" s="20">
        <v>11</v>
      </c>
      <c r="Q415" s="20">
        <v>7</v>
      </c>
      <c r="R415" s="20">
        <v>19</v>
      </c>
      <c r="S415" s="20">
        <v>6</v>
      </c>
      <c r="T415" s="20">
        <v>13</v>
      </c>
      <c r="U415" s="20">
        <v>23</v>
      </c>
      <c r="V415" s="20">
        <v>7</v>
      </c>
      <c r="W415" s="20">
        <v>6</v>
      </c>
      <c r="X415" s="20">
        <v>2</v>
      </c>
      <c r="Y415" s="20">
        <v>2</v>
      </c>
      <c r="Z415" s="20">
        <v>14</v>
      </c>
      <c r="AA415" s="20">
        <v>27</v>
      </c>
      <c r="AB415" s="20">
        <v>7</v>
      </c>
      <c r="AC415" s="20">
        <v>3</v>
      </c>
      <c r="AD415" s="20">
        <v>12</v>
      </c>
      <c r="AE415" s="20">
        <v>7</v>
      </c>
      <c r="AF415" s="20">
        <v>16</v>
      </c>
      <c r="AG415" s="20">
        <v>6</v>
      </c>
      <c r="AH415" s="20">
        <v>5</v>
      </c>
      <c r="AI415" s="20">
        <v>10</v>
      </c>
      <c r="AJ415" s="20">
        <v>11</v>
      </c>
      <c r="AK415" s="20">
        <v>13</v>
      </c>
      <c r="AL415" s="20">
        <v>2</v>
      </c>
      <c r="AM415" s="20">
        <v>27</v>
      </c>
      <c r="AN415" s="20">
        <v>7</v>
      </c>
      <c r="AO415" s="20">
        <v>6</v>
      </c>
      <c r="AP415" s="20">
        <v>2</v>
      </c>
      <c r="AQ415" s="20">
        <v>8</v>
      </c>
      <c r="AR415" s="20">
        <v>9</v>
      </c>
      <c r="AS415" s="20">
        <v>11</v>
      </c>
      <c r="AT415" s="20">
        <v>4</v>
      </c>
      <c r="AU415" s="20">
        <v>4</v>
      </c>
      <c r="AV415" s="20">
        <v>2</v>
      </c>
      <c r="AW415" s="20">
        <v>3</v>
      </c>
      <c r="AX415" s="20">
        <v>7</v>
      </c>
      <c r="AY415" s="20">
        <v>4</v>
      </c>
      <c r="AZ415" s="20">
        <v>13</v>
      </c>
      <c r="BA415" s="20">
        <v>6</v>
      </c>
      <c r="BB415" s="20">
        <v>17</v>
      </c>
      <c r="BC415" s="20">
        <v>9</v>
      </c>
      <c r="BD415" s="20">
        <v>1</v>
      </c>
      <c r="BE415" s="20">
        <v>1</v>
      </c>
      <c r="BF415" s="20">
        <v>1</v>
      </c>
      <c r="BG415" s="20">
        <v>6</v>
      </c>
      <c r="BH415" s="20">
        <v>11</v>
      </c>
      <c r="BI415" s="20">
        <v>9</v>
      </c>
      <c r="BJ415" s="20">
        <v>0</v>
      </c>
      <c r="BK415" s="20">
        <v>0</v>
      </c>
      <c r="BL415" s="20">
        <v>1</v>
      </c>
      <c r="BM415" s="20">
        <v>0</v>
      </c>
      <c r="BN415" s="20">
        <v>5</v>
      </c>
      <c r="BO415" s="20">
        <v>0</v>
      </c>
      <c r="BP415" s="20">
        <v>0</v>
      </c>
      <c r="BQ415" s="20">
        <v>0</v>
      </c>
      <c r="BR415" s="20">
        <v>0</v>
      </c>
      <c r="BS415" s="20">
        <v>9</v>
      </c>
      <c r="BT415" s="20">
        <v>0</v>
      </c>
      <c r="BU415" s="20">
        <v>0</v>
      </c>
      <c r="BV415" s="20">
        <v>0</v>
      </c>
      <c r="BW415" s="20">
        <v>0</v>
      </c>
      <c r="BX415" s="20">
        <v>1</v>
      </c>
      <c r="BY415" s="20">
        <v>0</v>
      </c>
      <c r="BZ415" s="20">
        <v>0</v>
      </c>
      <c r="CA415" s="20">
        <v>0</v>
      </c>
      <c r="CB415" s="20">
        <v>0</v>
      </c>
      <c r="CC415" s="20">
        <v>0</v>
      </c>
      <c r="CD415" s="20">
        <v>0</v>
      </c>
      <c r="CE415" s="20">
        <v>0</v>
      </c>
      <c r="CF415" s="20">
        <v>0</v>
      </c>
      <c r="CG415" s="20">
        <v>0</v>
      </c>
      <c r="CH415" s="20">
        <v>0</v>
      </c>
      <c r="CI415" s="20">
        <v>0</v>
      </c>
      <c r="CJ415" s="20">
        <v>0</v>
      </c>
      <c r="CK415" s="20">
        <v>0</v>
      </c>
      <c r="CL415" s="20">
        <v>0</v>
      </c>
      <c r="CM415" s="20">
        <v>0</v>
      </c>
      <c r="CN415" s="20">
        <v>0</v>
      </c>
      <c r="CO415" s="20">
        <v>0</v>
      </c>
      <c r="CP415" s="20">
        <v>0</v>
      </c>
      <c r="CQ415" s="20">
        <v>0</v>
      </c>
      <c r="CR415" s="20">
        <v>0</v>
      </c>
      <c r="CS415" s="20">
        <v>0</v>
      </c>
      <c r="CT415" s="20">
        <v>0</v>
      </c>
      <c r="CU415" s="20">
        <v>0</v>
      </c>
      <c r="CV415" s="20">
        <v>0</v>
      </c>
      <c r="CW415" s="20">
        <v>0</v>
      </c>
      <c r="CX415" s="20">
        <v>0</v>
      </c>
      <c r="CY415" s="20">
        <v>0</v>
      </c>
      <c r="CZ415" s="20">
        <v>0</v>
      </c>
      <c r="DA415" s="20">
        <v>0</v>
      </c>
      <c r="DB415" s="20">
        <v>0</v>
      </c>
      <c r="DC415" s="20">
        <v>0</v>
      </c>
      <c r="DD415" s="20">
        <v>0</v>
      </c>
      <c r="DE415" s="20">
        <v>0</v>
      </c>
      <c r="DF415" s="20">
        <v>0</v>
      </c>
      <c r="DG415" s="16">
        <f t="shared" si="34"/>
        <v>628</v>
      </c>
      <c r="DH415" s="16">
        <f t="shared" si="35"/>
        <v>13354</v>
      </c>
      <c r="DI415" s="17">
        <f t="shared" si="36"/>
        <v>21.264331210191084</v>
      </c>
      <c r="DJ415" s="119" t="s">
        <v>2</v>
      </c>
      <c r="DK415" s="44" t="s">
        <v>2</v>
      </c>
    </row>
    <row r="416" spans="1:115">
      <c r="A416" s="32" t="str">
        <f t="shared" si="37"/>
        <v>Essential (Original)--&gt; 22 kV &amp; &lt; = 33 kV ; CIRCUIT BREAKER</v>
      </c>
      <c r="B416" s="32" t="str">
        <f t="shared" si="38"/>
        <v>Essential (Original)</v>
      </c>
      <c r="C416" s="384"/>
      <c r="D416" s="14"/>
      <c r="E416" s="15" t="s">
        <v>252</v>
      </c>
      <c r="F416" s="18">
        <v>54.9</v>
      </c>
      <c r="G416" s="18">
        <v>7.4094534211370817</v>
      </c>
      <c r="H416" s="20">
        <v>1</v>
      </c>
      <c r="I416" s="20">
        <v>8</v>
      </c>
      <c r="J416" s="20">
        <v>33</v>
      </c>
      <c r="K416" s="20">
        <v>18</v>
      </c>
      <c r="L416" s="20">
        <v>43</v>
      </c>
      <c r="M416" s="20">
        <v>30</v>
      </c>
      <c r="N416" s="20">
        <v>45</v>
      </c>
      <c r="O416" s="20">
        <v>35</v>
      </c>
      <c r="P416" s="20">
        <v>29</v>
      </c>
      <c r="Q416" s="20">
        <v>16</v>
      </c>
      <c r="R416" s="20">
        <v>16</v>
      </c>
      <c r="S416" s="20">
        <v>9</v>
      </c>
      <c r="T416" s="20">
        <v>18</v>
      </c>
      <c r="U416" s="20">
        <v>12</v>
      </c>
      <c r="V416" s="20">
        <v>2</v>
      </c>
      <c r="W416" s="20">
        <v>13</v>
      </c>
      <c r="X416" s="20">
        <v>9</v>
      </c>
      <c r="Y416" s="20">
        <v>2</v>
      </c>
      <c r="Z416" s="20">
        <v>9</v>
      </c>
      <c r="AA416" s="20">
        <v>5</v>
      </c>
      <c r="AB416" s="20">
        <v>3</v>
      </c>
      <c r="AC416" s="20">
        <v>3</v>
      </c>
      <c r="AD416" s="20">
        <v>2</v>
      </c>
      <c r="AE416" s="20">
        <v>4</v>
      </c>
      <c r="AF416" s="20">
        <v>2</v>
      </c>
      <c r="AG416" s="20">
        <v>0</v>
      </c>
      <c r="AH416" s="20">
        <v>1</v>
      </c>
      <c r="AI416" s="20">
        <v>5</v>
      </c>
      <c r="AJ416" s="20">
        <v>1</v>
      </c>
      <c r="AK416" s="20">
        <v>0</v>
      </c>
      <c r="AL416" s="20">
        <v>1</v>
      </c>
      <c r="AM416" s="20">
        <v>4</v>
      </c>
      <c r="AN416" s="20">
        <v>0</v>
      </c>
      <c r="AO416" s="20">
        <v>11</v>
      </c>
      <c r="AP416" s="20">
        <v>1</v>
      </c>
      <c r="AQ416" s="20">
        <v>2</v>
      </c>
      <c r="AR416" s="20">
        <v>0</v>
      </c>
      <c r="AS416" s="20">
        <v>1</v>
      </c>
      <c r="AT416" s="20">
        <v>0</v>
      </c>
      <c r="AU416" s="20">
        <v>0</v>
      </c>
      <c r="AV416" s="20">
        <v>1</v>
      </c>
      <c r="AW416" s="20">
        <v>0</v>
      </c>
      <c r="AX416" s="20">
        <v>4</v>
      </c>
      <c r="AY416" s="20">
        <v>0</v>
      </c>
      <c r="AZ416" s="20">
        <v>1</v>
      </c>
      <c r="BA416" s="20">
        <v>0</v>
      </c>
      <c r="BB416" s="20">
        <v>2</v>
      </c>
      <c r="BC416" s="20">
        <v>1</v>
      </c>
      <c r="BD416" s="20">
        <v>0</v>
      </c>
      <c r="BE416" s="20">
        <v>0</v>
      </c>
      <c r="BF416" s="20">
        <v>2</v>
      </c>
      <c r="BG416" s="20">
        <v>0</v>
      </c>
      <c r="BH416" s="20">
        <v>1</v>
      </c>
      <c r="BI416" s="20">
        <v>1</v>
      </c>
      <c r="BJ416" s="20">
        <v>1</v>
      </c>
      <c r="BK416" s="20">
        <v>0</v>
      </c>
      <c r="BL416" s="20">
        <v>0</v>
      </c>
      <c r="BM416" s="20">
        <v>0</v>
      </c>
      <c r="BN416" s="20">
        <v>0</v>
      </c>
      <c r="BO416" s="20">
        <v>0</v>
      </c>
      <c r="BP416" s="20">
        <v>0</v>
      </c>
      <c r="BQ416" s="20">
        <v>3</v>
      </c>
      <c r="BR416" s="20">
        <v>0</v>
      </c>
      <c r="BS416" s="20">
        <v>0</v>
      </c>
      <c r="BT416" s="20">
        <v>0</v>
      </c>
      <c r="BU416" s="20">
        <v>0</v>
      </c>
      <c r="BV416" s="20">
        <v>0</v>
      </c>
      <c r="BW416" s="20">
        <v>0</v>
      </c>
      <c r="BX416" s="20">
        <v>0</v>
      </c>
      <c r="BY416" s="20">
        <v>0</v>
      </c>
      <c r="BZ416" s="20">
        <v>0</v>
      </c>
      <c r="CA416" s="20">
        <v>0</v>
      </c>
      <c r="CB416" s="20">
        <v>0</v>
      </c>
      <c r="CC416" s="20">
        <v>0</v>
      </c>
      <c r="CD416" s="20">
        <v>0</v>
      </c>
      <c r="CE416" s="20">
        <v>0</v>
      </c>
      <c r="CF416" s="20">
        <v>0</v>
      </c>
      <c r="CG416" s="20">
        <v>0</v>
      </c>
      <c r="CH416" s="20">
        <v>0</v>
      </c>
      <c r="CI416" s="20">
        <v>0</v>
      </c>
      <c r="CJ416" s="20">
        <v>0</v>
      </c>
      <c r="CK416" s="20">
        <v>0</v>
      </c>
      <c r="CL416" s="20">
        <v>0</v>
      </c>
      <c r="CM416" s="20">
        <v>0</v>
      </c>
      <c r="CN416" s="20">
        <v>0</v>
      </c>
      <c r="CO416" s="20">
        <v>0</v>
      </c>
      <c r="CP416" s="20">
        <v>0</v>
      </c>
      <c r="CQ416" s="20">
        <v>0</v>
      </c>
      <c r="CR416" s="20">
        <v>0</v>
      </c>
      <c r="CS416" s="20">
        <v>0</v>
      </c>
      <c r="CT416" s="20">
        <v>0</v>
      </c>
      <c r="CU416" s="20">
        <v>0</v>
      </c>
      <c r="CV416" s="20">
        <v>0</v>
      </c>
      <c r="CW416" s="20">
        <v>0</v>
      </c>
      <c r="CX416" s="20">
        <v>0</v>
      </c>
      <c r="CY416" s="20">
        <v>0</v>
      </c>
      <c r="CZ416" s="20">
        <v>0</v>
      </c>
      <c r="DA416" s="20">
        <v>0</v>
      </c>
      <c r="DB416" s="20">
        <v>0</v>
      </c>
      <c r="DC416" s="20">
        <v>0</v>
      </c>
      <c r="DD416" s="20">
        <v>0</v>
      </c>
      <c r="DE416" s="20">
        <v>0</v>
      </c>
      <c r="DF416" s="20">
        <v>0</v>
      </c>
      <c r="DG416" s="16">
        <f t="shared" si="34"/>
        <v>411</v>
      </c>
      <c r="DH416" s="16">
        <f t="shared" si="35"/>
        <v>5028</v>
      </c>
      <c r="DI416" s="17">
        <f t="shared" si="36"/>
        <v>12.233576642335766</v>
      </c>
      <c r="DJ416" s="119" t="s">
        <v>2</v>
      </c>
      <c r="DK416" s="44" t="s">
        <v>2</v>
      </c>
    </row>
    <row r="417" spans="1:116">
      <c r="A417" s="32" t="str">
        <f t="shared" si="37"/>
        <v>Essential (Original)--&gt; 33 kV &amp; &lt; = 66 kV ; SWITCH</v>
      </c>
      <c r="B417" s="32" t="str">
        <f t="shared" si="38"/>
        <v>Essential (Original)</v>
      </c>
      <c r="C417" s="384"/>
      <c r="D417" s="14"/>
      <c r="E417" s="15" t="s">
        <v>253</v>
      </c>
      <c r="F417" s="18">
        <v>54.9</v>
      </c>
      <c r="G417" s="18">
        <v>7.4094534211370817</v>
      </c>
      <c r="H417" s="20">
        <v>2</v>
      </c>
      <c r="I417" s="20">
        <v>3</v>
      </c>
      <c r="J417" s="20">
        <v>8</v>
      </c>
      <c r="K417" s="20">
        <v>5</v>
      </c>
      <c r="L417" s="20">
        <v>4</v>
      </c>
      <c r="M417" s="20">
        <v>7</v>
      </c>
      <c r="N417" s="20">
        <v>4</v>
      </c>
      <c r="O417" s="20">
        <v>8</v>
      </c>
      <c r="P417" s="20">
        <v>5</v>
      </c>
      <c r="Q417" s="20">
        <v>2</v>
      </c>
      <c r="R417" s="20">
        <v>2</v>
      </c>
      <c r="S417" s="20">
        <v>2</v>
      </c>
      <c r="T417" s="20">
        <v>7</v>
      </c>
      <c r="U417" s="20">
        <v>7</v>
      </c>
      <c r="V417" s="20">
        <v>1</v>
      </c>
      <c r="W417" s="20">
        <v>6</v>
      </c>
      <c r="X417" s="20">
        <v>2</v>
      </c>
      <c r="Y417" s="20">
        <v>2</v>
      </c>
      <c r="Z417" s="20">
        <v>4</v>
      </c>
      <c r="AA417" s="20">
        <v>2</v>
      </c>
      <c r="AB417" s="20">
        <v>4</v>
      </c>
      <c r="AC417" s="20">
        <v>5</v>
      </c>
      <c r="AD417" s="20">
        <v>9</v>
      </c>
      <c r="AE417" s="20">
        <v>5</v>
      </c>
      <c r="AF417" s="20">
        <v>3</v>
      </c>
      <c r="AG417" s="20">
        <v>6</v>
      </c>
      <c r="AH417" s="20">
        <v>4</v>
      </c>
      <c r="AI417" s="20">
        <v>5</v>
      </c>
      <c r="AJ417" s="20">
        <v>0</v>
      </c>
      <c r="AK417" s="20">
        <v>2</v>
      </c>
      <c r="AL417" s="20">
        <v>2</v>
      </c>
      <c r="AM417" s="20">
        <v>4</v>
      </c>
      <c r="AN417" s="20">
        <v>1</v>
      </c>
      <c r="AO417" s="20">
        <v>2</v>
      </c>
      <c r="AP417" s="20">
        <v>1</v>
      </c>
      <c r="AQ417" s="20">
        <v>1</v>
      </c>
      <c r="AR417" s="20">
        <v>5</v>
      </c>
      <c r="AS417" s="20">
        <v>0</v>
      </c>
      <c r="AT417" s="20">
        <v>0</v>
      </c>
      <c r="AU417" s="20">
        <v>4</v>
      </c>
      <c r="AV417" s="20">
        <v>1</v>
      </c>
      <c r="AW417" s="20">
        <v>4</v>
      </c>
      <c r="AX417" s="20">
        <v>5</v>
      </c>
      <c r="AY417" s="20">
        <v>2</v>
      </c>
      <c r="AZ417" s="20">
        <v>5</v>
      </c>
      <c r="BA417" s="20">
        <v>2</v>
      </c>
      <c r="BB417" s="20">
        <v>2</v>
      </c>
      <c r="BC417" s="20">
        <v>2</v>
      </c>
      <c r="BD417" s="20">
        <v>3</v>
      </c>
      <c r="BE417" s="20">
        <v>1</v>
      </c>
      <c r="BF417" s="20">
        <v>3</v>
      </c>
      <c r="BG417" s="20">
        <v>2</v>
      </c>
      <c r="BH417" s="20">
        <v>3</v>
      </c>
      <c r="BI417" s="20">
        <v>2</v>
      </c>
      <c r="BJ417" s="20">
        <v>0</v>
      </c>
      <c r="BK417" s="20">
        <v>0</v>
      </c>
      <c r="BL417" s="20">
        <v>0</v>
      </c>
      <c r="BM417" s="20">
        <v>0</v>
      </c>
      <c r="BN417" s="20">
        <v>0</v>
      </c>
      <c r="BO417" s="20">
        <v>0</v>
      </c>
      <c r="BP417" s="20">
        <v>0</v>
      </c>
      <c r="BQ417" s="20">
        <v>1</v>
      </c>
      <c r="BR417" s="20">
        <v>0</v>
      </c>
      <c r="BS417" s="20">
        <v>2</v>
      </c>
      <c r="BT417" s="20">
        <v>0</v>
      </c>
      <c r="BU417" s="20">
        <v>0</v>
      </c>
      <c r="BV417" s="20">
        <v>0</v>
      </c>
      <c r="BW417" s="20">
        <v>0</v>
      </c>
      <c r="BX417" s="20">
        <v>0</v>
      </c>
      <c r="BY417" s="20">
        <v>0</v>
      </c>
      <c r="BZ417" s="20">
        <v>0</v>
      </c>
      <c r="CA417" s="20">
        <v>0</v>
      </c>
      <c r="CB417" s="20">
        <v>0</v>
      </c>
      <c r="CC417" s="20">
        <v>0</v>
      </c>
      <c r="CD417" s="20">
        <v>0</v>
      </c>
      <c r="CE417" s="20">
        <v>0</v>
      </c>
      <c r="CF417" s="20">
        <v>0</v>
      </c>
      <c r="CG417" s="20">
        <v>0</v>
      </c>
      <c r="CH417" s="20">
        <v>0</v>
      </c>
      <c r="CI417" s="20">
        <v>0</v>
      </c>
      <c r="CJ417" s="20">
        <v>0</v>
      </c>
      <c r="CK417" s="20">
        <v>0</v>
      </c>
      <c r="CL417" s="20">
        <v>0</v>
      </c>
      <c r="CM417" s="20">
        <v>1</v>
      </c>
      <c r="CN417" s="20">
        <v>0</v>
      </c>
      <c r="CO417" s="20">
        <v>0</v>
      </c>
      <c r="CP417" s="20">
        <v>0</v>
      </c>
      <c r="CQ417" s="20">
        <v>0</v>
      </c>
      <c r="CR417" s="20">
        <v>0</v>
      </c>
      <c r="CS417" s="20">
        <v>0</v>
      </c>
      <c r="CT417" s="20">
        <v>0</v>
      </c>
      <c r="CU417" s="20">
        <v>0</v>
      </c>
      <c r="CV417" s="20">
        <v>0</v>
      </c>
      <c r="CW417" s="20">
        <v>0</v>
      </c>
      <c r="CX417" s="20">
        <v>0</v>
      </c>
      <c r="CY417" s="20">
        <v>0</v>
      </c>
      <c r="CZ417" s="20">
        <v>0</v>
      </c>
      <c r="DA417" s="20">
        <v>0</v>
      </c>
      <c r="DB417" s="20">
        <v>0</v>
      </c>
      <c r="DC417" s="20">
        <v>0</v>
      </c>
      <c r="DD417" s="20">
        <v>0</v>
      </c>
      <c r="DE417" s="20">
        <v>0</v>
      </c>
      <c r="DF417" s="20">
        <v>0</v>
      </c>
      <c r="DG417" s="16">
        <f t="shared" si="34"/>
        <v>187</v>
      </c>
      <c r="DH417" s="16">
        <f t="shared" si="35"/>
        <v>4584</v>
      </c>
      <c r="DI417" s="17">
        <f t="shared" si="36"/>
        <v>24.513368983957218</v>
      </c>
      <c r="DJ417" s="119" t="s">
        <v>2</v>
      </c>
      <c r="DK417" s="44" t="s">
        <v>2</v>
      </c>
    </row>
    <row r="418" spans="1:116">
      <c r="A418" s="32" t="str">
        <f t="shared" si="37"/>
        <v>Essential (Original)--&gt; 33 kV &amp; &lt; = 66 kV ; CIRCUIT BREAKER</v>
      </c>
      <c r="B418" s="32" t="str">
        <f t="shared" si="38"/>
        <v>Essential (Original)</v>
      </c>
      <c r="C418" s="384"/>
      <c r="D418" s="14"/>
      <c r="E418" s="15" t="s">
        <v>254</v>
      </c>
      <c r="F418" s="18">
        <v>0</v>
      </c>
      <c r="G418" s="18">
        <v>0</v>
      </c>
      <c r="H418" s="20">
        <v>14</v>
      </c>
      <c r="I418" s="20">
        <v>10</v>
      </c>
      <c r="J418" s="20">
        <v>44</v>
      </c>
      <c r="K418" s="20">
        <v>32</v>
      </c>
      <c r="L418" s="20">
        <v>55</v>
      </c>
      <c r="M418" s="20">
        <v>58</v>
      </c>
      <c r="N418" s="20">
        <v>50</v>
      </c>
      <c r="O418" s="20">
        <v>43</v>
      </c>
      <c r="P418" s="20">
        <v>30</v>
      </c>
      <c r="Q418" s="20">
        <v>25</v>
      </c>
      <c r="R418" s="20">
        <v>49</v>
      </c>
      <c r="S418" s="20">
        <v>13</v>
      </c>
      <c r="T418" s="20">
        <v>26</v>
      </c>
      <c r="U418" s="20">
        <v>5</v>
      </c>
      <c r="V418" s="20">
        <v>4</v>
      </c>
      <c r="W418" s="20">
        <v>0</v>
      </c>
      <c r="X418" s="20">
        <v>0</v>
      </c>
      <c r="Y418" s="20">
        <v>2</v>
      </c>
      <c r="Z418" s="20">
        <v>6</v>
      </c>
      <c r="AA418" s="20">
        <v>3</v>
      </c>
      <c r="AB418" s="20">
        <v>1</v>
      </c>
      <c r="AC418" s="20">
        <v>10</v>
      </c>
      <c r="AD418" s="20">
        <v>9</v>
      </c>
      <c r="AE418" s="20">
        <v>8</v>
      </c>
      <c r="AF418" s="20">
        <v>5</v>
      </c>
      <c r="AG418" s="20">
        <v>1</v>
      </c>
      <c r="AH418" s="20">
        <v>9</v>
      </c>
      <c r="AI418" s="20">
        <v>18</v>
      </c>
      <c r="AJ418" s="20">
        <v>9</v>
      </c>
      <c r="AK418" s="20">
        <v>2</v>
      </c>
      <c r="AL418" s="20">
        <v>10</v>
      </c>
      <c r="AM418" s="20">
        <v>25</v>
      </c>
      <c r="AN418" s="20">
        <v>26</v>
      </c>
      <c r="AO418" s="20">
        <v>8</v>
      </c>
      <c r="AP418" s="20">
        <v>1</v>
      </c>
      <c r="AQ418" s="20">
        <v>3</v>
      </c>
      <c r="AR418" s="20">
        <v>1</v>
      </c>
      <c r="AS418" s="20">
        <v>3</v>
      </c>
      <c r="AT418" s="20">
        <v>2</v>
      </c>
      <c r="AU418" s="20">
        <v>0</v>
      </c>
      <c r="AV418" s="20">
        <v>0</v>
      </c>
      <c r="AW418" s="20">
        <v>0</v>
      </c>
      <c r="AX418" s="20">
        <v>0</v>
      </c>
      <c r="AY418" s="20">
        <v>1</v>
      </c>
      <c r="AZ418" s="20">
        <v>0</v>
      </c>
      <c r="BA418" s="20">
        <v>8</v>
      </c>
      <c r="BB418" s="20">
        <v>6</v>
      </c>
      <c r="BC418" s="20">
        <v>13</v>
      </c>
      <c r="BD418" s="20">
        <v>4</v>
      </c>
      <c r="BE418" s="20">
        <v>0</v>
      </c>
      <c r="BF418" s="20">
        <v>5</v>
      </c>
      <c r="BG418" s="20">
        <v>0</v>
      </c>
      <c r="BH418" s="20">
        <v>1</v>
      </c>
      <c r="BI418" s="20">
        <v>1</v>
      </c>
      <c r="BJ418" s="20">
        <v>0</v>
      </c>
      <c r="BK418" s="20">
        <v>0</v>
      </c>
      <c r="BL418" s="20">
        <v>1</v>
      </c>
      <c r="BM418" s="20">
        <v>0</v>
      </c>
      <c r="BN418" s="20">
        <v>0</v>
      </c>
      <c r="BO418" s="20">
        <v>7</v>
      </c>
      <c r="BP418" s="20">
        <v>0</v>
      </c>
      <c r="BQ418" s="20">
        <v>2</v>
      </c>
      <c r="BR418" s="20">
        <v>0</v>
      </c>
      <c r="BS418" s="20">
        <v>0</v>
      </c>
      <c r="BT418" s="20">
        <v>0</v>
      </c>
      <c r="BU418" s="20">
        <v>0</v>
      </c>
      <c r="BV418" s="20">
        <v>0</v>
      </c>
      <c r="BW418" s="20">
        <v>0</v>
      </c>
      <c r="BX418" s="20">
        <v>0</v>
      </c>
      <c r="BY418" s="20">
        <v>0</v>
      </c>
      <c r="BZ418" s="20">
        <v>0</v>
      </c>
      <c r="CA418" s="20">
        <v>0</v>
      </c>
      <c r="CB418" s="20">
        <v>0</v>
      </c>
      <c r="CC418" s="20">
        <v>0</v>
      </c>
      <c r="CD418" s="20">
        <v>0</v>
      </c>
      <c r="CE418" s="20">
        <v>0</v>
      </c>
      <c r="CF418" s="20">
        <v>0</v>
      </c>
      <c r="CG418" s="20">
        <v>0</v>
      </c>
      <c r="CH418" s="20">
        <v>0</v>
      </c>
      <c r="CI418" s="20">
        <v>0</v>
      </c>
      <c r="CJ418" s="20">
        <v>0</v>
      </c>
      <c r="CK418" s="20">
        <v>0</v>
      </c>
      <c r="CL418" s="20">
        <v>0</v>
      </c>
      <c r="CM418" s="20">
        <v>0</v>
      </c>
      <c r="CN418" s="20">
        <v>0</v>
      </c>
      <c r="CO418" s="20">
        <v>0</v>
      </c>
      <c r="CP418" s="20">
        <v>0</v>
      </c>
      <c r="CQ418" s="20">
        <v>0</v>
      </c>
      <c r="CR418" s="20">
        <v>0</v>
      </c>
      <c r="CS418" s="20">
        <v>0</v>
      </c>
      <c r="CT418" s="20">
        <v>0</v>
      </c>
      <c r="CU418" s="20">
        <v>0</v>
      </c>
      <c r="CV418" s="20">
        <v>0</v>
      </c>
      <c r="CW418" s="20">
        <v>0</v>
      </c>
      <c r="CX418" s="20">
        <v>0</v>
      </c>
      <c r="CY418" s="20">
        <v>0</v>
      </c>
      <c r="CZ418" s="20">
        <v>0</v>
      </c>
      <c r="DA418" s="20">
        <v>0</v>
      </c>
      <c r="DB418" s="20">
        <v>0</v>
      </c>
      <c r="DC418" s="20">
        <v>0</v>
      </c>
      <c r="DD418" s="20">
        <v>0</v>
      </c>
      <c r="DE418" s="20">
        <v>0</v>
      </c>
      <c r="DF418" s="20">
        <v>0</v>
      </c>
      <c r="DG418" s="16">
        <f t="shared" si="34"/>
        <v>669</v>
      </c>
      <c r="DH418" s="16">
        <f t="shared" si="35"/>
        <v>10452</v>
      </c>
      <c r="DI418" s="17">
        <f t="shared" si="36"/>
        <v>15.623318385650224</v>
      </c>
      <c r="DJ418" s="119" t="s">
        <v>2</v>
      </c>
      <c r="DK418" s="44" t="s">
        <v>2</v>
      </c>
    </row>
    <row r="419" spans="1:116">
      <c r="A419" s="32" t="str">
        <f t="shared" si="37"/>
        <v>Essential (Original)--&gt; 66 kV &amp; &lt; = 132 kV ; SWITCH</v>
      </c>
      <c r="B419" s="32" t="str">
        <f t="shared" si="38"/>
        <v>Essential (Original)</v>
      </c>
      <c r="C419" s="384"/>
      <c r="D419" s="14"/>
      <c r="E419" s="15" t="s">
        <v>255</v>
      </c>
      <c r="F419" s="18">
        <v>0</v>
      </c>
      <c r="G419" s="18">
        <v>0</v>
      </c>
      <c r="H419" s="20">
        <v>0</v>
      </c>
      <c r="I419" s="20">
        <v>0</v>
      </c>
      <c r="J419" s="20">
        <v>0</v>
      </c>
      <c r="K419" s="20">
        <v>0</v>
      </c>
      <c r="L419" s="20">
        <v>0</v>
      </c>
      <c r="M419" s="20">
        <v>0</v>
      </c>
      <c r="N419" s="20">
        <v>0</v>
      </c>
      <c r="O419" s="20">
        <v>0</v>
      </c>
      <c r="P419" s="20">
        <v>0</v>
      </c>
      <c r="Q419" s="20">
        <v>0</v>
      </c>
      <c r="R419" s="20">
        <v>0</v>
      </c>
      <c r="S419" s="20">
        <v>0</v>
      </c>
      <c r="T419" s="20">
        <v>0</v>
      </c>
      <c r="U419" s="20">
        <v>0</v>
      </c>
      <c r="V419" s="20">
        <v>0</v>
      </c>
      <c r="W419" s="20">
        <v>0</v>
      </c>
      <c r="X419" s="20">
        <v>0</v>
      </c>
      <c r="Y419" s="20">
        <v>0</v>
      </c>
      <c r="Z419" s="20">
        <v>0</v>
      </c>
      <c r="AA419" s="20">
        <v>0</v>
      </c>
      <c r="AB419" s="20">
        <v>0</v>
      </c>
      <c r="AC419" s="20">
        <v>0</v>
      </c>
      <c r="AD419" s="20">
        <v>0</v>
      </c>
      <c r="AE419" s="20">
        <v>0</v>
      </c>
      <c r="AF419" s="20">
        <v>0</v>
      </c>
      <c r="AG419" s="20">
        <v>0</v>
      </c>
      <c r="AH419" s="20">
        <v>0</v>
      </c>
      <c r="AI419" s="20">
        <v>0</v>
      </c>
      <c r="AJ419" s="20">
        <v>0</v>
      </c>
      <c r="AK419" s="20">
        <v>0</v>
      </c>
      <c r="AL419" s="20">
        <v>0</v>
      </c>
      <c r="AM419" s="20">
        <v>0</v>
      </c>
      <c r="AN419" s="20">
        <v>0</v>
      </c>
      <c r="AO419" s="20">
        <v>0</v>
      </c>
      <c r="AP419" s="20">
        <v>0</v>
      </c>
      <c r="AQ419" s="20">
        <v>0</v>
      </c>
      <c r="AR419" s="20">
        <v>0</v>
      </c>
      <c r="AS419" s="20">
        <v>0</v>
      </c>
      <c r="AT419" s="20">
        <v>0</v>
      </c>
      <c r="AU419" s="20">
        <v>0</v>
      </c>
      <c r="AV419" s="20">
        <v>0</v>
      </c>
      <c r="AW419" s="20">
        <v>0</v>
      </c>
      <c r="AX419" s="20">
        <v>0</v>
      </c>
      <c r="AY419" s="20">
        <v>0</v>
      </c>
      <c r="AZ419" s="20">
        <v>0</v>
      </c>
      <c r="BA419" s="20">
        <v>0</v>
      </c>
      <c r="BB419" s="20">
        <v>0</v>
      </c>
      <c r="BC419" s="20">
        <v>0</v>
      </c>
      <c r="BD419" s="20">
        <v>0</v>
      </c>
      <c r="BE419" s="20">
        <v>0</v>
      </c>
      <c r="BF419" s="20">
        <v>0</v>
      </c>
      <c r="BG419" s="20">
        <v>0</v>
      </c>
      <c r="BH419" s="20">
        <v>0</v>
      </c>
      <c r="BI419" s="20">
        <v>0</v>
      </c>
      <c r="BJ419" s="20">
        <v>0</v>
      </c>
      <c r="BK419" s="20">
        <v>0</v>
      </c>
      <c r="BL419" s="20">
        <v>0</v>
      </c>
      <c r="BM419" s="20">
        <v>0</v>
      </c>
      <c r="BN419" s="20">
        <v>0</v>
      </c>
      <c r="BO419" s="20">
        <v>0</v>
      </c>
      <c r="BP419" s="20">
        <v>0</v>
      </c>
      <c r="BQ419" s="20">
        <v>0</v>
      </c>
      <c r="BR419" s="20">
        <v>0</v>
      </c>
      <c r="BS419" s="20">
        <v>0</v>
      </c>
      <c r="BT419" s="20">
        <v>0</v>
      </c>
      <c r="BU419" s="20">
        <v>0</v>
      </c>
      <c r="BV419" s="20">
        <v>0</v>
      </c>
      <c r="BW419" s="20">
        <v>0</v>
      </c>
      <c r="BX419" s="20">
        <v>0</v>
      </c>
      <c r="BY419" s="20">
        <v>0</v>
      </c>
      <c r="BZ419" s="20">
        <v>0</v>
      </c>
      <c r="CA419" s="20">
        <v>0</v>
      </c>
      <c r="CB419" s="20">
        <v>0</v>
      </c>
      <c r="CC419" s="20">
        <v>0</v>
      </c>
      <c r="CD419" s="20">
        <v>0</v>
      </c>
      <c r="CE419" s="20">
        <v>0</v>
      </c>
      <c r="CF419" s="20">
        <v>0</v>
      </c>
      <c r="CG419" s="20">
        <v>0</v>
      </c>
      <c r="CH419" s="20">
        <v>0</v>
      </c>
      <c r="CI419" s="20">
        <v>0</v>
      </c>
      <c r="CJ419" s="20">
        <v>0</v>
      </c>
      <c r="CK419" s="20">
        <v>0</v>
      </c>
      <c r="CL419" s="20">
        <v>0</v>
      </c>
      <c r="CM419" s="20">
        <v>0</v>
      </c>
      <c r="CN419" s="20">
        <v>0</v>
      </c>
      <c r="CO419" s="20">
        <v>0</v>
      </c>
      <c r="CP419" s="20">
        <v>0</v>
      </c>
      <c r="CQ419" s="20">
        <v>0</v>
      </c>
      <c r="CR419" s="20">
        <v>0</v>
      </c>
      <c r="CS419" s="20">
        <v>0</v>
      </c>
      <c r="CT419" s="20">
        <v>0</v>
      </c>
      <c r="CU419" s="20">
        <v>0</v>
      </c>
      <c r="CV419" s="20">
        <v>0</v>
      </c>
      <c r="CW419" s="20">
        <v>0</v>
      </c>
      <c r="CX419" s="20">
        <v>0</v>
      </c>
      <c r="CY419" s="20">
        <v>0</v>
      </c>
      <c r="CZ419" s="20">
        <v>0</v>
      </c>
      <c r="DA419" s="20">
        <v>0</v>
      </c>
      <c r="DB419" s="20">
        <v>0</v>
      </c>
      <c r="DC419" s="20">
        <v>0</v>
      </c>
      <c r="DD419" s="20">
        <v>0</v>
      </c>
      <c r="DE419" s="20">
        <v>0</v>
      </c>
      <c r="DF419" s="20">
        <v>0</v>
      </c>
      <c r="DG419" s="16">
        <f t="shared" si="34"/>
        <v>0</v>
      </c>
      <c r="DH419" s="16">
        <f t="shared" si="35"/>
        <v>0</v>
      </c>
      <c r="DI419" s="17" t="str">
        <f t="shared" si="36"/>
        <v/>
      </c>
      <c r="DJ419" s="119" t="s">
        <v>2</v>
      </c>
      <c r="DK419" s="44" t="s">
        <v>2</v>
      </c>
    </row>
    <row r="420" spans="1:116">
      <c r="A420" s="32" t="str">
        <f t="shared" si="37"/>
        <v>Essential (Original)--&gt; 66 kV &amp; &lt; = 132 kV  ; CIRCUIT BREAKER</v>
      </c>
      <c r="B420" s="32" t="str">
        <f t="shared" si="38"/>
        <v>Essential (Original)</v>
      </c>
      <c r="C420" s="384"/>
      <c r="D420" s="14"/>
      <c r="E420" s="15" t="s">
        <v>256</v>
      </c>
      <c r="F420" s="18">
        <v>54.9</v>
      </c>
      <c r="G420" s="18">
        <v>7.4094534211370817</v>
      </c>
      <c r="H420" s="20">
        <v>3</v>
      </c>
      <c r="I420" s="20">
        <v>5</v>
      </c>
      <c r="J420" s="20">
        <v>16</v>
      </c>
      <c r="K420" s="20">
        <v>4</v>
      </c>
      <c r="L420" s="20">
        <v>1</v>
      </c>
      <c r="M420" s="20">
        <v>20</v>
      </c>
      <c r="N420" s="20">
        <v>1</v>
      </c>
      <c r="O420" s="20">
        <v>11</v>
      </c>
      <c r="P420" s="20">
        <v>1</v>
      </c>
      <c r="Q420" s="20">
        <v>3</v>
      </c>
      <c r="R420" s="20">
        <v>16</v>
      </c>
      <c r="S420" s="20">
        <v>5</v>
      </c>
      <c r="T420" s="20">
        <v>2</v>
      </c>
      <c r="U420" s="20">
        <v>3</v>
      </c>
      <c r="V420" s="20">
        <v>14</v>
      </c>
      <c r="W420" s="20">
        <v>0</v>
      </c>
      <c r="X420" s="20">
        <v>1</v>
      </c>
      <c r="Y420" s="20">
        <v>0</v>
      </c>
      <c r="Z420" s="20">
        <v>3</v>
      </c>
      <c r="AA420" s="20">
        <v>3</v>
      </c>
      <c r="AB420" s="20">
        <v>0</v>
      </c>
      <c r="AC420" s="20">
        <v>1</v>
      </c>
      <c r="AD420" s="20">
        <v>0</v>
      </c>
      <c r="AE420" s="20">
        <v>2</v>
      </c>
      <c r="AF420" s="20">
        <v>1</v>
      </c>
      <c r="AG420" s="20">
        <v>0</v>
      </c>
      <c r="AH420" s="20">
        <v>0</v>
      </c>
      <c r="AI420" s="20">
        <v>2</v>
      </c>
      <c r="AJ420" s="20">
        <v>3</v>
      </c>
      <c r="AK420" s="20">
        <v>4</v>
      </c>
      <c r="AL420" s="20">
        <v>7</v>
      </c>
      <c r="AM420" s="20">
        <v>1</v>
      </c>
      <c r="AN420" s="20">
        <v>4</v>
      </c>
      <c r="AO420" s="20">
        <v>0</v>
      </c>
      <c r="AP420" s="20">
        <v>0</v>
      </c>
      <c r="AQ420" s="20">
        <v>0</v>
      </c>
      <c r="AR420" s="20">
        <v>0</v>
      </c>
      <c r="AS420" s="20">
        <v>2</v>
      </c>
      <c r="AT420" s="20">
        <v>0</v>
      </c>
      <c r="AU420" s="20">
        <v>0</v>
      </c>
      <c r="AV420" s="20">
        <v>0</v>
      </c>
      <c r="AW420" s="20">
        <v>0</v>
      </c>
      <c r="AX420" s="20">
        <v>1</v>
      </c>
      <c r="AY420" s="20">
        <v>0</v>
      </c>
      <c r="AZ420" s="20">
        <v>0</v>
      </c>
      <c r="BA420" s="20">
        <v>0</v>
      </c>
      <c r="BB420" s="20">
        <v>0</v>
      </c>
      <c r="BC420" s="20">
        <v>0</v>
      </c>
      <c r="BD420" s="20">
        <v>4</v>
      </c>
      <c r="BE420" s="20">
        <v>0</v>
      </c>
      <c r="BF420" s="20">
        <v>0</v>
      </c>
      <c r="BG420" s="20">
        <v>0</v>
      </c>
      <c r="BH420" s="20">
        <v>0</v>
      </c>
      <c r="BI420" s="20">
        <v>0</v>
      </c>
      <c r="BJ420" s="20">
        <v>0</v>
      </c>
      <c r="BK420" s="20">
        <v>0</v>
      </c>
      <c r="BL420" s="20">
        <v>0</v>
      </c>
      <c r="BM420" s="20">
        <v>0</v>
      </c>
      <c r="BN420" s="20">
        <v>0</v>
      </c>
      <c r="BO420" s="20">
        <v>0</v>
      </c>
      <c r="BP420" s="20">
        <v>0</v>
      </c>
      <c r="BQ420" s="20">
        <v>0</v>
      </c>
      <c r="BR420" s="20">
        <v>0</v>
      </c>
      <c r="BS420" s="20">
        <v>0</v>
      </c>
      <c r="BT420" s="20">
        <v>0</v>
      </c>
      <c r="BU420" s="20">
        <v>0</v>
      </c>
      <c r="BV420" s="20">
        <v>0</v>
      </c>
      <c r="BW420" s="20">
        <v>0</v>
      </c>
      <c r="BX420" s="20">
        <v>0</v>
      </c>
      <c r="BY420" s="20">
        <v>0</v>
      </c>
      <c r="BZ420" s="20">
        <v>0</v>
      </c>
      <c r="CA420" s="20">
        <v>0</v>
      </c>
      <c r="CB420" s="20">
        <v>0</v>
      </c>
      <c r="CC420" s="20">
        <v>0</v>
      </c>
      <c r="CD420" s="20">
        <v>0</v>
      </c>
      <c r="CE420" s="20">
        <v>0</v>
      </c>
      <c r="CF420" s="20">
        <v>0</v>
      </c>
      <c r="CG420" s="20">
        <v>0</v>
      </c>
      <c r="CH420" s="20">
        <v>0</v>
      </c>
      <c r="CI420" s="20">
        <v>0</v>
      </c>
      <c r="CJ420" s="20">
        <v>0</v>
      </c>
      <c r="CK420" s="20">
        <v>0</v>
      </c>
      <c r="CL420" s="20">
        <v>0</v>
      </c>
      <c r="CM420" s="20">
        <v>0</v>
      </c>
      <c r="CN420" s="20">
        <v>0</v>
      </c>
      <c r="CO420" s="20">
        <v>0</v>
      </c>
      <c r="CP420" s="20">
        <v>0</v>
      </c>
      <c r="CQ420" s="20">
        <v>0</v>
      </c>
      <c r="CR420" s="20">
        <v>0</v>
      </c>
      <c r="CS420" s="20">
        <v>0</v>
      </c>
      <c r="CT420" s="20">
        <v>0</v>
      </c>
      <c r="CU420" s="20">
        <v>0</v>
      </c>
      <c r="CV420" s="20">
        <v>0</v>
      </c>
      <c r="CW420" s="20">
        <v>0</v>
      </c>
      <c r="CX420" s="20">
        <v>0</v>
      </c>
      <c r="CY420" s="20">
        <v>0</v>
      </c>
      <c r="CZ420" s="20">
        <v>0</v>
      </c>
      <c r="DA420" s="20">
        <v>0</v>
      </c>
      <c r="DB420" s="20">
        <v>0</v>
      </c>
      <c r="DC420" s="20">
        <v>0</v>
      </c>
      <c r="DD420" s="20">
        <v>0</v>
      </c>
      <c r="DE420" s="20">
        <v>0</v>
      </c>
      <c r="DF420" s="20">
        <v>0</v>
      </c>
      <c r="DG420" s="16">
        <f t="shared" si="34"/>
        <v>144</v>
      </c>
      <c r="DH420" s="16">
        <f t="shared" si="35"/>
        <v>2038</v>
      </c>
      <c r="DI420" s="17">
        <f t="shared" si="36"/>
        <v>14.152777777777779</v>
      </c>
      <c r="DJ420" s="119" t="s">
        <v>2</v>
      </c>
      <c r="DK420" s="44" t="s">
        <v>2</v>
      </c>
    </row>
    <row r="421" spans="1:116">
      <c r="A421" s="32" t="str">
        <f t="shared" si="37"/>
        <v>Essential (Original)--&gt; 132 kV ; SWITCH</v>
      </c>
      <c r="B421" s="32" t="str">
        <f t="shared" si="38"/>
        <v>Essential (Original)</v>
      </c>
      <c r="C421" s="384"/>
      <c r="D421" s="14"/>
      <c r="E421" s="15" t="s">
        <v>257</v>
      </c>
      <c r="F421" s="18">
        <v>0</v>
      </c>
      <c r="G421" s="18">
        <v>0</v>
      </c>
      <c r="H421" s="20">
        <v>0</v>
      </c>
      <c r="I421" s="20">
        <v>0</v>
      </c>
      <c r="J421" s="20">
        <v>0</v>
      </c>
      <c r="K421" s="20">
        <v>0</v>
      </c>
      <c r="L421" s="20">
        <v>0</v>
      </c>
      <c r="M421" s="20">
        <v>0</v>
      </c>
      <c r="N421" s="20">
        <v>0</v>
      </c>
      <c r="O421" s="20">
        <v>0</v>
      </c>
      <c r="P421" s="20">
        <v>0</v>
      </c>
      <c r="Q421" s="20">
        <v>0</v>
      </c>
      <c r="R421" s="20">
        <v>0</v>
      </c>
      <c r="S421" s="20">
        <v>0</v>
      </c>
      <c r="T421" s="20">
        <v>0</v>
      </c>
      <c r="U421" s="20">
        <v>0</v>
      </c>
      <c r="V421" s="20">
        <v>0</v>
      </c>
      <c r="W421" s="20">
        <v>0</v>
      </c>
      <c r="X421" s="20">
        <v>0</v>
      </c>
      <c r="Y421" s="20">
        <v>0</v>
      </c>
      <c r="Z421" s="20">
        <v>0</v>
      </c>
      <c r="AA421" s="20">
        <v>0</v>
      </c>
      <c r="AB421" s="20">
        <v>0</v>
      </c>
      <c r="AC421" s="20">
        <v>0</v>
      </c>
      <c r="AD421" s="20">
        <v>0</v>
      </c>
      <c r="AE421" s="20">
        <v>0</v>
      </c>
      <c r="AF421" s="20">
        <v>0</v>
      </c>
      <c r="AG421" s="20">
        <v>0</v>
      </c>
      <c r="AH421" s="20">
        <v>0</v>
      </c>
      <c r="AI421" s="20">
        <v>0</v>
      </c>
      <c r="AJ421" s="20">
        <v>0</v>
      </c>
      <c r="AK421" s="20">
        <v>0</v>
      </c>
      <c r="AL421" s="20">
        <v>0</v>
      </c>
      <c r="AM421" s="20">
        <v>0</v>
      </c>
      <c r="AN421" s="20">
        <v>0</v>
      </c>
      <c r="AO421" s="20">
        <v>0</v>
      </c>
      <c r="AP421" s="20">
        <v>0</v>
      </c>
      <c r="AQ421" s="20">
        <v>0</v>
      </c>
      <c r="AR421" s="20">
        <v>0</v>
      </c>
      <c r="AS421" s="20">
        <v>0</v>
      </c>
      <c r="AT421" s="20">
        <v>0</v>
      </c>
      <c r="AU421" s="20">
        <v>0</v>
      </c>
      <c r="AV421" s="20">
        <v>0</v>
      </c>
      <c r="AW421" s="20">
        <v>0</v>
      </c>
      <c r="AX421" s="20">
        <v>0</v>
      </c>
      <c r="AY421" s="20">
        <v>0</v>
      </c>
      <c r="AZ421" s="20">
        <v>0</v>
      </c>
      <c r="BA421" s="20">
        <v>0</v>
      </c>
      <c r="BB421" s="20">
        <v>0</v>
      </c>
      <c r="BC421" s="20">
        <v>0</v>
      </c>
      <c r="BD421" s="20">
        <v>0</v>
      </c>
      <c r="BE421" s="20">
        <v>0</v>
      </c>
      <c r="BF421" s="20">
        <v>0</v>
      </c>
      <c r="BG421" s="20">
        <v>0</v>
      </c>
      <c r="BH421" s="20">
        <v>0</v>
      </c>
      <c r="BI421" s="20">
        <v>0</v>
      </c>
      <c r="BJ421" s="20">
        <v>0</v>
      </c>
      <c r="BK421" s="20">
        <v>0</v>
      </c>
      <c r="BL421" s="20">
        <v>0</v>
      </c>
      <c r="BM421" s="20">
        <v>0</v>
      </c>
      <c r="BN421" s="20">
        <v>0</v>
      </c>
      <c r="BO421" s="20">
        <v>0</v>
      </c>
      <c r="BP421" s="20">
        <v>0</v>
      </c>
      <c r="BQ421" s="20">
        <v>0</v>
      </c>
      <c r="BR421" s="20">
        <v>0</v>
      </c>
      <c r="BS421" s="20">
        <v>0</v>
      </c>
      <c r="BT421" s="20">
        <v>0</v>
      </c>
      <c r="BU421" s="20">
        <v>0</v>
      </c>
      <c r="BV421" s="20">
        <v>0</v>
      </c>
      <c r="BW421" s="20">
        <v>0</v>
      </c>
      <c r="BX421" s="20">
        <v>0</v>
      </c>
      <c r="BY421" s="20">
        <v>0</v>
      </c>
      <c r="BZ421" s="20">
        <v>0</v>
      </c>
      <c r="CA421" s="20">
        <v>0</v>
      </c>
      <c r="CB421" s="20">
        <v>0</v>
      </c>
      <c r="CC421" s="20">
        <v>0</v>
      </c>
      <c r="CD421" s="20">
        <v>0</v>
      </c>
      <c r="CE421" s="20">
        <v>0</v>
      </c>
      <c r="CF421" s="20">
        <v>0</v>
      </c>
      <c r="CG421" s="20">
        <v>0</v>
      </c>
      <c r="CH421" s="20">
        <v>0</v>
      </c>
      <c r="CI421" s="20">
        <v>0</v>
      </c>
      <c r="CJ421" s="20">
        <v>0</v>
      </c>
      <c r="CK421" s="20">
        <v>0</v>
      </c>
      <c r="CL421" s="20">
        <v>0</v>
      </c>
      <c r="CM421" s="20">
        <v>0</v>
      </c>
      <c r="CN421" s="20">
        <v>0</v>
      </c>
      <c r="CO421" s="20">
        <v>0</v>
      </c>
      <c r="CP421" s="20">
        <v>0</v>
      </c>
      <c r="CQ421" s="20">
        <v>0</v>
      </c>
      <c r="CR421" s="20">
        <v>0</v>
      </c>
      <c r="CS421" s="20">
        <v>0</v>
      </c>
      <c r="CT421" s="20">
        <v>0</v>
      </c>
      <c r="CU421" s="20">
        <v>0</v>
      </c>
      <c r="CV421" s="20">
        <v>0</v>
      </c>
      <c r="CW421" s="20">
        <v>0</v>
      </c>
      <c r="CX421" s="20">
        <v>0</v>
      </c>
      <c r="CY421" s="20">
        <v>0</v>
      </c>
      <c r="CZ421" s="20">
        <v>0</v>
      </c>
      <c r="DA421" s="20">
        <v>0</v>
      </c>
      <c r="DB421" s="20">
        <v>0</v>
      </c>
      <c r="DC421" s="20">
        <v>0</v>
      </c>
      <c r="DD421" s="20">
        <v>0</v>
      </c>
      <c r="DE421" s="20">
        <v>0</v>
      </c>
      <c r="DF421" s="20">
        <v>0</v>
      </c>
      <c r="DG421" s="16">
        <f t="shared" si="34"/>
        <v>0</v>
      </c>
      <c r="DH421" s="16">
        <f t="shared" si="35"/>
        <v>0</v>
      </c>
      <c r="DI421" s="17" t="str">
        <f t="shared" si="36"/>
        <v/>
      </c>
      <c r="DJ421" s="119" t="s">
        <v>2</v>
      </c>
      <c r="DK421" s="44" t="s">
        <v>2</v>
      </c>
    </row>
    <row r="422" spans="1:116">
      <c r="A422" s="32" t="str">
        <f t="shared" si="37"/>
        <v>Essential (Original)--&gt; 132 kV ; CIRCUIT BREAKER</v>
      </c>
      <c r="B422" s="32" t="str">
        <f t="shared" si="38"/>
        <v>Essential (Original)</v>
      </c>
      <c r="C422" s="384"/>
      <c r="D422" s="14"/>
      <c r="E422" s="15" t="s">
        <v>258</v>
      </c>
      <c r="F422" s="18">
        <v>0</v>
      </c>
      <c r="G422" s="18">
        <v>0</v>
      </c>
      <c r="H422" s="20">
        <v>0</v>
      </c>
      <c r="I422" s="20">
        <v>0</v>
      </c>
      <c r="J422" s="20">
        <v>0</v>
      </c>
      <c r="K422" s="20">
        <v>0</v>
      </c>
      <c r="L422" s="20">
        <v>0</v>
      </c>
      <c r="M422" s="20">
        <v>0</v>
      </c>
      <c r="N422" s="20">
        <v>0</v>
      </c>
      <c r="O422" s="20">
        <v>0</v>
      </c>
      <c r="P422" s="20">
        <v>0</v>
      </c>
      <c r="Q422" s="20">
        <v>0</v>
      </c>
      <c r="R422" s="20">
        <v>0</v>
      </c>
      <c r="S422" s="20">
        <v>0</v>
      </c>
      <c r="T422" s="20">
        <v>0</v>
      </c>
      <c r="U422" s="20">
        <v>0</v>
      </c>
      <c r="V422" s="20">
        <v>0</v>
      </c>
      <c r="W422" s="20">
        <v>0</v>
      </c>
      <c r="X422" s="20">
        <v>0</v>
      </c>
      <c r="Y422" s="20">
        <v>0</v>
      </c>
      <c r="Z422" s="20">
        <v>0</v>
      </c>
      <c r="AA422" s="20">
        <v>0</v>
      </c>
      <c r="AB422" s="20">
        <v>0</v>
      </c>
      <c r="AC422" s="20">
        <v>0</v>
      </c>
      <c r="AD422" s="20">
        <v>0</v>
      </c>
      <c r="AE422" s="20">
        <v>0</v>
      </c>
      <c r="AF422" s="20">
        <v>0</v>
      </c>
      <c r="AG422" s="20">
        <v>0</v>
      </c>
      <c r="AH422" s="20">
        <v>0</v>
      </c>
      <c r="AI422" s="20">
        <v>0</v>
      </c>
      <c r="AJ422" s="20">
        <v>0</v>
      </c>
      <c r="AK422" s="20">
        <v>0</v>
      </c>
      <c r="AL422" s="20">
        <v>0</v>
      </c>
      <c r="AM422" s="20">
        <v>0</v>
      </c>
      <c r="AN422" s="20">
        <v>0</v>
      </c>
      <c r="AO422" s="20">
        <v>0</v>
      </c>
      <c r="AP422" s="20">
        <v>0</v>
      </c>
      <c r="AQ422" s="20">
        <v>0</v>
      </c>
      <c r="AR422" s="20">
        <v>0</v>
      </c>
      <c r="AS422" s="20">
        <v>0</v>
      </c>
      <c r="AT422" s="20">
        <v>0</v>
      </c>
      <c r="AU422" s="20">
        <v>0</v>
      </c>
      <c r="AV422" s="20">
        <v>0</v>
      </c>
      <c r="AW422" s="20">
        <v>0</v>
      </c>
      <c r="AX422" s="20">
        <v>0</v>
      </c>
      <c r="AY422" s="20">
        <v>0</v>
      </c>
      <c r="AZ422" s="20">
        <v>0</v>
      </c>
      <c r="BA422" s="20">
        <v>0</v>
      </c>
      <c r="BB422" s="20">
        <v>0</v>
      </c>
      <c r="BC422" s="20">
        <v>0</v>
      </c>
      <c r="BD422" s="20">
        <v>0</v>
      </c>
      <c r="BE422" s="20">
        <v>0</v>
      </c>
      <c r="BF422" s="20">
        <v>0</v>
      </c>
      <c r="BG422" s="20">
        <v>0</v>
      </c>
      <c r="BH422" s="20">
        <v>0</v>
      </c>
      <c r="BI422" s="20">
        <v>0</v>
      </c>
      <c r="BJ422" s="20">
        <v>0</v>
      </c>
      <c r="BK422" s="20">
        <v>0</v>
      </c>
      <c r="BL422" s="20">
        <v>0</v>
      </c>
      <c r="BM422" s="20">
        <v>0</v>
      </c>
      <c r="BN422" s="20">
        <v>0</v>
      </c>
      <c r="BO422" s="20">
        <v>0</v>
      </c>
      <c r="BP422" s="20">
        <v>0</v>
      </c>
      <c r="BQ422" s="20">
        <v>0</v>
      </c>
      <c r="BR422" s="20">
        <v>0</v>
      </c>
      <c r="BS422" s="20">
        <v>0</v>
      </c>
      <c r="BT422" s="20">
        <v>0</v>
      </c>
      <c r="BU422" s="20">
        <v>0</v>
      </c>
      <c r="BV422" s="20">
        <v>0</v>
      </c>
      <c r="BW422" s="20">
        <v>0</v>
      </c>
      <c r="BX422" s="20">
        <v>0</v>
      </c>
      <c r="BY422" s="20">
        <v>0</v>
      </c>
      <c r="BZ422" s="20">
        <v>0</v>
      </c>
      <c r="CA422" s="20">
        <v>0</v>
      </c>
      <c r="CB422" s="20">
        <v>0</v>
      </c>
      <c r="CC422" s="20">
        <v>0</v>
      </c>
      <c r="CD422" s="20">
        <v>0</v>
      </c>
      <c r="CE422" s="20">
        <v>0</v>
      </c>
      <c r="CF422" s="20">
        <v>0</v>
      </c>
      <c r="CG422" s="20">
        <v>0</v>
      </c>
      <c r="CH422" s="20">
        <v>0</v>
      </c>
      <c r="CI422" s="20">
        <v>0</v>
      </c>
      <c r="CJ422" s="20">
        <v>0</v>
      </c>
      <c r="CK422" s="20">
        <v>0</v>
      </c>
      <c r="CL422" s="20">
        <v>0</v>
      </c>
      <c r="CM422" s="20">
        <v>0</v>
      </c>
      <c r="CN422" s="20">
        <v>0</v>
      </c>
      <c r="CO422" s="20">
        <v>0</v>
      </c>
      <c r="CP422" s="20">
        <v>0</v>
      </c>
      <c r="CQ422" s="20">
        <v>0</v>
      </c>
      <c r="CR422" s="20">
        <v>0</v>
      </c>
      <c r="CS422" s="20">
        <v>0</v>
      </c>
      <c r="CT422" s="20">
        <v>0</v>
      </c>
      <c r="CU422" s="20">
        <v>0</v>
      </c>
      <c r="CV422" s="20">
        <v>0</v>
      </c>
      <c r="CW422" s="20">
        <v>0</v>
      </c>
      <c r="CX422" s="20">
        <v>0</v>
      </c>
      <c r="CY422" s="20">
        <v>0</v>
      </c>
      <c r="CZ422" s="20">
        <v>0</v>
      </c>
      <c r="DA422" s="20">
        <v>0</v>
      </c>
      <c r="DB422" s="20">
        <v>0</v>
      </c>
      <c r="DC422" s="20">
        <v>0</v>
      </c>
      <c r="DD422" s="20">
        <v>0</v>
      </c>
      <c r="DE422" s="20">
        <v>0</v>
      </c>
      <c r="DF422" s="20">
        <v>0</v>
      </c>
      <c r="DG422" s="16">
        <f t="shared" si="34"/>
        <v>0</v>
      </c>
      <c r="DH422" s="16">
        <f t="shared" si="35"/>
        <v>0</v>
      </c>
      <c r="DI422" s="17" t="str">
        <f t="shared" si="36"/>
        <v/>
      </c>
      <c r="DJ422" s="119" t="s">
        <v>2</v>
      </c>
      <c r="DK422" s="44" t="s">
        <v>2</v>
      </c>
    </row>
    <row r="423" spans="1:116">
      <c r="A423" s="32" t="str">
        <f t="shared" si="37"/>
        <v>Essential (Original)--&gt; 11 kV &amp; &lt; = 22 kV  ; FUSE</v>
      </c>
      <c r="B423" s="32" t="str">
        <f t="shared" si="38"/>
        <v>Essential (Original)</v>
      </c>
      <c r="C423" s="384"/>
      <c r="D423" s="14"/>
      <c r="E423" s="15" t="s">
        <v>292</v>
      </c>
      <c r="F423" s="18">
        <v>53.8</v>
      </c>
      <c r="G423" s="18">
        <v>7.334848328356899</v>
      </c>
      <c r="H423" s="20">
        <v>1088</v>
      </c>
      <c r="I423" s="20">
        <v>1410</v>
      </c>
      <c r="J423" s="20">
        <v>1157</v>
      </c>
      <c r="K423" s="20">
        <v>644</v>
      </c>
      <c r="L423" s="20">
        <v>893</v>
      </c>
      <c r="M423" s="20">
        <v>634</v>
      </c>
      <c r="N423" s="20">
        <v>459</v>
      </c>
      <c r="O423" s="20">
        <v>634</v>
      </c>
      <c r="P423" s="20">
        <v>465</v>
      </c>
      <c r="Q423" s="20">
        <v>306</v>
      </c>
      <c r="R423" s="20">
        <v>386</v>
      </c>
      <c r="S423" s="20">
        <v>539</v>
      </c>
      <c r="T423" s="20">
        <v>1695</v>
      </c>
      <c r="U423" s="20">
        <v>539</v>
      </c>
      <c r="V423" s="20">
        <v>465</v>
      </c>
      <c r="W423" s="20">
        <v>613</v>
      </c>
      <c r="X423" s="20">
        <v>597</v>
      </c>
      <c r="Y423" s="20">
        <v>602</v>
      </c>
      <c r="Z423" s="20">
        <v>1104</v>
      </c>
      <c r="AA423" s="20">
        <v>1030</v>
      </c>
      <c r="AB423" s="20">
        <v>687</v>
      </c>
      <c r="AC423" s="20">
        <v>1452</v>
      </c>
      <c r="AD423" s="20">
        <v>919</v>
      </c>
      <c r="AE423" s="20">
        <v>893</v>
      </c>
      <c r="AF423" s="20">
        <v>871</v>
      </c>
      <c r="AG423" s="20">
        <v>1125</v>
      </c>
      <c r="AH423" s="20">
        <v>1426</v>
      </c>
      <c r="AI423" s="20">
        <v>1083</v>
      </c>
      <c r="AJ423" s="20">
        <v>2076</v>
      </c>
      <c r="AK423" s="20">
        <v>914</v>
      </c>
      <c r="AL423" s="20">
        <v>829</v>
      </c>
      <c r="AM423" s="20">
        <v>1907</v>
      </c>
      <c r="AN423" s="20">
        <v>893</v>
      </c>
      <c r="AO423" s="20">
        <v>1378</v>
      </c>
      <c r="AP423" s="20">
        <v>502</v>
      </c>
      <c r="AQ423" s="20">
        <v>628</v>
      </c>
      <c r="AR423" s="20">
        <v>496</v>
      </c>
      <c r="AS423" s="20">
        <v>507</v>
      </c>
      <c r="AT423" s="20">
        <v>459</v>
      </c>
      <c r="AU423" s="20">
        <v>407</v>
      </c>
      <c r="AV423" s="20">
        <v>470</v>
      </c>
      <c r="AW423" s="20">
        <v>523</v>
      </c>
      <c r="AX423" s="20">
        <v>496</v>
      </c>
      <c r="AY423" s="20">
        <v>861</v>
      </c>
      <c r="AZ423" s="20">
        <v>602</v>
      </c>
      <c r="BA423" s="20">
        <v>618</v>
      </c>
      <c r="BB423" s="20">
        <v>470</v>
      </c>
      <c r="BC423" s="20">
        <v>2007</v>
      </c>
      <c r="BD423" s="20">
        <v>866</v>
      </c>
      <c r="BE423" s="20">
        <v>803</v>
      </c>
      <c r="BF423" s="20">
        <v>639</v>
      </c>
      <c r="BG423" s="20">
        <v>264</v>
      </c>
      <c r="BH423" s="20">
        <v>1489</v>
      </c>
      <c r="BI423" s="20">
        <v>1685</v>
      </c>
      <c r="BJ423" s="20">
        <v>650</v>
      </c>
      <c r="BK423" s="20">
        <v>1088</v>
      </c>
      <c r="BL423" s="20">
        <v>74</v>
      </c>
      <c r="BM423" s="20">
        <v>423</v>
      </c>
      <c r="BN423" s="20">
        <v>819</v>
      </c>
      <c r="BO423" s="20">
        <v>496</v>
      </c>
      <c r="BP423" s="20">
        <v>42</v>
      </c>
      <c r="BQ423" s="20">
        <v>106</v>
      </c>
      <c r="BR423" s="20">
        <v>100</v>
      </c>
      <c r="BS423" s="20">
        <v>523</v>
      </c>
      <c r="BT423" s="20">
        <v>85</v>
      </c>
      <c r="BU423" s="20">
        <v>16</v>
      </c>
      <c r="BV423" s="20">
        <v>5</v>
      </c>
      <c r="BW423" s="20">
        <v>0</v>
      </c>
      <c r="BX423" s="20">
        <v>0</v>
      </c>
      <c r="BY423" s="20">
        <v>5</v>
      </c>
      <c r="BZ423" s="20">
        <v>0</v>
      </c>
      <c r="CA423" s="20">
        <v>5</v>
      </c>
      <c r="CB423" s="20">
        <v>0</v>
      </c>
      <c r="CC423" s="20">
        <v>79</v>
      </c>
      <c r="CD423" s="20">
        <v>0</v>
      </c>
      <c r="CE423" s="20">
        <v>0</v>
      </c>
      <c r="CF423" s="20">
        <v>5</v>
      </c>
      <c r="CG423" s="20">
        <v>0</v>
      </c>
      <c r="CH423" s="20">
        <v>0</v>
      </c>
      <c r="CI423" s="20">
        <v>0</v>
      </c>
      <c r="CJ423" s="20">
        <v>0</v>
      </c>
      <c r="CK423" s="20">
        <v>0</v>
      </c>
      <c r="CL423" s="20">
        <v>0</v>
      </c>
      <c r="CM423" s="20">
        <v>26</v>
      </c>
      <c r="CN423" s="20">
        <v>0</v>
      </c>
      <c r="CO423" s="20">
        <v>0</v>
      </c>
      <c r="CP423" s="20">
        <v>0</v>
      </c>
      <c r="CQ423" s="20">
        <v>0</v>
      </c>
      <c r="CR423" s="20">
        <v>0</v>
      </c>
      <c r="CS423" s="20">
        <v>0</v>
      </c>
      <c r="CT423" s="20">
        <v>0</v>
      </c>
      <c r="CU423" s="20">
        <v>0</v>
      </c>
      <c r="CV423" s="20">
        <v>0</v>
      </c>
      <c r="CW423" s="20">
        <v>0</v>
      </c>
      <c r="CX423" s="20">
        <v>0</v>
      </c>
      <c r="CY423" s="20">
        <v>0</v>
      </c>
      <c r="CZ423" s="20">
        <v>0</v>
      </c>
      <c r="DA423" s="20">
        <v>0</v>
      </c>
      <c r="DB423" s="20">
        <v>0</v>
      </c>
      <c r="DC423" s="20">
        <v>0</v>
      </c>
      <c r="DD423" s="20">
        <v>0</v>
      </c>
      <c r="DE423" s="20">
        <v>0</v>
      </c>
      <c r="DF423" s="20">
        <v>0</v>
      </c>
      <c r="DG423" s="16">
        <f t="shared" si="34"/>
        <v>51052</v>
      </c>
      <c r="DH423" s="16">
        <f t="shared" si="35"/>
        <v>1566487</v>
      </c>
      <c r="DI423" s="17">
        <f t="shared" si="36"/>
        <v>30.684145577058686</v>
      </c>
      <c r="DJ423" s="119" t="s">
        <v>2</v>
      </c>
      <c r="DK423" s="44" t="s">
        <v>2</v>
      </c>
    </row>
    <row r="424" spans="1:116">
      <c r="A424" s="32" t="str">
        <f t="shared" si="37"/>
        <v>Essential (Original)--&gt; 22 kV &amp; &lt; = 33 kV ; FUSE</v>
      </c>
      <c r="B424" s="32" t="str">
        <f t="shared" si="38"/>
        <v>Essential (Original)</v>
      </c>
      <c r="C424" s="384"/>
      <c r="D424" s="14"/>
      <c r="E424" s="15" t="s">
        <v>511</v>
      </c>
      <c r="F424" s="18">
        <v>54.9</v>
      </c>
      <c r="G424" s="18">
        <v>7.4094534211370817</v>
      </c>
      <c r="H424" s="20">
        <v>42</v>
      </c>
      <c r="I424" s="20">
        <v>29</v>
      </c>
      <c r="J424" s="20">
        <v>84</v>
      </c>
      <c r="K424" s="20">
        <v>17</v>
      </c>
      <c r="L424" s="20">
        <v>50</v>
      </c>
      <c r="M424" s="20">
        <v>38</v>
      </c>
      <c r="N424" s="20">
        <v>25</v>
      </c>
      <c r="O424" s="20">
        <v>38</v>
      </c>
      <c r="P424" s="20">
        <v>46</v>
      </c>
      <c r="Q424" s="20">
        <v>34</v>
      </c>
      <c r="R424" s="20">
        <v>34</v>
      </c>
      <c r="S424" s="20">
        <v>34</v>
      </c>
      <c r="T424" s="20">
        <v>75</v>
      </c>
      <c r="U424" s="20">
        <v>130</v>
      </c>
      <c r="V424" s="20">
        <v>13</v>
      </c>
      <c r="W424" s="20">
        <v>21</v>
      </c>
      <c r="X424" s="20">
        <v>13</v>
      </c>
      <c r="Y424" s="20">
        <v>13</v>
      </c>
      <c r="Z424" s="20">
        <v>71</v>
      </c>
      <c r="AA424" s="20">
        <v>54</v>
      </c>
      <c r="AB424" s="20">
        <v>25</v>
      </c>
      <c r="AC424" s="20">
        <v>13</v>
      </c>
      <c r="AD424" s="20">
        <v>42</v>
      </c>
      <c r="AE424" s="20">
        <v>42</v>
      </c>
      <c r="AF424" s="20">
        <v>21</v>
      </c>
      <c r="AG424" s="20">
        <v>21</v>
      </c>
      <c r="AH424" s="20">
        <v>21</v>
      </c>
      <c r="AI424" s="20">
        <v>42</v>
      </c>
      <c r="AJ424" s="20">
        <v>25</v>
      </c>
      <c r="AK424" s="20">
        <v>4</v>
      </c>
      <c r="AL424" s="20">
        <v>13</v>
      </c>
      <c r="AM424" s="20">
        <v>46</v>
      </c>
      <c r="AN424" s="20">
        <v>25</v>
      </c>
      <c r="AO424" s="20">
        <v>34</v>
      </c>
      <c r="AP424" s="20">
        <v>8</v>
      </c>
      <c r="AQ424" s="20">
        <v>21</v>
      </c>
      <c r="AR424" s="20">
        <v>8</v>
      </c>
      <c r="AS424" s="20">
        <v>17</v>
      </c>
      <c r="AT424" s="20">
        <v>8</v>
      </c>
      <c r="AU424" s="20">
        <v>13</v>
      </c>
      <c r="AV424" s="20">
        <v>17</v>
      </c>
      <c r="AW424" s="20">
        <v>4</v>
      </c>
      <c r="AX424" s="20">
        <v>67</v>
      </c>
      <c r="AY424" s="20">
        <v>13</v>
      </c>
      <c r="AZ424" s="20">
        <v>29</v>
      </c>
      <c r="BA424" s="20">
        <v>34</v>
      </c>
      <c r="BB424" s="20">
        <v>8</v>
      </c>
      <c r="BC424" s="20">
        <v>59</v>
      </c>
      <c r="BD424" s="20">
        <v>21</v>
      </c>
      <c r="BE424" s="20">
        <v>8</v>
      </c>
      <c r="BF424" s="20">
        <v>8</v>
      </c>
      <c r="BG424" s="20">
        <v>71</v>
      </c>
      <c r="BH424" s="20">
        <v>13</v>
      </c>
      <c r="BI424" s="20">
        <v>17</v>
      </c>
      <c r="BJ424" s="20">
        <v>0</v>
      </c>
      <c r="BK424" s="20">
        <v>0</v>
      </c>
      <c r="BL424" s="20">
        <v>0</v>
      </c>
      <c r="BM424" s="20">
        <v>0</v>
      </c>
      <c r="BN424" s="20">
        <v>8</v>
      </c>
      <c r="BO424" s="20">
        <v>0</v>
      </c>
      <c r="BP424" s="20">
        <v>0</v>
      </c>
      <c r="BQ424" s="20">
        <v>0</v>
      </c>
      <c r="BR424" s="20">
        <v>0</v>
      </c>
      <c r="BS424" s="20">
        <v>4</v>
      </c>
      <c r="BT424" s="20">
        <v>0</v>
      </c>
      <c r="BU424" s="20">
        <v>0</v>
      </c>
      <c r="BV424" s="20">
        <v>0</v>
      </c>
      <c r="BW424" s="20">
        <v>0</v>
      </c>
      <c r="BX424" s="20">
        <v>0</v>
      </c>
      <c r="BY424" s="20">
        <v>0</v>
      </c>
      <c r="BZ424" s="20">
        <v>0</v>
      </c>
      <c r="CA424" s="20">
        <v>0</v>
      </c>
      <c r="CB424" s="20">
        <v>0</v>
      </c>
      <c r="CC424" s="20">
        <v>0</v>
      </c>
      <c r="CD424" s="20">
        <v>0</v>
      </c>
      <c r="CE424" s="20">
        <v>0</v>
      </c>
      <c r="CF424" s="20">
        <v>0</v>
      </c>
      <c r="CG424" s="20">
        <v>0</v>
      </c>
      <c r="CH424" s="20">
        <v>0</v>
      </c>
      <c r="CI424" s="20">
        <v>0</v>
      </c>
      <c r="CJ424" s="20">
        <v>0</v>
      </c>
      <c r="CK424" s="20">
        <v>0</v>
      </c>
      <c r="CL424" s="20">
        <v>0</v>
      </c>
      <c r="CM424" s="20">
        <v>0</v>
      </c>
      <c r="CN424" s="20">
        <v>0</v>
      </c>
      <c r="CO424" s="20">
        <v>0</v>
      </c>
      <c r="CP424" s="20">
        <v>0</v>
      </c>
      <c r="CQ424" s="20">
        <v>0</v>
      </c>
      <c r="CR424" s="20">
        <v>0</v>
      </c>
      <c r="CS424" s="20">
        <v>0</v>
      </c>
      <c r="CT424" s="20">
        <v>0</v>
      </c>
      <c r="CU424" s="20">
        <v>0</v>
      </c>
      <c r="CV424" s="20">
        <v>0</v>
      </c>
      <c r="CW424" s="20">
        <v>0</v>
      </c>
      <c r="CX424" s="20">
        <v>0</v>
      </c>
      <c r="CY424" s="20">
        <v>0</v>
      </c>
      <c r="CZ424" s="20">
        <v>0</v>
      </c>
      <c r="DA424" s="20">
        <v>0</v>
      </c>
      <c r="DB424" s="20">
        <v>0</v>
      </c>
      <c r="DC424" s="20">
        <v>0</v>
      </c>
      <c r="DD424" s="20">
        <v>0</v>
      </c>
      <c r="DE424" s="20">
        <v>0</v>
      </c>
      <c r="DF424" s="20">
        <v>0</v>
      </c>
      <c r="DG424" s="16">
        <f t="shared" si="34"/>
        <v>1691</v>
      </c>
      <c r="DH424" s="16">
        <f t="shared" si="35"/>
        <v>40492</v>
      </c>
      <c r="DI424" s="17">
        <f t="shared" si="36"/>
        <v>23.945594322885867</v>
      </c>
      <c r="DJ424" s="119" t="s">
        <v>2</v>
      </c>
      <c r="DK424" s="44" t="s">
        <v>2</v>
      </c>
    </row>
    <row r="425" spans="1:116">
      <c r="A425" s="32" t="str">
        <f t="shared" si="37"/>
        <v>Essential (Original)--&gt; 33 kV &amp; &lt; = 66 kV ; FUSE</v>
      </c>
      <c r="B425" s="32" t="str">
        <f t="shared" si="38"/>
        <v>Essential (Original)</v>
      </c>
      <c r="C425" s="384"/>
      <c r="D425" s="14"/>
      <c r="E425" s="15" t="s">
        <v>293</v>
      </c>
      <c r="F425" s="18">
        <v>54.9</v>
      </c>
      <c r="G425" s="18">
        <v>7.4094534211370817</v>
      </c>
      <c r="H425" s="20">
        <v>4</v>
      </c>
      <c r="I425" s="20">
        <v>0</v>
      </c>
      <c r="J425" s="20">
        <v>2</v>
      </c>
      <c r="K425" s="20">
        <v>1</v>
      </c>
      <c r="L425" s="20">
        <v>0</v>
      </c>
      <c r="M425" s="20">
        <v>2</v>
      </c>
      <c r="N425" s="20">
        <v>3</v>
      </c>
      <c r="O425" s="20">
        <v>1</v>
      </c>
      <c r="P425" s="20">
        <v>2</v>
      </c>
      <c r="Q425" s="20">
        <v>1</v>
      </c>
      <c r="R425" s="20">
        <v>1</v>
      </c>
      <c r="S425" s="20">
        <v>4</v>
      </c>
      <c r="T425" s="20">
        <v>7</v>
      </c>
      <c r="U425" s="20">
        <v>2</v>
      </c>
      <c r="V425" s="20">
        <v>1</v>
      </c>
      <c r="W425" s="20">
        <v>6</v>
      </c>
      <c r="X425" s="20">
        <v>1</v>
      </c>
      <c r="Y425" s="20">
        <v>2</v>
      </c>
      <c r="Z425" s="20">
        <v>3</v>
      </c>
      <c r="AA425" s="20">
        <v>2</v>
      </c>
      <c r="AB425" s="20">
        <v>0</v>
      </c>
      <c r="AC425" s="20">
        <v>2</v>
      </c>
      <c r="AD425" s="20">
        <v>0</v>
      </c>
      <c r="AE425" s="20">
        <v>4</v>
      </c>
      <c r="AF425" s="20">
        <v>3</v>
      </c>
      <c r="AG425" s="20">
        <v>2</v>
      </c>
      <c r="AH425" s="20">
        <v>1</v>
      </c>
      <c r="AI425" s="20">
        <v>2</v>
      </c>
      <c r="AJ425" s="20">
        <v>3</v>
      </c>
      <c r="AK425" s="20">
        <v>0</v>
      </c>
      <c r="AL425" s="20">
        <v>0</v>
      </c>
      <c r="AM425" s="20">
        <v>0</v>
      </c>
      <c r="AN425" s="20">
        <v>1</v>
      </c>
      <c r="AO425" s="20">
        <v>0</v>
      </c>
      <c r="AP425" s="20">
        <v>1</v>
      </c>
      <c r="AQ425" s="20">
        <v>0</v>
      </c>
      <c r="AR425" s="20">
        <v>1</v>
      </c>
      <c r="AS425" s="20">
        <v>0</v>
      </c>
      <c r="AT425" s="20">
        <v>1</v>
      </c>
      <c r="AU425" s="20">
        <v>0</v>
      </c>
      <c r="AV425" s="20">
        <v>3</v>
      </c>
      <c r="AW425" s="20">
        <v>0</v>
      </c>
      <c r="AX425" s="20">
        <v>3</v>
      </c>
      <c r="AY425" s="20">
        <v>3</v>
      </c>
      <c r="AZ425" s="20">
        <v>3</v>
      </c>
      <c r="BA425" s="20">
        <v>1</v>
      </c>
      <c r="BB425" s="20">
        <v>0</v>
      </c>
      <c r="BC425" s="20">
        <v>7</v>
      </c>
      <c r="BD425" s="20">
        <v>1</v>
      </c>
      <c r="BE425" s="20">
        <v>0</v>
      </c>
      <c r="BF425" s="20">
        <v>0</v>
      </c>
      <c r="BG425" s="20">
        <v>0</v>
      </c>
      <c r="BH425" s="20">
        <v>0</v>
      </c>
      <c r="BI425" s="20">
        <v>4</v>
      </c>
      <c r="BJ425" s="20">
        <v>0</v>
      </c>
      <c r="BK425" s="20">
        <v>0</v>
      </c>
      <c r="BL425" s="20">
        <v>0</v>
      </c>
      <c r="BM425" s="20">
        <v>0</v>
      </c>
      <c r="BN425" s="20">
        <v>2</v>
      </c>
      <c r="BO425" s="20">
        <v>0</v>
      </c>
      <c r="BP425" s="20">
        <v>0</v>
      </c>
      <c r="BQ425" s="20">
        <v>0</v>
      </c>
      <c r="BR425" s="20">
        <v>0</v>
      </c>
      <c r="BS425" s="20">
        <v>0</v>
      </c>
      <c r="BT425" s="20">
        <v>0</v>
      </c>
      <c r="BU425" s="20">
        <v>0</v>
      </c>
      <c r="BV425" s="20">
        <v>0</v>
      </c>
      <c r="BW425" s="20">
        <v>0</v>
      </c>
      <c r="BX425" s="20">
        <v>0</v>
      </c>
      <c r="BY425" s="20">
        <v>0</v>
      </c>
      <c r="BZ425" s="20">
        <v>0</v>
      </c>
      <c r="CA425" s="20">
        <v>0</v>
      </c>
      <c r="CB425" s="20">
        <v>0</v>
      </c>
      <c r="CC425" s="20">
        <v>1</v>
      </c>
      <c r="CD425" s="20">
        <v>0</v>
      </c>
      <c r="CE425" s="20">
        <v>0</v>
      </c>
      <c r="CF425" s="20">
        <v>0</v>
      </c>
      <c r="CG425" s="20">
        <v>0</v>
      </c>
      <c r="CH425" s="20">
        <v>0</v>
      </c>
      <c r="CI425" s="20">
        <v>0</v>
      </c>
      <c r="CJ425" s="20">
        <v>0</v>
      </c>
      <c r="CK425" s="20">
        <v>0</v>
      </c>
      <c r="CL425" s="20">
        <v>0</v>
      </c>
      <c r="CM425" s="20">
        <v>0</v>
      </c>
      <c r="CN425" s="20">
        <v>0</v>
      </c>
      <c r="CO425" s="20">
        <v>0</v>
      </c>
      <c r="CP425" s="20">
        <v>0</v>
      </c>
      <c r="CQ425" s="20">
        <v>0</v>
      </c>
      <c r="CR425" s="20">
        <v>0</v>
      </c>
      <c r="CS425" s="20">
        <v>0</v>
      </c>
      <c r="CT425" s="20">
        <v>0</v>
      </c>
      <c r="CU425" s="20">
        <v>0</v>
      </c>
      <c r="CV425" s="20">
        <v>0</v>
      </c>
      <c r="CW425" s="20">
        <v>0</v>
      </c>
      <c r="CX425" s="20">
        <v>0</v>
      </c>
      <c r="CY425" s="20">
        <v>0</v>
      </c>
      <c r="CZ425" s="20">
        <v>0</v>
      </c>
      <c r="DA425" s="20">
        <v>0</v>
      </c>
      <c r="DB425" s="20">
        <v>0</v>
      </c>
      <c r="DC425" s="20">
        <v>0</v>
      </c>
      <c r="DD425" s="20">
        <v>0</v>
      </c>
      <c r="DE425" s="20">
        <v>0</v>
      </c>
      <c r="DF425" s="20">
        <v>0</v>
      </c>
      <c r="DG425" s="16">
        <f t="shared" si="34"/>
        <v>94</v>
      </c>
      <c r="DH425" s="16">
        <f t="shared" si="35"/>
        <v>2461</v>
      </c>
      <c r="DI425" s="17">
        <f t="shared" si="36"/>
        <v>26.180851063829788</v>
      </c>
      <c r="DJ425" s="119" t="s">
        <v>2</v>
      </c>
      <c r="DK425" s="44" t="s">
        <v>2</v>
      </c>
    </row>
    <row r="426" spans="1:116">
      <c r="A426" s="32" t="str">
        <f t="shared" si="37"/>
        <v>Essential (Original)--&gt; 66 kV &amp; &lt;= 132 kV ; FUSE</v>
      </c>
      <c r="B426" s="32" t="str">
        <f t="shared" si="38"/>
        <v>Essential (Original)</v>
      </c>
      <c r="C426" s="384"/>
      <c r="D426" s="14"/>
      <c r="E426" s="15" t="s">
        <v>512</v>
      </c>
      <c r="F426" s="18">
        <v>54.9</v>
      </c>
      <c r="G426" s="18">
        <v>7.4094534211370817</v>
      </c>
      <c r="H426" s="20">
        <v>0</v>
      </c>
      <c r="I426" s="20">
        <v>0</v>
      </c>
      <c r="J426" s="20">
        <v>0</v>
      </c>
      <c r="K426" s="20">
        <v>0</v>
      </c>
      <c r="L426" s="20">
        <v>0</v>
      </c>
      <c r="M426" s="20">
        <v>0</v>
      </c>
      <c r="N426" s="20">
        <v>0</v>
      </c>
      <c r="O426" s="20">
        <v>0</v>
      </c>
      <c r="P426" s="20">
        <v>0</v>
      </c>
      <c r="Q426" s="20">
        <v>0</v>
      </c>
      <c r="R426" s="20">
        <v>0</v>
      </c>
      <c r="S426" s="20">
        <v>0</v>
      </c>
      <c r="T426" s="20">
        <v>0</v>
      </c>
      <c r="U426" s="20">
        <v>0</v>
      </c>
      <c r="V426" s="20">
        <v>3</v>
      </c>
      <c r="W426" s="20">
        <v>2</v>
      </c>
      <c r="X426" s="20">
        <v>2</v>
      </c>
      <c r="Y426" s="20">
        <v>2</v>
      </c>
      <c r="Z426" s="20">
        <v>3</v>
      </c>
      <c r="AA426" s="20">
        <v>2</v>
      </c>
      <c r="AB426" s="20">
        <v>1</v>
      </c>
      <c r="AC426" s="20">
        <v>2</v>
      </c>
      <c r="AD426" s="20">
        <v>1</v>
      </c>
      <c r="AE426" s="20">
        <v>2</v>
      </c>
      <c r="AF426" s="20">
        <v>1</v>
      </c>
      <c r="AG426" s="20">
        <v>1</v>
      </c>
      <c r="AH426" s="20">
        <v>1</v>
      </c>
      <c r="AI426" s="20">
        <v>2</v>
      </c>
      <c r="AJ426" s="20">
        <v>2</v>
      </c>
      <c r="AK426" s="20">
        <v>3</v>
      </c>
      <c r="AL426" s="20">
        <v>0</v>
      </c>
      <c r="AM426" s="20">
        <v>2</v>
      </c>
      <c r="AN426" s="20">
        <v>0</v>
      </c>
      <c r="AO426" s="20">
        <v>0</v>
      </c>
      <c r="AP426" s="20">
        <v>1</v>
      </c>
      <c r="AQ426" s="20">
        <v>0</v>
      </c>
      <c r="AR426" s="20">
        <v>0</v>
      </c>
      <c r="AS426" s="20">
        <v>0</v>
      </c>
      <c r="AT426" s="20">
        <v>2</v>
      </c>
      <c r="AU426" s="20">
        <v>0</v>
      </c>
      <c r="AV426" s="20">
        <v>0</v>
      </c>
      <c r="AW426" s="20">
        <v>2</v>
      </c>
      <c r="AX426" s="20">
        <v>2</v>
      </c>
      <c r="AY426" s="20">
        <v>0</v>
      </c>
      <c r="AZ426" s="20">
        <v>1</v>
      </c>
      <c r="BA426" s="20">
        <v>0</v>
      </c>
      <c r="BB426" s="20">
        <v>0</v>
      </c>
      <c r="BC426" s="20">
        <v>5</v>
      </c>
      <c r="BD426" s="20">
        <v>0</v>
      </c>
      <c r="BE426" s="20">
        <v>0</v>
      </c>
      <c r="BF426" s="20">
        <v>0</v>
      </c>
      <c r="BG426" s="20">
        <v>0</v>
      </c>
      <c r="BH426" s="20">
        <v>0</v>
      </c>
      <c r="BI426" s="20">
        <v>3</v>
      </c>
      <c r="BJ426" s="20">
        <v>0</v>
      </c>
      <c r="BK426" s="20">
        <v>0</v>
      </c>
      <c r="BL426" s="20">
        <v>0</v>
      </c>
      <c r="BM426" s="20">
        <v>0</v>
      </c>
      <c r="BN426" s="20">
        <v>0</v>
      </c>
      <c r="BO426" s="20">
        <v>0</v>
      </c>
      <c r="BP426" s="20">
        <v>0</v>
      </c>
      <c r="BQ426" s="20">
        <v>0</v>
      </c>
      <c r="BR426" s="20">
        <v>0</v>
      </c>
      <c r="BS426" s="20">
        <v>3</v>
      </c>
      <c r="BT426" s="20">
        <v>0</v>
      </c>
      <c r="BU426" s="20">
        <v>0</v>
      </c>
      <c r="BV426" s="20">
        <v>0</v>
      </c>
      <c r="BW426" s="20">
        <v>0</v>
      </c>
      <c r="BX426" s="20">
        <v>0</v>
      </c>
      <c r="BY426" s="20">
        <v>0</v>
      </c>
      <c r="BZ426" s="20">
        <v>0</v>
      </c>
      <c r="CA426" s="20">
        <v>0</v>
      </c>
      <c r="CB426" s="20">
        <v>0</v>
      </c>
      <c r="CC426" s="20">
        <v>0</v>
      </c>
      <c r="CD426" s="20">
        <v>0</v>
      </c>
      <c r="CE426" s="20">
        <v>0</v>
      </c>
      <c r="CF426" s="20">
        <v>0</v>
      </c>
      <c r="CG426" s="20">
        <v>0</v>
      </c>
      <c r="CH426" s="20">
        <v>0</v>
      </c>
      <c r="CI426" s="20">
        <v>0</v>
      </c>
      <c r="CJ426" s="20">
        <v>0</v>
      </c>
      <c r="CK426" s="20">
        <v>0</v>
      </c>
      <c r="CL426" s="20">
        <v>0</v>
      </c>
      <c r="CM426" s="20">
        <v>0</v>
      </c>
      <c r="CN426" s="20">
        <v>0</v>
      </c>
      <c r="CO426" s="20">
        <v>0</v>
      </c>
      <c r="CP426" s="20">
        <v>0</v>
      </c>
      <c r="CQ426" s="20">
        <v>0</v>
      </c>
      <c r="CR426" s="20">
        <v>0</v>
      </c>
      <c r="CS426" s="20">
        <v>0</v>
      </c>
      <c r="CT426" s="20">
        <v>0</v>
      </c>
      <c r="CU426" s="20">
        <v>0</v>
      </c>
      <c r="CV426" s="20">
        <v>0</v>
      </c>
      <c r="CW426" s="20">
        <v>0</v>
      </c>
      <c r="CX426" s="20">
        <v>0</v>
      </c>
      <c r="CY426" s="20">
        <v>0</v>
      </c>
      <c r="CZ426" s="20">
        <v>0</v>
      </c>
      <c r="DA426" s="20">
        <v>0</v>
      </c>
      <c r="DB426" s="20">
        <v>0</v>
      </c>
      <c r="DC426" s="20">
        <v>0</v>
      </c>
      <c r="DD426" s="20">
        <v>0</v>
      </c>
      <c r="DE426" s="20">
        <v>0</v>
      </c>
      <c r="DF426" s="20">
        <v>0</v>
      </c>
      <c r="DG426" s="16">
        <f t="shared" si="34"/>
        <v>51</v>
      </c>
      <c r="DH426" s="16">
        <f t="shared" si="35"/>
        <v>1648</v>
      </c>
      <c r="DI426" s="17">
        <f t="shared" si="36"/>
        <v>32.313725490196077</v>
      </c>
      <c r="DJ426" s="119" t="s">
        <v>2</v>
      </c>
      <c r="DK426" s="44" t="s">
        <v>2</v>
      </c>
    </row>
    <row r="427" spans="1:116" ht="45">
      <c r="A427" s="32" t="str">
        <f t="shared" si="37"/>
        <v>Essential (Original)-PUBLIC LIGHTING BY: 
ASSET TYPE ; LIGHTING OBLIGATION-LUMINAIRES ;  MAJOR ROAD</v>
      </c>
      <c r="B427" s="32" t="str">
        <f t="shared" si="38"/>
        <v>Essential (Original)</v>
      </c>
      <c r="C427" s="384"/>
      <c r="D427" s="14" t="s">
        <v>547</v>
      </c>
      <c r="E427" s="15" t="s">
        <v>262</v>
      </c>
      <c r="F427" s="18">
        <v>20</v>
      </c>
      <c r="G427" s="18">
        <v>4.4721359549995796</v>
      </c>
      <c r="H427" s="20">
        <v>1284.0567814973688</v>
      </c>
      <c r="I427" s="20">
        <v>5021.2220404192276</v>
      </c>
      <c r="J427" s="20">
        <v>1397.0617786229161</v>
      </c>
      <c r="K427" s="20">
        <v>660.02918675098397</v>
      </c>
      <c r="L427" s="20">
        <v>730.03228231548223</v>
      </c>
      <c r="M427" s="20">
        <v>1048.0463450227744</v>
      </c>
      <c r="N427" s="20">
        <v>2080.0919824879493</v>
      </c>
      <c r="O427" s="20">
        <v>3266.1444301950205</v>
      </c>
      <c r="P427" s="20">
        <v>1200.0530668199708</v>
      </c>
      <c r="Q427" s="20">
        <v>719.03179586963256</v>
      </c>
      <c r="R427" s="20">
        <v>526.02326095608726</v>
      </c>
      <c r="S427" s="20">
        <v>212.00937513819486</v>
      </c>
      <c r="T427" s="20">
        <v>229.01012691814444</v>
      </c>
      <c r="U427" s="20">
        <v>2132.0942820501482</v>
      </c>
      <c r="V427" s="20">
        <v>395.0174678282404</v>
      </c>
      <c r="W427" s="20">
        <v>445.0196789457392</v>
      </c>
      <c r="X427" s="20">
        <v>58.002564896298587</v>
      </c>
      <c r="Y427" s="20">
        <v>23.001017114049439</v>
      </c>
      <c r="Z427" s="20">
        <v>38.001680449299073</v>
      </c>
      <c r="AA427" s="20">
        <v>58.002564896298587</v>
      </c>
      <c r="AB427" s="20">
        <v>21.000928669349488</v>
      </c>
      <c r="AC427" s="20">
        <v>47.002078450448856</v>
      </c>
      <c r="AD427" s="20">
        <v>236.01043647459426</v>
      </c>
      <c r="AE427" s="20">
        <v>503.02224384203777</v>
      </c>
      <c r="AF427" s="20">
        <v>11.000486445849733</v>
      </c>
      <c r="AG427" s="20">
        <v>2.0000884446999514</v>
      </c>
      <c r="AH427" s="20">
        <v>0</v>
      </c>
      <c r="AI427" s="20">
        <v>4.0001768893999028</v>
      </c>
      <c r="AJ427" s="20">
        <v>26.001149781099368</v>
      </c>
      <c r="AK427" s="20">
        <v>5.0002211117498785</v>
      </c>
      <c r="AL427" s="20">
        <v>3.0001326670499271</v>
      </c>
      <c r="AM427" s="20">
        <v>0</v>
      </c>
      <c r="AN427" s="20">
        <v>1.0000442223499757</v>
      </c>
      <c r="AO427" s="20">
        <v>93.004112678547742</v>
      </c>
      <c r="AP427" s="20">
        <v>7.0003095564498299</v>
      </c>
      <c r="AQ427" s="20">
        <v>50.002211117498781</v>
      </c>
      <c r="AR427" s="20">
        <v>0</v>
      </c>
      <c r="AS427" s="20">
        <v>23.001017114049439</v>
      </c>
      <c r="AT427" s="20">
        <v>38.001680449299073</v>
      </c>
      <c r="AU427" s="20">
        <v>4.0001768893999028</v>
      </c>
      <c r="AV427" s="20">
        <v>1.0000442223499757</v>
      </c>
      <c r="AW427" s="20">
        <v>0</v>
      </c>
      <c r="AX427" s="20">
        <v>0</v>
      </c>
      <c r="AY427" s="20">
        <v>6.0002653340998542</v>
      </c>
      <c r="AZ427" s="20">
        <v>1.0000442223499757</v>
      </c>
      <c r="BA427" s="20">
        <v>0</v>
      </c>
      <c r="BB427" s="20">
        <v>0</v>
      </c>
      <c r="BC427" s="20">
        <v>1.0000442223499757</v>
      </c>
      <c r="BD427" s="20">
        <v>0</v>
      </c>
      <c r="BE427" s="20">
        <v>0</v>
      </c>
      <c r="BF427" s="20">
        <v>0</v>
      </c>
      <c r="BG427" s="20">
        <v>0</v>
      </c>
      <c r="BH427" s="20">
        <v>0</v>
      </c>
      <c r="BI427" s="20">
        <v>0</v>
      </c>
      <c r="BJ427" s="20">
        <v>0</v>
      </c>
      <c r="BK427" s="20">
        <v>0</v>
      </c>
      <c r="BL427" s="20">
        <v>0</v>
      </c>
      <c r="BM427" s="20">
        <v>0</v>
      </c>
      <c r="BN427" s="20">
        <v>0</v>
      </c>
      <c r="BO427" s="20">
        <v>0</v>
      </c>
      <c r="BP427" s="20">
        <v>1.0000442223499757</v>
      </c>
      <c r="BQ427" s="20">
        <v>0</v>
      </c>
      <c r="BR427" s="20">
        <v>0</v>
      </c>
      <c r="BS427" s="20">
        <v>0</v>
      </c>
      <c r="BT427" s="20">
        <v>0</v>
      </c>
      <c r="BU427" s="20">
        <v>0</v>
      </c>
      <c r="BV427" s="20">
        <v>0</v>
      </c>
      <c r="BW427" s="20">
        <v>0</v>
      </c>
      <c r="BX427" s="20">
        <v>0</v>
      </c>
      <c r="BY427" s="20">
        <v>0</v>
      </c>
      <c r="BZ427" s="20">
        <v>0</v>
      </c>
      <c r="CA427" s="20">
        <v>0</v>
      </c>
      <c r="CB427" s="20">
        <v>0</v>
      </c>
      <c r="CC427" s="20">
        <v>0</v>
      </c>
      <c r="CD427" s="20">
        <v>0</v>
      </c>
      <c r="CE427" s="20">
        <v>0</v>
      </c>
      <c r="CF427" s="20">
        <v>0</v>
      </c>
      <c r="CG427" s="20">
        <v>0</v>
      </c>
      <c r="CH427" s="20">
        <v>0</v>
      </c>
      <c r="CI427" s="20">
        <v>0</v>
      </c>
      <c r="CJ427" s="20">
        <v>0</v>
      </c>
      <c r="CK427" s="20">
        <v>0</v>
      </c>
      <c r="CL427" s="20">
        <v>0</v>
      </c>
      <c r="CM427" s="20">
        <v>0</v>
      </c>
      <c r="CN427" s="20">
        <v>0</v>
      </c>
      <c r="CO427" s="20">
        <v>0</v>
      </c>
      <c r="CP427" s="20">
        <v>0</v>
      </c>
      <c r="CQ427" s="20">
        <v>0</v>
      </c>
      <c r="CR427" s="20">
        <v>0</v>
      </c>
      <c r="CS427" s="20">
        <v>0</v>
      </c>
      <c r="CT427" s="20">
        <v>0</v>
      </c>
      <c r="CU427" s="20">
        <v>0</v>
      </c>
      <c r="CV427" s="20">
        <v>0</v>
      </c>
      <c r="CW427" s="20">
        <v>0</v>
      </c>
      <c r="CX427" s="20">
        <v>0</v>
      </c>
      <c r="CY427" s="20">
        <v>0</v>
      </c>
      <c r="CZ427" s="20">
        <v>0</v>
      </c>
      <c r="DA427" s="20">
        <v>0</v>
      </c>
      <c r="DB427" s="20">
        <v>0</v>
      </c>
      <c r="DC427" s="20">
        <v>0</v>
      </c>
      <c r="DD427" s="20">
        <v>0</v>
      </c>
      <c r="DE427" s="20">
        <v>0</v>
      </c>
      <c r="DF427" s="20">
        <v>8.0003537787998056</v>
      </c>
      <c r="DG427" s="16">
        <f t="shared" si="34"/>
        <v>22613.999999999996</v>
      </c>
      <c r="DH427" s="16">
        <f t="shared" si="35"/>
        <v>173712.68164330244</v>
      </c>
      <c r="DI427" s="17">
        <f t="shared" si="36"/>
        <v>7.6816433025250932</v>
      </c>
      <c r="DJ427" s="119" t="s">
        <v>1323</v>
      </c>
      <c r="DK427" t="s">
        <v>1524</v>
      </c>
      <c r="DL427" s="119" t="s">
        <v>1523</v>
      </c>
    </row>
    <row r="428" spans="1:116">
      <c r="A428" s="32" t="str">
        <f t="shared" si="37"/>
        <v>Essential (Original)--LUMINAIRES ;  MINOR ROAD</v>
      </c>
      <c r="B428" s="32" t="str">
        <f t="shared" si="38"/>
        <v>Essential (Original)</v>
      </c>
      <c r="C428" s="384"/>
      <c r="D428" s="14"/>
      <c r="E428" s="15" t="s">
        <v>263</v>
      </c>
      <c r="F428" s="18">
        <v>20</v>
      </c>
      <c r="G428" s="18">
        <v>4.4721359549995796</v>
      </c>
      <c r="H428" s="20">
        <v>15165.394038192828</v>
      </c>
      <c r="I428" s="20">
        <v>36127.703188524785</v>
      </c>
      <c r="J428" s="20">
        <v>14177.238045992437</v>
      </c>
      <c r="K428" s="20">
        <v>4272.6744925911598</v>
      </c>
      <c r="L428" s="20">
        <v>3555.5612877250874</v>
      </c>
      <c r="M428" s="20">
        <v>4506.7114381123047</v>
      </c>
      <c r="N428" s="20">
        <v>5152.8134330125595</v>
      </c>
      <c r="O428" s="20">
        <v>8846.3965091219125</v>
      </c>
      <c r="P428" s="20">
        <v>6034.9526892076447</v>
      </c>
      <c r="Q428" s="20">
        <v>3345.5281314881622</v>
      </c>
      <c r="R428" s="20">
        <v>2836.4477670853298</v>
      </c>
      <c r="S428" s="20">
        <v>1664.2627237059201</v>
      </c>
      <c r="T428" s="20">
        <v>1205.1902536452126</v>
      </c>
      <c r="U428" s="20">
        <v>9378.4805049221231</v>
      </c>
      <c r="V428" s="20">
        <v>1959.3093003244574</v>
      </c>
      <c r="W428" s="20">
        <v>1799.2840384296574</v>
      </c>
      <c r="X428" s="20">
        <v>335.05289209223747</v>
      </c>
      <c r="Y428" s="20">
        <v>199.03141948165751</v>
      </c>
      <c r="Z428" s="20">
        <v>298.04705027906499</v>
      </c>
      <c r="AA428" s="20">
        <v>231.0364718606175</v>
      </c>
      <c r="AB428" s="20">
        <v>174.02747231059499</v>
      </c>
      <c r="AC428" s="20">
        <v>79.012473060557497</v>
      </c>
      <c r="AD428" s="20">
        <v>974.15378178459503</v>
      </c>
      <c r="AE428" s="20">
        <v>2416.38145461148</v>
      </c>
      <c r="AF428" s="20">
        <v>137.02163049742251</v>
      </c>
      <c r="AG428" s="20">
        <v>19.002999850007498</v>
      </c>
      <c r="AH428" s="20">
        <v>15.0023683026375</v>
      </c>
      <c r="AI428" s="20">
        <v>46.007262794755</v>
      </c>
      <c r="AJ428" s="20">
        <v>30.004736605274999</v>
      </c>
      <c r="AK428" s="20">
        <v>32.005052378960002</v>
      </c>
      <c r="AL428" s="20">
        <v>13.0020525289525</v>
      </c>
      <c r="AM428" s="20">
        <v>3.0004736605274998</v>
      </c>
      <c r="AN428" s="20">
        <v>26.004105057905001</v>
      </c>
      <c r="AO428" s="20">
        <v>1093.1725703188524</v>
      </c>
      <c r="AP428" s="20">
        <v>54.008525889494997</v>
      </c>
      <c r="AQ428" s="20">
        <v>83.013104607927502</v>
      </c>
      <c r="AR428" s="20">
        <v>25.003947171062499</v>
      </c>
      <c r="AS428" s="20">
        <v>23.0036313973775</v>
      </c>
      <c r="AT428" s="20">
        <v>33.005210265802496</v>
      </c>
      <c r="AU428" s="20">
        <v>65.010262644762506</v>
      </c>
      <c r="AV428" s="20">
        <v>19.002999850007498</v>
      </c>
      <c r="AW428" s="20">
        <v>22.003473510534999</v>
      </c>
      <c r="AX428" s="20">
        <v>11.001736755267499</v>
      </c>
      <c r="AY428" s="20">
        <v>23.0036313973775</v>
      </c>
      <c r="AZ428" s="20">
        <v>5.0007894342124999</v>
      </c>
      <c r="BA428" s="20">
        <v>4.0006315473700003</v>
      </c>
      <c r="BB428" s="20">
        <v>12.001894642109999</v>
      </c>
      <c r="BC428" s="20">
        <v>4.0006315473700003</v>
      </c>
      <c r="BD428" s="20">
        <v>1.0001578868425001</v>
      </c>
      <c r="BE428" s="20">
        <v>0</v>
      </c>
      <c r="BF428" s="20">
        <v>0</v>
      </c>
      <c r="BG428" s="20">
        <v>0</v>
      </c>
      <c r="BH428" s="20">
        <v>2.0003157736850001</v>
      </c>
      <c r="BI428" s="20">
        <v>53.008368002652496</v>
      </c>
      <c r="BJ428" s="20">
        <v>0</v>
      </c>
      <c r="BK428" s="20">
        <v>34.005368152644998</v>
      </c>
      <c r="BL428" s="20">
        <v>1.0001578868425001</v>
      </c>
      <c r="BM428" s="20">
        <v>2.0003157736850001</v>
      </c>
      <c r="BN428" s="20">
        <v>0</v>
      </c>
      <c r="BO428" s="20">
        <v>0</v>
      </c>
      <c r="BP428" s="20">
        <v>6.0009473210549995</v>
      </c>
      <c r="BQ428" s="20">
        <v>1.0001578868425001</v>
      </c>
      <c r="BR428" s="20">
        <v>0</v>
      </c>
      <c r="BS428" s="20">
        <v>5.0007894342124999</v>
      </c>
      <c r="BT428" s="20">
        <v>0</v>
      </c>
      <c r="BU428" s="20">
        <v>0</v>
      </c>
      <c r="BV428" s="20">
        <v>0</v>
      </c>
      <c r="BW428" s="20">
        <v>0</v>
      </c>
      <c r="BX428" s="20">
        <v>0</v>
      </c>
      <c r="BY428" s="20">
        <v>0</v>
      </c>
      <c r="BZ428" s="20">
        <v>0</v>
      </c>
      <c r="CA428" s="20">
        <v>0</v>
      </c>
      <c r="CB428" s="20">
        <v>0</v>
      </c>
      <c r="CC428" s="20">
        <v>2.0003157736850001</v>
      </c>
      <c r="CD428" s="20">
        <v>0</v>
      </c>
      <c r="CE428" s="20">
        <v>0</v>
      </c>
      <c r="CF428" s="20">
        <v>0</v>
      </c>
      <c r="CG428" s="20">
        <v>0</v>
      </c>
      <c r="CH428" s="20">
        <v>0</v>
      </c>
      <c r="CI428" s="20">
        <v>0</v>
      </c>
      <c r="CJ428" s="20">
        <v>0</v>
      </c>
      <c r="CK428" s="20">
        <v>0</v>
      </c>
      <c r="CL428" s="20">
        <v>0</v>
      </c>
      <c r="CM428" s="20">
        <v>0</v>
      </c>
      <c r="CN428" s="20">
        <v>0</v>
      </c>
      <c r="CO428" s="20">
        <v>0</v>
      </c>
      <c r="CP428" s="20">
        <v>0</v>
      </c>
      <c r="CQ428" s="20">
        <v>0</v>
      </c>
      <c r="CR428" s="20">
        <v>0</v>
      </c>
      <c r="CS428" s="20">
        <v>0</v>
      </c>
      <c r="CT428" s="20">
        <v>0</v>
      </c>
      <c r="CU428" s="20">
        <v>0</v>
      </c>
      <c r="CV428" s="20">
        <v>0</v>
      </c>
      <c r="CW428" s="20">
        <v>0</v>
      </c>
      <c r="CX428" s="20">
        <v>0</v>
      </c>
      <c r="CY428" s="20">
        <v>0</v>
      </c>
      <c r="CZ428" s="20">
        <v>0</v>
      </c>
      <c r="DA428" s="20">
        <v>0</v>
      </c>
      <c r="DB428" s="20">
        <v>0</v>
      </c>
      <c r="DC428" s="20">
        <v>0</v>
      </c>
      <c r="DD428" s="20">
        <v>0</v>
      </c>
      <c r="DE428" s="20">
        <v>0</v>
      </c>
      <c r="DF428" s="20">
        <v>54.008525889494997</v>
      </c>
      <c r="DG428" s="16">
        <f t="shared" si="34"/>
        <v>126692.99999999999</v>
      </c>
      <c r="DH428" s="16">
        <f t="shared" si="35"/>
        <v>820583.53889147646</v>
      </c>
      <c r="DI428" s="17">
        <f t="shared" si="36"/>
        <v>6.4769445738239408</v>
      </c>
      <c r="DJ428" s="119" t="s">
        <v>1323</v>
      </c>
      <c r="DK428" s="119" t="s">
        <v>1524</v>
      </c>
      <c r="DL428" s="119" t="s">
        <v>1523</v>
      </c>
    </row>
    <row r="429" spans="1:116">
      <c r="A429" s="32" t="str">
        <f t="shared" si="37"/>
        <v>Essential (Original)--BRACKETS ; MAJOR ROAD</v>
      </c>
      <c r="B429" s="32" t="str">
        <f t="shared" si="38"/>
        <v>Essential (Original)</v>
      </c>
      <c r="C429" s="384"/>
      <c r="D429" s="14"/>
      <c r="E429" s="15" t="s">
        <v>264</v>
      </c>
      <c r="F429" s="18">
        <v>0</v>
      </c>
      <c r="G429" s="18">
        <v>0</v>
      </c>
      <c r="H429" s="20">
        <v>0</v>
      </c>
      <c r="I429" s="20">
        <v>0</v>
      </c>
      <c r="J429" s="20">
        <v>0</v>
      </c>
      <c r="K429" s="20">
        <v>0</v>
      </c>
      <c r="L429" s="20">
        <v>0</v>
      </c>
      <c r="M429" s="20">
        <v>0</v>
      </c>
      <c r="N429" s="20">
        <v>0</v>
      </c>
      <c r="O429" s="20">
        <v>0</v>
      </c>
      <c r="P429" s="20">
        <v>0</v>
      </c>
      <c r="Q429" s="20">
        <v>0</v>
      </c>
      <c r="R429" s="20">
        <v>0</v>
      </c>
      <c r="S429" s="20">
        <v>0</v>
      </c>
      <c r="T429" s="20">
        <v>0</v>
      </c>
      <c r="U429" s="20">
        <v>0</v>
      </c>
      <c r="V429" s="20">
        <v>0</v>
      </c>
      <c r="W429" s="20">
        <v>0</v>
      </c>
      <c r="X429" s="20">
        <v>0</v>
      </c>
      <c r="Y429" s="20">
        <v>0</v>
      </c>
      <c r="Z429" s="20">
        <v>0</v>
      </c>
      <c r="AA429" s="20">
        <v>0</v>
      </c>
      <c r="AB429" s="20">
        <v>0</v>
      </c>
      <c r="AC429" s="20">
        <v>0</v>
      </c>
      <c r="AD429" s="20">
        <v>0</v>
      </c>
      <c r="AE429" s="20">
        <v>0</v>
      </c>
      <c r="AF429" s="20">
        <v>0</v>
      </c>
      <c r="AG429" s="20">
        <v>0</v>
      </c>
      <c r="AH429" s="20">
        <v>0</v>
      </c>
      <c r="AI429" s="20">
        <v>0</v>
      </c>
      <c r="AJ429" s="20">
        <v>0</v>
      </c>
      <c r="AK429" s="20">
        <v>0</v>
      </c>
      <c r="AL429" s="20">
        <v>0</v>
      </c>
      <c r="AM429" s="20">
        <v>0</v>
      </c>
      <c r="AN429" s="20">
        <v>0</v>
      </c>
      <c r="AO429" s="20">
        <v>0</v>
      </c>
      <c r="AP429" s="20">
        <v>0</v>
      </c>
      <c r="AQ429" s="20">
        <v>0</v>
      </c>
      <c r="AR429" s="20">
        <v>0</v>
      </c>
      <c r="AS429" s="20">
        <v>0</v>
      </c>
      <c r="AT429" s="20">
        <v>0</v>
      </c>
      <c r="AU429" s="20">
        <v>0</v>
      </c>
      <c r="AV429" s="20">
        <v>0</v>
      </c>
      <c r="AW429" s="20">
        <v>0</v>
      </c>
      <c r="AX429" s="20">
        <v>0</v>
      </c>
      <c r="AY429" s="20">
        <v>0</v>
      </c>
      <c r="AZ429" s="20">
        <v>0</v>
      </c>
      <c r="BA429" s="20">
        <v>0</v>
      </c>
      <c r="BB429" s="20">
        <v>0</v>
      </c>
      <c r="BC429" s="20">
        <v>0</v>
      </c>
      <c r="BD429" s="20">
        <v>0</v>
      </c>
      <c r="BE429" s="20">
        <v>0</v>
      </c>
      <c r="BF429" s="20">
        <v>0</v>
      </c>
      <c r="BG429" s="20">
        <v>0</v>
      </c>
      <c r="BH429" s="20">
        <v>0</v>
      </c>
      <c r="BI429" s="20">
        <v>0</v>
      </c>
      <c r="BJ429" s="20">
        <v>0</v>
      </c>
      <c r="BK429" s="20">
        <v>0</v>
      </c>
      <c r="BL429" s="20">
        <v>0</v>
      </c>
      <c r="BM429" s="20">
        <v>0</v>
      </c>
      <c r="BN429" s="20">
        <v>0</v>
      </c>
      <c r="BO429" s="20">
        <v>0</v>
      </c>
      <c r="BP429" s="20">
        <v>0</v>
      </c>
      <c r="BQ429" s="20">
        <v>0</v>
      </c>
      <c r="BR429" s="20">
        <v>0</v>
      </c>
      <c r="BS429" s="20">
        <v>0</v>
      </c>
      <c r="BT429" s="20">
        <v>0</v>
      </c>
      <c r="BU429" s="20">
        <v>0</v>
      </c>
      <c r="BV429" s="20">
        <v>0</v>
      </c>
      <c r="BW429" s="20">
        <v>0</v>
      </c>
      <c r="BX429" s="20">
        <v>0</v>
      </c>
      <c r="BY429" s="20">
        <v>0</v>
      </c>
      <c r="BZ429" s="20">
        <v>0</v>
      </c>
      <c r="CA429" s="20">
        <v>0</v>
      </c>
      <c r="CB429" s="20">
        <v>0</v>
      </c>
      <c r="CC429" s="20">
        <v>0</v>
      </c>
      <c r="CD429" s="20">
        <v>0</v>
      </c>
      <c r="CE429" s="20">
        <v>0</v>
      </c>
      <c r="CF429" s="20">
        <v>0</v>
      </c>
      <c r="CG429" s="20">
        <v>0</v>
      </c>
      <c r="CH429" s="20">
        <v>0</v>
      </c>
      <c r="CI429" s="20">
        <v>0</v>
      </c>
      <c r="CJ429" s="20">
        <v>0</v>
      </c>
      <c r="CK429" s="20">
        <v>0</v>
      </c>
      <c r="CL429" s="20">
        <v>0</v>
      </c>
      <c r="CM429" s="20">
        <v>0</v>
      </c>
      <c r="CN429" s="20">
        <v>0</v>
      </c>
      <c r="CO429" s="20">
        <v>0</v>
      </c>
      <c r="CP429" s="20">
        <v>0</v>
      </c>
      <c r="CQ429" s="20">
        <v>0</v>
      </c>
      <c r="CR429" s="20">
        <v>0</v>
      </c>
      <c r="CS429" s="20">
        <v>0</v>
      </c>
      <c r="CT429" s="20">
        <v>0</v>
      </c>
      <c r="CU429" s="20">
        <v>0</v>
      </c>
      <c r="CV429" s="20">
        <v>0</v>
      </c>
      <c r="CW429" s="20">
        <v>0</v>
      </c>
      <c r="CX429" s="20">
        <v>0</v>
      </c>
      <c r="CY429" s="20">
        <v>0</v>
      </c>
      <c r="CZ429" s="20">
        <v>0</v>
      </c>
      <c r="DA429" s="20">
        <v>0</v>
      </c>
      <c r="DB429" s="20">
        <v>0</v>
      </c>
      <c r="DC429" s="20">
        <v>0</v>
      </c>
      <c r="DD429" s="20">
        <v>0</v>
      </c>
      <c r="DE429" s="20">
        <v>0</v>
      </c>
      <c r="DF429" s="20">
        <v>0</v>
      </c>
      <c r="DG429" s="16">
        <f t="shared" ref="DG429:DG488" si="39">SUM(H429:DF429)</f>
        <v>0</v>
      </c>
      <c r="DH429" s="16">
        <f t="shared" ref="DH429:DH488" si="40">IFERROR(SUMPRODUCT(H429:DF429,$H$1:$DF$1),"")</f>
        <v>0</v>
      </c>
      <c r="DI429" s="17" t="str">
        <f t="shared" ref="DI429:DI488" si="41">IFERROR(DH429/DG429,"")</f>
        <v/>
      </c>
      <c r="DJ429" s="119" t="s">
        <v>1323</v>
      </c>
      <c r="DK429" s="119" t="s">
        <v>1525</v>
      </c>
    </row>
    <row r="430" spans="1:116">
      <c r="A430" s="32" t="str">
        <f t="shared" si="37"/>
        <v>Essential (Original)--BRACKETS ; MINOR ROAD</v>
      </c>
      <c r="B430" s="32" t="str">
        <f t="shared" si="38"/>
        <v>Essential (Original)</v>
      </c>
      <c r="C430" s="384"/>
      <c r="D430" s="14"/>
      <c r="E430" s="15" t="s">
        <v>265</v>
      </c>
      <c r="F430" s="18">
        <v>0</v>
      </c>
      <c r="G430" s="18">
        <v>0</v>
      </c>
      <c r="H430" s="20">
        <v>0</v>
      </c>
      <c r="I430" s="20">
        <v>0</v>
      </c>
      <c r="J430" s="20">
        <v>0</v>
      </c>
      <c r="K430" s="20">
        <v>0</v>
      </c>
      <c r="L430" s="20">
        <v>0</v>
      </c>
      <c r="M430" s="20">
        <v>0</v>
      </c>
      <c r="N430" s="20">
        <v>0</v>
      </c>
      <c r="O430" s="20">
        <v>0</v>
      </c>
      <c r="P430" s="20">
        <v>0</v>
      </c>
      <c r="Q430" s="20">
        <v>0</v>
      </c>
      <c r="R430" s="20">
        <v>0</v>
      </c>
      <c r="S430" s="20">
        <v>0</v>
      </c>
      <c r="T430" s="20">
        <v>0</v>
      </c>
      <c r="U430" s="20">
        <v>0</v>
      </c>
      <c r="V430" s="20">
        <v>0</v>
      </c>
      <c r="W430" s="20">
        <v>0</v>
      </c>
      <c r="X430" s="20">
        <v>0</v>
      </c>
      <c r="Y430" s="20">
        <v>0</v>
      </c>
      <c r="Z430" s="20">
        <v>0</v>
      </c>
      <c r="AA430" s="20">
        <v>0</v>
      </c>
      <c r="AB430" s="20">
        <v>0</v>
      </c>
      <c r="AC430" s="20">
        <v>0</v>
      </c>
      <c r="AD430" s="20">
        <v>0</v>
      </c>
      <c r="AE430" s="20">
        <v>0</v>
      </c>
      <c r="AF430" s="20">
        <v>0</v>
      </c>
      <c r="AG430" s="20">
        <v>0</v>
      </c>
      <c r="AH430" s="20">
        <v>0</v>
      </c>
      <c r="AI430" s="20">
        <v>0</v>
      </c>
      <c r="AJ430" s="20">
        <v>0</v>
      </c>
      <c r="AK430" s="20">
        <v>0</v>
      </c>
      <c r="AL430" s="20">
        <v>0</v>
      </c>
      <c r="AM430" s="20">
        <v>0</v>
      </c>
      <c r="AN430" s="20">
        <v>0</v>
      </c>
      <c r="AO430" s="20">
        <v>0</v>
      </c>
      <c r="AP430" s="20">
        <v>0</v>
      </c>
      <c r="AQ430" s="20">
        <v>0</v>
      </c>
      <c r="AR430" s="20">
        <v>0</v>
      </c>
      <c r="AS430" s="20">
        <v>0</v>
      </c>
      <c r="AT430" s="20">
        <v>0</v>
      </c>
      <c r="AU430" s="20">
        <v>0</v>
      </c>
      <c r="AV430" s="20">
        <v>0</v>
      </c>
      <c r="AW430" s="20">
        <v>0</v>
      </c>
      <c r="AX430" s="20">
        <v>0</v>
      </c>
      <c r="AY430" s="20">
        <v>0</v>
      </c>
      <c r="AZ430" s="20">
        <v>0</v>
      </c>
      <c r="BA430" s="20">
        <v>0</v>
      </c>
      <c r="BB430" s="20">
        <v>0</v>
      </c>
      <c r="BC430" s="20">
        <v>0</v>
      </c>
      <c r="BD430" s="20">
        <v>0</v>
      </c>
      <c r="BE430" s="20">
        <v>0</v>
      </c>
      <c r="BF430" s="20">
        <v>0</v>
      </c>
      <c r="BG430" s="20">
        <v>0</v>
      </c>
      <c r="BH430" s="20">
        <v>0</v>
      </c>
      <c r="BI430" s="20">
        <v>0</v>
      </c>
      <c r="BJ430" s="20">
        <v>0</v>
      </c>
      <c r="BK430" s="20">
        <v>0</v>
      </c>
      <c r="BL430" s="20">
        <v>0</v>
      </c>
      <c r="BM430" s="20">
        <v>0</v>
      </c>
      <c r="BN430" s="20">
        <v>0</v>
      </c>
      <c r="BO430" s="20">
        <v>0</v>
      </c>
      <c r="BP430" s="20">
        <v>0</v>
      </c>
      <c r="BQ430" s="20">
        <v>0</v>
      </c>
      <c r="BR430" s="20">
        <v>0</v>
      </c>
      <c r="BS430" s="20">
        <v>0</v>
      </c>
      <c r="BT430" s="20">
        <v>0</v>
      </c>
      <c r="BU430" s="20">
        <v>0</v>
      </c>
      <c r="BV430" s="20">
        <v>0</v>
      </c>
      <c r="BW430" s="20">
        <v>0</v>
      </c>
      <c r="BX430" s="20">
        <v>0</v>
      </c>
      <c r="BY430" s="20">
        <v>0</v>
      </c>
      <c r="BZ430" s="20">
        <v>0</v>
      </c>
      <c r="CA430" s="20">
        <v>0</v>
      </c>
      <c r="CB430" s="20">
        <v>0</v>
      </c>
      <c r="CC430" s="20">
        <v>0</v>
      </c>
      <c r="CD430" s="20">
        <v>0</v>
      </c>
      <c r="CE430" s="20">
        <v>0</v>
      </c>
      <c r="CF430" s="20">
        <v>0</v>
      </c>
      <c r="CG430" s="20">
        <v>0</v>
      </c>
      <c r="CH430" s="20">
        <v>0</v>
      </c>
      <c r="CI430" s="20">
        <v>0</v>
      </c>
      <c r="CJ430" s="20">
        <v>0</v>
      </c>
      <c r="CK430" s="20">
        <v>0</v>
      </c>
      <c r="CL430" s="20">
        <v>0</v>
      </c>
      <c r="CM430" s="20">
        <v>0</v>
      </c>
      <c r="CN430" s="20">
        <v>0</v>
      </c>
      <c r="CO430" s="20">
        <v>0</v>
      </c>
      <c r="CP430" s="20">
        <v>0</v>
      </c>
      <c r="CQ430" s="20">
        <v>0</v>
      </c>
      <c r="CR430" s="20">
        <v>0</v>
      </c>
      <c r="CS430" s="20">
        <v>0</v>
      </c>
      <c r="CT430" s="20">
        <v>0</v>
      </c>
      <c r="CU430" s="20">
        <v>0</v>
      </c>
      <c r="CV430" s="20">
        <v>0</v>
      </c>
      <c r="CW430" s="20">
        <v>0</v>
      </c>
      <c r="CX430" s="20">
        <v>0</v>
      </c>
      <c r="CY430" s="20">
        <v>0</v>
      </c>
      <c r="CZ430" s="20">
        <v>0</v>
      </c>
      <c r="DA430" s="20">
        <v>0</v>
      </c>
      <c r="DB430" s="20">
        <v>0</v>
      </c>
      <c r="DC430" s="20">
        <v>0</v>
      </c>
      <c r="DD430" s="20">
        <v>0</v>
      </c>
      <c r="DE430" s="20">
        <v>0</v>
      </c>
      <c r="DF430" s="20">
        <v>0</v>
      </c>
      <c r="DG430" s="16">
        <f t="shared" si="39"/>
        <v>0</v>
      </c>
      <c r="DH430" s="16">
        <f t="shared" si="40"/>
        <v>0</v>
      </c>
      <c r="DI430" s="17" t="str">
        <f t="shared" si="41"/>
        <v/>
      </c>
      <c r="DJ430" s="119" t="s">
        <v>1323</v>
      </c>
      <c r="DK430" s="119" t="s">
        <v>1525</v>
      </c>
    </row>
    <row r="431" spans="1:116">
      <c r="A431" s="32" t="str">
        <f t="shared" si="37"/>
        <v>Essential (Original)--LAMPS ; MAJOR ROAD</v>
      </c>
      <c r="B431" s="32" t="str">
        <f t="shared" si="38"/>
        <v>Essential (Original)</v>
      </c>
      <c r="C431" s="384"/>
      <c r="D431" s="14"/>
      <c r="E431" s="15" t="s">
        <v>266</v>
      </c>
      <c r="F431" s="18">
        <v>0</v>
      </c>
      <c r="G431" s="18">
        <v>0</v>
      </c>
      <c r="H431" s="20">
        <v>0</v>
      </c>
      <c r="I431" s="20">
        <v>0</v>
      </c>
      <c r="J431" s="20">
        <v>0</v>
      </c>
      <c r="K431" s="20">
        <v>0</v>
      </c>
      <c r="L431" s="20">
        <v>0</v>
      </c>
      <c r="M431" s="20">
        <v>0</v>
      </c>
      <c r="N431" s="20">
        <v>0</v>
      </c>
      <c r="O431" s="20">
        <v>0</v>
      </c>
      <c r="P431" s="20">
        <v>0</v>
      </c>
      <c r="Q431" s="20">
        <v>0</v>
      </c>
      <c r="R431" s="20">
        <v>0</v>
      </c>
      <c r="S431" s="20">
        <v>0</v>
      </c>
      <c r="T431" s="20">
        <v>0</v>
      </c>
      <c r="U431" s="20">
        <v>0</v>
      </c>
      <c r="V431" s="20">
        <v>0</v>
      </c>
      <c r="W431" s="20">
        <v>0</v>
      </c>
      <c r="X431" s="20">
        <v>0</v>
      </c>
      <c r="Y431" s="20">
        <v>0</v>
      </c>
      <c r="Z431" s="20">
        <v>0</v>
      </c>
      <c r="AA431" s="20">
        <v>0</v>
      </c>
      <c r="AB431" s="20">
        <v>0</v>
      </c>
      <c r="AC431" s="20">
        <v>0</v>
      </c>
      <c r="AD431" s="20">
        <v>0</v>
      </c>
      <c r="AE431" s="20">
        <v>0</v>
      </c>
      <c r="AF431" s="20">
        <v>0</v>
      </c>
      <c r="AG431" s="20">
        <v>0</v>
      </c>
      <c r="AH431" s="20">
        <v>0</v>
      </c>
      <c r="AI431" s="20">
        <v>0</v>
      </c>
      <c r="AJ431" s="20">
        <v>0</v>
      </c>
      <c r="AK431" s="20">
        <v>0</v>
      </c>
      <c r="AL431" s="20">
        <v>0</v>
      </c>
      <c r="AM431" s="20">
        <v>0</v>
      </c>
      <c r="AN431" s="20">
        <v>0</v>
      </c>
      <c r="AO431" s="20">
        <v>0</v>
      </c>
      <c r="AP431" s="20">
        <v>0</v>
      </c>
      <c r="AQ431" s="20">
        <v>0</v>
      </c>
      <c r="AR431" s="20">
        <v>0</v>
      </c>
      <c r="AS431" s="20">
        <v>0</v>
      </c>
      <c r="AT431" s="20">
        <v>0</v>
      </c>
      <c r="AU431" s="20">
        <v>0</v>
      </c>
      <c r="AV431" s="20">
        <v>0</v>
      </c>
      <c r="AW431" s="20">
        <v>0</v>
      </c>
      <c r="AX431" s="20">
        <v>0</v>
      </c>
      <c r="AY431" s="20">
        <v>0</v>
      </c>
      <c r="AZ431" s="20">
        <v>0</v>
      </c>
      <c r="BA431" s="20">
        <v>0</v>
      </c>
      <c r="BB431" s="20">
        <v>0</v>
      </c>
      <c r="BC431" s="20">
        <v>0</v>
      </c>
      <c r="BD431" s="20">
        <v>0</v>
      </c>
      <c r="BE431" s="20">
        <v>0</v>
      </c>
      <c r="BF431" s="20">
        <v>0</v>
      </c>
      <c r="BG431" s="20">
        <v>0</v>
      </c>
      <c r="BH431" s="20">
        <v>0</v>
      </c>
      <c r="BI431" s="20">
        <v>0</v>
      </c>
      <c r="BJ431" s="20">
        <v>0</v>
      </c>
      <c r="BK431" s="20">
        <v>0</v>
      </c>
      <c r="BL431" s="20">
        <v>0</v>
      </c>
      <c r="BM431" s="20">
        <v>0</v>
      </c>
      <c r="BN431" s="20">
        <v>0</v>
      </c>
      <c r="BO431" s="20">
        <v>0</v>
      </c>
      <c r="BP431" s="20">
        <v>0</v>
      </c>
      <c r="BQ431" s="20">
        <v>0</v>
      </c>
      <c r="BR431" s="20">
        <v>0</v>
      </c>
      <c r="BS431" s="20">
        <v>0</v>
      </c>
      <c r="BT431" s="20">
        <v>0</v>
      </c>
      <c r="BU431" s="20">
        <v>0</v>
      </c>
      <c r="BV431" s="20">
        <v>0</v>
      </c>
      <c r="BW431" s="20">
        <v>0</v>
      </c>
      <c r="BX431" s="20">
        <v>0</v>
      </c>
      <c r="BY431" s="20">
        <v>0</v>
      </c>
      <c r="BZ431" s="20">
        <v>0</v>
      </c>
      <c r="CA431" s="20">
        <v>0</v>
      </c>
      <c r="CB431" s="20">
        <v>0</v>
      </c>
      <c r="CC431" s="20">
        <v>0</v>
      </c>
      <c r="CD431" s="20">
        <v>0</v>
      </c>
      <c r="CE431" s="20">
        <v>0</v>
      </c>
      <c r="CF431" s="20">
        <v>0</v>
      </c>
      <c r="CG431" s="20">
        <v>0</v>
      </c>
      <c r="CH431" s="20">
        <v>0</v>
      </c>
      <c r="CI431" s="20">
        <v>0</v>
      </c>
      <c r="CJ431" s="20">
        <v>0</v>
      </c>
      <c r="CK431" s="20">
        <v>0</v>
      </c>
      <c r="CL431" s="20">
        <v>0</v>
      </c>
      <c r="CM431" s="20">
        <v>0</v>
      </c>
      <c r="CN431" s="20">
        <v>0</v>
      </c>
      <c r="CO431" s="20">
        <v>0</v>
      </c>
      <c r="CP431" s="20">
        <v>0</v>
      </c>
      <c r="CQ431" s="20">
        <v>0</v>
      </c>
      <c r="CR431" s="20">
        <v>0</v>
      </c>
      <c r="CS431" s="20">
        <v>0</v>
      </c>
      <c r="CT431" s="20">
        <v>0</v>
      </c>
      <c r="CU431" s="20">
        <v>0</v>
      </c>
      <c r="CV431" s="20">
        <v>0</v>
      </c>
      <c r="CW431" s="20">
        <v>0</v>
      </c>
      <c r="CX431" s="20">
        <v>0</v>
      </c>
      <c r="CY431" s="20">
        <v>0</v>
      </c>
      <c r="CZ431" s="20">
        <v>0</v>
      </c>
      <c r="DA431" s="20">
        <v>0</v>
      </c>
      <c r="DB431" s="20">
        <v>0</v>
      </c>
      <c r="DC431" s="20">
        <v>0</v>
      </c>
      <c r="DD431" s="20">
        <v>0</v>
      </c>
      <c r="DE431" s="20">
        <v>0</v>
      </c>
      <c r="DF431" s="20">
        <v>0</v>
      </c>
      <c r="DG431" s="16">
        <f t="shared" si="39"/>
        <v>0</v>
      </c>
      <c r="DH431" s="16">
        <f t="shared" si="40"/>
        <v>0</v>
      </c>
      <c r="DI431" s="17" t="str">
        <f t="shared" si="41"/>
        <v/>
      </c>
      <c r="DJ431" s="119" t="s">
        <v>1323</v>
      </c>
      <c r="DK431" s="119" t="s">
        <v>1525</v>
      </c>
    </row>
    <row r="432" spans="1:116">
      <c r="A432" s="32" t="str">
        <f t="shared" si="37"/>
        <v>Essential (Original)--LAMPS ; MINOR ROAD</v>
      </c>
      <c r="B432" s="32" t="str">
        <f t="shared" si="38"/>
        <v>Essential (Original)</v>
      </c>
      <c r="C432" s="384"/>
      <c r="D432" s="14"/>
      <c r="E432" s="15" t="s">
        <v>267</v>
      </c>
      <c r="F432" s="18">
        <v>0</v>
      </c>
      <c r="G432" s="18">
        <v>0</v>
      </c>
      <c r="H432" s="20">
        <v>0</v>
      </c>
      <c r="I432" s="20">
        <v>0</v>
      </c>
      <c r="J432" s="20">
        <v>0</v>
      </c>
      <c r="K432" s="20">
        <v>0</v>
      </c>
      <c r="L432" s="20">
        <v>0</v>
      </c>
      <c r="M432" s="20">
        <v>0</v>
      </c>
      <c r="N432" s="20">
        <v>0</v>
      </c>
      <c r="O432" s="20">
        <v>0</v>
      </c>
      <c r="P432" s="20">
        <v>0</v>
      </c>
      <c r="Q432" s="20">
        <v>0</v>
      </c>
      <c r="R432" s="20">
        <v>0</v>
      </c>
      <c r="S432" s="20">
        <v>0</v>
      </c>
      <c r="T432" s="20">
        <v>0</v>
      </c>
      <c r="U432" s="20">
        <v>0</v>
      </c>
      <c r="V432" s="20">
        <v>0</v>
      </c>
      <c r="W432" s="20">
        <v>0</v>
      </c>
      <c r="X432" s="20">
        <v>0</v>
      </c>
      <c r="Y432" s="20">
        <v>0</v>
      </c>
      <c r="Z432" s="20">
        <v>0</v>
      </c>
      <c r="AA432" s="20">
        <v>0</v>
      </c>
      <c r="AB432" s="20">
        <v>0</v>
      </c>
      <c r="AC432" s="20">
        <v>0</v>
      </c>
      <c r="AD432" s="20">
        <v>0</v>
      </c>
      <c r="AE432" s="20">
        <v>0</v>
      </c>
      <c r="AF432" s="20">
        <v>0</v>
      </c>
      <c r="AG432" s="20">
        <v>0</v>
      </c>
      <c r="AH432" s="20">
        <v>0</v>
      </c>
      <c r="AI432" s="20">
        <v>0</v>
      </c>
      <c r="AJ432" s="20">
        <v>0</v>
      </c>
      <c r="AK432" s="20">
        <v>0</v>
      </c>
      <c r="AL432" s="20">
        <v>0</v>
      </c>
      <c r="AM432" s="20">
        <v>0</v>
      </c>
      <c r="AN432" s="20">
        <v>0</v>
      </c>
      <c r="AO432" s="20">
        <v>0</v>
      </c>
      <c r="AP432" s="20">
        <v>0</v>
      </c>
      <c r="AQ432" s="20">
        <v>0</v>
      </c>
      <c r="AR432" s="20">
        <v>0</v>
      </c>
      <c r="AS432" s="20">
        <v>0</v>
      </c>
      <c r="AT432" s="20">
        <v>0</v>
      </c>
      <c r="AU432" s="20">
        <v>0</v>
      </c>
      <c r="AV432" s="20">
        <v>0</v>
      </c>
      <c r="AW432" s="20">
        <v>0</v>
      </c>
      <c r="AX432" s="20">
        <v>0</v>
      </c>
      <c r="AY432" s="20">
        <v>0</v>
      </c>
      <c r="AZ432" s="20">
        <v>0</v>
      </c>
      <c r="BA432" s="20">
        <v>0</v>
      </c>
      <c r="BB432" s="20">
        <v>0</v>
      </c>
      <c r="BC432" s="20">
        <v>0</v>
      </c>
      <c r="BD432" s="20">
        <v>0</v>
      </c>
      <c r="BE432" s="20">
        <v>0</v>
      </c>
      <c r="BF432" s="20">
        <v>0</v>
      </c>
      <c r="BG432" s="20">
        <v>0</v>
      </c>
      <c r="BH432" s="20">
        <v>0</v>
      </c>
      <c r="BI432" s="20">
        <v>0</v>
      </c>
      <c r="BJ432" s="20">
        <v>0</v>
      </c>
      <c r="BK432" s="20">
        <v>0</v>
      </c>
      <c r="BL432" s="20">
        <v>0</v>
      </c>
      <c r="BM432" s="20">
        <v>0</v>
      </c>
      <c r="BN432" s="20">
        <v>0</v>
      </c>
      <c r="BO432" s="20">
        <v>0</v>
      </c>
      <c r="BP432" s="20">
        <v>0</v>
      </c>
      <c r="BQ432" s="20">
        <v>0</v>
      </c>
      <c r="BR432" s="20">
        <v>0</v>
      </c>
      <c r="BS432" s="20">
        <v>0</v>
      </c>
      <c r="BT432" s="20">
        <v>0</v>
      </c>
      <c r="BU432" s="20">
        <v>0</v>
      </c>
      <c r="BV432" s="20">
        <v>0</v>
      </c>
      <c r="BW432" s="20">
        <v>0</v>
      </c>
      <c r="BX432" s="20">
        <v>0</v>
      </c>
      <c r="BY432" s="20">
        <v>0</v>
      </c>
      <c r="BZ432" s="20">
        <v>0</v>
      </c>
      <c r="CA432" s="20">
        <v>0</v>
      </c>
      <c r="CB432" s="20">
        <v>0</v>
      </c>
      <c r="CC432" s="20">
        <v>0</v>
      </c>
      <c r="CD432" s="20">
        <v>0</v>
      </c>
      <c r="CE432" s="20">
        <v>0</v>
      </c>
      <c r="CF432" s="20">
        <v>0</v>
      </c>
      <c r="CG432" s="20">
        <v>0</v>
      </c>
      <c r="CH432" s="20">
        <v>0</v>
      </c>
      <c r="CI432" s="20">
        <v>0</v>
      </c>
      <c r="CJ432" s="20">
        <v>0</v>
      </c>
      <c r="CK432" s="20">
        <v>0</v>
      </c>
      <c r="CL432" s="20">
        <v>0</v>
      </c>
      <c r="CM432" s="20">
        <v>0</v>
      </c>
      <c r="CN432" s="20">
        <v>0</v>
      </c>
      <c r="CO432" s="20">
        <v>0</v>
      </c>
      <c r="CP432" s="20">
        <v>0</v>
      </c>
      <c r="CQ432" s="20">
        <v>0</v>
      </c>
      <c r="CR432" s="20">
        <v>0</v>
      </c>
      <c r="CS432" s="20">
        <v>0</v>
      </c>
      <c r="CT432" s="20">
        <v>0</v>
      </c>
      <c r="CU432" s="20">
        <v>0</v>
      </c>
      <c r="CV432" s="20">
        <v>0</v>
      </c>
      <c r="CW432" s="20">
        <v>0</v>
      </c>
      <c r="CX432" s="20">
        <v>0</v>
      </c>
      <c r="CY432" s="20">
        <v>0</v>
      </c>
      <c r="CZ432" s="20">
        <v>0</v>
      </c>
      <c r="DA432" s="20">
        <v>0</v>
      </c>
      <c r="DB432" s="20">
        <v>0</v>
      </c>
      <c r="DC432" s="20">
        <v>0</v>
      </c>
      <c r="DD432" s="20">
        <v>0</v>
      </c>
      <c r="DE432" s="20">
        <v>0</v>
      </c>
      <c r="DF432" s="20">
        <v>0</v>
      </c>
      <c r="DG432" s="16">
        <f t="shared" si="39"/>
        <v>0</v>
      </c>
      <c r="DH432" s="16">
        <f t="shared" si="40"/>
        <v>0</v>
      </c>
      <c r="DI432" s="17" t="str">
        <f t="shared" si="41"/>
        <v/>
      </c>
      <c r="DJ432" s="119" t="s">
        <v>1323</v>
      </c>
      <c r="DK432" s="119" t="s">
        <v>1525</v>
      </c>
    </row>
    <row r="433" spans="1:116">
      <c r="A433" s="32" t="str">
        <f t="shared" si="37"/>
        <v>Essential (Original)--POLES / COLUMNS ; MAJOR ROAD</v>
      </c>
      <c r="B433" s="32" t="str">
        <f t="shared" si="38"/>
        <v>Essential (Original)</v>
      </c>
      <c r="C433" s="384"/>
      <c r="D433" s="14"/>
      <c r="E433" s="15" t="s">
        <v>268</v>
      </c>
      <c r="F433" s="18">
        <v>20</v>
      </c>
      <c r="G433" s="18">
        <v>4.4721359549995796</v>
      </c>
      <c r="H433" s="20">
        <v>225.01968676174644</v>
      </c>
      <c r="I433" s="20">
        <v>499.04366086271767</v>
      </c>
      <c r="J433" s="20">
        <v>247.02161168956164</v>
      </c>
      <c r="K433" s="20">
        <v>197.01723685361799</v>
      </c>
      <c r="L433" s="20">
        <v>110.00962463907604</v>
      </c>
      <c r="M433" s="20">
        <v>275.02406159769009</v>
      </c>
      <c r="N433" s="20">
        <v>454.03972351036833</v>
      </c>
      <c r="O433" s="20">
        <v>235.02056172893518</v>
      </c>
      <c r="P433" s="20">
        <v>240.02099921252952</v>
      </c>
      <c r="Q433" s="20">
        <v>215.01881179455771</v>
      </c>
      <c r="R433" s="20">
        <v>135.01181205704785</v>
      </c>
      <c r="S433" s="20">
        <v>121.01058710298364</v>
      </c>
      <c r="T433" s="20">
        <v>115.0100621226704</v>
      </c>
      <c r="U433" s="20">
        <v>821.07183480619472</v>
      </c>
      <c r="V433" s="20">
        <v>259.02266165018813</v>
      </c>
      <c r="W433" s="20">
        <v>183.01601189955377</v>
      </c>
      <c r="X433" s="20">
        <v>126.011024586578</v>
      </c>
      <c r="Y433" s="20">
        <v>106.00927465220055</v>
      </c>
      <c r="Z433" s="20">
        <v>222.01942427158983</v>
      </c>
      <c r="AA433" s="20">
        <v>136.01189955376674</v>
      </c>
      <c r="AB433" s="20">
        <v>157.01373698486307</v>
      </c>
      <c r="AC433" s="20">
        <v>163.0142619651763</v>
      </c>
      <c r="AD433" s="20">
        <v>254.02222416659376</v>
      </c>
      <c r="AE433" s="20">
        <v>666.05827281476945</v>
      </c>
      <c r="AF433" s="20">
        <v>142.01242453407997</v>
      </c>
      <c r="AG433" s="20">
        <v>154.01347449470646</v>
      </c>
      <c r="AH433" s="20">
        <v>119.0104121095459</v>
      </c>
      <c r="AI433" s="20">
        <v>129.01128707673462</v>
      </c>
      <c r="AJ433" s="20">
        <v>212.01854930440109</v>
      </c>
      <c r="AK433" s="20">
        <v>127.01111208329688</v>
      </c>
      <c r="AL433" s="20">
        <v>119.0104121095459</v>
      </c>
      <c r="AM433" s="20">
        <v>113.00988712923265</v>
      </c>
      <c r="AN433" s="20">
        <v>69.006037273602246</v>
      </c>
      <c r="AO433" s="20">
        <v>838.07332225041557</v>
      </c>
      <c r="AP433" s="20">
        <v>72.006299763758861</v>
      </c>
      <c r="AQ433" s="20">
        <v>66.005774783445617</v>
      </c>
      <c r="AR433" s="20">
        <v>182.01592440283488</v>
      </c>
      <c r="AS433" s="20">
        <v>65.005687286726754</v>
      </c>
      <c r="AT433" s="20">
        <v>353.0308863417622</v>
      </c>
      <c r="AU433" s="20">
        <v>108.00944964563828</v>
      </c>
      <c r="AV433" s="20">
        <v>132.01154956689123</v>
      </c>
      <c r="AW433" s="20">
        <v>55.004812319538019</v>
      </c>
      <c r="AX433" s="20">
        <v>76.006649750634352</v>
      </c>
      <c r="AY433" s="20">
        <v>449.03928602677399</v>
      </c>
      <c r="AZ433" s="20">
        <v>126.011024586578</v>
      </c>
      <c r="BA433" s="20">
        <v>134.01172456032899</v>
      </c>
      <c r="BB433" s="20">
        <v>42.003674862192668</v>
      </c>
      <c r="BC433" s="20">
        <v>228.01994925190306</v>
      </c>
      <c r="BD433" s="20">
        <v>184.01609939627264</v>
      </c>
      <c r="BE433" s="20">
        <v>13.001137457345349</v>
      </c>
      <c r="BF433" s="20">
        <v>12.001049960626476</v>
      </c>
      <c r="BG433" s="20">
        <v>17.001487444220842</v>
      </c>
      <c r="BH433" s="20">
        <v>91.007962201417442</v>
      </c>
      <c r="BI433" s="20">
        <v>143.01251203079883</v>
      </c>
      <c r="BJ433" s="20">
        <v>3.0002624901566191</v>
      </c>
      <c r="BK433" s="20">
        <v>33.002887391722808</v>
      </c>
      <c r="BL433" s="20">
        <v>53.004637326100273</v>
      </c>
      <c r="BM433" s="20">
        <v>31.002712398285063</v>
      </c>
      <c r="BN433" s="20">
        <v>27.002362411409571</v>
      </c>
      <c r="BO433" s="20">
        <v>1.0000874967188731</v>
      </c>
      <c r="BP433" s="20">
        <v>15.001312450783095</v>
      </c>
      <c r="BQ433" s="20">
        <v>8.0006999737509847</v>
      </c>
      <c r="BR433" s="20">
        <v>0</v>
      </c>
      <c r="BS433" s="20">
        <v>114.00997462595153</v>
      </c>
      <c r="BT433" s="20">
        <v>4.0003499868754924</v>
      </c>
      <c r="BU433" s="20">
        <v>0</v>
      </c>
      <c r="BV433" s="20">
        <v>2.0001749934377462</v>
      </c>
      <c r="BW433" s="20">
        <v>1.0000874967188731</v>
      </c>
      <c r="BX433" s="20">
        <v>0</v>
      </c>
      <c r="BY433" s="20">
        <v>0</v>
      </c>
      <c r="BZ433" s="20">
        <v>0</v>
      </c>
      <c r="CA433" s="20">
        <v>0</v>
      </c>
      <c r="CB433" s="20">
        <v>0</v>
      </c>
      <c r="CC433" s="20">
        <v>84.007349724385335</v>
      </c>
      <c r="CD433" s="20">
        <v>0</v>
      </c>
      <c r="CE433" s="20">
        <v>0</v>
      </c>
      <c r="CF433" s="20">
        <v>0</v>
      </c>
      <c r="CG433" s="20">
        <v>0</v>
      </c>
      <c r="CH433" s="20">
        <v>0</v>
      </c>
      <c r="CI433" s="20">
        <v>0</v>
      </c>
      <c r="CJ433" s="20">
        <v>0</v>
      </c>
      <c r="CK433" s="20">
        <v>0</v>
      </c>
      <c r="CL433" s="20">
        <v>0</v>
      </c>
      <c r="CM433" s="20">
        <v>1.0000874967188731</v>
      </c>
      <c r="CN433" s="20">
        <v>0</v>
      </c>
      <c r="CO433" s="20">
        <v>0</v>
      </c>
      <c r="CP433" s="20">
        <v>0</v>
      </c>
      <c r="CQ433" s="20">
        <v>0</v>
      </c>
      <c r="CR433" s="20">
        <v>0</v>
      </c>
      <c r="CS433" s="20">
        <v>0</v>
      </c>
      <c r="CT433" s="20">
        <v>1.0000874967188731</v>
      </c>
      <c r="CU433" s="20">
        <v>0</v>
      </c>
      <c r="CV433" s="20">
        <v>0</v>
      </c>
      <c r="CW433" s="20">
        <v>0</v>
      </c>
      <c r="CX433" s="20">
        <v>0</v>
      </c>
      <c r="CY433" s="20">
        <v>0</v>
      </c>
      <c r="CZ433" s="20">
        <v>0</v>
      </c>
      <c r="DA433" s="20">
        <v>0</v>
      </c>
      <c r="DB433" s="20">
        <v>0</v>
      </c>
      <c r="DC433" s="20">
        <v>0</v>
      </c>
      <c r="DD433" s="20">
        <v>0</v>
      </c>
      <c r="DE433" s="20">
        <v>0</v>
      </c>
      <c r="DF433" s="20">
        <v>320.02799895003938</v>
      </c>
      <c r="DG433" s="16">
        <f t="shared" si="39"/>
        <v>11430</v>
      </c>
      <c r="DH433" s="16">
        <f t="shared" si="40"/>
        <v>307590.91084084357</v>
      </c>
      <c r="DI433" s="17">
        <f t="shared" si="41"/>
        <v>26.910840843468378</v>
      </c>
      <c r="DJ433" s="119" t="s">
        <v>1323</v>
      </c>
      <c r="DK433" s="44" t="s">
        <v>1197</v>
      </c>
      <c r="DL433" s="119" t="s">
        <v>1522</v>
      </c>
    </row>
    <row r="434" spans="1:116">
      <c r="A434" s="32" t="str">
        <f t="shared" si="37"/>
        <v>Essential (Original)--POLES / COLUMNS ; MINOR ROAD</v>
      </c>
      <c r="B434" s="32" t="str">
        <f t="shared" si="38"/>
        <v>Essential (Original)</v>
      </c>
      <c r="C434" s="384"/>
      <c r="D434" s="14"/>
      <c r="E434" s="15" t="s">
        <v>269</v>
      </c>
      <c r="F434" s="18">
        <v>20</v>
      </c>
      <c r="G434" s="18">
        <v>4.4721359549995796</v>
      </c>
      <c r="H434" s="20">
        <v>1776.6365084421791</v>
      </c>
      <c r="I434" s="20">
        <v>2148.7698311564191</v>
      </c>
      <c r="J434" s="20">
        <v>1556.557661675693</v>
      </c>
      <c r="K434" s="20">
        <v>1172.4200382287352</v>
      </c>
      <c r="L434" s="20">
        <v>1109.3974593819687</v>
      </c>
      <c r="M434" s="20">
        <v>1536.5504937878304</v>
      </c>
      <c r="N434" s="20">
        <v>1621.5809573112456</v>
      </c>
      <c r="O434" s="20">
        <v>1621.5809573112456</v>
      </c>
      <c r="P434" s="20">
        <v>2308.8271742593183</v>
      </c>
      <c r="Q434" s="20">
        <v>2434.8723319528513</v>
      </c>
      <c r="R434" s="20">
        <v>1355.485624402676</v>
      </c>
      <c r="S434" s="20">
        <v>1581.5666215355209</v>
      </c>
      <c r="T434" s="20">
        <v>1159.4153791016247</v>
      </c>
      <c r="U434" s="20">
        <v>4833.7317617075505</v>
      </c>
      <c r="V434" s="20">
        <v>1367.4899251353934</v>
      </c>
      <c r="W434" s="20">
        <v>791.28348996495697</v>
      </c>
      <c r="X434" s="20">
        <v>528.18923223956676</v>
      </c>
      <c r="Y434" s="20">
        <v>539.193174577891</v>
      </c>
      <c r="Z434" s="20">
        <v>1476.5289901242434</v>
      </c>
      <c r="AA434" s="20">
        <v>626.2243548900924</v>
      </c>
      <c r="AB434" s="20">
        <v>904.32398853137943</v>
      </c>
      <c r="AC434" s="20">
        <v>489.17525485823512</v>
      </c>
      <c r="AD434" s="20">
        <v>663.23761548263781</v>
      </c>
      <c r="AE434" s="20">
        <v>2669.9565546352342</v>
      </c>
      <c r="AF434" s="20">
        <v>1090.3906498884994</v>
      </c>
      <c r="AG434" s="20">
        <v>329.11791175533608</v>
      </c>
      <c r="AH434" s="20">
        <v>381.13654826377825</v>
      </c>
      <c r="AI434" s="20">
        <v>306.10966868429438</v>
      </c>
      <c r="AJ434" s="20">
        <v>803.28779069767438</v>
      </c>
      <c r="AK434" s="20">
        <v>201.07203727301689</v>
      </c>
      <c r="AL434" s="20">
        <v>134.04802484867793</v>
      </c>
      <c r="AM434" s="20">
        <v>219.07848837209303</v>
      </c>
      <c r="AN434" s="20">
        <v>252.09031538706594</v>
      </c>
      <c r="AO434" s="20">
        <v>2668.9561962408411</v>
      </c>
      <c r="AP434" s="20">
        <v>214.07669640012742</v>
      </c>
      <c r="AQ434" s="20">
        <v>197.07060369544442</v>
      </c>
      <c r="AR434" s="20">
        <v>278.09963364128703</v>
      </c>
      <c r="AS434" s="20">
        <v>186.0666613571201</v>
      </c>
      <c r="AT434" s="20">
        <v>531.19030742274606</v>
      </c>
      <c r="AU434" s="20">
        <v>389.13941541892325</v>
      </c>
      <c r="AV434" s="20">
        <v>337.12077891048102</v>
      </c>
      <c r="AW434" s="20">
        <v>192.0688117234788</v>
      </c>
      <c r="AX434" s="20">
        <v>213.0763380057343</v>
      </c>
      <c r="AY434" s="20">
        <v>706.25302644154192</v>
      </c>
      <c r="AZ434" s="20">
        <v>173.06200223000957</v>
      </c>
      <c r="BA434" s="20">
        <v>145.05196718700222</v>
      </c>
      <c r="BB434" s="20">
        <v>168.06021025804395</v>
      </c>
      <c r="BC434" s="20">
        <v>732.26234469576298</v>
      </c>
      <c r="BD434" s="20">
        <v>329.11791175533608</v>
      </c>
      <c r="BE434" s="20">
        <v>55.019711691621538</v>
      </c>
      <c r="BF434" s="20">
        <v>34.01218540936604</v>
      </c>
      <c r="BG434" s="20">
        <v>5.0017919719655941</v>
      </c>
      <c r="BH434" s="20">
        <v>73.026162790697668</v>
      </c>
      <c r="BI434" s="20">
        <v>516.18493150684935</v>
      </c>
      <c r="BJ434" s="20">
        <v>7.0025087607518319</v>
      </c>
      <c r="BK434" s="20">
        <v>72.025804396304551</v>
      </c>
      <c r="BL434" s="20">
        <v>50.017919719655943</v>
      </c>
      <c r="BM434" s="20">
        <v>26.009318254221089</v>
      </c>
      <c r="BN434" s="20">
        <v>163.05841828607836</v>
      </c>
      <c r="BO434" s="20">
        <v>7.0025087607518319</v>
      </c>
      <c r="BP434" s="20">
        <v>140.05017521503663</v>
      </c>
      <c r="BQ434" s="20">
        <v>108.03870659445683</v>
      </c>
      <c r="BR434" s="20">
        <v>8.0028671551449513</v>
      </c>
      <c r="BS434" s="20">
        <v>510.18278114049059</v>
      </c>
      <c r="BT434" s="20">
        <v>17.00609270468302</v>
      </c>
      <c r="BU434" s="20">
        <v>36.012902198152275</v>
      </c>
      <c r="BV434" s="20">
        <v>1.0003583943931189</v>
      </c>
      <c r="BW434" s="20">
        <v>3.0010751831793563</v>
      </c>
      <c r="BX434" s="20">
        <v>0</v>
      </c>
      <c r="BY434" s="20">
        <v>0</v>
      </c>
      <c r="BZ434" s="20">
        <v>0</v>
      </c>
      <c r="CA434" s="20">
        <v>4.0014335775724756</v>
      </c>
      <c r="CB434" s="20">
        <v>0</v>
      </c>
      <c r="CC434" s="20">
        <v>84.030105129021976</v>
      </c>
      <c r="CD434" s="20">
        <v>4.0014335775724756</v>
      </c>
      <c r="CE434" s="20">
        <v>1.0003583943931189</v>
      </c>
      <c r="CF434" s="20">
        <v>3.0010751831793563</v>
      </c>
      <c r="CG434" s="20">
        <v>0</v>
      </c>
      <c r="CH434" s="20">
        <v>1.0003583943931189</v>
      </c>
      <c r="CI434" s="20">
        <v>0</v>
      </c>
      <c r="CJ434" s="20">
        <v>0</v>
      </c>
      <c r="CK434" s="20">
        <v>0</v>
      </c>
      <c r="CL434" s="20">
        <v>0</v>
      </c>
      <c r="CM434" s="20">
        <v>14.005017521503664</v>
      </c>
      <c r="CN434" s="20">
        <v>0</v>
      </c>
      <c r="CO434" s="20">
        <v>0</v>
      </c>
      <c r="CP434" s="20">
        <v>0</v>
      </c>
      <c r="CQ434" s="20">
        <v>0</v>
      </c>
      <c r="CR434" s="20">
        <v>4.0014335775724756</v>
      </c>
      <c r="CS434" s="20">
        <v>0</v>
      </c>
      <c r="CT434" s="20">
        <v>2.0007167887862378</v>
      </c>
      <c r="CU434" s="20">
        <v>0</v>
      </c>
      <c r="CV434" s="20">
        <v>0</v>
      </c>
      <c r="CW434" s="20">
        <v>0</v>
      </c>
      <c r="CX434" s="20">
        <v>0</v>
      </c>
      <c r="CY434" s="20">
        <v>0</v>
      </c>
      <c r="CZ434" s="20">
        <v>0</v>
      </c>
      <c r="DA434" s="20">
        <v>0</v>
      </c>
      <c r="DB434" s="20">
        <v>0</v>
      </c>
      <c r="DC434" s="20">
        <v>0</v>
      </c>
      <c r="DD434" s="20">
        <v>0</v>
      </c>
      <c r="DE434" s="20">
        <v>0</v>
      </c>
      <c r="DF434" s="20">
        <v>843.3021264733992</v>
      </c>
      <c r="DG434" s="16">
        <f t="shared" si="39"/>
        <v>50241.999999999956</v>
      </c>
      <c r="DH434" s="16">
        <f t="shared" si="40"/>
        <v>1019260.1662551771</v>
      </c>
      <c r="DI434" s="17">
        <f t="shared" si="41"/>
        <v>20.28701417648935</v>
      </c>
      <c r="DJ434" s="119" t="s">
        <v>1323</v>
      </c>
      <c r="DK434" s="44" t="s">
        <v>1197</v>
      </c>
      <c r="DL434" s="119" t="s">
        <v>1522</v>
      </c>
    </row>
    <row r="435" spans="1:116">
      <c r="A435" s="32" t="str">
        <f t="shared" si="37"/>
        <v>Essential (Original)--OTHER - PLEASE ADD A ROW IF NECESSARY AND NOMINATE THE CATEGORY</v>
      </c>
      <c r="B435" s="32" t="str">
        <f t="shared" si="38"/>
        <v>Essential (Original)</v>
      </c>
      <c r="C435" s="384"/>
      <c r="D435" s="14"/>
      <c r="E435" s="15" t="s">
        <v>170</v>
      </c>
      <c r="F435" s="18">
        <v>0</v>
      </c>
      <c r="G435" s="18">
        <v>0</v>
      </c>
      <c r="H435" s="20">
        <v>0</v>
      </c>
      <c r="I435" s="20">
        <v>0</v>
      </c>
      <c r="J435" s="20">
        <v>0</v>
      </c>
      <c r="K435" s="20">
        <v>0</v>
      </c>
      <c r="L435" s="20">
        <v>0</v>
      </c>
      <c r="M435" s="20">
        <v>0</v>
      </c>
      <c r="N435" s="20">
        <v>0</v>
      </c>
      <c r="O435" s="20">
        <v>0</v>
      </c>
      <c r="P435" s="20">
        <v>0</v>
      </c>
      <c r="Q435" s="20">
        <v>0</v>
      </c>
      <c r="R435" s="20">
        <v>0</v>
      </c>
      <c r="S435" s="20">
        <v>0</v>
      </c>
      <c r="T435" s="20">
        <v>0</v>
      </c>
      <c r="U435" s="20">
        <v>0</v>
      </c>
      <c r="V435" s="20">
        <v>0</v>
      </c>
      <c r="W435" s="20">
        <v>0</v>
      </c>
      <c r="X435" s="20">
        <v>0</v>
      </c>
      <c r="Y435" s="20">
        <v>0</v>
      </c>
      <c r="Z435" s="20">
        <v>0</v>
      </c>
      <c r="AA435" s="20">
        <v>0</v>
      </c>
      <c r="AB435" s="20">
        <v>0</v>
      </c>
      <c r="AC435" s="20">
        <v>0</v>
      </c>
      <c r="AD435" s="20">
        <v>0</v>
      </c>
      <c r="AE435" s="20">
        <v>0</v>
      </c>
      <c r="AF435" s="20">
        <v>0</v>
      </c>
      <c r="AG435" s="20">
        <v>0</v>
      </c>
      <c r="AH435" s="20">
        <v>0</v>
      </c>
      <c r="AI435" s="20">
        <v>0</v>
      </c>
      <c r="AJ435" s="20">
        <v>0</v>
      </c>
      <c r="AK435" s="20">
        <v>0</v>
      </c>
      <c r="AL435" s="20">
        <v>0</v>
      </c>
      <c r="AM435" s="20">
        <v>0</v>
      </c>
      <c r="AN435" s="20">
        <v>0</v>
      </c>
      <c r="AO435" s="20">
        <v>0</v>
      </c>
      <c r="AP435" s="20">
        <v>0</v>
      </c>
      <c r="AQ435" s="20">
        <v>0</v>
      </c>
      <c r="AR435" s="20">
        <v>0</v>
      </c>
      <c r="AS435" s="20">
        <v>0</v>
      </c>
      <c r="AT435" s="20">
        <v>0</v>
      </c>
      <c r="AU435" s="20">
        <v>0</v>
      </c>
      <c r="AV435" s="20">
        <v>0</v>
      </c>
      <c r="AW435" s="20">
        <v>0</v>
      </c>
      <c r="AX435" s="20">
        <v>0</v>
      </c>
      <c r="AY435" s="20">
        <v>0</v>
      </c>
      <c r="AZ435" s="20">
        <v>0</v>
      </c>
      <c r="BA435" s="20">
        <v>0</v>
      </c>
      <c r="BB435" s="20">
        <v>0</v>
      </c>
      <c r="BC435" s="20">
        <v>0</v>
      </c>
      <c r="BD435" s="20">
        <v>0</v>
      </c>
      <c r="BE435" s="20">
        <v>0</v>
      </c>
      <c r="BF435" s="20">
        <v>0</v>
      </c>
      <c r="BG435" s="20">
        <v>0</v>
      </c>
      <c r="BH435" s="20">
        <v>0</v>
      </c>
      <c r="BI435" s="20">
        <v>0</v>
      </c>
      <c r="BJ435" s="20">
        <v>0</v>
      </c>
      <c r="BK435" s="20">
        <v>0</v>
      </c>
      <c r="BL435" s="20">
        <v>0</v>
      </c>
      <c r="BM435" s="20">
        <v>0</v>
      </c>
      <c r="BN435" s="20">
        <v>0</v>
      </c>
      <c r="BO435" s="20">
        <v>0</v>
      </c>
      <c r="BP435" s="20">
        <v>0</v>
      </c>
      <c r="BQ435" s="20">
        <v>0</v>
      </c>
      <c r="BR435" s="20">
        <v>0</v>
      </c>
      <c r="BS435" s="20">
        <v>0</v>
      </c>
      <c r="BT435" s="20">
        <v>0</v>
      </c>
      <c r="BU435" s="20">
        <v>0</v>
      </c>
      <c r="BV435" s="20">
        <v>0</v>
      </c>
      <c r="BW435" s="20">
        <v>0</v>
      </c>
      <c r="BX435" s="20">
        <v>0</v>
      </c>
      <c r="BY435" s="20">
        <v>0</v>
      </c>
      <c r="BZ435" s="20">
        <v>0</v>
      </c>
      <c r="CA435" s="20">
        <v>0</v>
      </c>
      <c r="CB435" s="20">
        <v>0</v>
      </c>
      <c r="CC435" s="20">
        <v>0</v>
      </c>
      <c r="CD435" s="20">
        <v>0</v>
      </c>
      <c r="CE435" s="20">
        <v>0</v>
      </c>
      <c r="CF435" s="20">
        <v>0</v>
      </c>
      <c r="CG435" s="20">
        <v>0</v>
      </c>
      <c r="CH435" s="20">
        <v>0</v>
      </c>
      <c r="CI435" s="20">
        <v>0</v>
      </c>
      <c r="CJ435" s="20">
        <v>0</v>
      </c>
      <c r="CK435" s="20">
        <v>0</v>
      </c>
      <c r="CL435" s="20">
        <v>0</v>
      </c>
      <c r="CM435" s="20">
        <v>0</v>
      </c>
      <c r="CN435" s="20">
        <v>0</v>
      </c>
      <c r="CO435" s="20">
        <v>0</v>
      </c>
      <c r="CP435" s="20">
        <v>0</v>
      </c>
      <c r="CQ435" s="20">
        <v>0</v>
      </c>
      <c r="CR435" s="20">
        <v>0</v>
      </c>
      <c r="CS435" s="20">
        <v>0</v>
      </c>
      <c r="CT435" s="20">
        <v>0</v>
      </c>
      <c r="CU435" s="20">
        <v>0</v>
      </c>
      <c r="CV435" s="20">
        <v>0</v>
      </c>
      <c r="CW435" s="20">
        <v>0</v>
      </c>
      <c r="CX435" s="20">
        <v>0</v>
      </c>
      <c r="CY435" s="20">
        <v>0</v>
      </c>
      <c r="CZ435" s="20">
        <v>0</v>
      </c>
      <c r="DA435" s="20">
        <v>0</v>
      </c>
      <c r="DB435" s="20">
        <v>0</v>
      </c>
      <c r="DC435" s="20">
        <v>0</v>
      </c>
      <c r="DD435" s="20">
        <v>0</v>
      </c>
      <c r="DE435" s="20">
        <v>0</v>
      </c>
      <c r="DF435" s="20">
        <v>0</v>
      </c>
      <c r="DG435" s="16">
        <f t="shared" si="39"/>
        <v>0</v>
      </c>
      <c r="DH435" s="16">
        <f t="shared" si="40"/>
        <v>0</v>
      </c>
      <c r="DI435" s="17" t="str">
        <f t="shared" si="41"/>
        <v/>
      </c>
      <c r="DJ435" s="119" t="s">
        <v>1323</v>
      </c>
      <c r="DK435" s="119" t="s">
        <v>1525</v>
      </c>
    </row>
    <row r="436" spans="1:116" ht="45">
      <c r="A436" s="32" t="str">
        <f t="shared" si="37"/>
        <v>Essential (Original)-SCADA, NETWORK CONTROL AND PROTECTION SYSTEMS BY: 
FUNCTION-FIELD DEVICES</v>
      </c>
      <c r="B436" s="32" t="str">
        <f t="shared" si="38"/>
        <v>Essential (Original)</v>
      </c>
      <c r="C436" s="384"/>
      <c r="D436" s="14" t="s">
        <v>548</v>
      </c>
      <c r="E436" s="15" t="s">
        <v>272</v>
      </c>
      <c r="F436" s="18">
        <v>9.1</v>
      </c>
      <c r="G436" s="18">
        <v>3.0166206257996713</v>
      </c>
      <c r="H436" s="20">
        <v>59</v>
      </c>
      <c r="I436" s="20">
        <v>3</v>
      </c>
      <c r="J436" s="20">
        <v>17</v>
      </c>
      <c r="K436" s="20">
        <v>19</v>
      </c>
      <c r="L436" s="20">
        <v>7</v>
      </c>
      <c r="M436" s="20">
        <v>3</v>
      </c>
      <c r="N436" s="20">
        <v>9</v>
      </c>
      <c r="O436" s="20">
        <v>3</v>
      </c>
      <c r="P436" s="20">
        <v>0</v>
      </c>
      <c r="Q436" s="20">
        <v>3</v>
      </c>
      <c r="R436" s="20">
        <v>5</v>
      </c>
      <c r="S436" s="20">
        <v>195</v>
      </c>
      <c r="T436" s="20">
        <v>0</v>
      </c>
      <c r="U436" s="20">
        <v>0</v>
      </c>
      <c r="V436" s="20">
        <v>0</v>
      </c>
      <c r="W436" s="20">
        <v>0</v>
      </c>
      <c r="X436" s="20">
        <v>0</v>
      </c>
      <c r="Y436" s="20">
        <v>0</v>
      </c>
      <c r="Z436" s="20">
        <v>0</v>
      </c>
      <c r="AA436" s="20">
        <v>0</v>
      </c>
      <c r="AB436" s="20">
        <v>0</v>
      </c>
      <c r="AC436" s="20">
        <v>0</v>
      </c>
      <c r="AD436" s="20">
        <v>0</v>
      </c>
      <c r="AE436" s="20">
        <v>0</v>
      </c>
      <c r="AF436" s="20">
        <v>0</v>
      </c>
      <c r="AG436" s="20">
        <v>0</v>
      </c>
      <c r="AH436" s="20">
        <v>0</v>
      </c>
      <c r="AI436" s="20">
        <v>0</v>
      </c>
      <c r="AJ436" s="20">
        <v>0</v>
      </c>
      <c r="AK436" s="20">
        <v>0</v>
      </c>
      <c r="AL436" s="20">
        <v>0</v>
      </c>
      <c r="AM436" s="20">
        <v>0</v>
      </c>
      <c r="AN436" s="20">
        <v>0</v>
      </c>
      <c r="AO436" s="20">
        <v>0</v>
      </c>
      <c r="AP436" s="20">
        <v>0</v>
      </c>
      <c r="AQ436" s="20">
        <v>0</v>
      </c>
      <c r="AR436" s="20">
        <v>0</v>
      </c>
      <c r="AS436" s="20">
        <v>0</v>
      </c>
      <c r="AT436" s="20">
        <v>0</v>
      </c>
      <c r="AU436" s="20">
        <v>0</v>
      </c>
      <c r="AV436" s="20">
        <v>0</v>
      </c>
      <c r="AW436" s="20">
        <v>0</v>
      </c>
      <c r="AX436" s="20">
        <v>0</v>
      </c>
      <c r="AY436" s="20">
        <v>0</v>
      </c>
      <c r="AZ436" s="20">
        <v>0</v>
      </c>
      <c r="BA436" s="20">
        <v>0</v>
      </c>
      <c r="BB436" s="20">
        <v>0</v>
      </c>
      <c r="BC436" s="20">
        <v>0</v>
      </c>
      <c r="BD436" s="20">
        <v>0</v>
      </c>
      <c r="BE436" s="20">
        <v>0</v>
      </c>
      <c r="BF436" s="20">
        <v>0</v>
      </c>
      <c r="BG436" s="20">
        <v>0</v>
      </c>
      <c r="BH436" s="20">
        <v>0</v>
      </c>
      <c r="BI436" s="20">
        <v>0</v>
      </c>
      <c r="BJ436" s="20">
        <v>0</v>
      </c>
      <c r="BK436" s="20">
        <v>0</v>
      </c>
      <c r="BL436" s="20">
        <v>0</v>
      </c>
      <c r="BM436" s="20">
        <v>0</v>
      </c>
      <c r="BN436" s="20">
        <v>0</v>
      </c>
      <c r="BO436" s="20">
        <v>0</v>
      </c>
      <c r="BP436" s="20">
        <v>0</v>
      </c>
      <c r="BQ436" s="20">
        <v>0</v>
      </c>
      <c r="BR436" s="20">
        <v>0</v>
      </c>
      <c r="BS436" s="20">
        <v>0</v>
      </c>
      <c r="BT436" s="20">
        <v>0</v>
      </c>
      <c r="BU436" s="20">
        <v>0</v>
      </c>
      <c r="BV436" s="20">
        <v>0</v>
      </c>
      <c r="BW436" s="20">
        <v>0</v>
      </c>
      <c r="BX436" s="20">
        <v>0</v>
      </c>
      <c r="BY436" s="20">
        <v>0</v>
      </c>
      <c r="BZ436" s="20">
        <v>0</v>
      </c>
      <c r="CA436" s="20">
        <v>0</v>
      </c>
      <c r="CB436" s="20">
        <v>0</v>
      </c>
      <c r="CC436" s="20">
        <v>0</v>
      </c>
      <c r="CD436" s="20">
        <v>0</v>
      </c>
      <c r="CE436" s="20">
        <v>0</v>
      </c>
      <c r="CF436" s="20">
        <v>0</v>
      </c>
      <c r="CG436" s="20">
        <v>0</v>
      </c>
      <c r="CH436" s="20">
        <v>0</v>
      </c>
      <c r="CI436" s="20">
        <v>0</v>
      </c>
      <c r="CJ436" s="20">
        <v>0</v>
      </c>
      <c r="CK436" s="20">
        <v>0</v>
      </c>
      <c r="CL436" s="20">
        <v>0</v>
      </c>
      <c r="CM436" s="20">
        <v>0</v>
      </c>
      <c r="CN436" s="20">
        <v>0</v>
      </c>
      <c r="CO436" s="20">
        <v>0</v>
      </c>
      <c r="CP436" s="20">
        <v>0</v>
      </c>
      <c r="CQ436" s="20">
        <v>0</v>
      </c>
      <c r="CR436" s="20">
        <v>0</v>
      </c>
      <c r="CS436" s="20">
        <v>0</v>
      </c>
      <c r="CT436" s="20">
        <v>0</v>
      </c>
      <c r="CU436" s="20">
        <v>0</v>
      </c>
      <c r="CV436" s="20">
        <v>0</v>
      </c>
      <c r="CW436" s="20">
        <v>0</v>
      </c>
      <c r="CX436" s="20">
        <v>0</v>
      </c>
      <c r="CY436" s="20">
        <v>0</v>
      </c>
      <c r="CZ436" s="20">
        <v>0</v>
      </c>
      <c r="DA436" s="20">
        <v>0</v>
      </c>
      <c r="DB436" s="20">
        <v>0</v>
      </c>
      <c r="DC436" s="20">
        <v>0</v>
      </c>
      <c r="DD436" s="20">
        <v>0</v>
      </c>
      <c r="DE436" s="20">
        <v>0</v>
      </c>
      <c r="DF436" s="20">
        <v>0</v>
      </c>
      <c r="DG436" s="16">
        <f t="shared" si="39"/>
        <v>323</v>
      </c>
      <c r="DH436" s="16">
        <f t="shared" si="40"/>
        <v>2757</v>
      </c>
      <c r="DI436" s="17">
        <f t="shared" si="41"/>
        <v>8.5356037151702786</v>
      </c>
      <c r="DJ436" s="119" t="s">
        <v>659</v>
      </c>
      <c r="DK436" t="s">
        <v>659</v>
      </c>
    </row>
    <row r="437" spans="1:116">
      <c r="A437" s="32" t="str">
        <f t="shared" si="37"/>
        <v>Essential (Original)--LOCAL NETWORK WIRING ASSETS</v>
      </c>
      <c r="B437" s="32" t="str">
        <f t="shared" si="38"/>
        <v>Essential (Original)</v>
      </c>
      <c r="C437" s="384"/>
      <c r="D437" s="14"/>
      <c r="E437" s="15" t="s">
        <v>273</v>
      </c>
      <c r="F437" s="18">
        <v>0</v>
      </c>
      <c r="G437" s="18">
        <v>0</v>
      </c>
      <c r="H437" s="20">
        <v>0</v>
      </c>
      <c r="I437" s="20">
        <v>0</v>
      </c>
      <c r="J437" s="20">
        <v>0</v>
      </c>
      <c r="K437" s="20">
        <v>0</v>
      </c>
      <c r="L437" s="20">
        <v>0</v>
      </c>
      <c r="M437" s="20">
        <v>0</v>
      </c>
      <c r="N437" s="20">
        <v>0</v>
      </c>
      <c r="O437" s="20">
        <v>0</v>
      </c>
      <c r="P437" s="20">
        <v>0</v>
      </c>
      <c r="Q437" s="20">
        <v>0</v>
      </c>
      <c r="R437" s="20">
        <v>0</v>
      </c>
      <c r="S437" s="20">
        <v>0</v>
      </c>
      <c r="T437" s="20">
        <v>0</v>
      </c>
      <c r="U437" s="20">
        <v>0</v>
      </c>
      <c r="V437" s="20">
        <v>0</v>
      </c>
      <c r="W437" s="20">
        <v>0</v>
      </c>
      <c r="X437" s="20">
        <v>0</v>
      </c>
      <c r="Y437" s="20">
        <v>0</v>
      </c>
      <c r="Z437" s="20">
        <v>0</v>
      </c>
      <c r="AA437" s="20">
        <v>0</v>
      </c>
      <c r="AB437" s="20">
        <v>0</v>
      </c>
      <c r="AC437" s="20">
        <v>0</v>
      </c>
      <c r="AD437" s="20">
        <v>0</v>
      </c>
      <c r="AE437" s="20">
        <v>0</v>
      </c>
      <c r="AF437" s="20">
        <v>0</v>
      </c>
      <c r="AG437" s="20">
        <v>0</v>
      </c>
      <c r="AH437" s="20">
        <v>0</v>
      </c>
      <c r="AI437" s="20">
        <v>0</v>
      </c>
      <c r="AJ437" s="20">
        <v>0</v>
      </c>
      <c r="AK437" s="20">
        <v>0</v>
      </c>
      <c r="AL437" s="20">
        <v>0</v>
      </c>
      <c r="AM437" s="20">
        <v>0</v>
      </c>
      <c r="AN437" s="20">
        <v>0</v>
      </c>
      <c r="AO437" s="20">
        <v>0</v>
      </c>
      <c r="AP437" s="20">
        <v>0</v>
      </c>
      <c r="AQ437" s="20">
        <v>0</v>
      </c>
      <c r="AR437" s="20">
        <v>0</v>
      </c>
      <c r="AS437" s="20">
        <v>0</v>
      </c>
      <c r="AT437" s="20">
        <v>0</v>
      </c>
      <c r="AU437" s="20">
        <v>0</v>
      </c>
      <c r="AV437" s="20">
        <v>0</v>
      </c>
      <c r="AW437" s="20">
        <v>0</v>
      </c>
      <c r="AX437" s="20">
        <v>0</v>
      </c>
      <c r="AY437" s="20">
        <v>0</v>
      </c>
      <c r="AZ437" s="20">
        <v>0</v>
      </c>
      <c r="BA437" s="20">
        <v>0</v>
      </c>
      <c r="BB437" s="20">
        <v>0</v>
      </c>
      <c r="BC437" s="20">
        <v>0</v>
      </c>
      <c r="BD437" s="20">
        <v>0</v>
      </c>
      <c r="BE437" s="20">
        <v>0</v>
      </c>
      <c r="BF437" s="20">
        <v>0</v>
      </c>
      <c r="BG437" s="20">
        <v>0</v>
      </c>
      <c r="BH437" s="20">
        <v>0</v>
      </c>
      <c r="BI437" s="20">
        <v>0</v>
      </c>
      <c r="BJ437" s="20">
        <v>0</v>
      </c>
      <c r="BK437" s="20">
        <v>0</v>
      </c>
      <c r="BL437" s="20">
        <v>0</v>
      </c>
      <c r="BM437" s="20">
        <v>0</v>
      </c>
      <c r="BN437" s="20">
        <v>0</v>
      </c>
      <c r="BO437" s="20">
        <v>0</v>
      </c>
      <c r="BP437" s="20">
        <v>0</v>
      </c>
      <c r="BQ437" s="20">
        <v>0</v>
      </c>
      <c r="BR437" s="20">
        <v>0</v>
      </c>
      <c r="BS437" s="20">
        <v>0</v>
      </c>
      <c r="BT437" s="20">
        <v>0</v>
      </c>
      <c r="BU437" s="20">
        <v>0</v>
      </c>
      <c r="BV437" s="20">
        <v>0</v>
      </c>
      <c r="BW437" s="20">
        <v>0</v>
      </c>
      <c r="BX437" s="20">
        <v>0</v>
      </c>
      <c r="BY437" s="20">
        <v>0</v>
      </c>
      <c r="BZ437" s="20">
        <v>0</v>
      </c>
      <c r="CA437" s="20">
        <v>0</v>
      </c>
      <c r="CB437" s="20">
        <v>0</v>
      </c>
      <c r="CC437" s="20">
        <v>0</v>
      </c>
      <c r="CD437" s="20">
        <v>0</v>
      </c>
      <c r="CE437" s="20">
        <v>0</v>
      </c>
      <c r="CF437" s="20">
        <v>0</v>
      </c>
      <c r="CG437" s="20">
        <v>0</v>
      </c>
      <c r="CH437" s="20">
        <v>0</v>
      </c>
      <c r="CI437" s="20">
        <v>0</v>
      </c>
      <c r="CJ437" s="20">
        <v>0</v>
      </c>
      <c r="CK437" s="20">
        <v>0</v>
      </c>
      <c r="CL437" s="20">
        <v>0</v>
      </c>
      <c r="CM437" s="20">
        <v>0</v>
      </c>
      <c r="CN437" s="20">
        <v>0</v>
      </c>
      <c r="CO437" s="20">
        <v>0</v>
      </c>
      <c r="CP437" s="20">
        <v>0</v>
      </c>
      <c r="CQ437" s="20">
        <v>0</v>
      </c>
      <c r="CR437" s="20">
        <v>0</v>
      </c>
      <c r="CS437" s="20">
        <v>0</v>
      </c>
      <c r="CT437" s="20">
        <v>0</v>
      </c>
      <c r="CU437" s="20">
        <v>0</v>
      </c>
      <c r="CV437" s="20">
        <v>0</v>
      </c>
      <c r="CW437" s="20">
        <v>0</v>
      </c>
      <c r="CX437" s="20">
        <v>0</v>
      </c>
      <c r="CY437" s="20">
        <v>0</v>
      </c>
      <c r="CZ437" s="20">
        <v>0</v>
      </c>
      <c r="DA437" s="20">
        <v>0</v>
      </c>
      <c r="DB437" s="20">
        <v>0</v>
      </c>
      <c r="DC437" s="20">
        <v>0</v>
      </c>
      <c r="DD437" s="20">
        <v>0</v>
      </c>
      <c r="DE437" s="20">
        <v>0</v>
      </c>
      <c r="DF437" s="20">
        <v>0</v>
      </c>
      <c r="DG437" s="16">
        <f t="shared" si="39"/>
        <v>0</v>
      </c>
      <c r="DH437" s="16">
        <f t="shared" si="40"/>
        <v>0</v>
      </c>
      <c r="DI437" s="17" t="str">
        <f t="shared" si="41"/>
        <v/>
      </c>
      <c r="DJ437" s="119" t="s">
        <v>659</v>
      </c>
      <c r="DK437" s="44" t="s">
        <v>659</v>
      </c>
    </row>
    <row r="438" spans="1:116">
      <c r="A438" s="32" t="str">
        <f t="shared" si="37"/>
        <v>Essential (Original)--COMMUNICATIONS NETWORK ASSETS</v>
      </c>
      <c r="B438" s="32" t="str">
        <f t="shared" si="38"/>
        <v>Essential (Original)</v>
      </c>
      <c r="C438" s="384"/>
      <c r="D438" s="14"/>
      <c r="E438" s="15" t="s">
        <v>274</v>
      </c>
      <c r="F438" s="18">
        <v>6.8</v>
      </c>
      <c r="G438" s="18">
        <v>2.6076809620810595</v>
      </c>
      <c r="H438" s="20">
        <v>89</v>
      </c>
      <c r="I438" s="20">
        <v>32</v>
      </c>
      <c r="J438" s="20">
        <v>61</v>
      </c>
      <c r="K438" s="20">
        <v>58</v>
      </c>
      <c r="L438" s="20">
        <v>57</v>
      </c>
      <c r="M438" s="20">
        <v>31</v>
      </c>
      <c r="N438" s="20">
        <v>23</v>
      </c>
      <c r="O438" s="20">
        <v>21</v>
      </c>
      <c r="P438" s="20">
        <v>32</v>
      </c>
      <c r="Q438" s="20">
        <v>38</v>
      </c>
      <c r="R438" s="20">
        <v>26</v>
      </c>
      <c r="S438" s="20">
        <v>0</v>
      </c>
      <c r="T438" s="20">
        <v>20</v>
      </c>
      <c r="U438" s="20">
        <v>0</v>
      </c>
      <c r="V438" s="20">
        <v>11</v>
      </c>
      <c r="W438" s="20">
        <v>3</v>
      </c>
      <c r="X438" s="20">
        <v>24</v>
      </c>
      <c r="Y438" s="20">
        <v>0</v>
      </c>
      <c r="Z438" s="20">
        <v>0</v>
      </c>
      <c r="AA438" s="20">
        <v>27</v>
      </c>
      <c r="AB438" s="20">
        <v>0</v>
      </c>
      <c r="AC438" s="20">
        <v>0</v>
      </c>
      <c r="AD438" s="20">
        <v>0</v>
      </c>
      <c r="AE438" s="20">
        <v>0</v>
      </c>
      <c r="AF438" s="20">
        <v>0</v>
      </c>
      <c r="AG438" s="20">
        <v>0</v>
      </c>
      <c r="AH438" s="20">
        <v>0</v>
      </c>
      <c r="AI438" s="20">
        <v>0</v>
      </c>
      <c r="AJ438" s="20">
        <v>0</v>
      </c>
      <c r="AK438" s="20">
        <v>0</v>
      </c>
      <c r="AL438" s="20">
        <v>0</v>
      </c>
      <c r="AM438" s="20">
        <v>0</v>
      </c>
      <c r="AN438" s="20">
        <v>0</v>
      </c>
      <c r="AO438" s="20">
        <v>0</v>
      </c>
      <c r="AP438" s="20">
        <v>0</v>
      </c>
      <c r="AQ438" s="20">
        <v>0</v>
      </c>
      <c r="AR438" s="20">
        <v>0</v>
      </c>
      <c r="AS438" s="20">
        <v>0</v>
      </c>
      <c r="AT438" s="20">
        <v>0</v>
      </c>
      <c r="AU438" s="20">
        <v>0</v>
      </c>
      <c r="AV438" s="20">
        <v>0</v>
      </c>
      <c r="AW438" s="20">
        <v>0</v>
      </c>
      <c r="AX438" s="20">
        <v>0</v>
      </c>
      <c r="AY438" s="20">
        <v>0</v>
      </c>
      <c r="AZ438" s="20">
        <v>0</v>
      </c>
      <c r="BA438" s="20">
        <v>0</v>
      </c>
      <c r="BB438" s="20">
        <v>0</v>
      </c>
      <c r="BC438" s="20">
        <v>0</v>
      </c>
      <c r="BD438" s="20">
        <v>0</v>
      </c>
      <c r="BE438" s="20">
        <v>0</v>
      </c>
      <c r="BF438" s="20">
        <v>0</v>
      </c>
      <c r="BG438" s="20">
        <v>0</v>
      </c>
      <c r="BH438" s="20">
        <v>0</v>
      </c>
      <c r="BI438" s="20">
        <v>0</v>
      </c>
      <c r="BJ438" s="20">
        <v>0</v>
      </c>
      <c r="BK438" s="20">
        <v>0</v>
      </c>
      <c r="BL438" s="20">
        <v>0</v>
      </c>
      <c r="BM438" s="20">
        <v>0</v>
      </c>
      <c r="BN438" s="20">
        <v>0</v>
      </c>
      <c r="BO438" s="20">
        <v>0</v>
      </c>
      <c r="BP438" s="20">
        <v>0</v>
      </c>
      <c r="BQ438" s="20">
        <v>0</v>
      </c>
      <c r="BR438" s="20">
        <v>0</v>
      </c>
      <c r="BS438" s="20">
        <v>0</v>
      </c>
      <c r="BT438" s="20">
        <v>0</v>
      </c>
      <c r="BU438" s="20">
        <v>0</v>
      </c>
      <c r="BV438" s="20">
        <v>0</v>
      </c>
      <c r="BW438" s="20">
        <v>0</v>
      </c>
      <c r="BX438" s="20">
        <v>0</v>
      </c>
      <c r="BY438" s="20">
        <v>0</v>
      </c>
      <c r="BZ438" s="20">
        <v>0</v>
      </c>
      <c r="CA438" s="20">
        <v>0</v>
      </c>
      <c r="CB438" s="20">
        <v>0</v>
      </c>
      <c r="CC438" s="20">
        <v>0</v>
      </c>
      <c r="CD438" s="20">
        <v>0</v>
      </c>
      <c r="CE438" s="20">
        <v>0</v>
      </c>
      <c r="CF438" s="20">
        <v>0</v>
      </c>
      <c r="CG438" s="20">
        <v>0</v>
      </c>
      <c r="CH438" s="20">
        <v>0</v>
      </c>
      <c r="CI438" s="20">
        <v>0</v>
      </c>
      <c r="CJ438" s="20">
        <v>0</v>
      </c>
      <c r="CK438" s="20">
        <v>0</v>
      </c>
      <c r="CL438" s="20">
        <v>0</v>
      </c>
      <c r="CM438" s="20">
        <v>0</v>
      </c>
      <c r="CN438" s="20">
        <v>0</v>
      </c>
      <c r="CO438" s="20">
        <v>0</v>
      </c>
      <c r="CP438" s="20">
        <v>0</v>
      </c>
      <c r="CQ438" s="20">
        <v>0</v>
      </c>
      <c r="CR438" s="20">
        <v>0</v>
      </c>
      <c r="CS438" s="20">
        <v>0</v>
      </c>
      <c r="CT438" s="20">
        <v>0</v>
      </c>
      <c r="CU438" s="20">
        <v>0</v>
      </c>
      <c r="CV438" s="20">
        <v>0</v>
      </c>
      <c r="CW438" s="20">
        <v>0</v>
      </c>
      <c r="CX438" s="20">
        <v>0</v>
      </c>
      <c r="CY438" s="20">
        <v>0</v>
      </c>
      <c r="CZ438" s="20">
        <v>0</v>
      </c>
      <c r="DA438" s="20">
        <v>0</v>
      </c>
      <c r="DB438" s="20">
        <v>0</v>
      </c>
      <c r="DC438" s="20">
        <v>0</v>
      </c>
      <c r="DD438" s="20">
        <v>0</v>
      </c>
      <c r="DE438" s="20">
        <v>0</v>
      </c>
      <c r="DF438" s="20">
        <v>0</v>
      </c>
      <c r="DG438" s="16">
        <f t="shared" si="39"/>
        <v>553</v>
      </c>
      <c r="DH438" s="16">
        <f t="shared" si="40"/>
        <v>3743</v>
      </c>
      <c r="DI438" s="17">
        <f t="shared" si="41"/>
        <v>6.7685352622061483</v>
      </c>
      <c r="DJ438" s="119" t="s">
        <v>659</v>
      </c>
      <c r="DK438" s="44" t="s">
        <v>659</v>
      </c>
    </row>
    <row r="439" spans="1:116">
      <c r="A439" s="32" t="str">
        <f t="shared" si="37"/>
        <v>Essential (Original)--MASTER STATION ASSETS</v>
      </c>
      <c r="B439" s="32" t="str">
        <f t="shared" si="38"/>
        <v>Essential (Original)</v>
      </c>
      <c r="C439" s="384"/>
      <c r="D439" s="14"/>
      <c r="E439" s="15" t="s">
        <v>275</v>
      </c>
      <c r="F439" s="18">
        <v>5</v>
      </c>
      <c r="G439" s="18">
        <v>2.2360000000000002</v>
      </c>
      <c r="H439" s="20">
        <v>0</v>
      </c>
      <c r="I439" s="20">
        <v>8</v>
      </c>
      <c r="J439" s="20">
        <v>0</v>
      </c>
      <c r="K439" s="20">
        <v>0</v>
      </c>
      <c r="L439" s="20">
        <v>0</v>
      </c>
      <c r="M439" s="20">
        <v>0</v>
      </c>
      <c r="N439" s="20">
        <v>0</v>
      </c>
      <c r="O439" s="20">
        <v>0</v>
      </c>
      <c r="P439" s="20">
        <v>0</v>
      </c>
      <c r="Q439" s="20">
        <v>0</v>
      </c>
      <c r="R439" s="20">
        <v>0</v>
      </c>
      <c r="S439" s="20">
        <v>0</v>
      </c>
      <c r="T439" s="20">
        <v>0</v>
      </c>
      <c r="U439" s="20">
        <v>0</v>
      </c>
      <c r="V439" s="20">
        <v>0</v>
      </c>
      <c r="W439" s="20">
        <v>0</v>
      </c>
      <c r="X439" s="20">
        <v>0</v>
      </c>
      <c r="Y439" s="20">
        <v>0</v>
      </c>
      <c r="Z439" s="20">
        <v>0</v>
      </c>
      <c r="AA439" s="20">
        <v>0</v>
      </c>
      <c r="AB439" s="20">
        <v>0</v>
      </c>
      <c r="AC439" s="20">
        <v>0</v>
      </c>
      <c r="AD439" s="20">
        <v>0</v>
      </c>
      <c r="AE439" s="20">
        <v>0</v>
      </c>
      <c r="AF439" s="20">
        <v>0</v>
      </c>
      <c r="AG439" s="20">
        <v>0</v>
      </c>
      <c r="AH439" s="20">
        <v>0</v>
      </c>
      <c r="AI439" s="20">
        <v>0</v>
      </c>
      <c r="AJ439" s="20">
        <v>0</v>
      </c>
      <c r="AK439" s="20">
        <v>0</v>
      </c>
      <c r="AL439" s="20">
        <v>0</v>
      </c>
      <c r="AM439" s="20">
        <v>0</v>
      </c>
      <c r="AN439" s="20">
        <v>0</v>
      </c>
      <c r="AO439" s="20">
        <v>0</v>
      </c>
      <c r="AP439" s="20">
        <v>0</v>
      </c>
      <c r="AQ439" s="20">
        <v>0</v>
      </c>
      <c r="AR439" s="20">
        <v>0</v>
      </c>
      <c r="AS439" s="20">
        <v>0</v>
      </c>
      <c r="AT439" s="20">
        <v>0</v>
      </c>
      <c r="AU439" s="20">
        <v>0</v>
      </c>
      <c r="AV439" s="20">
        <v>0</v>
      </c>
      <c r="AW439" s="20">
        <v>0</v>
      </c>
      <c r="AX439" s="20">
        <v>0</v>
      </c>
      <c r="AY439" s="20">
        <v>0</v>
      </c>
      <c r="AZ439" s="20">
        <v>0</v>
      </c>
      <c r="BA439" s="20">
        <v>0</v>
      </c>
      <c r="BB439" s="20">
        <v>0</v>
      </c>
      <c r="BC439" s="20">
        <v>0</v>
      </c>
      <c r="BD439" s="20">
        <v>0</v>
      </c>
      <c r="BE439" s="20">
        <v>0</v>
      </c>
      <c r="BF439" s="20">
        <v>0</v>
      </c>
      <c r="BG439" s="20">
        <v>0</v>
      </c>
      <c r="BH439" s="20">
        <v>0</v>
      </c>
      <c r="BI439" s="20">
        <v>0</v>
      </c>
      <c r="BJ439" s="20">
        <v>0</v>
      </c>
      <c r="BK439" s="20">
        <v>0</v>
      </c>
      <c r="BL439" s="20">
        <v>0</v>
      </c>
      <c r="BM439" s="20">
        <v>0</v>
      </c>
      <c r="BN439" s="20">
        <v>0</v>
      </c>
      <c r="BO439" s="20">
        <v>0</v>
      </c>
      <c r="BP439" s="20">
        <v>0</v>
      </c>
      <c r="BQ439" s="20">
        <v>0</v>
      </c>
      <c r="BR439" s="20">
        <v>0</v>
      </c>
      <c r="BS439" s="20">
        <v>0</v>
      </c>
      <c r="BT439" s="20">
        <v>0</v>
      </c>
      <c r="BU439" s="20">
        <v>0</v>
      </c>
      <c r="BV439" s="20">
        <v>0</v>
      </c>
      <c r="BW439" s="20">
        <v>0</v>
      </c>
      <c r="BX439" s="20">
        <v>0</v>
      </c>
      <c r="BY439" s="20">
        <v>0</v>
      </c>
      <c r="BZ439" s="20">
        <v>0</v>
      </c>
      <c r="CA439" s="20">
        <v>0</v>
      </c>
      <c r="CB439" s="20">
        <v>0</v>
      </c>
      <c r="CC439" s="20">
        <v>0</v>
      </c>
      <c r="CD439" s="20">
        <v>0</v>
      </c>
      <c r="CE439" s="20">
        <v>0</v>
      </c>
      <c r="CF439" s="20">
        <v>0</v>
      </c>
      <c r="CG439" s="20">
        <v>0</v>
      </c>
      <c r="CH439" s="20">
        <v>0</v>
      </c>
      <c r="CI439" s="20">
        <v>0</v>
      </c>
      <c r="CJ439" s="20">
        <v>0</v>
      </c>
      <c r="CK439" s="20">
        <v>0</v>
      </c>
      <c r="CL439" s="20">
        <v>0</v>
      </c>
      <c r="CM439" s="20">
        <v>0</v>
      </c>
      <c r="CN439" s="20">
        <v>0</v>
      </c>
      <c r="CO439" s="20">
        <v>0</v>
      </c>
      <c r="CP439" s="20">
        <v>0</v>
      </c>
      <c r="CQ439" s="20">
        <v>0</v>
      </c>
      <c r="CR439" s="20">
        <v>0</v>
      </c>
      <c r="CS439" s="20">
        <v>0</v>
      </c>
      <c r="CT439" s="20">
        <v>0</v>
      </c>
      <c r="CU439" s="20">
        <v>0</v>
      </c>
      <c r="CV439" s="20">
        <v>0</v>
      </c>
      <c r="CW439" s="20">
        <v>0</v>
      </c>
      <c r="CX439" s="20">
        <v>0</v>
      </c>
      <c r="CY439" s="20">
        <v>0</v>
      </c>
      <c r="CZ439" s="20">
        <v>0</v>
      </c>
      <c r="DA439" s="20">
        <v>0</v>
      </c>
      <c r="DB439" s="20">
        <v>0</v>
      </c>
      <c r="DC439" s="20">
        <v>0</v>
      </c>
      <c r="DD439" s="20">
        <v>0</v>
      </c>
      <c r="DE439" s="20">
        <v>0</v>
      </c>
      <c r="DF439" s="20">
        <v>0</v>
      </c>
      <c r="DG439" s="16">
        <f t="shared" si="39"/>
        <v>8</v>
      </c>
      <c r="DH439" s="16">
        <f t="shared" si="40"/>
        <v>16</v>
      </c>
      <c r="DI439" s="17">
        <f t="shared" si="41"/>
        <v>2</v>
      </c>
      <c r="DJ439" s="119" t="s">
        <v>659</v>
      </c>
      <c r="DK439" s="44" t="s">
        <v>659</v>
      </c>
    </row>
    <row r="440" spans="1:116">
      <c r="A440" s="32" t="str">
        <f t="shared" si="37"/>
        <v>Essential (Original)--OTHER - PLEASE ADD A ROW IF NECESSARY AND NOMINATE THE CATEGORY</v>
      </c>
      <c r="B440" s="32" t="str">
        <f t="shared" si="38"/>
        <v>Essential (Original)</v>
      </c>
      <c r="C440" s="384"/>
      <c r="D440" s="14"/>
      <c r="E440" s="15" t="s">
        <v>170</v>
      </c>
      <c r="F440" s="18">
        <v>0</v>
      </c>
      <c r="G440" s="18">
        <v>0</v>
      </c>
      <c r="H440" s="20">
        <v>0</v>
      </c>
      <c r="I440" s="20">
        <v>0</v>
      </c>
      <c r="J440" s="20">
        <v>0</v>
      </c>
      <c r="K440" s="20">
        <v>0</v>
      </c>
      <c r="L440" s="20">
        <v>0</v>
      </c>
      <c r="M440" s="20">
        <v>0</v>
      </c>
      <c r="N440" s="20">
        <v>0</v>
      </c>
      <c r="O440" s="20">
        <v>0</v>
      </c>
      <c r="P440" s="20">
        <v>0</v>
      </c>
      <c r="Q440" s="20">
        <v>0</v>
      </c>
      <c r="R440" s="20">
        <v>0</v>
      </c>
      <c r="S440" s="20">
        <v>0</v>
      </c>
      <c r="T440" s="20">
        <v>0</v>
      </c>
      <c r="U440" s="20">
        <v>0</v>
      </c>
      <c r="V440" s="20">
        <v>0</v>
      </c>
      <c r="W440" s="20">
        <v>0</v>
      </c>
      <c r="X440" s="20">
        <v>0</v>
      </c>
      <c r="Y440" s="20">
        <v>0</v>
      </c>
      <c r="Z440" s="20">
        <v>0</v>
      </c>
      <c r="AA440" s="20">
        <v>0</v>
      </c>
      <c r="AB440" s="20">
        <v>0</v>
      </c>
      <c r="AC440" s="20">
        <v>0</v>
      </c>
      <c r="AD440" s="20">
        <v>0</v>
      </c>
      <c r="AE440" s="20">
        <v>0</v>
      </c>
      <c r="AF440" s="20">
        <v>0</v>
      </c>
      <c r="AG440" s="20">
        <v>0</v>
      </c>
      <c r="AH440" s="20">
        <v>0</v>
      </c>
      <c r="AI440" s="20">
        <v>0</v>
      </c>
      <c r="AJ440" s="20">
        <v>0</v>
      </c>
      <c r="AK440" s="20">
        <v>0</v>
      </c>
      <c r="AL440" s="20">
        <v>0</v>
      </c>
      <c r="AM440" s="20">
        <v>0</v>
      </c>
      <c r="AN440" s="20">
        <v>0</v>
      </c>
      <c r="AO440" s="20">
        <v>0</v>
      </c>
      <c r="AP440" s="20">
        <v>0</v>
      </c>
      <c r="AQ440" s="20">
        <v>0</v>
      </c>
      <c r="AR440" s="20">
        <v>0</v>
      </c>
      <c r="AS440" s="20">
        <v>0</v>
      </c>
      <c r="AT440" s="20">
        <v>0</v>
      </c>
      <c r="AU440" s="20">
        <v>0</v>
      </c>
      <c r="AV440" s="20">
        <v>0</v>
      </c>
      <c r="AW440" s="20">
        <v>0</v>
      </c>
      <c r="AX440" s="20">
        <v>0</v>
      </c>
      <c r="AY440" s="20">
        <v>0</v>
      </c>
      <c r="AZ440" s="20">
        <v>0</v>
      </c>
      <c r="BA440" s="20">
        <v>0</v>
      </c>
      <c r="BB440" s="20">
        <v>0</v>
      </c>
      <c r="BC440" s="20">
        <v>0</v>
      </c>
      <c r="BD440" s="20">
        <v>0</v>
      </c>
      <c r="BE440" s="20">
        <v>0</v>
      </c>
      <c r="BF440" s="20">
        <v>0</v>
      </c>
      <c r="BG440" s="20">
        <v>0</v>
      </c>
      <c r="BH440" s="20">
        <v>0</v>
      </c>
      <c r="BI440" s="20">
        <v>0</v>
      </c>
      <c r="BJ440" s="20">
        <v>0</v>
      </c>
      <c r="BK440" s="20">
        <v>0</v>
      </c>
      <c r="BL440" s="20">
        <v>0</v>
      </c>
      <c r="BM440" s="20">
        <v>0</v>
      </c>
      <c r="BN440" s="20">
        <v>0</v>
      </c>
      <c r="BO440" s="20">
        <v>0</v>
      </c>
      <c r="BP440" s="20">
        <v>0</v>
      </c>
      <c r="BQ440" s="20">
        <v>0</v>
      </c>
      <c r="BR440" s="20">
        <v>0</v>
      </c>
      <c r="BS440" s="20">
        <v>0</v>
      </c>
      <c r="BT440" s="20">
        <v>0</v>
      </c>
      <c r="BU440" s="20">
        <v>0</v>
      </c>
      <c r="BV440" s="20">
        <v>0</v>
      </c>
      <c r="BW440" s="20">
        <v>0</v>
      </c>
      <c r="BX440" s="20">
        <v>0</v>
      </c>
      <c r="BY440" s="20">
        <v>0</v>
      </c>
      <c r="BZ440" s="20">
        <v>0</v>
      </c>
      <c r="CA440" s="20">
        <v>0</v>
      </c>
      <c r="CB440" s="20">
        <v>0</v>
      </c>
      <c r="CC440" s="20">
        <v>0</v>
      </c>
      <c r="CD440" s="20">
        <v>0</v>
      </c>
      <c r="CE440" s="20">
        <v>0</v>
      </c>
      <c r="CF440" s="20">
        <v>0</v>
      </c>
      <c r="CG440" s="20">
        <v>0</v>
      </c>
      <c r="CH440" s="20">
        <v>0</v>
      </c>
      <c r="CI440" s="20">
        <v>0</v>
      </c>
      <c r="CJ440" s="20">
        <v>0</v>
      </c>
      <c r="CK440" s="20">
        <v>0</v>
      </c>
      <c r="CL440" s="20">
        <v>0</v>
      </c>
      <c r="CM440" s="20">
        <v>0</v>
      </c>
      <c r="CN440" s="20">
        <v>0</v>
      </c>
      <c r="CO440" s="20">
        <v>0</v>
      </c>
      <c r="CP440" s="20">
        <v>0</v>
      </c>
      <c r="CQ440" s="20">
        <v>0</v>
      </c>
      <c r="CR440" s="20">
        <v>0</v>
      </c>
      <c r="CS440" s="20">
        <v>0</v>
      </c>
      <c r="CT440" s="20">
        <v>0</v>
      </c>
      <c r="CU440" s="20">
        <v>0</v>
      </c>
      <c r="CV440" s="20">
        <v>0</v>
      </c>
      <c r="CW440" s="20">
        <v>0</v>
      </c>
      <c r="CX440" s="20">
        <v>0</v>
      </c>
      <c r="CY440" s="20">
        <v>0</v>
      </c>
      <c r="CZ440" s="20">
        <v>0</v>
      </c>
      <c r="DA440" s="20">
        <v>0</v>
      </c>
      <c r="DB440" s="20">
        <v>0</v>
      </c>
      <c r="DC440" s="20">
        <v>0</v>
      </c>
      <c r="DD440" s="20">
        <v>0</v>
      </c>
      <c r="DE440" s="20">
        <v>0</v>
      </c>
      <c r="DF440" s="20">
        <v>0</v>
      </c>
      <c r="DG440" s="16">
        <f t="shared" si="39"/>
        <v>0</v>
      </c>
      <c r="DH440" s="16">
        <f t="shared" si="40"/>
        <v>0</v>
      </c>
      <c r="DI440" s="17" t="str">
        <f t="shared" si="41"/>
        <v/>
      </c>
      <c r="DJ440" s="119" t="s">
        <v>659</v>
      </c>
      <c r="DK440" s="44" t="s">
        <v>659</v>
      </c>
    </row>
    <row r="441" spans="1:116" ht="30">
      <c r="A441" s="32" t="str">
        <f t="shared" si="37"/>
        <v>Essential (Original)-REGULATORS BY: 
HIGHEST OPERATING VOLTAGE-&lt; = 22kV</v>
      </c>
      <c r="B441" s="32" t="str">
        <f t="shared" si="38"/>
        <v>Essential (Original)</v>
      </c>
      <c r="C441" s="384"/>
      <c r="D441" s="14" t="s">
        <v>653</v>
      </c>
      <c r="E441" s="15" t="s">
        <v>513</v>
      </c>
      <c r="F441" s="18">
        <v>53.8</v>
      </c>
      <c r="G441" s="18">
        <v>7.334848328356899</v>
      </c>
      <c r="H441" s="20">
        <v>23.119377162629757</v>
      </c>
      <c r="I441" s="20">
        <v>36.186851211072664</v>
      </c>
      <c r="J441" s="20">
        <v>34.176470588235297</v>
      </c>
      <c r="K441" s="20">
        <v>29.150519031141869</v>
      </c>
      <c r="L441" s="20">
        <v>28.145328719723182</v>
      </c>
      <c r="M441" s="20">
        <v>30.155709342560552</v>
      </c>
      <c r="N441" s="20">
        <v>22.114186851211073</v>
      </c>
      <c r="O441" s="20">
        <v>32.166089965397923</v>
      </c>
      <c r="P441" s="20">
        <v>10.051903114186851</v>
      </c>
      <c r="Q441" s="20">
        <v>18.093425605536332</v>
      </c>
      <c r="R441" s="20">
        <v>22.114186851211073</v>
      </c>
      <c r="S441" s="20">
        <v>16.083044982698961</v>
      </c>
      <c r="T441" s="20">
        <v>26.134948096885815</v>
      </c>
      <c r="U441" s="20">
        <v>12.062283737024222</v>
      </c>
      <c r="V441" s="20">
        <v>19.098615916955016</v>
      </c>
      <c r="W441" s="20">
        <v>5.0259515570934257</v>
      </c>
      <c r="X441" s="20">
        <v>5.0259515570934257</v>
      </c>
      <c r="Y441" s="20">
        <v>11.057093425605537</v>
      </c>
      <c r="Z441" s="20">
        <v>13.067474048442907</v>
      </c>
      <c r="AA441" s="20">
        <v>16.083044982698961</v>
      </c>
      <c r="AB441" s="20">
        <v>8.0415224913494807</v>
      </c>
      <c r="AC441" s="20">
        <v>9.046712802768166</v>
      </c>
      <c r="AD441" s="20">
        <v>12.062283737024222</v>
      </c>
      <c r="AE441" s="20">
        <v>10.051903114186851</v>
      </c>
      <c r="AF441" s="20">
        <v>5.0259515570934257</v>
      </c>
      <c r="AG441" s="20">
        <v>5.0259515570934257</v>
      </c>
      <c r="AH441" s="20">
        <v>5.0259515570934257</v>
      </c>
      <c r="AI441" s="20">
        <v>7.0363321799307954</v>
      </c>
      <c r="AJ441" s="20">
        <v>9.046712802768166</v>
      </c>
      <c r="AK441" s="20">
        <v>4.0207612456747404</v>
      </c>
      <c r="AL441" s="20">
        <v>10.051903114186851</v>
      </c>
      <c r="AM441" s="20">
        <v>14.072664359861591</v>
      </c>
      <c r="AN441" s="20">
        <v>5.0259515570934257</v>
      </c>
      <c r="AO441" s="20">
        <v>6.031141868512111</v>
      </c>
      <c r="AP441" s="20">
        <v>2.0103806228373702</v>
      </c>
      <c r="AQ441" s="20">
        <v>3.0155709342560555</v>
      </c>
      <c r="AR441" s="20">
        <v>6.031141868512111</v>
      </c>
      <c r="AS441" s="20">
        <v>2.0103806228373702</v>
      </c>
      <c r="AT441" s="20">
        <v>4.0207612456747404</v>
      </c>
      <c r="AU441" s="20">
        <v>1.0051903114186851</v>
      </c>
      <c r="AV441" s="20">
        <v>4.0207612456747404</v>
      </c>
      <c r="AW441" s="20">
        <v>9.046712802768166</v>
      </c>
      <c r="AX441" s="20">
        <v>4.0207612456747404</v>
      </c>
      <c r="AY441" s="20">
        <v>5.0259515570934257</v>
      </c>
      <c r="AZ441" s="20">
        <v>2.0103806228373702</v>
      </c>
      <c r="BA441" s="20">
        <v>0</v>
      </c>
      <c r="BB441" s="20">
        <v>1.0051903114186851</v>
      </c>
      <c r="BC441" s="20">
        <v>0</v>
      </c>
      <c r="BD441" s="20">
        <v>1.0051903114186851</v>
      </c>
      <c r="BE441" s="20">
        <v>1.0051903114186851</v>
      </c>
      <c r="BF441" s="20">
        <v>0</v>
      </c>
      <c r="BG441" s="20">
        <v>0</v>
      </c>
      <c r="BH441" s="20">
        <v>1.0051903114186851</v>
      </c>
      <c r="BI441" s="20">
        <v>5.0259515570934257</v>
      </c>
      <c r="BJ441" s="20">
        <v>1.0051903114186851</v>
      </c>
      <c r="BK441" s="20">
        <v>2.0103806228373702</v>
      </c>
      <c r="BL441" s="20">
        <v>0</v>
      </c>
      <c r="BM441" s="20">
        <v>1.0051903114186851</v>
      </c>
      <c r="BN441" s="20">
        <v>2.0103806228373702</v>
      </c>
      <c r="BO441" s="20">
        <v>0</v>
      </c>
      <c r="BP441" s="20">
        <v>0</v>
      </c>
      <c r="BQ441" s="20">
        <v>0</v>
      </c>
      <c r="BR441" s="20">
        <v>0</v>
      </c>
      <c r="BS441" s="20">
        <v>3.0155709342560555</v>
      </c>
      <c r="BT441" s="20">
        <v>0</v>
      </c>
      <c r="BU441" s="20">
        <v>0</v>
      </c>
      <c r="BV441" s="20">
        <v>0</v>
      </c>
      <c r="BW441" s="20">
        <v>0</v>
      </c>
      <c r="BX441" s="20">
        <v>0</v>
      </c>
      <c r="BY441" s="20">
        <v>0</v>
      </c>
      <c r="BZ441" s="20">
        <v>0</v>
      </c>
      <c r="CA441" s="20">
        <v>0</v>
      </c>
      <c r="CB441" s="20">
        <v>0</v>
      </c>
      <c r="CC441" s="20">
        <v>2.0103806228373702</v>
      </c>
      <c r="CD441" s="20">
        <v>0</v>
      </c>
      <c r="CE441" s="20">
        <v>0</v>
      </c>
      <c r="CF441" s="20">
        <v>0</v>
      </c>
      <c r="CG441" s="20">
        <v>0</v>
      </c>
      <c r="CH441" s="20">
        <v>0</v>
      </c>
      <c r="CI441" s="20">
        <v>0</v>
      </c>
      <c r="CJ441" s="20">
        <v>0</v>
      </c>
      <c r="CK441" s="20">
        <v>0</v>
      </c>
      <c r="CL441" s="20">
        <v>0</v>
      </c>
      <c r="CM441" s="20">
        <v>0</v>
      </c>
      <c r="CN441" s="20">
        <v>0</v>
      </c>
      <c r="CO441" s="20">
        <v>0</v>
      </c>
      <c r="CP441" s="20">
        <v>0</v>
      </c>
      <c r="CQ441" s="20">
        <v>0</v>
      </c>
      <c r="CR441" s="20">
        <v>0</v>
      </c>
      <c r="CS441" s="20">
        <v>0</v>
      </c>
      <c r="CT441" s="20">
        <v>0</v>
      </c>
      <c r="CU441" s="20">
        <v>0</v>
      </c>
      <c r="CV441" s="20">
        <v>0</v>
      </c>
      <c r="CW441" s="20">
        <v>0</v>
      </c>
      <c r="CX441" s="20">
        <v>0</v>
      </c>
      <c r="CY441" s="20">
        <v>0</v>
      </c>
      <c r="CZ441" s="20">
        <v>0</v>
      </c>
      <c r="DA441" s="20">
        <v>0</v>
      </c>
      <c r="DB441" s="20">
        <v>0</v>
      </c>
      <c r="DC441" s="20">
        <v>0</v>
      </c>
      <c r="DD441" s="20">
        <v>0</v>
      </c>
      <c r="DE441" s="20">
        <v>0</v>
      </c>
      <c r="DF441" s="20">
        <v>0</v>
      </c>
      <c r="DG441" s="16">
        <f t="shared" si="39"/>
        <v>581.00000000000034</v>
      </c>
      <c r="DH441" s="16">
        <f t="shared" si="40"/>
        <v>9340.2283737024245</v>
      </c>
      <c r="DI441" s="17">
        <f t="shared" si="41"/>
        <v>16.076124567474043</v>
      </c>
      <c r="DJ441" s="119" t="s">
        <v>720</v>
      </c>
      <c r="DK441" s="44" t="s">
        <v>720</v>
      </c>
    </row>
    <row r="442" spans="1:116">
      <c r="A442" s="32" t="str">
        <f t="shared" si="37"/>
        <v>Essential (Original)--&gt; 22kV AND &lt;= 33kV</v>
      </c>
      <c r="B442" s="32" t="str">
        <f t="shared" si="38"/>
        <v>Essential (Original)</v>
      </c>
      <c r="C442" s="384"/>
      <c r="D442" s="14"/>
      <c r="E442" s="15" t="s">
        <v>514</v>
      </c>
      <c r="F442" s="18">
        <v>54.9</v>
      </c>
      <c r="G442" s="18">
        <v>7.4094534211370817</v>
      </c>
      <c r="H442" s="20">
        <v>0</v>
      </c>
      <c r="I442" s="20">
        <v>2</v>
      </c>
      <c r="J442" s="20">
        <v>0</v>
      </c>
      <c r="K442" s="20">
        <v>1</v>
      </c>
      <c r="L442" s="20">
        <v>0</v>
      </c>
      <c r="M442" s="20">
        <v>1</v>
      </c>
      <c r="N442" s="20">
        <v>1</v>
      </c>
      <c r="O442" s="20">
        <v>1</v>
      </c>
      <c r="P442" s="20">
        <v>3</v>
      </c>
      <c r="Q442" s="20">
        <v>0</v>
      </c>
      <c r="R442" s="20">
        <v>0</v>
      </c>
      <c r="S442" s="20">
        <v>1</v>
      </c>
      <c r="T442" s="20">
        <v>0</v>
      </c>
      <c r="U442" s="20">
        <v>2</v>
      </c>
      <c r="V442" s="20">
        <v>0</v>
      </c>
      <c r="W442" s="20">
        <v>0</v>
      </c>
      <c r="X442" s="20">
        <v>0</v>
      </c>
      <c r="Y442" s="20">
        <v>0</v>
      </c>
      <c r="Z442" s="20">
        <v>0</v>
      </c>
      <c r="AA442" s="20">
        <v>0</v>
      </c>
      <c r="AB442" s="20">
        <v>0</v>
      </c>
      <c r="AC442" s="20">
        <v>0</v>
      </c>
      <c r="AD442" s="20">
        <v>0</v>
      </c>
      <c r="AE442" s="20">
        <v>0</v>
      </c>
      <c r="AF442" s="20">
        <v>0</v>
      </c>
      <c r="AG442" s="20">
        <v>0</v>
      </c>
      <c r="AH442" s="20">
        <v>0</v>
      </c>
      <c r="AI442" s="20">
        <v>0</v>
      </c>
      <c r="AJ442" s="20">
        <v>0</v>
      </c>
      <c r="AK442" s="20">
        <v>0</v>
      </c>
      <c r="AL442" s="20">
        <v>1</v>
      </c>
      <c r="AM442" s="20">
        <v>0</v>
      </c>
      <c r="AN442" s="20">
        <v>0</v>
      </c>
      <c r="AO442" s="20">
        <v>0</v>
      </c>
      <c r="AP442" s="20">
        <v>0</v>
      </c>
      <c r="AQ442" s="20">
        <v>0</v>
      </c>
      <c r="AR442" s="20">
        <v>0</v>
      </c>
      <c r="AS442" s="20">
        <v>1</v>
      </c>
      <c r="AT442" s="20">
        <v>0</v>
      </c>
      <c r="AU442" s="20">
        <v>0</v>
      </c>
      <c r="AV442" s="20">
        <v>0</v>
      </c>
      <c r="AW442" s="20">
        <v>1</v>
      </c>
      <c r="AX442" s="20">
        <v>0</v>
      </c>
      <c r="AY442" s="20">
        <v>0</v>
      </c>
      <c r="AZ442" s="20">
        <v>0</v>
      </c>
      <c r="BA442" s="20">
        <v>0</v>
      </c>
      <c r="BB442" s="20">
        <v>0</v>
      </c>
      <c r="BC442" s="20">
        <v>0</v>
      </c>
      <c r="BD442" s="20">
        <v>0</v>
      </c>
      <c r="BE442" s="20">
        <v>0</v>
      </c>
      <c r="BF442" s="20">
        <v>0</v>
      </c>
      <c r="BG442" s="20">
        <v>0</v>
      </c>
      <c r="BH442" s="20">
        <v>0</v>
      </c>
      <c r="BI442" s="20">
        <v>0</v>
      </c>
      <c r="BJ442" s="20">
        <v>0</v>
      </c>
      <c r="BK442" s="20">
        <v>0</v>
      </c>
      <c r="BL442" s="20">
        <v>0</v>
      </c>
      <c r="BM442" s="20">
        <v>0</v>
      </c>
      <c r="BN442" s="20">
        <v>0</v>
      </c>
      <c r="BO442" s="20">
        <v>0</v>
      </c>
      <c r="BP442" s="20">
        <v>0</v>
      </c>
      <c r="BQ442" s="20">
        <v>0</v>
      </c>
      <c r="BR442" s="20">
        <v>0</v>
      </c>
      <c r="BS442" s="20">
        <v>0</v>
      </c>
      <c r="BT442" s="20">
        <v>0</v>
      </c>
      <c r="BU442" s="20">
        <v>0</v>
      </c>
      <c r="BV442" s="20">
        <v>0</v>
      </c>
      <c r="BW442" s="20">
        <v>0</v>
      </c>
      <c r="BX442" s="20">
        <v>0</v>
      </c>
      <c r="BY442" s="20">
        <v>0</v>
      </c>
      <c r="BZ442" s="20">
        <v>0</v>
      </c>
      <c r="CA442" s="20">
        <v>0</v>
      </c>
      <c r="CB442" s="20">
        <v>0</v>
      </c>
      <c r="CC442" s="20">
        <v>0</v>
      </c>
      <c r="CD442" s="20">
        <v>0</v>
      </c>
      <c r="CE442" s="20">
        <v>0</v>
      </c>
      <c r="CF442" s="20">
        <v>0</v>
      </c>
      <c r="CG442" s="20">
        <v>0</v>
      </c>
      <c r="CH442" s="20">
        <v>0</v>
      </c>
      <c r="CI442" s="20">
        <v>0</v>
      </c>
      <c r="CJ442" s="20">
        <v>0</v>
      </c>
      <c r="CK442" s="20">
        <v>0</v>
      </c>
      <c r="CL442" s="20">
        <v>0</v>
      </c>
      <c r="CM442" s="20">
        <v>0</v>
      </c>
      <c r="CN442" s="20">
        <v>0</v>
      </c>
      <c r="CO442" s="20">
        <v>0</v>
      </c>
      <c r="CP442" s="20">
        <v>0</v>
      </c>
      <c r="CQ442" s="20">
        <v>0</v>
      </c>
      <c r="CR442" s="20">
        <v>0</v>
      </c>
      <c r="CS442" s="20">
        <v>0</v>
      </c>
      <c r="CT442" s="20">
        <v>0</v>
      </c>
      <c r="CU442" s="20">
        <v>0</v>
      </c>
      <c r="CV442" s="20">
        <v>0</v>
      </c>
      <c r="CW442" s="20">
        <v>0</v>
      </c>
      <c r="CX442" s="20">
        <v>0</v>
      </c>
      <c r="CY442" s="20">
        <v>0</v>
      </c>
      <c r="CZ442" s="20">
        <v>0</v>
      </c>
      <c r="DA442" s="20">
        <v>0</v>
      </c>
      <c r="DB442" s="20">
        <v>0</v>
      </c>
      <c r="DC442" s="20">
        <v>0</v>
      </c>
      <c r="DD442" s="20">
        <v>0</v>
      </c>
      <c r="DE442" s="20">
        <v>0</v>
      </c>
      <c r="DF442" s="20">
        <v>0</v>
      </c>
      <c r="DG442" s="16">
        <f t="shared" si="39"/>
        <v>15</v>
      </c>
      <c r="DH442" s="16">
        <f t="shared" si="40"/>
        <v>207</v>
      </c>
      <c r="DI442" s="17">
        <f t="shared" si="41"/>
        <v>13.8</v>
      </c>
      <c r="DJ442" s="119" t="s">
        <v>720</v>
      </c>
      <c r="DK442" s="44" t="s">
        <v>720</v>
      </c>
      <c r="DL442" s="44"/>
    </row>
    <row r="443" spans="1:116">
      <c r="A443" s="32" t="str">
        <f t="shared" si="37"/>
        <v>Essential (Original)--LV</v>
      </c>
      <c r="B443" s="32" t="str">
        <f t="shared" si="38"/>
        <v>Essential (Original)</v>
      </c>
      <c r="C443" s="384"/>
      <c r="D443" s="14"/>
      <c r="E443" s="15" t="s">
        <v>515</v>
      </c>
      <c r="F443" s="18">
        <v>53.8</v>
      </c>
      <c r="G443" s="18">
        <v>7.334848328356899</v>
      </c>
      <c r="H443" s="20">
        <v>3</v>
      </c>
      <c r="I443" s="20">
        <v>13</v>
      </c>
      <c r="J443" s="20">
        <v>1</v>
      </c>
      <c r="K443" s="20">
        <v>0</v>
      </c>
      <c r="L443" s="20">
        <v>0</v>
      </c>
      <c r="M443" s="20">
        <v>0</v>
      </c>
      <c r="N443" s="20">
        <v>0</v>
      </c>
      <c r="O443" s="20">
        <v>0</v>
      </c>
      <c r="P443" s="20">
        <v>0</v>
      </c>
      <c r="Q443" s="20">
        <v>0</v>
      </c>
      <c r="R443" s="20">
        <v>1</v>
      </c>
      <c r="S443" s="20">
        <v>0</v>
      </c>
      <c r="T443" s="20">
        <v>0</v>
      </c>
      <c r="U443" s="20">
        <v>0</v>
      </c>
      <c r="V443" s="20">
        <v>0</v>
      </c>
      <c r="W443" s="20">
        <v>0</v>
      </c>
      <c r="X443" s="20">
        <v>0</v>
      </c>
      <c r="Y443" s="20">
        <v>0</v>
      </c>
      <c r="Z443" s="20">
        <v>0</v>
      </c>
      <c r="AA443" s="20">
        <v>0</v>
      </c>
      <c r="AB443" s="20">
        <v>0</v>
      </c>
      <c r="AC443" s="20">
        <v>1</v>
      </c>
      <c r="AD443" s="20">
        <v>0</v>
      </c>
      <c r="AE443" s="20">
        <v>0</v>
      </c>
      <c r="AF443" s="20">
        <v>0</v>
      </c>
      <c r="AG443" s="20">
        <v>0</v>
      </c>
      <c r="AH443" s="20">
        <v>0</v>
      </c>
      <c r="AI443" s="20">
        <v>0</v>
      </c>
      <c r="AJ443" s="20">
        <v>0</v>
      </c>
      <c r="AK443" s="20">
        <v>0</v>
      </c>
      <c r="AL443" s="20">
        <v>0</v>
      </c>
      <c r="AM443" s="20">
        <v>0</v>
      </c>
      <c r="AN443" s="20">
        <v>0</v>
      </c>
      <c r="AO443" s="20">
        <v>0</v>
      </c>
      <c r="AP443" s="20">
        <v>0</v>
      </c>
      <c r="AQ443" s="20">
        <v>0</v>
      </c>
      <c r="AR443" s="20">
        <v>0</v>
      </c>
      <c r="AS443" s="20">
        <v>0</v>
      </c>
      <c r="AT443" s="20">
        <v>0</v>
      </c>
      <c r="AU443" s="20">
        <v>0</v>
      </c>
      <c r="AV443" s="20">
        <v>0</v>
      </c>
      <c r="AW443" s="20">
        <v>0</v>
      </c>
      <c r="AX443" s="20">
        <v>0</v>
      </c>
      <c r="AY443" s="20">
        <v>0</v>
      </c>
      <c r="AZ443" s="20">
        <v>0</v>
      </c>
      <c r="BA443" s="20">
        <v>0</v>
      </c>
      <c r="BB443" s="20">
        <v>0</v>
      </c>
      <c r="BC443" s="20">
        <v>0</v>
      </c>
      <c r="BD443" s="20">
        <v>0</v>
      </c>
      <c r="BE443" s="20">
        <v>0</v>
      </c>
      <c r="BF443" s="20">
        <v>0</v>
      </c>
      <c r="BG443" s="20">
        <v>0</v>
      </c>
      <c r="BH443" s="20">
        <v>0</v>
      </c>
      <c r="BI443" s="20">
        <v>0</v>
      </c>
      <c r="BJ443" s="20">
        <v>0</v>
      </c>
      <c r="BK443" s="20">
        <v>0</v>
      </c>
      <c r="BL443" s="20">
        <v>0</v>
      </c>
      <c r="BM443" s="20">
        <v>0</v>
      </c>
      <c r="BN443" s="20">
        <v>0</v>
      </c>
      <c r="BO443" s="20">
        <v>0</v>
      </c>
      <c r="BP443" s="20">
        <v>0</v>
      </c>
      <c r="BQ443" s="20">
        <v>0</v>
      </c>
      <c r="BR443" s="20">
        <v>0</v>
      </c>
      <c r="BS443" s="20">
        <v>0</v>
      </c>
      <c r="BT443" s="20">
        <v>0</v>
      </c>
      <c r="BU443" s="20">
        <v>0</v>
      </c>
      <c r="BV443" s="20">
        <v>0</v>
      </c>
      <c r="BW443" s="20">
        <v>0</v>
      </c>
      <c r="BX443" s="20">
        <v>0</v>
      </c>
      <c r="BY443" s="20">
        <v>0</v>
      </c>
      <c r="BZ443" s="20">
        <v>0</v>
      </c>
      <c r="CA443" s="20">
        <v>0</v>
      </c>
      <c r="CB443" s="20">
        <v>0</v>
      </c>
      <c r="CC443" s="20">
        <v>0</v>
      </c>
      <c r="CD443" s="20">
        <v>0</v>
      </c>
      <c r="CE443" s="20">
        <v>0</v>
      </c>
      <c r="CF443" s="20">
        <v>0</v>
      </c>
      <c r="CG443" s="20">
        <v>0</v>
      </c>
      <c r="CH443" s="20">
        <v>0</v>
      </c>
      <c r="CI443" s="20">
        <v>0</v>
      </c>
      <c r="CJ443" s="20">
        <v>0</v>
      </c>
      <c r="CK443" s="20">
        <v>0</v>
      </c>
      <c r="CL443" s="20">
        <v>0</v>
      </c>
      <c r="CM443" s="20">
        <v>0</v>
      </c>
      <c r="CN443" s="20">
        <v>0</v>
      </c>
      <c r="CO443" s="20">
        <v>0</v>
      </c>
      <c r="CP443" s="20">
        <v>0</v>
      </c>
      <c r="CQ443" s="20">
        <v>0</v>
      </c>
      <c r="CR443" s="20">
        <v>0</v>
      </c>
      <c r="CS443" s="20">
        <v>0</v>
      </c>
      <c r="CT443" s="20">
        <v>0</v>
      </c>
      <c r="CU443" s="20">
        <v>0</v>
      </c>
      <c r="CV443" s="20">
        <v>0</v>
      </c>
      <c r="CW443" s="20">
        <v>0</v>
      </c>
      <c r="CX443" s="20">
        <v>0</v>
      </c>
      <c r="CY443" s="20">
        <v>0</v>
      </c>
      <c r="CZ443" s="20">
        <v>0</v>
      </c>
      <c r="DA443" s="20">
        <v>0</v>
      </c>
      <c r="DB443" s="20">
        <v>0</v>
      </c>
      <c r="DC443" s="20">
        <v>0</v>
      </c>
      <c r="DD443" s="20">
        <v>0</v>
      </c>
      <c r="DE443" s="20">
        <v>0</v>
      </c>
      <c r="DF443" s="20">
        <v>0</v>
      </c>
      <c r="DG443" s="16">
        <f t="shared" si="39"/>
        <v>19</v>
      </c>
      <c r="DH443" s="16">
        <f t="shared" si="40"/>
        <v>65</v>
      </c>
      <c r="DI443" s="17">
        <f t="shared" si="41"/>
        <v>3.4210526315789473</v>
      </c>
      <c r="DJ443" s="119" t="s">
        <v>720</v>
      </c>
      <c r="DK443" s="44" t="s">
        <v>720</v>
      </c>
      <c r="DL443" s="44"/>
    </row>
    <row r="444" spans="1:116" ht="30">
      <c r="A444" s="32" t="str">
        <f t="shared" si="37"/>
        <v>Essential (Original)-REACTORS BY: 
HIGHEST OPERATING VOLTAGE-SWER</v>
      </c>
      <c r="B444" s="32" t="str">
        <f t="shared" si="38"/>
        <v>Essential (Original)</v>
      </c>
      <c r="C444" s="384"/>
      <c r="D444" s="14" t="s">
        <v>654</v>
      </c>
      <c r="E444" s="15" t="s">
        <v>516</v>
      </c>
      <c r="F444" s="18">
        <v>53.8</v>
      </c>
      <c r="G444" s="18">
        <v>7.334848328356899</v>
      </c>
      <c r="H444" s="20">
        <v>3</v>
      </c>
      <c r="I444" s="20">
        <v>1</v>
      </c>
      <c r="J444" s="20">
        <v>5</v>
      </c>
      <c r="K444" s="20">
        <v>0</v>
      </c>
      <c r="L444" s="20">
        <v>2</v>
      </c>
      <c r="M444" s="20">
        <v>0</v>
      </c>
      <c r="N444" s="20">
        <v>3</v>
      </c>
      <c r="O444" s="20">
        <v>5</v>
      </c>
      <c r="P444" s="20">
        <v>6</v>
      </c>
      <c r="Q444" s="20">
        <v>5</v>
      </c>
      <c r="R444" s="20">
        <v>1</v>
      </c>
      <c r="S444" s="20">
        <v>0</v>
      </c>
      <c r="T444" s="20">
        <v>0</v>
      </c>
      <c r="U444" s="20">
        <v>0</v>
      </c>
      <c r="V444" s="20">
        <v>3</v>
      </c>
      <c r="W444" s="20">
        <v>1</v>
      </c>
      <c r="X444" s="20">
        <v>0</v>
      </c>
      <c r="Y444" s="20">
        <v>2</v>
      </c>
      <c r="Z444" s="20">
        <v>17</v>
      </c>
      <c r="AA444" s="20">
        <v>48</v>
      </c>
      <c r="AB444" s="20">
        <v>14</v>
      </c>
      <c r="AC444" s="20">
        <v>22</v>
      </c>
      <c r="AD444" s="20">
        <v>5</v>
      </c>
      <c r="AE444" s="20">
        <v>8</v>
      </c>
      <c r="AF444" s="20">
        <v>12</v>
      </c>
      <c r="AG444" s="20">
        <v>15</v>
      </c>
      <c r="AH444" s="20">
        <v>3</v>
      </c>
      <c r="AI444" s="20">
        <v>2</v>
      </c>
      <c r="AJ444" s="20">
        <v>2</v>
      </c>
      <c r="AK444" s="20">
        <v>4</v>
      </c>
      <c r="AL444" s="20">
        <v>1</v>
      </c>
      <c r="AM444" s="20">
        <v>12</v>
      </c>
      <c r="AN444" s="20">
        <v>8</v>
      </c>
      <c r="AO444" s="20">
        <v>3</v>
      </c>
      <c r="AP444" s="20">
        <v>4</v>
      </c>
      <c r="AQ444" s="20">
        <v>6</v>
      </c>
      <c r="AR444" s="20">
        <v>0</v>
      </c>
      <c r="AS444" s="20">
        <v>0</v>
      </c>
      <c r="AT444" s="20">
        <v>3</v>
      </c>
      <c r="AU444" s="20">
        <v>2</v>
      </c>
      <c r="AV444" s="20">
        <v>0</v>
      </c>
      <c r="AW444" s="20">
        <v>2</v>
      </c>
      <c r="AX444" s="20">
        <v>4</v>
      </c>
      <c r="AY444" s="20">
        <v>3</v>
      </c>
      <c r="AZ444" s="20">
        <v>0</v>
      </c>
      <c r="BA444" s="20">
        <v>0</v>
      </c>
      <c r="BB444" s="20">
        <v>0</v>
      </c>
      <c r="BC444" s="20">
        <v>0</v>
      </c>
      <c r="BD444" s="20">
        <v>10</v>
      </c>
      <c r="BE444" s="20">
        <v>1</v>
      </c>
      <c r="BF444" s="20">
        <v>0</v>
      </c>
      <c r="BG444" s="20">
        <v>0</v>
      </c>
      <c r="BH444" s="20">
        <v>2</v>
      </c>
      <c r="BI444" s="20">
        <v>9</v>
      </c>
      <c r="BJ444" s="20">
        <v>0</v>
      </c>
      <c r="BK444" s="20">
        <v>2</v>
      </c>
      <c r="BL444" s="20">
        <v>0</v>
      </c>
      <c r="BM444" s="20">
        <v>0</v>
      </c>
      <c r="BN444" s="20">
        <v>1</v>
      </c>
      <c r="BO444" s="20">
        <v>0</v>
      </c>
      <c r="BP444" s="20">
        <v>0</v>
      </c>
      <c r="BQ444" s="20">
        <v>0</v>
      </c>
      <c r="BR444" s="20">
        <v>0</v>
      </c>
      <c r="BS444" s="20">
        <v>0</v>
      </c>
      <c r="BT444" s="20">
        <v>0</v>
      </c>
      <c r="BU444" s="20">
        <v>0</v>
      </c>
      <c r="BV444" s="20">
        <v>0</v>
      </c>
      <c r="BW444" s="20">
        <v>0</v>
      </c>
      <c r="BX444" s="20">
        <v>0</v>
      </c>
      <c r="BY444" s="20">
        <v>0</v>
      </c>
      <c r="BZ444" s="20">
        <v>0</v>
      </c>
      <c r="CA444" s="20">
        <v>0</v>
      </c>
      <c r="CB444" s="20">
        <v>0</v>
      </c>
      <c r="CC444" s="20">
        <v>0</v>
      </c>
      <c r="CD444" s="20">
        <v>0</v>
      </c>
      <c r="CE444" s="20">
        <v>0</v>
      </c>
      <c r="CF444" s="20">
        <v>0</v>
      </c>
      <c r="CG444" s="20">
        <v>0</v>
      </c>
      <c r="CH444" s="20">
        <v>0</v>
      </c>
      <c r="CI444" s="20">
        <v>0</v>
      </c>
      <c r="CJ444" s="20">
        <v>0</v>
      </c>
      <c r="CK444" s="20">
        <v>0</v>
      </c>
      <c r="CL444" s="20">
        <v>0</v>
      </c>
      <c r="CM444" s="20">
        <v>0</v>
      </c>
      <c r="CN444" s="20">
        <v>0</v>
      </c>
      <c r="CO444" s="20">
        <v>0</v>
      </c>
      <c r="CP444" s="20">
        <v>0</v>
      </c>
      <c r="CQ444" s="20">
        <v>0</v>
      </c>
      <c r="CR444" s="20">
        <v>0</v>
      </c>
      <c r="CS444" s="20">
        <v>0</v>
      </c>
      <c r="CT444" s="20">
        <v>0</v>
      </c>
      <c r="CU444" s="20">
        <v>0</v>
      </c>
      <c r="CV444" s="20">
        <v>0</v>
      </c>
      <c r="CW444" s="20">
        <v>0</v>
      </c>
      <c r="CX444" s="20">
        <v>0</v>
      </c>
      <c r="CY444" s="20">
        <v>0</v>
      </c>
      <c r="CZ444" s="20">
        <v>0</v>
      </c>
      <c r="DA444" s="20">
        <v>0</v>
      </c>
      <c r="DB444" s="20">
        <v>0</v>
      </c>
      <c r="DC444" s="20">
        <v>0</v>
      </c>
      <c r="DD444" s="20">
        <v>0</v>
      </c>
      <c r="DE444" s="20">
        <v>0</v>
      </c>
      <c r="DF444" s="20">
        <v>0</v>
      </c>
      <c r="DG444" s="16">
        <f t="shared" si="39"/>
        <v>262</v>
      </c>
      <c r="DH444" s="16">
        <f t="shared" si="40"/>
        <v>6701</v>
      </c>
      <c r="DI444" s="17">
        <f t="shared" si="41"/>
        <v>25.576335877862597</v>
      </c>
      <c r="DJ444" s="119" t="s">
        <v>720</v>
      </c>
      <c r="DK444" s="44" t="s">
        <v>720</v>
      </c>
    </row>
    <row r="445" spans="1:116" ht="45">
      <c r="A445" s="32" t="str">
        <f t="shared" si="37"/>
        <v>Essential (Original)-LINE FAULT INDICATORS BY: 
HIGHEST OPERATING VOLTAGE; PHASES;-11kV; 1 PHASE</v>
      </c>
      <c r="B445" s="32" t="str">
        <f t="shared" si="38"/>
        <v>Essential (Original)</v>
      </c>
      <c r="C445" s="384"/>
      <c r="D445" s="14" t="s">
        <v>655</v>
      </c>
      <c r="E445" s="15" t="s">
        <v>517</v>
      </c>
      <c r="F445" s="18">
        <v>53.8</v>
      </c>
      <c r="G445" s="18">
        <v>7.334848328356899</v>
      </c>
      <c r="H445" s="20">
        <v>1.0169491525423728</v>
      </c>
      <c r="I445" s="20">
        <v>6.101694915254237</v>
      </c>
      <c r="J445" s="20">
        <v>0</v>
      </c>
      <c r="K445" s="20">
        <v>0</v>
      </c>
      <c r="L445" s="20">
        <v>1.0169491525423728</v>
      </c>
      <c r="M445" s="20">
        <v>1.0169491525423728</v>
      </c>
      <c r="N445" s="20">
        <v>2.0338983050847457</v>
      </c>
      <c r="O445" s="20">
        <v>0</v>
      </c>
      <c r="P445" s="20">
        <v>2.0338983050847457</v>
      </c>
      <c r="Q445" s="20">
        <v>2.0338983050847457</v>
      </c>
      <c r="R445" s="20">
        <v>3.0508474576271185</v>
      </c>
      <c r="S445" s="20">
        <v>1.0169491525423728</v>
      </c>
      <c r="T445" s="20">
        <v>0</v>
      </c>
      <c r="U445" s="20">
        <v>1.0169491525423728</v>
      </c>
      <c r="V445" s="20">
        <v>2.0338983050847457</v>
      </c>
      <c r="W445" s="20">
        <v>0</v>
      </c>
      <c r="X445" s="20">
        <v>4.0677966101694913</v>
      </c>
      <c r="Y445" s="20">
        <v>1.0169491525423728</v>
      </c>
      <c r="Z445" s="20">
        <v>3.0508474576271185</v>
      </c>
      <c r="AA445" s="20">
        <v>3.0508474576271185</v>
      </c>
      <c r="AB445" s="20">
        <v>2.0338983050847457</v>
      </c>
      <c r="AC445" s="20">
        <v>6.101694915254237</v>
      </c>
      <c r="AD445" s="20">
        <v>2.0338983050847457</v>
      </c>
      <c r="AE445" s="20">
        <v>3.0508474576271185</v>
      </c>
      <c r="AF445" s="20">
        <v>5.0847457627118642</v>
      </c>
      <c r="AG445" s="20">
        <v>0</v>
      </c>
      <c r="AH445" s="20">
        <v>5.0847457627118642</v>
      </c>
      <c r="AI445" s="20">
        <v>11.186440677966102</v>
      </c>
      <c r="AJ445" s="20">
        <v>5.0847457627118642</v>
      </c>
      <c r="AK445" s="20">
        <v>2.0338983050847457</v>
      </c>
      <c r="AL445" s="20">
        <v>1.0169491525423728</v>
      </c>
      <c r="AM445" s="20">
        <v>4.0677966101694913</v>
      </c>
      <c r="AN445" s="20">
        <v>4.0677966101694913</v>
      </c>
      <c r="AO445" s="20">
        <v>2.0338983050847457</v>
      </c>
      <c r="AP445" s="20">
        <v>1.0169491525423728</v>
      </c>
      <c r="AQ445" s="20">
        <v>2.0338983050847457</v>
      </c>
      <c r="AR445" s="20">
        <v>3.0508474576271185</v>
      </c>
      <c r="AS445" s="20">
        <v>2.0338983050847457</v>
      </c>
      <c r="AT445" s="20">
        <v>2.0338983050847457</v>
      </c>
      <c r="AU445" s="20">
        <v>1.0169491525423728</v>
      </c>
      <c r="AV445" s="20">
        <v>1.0169491525423728</v>
      </c>
      <c r="AW445" s="20">
        <v>5.0847457627118642</v>
      </c>
      <c r="AX445" s="20">
        <v>2.0338983050847457</v>
      </c>
      <c r="AY445" s="20">
        <v>9.1525423728813564</v>
      </c>
      <c r="AZ445" s="20">
        <v>3.0508474576271185</v>
      </c>
      <c r="BA445" s="20">
        <v>3.0508474576271185</v>
      </c>
      <c r="BB445" s="20">
        <v>2.0338983050847457</v>
      </c>
      <c r="BC445" s="20">
        <v>3.0508474576271185</v>
      </c>
      <c r="BD445" s="20">
        <v>1.0169491525423728</v>
      </c>
      <c r="BE445" s="20">
        <v>1.0169491525423728</v>
      </c>
      <c r="BF445" s="20">
        <v>2.0338983050847457</v>
      </c>
      <c r="BG445" s="20">
        <v>1.0169491525423728</v>
      </c>
      <c r="BH445" s="20">
        <v>1.0169491525423728</v>
      </c>
      <c r="BI445" s="20">
        <v>29.491525423728813</v>
      </c>
      <c r="BJ445" s="20">
        <v>7.1186440677966099</v>
      </c>
      <c r="BK445" s="20">
        <v>0</v>
      </c>
      <c r="BL445" s="20">
        <v>1.0169491525423728</v>
      </c>
      <c r="BM445" s="20">
        <v>1.0169491525423728</v>
      </c>
      <c r="BN445" s="20">
        <v>2.0338983050847457</v>
      </c>
      <c r="BO445" s="20">
        <v>0</v>
      </c>
      <c r="BP445" s="20">
        <v>0</v>
      </c>
      <c r="BQ445" s="20">
        <v>0</v>
      </c>
      <c r="BR445" s="20">
        <v>6.101694915254237</v>
      </c>
      <c r="BS445" s="20">
        <v>0</v>
      </c>
      <c r="BT445" s="20">
        <v>0</v>
      </c>
      <c r="BU445" s="20">
        <v>0</v>
      </c>
      <c r="BV445" s="20">
        <v>0</v>
      </c>
      <c r="BW445" s="20">
        <v>1.0169491525423728</v>
      </c>
      <c r="BX445" s="20">
        <v>0</v>
      </c>
      <c r="BY445" s="20">
        <v>0</v>
      </c>
      <c r="BZ445" s="20">
        <v>0</v>
      </c>
      <c r="CA445" s="20">
        <v>0</v>
      </c>
      <c r="CB445" s="20">
        <v>0</v>
      </c>
      <c r="CC445" s="20">
        <v>0</v>
      </c>
      <c r="CD445" s="20">
        <v>0</v>
      </c>
      <c r="CE445" s="20">
        <v>0</v>
      </c>
      <c r="CF445" s="20">
        <v>0</v>
      </c>
      <c r="CG445" s="20">
        <v>0</v>
      </c>
      <c r="CH445" s="20">
        <v>0</v>
      </c>
      <c r="CI445" s="20">
        <v>0</v>
      </c>
      <c r="CJ445" s="20">
        <v>0</v>
      </c>
      <c r="CK445" s="20">
        <v>0</v>
      </c>
      <c r="CL445" s="20">
        <v>0</v>
      </c>
      <c r="CM445" s="20">
        <v>0</v>
      </c>
      <c r="CN445" s="20">
        <v>0</v>
      </c>
      <c r="CO445" s="20">
        <v>0</v>
      </c>
      <c r="CP445" s="20">
        <v>0</v>
      </c>
      <c r="CQ445" s="20">
        <v>0</v>
      </c>
      <c r="CR445" s="20">
        <v>0</v>
      </c>
      <c r="CS445" s="20">
        <v>0</v>
      </c>
      <c r="CT445" s="20">
        <v>0</v>
      </c>
      <c r="CU445" s="20">
        <v>0</v>
      </c>
      <c r="CV445" s="20">
        <v>0</v>
      </c>
      <c r="CW445" s="20">
        <v>0</v>
      </c>
      <c r="CX445" s="20">
        <v>0</v>
      </c>
      <c r="CY445" s="20">
        <v>0</v>
      </c>
      <c r="CZ445" s="20">
        <v>0</v>
      </c>
      <c r="DA445" s="20">
        <v>0</v>
      </c>
      <c r="DB445" s="20">
        <v>0</v>
      </c>
      <c r="DC445" s="20">
        <v>0</v>
      </c>
      <c r="DD445" s="20">
        <v>0</v>
      </c>
      <c r="DE445" s="20">
        <v>0</v>
      </c>
      <c r="DF445" s="20">
        <v>0</v>
      </c>
      <c r="DG445" s="16">
        <f t="shared" si="39"/>
        <v>179.99999999999991</v>
      </c>
      <c r="DH445" s="16">
        <f t="shared" si="40"/>
        <v>6492.203389830509</v>
      </c>
      <c r="DI445" s="17">
        <f t="shared" si="41"/>
        <v>36.067796610169509</v>
      </c>
      <c r="DJ445" s="119" t="s">
        <v>720</v>
      </c>
      <c r="DK445" s="44" t="s">
        <v>720</v>
      </c>
    </row>
    <row r="446" spans="1:116">
      <c r="A446" s="32" t="str">
        <f t="shared" si="37"/>
        <v>Essential (Original)--11kV; 3 PHASE</v>
      </c>
      <c r="B446" s="32" t="str">
        <f t="shared" si="38"/>
        <v>Essential (Original)</v>
      </c>
      <c r="C446" s="384"/>
      <c r="D446" s="14"/>
      <c r="E446" s="15" t="s">
        <v>518</v>
      </c>
      <c r="F446" s="18">
        <v>53.8</v>
      </c>
      <c r="G446" s="18">
        <v>7.334848328356899</v>
      </c>
      <c r="H446" s="20">
        <v>7</v>
      </c>
      <c r="I446" s="20">
        <v>12</v>
      </c>
      <c r="J446" s="20">
        <v>3</v>
      </c>
      <c r="K446" s="20">
        <v>1</v>
      </c>
      <c r="L446" s="20">
        <v>2</v>
      </c>
      <c r="M446" s="20">
        <v>2</v>
      </c>
      <c r="N446" s="20">
        <v>9</v>
      </c>
      <c r="O446" s="20">
        <v>2</v>
      </c>
      <c r="P446" s="20">
        <v>1</v>
      </c>
      <c r="Q446" s="20">
        <v>11</v>
      </c>
      <c r="R446" s="20">
        <v>4</v>
      </c>
      <c r="S446" s="20">
        <v>1</v>
      </c>
      <c r="T446" s="20">
        <v>2</v>
      </c>
      <c r="U446" s="20">
        <v>3</v>
      </c>
      <c r="V446" s="20">
        <v>0</v>
      </c>
      <c r="W446" s="20">
        <v>1</v>
      </c>
      <c r="X446" s="20">
        <v>8</v>
      </c>
      <c r="Y446" s="20">
        <v>2</v>
      </c>
      <c r="Z446" s="20">
        <v>11</v>
      </c>
      <c r="AA446" s="20">
        <v>2</v>
      </c>
      <c r="AB446" s="20">
        <v>8</v>
      </c>
      <c r="AC446" s="20">
        <v>4</v>
      </c>
      <c r="AD446" s="20">
        <v>6</v>
      </c>
      <c r="AE446" s="20">
        <v>6</v>
      </c>
      <c r="AF446" s="20">
        <v>3</v>
      </c>
      <c r="AG446" s="20">
        <v>6</v>
      </c>
      <c r="AH446" s="20">
        <v>8</v>
      </c>
      <c r="AI446" s="20">
        <v>2</v>
      </c>
      <c r="AJ446" s="20">
        <v>4</v>
      </c>
      <c r="AK446" s="20">
        <v>8</v>
      </c>
      <c r="AL446" s="20">
        <v>2</v>
      </c>
      <c r="AM446" s="20">
        <v>4</v>
      </c>
      <c r="AN446" s="20">
        <v>6</v>
      </c>
      <c r="AO446" s="20">
        <v>4</v>
      </c>
      <c r="AP446" s="20">
        <v>2</v>
      </c>
      <c r="AQ446" s="20">
        <v>2</v>
      </c>
      <c r="AR446" s="20">
        <v>5</v>
      </c>
      <c r="AS446" s="20">
        <v>2</v>
      </c>
      <c r="AT446" s="20">
        <v>5</v>
      </c>
      <c r="AU446" s="20">
        <v>3</v>
      </c>
      <c r="AV446" s="20">
        <v>2</v>
      </c>
      <c r="AW446" s="20">
        <v>0</v>
      </c>
      <c r="AX446" s="20">
        <v>7</v>
      </c>
      <c r="AY446" s="20">
        <v>12</v>
      </c>
      <c r="AZ446" s="20">
        <v>4</v>
      </c>
      <c r="BA446" s="20">
        <v>1</v>
      </c>
      <c r="BB446" s="20">
        <v>2</v>
      </c>
      <c r="BC446" s="20">
        <v>4</v>
      </c>
      <c r="BD446" s="20">
        <v>4</v>
      </c>
      <c r="BE446" s="20">
        <v>0</v>
      </c>
      <c r="BF446" s="20">
        <v>1</v>
      </c>
      <c r="BG446" s="20">
        <v>2</v>
      </c>
      <c r="BH446" s="20">
        <v>1</v>
      </c>
      <c r="BI446" s="20">
        <v>9</v>
      </c>
      <c r="BJ446" s="20">
        <v>0</v>
      </c>
      <c r="BK446" s="20">
        <v>1</v>
      </c>
      <c r="BL446" s="20">
        <v>0</v>
      </c>
      <c r="BM446" s="20">
        <v>1</v>
      </c>
      <c r="BN446" s="20">
        <v>0</v>
      </c>
      <c r="BO446" s="20">
        <v>0</v>
      </c>
      <c r="BP446" s="20">
        <v>0</v>
      </c>
      <c r="BQ446" s="20">
        <v>1</v>
      </c>
      <c r="BR446" s="20">
        <v>1</v>
      </c>
      <c r="BS446" s="20">
        <v>0</v>
      </c>
      <c r="BT446" s="20">
        <v>0</v>
      </c>
      <c r="BU446" s="20">
        <v>0</v>
      </c>
      <c r="BV446" s="20">
        <v>0</v>
      </c>
      <c r="BW446" s="20">
        <v>0</v>
      </c>
      <c r="BX446" s="20">
        <v>0</v>
      </c>
      <c r="BY446" s="20">
        <v>0</v>
      </c>
      <c r="BZ446" s="20">
        <v>0</v>
      </c>
      <c r="CA446" s="20">
        <v>0</v>
      </c>
      <c r="CB446" s="20">
        <v>0</v>
      </c>
      <c r="CC446" s="20">
        <v>0</v>
      </c>
      <c r="CD446" s="20">
        <v>0</v>
      </c>
      <c r="CE446" s="20">
        <v>1</v>
      </c>
      <c r="CF446" s="20">
        <v>0</v>
      </c>
      <c r="CG446" s="20">
        <v>0</v>
      </c>
      <c r="CH446" s="20">
        <v>0</v>
      </c>
      <c r="CI446" s="20">
        <v>0</v>
      </c>
      <c r="CJ446" s="20">
        <v>0</v>
      </c>
      <c r="CK446" s="20">
        <v>0</v>
      </c>
      <c r="CL446" s="20">
        <v>0</v>
      </c>
      <c r="CM446" s="20">
        <v>0</v>
      </c>
      <c r="CN446" s="20">
        <v>0</v>
      </c>
      <c r="CO446" s="20">
        <v>0</v>
      </c>
      <c r="CP446" s="20">
        <v>0</v>
      </c>
      <c r="CQ446" s="20">
        <v>0</v>
      </c>
      <c r="CR446" s="20">
        <v>0</v>
      </c>
      <c r="CS446" s="20">
        <v>0</v>
      </c>
      <c r="CT446" s="20">
        <v>0</v>
      </c>
      <c r="CU446" s="20">
        <v>0</v>
      </c>
      <c r="CV446" s="20">
        <v>0</v>
      </c>
      <c r="CW446" s="20">
        <v>0</v>
      </c>
      <c r="CX446" s="20">
        <v>0</v>
      </c>
      <c r="CY446" s="20">
        <v>0</v>
      </c>
      <c r="CZ446" s="20">
        <v>0</v>
      </c>
      <c r="DA446" s="20">
        <v>0</v>
      </c>
      <c r="DB446" s="20">
        <v>0</v>
      </c>
      <c r="DC446" s="20">
        <v>0</v>
      </c>
      <c r="DD446" s="20">
        <v>0</v>
      </c>
      <c r="DE446" s="20">
        <v>0</v>
      </c>
      <c r="DF446" s="20">
        <v>0</v>
      </c>
      <c r="DG446" s="16">
        <f t="shared" si="39"/>
        <v>228</v>
      </c>
      <c r="DH446" s="16">
        <f t="shared" si="40"/>
        <v>6092</v>
      </c>
      <c r="DI446" s="17">
        <f t="shared" si="41"/>
        <v>26.719298245614034</v>
      </c>
      <c r="DJ446" s="119" t="s">
        <v>720</v>
      </c>
      <c r="DK446" s="44" t="s">
        <v>720</v>
      </c>
      <c r="DL446" s="44"/>
    </row>
    <row r="447" spans="1:116">
      <c r="A447" s="32" t="str">
        <f t="shared" si="37"/>
        <v>Essential (Original)--11kV; UNKNOWN</v>
      </c>
      <c r="B447" s="32" t="str">
        <f t="shared" si="38"/>
        <v>Essential (Original)</v>
      </c>
      <c r="C447" s="384"/>
      <c r="D447" s="14"/>
      <c r="E447" s="15" t="s">
        <v>519</v>
      </c>
      <c r="F447" s="18">
        <v>53.8</v>
      </c>
      <c r="G447" s="18">
        <v>7.334848328356899</v>
      </c>
      <c r="H447" s="20">
        <v>4.0209973753280837</v>
      </c>
      <c r="I447" s="20">
        <v>4.0209973753280837</v>
      </c>
      <c r="J447" s="20">
        <v>3.015748031496063</v>
      </c>
      <c r="K447" s="20">
        <v>4.0209973753280837</v>
      </c>
      <c r="L447" s="20">
        <v>4.0209973753280837</v>
      </c>
      <c r="M447" s="20">
        <v>3.015748031496063</v>
      </c>
      <c r="N447" s="20">
        <v>8.0419947506561673</v>
      </c>
      <c r="O447" s="20">
        <v>6.0314960629921259</v>
      </c>
      <c r="P447" s="20">
        <v>1.0052493438320209</v>
      </c>
      <c r="Q447" s="20">
        <v>2.0104986876640418</v>
      </c>
      <c r="R447" s="20">
        <v>4.0209973753280837</v>
      </c>
      <c r="S447" s="20">
        <v>7.0367454068241466</v>
      </c>
      <c r="T447" s="20">
        <v>2.0104986876640418</v>
      </c>
      <c r="U447" s="20">
        <v>6.0314960629921259</v>
      </c>
      <c r="V447" s="20">
        <v>2.0104986876640418</v>
      </c>
      <c r="W447" s="20">
        <v>2.0104986876640418</v>
      </c>
      <c r="X447" s="20">
        <v>2.0104986876640418</v>
      </c>
      <c r="Y447" s="20">
        <v>6.0314960629921259</v>
      </c>
      <c r="Z447" s="20">
        <v>7.0367454068241466</v>
      </c>
      <c r="AA447" s="20">
        <v>5.0262467191601052</v>
      </c>
      <c r="AB447" s="20">
        <v>16.083989501312335</v>
      </c>
      <c r="AC447" s="20">
        <v>5.0262467191601052</v>
      </c>
      <c r="AD447" s="20">
        <v>8.0419947506561673</v>
      </c>
      <c r="AE447" s="20">
        <v>15.078740157480315</v>
      </c>
      <c r="AF447" s="20">
        <v>4.0209973753280837</v>
      </c>
      <c r="AG447" s="20">
        <v>12.062992125984252</v>
      </c>
      <c r="AH447" s="20">
        <v>17.089238845144358</v>
      </c>
      <c r="AI447" s="20">
        <v>13.068241469816273</v>
      </c>
      <c r="AJ447" s="20">
        <v>9.0472440944881889</v>
      </c>
      <c r="AK447" s="20">
        <v>12.062992125984252</v>
      </c>
      <c r="AL447" s="20">
        <v>4.0209973753280837</v>
      </c>
      <c r="AM447" s="20">
        <v>6.0314960629921259</v>
      </c>
      <c r="AN447" s="20">
        <v>12.062992125984252</v>
      </c>
      <c r="AO447" s="20">
        <v>4.0209973753280837</v>
      </c>
      <c r="AP447" s="20">
        <v>4.0209973753280837</v>
      </c>
      <c r="AQ447" s="20">
        <v>4.0209973753280837</v>
      </c>
      <c r="AR447" s="20">
        <v>2.0104986876640418</v>
      </c>
      <c r="AS447" s="20">
        <v>4.0209973753280837</v>
      </c>
      <c r="AT447" s="20">
        <v>2.0104986876640418</v>
      </c>
      <c r="AU447" s="20">
        <v>2.0104986876640418</v>
      </c>
      <c r="AV447" s="20">
        <v>2.0104986876640418</v>
      </c>
      <c r="AW447" s="20">
        <v>11.05774278215223</v>
      </c>
      <c r="AX447" s="20">
        <v>6.0314960629921259</v>
      </c>
      <c r="AY447" s="20">
        <v>13.068241469816273</v>
      </c>
      <c r="AZ447" s="20">
        <v>7.0367454068241466</v>
      </c>
      <c r="BA447" s="20">
        <v>3.015748031496063</v>
      </c>
      <c r="BB447" s="20">
        <v>8.0419947506561673</v>
      </c>
      <c r="BC447" s="20">
        <v>10.05249343832021</v>
      </c>
      <c r="BD447" s="20">
        <v>2.0104986876640418</v>
      </c>
      <c r="BE447" s="20">
        <v>1.0052493438320209</v>
      </c>
      <c r="BF447" s="20">
        <v>1.0052493438320209</v>
      </c>
      <c r="BG447" s="20">
        <v>1.0052493438320209</v>
      </c>
      <c r="BH447" s="20">
        <v>3.015748031496063</v>
      </c>
      <c r="BI447" s="20">
        <v>39.204724409448822</v>
      </c>
      <c r="BJ447" s="20">
        <v>2.0104986876640418</v>
      </c>
      <c r="BK447" s="20">
        <v>3.015748031496063</v>
      </c>
      <c r="BL447" s="20">
        <v>4.0209973753280837</v>
      </c>
      <c r="BM447" s="20">
        <v>1.0052493438320209</v>
      </c>
      <c r="BN447" s="20">
        <v>7.0367454068241466</v>
      </c>
      <c r="BO447" s="20">
        <v>1.0052493438320209</v>
      </c>
      <c r="BP447" s="20">
        <v>1.0052493438320209</v>
      </c>
      <c r="BQ447" s="20">
        <v>0</v>
      </c>
      <c r="BR447" s="20">
        <v>18.094488188976378</v>
      </c>
      <c r="BS447" s="20">
        <v>0</v>
      </c>
      <c r="BT447" s="20">
        <v>0</v>
      </c>
      <c r="BU447" s="20">
        <v>0</v>
      </c>
      <c r="BV447" s="20">
        <v>0</v>
      </c>
      <c r="BW447" s="20">
        <v>0</v>
      </c>
      <c r="BX447" s="20">
        <v>0</v>
      </c>
      <c r="BY447" s="20">
        <v>0</v>
      </c>
      <c r="BZ447" s="20">
        <v>0</v>
      </c>
      <c r="CA447" s="20">
        <v>0</v>
      </c>
      <c r="CB447" s="20">
        <v>0</v>
      </c>
      <c r="CC447" s="20">
        <v>0</v>
      </c>
      <c r="CD447" s="20">
        <v>0</v>
      </c>
      <c r="CE447" s="20">
        <v>0</v>
      </c>
      <c r="CF447" s="20">
        <v>0</v>
      </c>
      <c r="CG447" s="20">
        <v>0</v>
      </c>
      <c r="CH447" s="20">
        <v>0</v>
      </c>
      <c r="CI447" s="20">
        <v>0</v>
      </c>
      <c r="CJ447" s="20">
        <v>0</v>
      </c>
      <c r="CK447" s="20">
        <v>0</v>
      </c>
      <c r="CL447" s="20">
        <v>0</v>
      </c>
      <c r="CM447" s="20">
        <v>0</v>
      </c>
      <c r="CN447" s="20">
        <v>0</v>
      </c>
      <c r="CO447" s="20">
        <v>0</v>
      </c>
      <c r="CP447" s="20">
        <v>0</v>
      </c>
      <c r="CQ447" s="20">
        <v>0</v>
      </c>
      <c r="CR447" s="20">
        <v>0</v>
      </c>
      <c r="CS447" s="20">
        <v>0</v>
      </c>
      <c r="CT447" s="20">
        <v>0</v>
      </c>
      <c r="CU447" s="20">
        <v>0</v>
      </c>
      <c r="CV447" s="20">
        <v>0</v>
      </c>
      <c r="CW447" s="20">
        <v>0</v>
      </c>
      <c r="CX447" s="20">
        <v>0</v>
      </c>
      <c r="CY447" s="20">
        <v>0</v>
      </c>
      <c r="CZ447" s="20">
        <v>0</v>
      </c>
      <c r="DA447" s="20">
        <v>0</v>
      </c>
      <c r="DB447" s="20">
        <v>0</v>
      </c>
      <c r="DC447" s="20">
        <v>0</v>
      </c>
      <c r="DD447" s="20">
        <v>0</v>
      </c>
      <c r="DE447" s="20">
        <v>0</v>
      </c>
      <c r="DF447" s="20">
        <v>0</v>
      </c>
      <c r="DG447" s="16">
        <f t="shared" si="39"/>
        <v>382.99999999999983</v>
      </c>
      <c r="DH447" s="16">
        <f t="shared" si="40"/>
        <v>12742.540682414699</v>
      </c>
      <c r="DI447" s="17">
        <f t="shared" si="41"/>
        <v>33.270341207349098</v>
      </c>
      <c r="DJ447" s="119" t="s">
        <v>720</v>
      </c>
      <c r="DK447" s="44" t="s">
        <v>720</v>
      </c>
      <c r="DL447" s="44"/>
    </row>
    <row r="448" spans="1:116">
      <c r="A448" s="32" t="str">
        <f t="shared" si="37"/>
        <v>Essential (Original)--12.7kV; SWER</v>
      </c>
      <c r="B448" s="32" t="str">
        <f t="shared" si="38"/>
        <v>Essential (Original)</v>
      </c>
      <c r="C448" s="384"/>
      <c r="D448" s="14"/>
      <c r="E448" s="15" t="s">
        <v>520</v>
      </c>
      <c r="F448" s="18">
        <v>53.8</v>
      </c>
      <c r="G448" s="18">
        <v>7.334848328356899</v>
      </c>
      <c r="H448" s="20">
        <v>0</v>
      </c>
      <c r="I448" s="20">
        <v>0</v>
      </c>
      <c r="J448" s="20">
        <v>0</v>
      </c>
      <c r="K448" s="20">
        <v>0</v>
      </c>
      <c r="L448" s="20">
        <v>0</v>
      </c>
      <c r="M448" s="20">
        <v>2.6</v>
      </c>
      <c r="N448" s="20">
        <v>0</v>
      </c>
      <c r="O448" s="20">
        <v>0</v>
      </c>
      <c r="P448" s="20">
        <v>0</v>
      </c>
      <c r="Q448" s="20">
        <v>0</v>
      </c>
      <c r="R448" s="20">
        <v>0</v>
      </c>
      <c r="S448" s="20">
        <v>0</v>
      </c>
      <c r="T448" s="20">
        <v>0</v>
      </c>
      <c r="U448" s="20">
        <v>0</v>
      </c>
      <c r="V448" s="20">
        <v>0</v>
      </c>
      <c r="W448" s="20">
        <v>0</v>
      </c>
      <c r="X448" s="20">
        <v>0</v>
      </c>
      <c r="Y448" s="20">
        <v>0</v>
      </c>
      <c r="Z448" s="20">
        <v>2.6</v>
      </c>
      <c r="AA448" s="20">
        <v>0</v>
      </c>
      <c r="AB448" s="20">
        <v>0</v>
      </c>
      <c r="AC448" s="20">
        <v>0</v>
      </c>
      <c r="AD448" s="20">
        <v>0</v>
      </c>
      <c r="AE448" s="20">
        <v>0</v>
      </c>
      <c r="AF448" s="20">
        <v>0</v>
      </c>
      <c r="AG448" s="20">
        <v>2.6</v>
      </c>
      <c r="AH448" s="20">
        <v>0</v>
      </c>
      <c r="AI448" s="20">
        <v>0</v>
      </c>
      <c r="AJ448" s="20">
        <v>0</v>
      </c>
      <c r="AK448" s="20">
        <v>0</v>
      </c>
      <c r="AL448" s="20">
        <v>0</v>
      </c>
      <c r="AM448" s="20">
        <v>0</v>
      </c>
      <c r="AN448" s="20">
        <v>0</v>
      </c>
      <c r="AO448" s="20">
        <v>0</v>
      </c>
      <c r="AP448" s="20">
        <v>0</v>
      </c>
      <c r="AQ448" s="20">
        <v>0</v>
      </c>
      <c r="AR448" s="20">
        <v>0</v>
      </c>
      <c r="AS448" s="20">
        <v>0</v>
      </c>
      <c r="AT448" s="20">
        <v>0</v>
      </c>
      <c r="AU448" s="20">
        <v>0</v>
      </c>
      <c r="AV448" s="20">
        <v>0</v>
      </c>
      <c r="AW448" s="20">
        <v>0</v>
      </c>
      <c r="AX448" s="20">
        <v>0</v>
      </c>
      <c r="AY448" s="20">
        <v>0</v>
      </c>
      <c r="AZ448" s="20">
        <v>0</v>
      </c>
      <c r="BA448" s="20">
        <v>0</v>
      </c>
      <c r="BB448" s="20">
        <v>2.6</v>
      </c>
      <c r="BC448" s="20">
        <v>0</v>
      </c>
      <c r="BD448" s="20">
        <v>0</v>
      </c>
      <c r="BE448" s="20">
        <v>2.6</v>
      </c>
      <c r="BF448" s="20">
        <v>0</v>
      </c>
      <c r="BG448" s="20">
        <v>0</v>
      </c>
      <c r="BH448" s="20">
        <v>0</v>
      </c>
      <c r="BI448" s="20">
        <v>0</v>
      </c>
      <c r="BJ448" s="20">
        <v>0</v>
      </c>
      <c r="BK448" s="20">
        <v>0</v>
      </c>
      <c r="BL448" s="20">
        <v>0</v>
      </c>
      <c r="BM448" s="20">
        <v>0</v>
      </c>
      <c r="BN448" s="20">
        <v>0</v>
      </c>
      <c r="BO448" s="20">
        <v>0</v>
      </c>
      <c r="BP448" s="20">
        <v>0</v>
      </c>
      <c r="BQ448" s="20">
        <v>0</v>
      </c>
      <c r="BR448" s="20">
        <v>0</v>
      </c>
      <c r="BS448" s="20">
        <v>0</v>
      </c>
      <c r="BT448" s="20">
        <v>0</v>
      </c>
      <c r="BU448" s="20">
        <v>0</v>
      </c>
      <c r="BV448" s="20">
        <v>0</v>
      </c>
      <c r="BW448" s="20">
        <v>0</v>
      </c>
      <c r="BX448" s="20">
        <v>0</v>
      </c>
      <c r="BY448" s="20">
        <v>0</v>
      </c>
      <c r="BZ448" s="20">
        <v>0</v>
      </c>
      <c r="CA448" s="20">
        <v>0</v>
      </c>
      <c r="CB448" s="20">
        <v>0</v>
      </c>
      <c r="CC448" s="20">
        <v>0</v>
      </c>
      <c r="CD448" s="20">
        <v>0</v>
      </c>
      <c r="CE448" s="20">
        <v>0</v>
      </c>
      <c r="CF448" s="20">
        <v>0</v>
      </c>
      <c r="CG448" s="20">
        <v>0</v>
      </c>
      <c r="CH448" s="20">
        <v>0</v>
      </c>
      <c r="CI448" s="20">
        <v>0</v>
      </c>
      <c r="CJ448" s="20">
        <v>0</v>
      </c>
      <c r="CK448" s="20">
        <v>0</v>
      </c>
      <c r="CL448" s="20">
        <v>0</v>
      </c>
      <c r="CM448" s="20">
        <v>0</v>
      </c>
      <c r="CN448" s="20">
        <v>0</v>
      </c>
      <c r="CO448" s="20">
        <v>0</v>
      </c>
      <c r="CP448" s="20">
        <v>0</v>
      </c>
      <c r="CQ448" s="20">
        <v>0</v>
      </c>
      <c r="CR448" s="20">
        <v>0</v>
      </c>
      <c r="CS448" s="20">
        <v>0</v>
      </c>
      <c r="CT448" s="20">
        <v>0</v>
      </c>
      <c r="CU448" s="20">
        <v>0</v>
      </c>
      <c r="CV448" s="20">
        <v>0</v>
      </c>
      <c r="CW448" s="20">
        <v>0</v>
      </c>
      <c r="CX448" s="20">
        <v>0</v>
      </c>
      <c r="CY448" s="20">
        <v>0</v>
      </c>
      <c r="CZ448" s="20">
        <v>0</v>
      </c>
      <c r="DA448" s="20">
        <v>0</v>
      </c>
      <c r="DB448" s="20">
        <v>0</v>
      </c>
      <c r="DC448" s="20">
        <v>0</v>
      </c>
      <c r="DD448" s="20">
        <v>0</v>
      </c>
      <c r="DE448" s="20">
        <v>0</v>
      </c>
      <c r="DF448" s="20">
        <v>0</v>
      </c>
      <c r="DG448" s="16">
        <f t="shared" si="39"/>
        <v>13</v>
      </c>
      <c r="DH448" s="16">
        <f t="shared" si="40"/>
        <v>384.8</v>
      </c>
      <c r="DI448" s="17">
        <f t="shared" si="41"/>
        <v>29.6</v>
      </c>
      <c r="DJ448" s="119" t="s">
        <v>720</v>
      </c>
      <c r="DK448" s="44" t="s">
        <v>720</v>
      </c>
      <c r="DL448" s="44"/>
    </row>
    <row r="449" spans="1:117">
      <c r="A449" s="32" t="str">
        <f t="shared" si="37"/>
        <v>Essential (Original)--132kV; UNKNOWN</v>
      </c>
      <c r="B449" s="32" t="str">
        <f t="shared" si="38"/>
        <v>Essential (Original)</v>
      </c>
      <c r="C449" s="384"/>
      <c r="D449" s="14"/>
      <c r="E449" s="15" t="s">
        <v>521</v>
      </c>
      <c r="F449" s="18">
        <v>53.8</v>
      </c>
      <c r="G449" s="18">
        <v>7.334848328356899</v>
      </c>
      <c r="H449" s="20">
        <v>0</v>
      </c>
      <c r="I449" s="20">
        <v>0</v>
      </c>
      <c r="J449" s="20">
        <v>0</v>
      </c>
      <c r="K449" s="20">
        <v>0</v>
      </c>
      <c r="L449" s="20">
        <v>0</v>
      </c>
      <c r="M449" s="20">
        <v>0</v>
      </c>
      <c r="N449" s="20">
        <v>0</v>
      </c>
      <c r="O449" s="20">
        <v>0</v>
      </c>
      <c r="P449" s="20">
        <v>0</v>
      </c>
      <c r="Q449" s="20">
        <v>0</v>
      </c>
      <c r="R449" s="20">
        <v>0</v>
      </c>
      <c r="S449" s="20">
        <v>0</v>
      </c>
      <c r="T449" s="20">
        <v>0</v>
      </c>
      <c r="U449" s="20">
        <v>0</v>
      </c>
      <c r="V449" s="20">
        <v>0</v>
      </c>
      <c r="W449" s="20">
        <v>0</v>
      </c>
      <c r="X449" s="20">
        <v>0</v>
      </c>
      <c r="Y449" s="20">
        <v>0</v>
      </c>
      <c r="Z449" s="20">
        <v>0</v>
      </c>
      <c r="AA449" s="20">
        <v>0</v>
      </c>
      <c r="AB449" s="20">
        <v>0</v>
      </c>
      <c r="AC449" s="20">
        <v>0</v>
      </c>
      <c r="AD449" s="20">
        <v>0</v>
      </c>
      <c r="AE449" s="20">
        <v>0</v>
      </c>
      <c r="AF449" s="20">
        <v>1</v>
      </c>
      <c r="AG449" s="20">
        <v>0</v>
      </c>
      <c r="AH449" s="20">
        <v>0</v>
      </c>
      <c r="AI449" s="20">
        <v>0</v>
      </c>
      <c r="AJ449" s="20">
        <v>0</v>
      </c>
      <c r="AK449" s="20">
        <v>0</v>
      </c>
      <c r="AL449" s="20">
        <v>0</v>
      </c>
      <c r="AM449" s="20">
        <v>0</v>
      </c>
      <c r="AN449" s="20">
        <v>0</v>
      </c>
      <c r="AO449" s="20">
        <v>0</v>
      </c>
      <c r="AP449" s="20">
        <v>0</v>
      </c>
      <c r="AQ449" s="20">
        <v>0</v>
      </c>
      <c r="AR449" s="20">
        <v>0</v>
      </c>
      <c r="AS449" s="20">
        <v>0</v>
      </c>
      <c r="AT449" s="20">
        <v>0</v>
      </c>
      <c r="AU449" s="20">
        <v>0</v>
      </c>
      <c r="AV449" s="20">
        <v>0</v>
      </c>
      <c r="AW449" s="20">
        <v>0</v>
      </c>
      <c r="AX449" s="20">
        <v>0</v>
      </c>
      <c r="AY449" s="20">
        <v>0</v>
      </c>
      <c r="AZ449" s="20">
        <v>0</v>
      </c>
      <c r="BA449" s="20">
        <v>0</v>
      </c>
      <c r="BB449" s="20">
        <v>0</v>
      </c>
      <c r="BC449" s="20">
        <v>0</v>
      </c>
      <c r="BD449" s="20">
        <v>0</v>
      </c>
      <c r="BE449" s="20">
        <v>0</v>
      </c>
      <c r="BF449" s="20">
        <v>0</v>
      </c>
      <c r="BG449" s="20">
        <v>0</v>
      </c>
      <c r="BH449" s="20">
        <v>0</v>
      </c>
      <c r="BI449" s="20">
        <v>0</v>
      </c>
      <c r="BJ449" s="20">
        <v>0</v>
      </c>
      <c r="BK449" s="20">
        <v>0</v>
      </c>
      <c r="BL449" s="20">
        <v>0</v>
      </c>
      <c r="BM449" s="20">
        <v>0</v>
      </c>
      <c r="BN449" s="20">
        <v>0</v>
      </c>
      <c r="BO449" s="20">
        <v>0</v>
      </c>
      <c r="BP449" s="20">
        <v>0</v>
      </c>
      <c r="BQ449" s="20">
        <v>0</v>
      </c>
      <c r="BR449" s="20">
        <v>0</v>
      </c>
      <c r="BS449" s="20">
        <v>0</v>
      </c>
      <c r="BT449" s="20">
        <v>0</v>
      </c>
      <c r="BU449" s="20">
        <v>0</v>
      </c>
      <c r="BV449" s="20">
        <v>0</v>
      </c>
      <c r="BW449" s="20">
        <v>0</v>
      </c>
      <c r="BX449" s="20">
        <v>0</v>
      </c>
      <c r="BY449" s="20">
        <v>0</v>
      </c>
      <c r="BZ449" s="20">
        <v>0</v>
      </c>
      <c r="CA449" s="20">
        <v>0</v>
      </c>
      <c r="CB449" s="20">
        <v>0</v>
      </c>
      <c r="CC449" s="20">
        <v>0</v>
      </c>
      <c r="CD449" s="20">
        <v>0</v>
      </c>
      <c r="CE449" s="20">
        <v>0</v>
      </c>
      <c r="CF449" s="20">
        <v>0</v>
      </c>
      <c r="CG449" s="20">
        <v>0</v>
      </c>
      <c r="CH449" s="20">
        <v>0</v>
      </c>
      <c r="CI449" s="20">
        <v>0</v>
      </c>
      <c r="CJ449" s="20">
        <v>0</v>
      </c>
      <c r="CK449" s="20">
        <v>0</v>
      </c>
      <c r="CL449" s="20">
        <v>0</v>
      </c>
      <c r="CM449" s="20">
        <v>0</v>
      </c>
      <c r="CN449" s="20">
        <v>0</v>
      </c>
      <c r="CO449" s="20">
        <v>0</v>
      </c>
      <c r="CP449" s="20">
        <v>0</v>
      </c>
      <c r="CQ449" s="20">
        <v>0</v>
      </c>
      <c r="CR449" s="20">
        <v>0</v>
      </c>
      <c r="CS449" s="20">
        <v>0</v>
      </c>
      <c r="CT449" s="20">
        <v>0</v>
      </c>
      <c r="CU449" s="20">
        <v>0</v>
      </c>
      <c r="CV449" s="20">
        <v>0</v>
      </c>
      <c r="CW449" s="20">
        <v>0</v>
      </c>
      <c r="CX449" s="20">
        <v>0</v>
      </c>
      <c r="CY449" s="20">
        <v>0</v>
      </c>
      <c r="CZ449" s="20">
        <v>0</v>
      </c>
      <c r="DA449" s="20">
        <v>0</v>
      </c>
      <c r="DB449" s="20">
        <v>0</v>
      </c>
      <c r="DC449" s="20">
        <v>0</v>
      </c>
      <c r="DD449" s="20">
        <v>0</v>
      </c>
      <c r="DE449" s="20">
        <v>0</v>
      </c>
      <c r="DF449" s="20">
        <v>0</v>
      </c>
      <c r="DG449" s="16">
        <f t="shared" si="39"/>
        <v>1</v>
      </c>
      <c r="DH449" s="16">
        <f t="shared" si="40"/>
        <v>25</v>
      </c>
      <c r="DI449" s="17">
        <f t="shared" si="41"/>
        <v>25</v>
      </c>
      <c r="DJ449" s="119" t="s">
        <v>720</v>
      </c>
      <c r="DK449" s="44" t="s">
        <v>720</v>
      </c>
      <c r="DL449" s="44"/>
    </row>
    <row r="450" spans="1:117">
      <c r="A450" s="32" t="str">
        <f t="shared" si="37"/>
        <v>Essential (Original)--19.1kV; SWER</v>
      </c>
      <c r="B450" s="32" t="str">
        <f t="shared" si="38"/>
        <v>Essential (Original)</v>
      </c>
      <c r="C450" s="384"/>
      <c r="D450" s="14"/>
      <c r="E450" s="15" t="s">
        <v>522</v>
      </c>
      <c r="F450" s="18">
        <v>53.8</v>
      </c>
      <c r="G450" s="18">
        <v>7.334848328356899</v>
      </c>
      <c r="H450" s="20">
        <v>0</v>
      </c>
      <c r="I450" s="20">
        <v>6</v>
      </c>
      <c r="J450" s="20">
        <v>1</v>
      </c>
      <c r="K450" s="20">
        <v>0</v>
      </c>
      <c r="L450" s="20">
        <v>0</v>
      </c>
      <c r="M450" s="20">
        <v>0</v>
      </c>
      <c r="N450" s="20">
        <v>0</v>
      </c>
      <c r="O450" s="20">
        <v>0</v>
      </c>
      <c r="P450" s="20">
        <v>0</v>
      </c>
      <c r="Q450" s="20">
        <v>0</v>
      </c>
      <c r="R450" s="20">
        <v>0</v>
      </c>
      <c r="S450" s="20">
        <v>0</v>
      </c>
      <c r="T450" s="20">
        <v>1</v>
      </c>
      <c r="U450" s="20">
        <v>1</v>
      </c>
      <c r="V450" s="20">
        <v>0</v>
      </c>
      <c r="W450" s="20">
        <v>0</v>
      </c>
      <c r="X450" s="20">
        <v>0</v>
      </c>
      <c r="Y450" s="20">
        <v>1</v>
      </c>
      <c r="Z450" s="20">
        <v>21</v>
      </c>
      <c r="AA450" s="20">
        <v>21</v>
      </c>
      <c r="AB450" s="20">
        <v>2</v>
      </c>
      <c r="AC450" s="20">
        <v>6</v>
      </c>
      <c r="AD450" s="20">
        <v>5</v>
      </c>
      <c r="AE450" s="20">
        <v>2</v>
      </c>
      <c r="AF450" s="20">
        <v>2</v>
      </c>
      <c r="AG450" s="20">
        <v>1</v>
      </c>
      <c r="AH450" s="20">
        <v>3</v>
      </c>
      <c r="AI450" s="20">
        <v>3</v>
      </c>
      <c r="AJ450" s="20">
        <v>0</v>
      </c>
      <c r="AK450" s="20">
        <v>0</v>
      </c>
      <c r="AL450" s="20">
        <v>1</v>
      </c>
      <c r="AM450" s="20">
        <v>2</v>
      </c>
      <c r="AN450" s="20">
        <v>3</v>
      </c>
      <c r="AO450" s="20">
        <v>0</v>
      </c>
      <c r="AP450" s="20">
        <v>1</v>
      </c>
      <c r="AQ450" s="20">
        <v>0</v>
      </c>
      <c r="AR450" s="20">
        <v>1</v>
      </c>
      <c r="AS450" s="20">
        <v>0</v>
      </c>
      <c r="AT450" s="20">
        <v>1</v>
      </c>
      <c r="AU450" s="20">
        <v>1</v>
      </c>
      <c r="AV450" s="20">
        <v>1</v>
      </c>
      <c r="AW450" s="20">
        <v>0</v>
      </c>
      <c r="AX450" s="20">
        <v>0</v>
      </c>
      <c r="AY450" s="20">
        <v>0</v>
      </c>
      <c r="AZ450" s="20">
        <v>0</v>
      </c>
      <c r="BA450" s="20">
        <v>1</v>
      </c>
      <c r="BB450" s="20">
        <v>0</v>
      </c>
      <c r="BC450" s="20">
        <v>1</v>
      </c>
      <c r="BD450" s="20">
        <v>7</v>
      </c>
      <c r="BE450" s="20">
        <v>1</v>
      </c>
      <c r="BF450" s="20">
        <v>1</v>
      </c>
      <c r="BG450" s="20">
        <v>0</v>
      </c>
      <c r="BH450" s="20">
        <v>2</v>
      </c>
      <c r="BI450" s="20">
        <v>1</v>
      </c>
      <c r="BJ450" s="20">
        <v>0</v>
      </c>
      <c r="BK450" s="20">
        <v>0</v>
      </c>
      <c r="BL450" s="20">
        <v>0</v>
      </c>
      <c r="BM450" s="20">
        <v>0</v>
      </c>
      <c r="BN450" s="20">
        <v>0</v>
      </c>
      <c r="BO450" s="20">
        <v>0</v>
      </c>
      <c r="BP450" s="20">
        <v>0</v>
      </c>
      <c r="BQ450" s="20">
        <v>0</v>
      </c>
      <c r="BR450" s="20">
        <v>0</v>
      </c>
      <c r="BS450" s="20">
        <v>0</v>
      </c>
      <c r="BT450" s="20">
        <v>0</v>
      </c>
      <c r="BU450" s="20">
        <v>0</v>
      </c>
      <c r="BV450" s="20">
        <v>0</v>
      </c>
      <c r="BW450" s="20">
        <v>0</v>
      </c>
      <c r="BX450" s="20">
        <v>0</v>
      </c>
      <c r="BY450" s="20">
        <v>0</v>
      </c>
      <c r="BZ450" s="20">
        <v>0</v>
      </c>
      <c r="CA450" s="20">
        <v>0</v>
      </c>
      <c r="CB450" s="20">
        <v>0</v>
      </c>
      <c r="CC450" s="20">
        <v>0</v>
      </c>
      <c r="CD450" s="20">
        <v>0</v>
      </c>
      <c r="CE450" s="20">
        <v>0</v>
      </c>
      <c r="CF450" s="20">
        <v>0</v>
      </c>
      <c r="CG450" s="20">
        <v>0</v>
      </c>
      <c r="CH450" s="20">
        <v>0</v>
      </c>
      <c r="CI450" s="20">
        <v>0</v>
      </c>
      <c r="CJ450" s="20">
        <v>0</v>
      </c>
      <c r="CK450" s="20">
        <v>0</v>
      </c>
      <c r="CL450" s="20">
        <v>0</v>
      </c>
      <c r="CM450" s="20">
        <v>0</v>
      </c>
      <c r="CN450" s="20">
        <v>0</v>
      </c>
      <c r="CO450" s="20">
        <v>0</v>
      </c>
      <c r="CP450" s="20">
        <v>0</v>
      </c>
      <c r="CQ450" s="20">
        <v>0</v>
      </c>
      <c r="CR450" s="20">
        <v>0</v>
      </c>
      <c r="CS450" s="20">
        <v>0</v>
      </c>
      <c r="CT450" s="20">
        <v>0</v>
      </c>
      <c r="CU450" s="20">
        <v>0</v>
      </c>
      <c r="CV450" s="20">
        <v>0</v>
      </c>
      <c r="CW450" s="20">
        <v>0</v>
      </c>
      <c r="CX450" s="20">
        <v>0</v>
      </c>
      <c r="CY450" s="20">
        <v>0</v>
      </c>
      <c r="CZ450" s="20">
        <v>0</v>
      </c>
      <c r="DA450" s="20">
        <v>0</v>
      </c>
      <c r="DB450" s="20">
        <v>0</v>
      </c>
      <c r="DC450" s="20">
        <v>0</v>
      </c>
      <c r="DD450" s="20">
        <v>0</v>
      </c>
      <c r="DE450" s="20">
        <v>0</v>
      </c>
      <c r="DF450" s="20">
        <v>0</v>
      </c>
      <c r="DG450" s="16">
        <f t="shared" si="39"/>
        <v>101</v>
      </c>
      <c r="DH450" s="16">
        <f t="shared" si="40"/>
        <v>2541</v>
      </c>
      <c r="DI450" s="17">
        <f t="shared" si="41"/>
        <v>25.158415841584159</v>
      </c>
      <c r="DJ450" s="119" t="s">
        <v>720</v>
      </c>
      <c r="DK450" s="44" t="s">
        <v>720</v>
      </c>
      <c r="DL450" s="44"/>
    </row>
    <row r="451" spans="1:117">
      <c r="A451" s="32" t="str">
        <f t="shared" si="37"/>
        <v>Essential (Original)--22kV; 1 PHASE</v>
      </c>
      <c r="B451" s="32" t="str">
        <f t="shared" si="38"/>
        <v>Essential (Original)</v>
      </c>
      <c r="C451" s="384"/>
      <c r="D451" s="14"/>
      <c r="E451" s="15" t="s">
        <v>523</v>
      </c>
      <c r="F451" s="18">
        <v>54.9</v>
      </c>
      <c r="G451" s="18">
        <v>7.4094534211370817</v>
      </c>
      <c r="H451" s="20">
        <v>1.056338028169014</v>
      </c>
      <c r="I451" s="20">
        <v>4.225352112676056</v>
      </c>
      <c r="J451" s="20">
        <v>1.056338028169014</v>
      </c>
      <c r="K451" s="20">
        <v>3.169014084507042</v>
      </c>
      <c r="L451" s="20">
        <v>0</v>
      </c>
      <c r="M451" s="20">
        <v>2.112676056338028</v>
      </c>
      <c r="N451" s="20">
        <v>1.056338028169014</v>
      </c>
      <c r="O451" s="20">
        <v>2.112676056338028</v>
      </c>
      <c r="P451" s="20">
        <v>0</v>
      </c>
      <c r="Q451" s="20">
        <v>1.056338028169014</v>
      </c>
      <c r="R451" s="20">
        <v>0</v>
      </c>
      <c r="S451" s="20">
        <v>1.056338028169014</v>
      </c>
      <c r="T451" s="20">
        <v>0</v>
      </c>
      <c r="U451" s="20">
        <v>1.056338028169014</v>
      </c>
      <c r="V451" s="20">
        <v>0</v>
      </c>
      <c r="W451" s="20">
        <v>0</v>
      </c>
      <c r="X451" s="20">
        <v>1.056338028169014</v>
      </c>
      <c r="Y451" s="20">
        <v>2.112676056338028</v>
      </c>
      <c r="Z451" s="20">
        <v>3.169014084507042</v>
      </c>
      <c r="AA451" s="20">
        <v>2.112676056338028</v>
      </c>
      <c r="AB451" s="20">
        <v>0</v>
      </c>
      <c r="AC451" s="20">
        <v>0</v>
      </c>
      <c r="AD451" s="20">
        <v>1.056338028169014</v>
      </c>
      <c r="AE451" s="20">
        <v>0</v>
      </c>
      <c r="AF451" s="20">
        <v>2.112676056338028</v>
      </c>
      <c r="AG451" s="20">
        <v>0</v>
      </c>
      <c r="AH451" s="20">
        <v>2.112676056338028</v>
      </c>
      <c r="AI451" s="20">
        <v>0</v>
      </c>
      <c r="AJ451" s="20">
        <v>0</v>
      </c>
      <c r="AK451" s="20">
        <v>1.056338028169014</v>
      </c>
      <c r="AL451" s="20">
        <v>0</v>
      </c>
      <c r="AM451" s="20">
        <v>1.056338028169014</v>
      </c>
      <c r="AN451" s="20">
        <v>1.056338028169014</v>
      </c>
      <c r="AO451" s="20">
        <v>0</v>
      </c>
      <c r="AP451" s="20">
        <v>1.056338028169014</v>
      </c>
      <c r="AQ451" s="20">
        <v>0</v>
      </c>
      <c r="AR451" s="20">
        <v>0</v>
      </c>
      <c r="AS451" s="20">
        <v>1.056338028169014</v>
      </c>
      <c r="AT451" s="20">
        <v>0</v>
      </c>
      <c r="AU451" s="20">
        <v>1.056338028169014</v>
      </c>
      <c r="AV451" s="20">
        <v>1.056338028169014</v>
      </c>
      <c r="AW451" s="20">
        <v>0</v>
      </c>
      <c r="AX451" s="20">
        <v>1.056338028169014</v>
      </c>
      <c r="AY451" s="20">
        <v>2.112676056338028</v>
      </c>
      <c r="AZ451" s="20">
        <v>1.056338028169014</v>
      </c>
      <c r="BA451" s="20">
        <v>0</v>
      </c>
      <c r="BB451" s="20">
        <v>0</v>
      </c>
      <c r="BC451" s="20">
        <v>4.225352112676056</v>
      </c>
      <c r="BD451" s="20">
        <v>7.394366197183099</v>
      </c>
      <c r="BE451" s="20">
        <v>0</v>
      </c>
      <c r="BF451" s="20">
        <v>3.169014084507042</v>
      </c>
      <c r="BG451" s="20">
        <v>1.056338028169014</v>
      </c>
      <c r="BH451" s="20">
        <v>0</v>
      </c>
      <c r="BI451" s="20">
        <v>2.112676056338028</v>
      </c>
      <c r="BJ451" s="20">
        <v>5.28169014084507</v>
      </c>
      <c r="BK451" s="20">
        <v>2.112676056338028</v>
      </c>
      <c r="BL451" s="20">
        <v>0</v>
      </c>
      <c r="BM451" s="20">
        <v>4.225352112676056</v>
      </c>
      <c r="BN451" s="20">
        <v>2.112676056338028</v>
      </c>
      <c r="BO451" s="20">
        <v>0</v>
      </c>
      <c r="BP451" s="20">
        <v>0</v>
      </c>
      <c r="BQ451" s="20">
        <v>0</v>
      </c>
      <c r="BR451" s="20">
        <v>0</v>
      </c>
      <c r="BS451" s="20">
        <v>0</v>
      </c>
      <c r="BT451" s="20">
        <v>0</v>
      </c>
      <c r="BU451" s="20">
        <v>0</v>
      </c>
      <c r="BV451" s="20">
        <v>0</v>
      </c>
      <c r="BW451" s="20">
        <v>0</v>
      </c>
      <c r="BX451" s="20">
        <v>0</v>
      </c>
      <c r="BY451" s="20">
        <v>0</v>
      </c>
      <c r="BZ451" s="20">
        <v>0</v>
      </c>
      <c r="CA451" s="20">
        <v>0</v>
      </c>
      <c r="CB451" s="20">
        <v>0</v>
      </c>
      <c r="CC451" s="20">
        <v>0</v>
      </c>
      <c r="CD451" s="20">
        <v>0</v>
      </c>
      <c r="CE451" s="20">
        <v>0</v>
      </c>
      <c r="CF451" s="20">
        <v>0</v>
      </c>
      <c r="CG451" s="20">
        <v>0</v>
      </c>
      <c r="CH451" s="20">
        <v>0</v>
      </c>
      <c r="CI451" s="20">
        <v>0</v>
      </c>
      <c r="CJ451" s="20">
        <v>0</v>
      </c>
      <c r="CK451" s="20">
        <v>0</v>
      </c>
      <c r="CL451" s="20">
        <v>0</v>
      </c>
      <c r="CM451" s="20">
        <v>0</v>
      </c>
      <c r="CN451" s="20">
        <v>0</v>
      </c>
      <c r="CO451" s="20">
        <v>0</v>
      </c>
      <c r="CP451" s="20">
        <v>0</v>
      </c>
      <c r="CQ451" s="20">
        <v>0</v>
      </c>
      <c r="CR451" s="20">
        <v>0</v>
      </c>
      <c r="CS451" s="20">
        <v>0</v>
      </c>
      <c r="CT451" s="20">
        <v>0</v>
      </c>
      <c r="CU451" s="20">
        <v>0</v>
      </c>
      <c r="CV451" s="20">
        <v>0</v>
      </c>
      <c r="CW451" s="20">
        <v>0</v>
      </c>
      <c r="CX451" s="20">
        <v>0</v>
      </c>
      <c r="CY451" s="20">
        <v>0</v>
      </c>
      <c r="CZ451" s="20">
        <v>0</v>
      </c>
      <c r="DA451" s="20">
        <v>0</v>
      </c>
      <c r="DB451" s="20">
        <v>0</v>
      </c>
      <c r="DC451" s="20">
        <v>0</v>
      </c>
      <c r="DD451" s="20">
        <v>0</v>
      </c>
      <c r="DE451" s="20">
        <v>0</v>
      </c>
      <c r="DF451" s="20">
        <v>0</v>
      </c>
      <c r="DG451" s="16">
        <f t="shared" si="39"/>
        <v>75.000000000000014</v>
      </c>
      <c r="DH451" s="16">
        <f t="shared" si="40"/>
        <v>2516.1971830985917</v>
      </c>
      <c r="DI451" s="17">
        <f t="shared" si="41"/>
        <v>33.549295774647881</v>
      </c>
      <c r="DJ451" s="119" t="s">
        <v>720</v>
      </c>
      <c r="DK451" s="44" t="s">
        <v>720</v>
      </c>
      <c r="DL451" s="44"/>
    </row>
    <row r="452" spans="1:117">
      <c r="A452" s="32" t="str">
        <f t="shared" si="37"/>
        <v>Essential (Original)--22kV; 3 PHASE</v>
      </c>
      <c r="B452" s="32" t="str">
        <f t="shared" si="38"/>
        <v>Essential (Original)</v>
      </c>
      <c r="C452" s="384"/>
      <c r="D452" s="14"/>
      <c r="E452" s="15" t="s">
        <v>524</v>
      </c>
      <c r="F452" s="18">
        <v>54.9</v>
      </c>
      <c r="G452" s="18">
        <v>7.4094534211370817</v>
      </c>
      <c r="H452" s="20">
        <v>0</v>
      </c>
      <c r="I452" s="20">
        <v>2.21505376344086</v>
      </c>
      <c r="J452" s="20">
        <v>1.10752688172043</v>
      </c>
      <c r="K452" s="20">
        <v>1.10752688172043</v>
      </c>
      <c r="L452" s="20">
        <v>1.10752688172043</v>
      </c>
      <c r="M452" s="20">
        <v>0</v>
      </c>
      <c r="N452" s="20">
        <v>0</v>
      </c>
      <c r="O452" s="20">
        <v>1.10752688172043</v>
      </c>
      <c r="P452" s="20">
        <v>1.10752688172043</v>
      </c>
      <c r="Q452" s="20">
        <v>0</v>
      </c>
      <c r="R452" s="20">
        <v>0</v>
      </c>
      <c r="S452" s="20">
        <v>0</v>
      </c>
      <c r="T452" s="20">
        <v>0</v>
      </c>
      <c r="U452" s="20">
        <v>0</v>
      </c>
      <c r="V452" s="20">
        <v>0</v>
      </c>
      <c r="W452" s="20">
        <v>0</v>
      </c>
      <c r="X452" s="20">
        <v>2.21505376344086</v>
      </c>
      <c r="Y452" s="20">
        <v>0</v>
      </c>
      <c r="Z452" s="20">
        <v>5.5376344086021501</v>
      </c>
      <c r="AA452" s="20">
        <v>37.655913978494624</v>
      </c>
      <c r="AB452" s="20">
        <v>1.10752688172043</v>
      </c>
      <c r="AC452" s="20">
        <v>1.10752688172043</v>
      </c>
      <c r="AD452" s="20">
        <v>0</v>
      </c>
      <c r="AE452" s="20">
        <v>0</v>
      </c>
      <c r="AF452" s="20">
        <v>1.10752688172043</v>
      </c>
      <c r="AG452" s="20">
        <v>0</v>
      </c>
      <c r="AH452" s="20">
        <v>2.21505376344086</v>
      </c>
      <c r="AI452" s="20">
        <v>1.10752688172043</v>
      </c>
      <c r="AJ452" s="20">
        <v>2.21505376344086</v>
      </c>
      <c r="AK452" s="20">
        <v>0</v>
      </c>
      <c r="AL452" s="20">
        <v>0</v>
      </c>
      <c r="AM452" s="20">
        <v>3.3225806451612905</v>
      </c>
      <c r="AN452" s="20">
        <v>1.10752688172043</v>
      </c>
      <c r="AO452" s="20">
        <v>2.21505376344086</v>
      </c>
      <c r="AP452" s="20">
        <v>1.10752688172043</v>
      </c>
      <c r="AQ452" s="20">
        <v>1.10752688172043</v>
      </c>
      <c r="AR452" s="20">
        <v>1.10752688172043</v>
      </c>
      <c r="AS452" s="20">
        <v>2.21505376344086</v>
      </c>
      <c r="AT452" s="20">
        <v>1.10752688172043</v>
      </c>
      <c r="AU452" s="20">
        <v>0</v>
      </c>
      <c r="AV452" s="20">
        <v>0</v>
      </c>
      <c r="AW452" s="20">
        <v>0</v>
      </c>
      <c r="AX452" s="20">
        <v>1.10752688172043</v>
      </c>
      <c r="AY452" s="20">
        <v>1.10752688172043</v>
      </c>
      <c r="AZ452" s="20">
        <v>1.10752688172043</v>
      </c>
      <c r="BA452" s="20">
        <v>2.21505376344086</v>
      </c>
      <c r="BB452" s="20">
        <v>2.21505376344086</v>
      </c>
      <c r="BC452" s="20">
        <v>2.21505376344086</v>
      </c>
      <c r="BD452" s="20">
        <v>6.645161290322581</v>
      </c>
      <c r="BE452" s="20">
        <v>0</v>
      </c>
      <c r="BF452" s="20">
        <v>1.10752688172043</v>
      </c>
      <c r="BG452" s="20">
        <v>1.10752688172043</v>
      </c>
      <c r="BH452" s="20">
        <v>2.21505376344086</v>
      </c>
      <c r="BI452" s="20">
        <v>2.21505376344086</v>
      </c>
      <c r="BJ452" s="20">
        <v>3.3225806451612905</v>
      </c>
      <c r="BK452" s="20">
        <v>0</v>
      </c>
      <c r="BL452" s="20">
        <v>0</v>
      </c>
      <c r="BM452" s="20">
        <v>1.10752688172043</v>
      </c>
      <c r="BN452" s="20">
        <v>0</v>
      </c>
      <c r="BO452" s="20">
        <v>0</v>
      </c>
      <c r="BP452" s="20">
        <v>0</v>
      </c>
      <c r="BQ452" s="20">
        <v>0</v>
      </c>
      <c r="BR452" s="20">
        <v>0</v>
      </c>
      <c r="BS452" s="20">
        <v>0</v>
      </c>
      <c r="BT452" s="20">
        <v>0</v>
      </c>
      <c r="BU452" s="20">
        <v>0</v>
      </c>
      <c r="BV452" s="20">
        <v>0</v>
      </c>
      <c r="BW452" s="20">
        <v>0</v>
      </c>
      <c r="BX452" s="20">
        <v>0</v>
      </c>
      <c r="BY452" s="20">
        <v>0</v>
      </c>
      <c r="BZ452" s="20">
        <v>0</v>
      </c>
      <c r="CA452" s="20">
        <v>0</v>
      </c>
      <c r="CB452" s="20">
        <v>0</v>
      </c>
      <c r="CC452" s="20">
        <v>0</v>
      </c>
      <c r="CD452" s="20">
        <v>0</v>
      </c>
      <c r="CE452" s="20">
        <v>0</v>
      </c>
      <c r="CF452" s="20">
        <v>0</v>
      </c>
      <c r="CG452" s="20">
        <v>0</v>
      </c>
      <c r="CH452" s="20">
        <v>0</v>
      </c>
      <c r="CI452" s="20">
        <v>0</v>
      </c>
      <c r="CJ452" s="20">
        <v>0</v>
      </c>
      <c r="CK452" s="20">
        <v>0</v>
      </c>
      <c r="CL452" s="20">
        <v>0</v>
      </c>
      <c r="CM452" s="20">
        <v>0</v>
      </c>
      <c r="CN452" s="20">
        <v>0</v>
      </c>
      <c r="CO452" s="20">
        <v>0</v>
      </c>
      <c r="CP452" s="20">
        <v>0</v>
      </c>
      <c r="CQ452" s="20">
        <v>0</v>
      </c>
      <c r="CR452" s="20">
        <v>0</v>
      </c>
      <c r="CS452" s="20">
        <v>0</v>
      </c>
      <c r="CT452" s="20">
        <v>0</v>
      </c>
      <c r="CU452" s="20">
        <v>0</v>
      </c>
      <c r="CV452" s="20">
        <v>0</v>
      </c>
      <c r="CW452" s="20">
        <v>0</v>
      </c>
      <c r="CX452" s="20">
        <v>0</v>
      </c>
      <c r="CY452" s="20">
        <v>0</v>
      </c>
      <c r="CZ452" s="20">
        <v>0</v>
      </c>
      <c r="DA452" s="20">
        <v>0</v>
      </c>
      <c r="DB452" s="20">
        <v>0</v>
      </c>
      <c r="DC452" s="20">
        <v>0</v>
      </c>
      <c r="DD452" s="20">
        <v>0</v>
      </c>
      <c r="DE452" s="20">
        <v>0</v>
      </c>
      <c r="DF452" s="20">
        <v>0</v>
      </c>
      <c r="DG452" s="16">
        <f t="shared" si="39"/>
        <v>103.00000000000006</v>
      </c>
      <c r="DH452" s="16">
        <f t="shared" si="40"/>
        <v>3010.2580645161279</v>
      </c>
      <c r="DI452" s="17">
        <f t="shared" si="41"/>
        <v>29.225806451612875</v>
      </c>
      <c r="DJ452" s="119" t="s">
        <v>720</v>
      </c>
      <c r="DK452" s="44" t="s">
        <v>720</v>
      </c>
      <c r="DL452" s="44"/>
    </row>
    <row r="453" spans="1:117">
      <c r="A453" s="32" t="str">
        <f t="shared" si="37"/>
        <v>Essential (Original)--22kV; UNKNOWN</v>
      </c>
      <c r="B453" s="32" t="str">
        <f t="shared" si="38"/>
        <v>Essential (Original)</v>
      </c>
      <c r="C453" s="384"/>
      <c r="D453" s="14"/>
      <c r="E453" s="15" t="s">
        <v>525</v>
      </c>
      <c r="F453" s="18">
        <v>54.9</v>
      </c>
      <c r="G453" s="18">
        <v>7.4094534211370817</v>
      </c>
      <c r="H453" s="20">
        <v>0</v>
      </c>
      <c r="I453" s="20">
        <v>0</v>
      </c>
      <c r="J453" s="20">
        <v>0</v>
      </c>
      <c r="K453" s="20">
        <v>0</v>
      </c>
      <c r="L453" s="20">
        <v>0</v>
      </c>
      <c r="M453" s="20">
        <v>0</v>
      </c>
      <c r="N453" s="20">
        <v>0</v>
      </c>
      <c r="O453" s="20">
        <v>0</v>
      </c>
      <c r="P453" s="20">
        <v>0</v>
      </c>
      <c r="Q453" s="20">
        <v>0</v>
      </c>
      <c r="R453" s="20">
        <v>0</v>
      </c>
      <c r="S453" s="20">
        <v>2</v>
      </c>
      <c r="T453" s="20">
        <v>0</v>
      </c>
      <c r="U453" s="20">
        <v>1</v>
      </c>
      <c r="V453" s="20">
        <v>2</v>
      </c>
      <c r="W453" s="20">
        <v>1</v>
      </c>
      <c r="X453" s="20">
        <v>0</v>
      </c>
      <c r="Y453" s="20">
        <v>1</v>
      </c>
      <c r="Z453" s="20">
        <v>2</v>
      </c>
      <c r="AA453" s="20">
        <v>1</v>
      </c>
      <c r="AB453" s="20">
        <v>1</v>
      </c>
      <c r="AC453" s="20">
        <v>1</v>
      </c>
      <c r="AD453" s="20">
        <v>1</v>
      </c>
      <c r="AE453" s="20">
        <v>3</v>
      </c>
      <c r="AF453" s="20">
        <v>1</v>
      </c>
      <c r="AG453" s="20">
        <v>3</v>
      </c>
      <c r="AH453" s="20">
        <v>1</v>
      </c>
      <c r="AI453" s="20">
        <v>5</v>
      </c>
      <c r="AJ453" s="20">
        <v>3</v>
      </c>
      <c r="AK453" s="20">
        <v>1</v>
      </c>
      <c r="AL453" s="20">
        <v>0</v>
      </c>
      <c r="AM453" s="20">
        <v>2</v>
      </c>
      <c r="AN453" s="20">
        <v>1</v>
      </c>
      <c r="AO453" s="20">
        <v>2</v>
      </c>
      <c r="AP453" s="20">
        <v>2</v>
      </c>
      <c r="AQ453" s="20">
        <v>0</v>
      </c>
      <c r="AR453" s="20">
        <v>2</v>
      </c>
      <c r="AS453" s="20">
        <v>0</v>
      </c>
      <c r="AT453" s="20">
        <v>0</v>
      </c>
      <c r="AU453" s="20">
        <v>0</v>
      </c>
      <c r="AV453" s="20">
        <v>0</v>
      </c>
      <c r="AW453" s="20">
        <v>2</v>
      </c>
      <c r="AX453" s="20">
        <v>1</v>
      </c>
      <c r="AY453" s="20">
        <v>3</v>
      </c>
      <c r="AZ453" s="20">
        <v>2</v>
      </c>
      <c r="BA453" s="20">
        <v>4</v>
      </c>
      <c r="BB453" s="20">
        <v>1</v>
      </c>
      <c r="BC453" s="20">
        <v>5</v>
      </c>
      <c r="BD453" s="20">
        <v>9</v>
      </c>
      <c r="BE453" s="20">
        <v>0</v>
      </c>
      <c r="BF453" s="20">
        <v>1</v>
      </c>
      <c r="BG453" s="20">
        <v>0</v>
      </c>
      <c r="BH453" s="20">
        <v>5</v>
      </c>
      <c r="BI453" s="20">
        <v>5</v>
      </c>
      <c r="BJ453" s="20">
        <v>1</v>
      </c>
      <c r="BK453" s="20">
        <v>2</v>
      </c>
      <c r="BL453" s="20">
        <v>0</v>
      </c>
      <c r="BM453" s="20">
        <v>1</v>
      </c>
      <c r="BN453" s="20">
        <v>3</v>
      </c>
      <c r="BO453" s="20">
        <v>0</v>
      </c>
      <c r="BP453" s="20">
        <v>1</v>
      </c>
      <c r="BQ453" s="20">
        <v>0</v>
      </c>
      <c r="BR453" s="20">
        <v>1</v>
      </c>
      <c r="BS453" s="20">
        <v>0</v>
      </c>
      <c r="BT453" s="20">
        <v>0</v>
      </c>
      <c r="BU453" s="20">
        <v>0</v>
      </c>
      <c r="BV453" s="20">
        <v>0</v>
      </c>
      <c r="BW453" s="20">
        <v>0</v>
      </c>
      <c r="BX453" s="20">
        <v>0</v>
      </c>
      <c r="BY453" s="20">
        <v>0</v>
      </c>
      <c r="BZ453" s="20">
        <v>0</v>
      </c>
      <c r="CA453" s="20">
        <v>0</v>
      </c>
      <c r="CB453" s="20">
        <v>0</v>
      </c>
      <c r="CC453" s="20">
        <v>0</v>
      </c>
      <c r="CD453" s="20">
        <v>0</v>
      </c>
      <c r="CE453" s="20">
        <v>0</v>
      </c>
      <c r="CF453" s="20">
        <v>0</v>
      </c>
      <c r="CG453" s="20">
        <v>0</v>
      </c>
      <c r="CH453" s="20">
        <v>0</v>
      </c>
      <c r="CI453" s="20">
        <v>0</v>
      </c>
      <c r="CJ453" s="20">
        <v>0</v>
      </c>
      <c r="CK453" s="20">
        <v>0</v>
      </c>
      <c r="CL453" s="20">
        <v>0</v>
      </c>
      <c r="CM453" s="20">
        <v>0</v>
      </c>
      <c r="CN453" s="20">
        <v>0</v>
      </c>
      <c r="CO453" s="20">
        <v>0</v>
      </c>
      <c r="CP453" s="20">
        <v>0</v>
      </c>
      <c r="CQ453" s="20">
        <v>0</v>
      </c>
      <c r="CR453" s="20">
        <v>0</v>
      </c>
      <c r="CS453" s="20">
        <v>0</v>
      </c>
      <c r="CT453" s="20">
        <v>0</v>
      </c>
      <c r="CU453" s="20">
        <v>0</v>
      </c>
      <c r="CV453" s="20">
        <v>0</v>
      </c>
      <c r="CW453" s="20">
        <v>0</v>
      </c>
      <c r="CX453" s="20">
        <v>0</v>
      </c>
      <c r="CY453" s="20">
        <v>0</v>
      </c>
      <c r="CZ453" s="20">
        <v>0</v>
      </c>
      <c r="DA453" s="20">
        <v>0</v>
      </c>
      <c r="DB453" s="20">
        <v>0</v>
      </c>
      <c r="DC453" s="20">
        <v>0</v>
      </c>
      <c r="DD453" s="20">
        <v>0</v>
      </c>
      <c r="DE453" s="20">
        <v>0</v>
      </c>
      <c r="DF453" s="20">
        <v>0</v>
      </c>
      <c r="DG453" s="16">
        <f t="shared" si="39"/>
        <v>86</v>
      </c>
      <c r="DH453" s="16">
        <f t="shared" si="40"/>
        <v>3367</v>
      </c>
      <c r="DI453" s="17">
        <f t="shared" si="41"/>
        <v>39.151162790697676</v>
      </c>
      <c r="DJ453" s="119" t="s">
        <v>720</v>
      </c>
      <c r="DK453" s="44" t="s">
        <v>720</v>
      </c>
      <c r="DL453" s="44"/>
    </row>
    <row r="454" spans="1:117">
      <c r="A454" s="32" t="str">
        <f t="shared" si="37"/>
        <v>Essential (Original)--33kV; 3 PHASE</v>
      </c>
      <c r="B454" s="32" t="str">
        <f t="shared" si="38"/>
        <v>Essential (Original)</v>
      </c>
      <c r="C454" s="384"/>
      <c r="D454" s="14"/>
      <c r="E454" s="15" t="s">
        <v>526</v>
      </c>
      <c r="F454" s="18">
        <v>54.9</v>
      </c>
      <c r="G454" s="18">
        <v>7.4094534211370817</v>
      </c>
      <c r="H454" s="20">
        <v>0</v>
      </c>
      <c r="I454" s="20">
        <v>2</v>
      </c>
      <c r="J454" s="20">
        <v>0</v>
      </c>
      <c r="K454" s="20">
        <v>0</v>
      </c>
      <c r="L454" s="20">
        <v>1</v>
      </c>
      <c r="M454" s="20">
        <v>0</v>
      </c>
      <c r="N454" s="20">
        <v>0</v>
      </c>
      <c r="O454" s="20">
        <v>1</v>
      </c>
      <c r="P454" s="20">
        <v>1</v>
      </c>
      <c r="Q454" s="20">
        <v>1</v>
      </c>
      <c r="R454" s="20">
        <v>1</v>
      </c>
      <c r="S454" s="20">
        <v>1</v>
      </c>
      <c r="T454" s="20">
        <v>3</v>
      </c>
      <c r="U454" s="20">
        <v>2</v>
      </c>
      <c r="V454" s="20">
        <v>0</v>
      </c>
      <c r="W454" s="20">
        <v>0</v>
      </c>
      <c r="X454" s="20">
        <v>0</v>
      </c>
      <c r="Y454" s="20">
        <v>0</v>
      </c>
      <c r="Z454" s="20">
        <v>4</v>
      </c>
      <c r="AA454" s="20">
        <v>9</v>
      </c>
      <c r="AB454" s="20">
        <v>7</v>
      </c>
      <c r="AC454" s="20">
        <v>4</v>
      </c>
      <c r="AD454" s="20">
        <v>0</v>
      </c>
      <c r="AE454" s="20">
        <v>0</v>
      </c>
      <c r="AF454" s="20">
        <v>0</v>
      </c>
      <c r="AG454" s="20">
        <v>0</v>
      </c>
      <c r="AH454" s="20">
        <v>6</v>
      </c>
      <c r="AI454" s="20">
        <v>0</v>
      </c>
      <c r="AJ454" s="20">
        <v>1</v>
      </c>
      <c r="AK454" s="20">
        <v>4</v>
      </c>
      <c r="AL454" s="20">
        <v>0</v>
      </c>
      <c r="AM454" s="20">
        <v>0</v>
      </c>
      <c r="AN454" s="20">
        <v>2</v>
      </c>
      <c r="AO454" s="20">
        <v>0</v>
      </c>
      <c r="AP454" s="20">
        <v>0</v>
      </c>
      <c r="AQ454" s="20">
        <v>3</v>
      </c>
      <c r="AR454" s="20">
        <v>0</v>
      </c>
      <c r="AS454" s="20">
        <v>0</v>
      </c>
      <c r="AT454" s="20">
        <v>0</v>
      </c>
      <c r="AU454" s="20">
        <v>0</v>
      </c>
      <c r="AV454" s="20">
        <v>0</v>
      </c>
      <c r="AW454" s="20">
        <v>0</v>
      </c>
      <c r="AX454" s="20">
        <v>0</v>
      </c>
      <c r="AY454" s="20">
        <v>0</v>
      </c>
      <c r="AZ454" s="20">
        <v>1</v>
      </c>
      <c r="BA454" s="20">
        <v>0</v>
      </c>
      <c r="BB454" s="20">
        <v>0</v>
      </c>
      <c r="BC454" s="20">
        <v>0</v>
      </c>
      <c r="BD454" s="20">
        <v>1</v>
      </c>
      <c r="BE454" s="20">
        <v>2</v>
      </c>
      <c r="BF454" s="20">
        <v>0</v>
      </c>
      <c r="BG454" s="20">
        <v>0</v>
      </c>
      <c r="BH454" s="20">
        <v>0</v>
      </c>
      <c r="BI454" s="20">
        <v>0</v>
      </c>
      <c r="BJ454" s="20">
        <v>0</v>
      </c>
      <c r="BK454" s="20">
        <v>0</v>
      </c>
      <c r="BL454" s="20">
        <v>1</v>
      </c>
      <c r="BM454" s="20">
        <v>0</v>
      </c>
      <c r="BN454" s="20">
        <v>0</v>
      </c>
      <c r="BO454" s="20">
        <v>0</v>
      </c>
      <c r="BP454" s="20">
        <v>0</v>
      </c>
      <c r="BQ454" s="20">
        <v>0</v>
      </c>
      <c r="BR454" s="20">
        <v>0</v>
      </c>
      <c r="BS454" s="20">
        <v>0</v>
      </c>
      <c r="BT454" s="20">
        <v>0</v>
      </c>
      <c r="BU454" s="20">
        <v>0</v>
      </c>
      <c r="BV454" s="20">
        <v>0</v>
      </c>
      <c r="BW454" s="20">
        <v>0</v>
      </c>
      <c r="BX454" s="20">
        <v>0</v>
      </c>
      <c r="BY454" s="20">
        <v>0</v>
      </c>
      <c r="BZ454" s="20">
        <v>0</v>
      </c>
      <c r="CA454" s="20">
        <v>0</v>
      </c>
      <c r="CB454" s="20">
        <v>0</v>
      </c>
      <c r="CC454" s="20">
        <v>0</v>
      </c>
      <c r="CD454" s="20">
        <v>0</v>
      </c>
      <c r="CE454" s="20">
        <v>0</v>
      </c>
      <c r="CF454" s="20">
        <v>0</v>
      </c>
      <c r="CG454" s="20">
        <v>0</v>
      </c>
      <c r="CH454" s="20">
        <v>0</v>
      </c>
      <c r="CI454" s="20">
        <v>0</v>
      </c>
      <c r="CJ454" s="20">
        <v>0</v>
      </c>
      <c r="CK454" s="20">
        <v>0</v>
      </c>
      <c r="CL454" s="20">
        <v>0</v>
      </c>
      <c r="CM454" s="20">
        <v>0</v>
      </c>
      <c r="CN454" s="20">
        <v>0</v>
      </c>
      <c r="CO454" s="20">
        <v>0</v>
      </c>
      <c r="CP454" s="20">
        <v>0</v>
      </c>
      <c r="CQ454" s="20">
        <v>0</v>
      </c>
      <c r="CR454" s="20">
        <v>0</v>
      </c>
      <c r="CS454" s="20">
        <v>0</v>
      </c>
      <c r="CT454" s="20">
        <v>0</v>
      </c>
      <c r="CU454" s="20">
        <v>0</v>
      </c>
      <c r="CV454" s="20">
        <v>0</v>
      </c>
      <c r="CW454" s="20">
        <v>0</v>
      </c>
      <c r="CX454" s="20">
        <v>0</v>
      </c>
      <c r="CY454" s="20">
        <v>0</v>
      </c>
      <c r="CZ454" s="20">
        <v>0</v>
      </c>
      <c r="DA454" s="20">
        <v>0</v>
      </c>
      <c r="DB454" s="20">
        <v>0</v>
      </c>
      <c r="DC454" s="20">
        <v>0</v>
      </c>
      <c r="DD454" s="20">
        <v>0</v>
      </c>
      <c r="DE454" s="20">
        <v>0</v>
      </c>
      <c r="DF454" s="20">
        <v>0</v>
      </c>
      <c r="DG454" s="16">
        <f t="shared" si="39"/>
        <v>58</v>
      </c>
      <c r="DH454" s="16">
        <f t="shared" si="40"/>
        <v>1353</v>
      </c>
      <c r="DI454" s="17">
        <f t="shared" si="41"/>
        <v>23.327586206896552</v>
      </c>
      <c r="DJ454" s="119" t="s">
        <v>720</v>
      </c>
      <c r="DK454" s="44" t="s">
        <v>720</v>
      </c>
      <c r="DL454" s="44"/>
    </row>
    <row r="455" spans="1:117">
      <c r="A455" s="32" t="str">
        <f t="shared" si="37"/>
        <v>Essential (Original)--66kV; 3 PHASE</v>
      </c>
      <c r="B455" s="32" t="str">
        <f t="shared" si="38"/>
        <v>Essential (Original)</v>
      </c>
      <c r="C455" s="384"/>
      <c r="D455" s="14"/>
      <c r="E455" s="15" t="s">
        <v>527</v>
      </c>
      <c r="F455" s="18">
        <v>54.9</v>
      </c>
      <c r="G455" s="18">
        <v>7.4094534211370817</v>
      </c>
      <c r="H455" s="20">
        <v>0</v>
      </c>
      <c r="I455" s="20">
        <v>0</v>
      </c>
      <c r="J455" s="20">
        <v>0</v>
      </c>
      <c r="K455" s="20">
        <v>0</v>
      </c>
      <c r="L455" s="20">
        <v>1</v>
      </c>
      <c r="M455" s="20">
        <v>0</v>
      </c>
      <c r="N455" s="20">
        <v>0</v>
      </c>
      <c r="O455" s="20">
        <v>0</v>
      </c>
      <c r="P455" s="20">
        <v>0</v>
      </c>
      <c r="Q455" s="20">
        <v>0</v>
      </c>
      <c r="R455" s="20">
        <v>0</v>
      </c>
      <c r="S455" s="20">
        <v>0</v>
      </c>
      <c r="T455" s="20">
        <v>0</v>
      </c>
      <c r="U455" s="20">
        <v>1</v>
      </c>
      <c r="V455" s="20">
        <v>0</v>
      </c>
      <c r="W455" s="20">
        <v>2</v>
      </c>
      <c r="X455" s="20">
        <v>1</v>
      </c>
      <c r="Y455" s="20">
        <v>0</v>
      </c>
      <c r="Z455" s="20">
        <v>1</v>
      </c>
      <c r="AA455" s="20">
        <v>1</v>
      </c>
      <c r="AB455" s="20">
        <v>1</v>
      </c>
      <c r="AC455" s="20">
        <v>0</v>
      </c>
      <c r="AD455" s="20">
        <v>0</v>
      </c>
      <c r="AE455" s="20">
        <v>0</v>
      </c>
      <c r="AF455" s="20">
        <v>0</v>
      </c>
      <c r="AG455" s="20">
        <v>0</v>
      </c>
      <c r="AH455" s="20">
        <v>0</v>
      </c>
      <c r="AI455" s="20">
        <v>0</v>
      </c>
      <c r="AJ455" s="20">
        <v>0</v>
      </c>
      <c r="AK455" s="20">
        <v>0</v>
      </c>
      <c r="AL455" s="20">
        <v>0</v>
      </c>
      <c r="AM455" s="20">
        <v>0</v>
      </c>
      <c r="AN455" s="20">
        <v>0</v>
      </c>
      <c r="AO455" s="20">
        <v>0</v>
      </c>
      <c r="AP455" s="20">
        <v>0</v>
      </c>
      <c r="AQ455" s="20">
        <v>0</v>
      </c>
      <c r="AR455" s="20">
        <v>0</v>
      </c>
      <c r="AS455" s="20">
        <v>0</v>
      </c>
      <c r="AT455" s="20">
        <v>0</v>
      </c>
      <c r="AU455" s="20">
        <v>0</v>
      </c>
      <c r="AV455" s="20">
        <v>1</v>
      </c>
      <c r="AW455" s="20">
        <v>4</v>
      </c>
      <c r="AX455" s="20">
        <v>2</v>
      </c>
      <c r="AY455" s="20">
        <v>8</v>
      </c>
      <c r="AZ455" s="20">
        <v>1</v>
      </c>
      <c r="BA455" s="20">
        <v>1</v>
      </c>
      <c r="BB455" s="20">
        <v>2</v>
      </c>
      <c r="BC455" s="20">
        <v>11</v>
      </c>
      <c r="BD455" s="20">
        <v>3</v>
      </c>
      <c r="BE455" s="20">
        <v>0</v>
      </c>
      <c r="BF455" s="20">
        <v>1</v>
      </c>
      <c r="BG455" s="20">
        <v>3</v>
      </c>
      <c r="BH455" s="20">
        <v>0</v>
      </c>
      <c r="BI455" s="20">
        <v>11</v>
      </c>
      <c r="BJ455" s="20">
        <v>2</v>
      </c>
      <c r="BK455" s="20">
        <v>0</v>
      </c>
      <c r="BL455" s="20">
        <v>0</v>
      </c>
      <c r="BM455" s="20">
        <v>0</v>
      </c>
      <c r="BN455" s="20">
        <v>1</v>
      </c>
      <c r="BO455" s="20">
        <v>0</v>
      </c>
      <c r="BP455" s="20">
        <v>0</v>
      </c>
      <c r="BQ455" s="20">
        <v>0</v>
      </c>
      <c r="BR455" s="20">
        <v>0</v>
      </c>
      <c r="BS455" s="20">
        <v>0</v>
      </c>
      <c r="BT455" s="20">
        <v>0</v>
      </c>
      <c r="BU455" s="20">
        <v>0</v>
      </c>
      <c r="BV455" s="20">
        <v>0</v>
      </c>
      <c r="BW455" s="20">
        <v>0</v>
      </c>
      <c r="BX455" s="20">
        <v>0</v>
      </c>
      <c r="BY455" s="20">
        <v>0</v>
      </c>
      <c r="BZ455" s="20">
        <v>0</v>
      </c>
      <c r="CA455" s="20">
        <v>0</v>
      </c>
      <c r="CB455" s="20">
        <v>0</v>
      </c>
      <c r="CC455" s="20">
        <v>0</v>
      </c>
      <c r="CD455" s="20">
        <v>0</v>
      </c>
      <c r="CE455" s="20">
        <v>0</v>
      </c>
      <c r="CF455" s="20">
        <v>0</v>
      </c>
      <c r="CG455" s="20">
        <v>0</v>
      </c>
      <c r="CH455" s="20">
        <v>0</v>
      </c>
      <c r="CI455" s="20">
        <v>0</v>
      </c>
      <c r="CJ455" s="20">
        <v>0</v>
      </c>
      <c r="CK455" s="20">
        <v>0</v>
      </c>
      <c r="CL455" s="20">
        <v>0</v>
      </c>
      <c r="CM455" s="20">
        <v>0</v>
      </c>
      <c r="CN455" s="20">
        <v>0</v>
      </c>
      <c r="CO455" s="20">
        <v>0</v>
      </c>
      <c r="CP455" s="20">
        <v>0</v>
      </c>
      <c r="CQ455" s="20">
        <v>0</v>
      </c>
      <c r="CR455" s="20">
        <v>0</v>
      </c>
      <c r="CS455" s="20">
        <v>0</v>
      </c>
      <c r="CT455" s="20">
        <v>0</v>
      </c>
      <c r="CU455" s="20">
        <v>0</v>
      </c>
      <c r="CV455" s="20">
        <v>0</v>
      </c>
      <c r="CW455" s="20">
        <v>0</v>
      </c>
      <c r="CX455" s="20">
        <v>0</v>
      </c>
      <c r="CY455" s="20">
        <v>0</v>
      </c>
      <c r="CZ455" s="20">
        <v>0</v>
      </c>
      <c r="DA455" s="20">
        <v>0</v>
      </c>
      <c r="DB455" s="20">
        <v>0</v>
      </c>
      <c r="DC455" s="20">
        <v>0</v>
      </c>
      <c r="DD455" s="20">
        <v>0</v>
      </c>
      <c r="DE455" s="20">
        <v>0</v>
      </c>
      <c r="DF455" s="20">
        <v>0</v>
      </c>
      <c r="DG455" s="16">
        <f t="shared" si="39"/>
        <v>59</v>
      </c>
      <c r="DH455" s="16">
        <f t="shared" si="40"/>
        <v>2605</v>
      </c>
      <c r="DI455" s="17">
        <f t="shared" si="41"/>
        <v>44.152542372881356</v>
      </c>
      <c r="DJ455" s="119" t="s">
        <v>720</v>
      </c>
      <c r="DK455" s="44" t="s">
        <v>720</v>
      </c>
      <c r="DL455" s="44"/>
    </row>
    <row r="456" spans="1:117">
      <c r="A456" s="32" t="str">
        <f t="shared" si="37"/>
        <v>Essential (Original)-ELECTRICITY METERS-Type 5 &amp; 6 Installed Meters</v>
      </c>
      <c r="B456" s="32" t="str">
        <f t="shared" si="38"/>
        <v>Essential (Original)</v>
      </c>
      <c r="C456" s="384"/>
      <c r="D456" s="14" t="s">
        <v>535</v>
      </c>
      <c r="E456" s="15" t="s">
        <v>536</v>
      </c>
      <c r="F456" s="18">
        <v>25</v>
      </c>
      <c r="G456" s="18">
        <v>5</v>
      </c>
      <c r="H456" s="20">
        <v>41017</v>
      </c>
      <c r="I456" s="20">
        <v>47241</v>
      </c>
      <c r="J456" s="20">
        <v>50140</v>
      </c>
      <c r="K456" s="20">
        <v>26581</v>
      </c>
      <c r="L456" s="20">
        <v>24197</v>
      </c>
      <c r="M456" s="20">
        <v>24567</v>
      </c>
      <c r="N456" s="20">
        <v>25952</v>
      </c>
      <c r="O456" s="20">
        <v>24482</v>
      </c>
      <c r="P456" s="20">
        <v>27074</v>
      </c>
      <c r="Q456" s="20">
        <v>31916</v>
      </c>
      <c r="R456" s="20">
        <v>25024</v>
      </c>
      <c r="S456" s="20">
        <v>25303</v>
      </c>
      <c r="T456" s="20">
        <v>24584</v>
      </c>
      <c r="U456" s="20">
        <v>22505</v>
      </c>
      <c r="V456" s="20">
        <v>24228</v>
      </c>
      <c r="W456" s="20">
        <v>24291</v>
      </c>
      <c r="X456" s="20">
        <v>24336</v>
      </c>
      <c r="Y456" s="20">
        <v>25112</v>
      </c>
      <c r="Z456" s="20">
        <v>25121</v>
      </c>
      <c r="AA456" s="20">
        <v>24376</v>
      </c>
      <c r="AB456" s="20">
        <v>24376</v>
      </c>
      <c r="AC456" s="20">
        <v>24376</v>
      </c>
      <c r="AD456" s="20">
        <v>23407</v>
      </c>
      <c r="AE456" s="20">
        <v>23426</v>
      </c>
      <c r="AF456" s="20">
        <v>23426</v>
      </c>
      <c r="AG456" s="20">
        <v>23401</v>
      </c>
      <c r="AH456" s="20">
        <v>26093</v>
      </c>
      <c r="AI456" s="20">
        <v>23265</v>
      </c>
      <c r="AJ456" s="20">
        <v>23265</v>
      </c>
      <c r="AK456" s="20">
        <v>29146</v>
      </c>
      <c r="AL456" s="20">
        <v>25570</v>
      </c>
      <c r="AM456" s="20">
        <v>25570</v>
      </c>
      <c r="AN456" s="20">
        <v>27879</v>
      </c>
      <c r="AO456" s="20">
        <v>28293</v>
      </c>
      <c r="AP456" s="20">
        <v>24893</v>
      </c>
      <c r="AQ456" s="20">
        <v>22121</v>
      </c>
      <c r="AR456" s="20">
        <v>26560</v>
      </c>
      <c r="AS456" s="20">
        <v>27794</v>
      </c>
      <c r="AT456" s="20">
        <v>28806</v>
      </c>
      <c r="AU456" s="20">
        <v>30894</v>
      </c>
      <c r="AV456" s="20">
        <v>29857</v>
      </c>
      <c r="AW456" s="20">
        <v>29215</v>
      </c>
      <c r="AX456" s="20">
        <v>27034</v>
      </c>
      <c r="AY456" s="20">
        <v>24083</v>
      </c>
      <c r="AZ456" s="20">
        <v>21978</v>
      </c>
      <c r="BA456" s="20">
        <v>20022</v>
      </c>
      <c r="BB456" s="20">
        <v>17856</v>
      </c>
      <c r="BC456" s="20">
        <v>16123</v>
      </c>
      <c r="BD456" s="20">
        <v>14021</v>
      </c>
      <c r="BE456" s="20">
        <v>12798</v>
      </c>
      <c r="BF456" s="20">
        <v>12175</v>
      </c>
      <c r="BG456" s="20">
        <v>11652</v>
      </c>
      <c r="BH456" s="20">
        <v>11129</v>
      </c>
      <c r="BI456" s="20">
        <v>10606</v>
      </c>
      <c r="BJ456" s="20">
        <v>10083</v>
      </c>
      <c r="BK456" s="20">
        <v>9560</v>
      </c>
      <c r="BL456" s="20">
        <v>9037</v>
      </c>
      <c r="BM456" s="20">
        <v>8414</v>
      </c>
      <c r="BN456" s="20">
        <v>7791</v>
      </c>
      <c r="BO456" s="20">
        <v>7368</v>
      </c>
      <c r="BP456" s="20">
        <v>6745</v>
      </c>
      <c r="BQ456" s="20">
        <v>6122</v>
      </c>
      <c r="BR456" s="20">
        <v>5499</v>
      </c>
      <c r="BS456" s="20">
        <v>5276</v>
      </c>
      <c r="BT456" s="20">
        <v>5053</v>
      </c>
      <c r="BU456" s="20">
        <v>4830</v>
      </c>
      <c r="BV456" s="20">
        <v>4407</v>
      </c>
      <c r="BW456" s="20">
        <v>4184</v>
      </c>
      <c r="BX456" s="20">
        <v>3961</v>
      </c>
      <c r="BY456" s="20">
        <v>3638</v>
      </c>
      <c r="BZ456" s="20">
        <v>3315</v>
      </c>
      <c r="CA456" s="20">
        <v>2992</v>
      </c>
      <c r="CB456" s="20">
        <v>2669</v>
      </c>
      <c r="CC456" s="20">
        <v>2346</v>
      </c>
      <c r="CD456" s="20">
        <v>2023</v>
      </c>
      <c r="CE456" s="20">
        <v>1800</v>
      </c>
      <c r="CF456" s="20">
        <v>960</v>
      </c>
      <c r="CG456" s="20">
        <v>404</v>
      </c>
      <c r="CH456" s="20">
        <v>0</v>
      </c>
      <c r="CI456" s="20">
        <v>0</v>
      </c>
      <c r="CJ456" s="20">
        <v>0</v>
      </c>
      <c r="CK456" s="20">
        <v>0</v>
      </c>
      <c r="CL456" s="20">
        <v>0</v>
      </c>
      <c r="CM456" s="20">
        <v>0</v>
      </c>
      <c r="CN456" s="20">
        <v>0</v>
      </c>
      <c r="CO456" s="20">
        <v>0</v>
      </c>
      <c r="CP456" s="20">
        <v>0</v>
      </c>
      <c r="CQ456" s="20">
        <v>0</v>
      </c>
      <c r="CR456" s="20">
        <v>0</v>
      </c>
      <c r="CS456" s="20">
        <v>0</v>
      </c>
      <c r="CT456" s="20">
        <v>0</v>
      </c>
      <c r="CU456" s="20">
        <v>0</v>
      </c>
      <c r="CV456" s="20">
        <v>0</v>
      </c>
      <c r="CW456" s="20">
        <v>0</v>
      </c>
      <c r="CX456" s="20">
        <v>0</v>
      </c>
      <c r="CY456" s="20">
        <v>0</v>
      </c>
      <c r="CZ456" s="20">
        <v>0</v>
      </c>
      <c r="DA456" s="20">
        <v>0</v>
      </c>
      <c r="DB456" s="20">
        <v>0</v>
      </c>
      <c r="DC456" s="20">
        <v>0</v>
      </c>
      <c r="DD456" s="20">
        <v>0</v>
      </c>
      <c r="DE456" s="20">
        <v>0</v>
      </c>
      <c r="DF456" s="20">
        <v>0</v>
      </c>
      <c r="DG456" s="16">
        <f t="shared" si="39"/>
        <v>1457634</v>
      </c>
      <c r="DH456" s="16">
        <f t="shared" si="40"/>
        <v>40554387</v>
      </c>
      <c r="DI456" s="17">
        <f t="shared" si="41"/>
        <v>27.822064386533246</v>
      </c>
      <c r="DJ456" s="119" t="s">
        <v>720</v>
      </c>
      <c r="DK456" t="s">
        <v>720</v>
      </c>
    </row>
    <row r="457" spans="1:117" ht="60">
      <c r="A457" s="32" t="str">
        <f t="shared" si="37"/>
        <v>Endeavour-POLES BY: 
HIGHEST OPERATING VOLTAGE ; MATERIAL TYPE;  STAKING (IF WOOD)-STAKING OF A WOODEN POLE</v>
      </c>
      <c r="B457" s="32" t="str">
        <f t="shared" si="38"/>
        <v>Endeavour</v>
      </c>
      <c r="C457" s="394" t="s">
        <v>575</v>
      </c>
      <c r="D457" s="3" t="s">
        <v>311</v>
      </c>
      <c r="E457" t="s">
        <v>117</v>
      </c>
      <c r="DG457" s="16">
        <f t="shared" si="39"/>
        <v>0</v>
      </c>
      <c r="DH457" s="16">
        <f t="shared" si="40"/>
        <v>0</v>
      </c>
      <c r="DI457" s="17" t="str">
        <f t="shared" si="41"/>
        <v/>
      </c>
      <c r="DJ457" s="119" t="s">
        <v>1</v>
      </c>
      <c r="DK457" t="s">
        <v>1</v>
      </c>
      <c r="DL457" s="44" t="s">
        <v>117</v>
      </c>
      <c r="DM457" s="44"/>
    </row>
    <row r="458" spans="1:117">
      <c r="A458" s="32" t="str">
        <f t="shared" si="37"/>
        <v>Endeavour--˂ = 1 kV; WOOD</v>
      </c>
      <c r="B458" s="32" t="str">
        <f t="shared" si="38"/>
        <v>Endeavour</v>
      </c>
      <c r="C458" s="395"/>
      <c r="D458" s="3"/>
      <c r="E458" t="s">
        <v>119</v>
      </c>
      <c r="F458">
        <v>58</v>
      </c>
      <c r="G458">
        <v>7.416198487095663</v>
      </c>
      <c r="H458">
        <v>889</v>
      </c>
      <c r="I458">
        <v>674</v>
      </c>
      <c r="J458">
        <v>540</v>
      </c>
      <c r="K458">
        <v>526</v>
      </c>
      <c r="L458">
        <v>571</v>
      </c>
      <c r="M458">
        <v>2969</v>
      </c>
      <c r="N458">
        <v>3425</v>
      </c>
      <c r="O458">
        <v>2913</v>
      </c>
      <c r="P458">
        <v>1998</v>
      </c>
      <c r="Q458">
        <v>3254</v>
      </c>
      <c r="R458">
        <v>2196</v>
      </c>
      <c r="S458">
        <v>2340</v>
      </c>
      <c r="T458">
        <v>3310</v>
      </c>
      <c r="U458">
        <v>3596</v>
      </c>
      <c r="V458">
        <v>3480</v>
      </c>
      <c r="W458">
        <v>3625</v>
      </c>
      <c r="X458">
        <v>4394</v>
      </c>
      <c r="Y458">
        <v>4537</v>
      </c>
      <c r="Z458">
        <v>4280</v>
      </c>
      <c r="AA458">
        <v>4166</v>
      </c>
      <c r="AB458">
        <v>4453</v>
      </c>
      <c r="AC458">
        <v>3652</v>
      </c>
      <c r="AD458">
        <v>4280</v>
      </c>
      <c r="AE458">
        <v>3027</v>
      </c>
      <c r="AF458">
        <v>2969</v>
      </c>
      <c r="AG458">
        <v>4166</v>
      </c>
      <c r="AH458">
        <v>4453</v>
      </c>
      <c r="AI458">
        <v>4280</v>
      </c>
      <c r="AJ458">
        <v>3596</v>
      </c>
      <c r="AK458">
        <v>3480</v>
      </c>
      <c r="AL458">
        <v>3368</v>
      </c>
      <c r="AM458">
        <v>3310</v>
      </c>
      <c r="AN458">
        <v>3455</v>
      </c>
      <c r="AO458">
        <v>3289</v>
      </c>
      <c r="AP458">
        <v>2807</v>
      </c>
      <c r="AQ458">
        <v>2515</v>
      </c>
      <c r="AR458">
        <v>2106</v>
      </c>
      <c r="AS458">
        <v>1829</v>
      </c>
      <c r="AT458">
        <v>1565</v>
      </c>
      <c r="AU458">
        <v>1322</v>
      </c>
      <c r="AV458">
        <v>1121</v>
      </c>
      <c r="AW458">
        <v>1007</v>
      </c>
      <c r="AX458">
        <v>775</v>
      </c>
      <c r="AY458">
        <v>818</v>
      </c>
      <c r="AZ458">
        <v>944</v>
      </c>
      <c r="BA458">
        <v>1078</v>
      </c>
      <c r="BB458">
        <v>1211</v>
      </c>
      <c r="BC458">
        <v>1334</v>
      </c>
      <c r="BD458">
        <v>1421</v>
      </c>
      <c r="BE458">
        <v>1454</v>
      </c>
      <c r="BF458">
        <v>1408</v>
      </c>
      <c r="BG458">
        <v>1310</v>
      </c>
      <c r="BH458">
        <v>1238</v>
      </c>
      <c r="BI458">
        <v>1185</v>
      </c>
      <c r="BJ458">
        <v>1049</v>
      </c>
      <c r="BK458">
        <v>898</v>
      </c>
      <c r="BL458">
        <v>693</v>
      </c>
      <c r="BM458">
        <v>525</v>
      </c>
      <c r="BN458">
        <v>392</v>
      </c>
      <c r="BO458">
        <v>291</v>
      </c>
      <c r="BP458">
        <v>215</v>
      </c>
      <c r="BQ458">
        <v>155</v>
      </c>
      <c r="BR458">
        <v>112</v>
      </c>
      <c r="DG458" s="16">
        <f t="shared" si="39"/>
        <v>138239</v>
      </c>
      <c r="DH458" s="16">
        <f t="shared" si="40"/>
        <v>3594532</v>
      </c>
      <c r="DI458" s="17">
        <f t="shared" si="41"/>
        <v>26.002300363862584</v>
      </c>
      <c r="DJ458" s="119" t="s">
        <v>1</v>
      </c>
      <c r="DK458" s="44" t="s">
        <v>1</v>
      </c>
      <c r="DL458" s="44" t="s">
        <v>1328</v>
      </c>
      <c r="DM458" s="44"/>
    </row>
    <row r="459" spans="1:117">
      <c r="A459" s="32" t="str">
        <f t="shared" si="37"/>
        <v>Endeavour--&gt; 1 kV &amp; &lt; = 11 kV; WOOD</v>
      </c>
      <c r="B459" s="32" t="str">
        <f t="shared" si="38"/>
        <v>Endeavour</v>
      </c>
      <c r="C459" s="395"/>
      <c r="D459" s="3"/>
      <c r="E459" t="s">
        <v>121</v>
      </c>
      <c r="F459">
        <v>58</v>
      </c>
      <c r="G459">
        <v>7.416198487095663</v>
      </c>
      <c r="H459">
        <v>1892</v>
      </c>
      <c r="I459">
        <v>1602</v>
      </c>
      <c r="J459">
        <v>1573</v>
      </c>
      <c r="K459">
        <v>1225</v>
      </c>
      <c r="L459">
        <v>1145</v>
      </c>
      <c r="M459">
        <v>2551</v>
      </c>
      <c r="N459">
        <v>2943</v>
      </c>
      <c r="O459">
        <v>2503</v>
      </c>
      <c r="P459">
        <v>1717</v>
      </c>
      <c r="Q459">
        <v>2796</v>
      </c>
      <c r="R459">
        <v>1887</v>
      </c>
      <c r="S459">
        <v>2010</v>
      </c>
      <c r="T459">
        <v>2844</v>
      </c>
      <c r="U459">
        <v>3090</v>
      </c>
      <c r="V459">
        <v>2991</v>
      </c>
      <c r="W459">
        <v>3115</v>
      </c>
      <c r="X459">
        <v>3776</v>
      </c>
      <c r="Y459">
        <v>3899</v>
      </c>
      <c r="Z459">
        <v>3678</v>
      </c>
      <c r="AA459">
        <v>3580</v>
      </c>
      <c r="AB459">
        <v>3826</v>
      </c>
      <c r="AC459">
        <v>3139</v>
      </c>
      <c r="AD459">
        <v>3678</v>
      </c>
      <c r="AE459">
        <v>2601</v>
      </c>
      <c r="AF459">
        <v>2551</v>
      </c>
      <c r="AG459">
        <v>3580</v>
      </c>
      <c r="AH459">
        <v>3826</v>
      </c>
      <c r="AI459">
        <v>3678</v>
      </c>
      <c r="AJ459">
        <v>3090</v>
      </c>
      <c r="AK459">
        <v>2991</v>
      </c>
      <c r="AL459">
        <v>2894</v>
      </c>
      <c r="AM459">
        <v>2844</v>
      </c>
      <c r="AN459">
        <v>2969</v>
      </c>
      <c r="AO459">
        <v>2826</v>
      </c>
      <c r="AP459">
        <v>2412</v>
      </c>
      <c r="AQ459">
        <v>2161</v>
      </c>
      <c r="AR459">
        <v>1810</v>
      </c>
      <c r="AS459">
        <v>1572</v>
      </c>
      <c r="AT459">
        <v>1345</v>
      </c>
      <c r="AU459">
        <v>1136</v>
      </c>
      <c r="AV459">
        <v>963</v>
      </c>
      <c r="AW459">
        <v>865</v>
      </c>
      <c r="AX459">
        <v>666</v>
      </c>
      <c r="AY459">
        <v>703</v>
      </c>
      <c r="AZ459">
        <v>811</v>
      </c>
      <c r="BA459">
        <v>926</v>
      </c>
      <c r="BB459">
        <v>1041</v>
      </c>
      <c r="BC459">
        <v>1147</v>
      </c>
      <c r="BD459">
        <v>1221</v>
      </c>
      <c r="BE459">
        <v>1249</v>
      </c>
      <c r="BF459">
        <v>1210</v>
      </c>
      <c r="BG459">
        <v>1126</v>
      </c>
      <c r="BH459">
        <v>1064</v>
      </c>
      <c r="BI459">
        <v>1018</v>
      </c>
      <c r="BJ459">
        <v>901</v>
      </c>
      <c r="BK459">
        <v>771</v>
      </c>
      <c r="BL459">
        <v>596</v>
      </c>
      <c r="BM459">
        <v>451</v>
      </c>
      <c r="BN459">
        <v>337</v>
      </c>
      <c r="BO459">
        <v>250</v>
      </c>
      <c r="BP459">
        <v>185</v>
      </c>
      <c r="BQ459">
        <v>133</v>
      </c>
      <c r="BR459">
        <v>97</v>
      </c>
      <c r="DG459" s="16">
        <f t="shared" si="39"/>
        <v>123477</v>
      </c>
      <c r="DH459" s="16">
        <f t="shared" si="40"/>
        <v>3101705</v>
      </c>
      <c r="DI459" s="17">
        <f t="shared" si="41"/>
        <v>25.119698405371039</v>
      </c>
      <c r="DJ459" s="119" t="s">
        <v>1</v>
      </c>
      <c r="DK459" s="44" t="s">
        <v>1</v>
      </c>
      <c r="DL459" s="44" t="s">
        <v>1328</v>
      </c>
      <c r="DM459" s="44"/>
    </row>
    <row r="460" spans="1:117">
      <c r="A460" s="32" t="str">
        <f t="shared" si="37"/>
        <v>Endeavour--˃ 11 kV &amp; &lt; = 22 kV; WOOD</v>
      </c>
      <c r="B460" s="32" t="str">
        <f t="shared" si="38"/>
        <v>Endeavour</v>
      </c>
      <c r="C460" s="395"/>
      <c r="D460" s="3"/>
      <c r="E460" t="s">
        <v>123</v>
      </c>
      <c r="F460">
        <v>58</v>
      </c>
      <c r="G460">
        <v>7.416198487095663</v>
      </c>
      <c r="H460">
        <v>25</v>
      </c>
      <c r="I460">
        <v>9</v>
      </c>
      <c r="J460">
        <v>16</v>
      </c>
      <c r="K460">
        <v>17</v>
      </c>
      <c r="L460">
        <v>33</v>
      </c>
      <c r="M460">
        <v>33</v>
      </c>
      <c r="N460">
        <v>38</v>
      </c>
      <c r="O460">
        <v>32</v>
      </c>
      <c r="P460">
        <v>22</v>
      </c>
      <c r="Q460">
        <v>36</v>
      </c>
      <c r="R460">
        <v>24</v>
      </c>
      <c r="S460">
        <v>26</v>
      </c>
      <c r="T460">
        <v>37</v>
      </c>
      <c r="U460">
        <v>40</v>
      </c>
      <c r="V460">
        <v>38</v>
      </c>
      <c r="W460">
        <v>40</v>
      </c>
      <c r="X460">
        <v>49</v>
      </c>
      <c r="Y460">
        <v>50</v>
      </c>
      <c r="Z460">
        <v>47</v>
      </c>
      <c r="AA460">
        <v>46</v>
      </c>
      <c r="AB460">
        <v>49</v>
      </c>
      <c r="AC460">
        <v>40</v>
      </c>
      <c r="AD460">
        <v>47</v>
      </c>
      <c r="AE460">
        <v>33</v>
      </c>
      <c r="AF460">
        <v>33</v>
      </c>
      <c r="AG460">
        <v>46</v>
      </c>
      <c r="AH460">
        <v>49</v>
      </c>
      <c r="AI460">
        <v>47</v>
      </c>
      <c r="AJ460">
        <v>40</v>
      </c>
      <c r="AK460">
        <v>38</v>
      </c>
      <c r="AL460">
        <v>37</v>
      </c>
      <c r="AM460">
        <v>37</v>
      </c>
      <c r="AN460">
        <v>38</v>
      </c>
      <c r="AO460">
        <v>36</v>
      </c>
      <c r="AP460">
        <v>31</v>
      </c>
      <c r="AQ460">
        <v>28</v>
      </c>
      <c r="AR460">
        <v>23</v>
      </c>
      <c r="AS460">
        <v>20</v>
      </c>
      <c r="AT460">
        <v>17</v>
      </c>
      <c r="AU460">
        <v>15</v>
      </c>
      <c r="AV460">
        <v>12</v>
      </c>
      <c r="AW460">
        <v>11</v>
      </c>
      <c r="AX460">
        <v>9</v>
      </c>
      <c r="AY460">
        <v>9</v>
      </c>
      <c r="AZ460">
        <v>10</v>
      </c>
      <c r="BA460">
        <v>12</v>
      </c>
      <c r="BB460">
        <v>13</v>
      </c>
      <c r="BC460">
        <v>15</v>
      </c>
      <c r="BD460">
        <v>16</v>
      </c>
      <c r="BE460">
        <v>16</v>
      </c>
      <c r="BF460">
        <v>16</v>
      </c>
      <c r="BG460">
        <v>14</v>
      </c>
      <c r="BH460">
        <v>14</v>
      </c>
      <c r="BI460">
        <v>13</v>
      </c>
      <c r="BJ460">
        <v>12</v>
      </c>
      <c r="BK460">
        <v>10</v>
      </c>
      <c r="BL460">
        <v>8</v>
      </c>
      <c r="BM460">
        <v>6</v>
      </c>
      <c r="BN460">
        <v>4</v>
      </c>
      <c r="BO460">
        <v>3</v>
      </c>
      <c r="BP460">
        <v>2</v>
      </c>
      <c r="BQ460">
        <v>2</v>
      </c>
      <c r="BR460">
        <v>1</v>
      </c>
      <c r="DG460" s="16">
        <f t="shared" si="39"/>
        <v>1590</v>
      </c>
      <c r="DH460" s="16">
        <f t="shared" si="40"/>
        <v>39884</v>
      </c>
      <c r="DI460" s="17">
        <f t="shared" si="41"/>
        <v>25.084276729559747</v>
      </c>
      <c r="DJ460" s="119" t="s">
        <v>1</v>
      </c>
      <c r="DK460" s="44" t="s">
        <v>1</v>
      </c>
      <c r="DL460" s="44" t="s">
        <v>1328</v>
      </c>
      <c r="DM460" s="44"/>
    </row>
    <row r="461" spans="1:117">
      <c r="A461" s="32" t="str">
        <f t="shared" si="37"/>
        <v>Endeavour--33kV Wood</v>
      </c>
      <c r="B461" s="32" t="str">
        <f t="shared" si="38"/>
        <v>Endeavour</v>
      </c>
      <c r="C461" s="395"/>
      <c r="D461" s="3"/>
      <c r="E461" t="s">
        <v>578</v>
      </c>
      <c r="F461">
        <v>58</v>
      </c>
      <c r="G461">
        <v>7.416198487095663</v>
      </c>
      <c r="H461">
        <v>137</v>
      </c>
      <c r="I461">
        <v>93</v>
      </c>
      <c r="J461">
        <v>230</v>
      </c>
      <c r="K461">
        <v>98</v>
      </c>
      <c r="L461">
        <v>170</v>
      </c>
      <c r="M461">
        <v>311</v>
      </c>
      <c r="N461">
        <v>359</v>
      </c>
      <c r="O461">
        <v>305</v>
      </c>
      <c r="P461">
        <v>209</v>
      </c>
      <c r="Q461">
        <v>341</v>
      </c>
      <c r="R461">
        <v>230</v>
      </c>
      <c r="S461">
        <v>245</v>
      </c>
      <c r="T461">
        <v>347</v>
      </c>
      <c r="U461">
        <v>377</v>
      </c>
      <c r="V461">
        <v>365</v>
      </c>
      <c r="W461">
        <v>380</v>
      </c>
      <c r="X461">
        <v>460</v>
      </c>
      <c r="Y461">
        <v>475</v>
      </c>
      <c r="Z461">
        <v>448</v>
      </c>
      <c r="AA461">
        <v>437</v>
      </c>
      <c r="AB461">
        <v>467</v>
      </c>
      <c r="AC461">
        <v>383</v>
      </c>
      <c r="AD461">
        <v>448</v>
      </c>
      <c r="AE461">
        <v>317</v>
      </c>
      <c r="AF461">
        <v>311</v>
      </c>
      <c r="AG461">
        <v>437</v>
      </c>
      <c r="AH461">
        <v>467</v>
      </c>
      <c r="AI461">
        <v>448</v>
      </c>
      <c r="AJ461">
        <v>377</v>
      </c>
      <c r="AK461">
        <v>365</v>
      </c>
      <c r="AL461">
        <v>353</v>
      </c>
      <c r="AM461">
        <v>347</v>
      </c>
      <c r="AN461">
        <v>362</v>
      </c>
      <c r="AO461">
        <v>345</v>
      </c>
      <c r="AP461">
        <v>294</v>
      </c>
      <c r="AQ461">
        <v>263</v>
      </c>
      <c r="AR461">
        <v>221</v>
      </c>
      <c r="AS461">
        <v>192</v>
      </c>
      <c r="AT461">
        <v>164</v>
      </c>
      <c r="AU461">
        <v>138</v>
      </c>
      <c r="AV461">
        <v>117</v>
      </c>
      <c r="AW461">
        <v>106</v>
      </c>
      <c r="AX461">
        <v>81</v>
      </c>
      <c r="AY461">
        <v>86</v>
      </c>
      <c r="AZ461">
        <v>99</v>
      </c>
      <c r="BA461">
        <v>113</v>
      </c>
      <c r="BB461">
        <v>127</v>
      </c>
      <c r="BC461">
        <v>140</v>
      </c>
      <c r="BD461">
        <v>149</v>
      </c>
      <c r="BE461">
        <v>152</v>
      </c>
      <c r="BF461">
        <v>148</v>
      </c>
      <c r="BG461">
        <v>137</v>
      </c>
      <c r="BH461">
        <v>130</v>
      </c>
      <c r="BI461">
        <v>124</v>
      </c>
      <c r="BJ461">
        <v>110</v>
      </c>
      <c r="BK461">
        <v>94</v>
      </c>
      <c r="BL461">
        <v>73</v>
      </c>
      <c r="BM461">
        <v>55</v>
      </c>
      <c r="BN461">
        <v>41</v>
      </c>
      <c r="BO461">
        <v>30</v>
      </c>
      <c r="BP461">
        <v>23</v>
      </c>
      <c r="BQ461">
        <v>16</v>
      </c>
      <c r="BR461">
        <v>12</v>
      </c>
      <c r="DG461" s="16">
        <f t="shared" si="39"/>
        <v>14879</v>
      </c>
      <c r="DH461" s="16">
        <f t="shared" si="40"/>
        <v>378041</v>
      </c>
      <c r="DI461" s="17">
        <f t="shared" si="41"/>
        <v>25.407688688755965</v>
      </c>
      <c r="DJ461" s="119" t="s">
        <v>1</v>
      </c>
      <c r="DK461" s="44" t="s">
        <v>1</v>
      </c>
      <c r="DL461" s="44" t="s">
        <v>720</v>
      </c>
      <c r="DM461" s="44"/>
    </row>
    <row r="462" spans="1:117">
      <c r="A462" s="32" t="str">
        <f t="shared" si="37"/>
        <v>Endeavour--66kV Wood</v>
      </c>
      <c r="B462" s="32" t="str">
        <f t="shared" si="38"/>
        <v>Endeavour</v>
      </c>
      <c r="C462" s="395"/>
      <c r="D462" s="3"/>
      <c r="E462" t="s">
        <v>579</v>
      </c>
      <c r="F462">
        <v>58</v>
      </c>
      <c r="G462">
        <v>7.416198487095663</v>
      </c>
      <c r="H462">
        <v>4</v>
      </c>
      <c r="I462">
        <v>0</v>
      </c>
      <c r="J462">
        <v>12</v>
      </c>
      <c r="K462">
        <v>6</v>
      </c>
      <c r="L462">
        <v>5</v>
      </c>
      <c r="M462">
        <v>91</v>
      </c>
      <c r="N462">
        <v>105</v>
      </c>
      <c r="O462">
        <v>89</v>
      </c>
      <c r="P462">
        <v>61</v>
      </c>
      <c r="Q462">
        <v>100</v>
      </c>
      <c r="R462">
        <v>67</v>
      </c>
      <c r="S462">
        <v>72</v>
      </c>
      <c r="T462">
        <v>102</v>
      </c>
      <c r="U462">
        <v>110</v>
      </c>
      <c r="V462">
        <v>107</v>
      </c>
      <c r="W462">
        <v>111</v>
      </c>
      <c r="X462">
        <v>135</v>
      </c>
      <c r="Y462">
        <v>139</v>
      </c>
      <c r="Z462">
        <v>131</v>
      </c>
      <c r="AA462">
        <v>128</v>
      </c>
      <c r="AB462">
        <v>137</v>
      </c>
      <c r="AC462">
        <v>112</v>
      </c>
      <c r="AD462">
        <v>131</v>
      </c>
      <c r="AE462">
        <v>93</v>
      </c>
      <c r="AF462">
        <v>91</v>
      </c>
      <c r="AG462">
        <v>128</v>
      </c>
      <c r="AH462">
        <v>137</v>
      </c>
      <c r="AI462">
        <v>131</v>
      </c>
      <c r="AJ462">
        <v>110</v>
      </c>
      <c r="AK462">
        <v>107</v>
      </c>
      <c r="AL462">
        <v>103</v>
      </c>
      <c r="AM462">
        <v>102</v>
      </c>
      <c r="AN462">
        <v>106</v>
      </c>
      <c r="AO462">
        <v>101</v>
      </c>
      <c r="AP462">
        <v>86</v>
      </c>
      <c r="AQ462">
        <v>77</v>
      </c>
      <c r="AR462">
        <v>65</v>
      </c>
      <c r="AS462">
        <v>56</v>
      </c>
      <c r="AT462">
        <v>48</v>
      </c>
      <c r="AU462">
        <v>41</v>
      </c>
      <c r="AV462">
        <v>34</v>
      </c>
      <c r="AW462">
        <v>31</v>
      </c>
      <c r="AX462">
        <v>24</v>
      </c>
      <c r="AY462">
        <v>25</v>
      </c>
      <c r="AZ462">
        <v>29</v>
      </c>
      <c r="BA462">
        <v>33</v>
      </c>
      <c r="BB462">
        <v>37</v>
      </c>
      <c r="BC462">
        <v>41</v>
      </c>
      <c r="BD462">
        <v>44</v>
      </c>
      <c r="BE462">
        <v>45</v>
      </c>
      <c r="BF462">
        <v>43</v>
      </c>
      <c r="BG462">
        <v>40</v>
      </c>
      <c r="BH462">
        <v>38</v>
      </c>
      <c r="BI462">
        <v>36</v>
      </c>
      <c r="BJ462">
        <v>32</v>
      </c>
      <c r="BK462">
        <v>28</v>
      </c>
      <c r="BL462">
        <v>21</v>
      </c>
      <c r="BM462">
        <v>16</v>
      </c>
      <c r="BN462">
        <v>12</v>
      </c>
      <c r="BO462">
        <v>9</v>
      </c>
      <c r="BP462">
        <v>7</v>
      </c>
      <c r="BQ462">
        <v>5</v>
      </c>
      <c r="BR462">
        <v>3</v>
      </c>
      <c r="DG462" s="16">
        <f t="shared" si="39"/>
        <v>4170</v>
      </c>
      <c r="DH462" s="16">
        <f t="shared" si="40"/>
        <v>110119</v>
      </c>
      <c r="DI462" s="17">
        <f t="shared" si="41"/>
        <v>26.407434052757793</v>
      </c>
      <c r="DJ462" s="119" t="s">
        <v>1</v>
      </c>
      <c r="DK462" s="44" t="s">
        <v>1</v>
      </c>
      <c r="DL462" s="44" t="s">
        <v>720</v>
      </c>
      <c r="DM462" s="44"/>
    </row>
    <row r="463" spans="1:117">
      <c r="A463" s="32" t="str">
        <f t="shared" si="37"/>
        <v>Endeavour--&gt; 22 kV &amp; &lt; = 66 kV; WOOD</v>
      </c>
      <c r="B463" s="32" t="str">
        <f t="shared" si="38"/>
        <v>Endeavour</v>
      </c>
      <c r="C463" s="395"/>
      <c r="D463" s="3"/>
      <c r="E463" t="s">
        <v>125</v>
      </c>
      <c r="DG463" s="16">
        <f t="shared" si="39"/>
        <v>0</v>
      </c>
      <c r="DH463" s="16">
        <f t="shared" si="40"/>
        <v>0</v>
      </c>
      <c r="DI463" s="17" t="str">
        <f t="shared" si="41"/>
        <v/>
      </c>
      <c r="DJ463" s="119" t="s">
        <v>1</v>
      </c>
      <c r="DK463" s="44" t="s">
        <v>1</v>
      </c>
      <c r="DL463" s="44" t="s">
        <v>1328</v>
      </c>
      <c r="DM463" s="44"/>
    </row>
    <row r="464" spans="1:117">
      <c r="A464" s="32" t="str">
        <f t="shared" si="37"/>
        <v>Endeavour--&gt; 66 kV &amp; &lt; = 132 kV; WOOD</v>
      </c>
      <c r="B464" s="32" t="str">
        <f t="shared" si="38"/>
        <v>Endeavour</v>
      </c>
      <c r="C464" s="395"/>
      <c r="D464" s="3"/>
      <c r="E464" t="s">
        <v>127</v>
      </c>
      <c r="F464">
        <v>58</v>
      </c>
      <c r="G464">
        <v>7.416198487095663</v>
      </c>
      <c r="H464">
        <v>3</v>
      </c>
      <c r="I464">
        <v>40</v>
      </c>
      <c r="J464">
        <v>33</v>
      </c>
      <c r="K464">
        <v>15</v>
      </c>
      <c r="L464">
        <v>6</v>
      </c>
      <c r="M464">
        <v>67</v>
      </c>
      <c r="N464">
        <v>78</v>
      </c>
      <c r="O464">
        <v>66</v>
      </c>
      <c r="P464">
        <v>45</v>
      </c>
      <c r="Q464">
        <v>74</v>
      </c>
      <c r="R464">
        <v>50</v>
      </c>
      <c r="S464">
        <v>53</v>
      </c>
      <c r="T464">
        <v>75</v>
      </c>
      <c r="U464">
        <v>82</v>
      </c>
      <c r="V464">
        <v>79</v>
      </c>
      <c r="W464">
        <v>82</v>
      </c>
      <c r="X464">
        <v>100</v>
      </c>
      <c r="Y464">
        <v>103</v>
      </c>
      <c r="Z464">
        <v>97</v>
      </c>
      <c r="AA464">
        <v>94</v>
      </c>
      <c r="AB464">
        <v>101</v>
      </c>
      <c r="AC464">
        <v>83</v>
      </c>
      <c r="AD464">
        <v>97</v>
      </c>
      <c r="AE464">
        <v>69</v>
      </c>
      <c r="AF464">
        <v>67</v>
      </c>
      <c r="AG464">
        <v>94</v>
      </c>
      <c r="AH464">
        <v>101</v>
      </c>
      <c r="AI464">
        <v>97</v>
      </c>
      <c r="AJ464">
        <v>82</v>
      </c>
      <c r="AK464">
        <v>79</v>
      </c>
      <c r="AL464">
        <v>76</v>
      </c>
      <c r="AM464">
        <v>75</v>
      </c>
      <c r="AN464">
        <v>78</v>
      </c>
      <c r="AO464">
        <v>75</v>
      </c>
      <c r="AP464">
        <v>64</v>
      </c>
      <c r="AQ464">
        <v>57</v>
      </c>
      <c r="AR464">
        <v>48</v>
      </c>
      <c r="AS464">
        <v>41</v>
      </c>
      <c r="AT464">
        <v>35</v>
      </c>
      <c r="AU464">
        <v>30</v>
      </c>
      <c r="AV464">
        <v>25</v>
      </c>
      <c r="AW464">
        <v>23</v>
      </c>
      <c r="AX464">
        <v>18</v>
      </c>
      <c r="AY464">
        <v>19</v>
      </c>
      <c r="AZ464">
        <v>21</v>
      </c>
      <c r="BA464">
        <v>24</v>
      </c>
      <c r="BB464">
        <v>27</v>
      </c>
      <c r="BC464">
        <v>30</v>
      </c>
      <c r="BD464">
        <v>32</v>
      </c>
      <c r="BE464">
        <v>33</v>
      </c>
      <c r="BF464">
        <v>32</v>
      </c>
      <c r="BG464">
        <v>30</v>
      </c>
      <c r="BH464">
        <v>28</v>
      </c>
      <c r="BI464">
        <v>27</v>
      </c>
      <c r="BJ464">
        <v>24</v>
      </c>
      <c r="BK464">
        <v>20</v>
      </c>
      <c r="BL464">
        <v>16</v>
      </c>
      <c r="BM464">
        <v>12</v>
      </c>
      <c r="BN464">
        <v>9</v>
      </c>
      <c r="BO464">
        <v>7</v>
      </c>
      <c r="BP464">
        <v>5</v>
      </c>
      <c r="BQ464">
        <v>4</v>
      </c>
      <c r="BR464">
        <v>3</v>
      </c>
      <c r="DG464" s="16">
        <f t="shared" si="39"/>
        <v>3160</v>
      </c>
      <c r="DH464" s="16">
        <f t="shared" si="40"/>
        <v>81643</v>
      </c>
      <c r="DI464" s="17">
        <f t="shared" si="41"/>
        <v>25.83639240506329</v>
      </c>
      <c r="DJ464" s="119" t="s">
        <v>1</v>
      </c>
      <c r="DK464" s="44" t="s">
        <v>1</v>
      </c>
      <c r="DL464" s="44" t="s">
        <v>1328</v>
      </c>
      <c r="DM464" s="44"/>
    </row>
    <row r="465" spans="1:117">
      <c r="A465" s="32" t="str">
        <f t="shared" si="37"/>
        <v>Endeavour--&gt; 132 kV; WOOD</v>
      </c>
      <c r="B465" s="32" t="str">
        <f t="shared" si="38"/>
        <v>Endeavour</v>
      </c>
      <c r="C465" s="395"/>
      <c r="D465" s="3"/>
      <c r="E465" t="s">
        <v>129</v>
      </c>
      <c r="DG465" s="16">
        <f t="shared" si="39"/>
        <v>0</v>
      </c>
      <c r="DH465" s="16">
        <f t="shared" si="40"/>
        <v>0</v>
      </c>
      <c r="DI465" s="17" t="str">
        <f t="shared" si="41"/>
        <v/>
      </c>
      <c r="DJ465" s="119" t="s">
        <v>1</v>
      </c>
      <c r="DK465" s="44" t="s">
        <v>1</v>
      </c>
      <c r="DL465" s="44" t="s">
        <v>1328</v>
      </c>
      <c r="DM465" s="44"/>
    </row>
    <row r="466" spans="1:117">
      <c r="A466" s="32" t="str">
        <f t="shared" si="37"/>
        <v>Endeavour--˂ = 1 kV; CONCRETE</v>
      </c>
      <c r="B466" s="32" t="str">
        <f t="shared" si="38"/>
        <v>Endeavour</v>
      </c>
      <c r="C466" s="395"/>
      <c r="D466" s="3"/>
      <c r="E466" t="s">
        <v>131</v>
      </c>
      <c r="F466">
        <v>58</v>
      </c>
      <c r="G466">
        <v>7.416198487095663</v>
      </c>
      <c r="H466">
        <v>139</v>
      </c>
      <c r="I466">
        <v>132</v>
      </c>
      <c r="J466">
        <v>155</v>
      </c>
      <c r="K466">
        <v>209</v>
      </c>
      <c r="L466">
        <v>200</v>
      </c>
      <c r="M466">
        <v>259</v>
      </c>
      <c r="N466">
        <v>171</v>
      </c>
      <c r="O466">
        <v>121</v>
      </c>
      <c r="P466">
        <v>192</v>
      </c>
      <c r="Q466">
        <v>43</v>
      </c>
      <c r="R466">
        <v>0</v>
      </c>
      <c r="S466">
        <v>0</v>
      </c>
      <c r="T466">
        <v>0</v>
      </c>
      <c r="U466">
        <v>4</v>
      </c>
      <c r="V466">
        <v>7</v>
      </c>
      <c r="W466">
        <v>0</v>
      </c>
      <c r="X466">
        <v>93</v>
      </c>
      <c r="Y466">
        <v>130</v>
      </c>
      <c r="Z466">
        <v>237</v>
      </c>
      <c r="AA466">
        <v>159</v>
      </c>
      <c r="AB466">
        <v>119</v>
      </c>
      <c r="AC466">
        <v>0</v>
      </c>
      <c r="AD466">
        <v>2</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0</v>
      </c>
      <c r="DG466" s="16">
        <f t="shared" si="39"/>
        <v>2372</v>
      </c>
      <c r="DH466" s="16">
        <f t="shared" si="40"/>
        <v>22891</v>
      </c>
      <c r="DI466" s="17">
        <f t="shared" si="41"/>
        <v>9.6505059021922435</v>
      </c>
      <c r="DJ466" s="119" t="s">
        <v>1</v>
      </c>
      <c r="DK466" s="44" t="s">
        <v>1</v>
      </c>
      <c r="DL466" s="44" t="s">
        <v>1329</v>
      </c>
      <c r="DM466" s="44"/>
    </row>
    <row r="467" spans="1:117">
      <c r="A467" s="32" t="str">
        <f t="shared" si="37"/>
        <v>Endeavour--&gt; 1 kV &amp; &lt; = 11 kV; CONCRETE</v>
      </c>
      <c r="B467" s="32" t="str">
        <f t="shared" si="38"/>
        <v>Endeavour</v>
      </c>
      <c r="C467" s="395"/>
      <c r="D467" s="3"/>
      <c r="E467" t="s">
        <v>133</v>
      </c>
      <c r="F467">
        <v>58</v>
      </c>
      <c r="G467">
        <v>7.416198487095663</v>
      </c>
      <c r="H467">
        <v>812</v>
      </c>
      <c r="I467">
        <v>595</v>
      </c>
      <c r="J467">
        <v>653</v>
      </c>
      <c r="K467">
        <v>902</v>
      </c>
      <c r="L467">
        <v>1383</v>
      </c>
      <c r="M467">
        <v>2077</v>
      </c>
      <c r="N467">
        <v>1459</v>
      </c>
      <c r="O467">
        <v>951</v>
      </c>
      <c r="P467">
        <v>984</v>
      </c>
      <c r="Q467">
        <v>155</v>
      </c>
      <c r="R467">
        <v>19</v>
      </c>
      <c r="S467">
        <v>0</v>
      </c>
      <c r="T467">
        <v>0</v>
      </c>
      <c r="U467">
        <v>3</v>
      </c>
      <c r="V467">
        <v>6</v>
      </c>
      <c r="W467">
        <v>0</v>
      </c>
      <c r="X467">
        <v>86</v>
      </c>
      <c r="Y467">
        <v>132</v>
      </c>
      <c r="Z467">
        <v>132</v>
      </c>
      <c r="AA467">
        <v>301</v>
      </c>
      <c r="AB467">
        <v>153</v>
      </c>
      <c r="AC467">
        <v>0</v>
      </c>
      <c r="AD467">
        <v>1</v>
      </c>
      <c r="AE467">
        <v>0</v>
      </c>
      <c r="AF467">
        <v>1</v>
      </c>
      <c r="AG467">
        <v>0</v>
      </c>
      <c r="AH467">
        <v>0</v>
      </c>
      <c r="AI467">
        <v>0</v>
      </c>
      <c r="AJ467">
        <v>0</v>
      </c>
      <c r="AK467">
        <v>1</v>
      </c>
      <c r="AL467">
        <v>1</v>
      </c>
      <c r="AM467">
        <v>0</v>
      </c>
      <c r="AN467">
        <v>1</v>
      </c>
      <c r="AO467">
        <v>1</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DG467" s="16">
        <f t="shared" si="39"/>
        <v>10809</v>
      </c>
      <c r="DH467" s="16">
        <f t="shared" si="40"/>
        <v>71269</v>
      </c>
      <c r="DI467" s="17">
        <f t="shared" si="41"/>
        <v>6.5934869090572672</v>
      </c>
      <c r="DJ467" s="119" t="s">
        <v>1</v>
      </c>
      <c r="DK467" s="44" t="s">
        <v>1</v>
      </c>
      <c r="DL467" s="44" t="s">
        <v>1329</v>
      </c>
      <c r="DM467" s="44"/>
    </row>
    <row r="468" spans="1:117">
      <c r="A468" s="32" t="str">
        <f t="shared" si="37"/>
        <v>Endeavour--˃ 11 kV &amp; &lt; = 22 kV; CONCRETE</v>
      </c>
      <c r="B468" s="32" t="str">
        <f t="shared" si="38"/>
        <v>Endeavour</v>
      </c>
      <c r="C468" s="395"/>
      <c r="D468" s="3"/>
      <c r="E468" t="s">
        <v>153</v>
      </c>
      <c r="F468">
        <v>58</v>
      </c>
      <c r="G468">
        <v>7.416198487095663</v>
      </c>
      <c r="H468">
        <v>87</v>
      </c>
      <c r="I468">
        <v>25</v>
      </c>
      <c r="J468">
        <v>0</v>
      </c>
      <c r="K468">
        <v>88</v>
      </c>
      <c r="L468">
        <v>20</v>
      </c>
      <c r="M468">
        <v>224</v>
      </c>
      <c r="N468">
        <v>28</v>
      </c>
      <c r="O468">
        <v>14</v>
      </c>
      <c r="P468">
        <v>3</v>
      </c>
      <c r="Q468">
        <v>11</v>
      </c>
      <c r="R468">
        <v>0</v>
      </c>
      <c r="S468">
        <v>0</v>
      </c>
      <c r="T468">
        <v>0</v>
      </c>
      <c r="U468">
        <v>0</v>
      </c>
      <c r="V468">
        <v>31</v>
      </c>
      <c r="W468">
        <v>0</v>
      </c>
      <c r="X468">
        <v>0</v>
      </c>
      <c r="Y468">
        <v>14</v>
      </c>
      <c r="Z468">
        <v>26</v>
      </c>
      <c r="AA468">
        <v>23</v>
      </c>
      <c r="AB468">
        <v>11</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DG468" s="16">
        <f t="shared" si="39"/>
        <v>605</v>
      </c>
      <c r="DH468" s="16">
        <f t="shared" si="40"/>
        <v>4280</v>
      </c>
      <c r="DI468" s="17">
        <f t="shared" si="41"/>
        <v>7.0743801652892566</v>
      </c>
      <c r="DJ468" s="119" t="s">
        <v>1</v>
      </c>
      <c r="DK468" s="44" t="s">
        <v>1</v>
      </c>
      <c r="DL468" s="44" t="s">
        <v>1329</v>
      </c>
      <c r="DM468" s="44"/>
    </row>
    <row r="469" spans="1:117">
      <c r="A469" s="32" t="str">
        <f t="shared" si="37"/>
        <v>Endeavour--33kV Concrete</v>
      </c>
      <c r="B469" s="32" t="str">
        <f t="shared" si="38"/>
        <v>Endeavour</v>
      </c>
      <c r="C469" s="395"/>
      <c r="D469" s="3"/>
      <c r="E469" t="s">
        <v>580</v>
      </c>
      <c r="F469">
        <v>58</v>
      </c>
      <c r="G469">
        <v>7.416198487095663</v>
      </c>
      <c r="H469">
        <v>2</v>
      </c>
      <c r="I469">
        <v>70</v>
      </c>
      <c r="J469">
        <v>417</v>
      </c>
      <c r="K469">
        <v>51</v>
      </c>
      <c r="L469">
        <v>52</v>
      </c>
      <c r="M469">
        <v>122</v>
      </c>
      <c r="N469">
        <v>245</v>
      </c>
      <c r="O469">
        <v>77</v>
      </c>
      <c r="P469">
        <v>101</v>
      </c>
      <c r="Q469">
        <v>24</v>
      </c>
      <c r="R469">
        <v>0</v>
      </c>
      <c r="S469">
        <v>0</v>
      </c>
      <c r="T469">
        <v>4</v>
      </c>
      <c r="U469">
        <v>6</v>
      </c>
      <c r="V469">
        <v>0</v>
      </c>
      <c r="W469">
        <v>0</v>
      </c>
      <c r="X469">
        <v>0</v>
      </c>
      <c r="Y469">
        <v>463</v>
      </c>
      <c r="Z469">
        <v>77</v>
      </c>
      <c r="AA469">
        <v>0</v>
      </c>
      <c r="AB469">
        <v>0</v>
      </c>
      <c r="AC469">
        <v>0</v>
      </c>
      <c r="AD469">
        <v>0</v>
      </c>
      <c r="AE469">
        <v>0</v>
      </c>
      <c r="AF469">
        <v>2</v>
      </c>
      <c r="AG469">
        <v>2</v>
      </c>
      <c r="AH469">
        <v>0</v>
      </c>
      <c r="AI469">
        <v>0</v>
      </c>
      <c r="AJ469">
        <v>0</v>
      </c>
      <c r="AK469">
        <v>0</v>
      </c>
      <c r="AL469">
        <v>2</v>
      </c>
      <c r="AM469">
        <v>4</v>
      </c>
      <c r="AN469">
        <v>0</v>
      </c>
      <c r="AO469">
        <v>2</v>
      </c>
      <c r="AP469">
        <v>0</v>
      </c>
      <c r="AQ469">
        <v>2</v>
      </c>
      <c r="AR469">
        <v>0</v>
      </c>
      <c r="AS469">
        <v>0</v>
      </c>
      <c r="AT469">
        <v>0</v>
      </c>
      <c r="AU469">
        <v>0</v>
      </c>
      <c r="AV469">
        <v>0</v>
      </c>
      <c r="AW469">
        <v>2</v>
      </c>
      <c r="AX469">
        <v>4</v>
      </c>
      <c r="AY469">
        <v>0</v>
      </c>
      <c r="AZ469">
        <v>2</v>
      </c>
      <c r="BA469">
        <v>0</v>
      </c>
      <c r="BB469">
        <v>0</v>
      </c>
      <c r="BC469">
        <v>2</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DG469" s="16">
        <f t="shared" si="39"/>
        <v>1735</v>
      </c>
      <c r="DH469" s="16">
        <f t="shared" si="40"/>
        <v>16876</v>
      </c>
      <c r="DI469" s="17">
        <f t="shared" si="41"/>
        <v>9.7268011527377514</v>
      </c>
      <c r="DJ469" s="119" t="s">
        <v>1</v>
      </c>
      <c r="DK469" s="44" t="s">
        <v>1</v>
      </c>
      <c r="DL469" s="44" t="s">
        <v>720</v>
      </c>
      <c r="DM469" s="44"/>
    </row>
    <row r="470" spans="1:117">
      <c r="A470" s="32" t="str">
        <f t="shared" si="37"/>
        <v>Endeavour--66kV Concrete</v>
      </c>
      <c r="B470" s="32" t="str">
        <f t="shared" si="38"/>
        <v>Endeavour</v>
      </c>
      <c r="C470" s="395"/>
      <c r="D470" s="3"/>
      <c r="E470" t="s">
        <v>581</v>
      </c>
      <c r="F470">
        <v>58</v>
      </c>
      <c r="G470">
        <v>7.416198487095663</v>
      </c>
      <c r="H470">
        <v>7</v>
      </c>
      <c r="I470">
        <v>20</v>
      </c>
      <c r="J470">
        <v>52</v>
      </c>
      <c r="K470">
        <v>0</v>
      </c>
      <c r="L470">
        <v>18</v>
      </c>
      <c r="M470">
        <v>17</v>
      </c>
      <c r="N470">
        <v>33</v>
      </c>
      <c r="O470">
        <v>132</v>
      </c>
      <c r="P470">
        <v>19</v>
      </c>
      <c r="Q470">
        <v>10</v>
      </c>
      <c r="R470">
        <v>0</v>
      </c>
      <c r="S470">
        <v>0</v>
      </c>
      <c r="T470">
        <v>0</v>
      </c>
      <c r="U470">
        <v>1</v>
      </c>
      <c r="V470">
        <v>0</v>
      </c>
      <c r="W470">
        <v>0</v>
      </c>
      <c r="X470">
        <v>0</v>
      </c>
      <c r="Y470">
        <v>781</v>
      </c>
      <c r="Z470">
        <v>0</v>
      </c>
      <c r="AA470">
        <v>0</v>
      </c>
      <c r="AB470">
        <v>0</v>
      </c>
      <c r="AC470">
        <v>0</v>
      </c>
      <c r="AD470">
        <v>0</v>
      </c>
      <c r="AE470">
        <v>0</v>
      </c>
      <c r="AF470">
        <v>0</v>
      </c>
      <c r="AG470">
        <v>1</v>
      </c>
      <c r="AH470">
        <v>0</v>
      </c>
      <c r="AI470">
        <v>0</v>
      </c>
      <c r="AJ470">
        <v>0</v>
      </c>
      <c r="AK470">
        <v>0</v>
      </c>
      <c r="AL470">
        <v>1</v>
      </c>
      <c r="AM470">
        <v>0</v>
      </c>
      <c r="AN470">
        <v>0</v>
      </c>
      <c r="AO470">
        <v>0</v>
      </c>
      <c r="AP470">
        <v>0</v>
      </c>
      <c r="AQ470">
        <v>0</v>
      </c>
      <c r="AR470">
        <v>0</v>
      </c>
      <c r="AS470">
        <v>0</v>
      </c>
      <c r="AT470">
        <v>0</v>
      </c>
      <c r="AU470">
        <v>1</v>
      </c>
      <c r="AV470">
        <v>0</v>
      </c>
      <c r="AW470">
        <v>0</v>
      </c>
      <c r="AX470">
        <v>0</v>
      </c>
      <c r="AY470">
        <v>1</v>
      </c>
      <c r="AZ470">
        <v>0</v>
      </c>
      <c r="BA470">
        <v>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DG470" s="16">
        <f t="shared" si="39"/>
        <v>1094</v>
      </c>
      <c r="DH470" s="16">
        <f t="shared" si="40"/>
        <v>16166</v>
      </c>
      <c r="DI470" s="17">
        <f t="shared" si="41"/>
        <v>14.776965265082266</v>
      </c>
      <c r="DJ470" s="119" t="s">
        <v>1</v>
      </c>
      <c r="DK470" s="44" t="s">
        <v>1</v>
      </c>
      <c r="DL470" s="44" t="s">
        <v>720</v>
      </c>
      <c r="DM470" s="44"/>
    </row>
    <row r="471" spans="1:117">
      <c r="A471" s="32" t="str">
        <f t="shared" si="37"/>
        <v>Endeavour--&gt; 22 kV &amp; &lt; = 66 kV; CONCRETE</v>
      </c>
      <c r="B471" s="32" t="str">
        <f t="shared" si="38"/>
        <v>Endeavour</v>
      </c>
      <c r="C471" s="395"/>
      <c r="D471" s="3"/>
      <c r="E471" t="s">
        <v>155</v>
      </c>
      <c r="DG471" s="16">
        <f t="shared" si="39"/>
        <v>0</v>
      </c>
      <c r="DH471" s="16">
        <f t="shared" si="40"/>
        <v>0</v>
      </c>
      <c r="DI471" s="17" t="str">
        <f t="shared" si="41"/>
        <v/>
      </c>
      <c r="DJ471" s="119" t="s">
        <v>1</v>
      </c>
      <c r="DK471" s="44" t="s">
        <v>1</v>
      </c>
      <c r="DL471" s="44" t="s">
        <v>1329</v>
      </c>
      <c r="DM471" s="44"/>
    </row>
    <row r="472" spans="1:117">
      <c r="A472" s="32" t="str">
        <f t="shared" ref="A472:A535" si="42">B472&amp;"-"&amp;D472&amp;"-"&amp;E472</f>
        <v>Endeavour--&gt; 66 kV &amp; &lt; = 132 kV; CONCRETE</v>
      </c>
      <c r="B472" s="32" t="str">
        <f t="shared" ref="B472:B535" si="43">IF(C472&gt;0,C472,B471)</f>
        <v>Endeavour</v>
      </c>
      <c r="C472" s="395"/>
      <c r="D472" s="3"/>
      <c r="E472" t="s">
        <v>157</v>
      </c>
      <c r="F472">
        <v>58</v>
      </c>
      <c r="G472">
        <v>7.416198487095663</v>
      </c>
      <c r="H472">
        <v>2</v>
      </c>
      <c r="I472">
        <v>0</v>
      </c>
      <c r="J472">
        <v>181</v>
      </c>
      <c r="K472">
        <v>65</v>
      </c>
      <c r="L472">
        <v>41</v>
      </c>
      <c r="M472">
        <v>115</v>
      </c>
      <c r="N472">
        <v>805</v>
      </c>
      <c r="O472">
        <v>189</v>
      </c>
      <c r="P472">
        <v>118</v>
      </c>
      <c r="Q472">
        <v>32</v>
      </c>
      <c r="R472">
        <v>2</v>
      </c>
      <c r="S472">
        <v>0</v>
      </c>
      <c r="T472">
        <v>0</v>
      </c>
      <c r="U472">
        <v>10</v>
      </c>
      <c r="V472">
        <v>0</v>
      </c>
      <c r="W472">
        <v>0</v>
      </c>
      <c r="X472">
        <v>14</v>
      </c>
      <c r="Y472">
        <v>674</v>
      </c>
      <c r="Z472">
        <v>2</v>
      </c>
      <c r="AA472">
        <v>0</v>
      </c>
      <c r="AB472">
        <v>0</v>
      </c>
      <c r="AC472">
        <v>0</v>
      </c>
      <c r="AD472">
        <v>2</v>
      </c>
      <c r="AE472">
        <v>0</v>
      </c>
      <c r="AF472">
        <v>2</v>
      </c>
      <c r="AG472">
        <v>0</v>
      </c>
      <c r="AH472">
        <v>0</v>
      </c>
      <c r="AI472">
        <v>0</v>
      </c>
      <c r="AJ472">
        <v>0</v>
      </c>
      <c r="AK472">
        <v>0</v>
      </c>
      <c r="AL472">
        <v>2</v>
      </c>
      <c r="AM472">
        <v>0</v>
      </c>
      <c r="AN472">
        <v>0</v>
      </c>
      <c r="AO472">
        <v>0</v>
      </c>
      <c r="AP472">
        <v>0</v>
      </c>
      <c r="AQ472">
        <v>0</v>
      </c>
      <c r="AR472">
        <v>0</v>
      </c>
      <c r="AS472">
        <v>0</v>
      </c>
      <c r="AT472">
        <v>0</v>
      </c>
      <c r="AU472">
        <v>0</v>
      </c>
      <c r="AV472">
        <v>0</v>
      </c>
      <c r="AW472">
        <v>5</v>
      </c>
      <c r="AX472">
        <v>0</v>
      </c>
      <c r="AY472">
        <v>0</v>
      </c>
      <c r="AZ472">
        <v>0</v>
      </c>
      <c r="BA472">
        <v>0</v>
      </c>
      <c r="BB472">
        <v>0</v>
      </c>
      <c r="BC472">
        <v>0</v>
      </c>
      <c r="BD472">
        <v>2</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DG472" s="16">
        <f t="shared" si="39"/>
        <v>2263</v>
      </c>
      <c r="DH472" s="16">
        <f t="shared" si="40"/>
        <v>23265</v>
      </c>
      <c r="DI472" s="17">
        <f t="shared" si="41"/>
        <v>10.280600972160848</v>
      </c>
      <c r="DJ472" s="119" t="s">
        <v>1</v>
      </c>
      <c r="DK472" s="44" t="s">
        <v>1</v>
      </c>
      <c r="DL472" s="44" t="s">
        <v>1329</v>
      </c>
      <c r="DM472" s="44"/>
    </row>
    <row r="473" spans="1:117">
      <c r="A473" s="32" t="str">
        <f t="shared" si="42"/>
        <v>Endeavour--&gt; 132 kV; CONCRETE</v>
      </c>
      <c r="B473" s="32" t="str">
        <f t="shared" si="43"/>
        <v>Endeavour</v>
      </c>
      <c r="C473" s="395"/>
      <c r="D473" s="3"/>
      <c r="E473" t="s">
        <v>159</v>
      </c>
      <c r="DG473" s="16">
        <f t="shared" si="39"/>
        <v>0</v>
      </c>
      <c r="DH473" s="16">
        <f t="shared" si="40"/>
        <v>0</v>
      </c>
      <c r="DI473" s="17" t="str">
        <f t="shared" si="41"/>
        <v/>
      </c>
      <c r="DJ473" s="119" t="s">
        <v>1</v>
      </c>
      <c r="DK473" s="44" t="s">
        <v>1</v>
      </c>
      <c r="DL473" s="44" t="s">
        <v>1329</v>
      </c>
      <c r="DM473" s="44"/>
    </row>
    <row r="474" spans="1:117">
      <c r="A474" s="32" t="str">
        <f t="shared" si="42"/>
        <v>Endeavour--˂ = 1 kV; STEEL</v>
      </c>
      <c r="B474" s="32" t="str">
        <f t="shared" si="43"/>
        <v>Endeavour</v>
      </c>
      <c r="C474" s="395"/>
      <c r="D474" s="3"/>
      <c r="E474" t="s">
        <v>161</v>
      </c>
      <c r="F474">
        <v>58</v>
      </c>
      <c r="G474">
        <v>7.416198487095663</v>
      </c>
      <c r="H474">
        <v>40</v>
      </c>
      <c r="I474">
        <v>26</v>
      </c>
      <c r="J474">
        <v>3</v>
      </c>
      <c r="K474">
        <v>10</v>
      </c>
      <c r="L474">
        <v>20</v>
      </c>
      <c r="M474">
        <v>20</v>
      </c>
      <c r="N474">
        <v>10</v>
      </c>
      <c r="O474">
        <v>20</v>
      </c>
      <c r="P474">
        <v>34</v>
      </c>
      <c r="Q474">
        <v>492</v>
      </c>
      <c r="R474">
        <v>27</v>
      </c>
      <c r="S474">
        <v>0</v>
      </c>
      <c r="T474">
        <v>0</v>
      </c>
      <c r="U474">
        <v>0</v>
      </c>
      <c r="V474">
        <v>0</v>
      </c>
      <c r="W474">
        <v>0</v>
      </c>
      <c r="X474">
        <v>13</v>
      </c>
      <c r="Y474">
        <v>0</v>
      </c>
      <c r="Z474">
        <v>13</v>
      </c>
      <c r="AA474">
        <v>53</v>
      </c>
      <c r="AB474">
        <v>27</v>
      </c>
      <c r="AC474">
        <v>3</v>
      </c>
      <c r="AD474">
        <v>0</v>
      </c>
      <c r="AE474">
        <v>3</v>
      </c>
      <c r="AF474">
        <v>0</v>
      </c>
      <c r="AG474">
        <v>3</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DG474" s="16">
        <f t="shared" si="39"/>
        <v>817</v>
      </c>
      <c r="DH474" s="16">
        <f t="shared" si="40"/>
        <v>8425</v>
      </c>
      <c r="DI474" s="17">
        <f t="shared" si="41"/>
        <v>10.312117503059975</v>
      </c>
      <c r="DJ474" s="119" t="s">
        <v>1</v>
      </c>
      <c r="DK474" s="44" t="s">
        <v>1</v>
      </c>
      <c r="DL474" s="44" t="s">
        <v>1330</v>
      </c>
      <c r="DM474" s="44"/>
    </row>
    <row r="475" spans="1:117">
      <c r="A475" s="32" t="str">
        <f t="shared" si="42"/>
        <v>Endeavour--&gt; 1 kV &amp; &lt; = 11 kV; STEEL</v>
      </c>
      <c r="B475" s="32" t="str">
        <f t="shared" si="43"/>
        <v>Endeavour</v>
      </c>
      <c r="C475" s="395"/>
      <c r="D475" s="3"/>
      <c r="E475" t="s">
        <v>163</v>
      </c>
      <c r="F475">
        <v>58</v>
      </c>
      <c r="G475">
        <v>7.416198487095663</v>
      </c>
      <c r="H475">
        <v>19</v>
      </c>
      <c r="I475">
        <v>4</v>
      </c>
      <c r="J475">
        <v>7</v>
      </c>
      <c r="K475">
        <v>20</v>
      </c>
      <c r="L475">
        <v>68</v>
      </c>
      <c r="M475">
        <v>13</v>
      </c>
      <c r="N475">
        <v>54</v>
      </c>
      <c r="O475">
        <v>27</v>
      </c>
      <c r="P475">
        <v>7</v>
      </c>
      <c r="Q475">
        <v>36</v>
      </c>
      <c r="R475">
        <v>13</v>
      </c>
      <c r="S475">
        <v>2</v>
      </c>
      <c r="T475">
        <v>0</v>
      </c>
      <c r="U475">
        <v>2</v>
      </c>
      <c r="V475">
        <v>0</v>
      </c>
      <c r="W475">
        <v>0</v>
      </c>
      <c r="X475">
        <v>0</v>
      </c>
      <c r="Y475">
        <v>0</v>
      </c>
      <c r="Z475">
        <v>0</v>
      </c>
      <c r="AA475">
        <v>0</v>
      </c>
      <c r="AB475">
        <v>11</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2</v>
      </c>
      <c r="AZ475">
        <v>0</v>
      </c>
      <c r="BA475">
        <v>0</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DG475" s="16">
        <f t="shared" si="39"/>
        <v>285</v>
      </c>
      <c r="DH475" s="16">
        <f t="shared" si="40"/>
        <v>2077</v>
      </c>
      <c r="DI475" s="17">
        <f t="shared" si="41"/>
        <v>7.287719298245614</v>
      </c>
      <c r="DJ475" s="119" t="s">
        <v>1</v>
      </c>
      <c r="DK475" s="44" t="s">
        <v>1</v>
      </c>
      <c r="DL475" s="44" t="s">
        <v>1330</v>
      </c>
      <c r="DM475" s="44"/>
    </row>
    <row r="476" spans="1:117">
      <c r="A476" s="32" t="str">
        <f t="shared" si="42"/>
        <v>Endeavour--˃ 11 kV &amp; &lt; = 22 kV; STEEL</v>
      </c>
      <c r="B476" s="32" t="str">
        <f t="shared" si="43"/>
        <v>Endeavour</v>
      </c>
      <c r="C476" s="395"/>
      <c r="D476" s="3"/>
      <c r="E476" t="s">
        <v>165</v>
      </c>
      <c r="F476">
        <v>58</v>
      </c>
      <c r="G476">
        <v>7.416198487095663</v>
      </c>
      <c r="H476">
        <v>0</v>
      </c>
      <c r="I476">
        <v>0</v>
      </c>
      <c r="J476">
        <v>0</v>
      </c>
      <c r="K476">
        <v>17</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DG476" s="16">
        <f t="shared" si="39"/>
        <v>17</v>
      </c>
      <c r="DH476" s="16">
        <f t="shared" si="40"/>
        <v>68</v>
      </c>
      <c r="DI476" s="17">
        <f t="shared" si="41"/>
        <v>4</v>
      </c>
      <c r="DJ476" s="119" t="s">
        <v>1</v>
      </c>
      <c r="DK476" s="44" t="s">
        <v>1</v>
      </c>
      <c r="DL476" s="44" t="s">
        <v>1330</v>
      </c>
      <c r="DM476" s="44"/>
    </row>
    <row r="477" spans="1:117">
      <c r="A477" s="32" t="str">
        <f t="shared" si="42"/>
        <v>Endeavour--33kV Steel</v>
      </c>
      <c r="B477" s="32" t="str">
        <f t="shared" si="43"/>
        <v>Endeavour</v>
      </c>
      <c r="C477" s="395"/>
      <c r="D477" s="3"/>
      <c r="E477" t="s">
        <v>583</v>
      </c>
      <c r="F477">
        <v>58</v>
      </c>
      <c r="G477">
        <v>7.416198487095663</v>
      </c>
      <c r="H477">
        <v>31</v>
      </c>
      <c r="I477">
        <v>25</v>
      </c>
      <c r="J477">
        <v>36</v>
      </c>
      <c r="K477">
        <v>0</v>
      </c>
      <c r="L477">
        <v>0</v>
      </c>
      <c r="M477">
        <v>31</v>
      </c>
      <c r="N477">
        <v>0</v>
      </c>
      <c r="O477">
        <v>11</v>
      </c>
      <c r="P477">
        <v>23</v>
      </c>
      <c r="Q477">
        <v>6</v>
      </c>
      <c r="R477">
        <v>4</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DG477" s="16">
        <f t="shared" si="39"/>
        <v>167</v>
      </c>
      <c r="DH477" s="16">
        <f t="shared" si="40"/>
        <v>774</v>
      </c>
      <c r="DI477" s="17">
        <f t="shared" si="41"/>
        <v>4.634730538922156</v>
      </c>
      <c r="DJ477" s="119" t="s">
        <v>1</v>
      </c>
      <c r="DK477" s="44" t="s">
        <v>1</v>
      </c>
      <c r="DL477" s="44" t="s">
        <v>720</v>
      </c>
      <c r="DM477" s="44"/>
    </row>
    <row r="478" spans="1:117">
      <c r="A478" s="32" t="str">
        <f t="shared" si="42"/>
        <v>Endeavour--66kV Steel</v>
      </c>
      <c r="B478" s="32" t="str">
        <f t="shared" si="43"/>
        <v>Endeavour</v>
      </c>
      <c r="C478" s="395"/>
      <c r="D478" s="3"/>
      <c r="E478" t="s">
        <v>584</v>
      </c>
      <c r="F478">
        <v>58</v>
      </c>
      <c r="G478">
        <v>7.416198487095663</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DG478" s="16">
        <f t="shared" si="39"/>
        <v>0</v>
      </c>
      <c r="DH478" s="16">
        <f t="shared" si="40"/>
        <v>0</v>
      </c>
      <c r="DI478" s="17" t="str">
        <f t="shared" si="41"/>
        <v/>
      </c>
      <c r="DJ478" s="119" t="s">
        <v>1</v>
      </c>
      <c r="DK478" s="44" t="s">
        <v>1</v>
      </c>
      <c r="DL478" s="44" t="s">
        <v>720</v>
      </c>
      <c r="DM478" s="44"/>
    </row>
    <row r="479" spans="1:117">
      <c r="A479" s="32" t="str">
        <f t="shared" si="42"/>
        <v>Endeavour--&gt; 22 kV &amp; &lt; = 66 kV; STEEL</v>
      </c>
      <c r="B479" s="32" t="str">
        <f t="shared" si="43"/>
        <v>Endeavour</v>
      </c>
      <c r="C479" s="395"/>
      <c r="D479" s="3"/>
      <c r="E479" t="s">
        <v>166</v>
      </c>
      <c r="DG479" s="16">
        <f t="shared" si="39"/>
        <v>0</v>
      </c>
      <c r="DH479" s="16">
        <f t="shared" si="40"/>
        <v>0</v>
      </c>
      <c r="DI479" s="17" t="str">
        <f t="shared" si="41"/>
        <v/>
      </c>
      <c r="DJ479" s="119" t="s">
        <v>1</v>
      </c>
      <c r="DK479" s="44" t="s">
        <v>1</v>
      </c>
      <c r="DL479" s="44" t="s">
        <v>1330</v>
      </c>
      <c r="DM479" s="44"/>
    </row>
    <row r="480" spans="1:117">
      <c r="A480" s="32" t="str">
        <f t="shared" si="42"/>
        <v>Endeavour--&gt; 66 kV &amp; &lt; = 132 kV; STEEL</v>
      </c>
      <c r="B480" s="32" t="str">
        <f t="shared" si="43"/>
        <v>Endeavour</v>
      </c>
      <c r="C480" s="395"/>
      <c r="D480" s="3"/>
      <c r="E480" t="s">
        <v>167</v>
      </c>
      <c r="F480">
        <v>58</v>
      </c>
      <c r="G480">
        <v>7.416198487095663</v>
      </c>
      <c r="H480">
        <v>0</v>
      </c>
      <c r="I480">
        <v>0</v>
      </c>
      <c r="J480">
        <v>0</v>
      </c>
      <c r="K480">
        <v>1</v>
      </c>
      <c r="L480">
        <v>6</v>
      </c>
      <c r="M480">
        <v>81</v>
      </c>
      <c r="N480">
        <v>42</v>
      </c>
      <c r="O480">
        <v>0</v>
      </c>
      <c r="P480">
        <v>3</v>
      </c>
      <c r="Q480">
        <v>10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DG480" s="16">
        <f t="shared" si="39"/>
        <v>143</v>
      </c>
      <c r="DH480" s="16">
        <f t="shared" si="40"/>
        <v>941</v>
      </c>
      <c r="DI480" s="17">
        <f t="shared" si="41"/>
        <v>6.5804195804195809</v>
      </c>
      <c r="DJ480" s="119" t="s">
        <v>1</v>
      </c>
      <c r="DK480" s="44" t="s">
        <v>1</v>
      </c>
      <c r="DL480" s="44" t="s">
        <v>1330</v>
      </c>
      <c r="DM480" s="44"/>
    </row>
    <row r="481" spans="1:117">
      <c r="A481" s="32" t="str">
        <f t="shared" si="42"/>
        <v>Endeavour--&gt; 132 kV; STEEL</v>
      </c>
      <c r="B481" s="32" t="str">
        <f t="shared" si="43"/>
        <v>Endeavour</v>
      </c>
      <c r="C481" s="395"/>
      <c r="D481" s="3"/>
      <c r="E481" t="s">
        <v>168</v>
      </c>
      <c r="DG481" s="16">
        <f t="shared" si="39"/>
        <v>0</v>
      </c>
      <c r="DH481" s="16">
        <f t="shared" si="40"/>
        <v>0</v>
      </c>
      <c r="DI481" s="17" t="str">
        <f t="shared" si="41"/>
        <v/>
      </c>
      <c r="DJ481" s="119" t="s">
        <v>1</v>
      </c>
      <c r="DK481" s="44" t="s">
        <v>1</v>
      </c>
      <c r="DL481" s="44" t="s">
        <v>1330</v>
      </c>
      <c r="DM481" s="44"/>
    </row>
    <row r="482" spans="1:117">
      <c r="A482" s="32" t="str">
        <f t="shared" si="42"/>
        <v>Endeavour--OTHER - PLEASE ADD A ROW IF NECESSARY AND NOMINATE THE CATEGORY</v>
      </c>
      <c r="B482" s="32" t="str">
        <f t="shared" si="43"/>
        <v>Endeavour</v>
      </c>
      <c r="C482" s="395"/>
      <c r="D482" s="3"/>
      <c r="E482" t="s">
        <v>170</v>
      </c>
      <c r="DG482" s="16">
        <f t="shared" si="39"/>
        <v>0</v>
      </c>
      <c r="DH482" s="16">
        <f t="shared" si="40"/>
        <v>0</v>
      </c>
      <c r="DI482" s="17" t="str">
        <f t="shared" si="41"/>
        <v/>
      </c>
      <c r="DJ482" s="119" t="s">
        <v>1</v>
      </c>
      <c r="DK482" s="44" t="s">
        <v>1</v>
      </c>
      <c r="DL482" s="44" t="s">
        <v>720</v>
      </c>
      <c r="DM482" s="44"/>
    </row>
    <row r="483" spans="1:117" ht="45">
      <c r="A483" s="32" t="str">
        <f t="shared" si="42"/>
        <v>Endeavour-OVERHEAD CONDUCTORS BY: 
HIGHEST OPERATING VOLTAGE; NUMBER OF PHASES (AT HV)-˂ = 1 kV</v>
      </c>
      <c r="B483" s="32" t="str">
        <f t="shared" si="43"/>
        <v>Endeavour</v>
      </c>
      <c r="C483" s="395"/>
      <c r="D483" s="3" t="s">
        <v>538</v>
      </c>
      <c r="E483" t="s">
        <v>171</v>
      </c>
      <c r="F483">
        <v>50</v>
      </c>
      <c r="G483">
        <v>7.0710678118654755</v>
      </c>
      <c r="H483">
        <v>181.34441697094223</v>
      </c>
      <c r="I483">
        <v>164.73112023448061</v>
      </c>
      <c r="J483">
        <v>157.37919359736742</v>
      </c>
      <c r="K483">
        <v>150.26526653718889</v>
      </c>
      <c r="L483">
        <v>309.25729809792199</v>
      </c>
      <c r="M483">
        <v>334.21390264170554</v>
      </c>
      <c r="N483">
        <v>267.1386356249248</v>
      </c>
      <c r="O483">
        <v>103.39300767010313</v>
      </c>
      <c r="P483">
        <v>103.39300767010313</v>
      </c>
      <c r="Q483">
        <v>159.47950654903377</v>
      </c>
      <c r="R483">
        <v>83.382075882477551</v>
      </c>
      <c r="S483">
        <v>74.458631129696997</v>
      </c>
      <c r="T483">
        <v>78.182765762780122</v>
      </c>
      <c r="U483">
        <v>75.700009340724705</v>
      </c>
      <c r="V483">
        <v>74.813310618562056</v>
      </c>
      <c r="W483">
        <v>75.877349085157235</v>
      </c>
      <c r="X483">
        <v>113.65071464928612</v>
      </c>
      <c r="Y483">
        <v>88.468470939866862</v>
      </c>
      <c r="Z483">
        <v>103.18766972776686</v>
      </c>
      <c r="AA483">
        <v>196.64571504371014</v>
      </c>
      <c r="AB483">
        <v>202.49792660998367</v>
      </c>
      <c r="AC483">
        <v>156.05897510062636</v>
      </c>
      <c r="AD483">
        <v>202.69932788638172</v>
      </c>
      <c r="AE483">
        <v>112.78807745908907</v>
      </c>
      <c r="AF483">
        <v>102.14769279313727</v>
      </c>
      <c r="AG483">
        <v>129.28067369131435</v>
      </c>
      <c r="AH483">
        <v>122.89644289174325</v>
      </c>
      <c r="AI483">
        <v>66.502404162198729</v>
      </c>
      <c r="AJ483">
        <v>65.615705440036066</v>
      </c>
      <c r="AK483">
        <v>42.561538663807191</v>
      </c>
      <c r="AL483">
        <v>35.113269397640934</v>
      </c>
      <c r="AM483">
        <v>87.670511695328713</v>
      </c>
      <c r="AN483">
        <v>90.9507935283861</v>
      </c>
      <c r="AO483">
        <v>65.253379599835966</v>
      </c>
      <c r="AP483">
        <v>57.328421638707582</v>
      </c>
      <c r="AQ483">
        <v>58.335431873373508</v>
      </c>
      <c r="AR483">
        <v>59.057268414910908</v>
      </c>
      <c r="AS483">
        <v>58.674707466366286</v>
      </c>
      <c r="AT483">
        <v>83.137415944691227</v>
      </c>
      <c r="AU483">
        <v>41.628867560161986</v>
      </c>
      <c r="AV483">
        <v>92.147850373329419</v>
      </c>
      <c r="AW483">
        <v>109.67678396922095</v>
      </c>
      <c r="AX483">
        <v>129.93933633467222</v>
      </c>
      <c r="AY483">
        <v>134.17224969519094</v>
      </c>
      <c r="AZ483">
        <v>202.88952105276181</v>
      </c>
      <c r="BA483">
        <v>238.29168324510513</v>
      </c>
      <c r="BB483">
        <v>311.10996464320732</v>
      </c>
      <c r="BC483">
        <v>421.16176895307279</v>
      </c>
      <c r="BD483">
        <v>492.62757168959274</v>
      </c>
      <c r="BE483">
        <v>589.42174205288973</v>
      </c>
      <c r="BF483">
        <v>678.11459688824391</v>
      </c>
      <c r="BG483">
        <v>749.12503764223732</v>
      </c>
      <c r="BH483">
        <v>795.58745892167144</v>
      </c>
      <c r="BI483">
        <v>811.51746534935251</v>
      </c>
      <c r="BJ483">
        <v>795.44834290069582</v>
      </c>
      <c r="BK483">
        <v>749.12503764223732</v>
      </c>
      <c r="BL483">
        <v>677.83636484629324</v>
      </c>
      <c r="BM483">
        <v>589.28262603191467</v>
      </c>
      <c r="BN483">
        <v>492.21022362666679</v>
      </c>
      <c r="BO483">
        <v>274.04580955154455</v>
      </c>
      <c r="BP483">
        <v>0</v>
      </c>
      <c r="BQ483">
        <v>0</v>
      </c>
      <c r="BR483">
        <v>0</v>
      </c>
      <c r="BS483">
        <v>0</v>
      </c>
      <c r="BT483">
        <v>0</v>
      </c>
      <c r="BU483">
        <v>0</v>
      </c>
      <c r="BV483">
        <v>0</v>
      </c>
      <c r="BW483">
        <v>0</v>
      </c>
      <c r="DG483" s="16">
        <f t="shared" si="39"/>
        <v>14068.892335001421</v>
      </c>
      <c r="DH483" s="16">
        <f t="shared" si="40"/>
        <v>569811.60932040261</v>
      </c>
      <c r="DI483" s="17">
        <f t="shared" si="41"/>
        <v>40.501526044292177</v>
      </c>
      <c r="DJ483" s="119" t="s">
        <v>718</v>
      </c>
      <c r="DK483" t="s">
        <v>718</v>
      </c>
    </row>
    <row r="484" spans="1:117">
      <c r="A484" s="32" t="str">
        <f t="shared" si="42"/>
        <v>Endeavour--11 &amp; 22kV</v>
      </c>
      <c r="B484" s="32" t="str">
        <f t="shared" si="43"/>
        <v>Endeavour</v>
      </c>
      <c r="C484" s="395"/>
      <c r="D484" s="3"/>
      <c r="E484" t="s">
        <v>585</v>
      </c>
      <c r="F484">
        <v>50</v>
      </c>
      <c r="G484">
        <v>7.0710678118654755</v>
      </c>
      <c r="H484">
        <v>196.30809944036375</v>
      </c>
      <c r="I484">
        <v>191.00247513116474</v>
      </c>
      <c r="J484">
        <v>174.61047166841553</v>
      </c>
      <c r="K484">
        <v>176.98612434417629</v>
      </c>
      <c r="L484">
        <v>340.66859370409236</v>
      </c>
      <c r="M484">
        <v>356.98140874431618</v>
      </c>
      <c r="N484">
        <v>272.56655033228401</v>
      </c>
      <c r="O484">
        <v>184.14412269547287</v>
      </c>
      <c r="P484">
        <v>181.59334319793672</v>
      </c>
      <c r="Q484">
        <v>45.926409543234868</v>
      </c>
      <c r="R484">
        <v>557.32343625465796</v>
      </c>
      <c r="S484">
        <v>66.544983271310258</v>
      </c>
      <c r="T484">
        <v>330.94459286600005</v>
      </c>
      <c r="U484">
        <v>302.6934043913563</v>
      </c>
      <c r="V484">
        <v>63.994203773774117</v>
      </c>
      <c r="W484">
        <v>102.48061257218683</v>
      </c>
      <c r="X484">
        <v>161.53376901901052</v>
      </c>
      <c r="Y484">
        <v>76.812305928703552</v>
      </c>
      <c r="Z484">
        <v>74.261526431167425</v>
      </c>
      <c r="AA484">
        <v>230.82214578960318</v>
      </c>
      <c r="AB484">
        <v>28.058574472897543</v>
      </c>
      <c r="AC484">
        <v>76.812305928703552</v>
      </c>
      <c r="AD484">
        <v>289.87530223642688</v>
      </c>
      <c r="AE484">
        <v>112.74793522958015</v>
      </c>
      <c r="AF484">
        <v>223.13770496337037</v>
      </c>
      <c r="AG484">
        <v>235.95580711829984</v>
      </c>
      <c r="AH484">
        <v>148.68356453045669</v>
      </c>
      <c r="AI484">
        <v>336.0782541946968</v>
      </c>
      <c r="AJ484">
        <v>461.83690558095265</v>
      </c>
      <c r="AK484">
        <v>739.05461733057189</v>
      </c>
      <c r="AL484">
        <v>741.63749916173242</v>
      </c>
      <c r="AM484">
        <v>513.17351886791903</v>
      </c>
      <c r="AN484">
        <v>420.96022895312552</v>
      </c>
      <c r="AO484">
        <v>71.871258601753155</v>
      </c>
      <c r="AP484">
        <v>77.004919930449816</v>
      </c>
      <c r="AQ484">
        <v>272.08405042092261</v>
      </c>
      <c r="AR484">
        <v>0</v>
      </c>
      <c r="AS484">
        <v>205.34645314786616</v>
      </c>
      <c r="AT484">
        <v>210.48011447656276</v>
      </c>
      <c r="AU484">
        <v>174.54448517568619</v>
      </c>
      <c r="AV484">
        <v>101.30070771381401</v>
      </c>
      <c r="AW484">
        <v>168.83451285635667</v>
      </c>
      <c r="AX484">
        <v>263.38184005591643</v>
      </c>
      <c r="AY484">
        <v>131.69092002795821</v>
      </c>
      <c r="AZ484">
        <v>108.05408822806827</v>
      </c>
      <c r="BA484">
        <v>192.47134465624657</v>
      </c>
      <c r="BB484">
        <v>91.170636942432566</v>
      </c>
      <c r="BC484">
        <v>175.58789337061091</v>
      </c>
      <c r="BD484">
        <v>0</v>
      </c>
      <c r="BE484">
        <v>63.462547276541827</v>
      </c>
      <c r="DG484" s="16">
        <f t="shared" si="39"/>
        <v>10723.496570549147</v>
      </c>
      <c r="DH484" s="16">
        <f t="shared" si="40"/>
        <v>260908.04436164314</v>
      </c>
      <c r="DI484" s="17">
        <f t="shared" si="41"/>
        <v>24.33050103062439</v>
      </c>
      <c r="DJ484" s="119" t="s">
        <v>718</v>
      </c>
      <c r="DK484" s="44" t="s">
        <v>718</v>
      </c>
    </row>
    <row r="485" spans="1:117">
      <c r="A485" s="32" t="str">
        <f t="shared" si="42"/>
        <v>Endeavour--&gt; 1 kV &amp; &lt; = 11 kV</v>
      </c>
      <c r="B485" s="32" t="str">
        <f t="shared" si="43"/>
        <v>Endeavour</v>
      </c>
      <c r="C485" s="395"/>
      <c r="D485" s="3"/>
      <c r="E485" t="s">
        <v>172</v>
      </c>
      <c r="DG485" s="16">
        <f t="shared" si="39"/>
        <v>0</v>
      </c>
      <c r="DH485" s="16">
        <f t="shared" si="40"/>
        <v>0</v>
      </c>
      <c r="DI485" s="17" t="str">
        <f t="shared" si="41"/>
        <v/>
      </c>
      <c r="DJ485" s="119" t="s">
        <v>718</v>
      </c>
      <c r="DK485" s="44" t="s">
        <v>718</v>
      </c>
    </row>
    <row r="486" spans="1:117">
      <c r="A486" s="32" t="str">
        <f t="shared" si="42"/>
        <v>Endeavour--˃ 11 kV &amp; &lt; = 22 kV  ; SWER</v>
      </c>
      <c r="B486" s="32" t="str">
        <f t="shared" si="43"/>
        <v>Endeavour</v>
      </c>
      <c r="C486" s="395"/>
      <c r="D486" s="3"/>
      <c r="E486" t="s">
        <v>177</v>
      </c>
      <c r="F486">
        <v>50</v>
      </c>
      <c r="G486">
        <v>7.0710678118654755</v>
      </c>
      <c r="H486">
        <v>0</v>
      </c>
      <c r="I486">
        <v>0</v>
      </c>
      <c r="J486">
        <v>0</v>
      </c>
      <c r="K486">
        <v>0</v>
      </c>
      <c r="L486">
        <v>0</v>
      </c>
      <c r="M486">
        <v>0.98893198530411319</v>
      </c>
      <c r="N486">
        <v>1.9778639706082264</v>
      </c>
      <c r="O486">
        <v>1.9778639706082264</v>
      </c>
      <c r="P486">
        <v>1.9778639706082264</v>
      </c>
      <c r="Q486">
        <v>16.469335068515733</v>
      </c>
      <c r="R486">
        <v>0.42497077524879451</v>
      </c>
      <c r="S486">
        <v>1.0127878007390809</v>
      </c>
      <c r="T486">
        <v>5.0639390036954035</v>
      </c>
      <c r="U486">
        <v>4.0511512029563237</v>
      </c>
      <c r="V486">
        <v>1.0127878007390809</v>
      </c>
      <c r="W486">
        <v>105.53248883701221</v>
      </c>
      <c r="X486">
        <v>0</v>
      </c>
      <c r="Y486">
        <v>0</v>
      </c>
      <c r="Z486">
        <v>6.0767268044344833</v>
      </c>
      <c r="AA486">
        <v>28.560615980842076</v>
      </c>
      <c r="AB486">
        <v>12.356011169016783</v>
      </c>
      <c r="AC486">
        <v>4.6588238833997719</v>
      </c>
      <c r="AD486">
        <v>4.2537087631041386</v>
      </c>
      <c r="AE486">
        <v>13.976471650199315</v>
      </c>
      <c r="AF486">
        <v>52.05729295798875</v>
      </c>
      <c r="AG486">
        <v>30.586191582320236</v>
      </c>
      <c r="AH486">
        <v>26.940155499659546</v>
      </c>
      <c r="AI486">
        <v>14.786701890790578</v>
      </c>
      <c r="AJ486">
        <v>27.14271305980736</v>
      </c>
      <c r="AK486">
        <v>15.799489691529661</v>
      </c>
      <c r="AL486">
        <v>4.6588238833997719</v>
      </c>
      <c r="AM486">
        <v>23.294119416998853</v>
      </c>
      <c r="AN486">
        <v>2.0255756014781618</v>
      </c>
      <c r="AO486">
        <v>23.294119416998853</v>
      </c>
      <c r="AP486">
        <v>1.2153453608868967</v>
      </c>
      <c r="AQ486">
        <v>4.8613814435475868</v>
      </c>
      <c r="AR486">
        <v>0</v>
      </c>
      <c r="AS486">
        <v>13.368798969755865</v>
      </c>
      <c r="AT486">
        <v>0</v>
      </c>
      <c r="AU486">
        <v>7.2920721653213816</v>
      </c>
      <c r="AV486">
        <v>0</v>
      </c>
      <c r="AW486">
        <v>9.7227628870951737</v>
      </c>
      <c r="AX486">
        <v>0</v>
      </c>
      <c r="AY486">
        <v>0</v>
      </c>
      <c r="AZ486">
        <v>0</v>
      </c>
      <c r="BA486">
        <v>4.9446599265205657</v>
      </c>
      <c r="BB486">
        <v>0</v>
      </c>
      <c r="BC486">
        <v>0</v>
      </c>
      <c r="BD486">
        <v>0</v>
      </c>
      <c r="BE486">
        <v>12.153453608868967</v>
      </c>
      <c r="BF486">
        <v>0</v>
      </c>
      <c r="BG486">
        <v>0</v>
      </c>
      <c r="BH486">
        <v>0</v>
      </c>
      <c r="BI486">
        <v>0</v>
      </c>
      <c r="BJ486">
        <v>0</v>
      </c>
      <c r="BK486">
        <v>0</v>
      </c>
      <c r="BL486">
        <v>0</v>
      </c>
      <c r="BM486">
        <v>0</v>
      </c>
      <c r="BN486">
        <v>0</v>
      </c>
      <c r="BO486">
        <v>0</v>
      </c>
      <c r="BP486">
        <v>0</v>
      </c>
      <c r="BQ486">
        <v>0</v>
      </c>
      <c r="BR486">
        <v>0</v>
      </c>
      <c r="BS486">
        <v>0</v>
      </c>
      <c r="BT486">
        <v>0</v>
      </c>
      <c r="BU486">
        <v>0</v>
      </c>
      <c r="BV486">
        <v>0</v>
      </c>
      <c r="BW486">
        <v>0</v>
      </c>
      <c r="DG486" s="16">
        <f t="shared" si="39"/>
        <v>484.51600000000025</v>
      </c>
      <c r="DH486" s="16">
        <f t="shared" si="40"/>
        <v>12051.708970505431</v>
      </c>
      <c r="DI486" s="17">
        <f t="shared" si="41"/>
        <v>24.873706896171488</v>
      </c>
      <c r="DJ486" s="119" t="s">
        <v>718</v>
      </c>
      <c r="DK486" s="44" t="s">
        <v>718</v>
      </c>
    </row>
    <row r="487" spans="1:117">
      <c r="A487" s="32" t="str">
        <f t="shared" si="42"/>
        <v>Endeavour--˃ 11 kV &amp; &lt; = 22 kV ; SINGLE-PHASE</v>
      </c>
      <c r="B487" s="32" t="str">
        <f t="shared" si="43"/>
        <v>Endeavour</v>
      </c>
      <c r="C487" s="395"/>
      <c r="D487" s="3"/>
      <c r="E487" t="s">
        <v>178</v>
      </c>
      <c r="DG487" s="16">
        <f t="shared" si="39"/>
        <v>0</v>
      </c>
      <c r="DH487" s="16">
        <f t="shared" si="40"/>
        <v>0</v>
      </c>
      <c r="DI487" s="17" t="str">
        <f t="shared" si="41"/>
        <v/>
      </c>
      <c r="DJ487" s="119" t="s">
        <v>718</v>
      </c>
      <c r="DK487" s="44" t="s">
        <v>718</v>
      </c>
    </row>
    <row r="488" spans="1:117">
      <c r="A488" s="32" t="str">
        <f t="shared" si="42"/>
        <v>Endeavour--˃ 11 kV &amp; &lt; = 22 kV ; MULTIPLE-PHASE</v>
      </c>
      <c r="B488" s="32" t="str">
        <f t="shared" si="43"/>
        <v>Endeavour</v>
      </c>
      <c r="C488" s="395"/>
      <c r="D488" s="3"/>
      <c r="E488" t="s">
        <v>179</v>
      </c>
      <c r="DG488" s="16">
        <f t="shared" si="39"/>
        <v>0</v>
      </c>
      <c r="DH488" s="16">
        <f t="shared" si="40"/>
        <v>0</v>
      </c>
      <c r="DI488" s="17" t="str">
        <f t="shared" si="41"/>
        <v/>
      </c>
      <c r="DJ488" s="119" t="s">
        <v>718</v>
      </c>
      <c r="DK488" s="44" t="s">
        <v>718</v>
      </c>
    </row>
    <row r="489" spans="1:117">
      <c r="A489" s="32" t="str">
        <f t="shared" si="42"/>
        <v>Endeavour--&gt; 22 kV &amp; &lt; = 66 kV</v>
      </c>
      <c r="B489" s="32" t="str">
        <f t="shared" si="43"/>
        <v>Endeavour</v>
      </c>
      <c r="C489" s="395"/>
      <c r="D489" s="3"/>
      <c r="E489" t="s">
        <v>174</v>
      </c>
      <c r="DG489" s="16">
        <f t="shared" ref="DG489:DG549" si="44">SUM(H489:DF489)</f>
        <v>0</v>
      </c>
      <c r="DH489" s="16">
        <f t="shared" ref="DH489:DH549" si="45">IFERROR(SUMPRODUCT(H489:DF489,$H$1:$DF$1),"")</f>
        <v>0</v>
      </c>
      <c r="DI489" s="17" t="str">
        <f t="shared" ref="DI489:DI549" si="46">IFERROR(DH489/DG489,"")</f>
        <v/>
      </c>
      <c r="DJ489" s="119" t="s">
        <v>718</v>
      </c>
      <c r="DK489" s="44" t="s">
        <v>718</v>
      </c>
    </row>
    <row r="490" spans="1:117">
      <c r="A490" s="32" t="str">
        <f t="shared" si="42"/>
        <v>Endeavour--&gt; 66 kV &amp; &lt; = 132 kV</v>
      </c>
      <c r="B490" s="32" t="str">
        <f t="shared" si="43"/>
        <v>Endeavour</v>
      </c>
      <c r="C490" s="395"/>
      <c r="D490" s="3"/>
      <c r="E490" t="s">
        <v>175</v>
      </c>
      <c r="DG490" s="16">
        <f t="shared" si="44"/>
        <v>0</v>
      </c>
      <c r="DH490" s="16">
        <f t="shared" si="45"/>
        <v>0</v>
      </c>
      <c r="DI490" s="17" t="str">
        <f t="shared" si="46"/>
        <v/>
      </c>
      <c r="DJ490" s="119" t="s">
        <v>718</v>
      </c>
      <c r="DK490" s="44" t="s">
        <v>718</v>
      </c>
    </row>
    <row r="491" spans="1:117">
      <c r="A491" s="32" t="str">
        <f t="shared" si="42"/>
        <v>Endeavour--&gt; 132 kV</v>
      </c>
      <c r="B491" s="32" t="str">
        <f t="shared" si="43"/>
        <v>Endeavour</v>
      </c>
      <c r="C491" s="395"/>
      <c r="D491" s="3"/>
      <c r="E491" t="s">
        <v>176</v>
      </c>
      <c r="DG491" s="16">
        <f t="shared" si="44"/>
        <v>0</v>
      </c>
      <c r="DH491" s="16">
        <f t="shared" si="45"/>
        <v>0</v>
      </c>
      <c r="DI491" s="17" t="str">
        <f t="shared" si="46"/>
        <v/>
      </c>
      <c r="DJ491" s="119" t="s">
        <v>718</v>
      </c>
      <c r="DK491" s="44" t="s">
        <v>718</v>
      </c>
    </row>
    <row r="492" spans="1:117">
      <c r="A492" s="32" t="str">
        <f t="shared" si="42"/>
        <v>Endeavour--33kV</v>
      </c>
      <c r="B492" s="32" t="str">
        <f t="shared" si="43"/>
        <v>Endeavour</v>
      </c>
      <c r="C492" s="395"/>
      <c r="D492" s="3"/>
      <c r="E492" t="s">
        <v>586</v>
      </c>
      <c r="F492">
        <v>55</v>
      </c>
      <c r="G492">
        <v>7.416198487095663</v>
      </c>
      <c r="H492">
        <v>15.624224820602027</v>
      </c>
      <c r="I492">
        <v>30.985120009396155</v>
      </c>
      <c r="J492">
        <v>41.342752193840191</v>
      </c>
      <c r="K492">
        <v>15.748485543527707</v>
      </c>
      <c r="L492">
        <v>31.746947048063788</v>
      </c>
      <c r="M492">
        <v>19.254817303034393</v>
      </c>
      <c r="N492">
        <v>17.227994429030776</v>
      </c>
      <c r="O492">
        <v>18.241405866032586</v>
      </c>
      <c r="P492">
        <v>18.241405866032586</v>
      </c>
      <c r="Q492">
        <v>6.0804686220108612</v>
      </c>
      <c r="R492">
        <v>7.8633451217220367</v>
      </c>
      <c r="S492">
        <v>2.0798534450905644</v>
      </c>
      <c r="T492">
        <v>33.27765512144903</v>
      </c>
      <c r="U492">
        <v>29.117948231267906</v>
      </c>
      <c r="V492">
        <v>12.479120670543384</v>
      </c>
      <c r="W492">
        <v>2.0798534450905644</v>
      </c>
      <c r="X492">
        <v>14.558974115633953</v>
      </c>
      <c r="Y492">
        <v>66.555310242898059</v>
      </c>
      <c r="Z492">
        <v>6.2395603352716922</v>
      </c>
      <c r="AA492">
        <v>31.197801676358466</v>
      </c>
      <c r="AB492">
        <v>0</v>
      </c>
      <c r="AC492">
        <v>4.1597068901811287</v>
      </c>
      <c r="AD492">
        <v>22.878387895996209</v>
      </c>
      <c r="AE492">
        <v>18.718681005815082</v>
      </c>
      <c r="AF492">
        <v>12.479120670543384</v>
      </c>
      <c r="AG492">
        <v>8.3194137803622574</v>
      </c>
      <c r="AH492">
        <v>16.638827560724515</v>
      </c>
      <c r="AI492">
        <v>8.3194137803622574</v>
      </c>
      <c r="AJ492">
        <v>10.399267225452823</v>
      </c>
      <c r="AK492">
        <v>51.996336127264115</v>
      </c>
      <c r="AL492">
        <v>83.194137803622581</v>
      </c>
      <c r="AM492">
        <v>60.315749907626376</v>
      </c>
      <c r="AN492">
        <v>89.433698138894272</v>
      </c>
      <c r="AO492">
        <v>20.798534450905645</v>
      </c>
      <c r="AP492">
        <v>33.27765512144903</v>
      </c>
      <c r="AQ492">
        <v>29.117948231267906</v>
      </c>
      <c r="AR492">
        <v>2.0798534450905644</v>
      </c>
      <c r="AS492">
        <v>74.874724023260327</v>
      </c>
      <c r="AT492">
        <v>31.197801676358466</v>
      </c>
      <c r="AU492">
        <v>20.798534450905645</v>
      </c>
      <c r="AV492">
        <v>18.718681005815082</v>
      </c>
      <c r="AW492">
        <v>91.513551583984835</v>
      </c>
      <c r="AX492">
        <v>62.395603352716932</v>
      </c>
      <c r="AY492">
        <v>43.676922346901854</v>
      </c>
      <c r="AZ492">
        <v>114.39193947998105</v>
      </c>
      <c r="BA492">
        <v>56.156043017445242</v>
      </c>
      <c r="BB492">
        <v>27.038094786177343</v>
      </c>
      <c r="BC492">
        <v>18.241405866032586</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DG492" s="16">
        <f t="shared" si="44"/>
        <v>1451.0730777320343</v>
      </c>
      <c r="DH492" s="16">
        <f t="shared" si="45"/>
        <v>42973.90140957242</v>
      </c>
      <c r="DI492" s="17">
        <f t="shared" si="46"/>
        <v>29.615256508472203</v>
      </c>
      <c r="DJ492" s="119" t="s">
        <v>718</v>
      </c>
      <c r="DK492" s="44" t="s">
        <v>718</v>
      </c>
    </row>
    <row r="493" spans="1:117">
      <c r="A493" s="32" t="str">
        <f t="shared" si="42"/>
        <v>Endeavour--66kV</v>
      </c>
      <c r="B493" s="32" t="str">
        <f t="shared" si="43"/>
        <v>Endeavour</v>
      </c>
      <c r="C493" s="395"/>
      <c r="D493" s="3"/>
      <c r="E493" t="s">
        <v>587</v>
      </c>
      <c r="F493">
        <v>55</v>
      </c>
      <c r="G493">
        <v>7.416198487095663</v>
      </c>
      <c r="H493">
        <v>2.1315365658801966</v>
      </c>
      <c r="I493">
        <v>2.6390452720421478</v>
      </c>
      <c r="J493">
        <v>5.5825957677814664</v>
      </c>
      <c r="K493">
        <v>3.1093414864086344</v>
      </c>
      <c r="L493">
        <v>2.6118468485832524</v>
      </c>
      <c r="M493">
        <v>2.0168609564918167</v>
      </c>
      <c r="N493">
        <v>0</v>
      </c>
      <c r="O493">
        <v>2.0168609564918167</v>
      </c>
      <c r="P493">
        <v>0</v>
      </c>
      <c r="Q493">
        <v>0</v>
      </c>
      <c r="R493">
        <v>2.0168609564918167</v>
      </c>
      <c r="S493">
        <v>0</v>
      </c>
      <c r="T493">
        <v>19.551214096587827</v>
      </c>
      <c r="U493">
        <v>2.7930305852268327</v>
      </c>
      <c r="V493">
        <v>2.7930305852268327</v>
      </c>
      <c r="W493">
        <v>13.965152926134166</v>
      </c>
      <c r="X493">
        <v>0</v>
      </c>
      <c r="Y493">
        <v>8.3790917556804967</v>
      </c>
      <c r="Z493">
        <v>8.3790917556804967</v>
      </c>
      <c r="AA493">
        <v>0</v>
      </c>
      <c r="AB493">
        <v>0</v>
      </c>
      <c r="AC493">
        <v>0</v>
      </c>
      <c r="AD493">
        <v>25.137275267041495</v>
      </c>
      <c r="AE493">
        <v>13.965152926134166</v>
      </c>
      <c r="AF493">
        <v>22.344244681814661</v>
      </c>
      <c r="AG493">
        <v>0</v>
      </c>
      <c r="AH493">
        <v>0</v>
      </c>
      <c r="AI493">
        <v>50.274550534082991</v>
      </c>
      <c r="AJ493">
        <v>58.653642289763489</v>
      </c>
      <c r="AK493">
        <v>39.102428193175655</v>
      </c>
      <c r="AL493">
        <v>36.309397607948831</v>
      </c>
      <c r="AM493">
        <v>53.067581119309821</v>
      </c>
      <c r="AN493">
        <v>16.758183511360993</v>
      </c>
      <c r="AO493">
        <v>0</v>
      </c>
      <c r="AP493">
        <v>0</v>
      </c>
      <c r="AQ493">
        <v>0</v>
      </c>
      <c r="AR493">
        <v>22.344244681814661</v>
      </c>
      <c r="AS493">
        <v>27.930305852268333</v>
      </c>
      <c r="AT493">
        <v>0</v>
      </c>
      <c r="AU493">
        <v>0</v>
      </c>
      <c r="AV493">
        <v>11.172122340907331</v>
      </c>
      <c r="AW493">
        <v>0</v>
      </c>
      <c r="AX493">
        <v>0</v>
      </c>
      <c r="AY493">
        <v>0</v>
      </c>
      <c r="AZ493">
        <v>0</v>
      </c>
      <c r="BA493">
        <v>2.7930305852268327</v>
      </c>
      <c r="BB493">
        <v>0</v>
      </c>
      <c r="BC493">
        <v>0</v>
      </c>
      <c r="BD493">
        <v>0</v>
      </c>
      <c r="BE493">
        <v>64.239703460217143</v>
      </c>
      <c r="BF493">
        <v>0</v>
      </c>
      <c r="BG493">
        <v>0</v>
      </c>
      <c r="BH493">
        <v>0</v>
      </c>
      <c r="BI493">
        <v>2.7930305852268327</v>
      </c>
      <c r="BJ493">
        <v>0</v>
      </c>
      <c r="BK493">
        <v>0</v>
      </c>
      <c r="BL493">
        <v>0</v>
      </c>
      <c r="BM493">
        <v>14.118026695442717</v>
      </c>
      <c r="BN493">
        <v>0</v>
      </c>
      <c r="BO493">
        <v>0</v>
      </c>
      <c r="BP493">
        <v>0</v>
      </c>
      <c r="BQ493">
        <v>0</v>
      </c>
      <c r="BR493">
        <v>0</v>
      </c>
      <c r="BS493">
        <v>0</v>
      </c>
      <c r="BT493">
        <v>0</v>
      </c>
      <c r="BU493">
        <v>0</v>
      </c>
      <c r="BV493">
        <v>0</v>
      </c>
      <c r="BW493">
        <v>0</v>
      </c>
      <c r="DG493" s="16">
        <f t="shared" si="44"/>
        <v>538.98848084644374</v>
      </c>
      <c r="DH493" s="16">
        <f t="shared" si="45"/>
        <v>16755.404505085975</v>
      </c>
      <c r="DI493" s="17">
        <f t="shared" si="46"/>
        <v>31.086758067209125</v>
      </c>
      <c r="DJ493" s="119" t="s">
        <v>718</v>
      </c>
      <c r="DK493" s="44" t="s">
        <v>718</v>
      </c>
    </row>
    <row r="494" spans="1:117">
      <c r="A494" s="32" t="str">
        <f t="shared" si="42"/>
        <v>Endeavour--132kV Pole Line</v>
      </c>
      <c r="B494" s="32" t="str">
        <f t="shared" si="43"/>
        <v>Endeavour</v>
      </c>
      <c r="C494" s="395"/>
      <c r="D494" s="3"/>
      <c r="E494" t="s">
        <v>588</v>
      </c>
      <c r="F494">
        <v>55</v>
      </c>
      <c r="G494">
        <v>7.416198487095663</v>
      </c>
      <c r="H494">
        <v>3.9335173902950169</v>
      </c>
      <c r="I494">
        <v>15.996304053866405</v>
      </c>
      <c r="J494">
        <v>39.597408395636506</v>
      </c>
      <c r="K494">
        <v>3.0800888353226008</v>
      </c>
      <c r="L494">
        <v>4.8401395983640869</v>
      </c>
      <c r="M494">
        <v>34.487323906048765</v>
      </c>
      <c r="N494">
        <v>41.622632300403687</v>
      </c>
      <c r="O494">
        <v>38.054978103226226</v>
      </c>
      <c r="P494">
        <v>36.865760037500408</v>
      </c>
      <c r="Q494">
        <v>33.298105840322947</v>
      </c>
      <c r="R494">
        <v>0</v>
      </c>
      <c r="S494">
        <v>0</v>
      </c>
      <c r="T494">
        <v>0</v>
      </c>
      <c r="U494">
        <v>0</v>
      </c>
      <c r="V494">
        <v>0</v>
      </c>
      <c r="W494">
        <v>1.4270616788709836</v>
      </c>
      <c r="X494">
        <v>0</v>
      </c>
      <c r="Y494">
        <v>5.1136376826210235</v>
      </c>
      <c r="Z494">
        <v>5.1136376826210235</v>
      </c>
      <c r="AA494">
        <v>86.337231571694502</v>
      </c>
      <c r="AB494">
        <v>0</v>
      </c>
      <c r="AC494">
        <v>0</v>
      </c>
      <c r="AD494">
        <v>1.9027489051613113</v>
      </c>
      <c r="AE494">
        <v>13.081398722984016</v>
      </c>
      <c r="AF494">
        <v>0</v>
      </c>
      <c r="AG494">
        <v>158.99845538754207</v>
      </c>
      <c r="AH494">
        <v>0</v>
      </c>
      <c r="AI494">
        <v>1.0702962591532377</v>
      </c>
      <c r="AJ494">
        <v>0</v>
      </c>
      <c r="AK494">
        <v>2.1405925183064753</v>
      </c>
      <c r="AL494">
        <v>0.11892180657258196</v>
      </c>
      <c r="AM494">
        <v>0</v>
      </c>
      <c r="AN494">
        <v>53.514812957661874</v>
      </c>
      <c r="AO494">
        <v>0</v>
      </c>
      <c r="AP494">
        <v>0</v>
      </c>
      <c r="AQ494">
        <v>0</v>
      </c>
      <c r="AR494">
        <v>0</v>
      </c>
      <c r="AS494">
        <v>2.6162797445968033</v>
      </c>
      <c r="AT494">
        <v>0</v>
      </c>
      <c r="AU494">
        <v>0</v>
      </c>
      <c r="AV494">
        <v>0</v>
      </c>
      <c r="AW494">
        <v>0</v>
      </c>
      <c r="AX494">
        <v>18.670723631895367</v>
      </c>
      <c r="AY494">
        <v>0</v>
      </c>
      <c r="AZ494">
        <v>0.83245264600807367</v>
      </c>
      <c r="BA494">
        <v>0</v>
      </c>
      <c r="BB494">
        <v>0</v>
      </c>
      <c r="BC494">
        <v>0</v>
      </c>
      <c r="BD494">
        <v>64.812384582057163</v>
      </c>
      <c r="BE494">
        <v>93.472539966049411</v>
      </c>
      <c r="BF494">
        <v>0</v>
      </c>
      <c r="BG494">
        <v>0</v>
      </c>
      <c r="BH494">
        <v>0</v>
      </c>
      <c r="BI494">
        <v>0</v>
      </c>
      <c r="BJ494">
        <v>0</v>
      </c>
      <c r="BK494">
        <v>0</v>
      </c>
      <c r="BL494">
        <v>0</v>
      </c>
      <c r="BM494">
        <v>0</v>
      </c>
      <c r="BN494">
        <v>0</v>
      </c>
      <c r="BO494">
        <v>0</v>
      </c>
      <c r="BP494">
        <v>0</v>
      </c>
      <c r="BQ494">
        <v>0</v>
      </c>
      <c r="BR494">
        <v>0</v>
      </c>
      <c r="BS494">
        <v>0</v>
      </c>
      <c r="BT494">
        <v>0</v>
      </c>
      <c r="BU494">
        <v>0</v>
      </c>
      <c r="BV494">
        <v>0</v>
      </c>
      <c r="BW494">
        <v>0</v>
      </c>
      <c r="DG494" s="16">
        <f t="shared" si="44"/>
        <v>760.99943420478246</v>
      </c>
      <c r="DH494" s="16">
        <f t="shared" si="45"/>
        <v>18742.208776694824</v>
      </c>
      <c r="DI494" s="17">
        <f t="shared" si="46"/>
        <v>24.628413549715408</v>
      </c>
      <c r="DJ494" s="119" t="s">
        <v>718</v>
      </c>
      <c r="DK494" s="44" t="s">
        <v>718</v>
      </c>
    </row>
    <row r="495" spans="1:117">
      <c r="A495" s="32" t="str">
        <f t="shared" si="42"/>
        <v>Endeavour--132kV Tower Lines</v>
      </c>
      <c r="B495" s="32" t="str">
        <f t="shared" si="43"/>
        <v>Endeavour</v>
      </c>
      <c r="C495" s="395"/>
      <c r="D495" s="3"/>
      <c r="E495" t="s">
        <v>589</v>
      </c>
      <c r="F495">
        <v>60</v>
      </c>
      <c r="G495">
        <v>7.745966692414834</v>
      </c>
      <c r="H495">
        <v>0</v>
      </c>
      <c r="I495">
        <v>0</v>
      </c>
      <c r="J495">
        <v>0</v>
      </c>
      <c r="K495">
        <v>0</v>
      </c>
      <c r="L495">
        <v>0</v>
      </c>
      <c r="M495">
        <v>0</v>
      </c>
      <c r="N495">
        <v>5</v>
      </c>
      <c r="O495">
        <v>6</v>
      </c>
      <c r="P495">
        <v>5.55</v>
      </c>
      <c r="Q495">
        <v>0</v>
      </c>
      <c r="R495">
        <v>0</v>
      </c>
      <c r="S495">
        <v>0</v>
      </c>
      <c r="T495">
        <v>0</v>
      </c>
      <c r="U495">
        <v>0</v>
      </c>
      <c r="V495">
        <v>0</v>
      </c>
      <c r="W495">
        <v>0</v>
      </c>
      <c r="X495">
        <v>6.8</v>
      </c>
      <c r="Y495">
        <v>0</v>
      </c>
      <c r="Z495">
        <v>0</v>
      </c>
      <c r="AA495">
        <v>0</v>
      </c>
      <c r="AB495">
        <v>0</v>
      </c>
      <c r="AC495">
        <v>0</v>
      </c>
      <c r="AD495">
        <v>0</v>
      </c>
      <c r="AE495">
        <v>0</v>
      </c>
      <c r="AF495">
        <v>0</v>
      </c>
      <c r="AG495">
        <v>0</v>
      </c>
      <c r="AH495">
        <v>0</v>
      </c>
      <c r="AI495">
        <v>0</v>
      </c>
      <c r="AJ495">
        <v>1.5</v>
      </c>
      <c r="AK495">
        <v>0</v>
      </c>
      <c r="AL495">
        <v>0</v>
      </c>
      <c r="AM495">
        <v>0</v>
      </c>
      <c r="AN495">
        <v>1.2</v>
      </c>
      <c r="AO495">
        <v>2.4</v>
      </c>
      <c r="AP495">
        <v>0</v>
      </c>
      <c r="AQ495">
        <v>0</v>
      </c>
      <c r="AR495">
        <v>1.5</v>
      </c>
      <c r="AS495">
        <v>0</v>
      </c>
      <c r="AT495">
        <v>0</v>
      </c>
      <c r="AU495">
        <v>0</v>
      </c>
      <c r="AV495">
        <v>0</v>
      </c>
      <c r="AW495">
        <v>0</v>
      </c>
      <c r="AX495">
        <v>2.2999999999999998</v>
      </c>
      <c r="AY495">
        <v>41</v>
      </c>
      <c r="AZ495">
        <v>43.5</v>
      </c>
      <c r="BA495">
        <v>84.8</v>
      </c>
      <c r="BB495">
        <v>0</v>
      </c>
      <c r="BC495">
        <v>0</v>
      </c>
      <c r="BD495">
        <v>67.5</v>
      </c>
      <c r="BE495">
        <v>46.8</v>
      </c>
      <c r="BF495">
        <v>0</v>
      </c>
      <c r="BG495">
        <v>12.3</v>
      </c>
      <c r="BH495">
        <v>0</v>
      </c>
      <c r="BI495">
        <v>0</v>
      </c>
      <c r="BJ495">
        <v>9.4</v>
      </c>
      <c r="BK495">
        <v>0</v>
      </c>
      <c r="BL495">
        <v>0</v>
      </c>
      <c r="BM495">
        <v>0</v>
      </c>
      <c r="BN495">
        <v>0</v>
      </c>
      <c r="BO495">
        <v>29.6</v>
      </c>
      <c r="BP495">
        <v>27.6</v>
      </c>
      <c r="BQ495">
        <v>0</v>
      </c>
      <c r="BR495">
        <v>0</v>
      </c>
      <c r="BS495">
        <v>70</v>
      </c>
      <c r="BT495">
        <v>0</v>
      </c>
      <c r="BU495">
        <v>0</v>
      </c>
      <c r="BV495">
        <v>0</v>
      </c>
      <c r="BW495">
        <v>0</v>
      </c>
      <c r="DG495" s="16">
        <f t="shared" si="44"/>
        <v>464.75000000000006</v>
      </c>
      <c r="DH495" s="16">
        <f t="shared" si="45"/>
        <v>22973.649999999998</v>
      </c>
      <c r="DI495" s="17">
        <f t="shared" si="46"/>
        <v>49.432275416890789</v>
      </c>
      <c r="DJ495" s="119" t="s">
        <v>718</v>
      </c>
      <c r="DK495" s="44" t="s">
        <v>718</v>
      </c>
    </row>
    <row r="496" spans="1:117" ht="30">
      <c r="A496" s="32" t="str">
        <f t="shared" si="42"/>
        <v>Endeavour-UNDERGROUND CABLES BY: 
HIGHEST OPERATING VOLTAGE-˂ = 1 kV</v>
      </c>
      <c r="B496" s="32" t="str">
        <f t="shared" si="43"/>
        <v>Endeavour</v>
      </c>
      <c r="C496" s="395"/>
      <c r="D496" s="3" t="s">
        <v>539</v>
      </c>
      <c r="E496" t="s">
        <v>171</v>
      </c>
      <c r="F496">
        <v>60</v>
      </c>
      <c r="G496">
        <v>7.745966692414834</v>
      </c>
      <c r="H496">
        <v>352.81400000000031</v>
      </c>
      <c r="I496">
        <v>246.33400000000074</v>
      </c>
      <c r="J496">
        <v>241.39389999999912</v>
      </c>
      <c r="K496">
        <v>152.54130000000077</v>
      </c>
      <c r="L496">
        <v>154.13409999999931</v>
      </c>
      <c r="M496">
        <v>363.32727264410045</v>
      </c>
      <c r="N496">
        <v>291.6393802838295</v>
      </c>
      <c r="O496">
        <v>435.01516500437134</v>
      </c>
      <c r="P496">
        <v>501.3992771895098</v>
      </c>
      <c r="Q496">
        <v>236.6288667994458</v>
      </c>
      <c r="R496">
        <v>53.379106783819893</v>
      </c>
      <c r="S496">
        <v>183.13508145024113</v>
      </c>
      <c r="T496">
        <v>589.97368970397383</v>
      </c>
      <c r="U496">
        <v>413.92963268436432</v>
      </c>
      <c r="V496">
        <v>191.94141959405025</v>
      </c>
      <c r="W496">
        <v>427.03545419468242</v>
      </c>
      <c r="X496">
        <v>168.25984981803757</v>
      </c>
      <c r="Y496">
        <v>203.10937139041184</v>
      </c>
      <c r="Z496">
        <v>264.55870810047588</v>
      </c>
      <c r="AA496">
        <v>312.07366152132158</v>
      </c>
      <c r="AB496">
        <v>225.01724359639263</v>
      </c>
      <c r="AC496">
        <v>107.51568307931744</v>
      </c>
      <c r="AD496">
        <v>216.4634818806835</v>
      </c>
      <c r="AE496">
        <v>218.73142834386996</v>
      </c>
      <c r="AF496">
        <v>334.07977455719578</v>
      </c>
      <c r="AG496">
        <v>296.2616674134178</v>
      </c>
      <c r="AH496">
        <v>283.57418289547854</v>
      </c>
      <c r="AI496">
        <v>334.02581462562665</v>
      </c>
      <c r="AJ496">
        <v>222.30535546946606</v>
      </c>
      <c r="AK496">
        <v>163.06029888769436</v>
      </c>
      <c r="AL496">
        <v>383.7116074740706</v>
      </c>
      <c r="AM496">
        <v>507.24846364162613</v>
      </c>
      <c r="AN496">
        <v>445.40328463156027</v>
      </c>
      <c r="AO496">
        <v>310.10094375837747</v>
      </c>
      <c r="AP496">
        <v>273.44351202434751</v>
      </c>
      <c r="AQ496">
        <v>146.33444611301309</v>
      </c>
      <c r="AR496">
        <v>75.960513198083419</v>
      </c>
      <c r="AS496">
        <v>145.16439682591124</v>
      </c>
      <c r="AT496">
        <v>237.24689539641113</v>
      </c>
      <c r="AU496">
        <v>183.07379023967002</v>
      </c>
      <c r="AV496">
        <v>201.16810201476343</v>
      </c>
      <c r="AW496">
        <v>84.717280595060544</v>
      </c>
      <c r="AX496">
        <v>30.700386544804246</v>
      </c>
      <c r="AY496">
        <v>35.97675271392832</v>
      </c>
      <c r="AZ496">
        <v>54.031241202359219</v>
      </c>
      <c r="BA496">
        <v>27.54613839836</v>
      </c>
      <c r="BB496">
        <v>19.09091778039393</v>
      </c>
      <c r="BC496">
        <v>15.939955650048372</v>
      </c>
      <c r="BD496">
        <v>3.1878536689499191</v>
      </c>
      <c r="BE496">
        <v>11.636824288003158</v>
      </c>
      <c r="BF496">
        <v>28.666406160181243</v>
      </c>
      <c r="BG496">
        <v>9.5277898920108282</v>
      </c>
      <c r="BH496">
        <v>14.842780073605864</v>
      </c>
      <c r="BI496">
        <v>8.2079327127891091</v>
      </c>
      <c r="BJ496">
        <v>4.5609434349312075</v>
      </c>
      <c r="BK496">
        <v>7.2763238548451481</v>
      </c>
      <c r="BL496">
        <v>1.8279083141466139</v>
      </c>
      <c r="BM496">
        <v>0</v>
      </c>
      <c r="BN496">
        <v>0.90608716986548721</v>
      </c>
      <c r="BO496">
        <v>0</v>
      </c>
      <c r="BP496">
        <v>1.8279083141466139</v>
      </c>
      <c r="BQ496">
        <v>1.8184918448837666</v>
      </c>
      <c r="BR496">
        <v>0</v>
      </c>
      <c r="BS496">
        <v>0</v>
      </c>
      <c r="BT496">
        <v>0</v>
      </c>
      <c r="BU496">
        <v>0</v>
      </c>
      <c r="BV496">
        <v>0</v>
      </c>
      <c r="BW496">
        <v>0.91395415707330696</v>
      </c>
      <c r="DG496" s="16">
        <f t="shared" si="44"/>
        <v>11455.717999999997</v>
      </c>
      <c r="DH496" s="16">
        <f t="shared" si="45"/>
        <v>241205.63771239325</v>
      </c>
      <c r="DI496" s="17">
        <f t="shared" si="46"/>
        <v>21.055479692533748</v>
      </c>
      <c r="DJ496" s="119" t="s">
        <v>572</v>
      </c>
      <c r="DK496" t="s">
        <v>572</v>
      </c>
    </row>
    <row r="497" spans="1:115">
      <c r="A497" s="32" t="str">
        <f t="shared" si="42"/>
        <v>Endeavour--&gt; 1 kV &amp; &lt; = 11 kV</v>
      </c>
      <c r="B497" s="32" t="str">
        <f t="shared" si="43"/>
        <v>Endeavour</v>
      </c>
      <c r="C497" s="395"/>
      <c r="D497" s="3"/>
      <c r="E497" t="s">
        <v>172</v>
      </c>
      <c r="F497">
        <v>60</v>
      </c>
      <c r="G497">
        <v>7.745966692414834</v>
      </c>
      <c r="H497">
        <v>162.94899999999961</v>
      </c>
      <c r="I497">
        <v>150.85800000000017</v>
      </c>
      <c r="J497">
        <v>149.1260000000002</v>
      </c>
      <c r="K497">
        <v>119.69459999999981</v>
      </c>
      <c r="L497">
        <v>105.13729999999987</v>
      </c>
      <c r="M497">
        <v>171.66417319962744</v>
      </c>
      <c r="N497">
        <v>157.03370389284098</v>
      </c>
      <c r="O497">
        <v>147.2800576883167</v>
      </c>
      <c r="P497">
        <v>147.2800576883167</v>
      </c>
      <c r="Q497">
        <v>116.97225925224774</v>
      </c>
      <c r="R497">
        <v>98.520855615986534</v>
      </c>
      <c r="S497">
        <v>48.796348652862335</v>
      </c>
      <c r="T497">
        <v>157.1985095964956</v>
      </c>
      <c r="U497">
        <v>110.29156464325744</v>
      </c>
      <c r="V497">
        <v>51.142797749438465</v>
      </c>
      <c r="W497">
        <v>113.78361122840843</v>
      </c>
      <c r="X497">
        <v>44.832842680827646</v>
      </c>
      <c r="Y497">
        <v>54.118498883694848</v>
      </c>
      <c r="Z497">
        <v>70.491676730595415</v>
      </c>
      <c r="AA497">
        <v>83.152037678304211</v>
      </c>
      <c r="AB497">
        <v>59.955852174718189</v>
      </c>
      <c r="AC497">
        <v>28.647557396666773</v>
      </c>
      <c r="AD497">
        <v>57.676702075960847</v>
      </c>
      <c r="AE497">
        <v>58.280996487863248</v>
      </c>
      <c r="AF497">
        <v>89.015567241778783</v>
      </c>
      <c r="AG497">
        <v>74.00524810584659</v>
      </c>
      <c r="AH497">
        <v>70.835953718939138</v>
      </c>
      <c r="AI497">
        <v>83.438615265173695</v>
      </c>
      <c r="AJ497">
        <v>55.531190148263995</v>
      </c>
      <c r="AK497">
        <v>40.731958274433119</v>
      </c>
      <c r="AL497">
        <v>95.849972627696474</v>
      </c>
      <c r="AM497">
        <v>126.70909716687795</v>
      </c>
      <c r="AN497">
        <v>118.67772027019829</v>
      </c>
      <c r="AO497">
        <v>82.626406963577026</v>
      </c>
      <c r="AP497">
        <v>72.859033036925808</v>
      </c>
      <c r="AQ497">
        <v>38.990818121290559</v>
      </c>
      <c r="AR497">
        <v>20.239681313441487</v>
      </c>
      <c r="AS497">
        <v>38.679058449127645</v>
      </c>
      <c r="AT497">
        <v>63.214443310895184</v>
      </c>
      <c r="AU497">
        <v>48.780017607730514</v>
      </c>
      <c r="AV497">
        <v>53.601247592827342</v>
      </c>
      <c r="AW497">
        <v>22.572922282845884</v>
      </c>
      <c r="AX497">
        <v>8.180119034292975</v>
      </c>
      <c r="AY497">
        <v>9.586006978699201</v>
      </c>
      <c r="AZ497">
        <v>14.396626047716488</v>
      </c>
      <c r="BA497">
        <v>7.3396695088788189</v>
      </c>
      <c r="BB497">
        <v>5.0867756889514562</v>
      </c>
      <c r="BC497">
        <v>4.2472017226380485</v>
      </c>
      <c r="BD497">
        <v>9.7536462045242853</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DG497" s="16">
        <f t="shared" si="44"/>
        <v>3719.8339999999994</v>
      </c>
      <c r="DH497" s="16">
        <f t="shared" si="45"/>
        <v>66314.146306484297</v>
      </c>
      <c r="DI497" s="17">
        <f t="shared" si="46"/>
        <v>17.827178929620061</v>
      </c>
      <c r="DJ497" s="119" t="s">
        <v>572</v>
      </c>
      <c r="DK497" s="44" t="s">
        <v>572</v>
      </c>
    </row>
    <row r="498" spans="1:115">
      <c r="A498" s="32" t="str">
        <f t="shared" si="42"/>
        <v>Endeavour--&gt; 11 kV &amp; &lt; = 22 kV</v>
      </c>
      <c r="B498" s="32" t="str">
        <f t="shared" si="43"/>
        <v>Endeavour</v>
      </c>
      <c r="C498" s="395"/>
      <c r="D498" s="3"/>
      <c r="E498" t="s">
        <v>181</v>
      </c>
      <c r="F498">
        <v>60</v>
      </c>
      <c r="G498">
        <v>7.745966692414834</v>
      </c>
      <c r="H498">
        <v>14.371000000000038</v>
      </c>
      <c r="I498">
        <v>8.5399999999999636</v>
      </c>
      <c r="J498">
        <v>22.560000000000002</v>
      </c>
      <c r="K498">
        <v>13.429900000000032</v>
      </c>
      <c r="L498">
        <v>8.0862999999999943</v>
      </c>
      <c r="M498">
        <v>28.753157142857141</v>
      </c>
      <c r="N498">
        <v>27.383959183673468</v>
      </c>
      <c r="O498">
        <v>20.537969387755101</v>
      </c>
      <c r="P498">
        <v>42.445136734693875</v>
      </c>
      <c r="Q498">
        <v>21.907167346938774</v>
      </c>
      <c r="R498">
        <v>20.537969387755101</v>
      </c>
      <c r="S498">
        <v>31.491553061224486</v>
      </c>
      <c r="T498">
        <v>35.599146938775512</v>
      </c>
      <c r="U498">
        <v>21.907167346938774</v>
      </c>
      <c r="V498">
        <v>17.799573469387756</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DG498" s="16">
        <f t="shared" si="44"/>
        <v>335.35</v>
      </c>
      <c r="DH498" s="16">
        <f t="shared" si="45"/>
        <v>2963.1695714285715</v>
      </c>
      <c r="DI498" s="17">
        <f t="shared" si="46"/>
        <v>8.8360506081066692</v>
      </c>
      <c r="DJ498" s="119" t="s">
        <v>572</v>
      </c>
      <c r="DK498" s="44" t="s">
        <v>572</v>
      </c>
    </row>
    <row r="499" spans="1:115">
      <c r="A499" s="32" t="str">
        <f t="shared" si="42"/>
        <v>Endeavour--&gt; 22 kV &amp; &lt; = 33 kV</v>
      </c>
      <c r="B499" s="32" t="str">
        <f t="shared" si="43"/>
        <v>Endeavour</v>
      </c>
      <c r="C499" s="395"/>
      <c r="D499" s="3"/>
      <c r="E499" t="s">
        <v>182</v>
      </c>
      <c r="F499">
        <v>45</v>
      </c>
      <c r="G499">
        <v>6.7082039324993694</v>
      </c>
      <c r="H499">
        <v>7.1990000000000123</v>
      </c>
      <c r="I499">
        <v>0.36899999999999977</v>
      </c>
      <c r="J499">
        <v>4.6305999999999869</v>
      </c>
      <c r="K499">
        <v>6.4107999999999947</v>
      </c>
      <c r="L499">
        <v>1.5170000000000243</v>
      </c>
      <c r="M499">
        <v>6.2243891151382913</v>
      </c>
      <c r="N499">
        <v>5.1869909292819099</v>
      </c>
      <c r="O499">
        <v>2.0747963717127638</v>
      </c>
      <c r="P499">
        <v>7.2617873009946727</v>
      </c>
      <c r="Q499">
        <v>2.2033486801077329</v>
      </c>
      <c r="R499">
        <v>0.6662918076263411</v>
      </c>
      <c r="S499">
        <v>0</v>
      </c>
      <c r="T499">
        <v>7.4296799160132529</v>
      </c>
      <c r="U499">
        <v>0</v>
      </c>
      <c r="V499">
        <v>0</v>
      </c>
      <c r="W499">
        <v>1.1716033713713203</v>
      </c>
      <c r="X499">
        <v>2.5146608946506395</v>
      </c>
      <c r="Y499">
        <v>3.4976646989231619</v>
      </c>
      <c r="Z499">
        <v>0.3314780270221297</v>
      </c>
      <c r="AA499">
        <v>9.6345803095501115</v>
      </c>
      <c r="AB499">
        <v>0.94871297389092302</v>
      </c>
      <c r="AC499">
        <v>4.6978437622791489</v>
      </c>
      <c r="AD499">
        <v>2.5260911714445058</v>
      </c>
      <c r="AE499">
        <v>0.68581660763199248</v>
      </c>
      <c r="AF499">
        <v>1.6802506886983817</v>
      </c>
      <c r="AG499">
        <v>4.583540994340483</v>
      </c>
      <c r="AH499">
        <v>6.6981422012057941</v>
      </c>
      <c r="AI499">
        <v>8.6641498097508389</v>
      </c>
      <c r="AJ499">
        <v>3.269059163045831</v>
      </c>
      <c r="AK499">
        <v>3.269059163045831</v>
      </c>
      <c r="AL499">
        <v>6.9724688442585903</v>
      </c>
      <c r="AM499">
        <v>4.2749235209060865</v>
      </c>
      <c r="AN499">
        <v>12.973364161038525</v>
      </c>
      <c r="AO499">
        <v>8.4355442738735071</v>
      </c>
      <c r="AP499">
        <v>9.6928747211988284</v>
      </c>
      <c r="AQ499">
        <v>0.68581660763199248</v>
      </c>
      <c r="AR499">
        <v>3.771991341975959</v>
      </c>
      <c r="AS499">
        <v>7.7154368358599151E-2</v>
      </c>
      <c r="AT499">
        <v>0</v>
      </c>
      <c r="AU499">
        <v>0.64295306965499299</v>
      </c>
      <c r="AV499">
        <v>0</v>
      </c>
      <c r="AW499">
        <v>0</v>
      </c>
      <c r="AX499">
        <v>0.85727075953999077</v>
      </c>
      <c r="AY499">
        <v>0</v>
      </c>
      <c r="AZ499">
        <v>0.23146310507579751</v>
      </c>
      <c r="BA499">
        <v>0.1285906139309986</v>
      </c>
      <c r="BB499">
        <v>0</v>
      </c>
      <c r="BC499">
        <v>0.59151682408259354</v>
      </c>
      <c r="BD499">
        <v>0.72868014560899197</v>
      </c>
      <c r="BE499">
        <v>3.0261657811761666</v>
      </c>
      <c r="BF499">
        <v>0</v>
      </c>
      <c r="BG499">
        <v>0</v>
      </c>
      <c r="BH499">
        <v>3.0518839039623669</v>
      </c>
      <c r="BI499">
        <v>0</v>
      </c>
      <c r="BJ499">
        <v>0</v>
      </c>
      <c r="BK499">
        <v>0</v>
      </c>
      <c r="BL499">
        <v>0</v>
      </c>
      <c r="BM499">
        <v>0</v>
      </c>
      <c r="BN499">
        <v>0</v>
      </c>
      <c r="BO499">
        <v>0</v>
      </c>
      <c r="BP499">
        <v>0</v>
      </c>
      <c r="BQ499">
        <v>0</v>
      </c>
      <c r="BR499">
        <v>0</v>
      </c>
      <c r="BS499">
        <v>0</v>
      </c>
      <c r="BT499">
        <v>0</v>
      </c>
      <c r="BU499">
        <v>0</v>
      </c>
      <c r="BV499">
        <v>0</v>
      </c>
      <c r="BW499">
        <v>0</v>
      </c>
      <c r="DG499" s="16">
        <f t="shared" si="44"/>
        <v>161.48900000000006</v>
      </c>
      <c r="DH499" s="16">
        <f t="shared" si="45"/>
        <v>3665.7691067611809</v>
      </c>
      <c r="DI499" s="17">
        <f t="shared" si="46"/>
        <v>22.699806839853981</v>
      </c>
      <c r="DJ499" s="119" t="s">
        <v>572</v>
      </c>
      <c r="DK499" s="44" t="s">
        <v>572</v>
      </c>
    </row>
    <row r="500" spans="1:115">
      <c r="A500" s="32" t="str">
        <f t="shared" si="42"/>
        <v>Endeavour--&gt; 33 kV &amp; &lt; = 66 kV</v>
      </c>
      <c r="B500" s="32" t="str">
        <f t="shared" si="43"/>
        <v>Endeavour</v>
      </c>
      <c r="C500" s="395"/>
      <c r="D500" s="3"/>
      <c r="E500" t="s">
        <v>183</v>
      </c>
      <c r="F500">
        <v>45</v>
      </c>
      <c r="G500">
        <v>6.7082039324993694</v>
      </c>
      <c r="H500">
        <v>12.361999999999998</v>
      </c>
      <c r="I500">
        <v>0.70599999999999952</v>
      </c>
      <c r="J500">
        <v>0.71199999999999974</v>
      </c>
      <c r="K500">
        <v>0.22710000000000008</v>
      </c>
      <c r="L500">
        <v>0.16159999999999997</v>
      </c>
      <c r="M500">
        <v>0</v>
      </c>
      <c r="N500">
        <v>0</v>
      </c>
      <c r="O500">
        <v>0</v>
      </c>
      <c r="P500">
        <v>0</v>
      </c>
      <c r="Q500">
        <v>1.7639291720276E-2</v>
      </c>
      <c r="R500">
        <v>5.512735923363167E-2</v>
      </c>
      <c r="S500">
        <v>0</v>
      </c>
      <c r="T500">
        <v>1.0451674894991347</v>
      </c>
      <c r="U500">
        <v>0</v>
      </c>
      <c r="V500">
        <v>0</v>
      </c>
      <c r="W500">
        <v>0</v>
      </c>
      <c r="X500">
        <v>0</v>
      </c>
      <c r="Y500">
        <v>0</v>
      </c>
      <c r="Z500">
        <v>1.0347158146041433</v>
      </c>
      <c r="AA500">
        <v>0</v>
      </c>
      <c r="AB500">
        <v>0</v>
      </c>
      <c r="AC500">
        <v>0</v>
      </c>
      <c r="AD500">
        <v>0</v>
      </c>
      <c r="AE500">
        <v>2.3307235015830705</v>
      </c>
      <c r="AF500">
        <v>0</v>
      </c>
      <c r="AG500">
        <v>2.9264689705975773</v>
      </c>
      <c r="AH500">
        <v>2.0903349789982695</v>
      </c>
      <c r="AI500">
        <v>0.64277800604196789</v>
      </c>
      <c r="AJ500">
        <v>2.3934335509530187</v>
      </c>
      <c r="AK500">
        <v>0.17767847321485292</v>
      </c>
      <c r="AL500">
        <v>6.2710049369948076E-2</v>
      </c>
      <c r="AM500">
        <v>0.60619714390949808</v>
      </c>
      <c r="AN500">
        <v>0</v>
      </c>
      <c r="AO500">
        <v>0</v>
      </c>
      <c r="AP500">
        <v>0</v>
      </c>
      <c r="AQ500">
        <v>0</v>
      </c>
      <c r="AR500">
        <v>0.4180669957996539</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5.2258374474956737E-2</v>
      </c>
      <c r="BN500">
        <v>0</v>
      </c>
      <c r="BO500">
        <v>0</v>
      </c>
      <c r="BP500">
        <v>0</v>
      </c>
      <c r="BQ500">
        <v>0</v>
      </c>
      <c r="BR500">
        <v>0</v>
      </c>
      <c r="BS500">
        <v>0</v>
      </c>
      <c r="BT500">
        <v>0</v>
      </c>
      <c r="BU500">
        <v>0</v>
      </c>
      <c r="BV500">
        <v>0</v>
      </c>
      <c r="BW500">
        <v>0</v>
      </c>
      <c r="DG500" s="16">
        <f t="shared" si="44"/>
        <v>28.021999999999995</v>
      </c>
      <c r="DH500" s="16">
        <f t="shared" si="45"/>
        <v>372.70006945918936</v>
      </c>
      <c r="DI500" s="17">
        <f t="shared" si="46"/>
        <v>13.30026655696201</v>
      </c>
      <c r="DJ500" s="119" t="s">
        <v>572</v>
      </c>
      <c r="DK500" s="44" t="s">
        <v>572</v>
      </c>
    </row>
    <row r="501" spans="1:115">
      <c r="A501" s="32" t="str">
        <f t="shared" si="42"/>
        <v>Endeavour--&gt; 66 kV &amp; &lt; = 132 kV</v>
      </c>
      <c r="B501" s="32" t="str">
        <f t="shared" si="43"/>
        <v>Endeavour</v>
      </c>
      <c r="C501" s="395"/>
      <c r="D501" s="3"/>
      <c r="E501" t="s">
        <v>175</v>
      </c>
      <c r="F501">
        <v>45</v>
      </c>
      <c r="G501">
        <v>6.7082039324993694</v>
      </c>
      <c r="H501">
        <v>15.488</v>
      </c>
      <c r="I501">
        <v>16.087000000000003</v>
      </c>
      <c r="J501">
        <v>4.693058999999991</v>
      </c>
      <c r="K501">
        <v>0</v>
      </c>
      <c r="L501">
        <v>7.0474999999999994</v>
      </c>
      <c r="M501">
        <v>6.7641310790595268</v>
      </c>
      <c r="N501">
        <v>3.8652177594625869</v>
      </c>
      <c r="O501">
        <v>4.8315221993282336</v>
      </c>
      <c r="P501">
        <v>0</v>
      </c>
      <c r="Q501">
        <v>0.53146744192610573</v>
      </c>
      <c r="R501">
        <v>0</v>
      </c>
      <c r="S501">
        <v>0.49861309097067374</v>
      </c>
      <c r="T501">
        <v>4.110659087188461</v>
      </c>
      <c r="U501">
        <v>0.38652177594625869</v>
      </c>
      <c r="V501">
        <v>0</v>
      </c>
      <c r="W501">
        <v>0</v>
      </c>
      <c r="X501">
        <v>0.89866312907505153</v>
      </c>
      <c r="Y501">
        <v>0</v>
      </c>
      <c r="Z501">
        <v>0</v>
      </c>
      <c r="AA501">
        <v>1.4977718817917525</v>
      </c>
      <c r="AB501">
        <v>4.8315221993282336</v>
      </c>
      <c r="AC501">
        <v>0</v>
      </c>
      <c r="AD501">
        <v>0.27056524316238112</v>
      </c>
      <c r="AE501">
        <v>0</v>
      </c>
      <c r="AF501">
        <v>0</v>
      </c>
      <c r="AG501">
        <v>0.72472832989923508</v>
      </c>
      <c r="AH501">
        <v>0</v>
      </c>
      <c r="AI501">
        <v>7.7304355189251744E-2</v>
      </c>
      <c r="AJ501">
        <v>0</v>
      </c>
      <c r="AK501">
        <v>0</v>
      </c>
      <c r="AL501">
        <v>0</v>
      </c>
      <c r="AM501">
        <v>0</v>
      </c>
      <c r="AN501">
        <v>0</v>
      </c>
      <c r="AO501">
        <v>0</v>
      </c>
      <c r="AP501">
        <v>0</v>
      </c>
      <c r="AQ501">
        <v>22.345790171893082</v>
      </c>
      <c r="AR501">
        <v>0</v>
      </c>
      <c r="AS501">
        <v>0</v>
      </c>
      <c r="AT501">
        <v>0</v>
      </c>
      <c r="AU501">
        <v>0</v>
      </c>
      <c r="AV501">
        <v>0</v>
      </c>
      <c r="AW501">
        <v>0</v>
      </c>
      <c r="AX501">
        <v>0</v>
      </c>
      <c r="AY501">
        <v>0</v>
      </c>
      <c r="AZ501">
        <v>0</v>
      </c>
      <c r="BA501">
        <v>0</v>
      </c>
      <c r="BB501">
        <v>0</v>
      </c>
      <c r="BC501">
        <v>0</v>
      </c>
      <c r="BD501">
        <v>16.83592225577916</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DG501" s="16">
        <f t="shared" si="44"/>
        <v>111.78595899999999</v>
      </c>
      <c r="DH501" s="16">
        <f t="shared" si="45"/>
        <v>2076.7538427455752</v>
      </c>
      <c r="DI501" s="17">
        <f t="shared" si="46"/>
        <v>18.577948977881697</v>
      </c>
      <c r="DJ501" s="119" t="s">
        <v>572</v>
      </c>
      <c r="DK501" s="44" t="s">
        <v>572</v>
      </c>
    </row>
    <row r="502" spans="1:115">
      <c r="A502" s="32" t="str">
        <f t="shared" si="42"/>
        <v>Endeavour--&gt;  132 kV</v>
      </c>
      <c r="B502" s="32" t="str">
        <f t="shared" si="43"/>
        <v>Endeavour</v>
      </c>
      <c r="C502" s="395"/>
      <c r="D502" s="3"/>
      <c r="E502" t="s">
        <v>184</v>
      </c>
      <c r="DG502" s="16">
        <f t="shared" si="44"/>
        <v>0</v>
      </c>
      <c r="DH502" s="16">
        <f t="shared" si="45"/>
        <v>0</v>
      </c>
      <c r="DI502" s="17" t="str">
        <f t="shared" si="46"/>
        <v/>
      </c>
      <c r="DJ502" s="119" t="s">
        <v>572</v>
      </c>
      <c r="DK502" s="44" t="s">
        <v>572</v>
      </c>
    </row>
    <row r="503" spans="1:115">
      <c r="A503" s="32" t="str">
        <f t="shared" si="42"/>
        <v>Endeavour--OTHER - PLEASE ADD A ROW IF NECESSARY AND NOMINATE THE CATEGORY</v>
      </c>
      <c r="B503" s="32" t="str">
        <f t="shared" si="43"/>
        <v>Endeavour</v>
      </c>
      <c r="C503" s="395"/>
      <c r="D503" s="3"/>
      <c r="E503" t="s">
        <v>170</v>
      </c>
      <c r="DG503" s="16">
        <f t="shared" si="44"/>
        <v>0</v>
      </c>
      <c r="DH503" s="16">
        <f t="shared" si="45"/>
        <v>0</v>
      </c>
      <c r="DI503" s="17" t="str">
        <f t="shared" si="46"/>
        <v/>
      </c>
      <c r="DJ503" s="119" t="s">
        <v>572</v>
      </c>
      <c r="DK503" s="44" t="s">
        <v>572</v>
      </c>
    </row>
    <row r="504" spans="1:115" ht="60">
      <c r="A504" s="32" t="str">
        <f t="shared" si="42"/>
        <v xml:space="preserve">Endeavour-SERVICE LINES BY: 
CONNECTION VOLTAGE; CUSTOMER TYPE; CONNECTION COMPLEXITY -˂ = 11 kV ; RESIDENTIAL ; SIMPLE TYPE </v>
      </c>
      <c r="B504" s="32" t="str">
        <f t="shared" si="43"/>
        <v>Endeavour</v>
      </c>
      <c r="C504" s="395"/>
      <c r="D504" s="3" t="s">
        <v>541</v>
      </c>
      <c r="E504" t="s">
        <v>186</v>
      </c>
      <c r="DG504" s="16">
        <f t="shared" si="44"/>
        <v>0</v>
      </c>
      <c r="DH504" s="16">
        <f t="shared" si="45"/>
        <v>0</v>
      </c>
      <c r="DI504" s="17" t="str">
        <f t="shared" si="46"/>
        <v/>
      </c>
      <c r="DJ504" s="119" t="s">
        <v>719</v>
      </c>
      <c r="DK504" t="s">
        <v>719</v>
      </c>
    </row>
    <row r="505" spans="1:115">
      <c r="A505" s="32" t="str">
        <f t="shared" si="42"/>
        <v xml:space="preserve">Endeavour--˂ = 11 kV ; COMMERCIAL &amp; INDUSTRIAL ; SIMPLE TYPE </v>
      </c>
      <c r="B505" s="32" t="str">
        <f t="shared" si="43"/>
        <v>Endeavour</v>
      </c>
      <c r="C505" s="395"/>
      <c r="D505" s="3"/>
      <c r="E505" t="s">
        <v>187</v>
      </c>
      <c r="DG505" s="16">
        <f t="shared" si="44"/>
        <v>0</v>
      </c>
      <c r="DH505" s="16">
        <f t="shared" si="45"/>
        <v>0</v>
      </c>
      <c r="DI505" s="17" t="str">
        <f t="shared" si="46"/>
        <v/>
      </c>
      <c r="DJ505" s="119" t="s">
        <v>719</v>
      </c>
      <c r="DK505" s="44" t="s">
        <v>719</v>
      </c>
    </row>
    <row r="506" spans="1:115">
      <c r="A506" s="32" t="str">
        <f t="shared" si="42"/>
        <v xml:space="preserve">Endeavour--˂ = 11 kV ; RESIDENTIAL ; COMPLEX TYPE </v>
      </c>
      <c r="B506" s="32" t="str">
        <f t="shared" si="43"/>
        <v>Endeavour</v>
      </c>
      <c r="C506" s="395"/>
      <c r="D506" s="3"/>
      <c r="E506" t="s">
        <v>188</v>
      </c>
      <c r="DG506" s="16">
        <f t="shared" si="44"/>
        <v>0</v>
      </c>
      <c r="DH506" s="16">
        <f t="shared" si="45"/>
        <v>0</v>
      </c>
      <c r="DI506" s="17" t="str">
        <f t="shared" si="46"/>
        <v/>
      </c>
      <c r="DJ506" s="119" t="s">
        <v>719</v>
      </c>
      <c r="DK506" s="44" t="s">
        <v>719</v>
      </c>
    </row>
    <row r="507" spans="1:115">
      <c r="A507" s="32" t="str">
        <f t="shared" si="42"/>
        <v xml:space="preserve">Endeavour--˂ = 11 kV ; COMMERCIAL &amp; INDUSTRIAL ; COMPLEX TYPE </v>
      </c>
      <c r="B507" s="32" t="str">
        <f t="shared" si="43"/>
        <v>Endeavour</v>
      </c>
      <c r="C507" s="395"/>
      <c r="D507" s="3"/>
      <c r="E507" t="s">
        <v>189</v>
      </c>
      <c r="DG507" s="16">
        <f t="shared" si="44"/>
        <v>0</v>
      </c>
      <c r="DH507" s="16">
        <f t="shared" si="45"/>
        <v>0</v>
      </c>
      <c r="DI507" s="17" t="str">
        <f t="shared" si="46"/>
        <v/>
      </c>
      <c r="DJ507" s="119" t="s">
        <v>719</v>
      </c>
      <c r="DK507" s="44" t="s">
        <v>719</v>
      </c>
    </row>
    <row r="508" spans="1:115">
      <c r="A508" s="32" t="str">
        <f t="shared" si="42"/>
        <v xml:space="preserve">Endeavour--˂ = 11 kV ; SUBDIVISION ; COMPLEX TYPE </v>
      </c>
      <c r="B508" s="32" t="str">
        <f t="shared" si="43"/>
        <v>Endeavour</v>
      </c>
      <c r="C508" s="395"/>
      <c r="D508" s="3"/>
      <c r="E508" t="s">
        <v>190</v>
      </c>
      <c r="DG508" s="16">
        <f t="shared" si="44"/>
        <v>0</v>
      </c>
      <c r="DH508" s="16">
        <f t="shared" si="45"/>
        <v>0</v>
      </c>
      <c r="DI508" s="17" t="str">
        <f t="shared" si="46"/>
        <v/>
      </c>
      <c r="DJ508" s="119" t="s">
        <v>719</v>
      </c>
      <c r="DK508" s="44" t="s">
        <v>719</v>
      </c>
    </row>
    <row r="509" spans="1:115">
      <c r="A509" s="32" t="str">
        <f t="shared" si="42"/>
        <v xml:space="preserve">Endeavour--&gt; 11 kV  &amp; &lt; = 22 kV ; COMMERCIAL &amp; INDUSTRIAL  </v>
      </c>
      <c r="B509" s="32" t="str">
        <f t="shared" si="43"/>
        <v>Endeavour</v>
      </c>
      <c r="C509" s="395"/>
      <c r="D509" s="3"/>
      <c r="E509" t="s">
        <v>191</v>
      </c>
      <c r="DG509" s="16">
        <f t="shared" si="44"/>
        <v>0</v>
      </c>
      <c r="DH509" s="16">
        <f t="shared" si="45"/>
        <v>0</v>
      </c>
      <c r="DI509" s="17" t="str">
        <f t="shared" si="46"/>
        <v/>
      </c>
      <c r="DJ509" s="119" t="s">
        <v>719</v>
      </c>
      <c r="DK509" s="44" t="s">
        <v>719</v>
      </c>
    </row>
    <row r="510" spans="1:115">
      <c r="A510" s="32" t="str">
        <f t="shared" si="42"/>
        <v xml:space="preserve">Endeavour--&gt; 11 kV  &amp; &lt; = 22 kV ; SUBDIVISION  </v>
      </c>
      <c r="B510" s="32" t="str">
        <f t="shared" si="43"/>
        <v>Endeavour</v>
      </c>
      <c r="C510" s="395"/>
      <c r="D510" s="3"/>
      <c r="E510" t="s">
        <v>192</v>
      </c>
      <c r="DG510" s="16">
        <f t="shared" si="44"/>
        <v>0</v>
      </c>
      <c r="DH510" s="16">
        <f t="shared" si="45"/>
        <v>0</v>
      </c>
      <c r="DI510" s="17" t="str">
        <f t="shared" si="46"/>
        <v/>
      </c>
      <c r="DJ510" s="119" t="s">
        <v>719</v>
      </c>
      <c r="DK510" s="44" t="s">
        <v>719</v>
      </c>
    </row>
    <row r="511" spans="1:115">
      <c r="A511" s="32" t="str">
        <f t="shared" si="42"/>
        <v xml:space="preserve">Endeavour--&gt; 22 kV &amp; &lt; = 33 kV ; COMMERCIAL &amp; INDUSTRIAL  </v>
      </c>
      <c r="B511" s="32" t="str">
        <f t="shared" si="43"/>
        <v>Endeavour</v>
      </c>
      <c r="C511" s="395"/>
      <c r="D511" s="3"/>
      <c r="E511" t="s">
        <v>193</v>
      </c>
      <c r="DG511" s="16">
        <f t="shared" si="44"/>
        <v>0</v>
      </c>
      <c r="DH511" s="16">
        <f t="shared" si="45"/>
        <v>0</v>
      </c>
      <c r="DI511" s="17" t="str">
        <f t="shared" si="46"/>
        <v/>
      </c>
      <c r="DJ511" s="119" t="s">
        <v>719</v>
      </c>
      <c r="DK511" s="44" t="s">
        <v>719</v>
      </c>
    </row>
    <row r="512" spans="1:115">
      <c r="A512" s="32" t="str">
        <f t="shared" si="42"/>
        <v xml:space="preserve">Endeavour--&gt; 22 kV &amp; &lt; = 33 kV ; SUBDIVISION  </v>
      </c>
      <c r="B512" s="32" t="str">
        <f t="shared" si="43"/>
        <v>Endeavour</v>
      </c>
      <c r="C512" s="395"/>
      <c r="D512" s="3"/>
      <c r="E512" t="s">
        <v>194</v>
      </c>
      <c r="DG512" s="16">
        <f t="shared" si="44"/>
        <v>0</v>
      </c>
      <c r="DH512" s="16">
        <f t="shared" si="45"/>
        <v>0</v>
      </c>
      <c r="DI512" s="17" t="str">
        <f t="shared" si="46"/>
        <v/>
      </c>
      <c r="DJ512" s="119" t="s">
        <v>719</v>
      </c>
      <c r="DK512" s="44" t="s">
        <v>719</v>
      </c>
    </row>
    <row r="513" spans="1:115">
      <c r="A513" s="32" t="str">
        <f t="shared" si="42"/>
        <v xml:space="preserve">Endeavour--&gt; 33 kV &amp; &lt; = 66 kV ; COMMERCIAL &amp; INDUSTRIAL  </v>
      </c>
      <c r="B513" s="32" t="str">
        <f t="shared" si="43"/>
        <v>Endeavour</v>
      </c>
      <c r="C513" s="395"/>
      <c r="D513" s="3"/>
      <c r="E513" t="s">
        <v>195</v>
      </c>
      <c r="DG513" s="16">
        <f t="shared" si="44"/>
        <v>0</v>
      </c>
      <c r="DH513" s="16">
        <f t="shared" si="45"/>
        <v>0</v>
      </c>
      <c r="DI513" s="17" t="str">
        <f t="shared" si="46"/>
        <v/>
      </c>
      <c r="DJ513" s="119" t="s">
        <v>719</v>
      </c>
      <c r="DK513" s="44" t="s">
        <v>719</v>
      </c>
    </row>
    <row r="514" spans="1:115">
      <c r="A514" s="32" t="str">
        <f t="shared" si="42"/>
        <v xml:space="preserve">Endeavour--&gt; 33 kV &amp; &lt; = 66 kV ; SUBDIVISION  </v>
      </c>
      <c r="B514" s="32" t="str">
        <f t="shared" si="43"/>
        <v>Endeavour</v>
      </c>
      <c r="C514" s="395"/>
      <c r="D514" s="3"/>
      <c r="E514" t="s">
        <v>196</v>
      </c>
      <c r="DG514" s="16">
        <f t="shared" si="44"/>
        <v>0</v>
      </c>
      <c r="DH514" s="16">
        <f t="shared" si="45"/>
        <v>0</v>
      </c>
      <c r="DI514" s="17" t="str">
        <f t="shared" si="46"/>
        <v/>
      </c>
      <c r="DJ514" s="119" t="s">
        <v>719</v>
      </c>
      <c r="DK514" s="44" t="s">
        <v>719</v>
      </c>
    </row>
    <row r="515" spans="1:115">
      <c r="A515" s="32" t="str">
        <f t="shared" si="42"/>
        <v xml:space="preserve">Endeavour--&gt; 66 kV &amp; &lt; = 132 kV ; COMMERCIAL &amp; INDUSTRIAL  </v>
      </c>
      <c r="B515" s="32" t="str">
        <f t="shared" si="43"/>
        <v>Endeavour</v>
      </c>
      <c r="C515" s="395"/>
      <c r="D515" s="3"/>
      <c r="E515" t="s">
        <v>197</v>
      </c>
      <c r="DG515" s="16">
        <f t="shared" si="44"/>
        <v>0</v>
      </c>
      <c r="DH515" s="16">
        <f t="shared" si="45"/>
        <v>0</v>
      </c>
      <c r="DI515" s="17" t="str">
        <f t="shared" si="46"/>
        <v/>
      </c>
      <c r="DJ515" s="119" t="s">
        <v>719</v>
      </c>
      <c r="DK515" s="44" t="s">
        <v>719</v>
      </c>
    </row>
    <row r="516" spans="1:115">
      <c r="A516" s="32" t="str">
        <f t="shared" si="42"/>
        <v xml:space="preserve">Endeavour--&gt; 66 kV &amp; &lt; = 132 kV ; SUBDIVISION  </v>
      </c>
      <c r="B516" s="32" t="str">
        <f t="shared" si="43"/>
        <v>Endeavour</v>
      </c>
      <c r="C516" s="395"/>
      <c r="D516" s="3"/>
      <c r="E516" t="s">
        <v>198</v>
      </c>
      <c r="DG516" s="16">
        <f t="shared" si="44"/>
        <v>0</v>
      </c>
      <c r="DH516" s="16">
        <f t="shared" si="45"/>
        <v>0</v>
      </c>
      <c r="DI516" s="17" t="str">
        <f t="shared" si="46"/>
        <v/>
      </c>
      <c r="DJ516" s="119" t="s">
        <v>719</v>
      </c>
      <c r="DK516" s="44" t="s">
        <v>719</v>
      </c>
    </row>
    <row r="517" spans="1:115">
      <c r="A517" s="32" t="str">
        <f t="shared" si="42"/>
        <v xml:space="preserve">Endeavour--&gt; 132 kV ; COMMERCIAL &amp; INDUSTRIAL  </v>
      </c>
      <c r="B517" s="32" t="str">
        <f t="shared" si="43"/>
        <v>Endeavour</v>
      </c>
      <c r="C517" s="395"/>
      <c r="D517" s="3"/>
      <c r="E517" t="s">
        <v>199</v>
      </c>
      <c r="DG517" s="16">
        <f t="shared" si="44"/>
        <v>0</v>
      </c>
      <c r="DH517" s="16">
        <f t="shared" si="45"/>
        <v>0</v>
      </c>
      <c r="DI517" s="17" t="str">
        <f t="shared" si="46"/>
        <v/>
      </c>
      <c r="DJ517" s="119" t="s">
        <v>719</v>
      </c>
      <c r="DK517" s="44" t="s">
        <v>719</v>
      </c>
    </row>
    <row r="518" spans="1:115">
      <c r="A518" s="32" t="str">
        <f t="shared" si="42"/>
        <v xml:space="preserve">Endeavour--&gt; 132 kV ; SUBDIVISION  </v>
      </c>
      <c r="B518" s="32" t="str">
        <f t="shared" si="43"/>
        <v>Endeavour</v>
      </c>
      <c r="C518" s="395"/>
      <c r="D518" s="3"/>
      <c r="E518" t="s">
        <v>200</v>
      </c>
      <c r="DG518" s="16">
        <f t="shared" si="44"/>
        <v>0</v>
      </c>
      <c r="DH518" s="16">
        <f t="shared" si="45"/>
        <v>0</v>
      </c>
      <c r="DI518" s="17" t="str">
        <f t="shared" si="46"/>
        <v/>
      </c>
      <c r="DJ518" s="119" t="s">
        <v>719</v>
      </c>
      <c r="DK518" s="44" t="s">
        <v>719</v>
      </c>
    </row>
    <row r="519" spans="1:115">
      <c r="A519" s="32" t="str">
        <f t="shared" si="42"/>
        <v>Endeavour--LV OH</v>
      </c>
      <c r="B519" s="32" t="str">
        <f t="shared" si="43"/>
        <v>Endeavour</v>
      </c>
      <c r="C519" s="395"/>
      <c r="D519" s="3"/>
      <c r="E519" t="s">
        <v>590</v>
      </c>
      <c r="F519">
        <v>35</v>
      </c>
      <c r="G519">
        <v>5.9160797830996161</v>
      </c>
      <c r="H519">
        <v>6954</v>
      </c>
      <c r="I519">
        <v>3446</v>
      </c>
      <c r="J519">
        <v>8825</v>
      </c>
      <c r="K519">
        <v>9983</v>
      </c>
      <c r="L519">
        <v>4018</v>
      </c>
      <c r="M519">
        <v>14139</v>
      </c>
      <c r="N519">
        <v>14139</v>
      </c>
      <c r="O519">
        <v>13356</v>
      </c>
      <c r="P519">
        <v>13356</v>
      </c>
      <c r="Q519">
        <v>16964</v>
      </c>
      <c r="R519">
        <v>16712</v>
      </c>
      <c r="S519">
        <v>10307</v>
      </c>
      <c r="T519">
        <v>15184</v>
      </c>
      <c r="U519">
        <v>14777</v>
      </c>
      <c r="V519">
        <v>19063</v>
      </c>
      <c r="W519">
        <v>15765</v>
      </c>
      <c r="X519">
        <v>7166</v>
      </c>
      <c r="Y519">
        <v>11611</v>
      </c>
      <c r="Z519">
        <v>11755</v>
      </c>
      <c r="AA519">
        <v>12640</v>
      </c>
      <c r="AB519">
        <v>10905</v>
      </c>
      <c r="AC519">
        <v>10773</v>
      </c>
      <c r="AD519">
        <v>12325</v>
      </c>
      <c r="AE519">
        <v>16181</v>
      </c>
      <c r="AF519">
        <v>15822</v>
      </c>
      <c r="AG519">
        <v>14745</v>
      </c>
      <c r="AH519">
        <v>15021</v>
      </c>
      <c r="AI519">
        <v>15926</v>
      </c>
      <c r="AJ519">
        <v>15831</v>
      </c>
      <c r="AK519">
        <v>12441</v>
      </c>
      <c r="AL519">
        <v>17633</v>
      </c>
      <c r="AM519">
        <v>25266</v>
      </c>
      <c r="AN519">
        <v>40243</v>
      </c>
      <c r="AO519">
        <v>16742</v>
      </c>
      <c r="AP519">
        <v>11758</v>
      </c>
      <c r="AQ519">
        <v>8330</v>
      </c>
      <c r="AR519">
        <v>6677</v>
      </c>
      <c r="AS519">
        <v>5907</v>
      </c>
      <c r="AT519">
        <v>7233</v>
      </c>
      <c r="AU519">
        <v>2934</v>
      </c>
      <c r="AV519">
        <v>1279</v>
      </c>
      <c r="AW519">
        <v>1267</v>
      </c>
      <c r="AX519">
        <v>636</v>
      </c>
      <c r="AY519">
        <v>1055</v>
      </c>
      <c r="AZ519">
        <v>1409</v>
      </c>
      <c r="BA519">
        <v>1157</v>
      </c>
      <c r="BB519">
        <v>1176</v>
      </c>
      <c r="BC519">
        <v>964</v>
      </c>
      <c r="BD519">
        <v>861</v>
      </c>
      <c r="BE519">
        <v>1005</v>
      </c>
      <c r="BF519">
        <v>833</v>
      </c>
      <c r="BG519">
        <v>451</v>
      </c>
      <c r="BH519">
        <v>500</v>
      </c>
      <c r="BI519">
        <v>25</v>
      </c>
      <c r="BJ519">
        <v>227</v>
      </c>
      <c r="BK519">
        <v>83</v>
      </c>
      <c r="BL519">
        <v>83</v>
      </c>
      <c r="BM519">
        <v>145</v>
      </c>
      <c r="BN519">
        <v>41</v>
      </c>
      <c r="BO519">
        <v>124</v>
      </c>
      <c r="BP519">
        <v>104</v>
      </c>
      <c r="BQ519">
        <v>185</v>
      </c>
      <c r="BR519">
        <v>21</v>
      </c>
      <c r="BS519">
        <v>21</v>
      </c>
      <c r="DG519" s="16">
        <f t="shared" si="44"/>
        <v>536505</v>
      </c>
      <c r="DH519" s="16">
        <f t="shared" si="45"/>
        <v>11817536</v>
      </c>
      <c r="DI519" s="17">
        <f t="shared" si="46"/>
        <v>22.026888845397526</v>
      </c>
      <c r="DJ519" s="119" t="s">
        <v>719</v>
      </c>
      <c r="DK519" s="44" t="s">
        <v>719</v>
      </c>
    </row>
    <row r="520" spans="1:115">
      <c r="A520" s="32" t="str">
        <f t="shared" si="42"/>
        <v>Endeavour--LV UG</v>
      </c>
      <c r="B520" s="32" t="str">
        <f t="shared" si="43"/>
        <v>Endeavour</v>
      </c>
      <c r="C520" s="395"/>
      <c r="D520" s="3"/>
      <c r="E520" t="s">
        <v>591</v>
      </c>
      <c r="F520">
        <v>60</v>
      </c>
      <c r="G520">
        <v>7.745966692414834</v>
      </c>
      <c r="H520">
        <v>2172</v>
      </c>
      <c r="I520">
        <v>1077</v>
      </c>
      <c r="J520">
        <v>2757</v>
      </c>
      <c r="K520">
        <v>3119</v>
      </c>
      <c r="L520">
        <v>1255</v>
      </c>
      <c r="M520">
        <v>1721</v>
      </c>
      <c r="N520">
        <v>1721</v>
      </c>
      <c r="O520">
        <v>2053</v>
      </c>
      <c r="P520">
        <v>2053</v>
      </c>
      <c r="Q520">
        <v>1594</v>
      </c>
      <c r="R520">
        <v>1721</v>
      </c>
      <c r="S520">
        <v>1185</v>
      </c>
      <c r="T520">
        <v>2447</v>
      </c>
      <c r="U520">
        <v>2281</v>
      </c>
      <c r="V520">
        <v>2086</v>
      </c>
      <c r="W520">
        <v>1808</v>
      </c>
      <c r="X520">
        <v>1465</v>
      </c>
      <c r="Y520">
        <v>1944</v>
      </c>
      <c r="Z520">
        <v>2161</v>
      </c>
      <c r="AA520">
        <v>2487</v>
      </c>
      <c r="AB520">
        <v>2751</v>
      </c>
      <c r="AC520">
        <v>2759</v>
      </c>
      <c r="AD520">
        <v>2961</v>
      </c>
      <c r="AE520">
        <v>3790</v>
      </c>
      <c r="AF520">
        <v>3223</v>
      </c>
      <c r="AG520">
        <v>3048</v>
      </c>
      <c r="AH520">
        <v>3124</v>
      </c>
      <c r="AI520">
        <v>2416</v>
      </c>
      <c r="AJ520">
        <v>4000</v>
      </c>
      <c r="AK520">
        <v>5323</v>
      </c>
      <c r="AL520">
        <v>6217</v>
      </c>
      <c r="AM520">
        <v>2926</v>
      </c>
      <c r="AN520">
        <v>16069</v>
      </c>
      <c r="AO520">
        <v>9355</v>
      </c>
      <c r="AP520">
        <v>5347</v>
      </c>
      <c r="AQ520">
        <v>4403</v>
      </c>
      <c r="AR520">
        <v>3918</v>
      </c>
      <c r="AS520">
        <v>3476</v>
      </c>
      <c r="AT520">
        <v>3855</v>
      </c>
      <c r="AU520">
        <v>1759</v>
      </c>
      <c r="AV520">
        <v>1408</v>
      </c>
      <c r="AW520">
        <v>1050</v>
      </c>
      <c r="AX520">
        <v>1498</v>
      </c>
      <c r="AY520">
        <v>3514</v>
      </c>
      <c r="AZ520">
        <v>4247</v>
      </c>
      <c r="BA520">
        <v>4272</v>
      </c>
      <c r="BB520">
        <v>3947</v>
      </c>
      <c r="BC520">
        <v>3547</v>
      </c>
      <c r="BD520">
        <v>2665</v>
      </c>
      <c r="BE520">
        <v>3181</v>
      </c>
      <c r="BF520">
        <v>2282</v>
      </c>
      <c r="BG520">
        <v>1183</v>
      </c>
      <c r="BH520">
        <v>1433</v>
      </c>
      <c r="BI520">
        <v>424</v>
      </c>
      <c r="BJ520">
        <v>991</v>
      </c>
      <c r="BK520">
        <v>341</v>
      </c>
      <c r="BL520">
        <v>374</v>
      </c>
      <c r="BM520">
        <v>337</v>
      </c>
      <c r="BN520">
        <v>87</v>
      </c>
      <c r="BO520">
        <v>254</v>
      </c>
      <c r="BP520">
        <v>250</v>
      </c>
      <c r="BQ520">
        <v>383</v>
      </c>
      <c r="BR520">
        <v>79</v>
      </c>
      <c r="BS520">
        <v>46</v>
      </c>
      <c r="DG520" s="16">
        <f t="shared" si="44"/>
        <v>167620</v>
      </c>
      <c r="DH520" s="16">
        <f t="shared" si="45"/>
        <v>5067914</v>
      </c>
      <c r="DI520" s="17">
        <f t="shared" si="46"/>
        <v>30.23454241737263</v>
      </c>
      <c r="DJ520" s="119" t="s">
        <v>719</v>
      </c>
      <c r="DK520" s="44" t="s">
        <v>719</v>
      </c>
    </row>
    <row r="521" spans="1:115" ht="75">
      <c r="A521" s="32" t="str">
        <f t="shared" si="42"/>
        <v>Endeavour-TRANSFORMERS BY: 
MOUNTING TYPE; HIGHEST OPERATING VOLTAGE ; AMPERE RATING; NUMBER OF PHASES (AT LV)-POLE MOUNTED ; &lt; = 22kV ;  &lt; = 60 kVA ; SINGLE PHASE</v>
      </c>
      <c r="B521" s="32" t="str">
        <f t="shared" si="43"/>
        <v>Endeavour</v>
      </c>
      <c r="C521" s="395"/>
      <c r="D521" s="3" t="s">
        <v>544</v>
      </c>
      <c r="E521" t="s">
        <v>203</v>
      </c>
      <c r="F521">
        <v>51</v>
      </c>
      <c r="G521">
        <v>5.9160797830996161</v>
      </c>
      <c r="H521">
        <v>45</v>
      </c>
      <c r="I521">
        <v>9</v>
      </c>
      <c r="J521">
        <v>31</v>
      </c>
      <c r="K521">
        <v>51</v>
      </c>
      <c r="L521">
        <v>95</v>
      </c>
      <c r="M521">
        <v>107</v>
      </c>
      <c r="N521">
        <v>120</v>
      </c>
      <c r="O521">
        <v>49</v>
      </c>
      <c r="P521">
        <v>62</v>
      </c>
      <c r="Q521">
        <v>56</v>
      </c>
      <c r="R521">
        <v>68</v>
      </c>
      <c r="S521">
        <v>69</v>
      </c>
      <c r="T521">
        <v>67</v>
      </c>
      <c r="U521">
        <v>49</v>
      </c>
      <c r="V521">
        <v>69</v>
      </c>
      <c r="W521">
        <v>101</v>
      </c>
      <c r="X521">
        <v>13</v>
      </c>
      <c r="Y521">
        <v>48</v>
      </c>
      <c r="Z521">
        <v>73</v>
      </c>
      <c r="AA521">
        <v>67</v>
      </c>
      <c r="AB521">
        <v>83</v>
      </c>
      <c r="AC521">
        <v>79</v>
      </c>
      <c r="AD521">
        <v>48</v>
      </c>
      <c r="AE521">
        <v>92</v>
      </c>
      <c r="AF521">
        <v>147</v>
      </c>
      <c r="AG521">
        <v>125</v>
      </c>
      <c r="AH521">
        <v>107</v>
      </c>
      <c r="AI521">
        <v>112</v>
      </c>
      <c r="AJ521">
        <v>75</v>
      </c>
      <c r="AK521">
        <v>41</v>
      </c>
      <c r="AL521">
        <v>69</v>
      </c>
      <c r="AM521">
        <v>136</v>
      </c>
      <c r="AN521">
        <v>76</v>
      </c>
      <c r="AO521">
        <v>67</v>
      </c>
      <c r="AP521">
        <v>39</v>
      </c>
      <c r="AQ521">
        <v>33</v>
      </c>
      <c r="AR521">
        <v>11</v>
      </c>
      <c r="AS521">
        <v>35</v>
      </c>
      <c r="AT521">
        <v>22</v>
      </c>
      <c r="AU521">
        <v>21</v>
      </c>
      <c r="AV521">
        <v>15</v>
      </c>
      <c r="AW521">
        <v>41</v>
      </c>
      <c r="AX521">
        <v>32</v>
      </c>
      <c r="AY521">
        <v>46</v>
      </c>
      <c r="AZ521">
        <v>19</v>
      </c>
      <c r="BA521">
        <v>42</v>
      </c>
      <c r="BB521">
        <v>13</v>
      </c>
      <c r="BC521">
        <v>10</v>
      </c>
      <c r="BD521">
        <v>21</v>
      </c>
      <c r="BE521">
        <v>20</v>
      </c>
      <c r="BF521">
        <v>30</v>
      </c>
      <c r="BG521">
        <v>15</v>
      </c>
      <c r="BH521">
        <v>1</v>
      </c>
      <c r="BI521">
        <v>4</v>
      </c>
      <c r="BJ521">
        <v>4</v>
      </c>
      <c r="BK521">
        <v>7</v>
      </c>
      <c r="BL521">
        <v>4</v>
      </c>
      <c r="BM521">
        <v>3</v>
      </c>
      <c r="BN521">
        <v>5</v>
      </c>
      <c r="BO521">
        <v>1</v>
      </c>
      <c r="BP521">
        <v>1</v>
      </c>
      <c r="BQ521">
        <v>0</v>
      </c>
      <c r="BR521">
        <v>2</v>
      </c>
      <c r="BS521">
        <v>0</v>
      </c>
      <c r="BT521">
        <v>0</v>
      </c>
      <c r="BU521">
        <v>2</v>
      </c>
      <c r="BV521">
        <v>1</v>
      </c>
      <c r="BW521">
        <v>12</v>
      </c>
      <c r="BX521">
        <v>1</v>
      </c>
      <c r="DG521" s="16">
        <f t="shared" si="44"/>
        <v>3019</v>
      </c>
      <c r="DH521" s="16">
        <f t="shared" si="45"/>
        <v>70699</v>
      </c>
      <c r="DI521" s="17">
        <f t="shared" si="46"/>
        <v>23.418019211659491</v>
      </c>
      <c r="DJ521" s="119" t="s">
        <v>4</v>
      </c>
      <c r="DK521" t="s">
        <v>4</v>
      </c>
    </row>
    <row r="522" spans="1:115">
      <c r="A522" s="32" t="str">
        <f t="shared" si="42"/>
        <v>Endeavour--POLE MOUNTED ; &lt; = 22kV ;  &gt; 60 kVA AND &lt; = 600 kVA ; SINGLE PHASE</v>
      </c>
      <c r="B522" s="32" t="str">
        <f t="shared" si="43"/>
        <v>Endeavour</v>
      </c>
      <c r="C522" s="395"/>
      <c r="D522" s="3"/>
      <c r="E522" t="s">
        <v>204</v>
      </c>
      <c r="F522">
        <v>51</v>
      </c>
      <c r="G522">
        <v>5.9160797830996161</v>
      </c>
      <c r="H522">
        <v>1</v>
      </c>
      <c r="I522">
        <v>0</v>
      </c>
      <c r="J522">
        <v>0</v>
      </c>
      <c r="K522">
        <v>0</v>
      </c>
      <c r="L522">
        <v>0</v>
      </c>
      <c r="M522">
        <v>0</v>
      </c>
      <c r="N522">
        <v>2</v>
      </c>
      <c r="O522">
        <v>0</v>
      </c>
      <c r="P522">
        <v>1</v>
      </c>
      <c r="Q522">
        <v>1</v>
      </c>
      <c r="R522">
        <v>0</v>
      </c>
      <c r="S522">
        <v>0</v>
      </c>
      <c r="T522">
        <v>3</v>
      </c>
      <c r="U522">
        <v>3</v>
      </c>
      <c r="V522">
        <v>3</v>
      </c>
      <c r="W522">
        <v>3</v>
      </c>
      <c r="X522">
        <v>4</v>
      </c>
      <c r="Y522">
        <v>2</v>
      </c>
      <c r="Z522">
        <v>1</v>
      </c>
      <c r="AA522">
        <v>2</v>
      </c>
      <c r="AB522">
        <v>1</v>
      </c>
      <c r="AC522">
        <v>0</v>
      </c>
      <c r="AD522">
        <v>1</v>
      </c>
      <c r="AE522">
        <v>0</v>
      </c>
      <c r="AF522">
        <v>1</v>
      </c>
      <c r="AG522">
        <v>0</v>
      </c>
      <c r="AH522">
        <v>1</v>
      </c>
      <c r="AI522">
        <v>0</v>
      </c>
      <c r="AJ522">
        <v>0</v>
      </c>
      <c r="AK522">
        <v>0</v>
      </c>
      <c r="AL522">
        <v>0</v>
      </c>
      <c r="AM522">
        <v>0</v>
      </c>
      <c r="AN522">
        <v>0</v>
      </c>
      <c r="AO522">
        <v>0</v>
      </c>
      <c r="AP522">
        <v>0</v>
      </c>
      <c r="AQ522">
        <v>0</v>
      </c>
      <c r="AR522">
        <v>1</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BX522">
        <v>0</v>
      </c>
      <c r="DG522" s="16">
        <f t="shared" si="44"/>
        <v>31</v>
      </c>
      <c r="DH522" s="16">
        <f t="shared" si="45"/>
        <v>504</v>
      </c>
      <c r="DI522" s="17">
        <f t="shared" si="46"/>
        <v>16.258064516129032</v>
      </c>
      <c r="DJ522" s="119" t="s">
        <v>4</v>
      </c>
      <c r="DK522" s="44" t="s">
        <v>4</v>
      </c>
    </row>
    <row r="523" spans="1:115">
      <c r="A523" s="32" t="str">
        <f t="shared" si="42"/>
        <v>Endeavour--POLE MOUNTED ; &lt; = 22kV ;  &gt; 600 kVA ; SINGLE PHASE</v>
      </c>
      <c r="B523" s="32" t="str">
        <f t="shared" si="43"/>
        <v>Endeavour</v>
      </c>
      <c r="C523" s="395"/>
      <c r="D523" s="3"/>
      <c r="E523" t="s">
        <v>205</v>
      </c>
      <c r="F523">
        <v>51</v>
      </c>
      <c r="G523">
        <v>5.9160797830996161</v>
      </c>
      <c r="H523">
        <v>0</v>
      </c>
      <c r="I523">
        <v>0</v>
      </c>
      <c r="J523">
        <v>0</v>
      </c>
      <c r="K523">
        <v>0</v>
      </c>
      <c r="L523">
        <v>0</v>
      </c>
      <c r="M523">
        <v>0</v>
      </c>
      <c r="N523">
        <v>0</v>
      </c>
      <c r="O523">
        <v>0</v>
      </c>
      <c r="P523">
        <v>0</v>
      </c>
      <c r="Q523">
        <v>0</v>
      </c>
      <c r="R523">
        <v>1</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0</v>
      </c>
      <c r="DG523" s="16">
        <f t="shared" si="44"/>
        <v>1</v>
      </c>
      <c r="DH523" s="16">
        <f t="shared" si="45"/>
        <v>11</v>
      </c>
      <c r="DI523" s="17">
        <f t="shared" si="46"/>
        <v>11</v>
      </c>
      <c r="DJ523" s="119" t="s">
        <v>4</v>
      </c>
      <c r="DK523" s="44" t="s">
        <v>4</v>
      </c>
    </row>
    <row r="524" spans="1:115">
      <c r="A524" s="32" t="str">
        <f t="shared" si="42"/>
        <v>Endeavour--POLE MOUNTED ; &lt; = 22kV ;  &lt; = 60 kVA  ; MULTIPLE PHASE</v>
      </c>
      <c r="B524" s="32" t="str">
        <f t="shared" si="43"/>
        <v>Endeavour</v>
      </c>
      <c r="C524" s="395"/>
      <c r="D524" s="3"/>
      <c r="E524" t="s">
        <v>206</v>
      </c>
      <c r="F524">
        <v>51</v>
      </c>
      <c r="G524">
        <v>5.9160797830996161</v>
      </c>
      <c r="H524">
        <v>25</v>
      </c>
      <c r="I524">
        <v>70</v>
      </c>
      <c r="J524">
        <v>72</v>
      </c>
      <c r="K524">
        <v>69</v>
      </c>
      <c r="L524">
        <v>27</v>
      </c>
      <c r="M524">
        <v>41</v>
      </c>
      <c r="N524">
        <v>18</v>
      </c>
      <c r="O524">
        <v>118</v>
      </c>
      <c r="P524">
        <v>97</v>
      </c>
      <c r="Q524">
        <v>116</v>
      </c>
      <c r="R524">
        <v>73</v>
      </c>
      <c r="S524">
        <v>75</v>
      </c>
      <c r="T524">
        <v>44</v>
      </c>
      <c r="U524">
        <v>29</v>
      </c>
      <c r="V524">
        <v>92</v>
      </c>
      <c r="W524">
        <v>99</v>
      </c>
      <c r="X524">
        <v>22</v>
      </c>
      <c r="Y524">
        <v>32</v>
      </c>
      <c r="Z524">
        <v>53</v>
      </c>
      <c r="AA524">
        <v>62</v>
      </c>
      <c r="AB524">
        <v>55</v>
      </c>
      <c r="AC524">
        <v>71</v>
      </c>
      <c r="AD524">
        <v>63</v>
      </c>
      <c r="AE524">
        <v>82</v>
      </c>
      <c r="AF524">
        <v>83</v>
      </c>
      <c r="AG524">
        <v>95</v>
      </c>
      <c r="AH524">
        <v>83</v>
      </c>
      <c r="AI524">
        <v>88</v>
      </c>
      <c r="AJ524">
        <v>64</v>
      </c>
      <c r="AK524">
        <v>54</v>
      </c>
      <c r="AL524">
        <v>47</v>
      </c>
      <c r="AM524">
        <v>108</v>
      </c>
      <c r="AN524">
        <v>115</v>
      </c>
      <c r="AO524">
        <v>68</v>
      </c>
      <c r="AP524">
        <v>72</v>
      </c>
      <c r="AQ524">
        <v>58</v>
      </c>
      <c r="AR524">
        <v>53</v>
      </c>
      <c r="AS524">
        <v>40</v>
      </c>
      <c r="AT524">
        <v>46</v>
      </c>
      <c r="AU524">
        <v>59</v>
      </c>
      <c r="AV524">
        <v>25</v>
      </c>
      <c r="AW524">
        <v>43</v>
      </c>
      <c r="AX524">
        <v>46</v>
      </c>
      <c r="AY524">
        <v>51</v>
      </c>
      <c r="AZ524">
        <v>74</v>
      </c>
      <c r="BA524">
        <v>68</v>
      </c>
      <c r="BB524">
        <v>49</v>
      </c>
      <c r="BC524">
        <v>50</v>
      </c>
      <c r="BD524">
        <v>31</v>
      </c>
      <c r="BE524">
        <v>49</v>
      </c>
      <c r="BF524">
        <v>47</v>
      </c>
      <c r="BG524">
        <v>20</v>
      </c>
      <c r="BH524">
        <v>20</v>
      </c>
      <c r="BI524">
        <v>15</v>
      </c>
      <c r="BJ524">
        <v>6</v>
      </c>
      <c r="BK524">
        <v>7</v>
      </c>
      <c r="BL524">
        <v>9</v>
      </c>
      <c r="BM524">
        <v>4</v>
      </c>
      <c r="BN524">
        <v>2</v>
      </c>
      <c r="BO524">
        <v>3</v>
      </c>
      <c r="BP524">
        <v>7</v>
      </c>
      <c r="BQ524">
        <v>6</v>
      </c>
      <c r="BR524">
        <v>5</v>
      </c>
      <c r="BS524">
        <v>0</v>
      </c>
      <c r="BT524">
        <v>2</v>
      </c>
      <c r="BU524">
        <v>2</v>
      </c>
      <c r="BV524">
        <v>2</v>
      </c>
      <c r="BW524">
        <v>8</v>
      </c>
      <c r="BX524">
        <v>1</v>
      </c>
      <c r="DG524" s="16">
        <f t="shared" si="44"/>
        <v>3290</v>
      </c>
      <c r="DH524" s="16">
        <f t="shared" si="45"/>
        <v>86484</v>
      </c>
      <c r="DI524" s="17">
        <f t="shared" si="46"/>
        <v>26.286930091185411</v>
      </c>
      <c r="DJ524" s="119" t="s">
        <v>4</v>
      </c>
      <c r="DK524" s="44" t="s">
        <v>4</v>
      </c>
    </row>
    <row r="525" spans="1:115">
      <c r="A525" s="32" t="str">
        <f t="shared" si="42"/>
        <v>Endeavour--POLE MOUNTED ; &lt; = 22kV ;  &gt; 60 kVA AND &lt; = 600 kVA  ; MULTIPLE PHASE</v>
      </c>
      <c r="B525" s="32" t="str">
        <f t="shared" si="43"/>
        <v>Endeavour</v>
      </c>
      <c r="C525" s="395"/>
      <c r="D525" s="3"/>
      <c r="E525" t="s">
        <v>207</v>
      </c>
      <c r="F525">
        <v>51</v>
      </c>
      <c r="G525">
        <v>5.9160797830996161</v>
      </c>
      <c r="H525">
        <v>199</v>
      </c>
      <c r="I525">
        <v>158</v>
      </c>
      <c r="J525">
        <v>234</v>
      </c>
      <c r="K525">
        <v>348</v>
      </c>
      <c r="L525">
        <v>428</v>
      </c>
      <c r="M525">
        <v>455</v>
      </c>
      <c r="N525">
        <v>443</v>
      </c>
      <c r="O525">
        <v>517</v>
      </c>
      <c r="P525">
        <v>466</v>
      </c>
      <c r="Q525">
        <v>694</v>
      </c>
      <c r="R525">
        <v>368</v>
      </c>
      <c r="S525">
        <v>468</v>
      </c>
      <c r="T525">
        <v>487</v>
      </c>
      <c r="U525">
        <v>197</v>
      </c>
      <c r="V525">
        <v>172</v>
      </c>
      <c r="W525">
        <v>280</v>
      </c>
      <c r="X525">
        <v>38</v>
      </c>
      <c r="Y525">
        <v>181</v>
      </c>
      <c r="Z525">
        <v>193</v>
      </c>
      <c r="AA525">
        <v>107</v>
      </c>
      <c r="AB525">
        <v>87</v>
      </c>
      <c r="AC525">
        <v>190</v>
      </c>
      <c r="AD525">
        <v>155</v>
      </c>
      <c r="AE525">
        <v>221</v>
      </c>
      <c r="AF525">
        <v>203</v>
      </c>
      <c r="AG525">
        <v>223</v>
      </c>
      <c r="AH525">
        <v>121</v>
      </c>
      <c r="AI525">
        <v>293</v>
      </c>
      <c r="AJ525">
        <v>154</v>
      </c>
      <c r="AK525">
        <v>278</v>
      </c>
      <c r="AL525">
        <v>344</v>
      </c>
      <c r="AM525">
        <v>276</v>
      </c>
      <c r="AN525">
        <v>455</v>
      </c>
      <c r="AO525">
        <v>350</v>
      </c>
      <c r="AP525">
        <v>297</v>
      </c>
      <c r="AQ525">
        <v>159</v>
      </c>
      <c r="AR525">
        <v>131</v>
      </c>
      <c r="AS525">
        <v>146</v>
      </c>
      <c r="AT525">
        <v>121</v>
      </c>
      <c r="AU525">
        <v>96</v>
      </c>
      <c r="AV525">
        <v>109</v>
      </c>
      <c r="AW525">
        <v>203</v>
      </c>
      <c r="AX525">
        <v>147</v>
      </c>
      <c r="AY525">
        <v>241</v>
      </c>
      <c r="AZ525">
        <v>193</v>
      </c>
      <c r="BA525">
        <v>200</v>
      </c>
      <c r="BB525">
        <v>150</v>
      </c>
      <c r="BC525">
        <v>176</v>
      </c>
      <c r="BD525">
        <v>134</v>
      </c>
      <c r="BE525">
        <v>111</v>
      </c>
      <c r="BF525">
        <v>128</v>
      </c>
      <c r="BG525">
        <v>70</v>
      </c>
      <c r="BH525">
        <v>63</v>
      </c>
      <c r="BI525">
        <v>95</v>
      </c>
      <c r="BJ525">
        <v>18</v>
      </c>
      <c r="BK525">
        <v>8</v>
      </c>
      <c r="BL525">
        <v>1</v>
      </c>
      <c r="BM525">
        <v>0</v>
      </c>
      <c r="BN525">
        <v>1</v>
      </c>
      <c r="BO525">
        <v>1</v>
      </c>
      <c r="BP525">
        <v>1</v>
      </c>
      <c r="BQ525">
        <v>1</v>
      </c>
      <c r="BR525">
        <v>0</v>
      </c>
      <c r="BS525">
        <v>1</v>
      </c>
      <c r="BT525">
        <v>0</v>
      </c>
      <c r="BU525">
        <v>1</v>
      </c>
      <c r="BV525">
        <v>3</v>
      </c>
      <c r="BW525">
        <v>6</v>
      </c>
      <c r="BX525">
        <v>0</v>
      </c>
      <c r="DG525" s="16">
        <f t="shared" si="44"/>
        <v>12795</v>
      </c>
      <c r="DH525" s="16">
        <f t="shared" si="45"/>
        <v>289416</v>
      </c>
      <c r="DI525" s="17">
        <f t="shared" si="46"/>
        <v>22.619460726846423</v>
      </c>
      <c r="DJ525" s="119" t="s">
        <v>4</v>
      </c>
      <c r="DK525" s="44" t="s">
        <v>4</v>
      </c>
    </row>
    <row r="526" spans="1:115">
      <c r="A526" s="32" t="str">
        <f t="shared" si="42"/>
        <v>Endeavour--POLE MOUNTED ; &lt; = 22kV ;  &gt; 600 kVA  ; MULTIPLE PHASE</v>
      </c>
      <c r="B526" s="32" t="str">
        <f t="shared" si="43"/>
        <v>Endeavour</v>
      </c>
      <c r="C526" s="395"/>
      <c r="D526" s="3"/>
      <c r="E526" t="s">
        <v>208</v>
      </c>
      <c r="F526">
        <v>51</v>
      </c>
      <c r="G526">
        <v>5.9160797830996161</v>
      </c>
      <c r="H526">
        <v>0</v>
      </c>
      <c r="I526">
        <v>0</v>
      </c>
      <c r="J526">
        <v>0</v>
      </c>
      <c r="K526">
        <v>1</v>
      </c>
      <c r="L526">
        <v>0</v>
      </c>
      <c r="M526">
        <v>0</v>
      </c>
      <c r="N526">
        <v>0</v>
      </c>
      <c r="O526">
        <v>0</v>
      </c>
      <c r="P526">
        <v>0</v>
      </c>
      <c r="Q526">
        <v>1</v>
      </c>
      <c r="R526">
        <v>2</v>
      </c>
      <c r="S526">
        <v>0</v>
      </c>
      <c r="T526">
        <v>0</v>
      </c>
      <c r="U526">
        <v>0</v>
      </c>
      <c r="V526">
        <v>0</v>
      </c>
      <c r="W526">
        <v>0</v>
      </c>
      <c r="X526">
        <v>0</v>
      </c>
      <c r="Y526">
        <v>0</v>
      </c>
      <c r="Z526">
        <v>3</v>
      </c>
      <c r="AA526">
        <v>0</v>
      </c>
      <c r="AB526">
        <v>0</v>
      </c>
      <c r="AC526">
        <v>0</v>
      </c>
      <c r="AD526">
        <v>0</v>
      </c>
      <c r="AE526">
        <v>0</v>
      </c>
      <c r="AF526">
        <v>0</v>
      </c>
      <c r="AG526">
        <v>1</v>
      </c>
      <c r="AH526">
        <v>0</v>
      </c>
      <c r="AI526">
        <v>1</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0</v>
      </c>
      <c r="BX526">
        <v>0</v>
      </c>
      <c r="DG526" s="16">
        <f t="shared" si="44"/>
        <v>9</v>
      </c>
      <c r="DH526" s="16">
        <f t="shared" si="45"/>
        <v>147</v>
      </c>
      <c r="DI526" s="17">
        <f t="shared" si="46"/>
        <v>16.333333333333332</v>
      </c>
      <c r="DJ526" s="119" t="s">
        <v>4</v>
      </c>
      <c r="DK526" s="44" t="s">
        <v>4</v>
      </c>
    </row>
    <row r="527" spans="1:115">
      <c r="A527" s="32" t="str">
        <f t="shared" si="42"/>
        <v xml:space="preserve">Endeavour--POLE MOUNTED ; &gt; 22 kV ;  &lt; = 60 kVA </v>
      </c>
      <c r="B527" s="32" t="str">
        <f t="shared" si="43"/>
        <v>Endeavour</v>
      </c>
      <c r="C527" s="395"/>
      <c r="D527" s="3"/>
      <c r="E527" t="s">
        <v>209</v>
      </c>
      <c r="F527">
        <v>51</v>
      </c>
      <c r="G527">
        <v>5.9160797830996161</v>
      </c>
      <c r="H527">
        <v>0</v>
      </c>
      <c r="I527">
        <v>0</v>
      </c>
      <c r="J527">
        <v>0</v>
      </c>
      <c r="K527">
        <v>0</v>
      </c>
      <c r="L527">
        <v>0</v>
      </c>
      <c r="M527">
        <v>0</v>
      </c>
      <c r="N527">
        <v>1</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BX527">
        <v>0</v>
      </c>
      <c r="DG527" s="16">
        <f t="shared" si="44"/>
        <v>1</v>
      </c>
      <c r="DH527" s="16">
        <f t="shared" si="45"/>
        <v>7</v>
      </c>
      <c r="DI527" s="17">
        <f t="shared" si="46"/>
        <v>7</v>
      </c>
      <c r="DJ527" s="119" t="s">
        <v>4</v>
      </c>
      <c r="DK527" s="44" t="s">
        <v>4</v>
      </c>
    </row>
    <row r="528" spans="1:115">
      <c r="A528" s="32" t="str">
        <f t="shared" si="42"/>
        <v xml:space="preserve">Endeavour--POLE MOUNTED ; &gt; 22 kV ;  &gt; 60 kVA AND &lt; = 600 kVA </v>
      </c>
      <c r="B528" s="32" t="str">
        <f t="shared" si="43"/>
        <v>Endeavour</v>
      </c>
      <c r="C528" s="395"/>
      <c r="D528" s="3"/>
      <c r="E528" t="s">
        <v>210</v>
      </c>
      <c r="F528">
        <v>51</v>
      </c>
      <c r="G528">
        <v>5.9160797830996161</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0</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BX528">
        <v>0</v>
      </c>
      <c r="DG528" s="16">
        <f t="shared" si="44"/>
        <v>0</v>
      </c>
      <c r="DH528" s="16">
        <f t="shared" si="45"/>
        <v>0</v>
      </c>
      <c r="DI528" s="17" t="str">
        <f t="shared" si="46"/>
        <v/>
      </c>
      <c r="DJ528" s="119" t="s">
        <v>4</v>
      </c>
      <c r="DK528" s="44" t="s">
        <v>4</v>
      </c>
    </row>
    <row r="529" spans="1:115">
      <c r="A529" s="32" t="str">
        <f t="shared" si="42"/>
        <v>Endeavour--POLE MOUNTED ; &gt; 22 kV ;  &gt; 600 kVA</v>
      </c>
      <c r="B529" s="32" t="str">
        <f t="shared" si="43"/>
        <v>Endeavour</v>
      </c>
      <c r="C529" s="395"/>
      <c r="D529" s="3"/>
      <c r="E529" t="s">
        <v>211</v>
      </c>
      <c r="F529">
        <v>51</v>
      </c>
      <c r="G529">
        <v>5.9160797830996161</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BX529">
        <v>0</v>
      </c>
      <c r="DG529" s="16">
        <f t="shared" si="44"/>
        <v>0</v>
      </c>
      <c r="DH529" s="16">
        <f t="shared" si="45"/>
        <v>0</v>
      </c>
      <c r="DI529" s="17" t="str">
        <f t="shared" si="46"/>
        <v/>
      </c>
      <c r="DJ529" s="119" t="s">
        <v>4</v>
      </c>
      <c r="DK529" s="44" t="s">
        <v>4</v>
      </c>
    </row>
    <row r="530" spans="1:115">
      <c r="A530" s="32" t="str">
        <f t="shared" si="42"/>
        <v xml:space="preserve">Endeavour--POLE MOUNTED ; &gt; 22 kV ;  &lt; = 60 kVA </v>
      </c>
      <c r="B530" s="32" t="str">
        <f t="shared" si="43"/>
        <v>Endeavour</v>
      </c>
      <c r="C530" s="395"/>
      <c r="D530" s="3"/>
      <c r="E530" t="s">
        <v>209</v>
      </c>
      <c r="F530">
        <v>51</v>
      </c>
      <c r="G530">
        <v>5.9160797830996161</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BX530">
        <v>0</v>
      </c>
      <c r="DG530" s="16">
        <f t="shared" si="44"/>
        <v>0</v>
      </c>
      <c r="DH530" s="16">
        <f t="shared" si="45"/>
        <v>0</v>
      </c>
      <c r="DI530" s="17" t="str">
        <f t="shared" si="46"/>
        <v/>
      </c>
      <c r="DJ530" s="119" t="s">
        <v>4</v>
      </c>
      <c r="DK530" s="44" t="s">
        <v>4</v>
      </c>
    </row>
    <row r="531" spans="1:115">
      <c r="A531" s="32" t="str">
        <f t="shared" si="42"/>
        <v>Endeavour--POLE MOUNTED ; &gt; 22 kV ;  &gt; 60 kVA AND &lt; = 600 kVA</v>
      </c>
      <c r="B531" s="32" t="str">
        <f t="shared" si="43"/>
        <v>Endeavour</v>
      </c>
      <c r="C531" s="395"/>
      <c r="D531" s="3"/>
      <c r="E531" t="s">
        <v>212</v>
      </c>
      <c r="F531">
        <v>51</v>
      </c>
      <c r="G531">
        <v>5.9160797830996161</v>
      </c>
      <c r="H531">
        <v>0</v>
      </c>
      <c r="I531">
        <v>0</v>
      </c>
      <c r="J531">
        <v>0</v>
      </c>
      <c r="K531">
        <v>0</v>
      </c>
      <c r="L531">
        <v>0</v>
      </c>
      <c r="M531">
        <v>0</v>
      </c>
      <c r="N531">
        <v>0</v>
      </c>
      <c r="O531">
        <v>0</v>
      </c>
      <c r="P531">
        <v>0</v>
      </c>
      <c r="Q531">
        <v>0</v>
      </c>
      <c r="R531">
        <v>1</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1</v>
      </c>
      <c r="BM531">
        <v>0</v>
      </c>
      <c r="BN531">
        <v>0</v>
      </c>
      <c r="BO531">
        <v>0</v>
      </c>
      <c r="BP531">
        <v>0</v>
      </c>
      <c r="BQ531">
        <v>0</v>
      </c>
      <c r="BR531">
        <v>0</v>
      </c>
      <c r="BS531">
        <v>0</v>
      </c>
      <c r="BT531">
        <v>0</v>
      </c>
      <c r="BU531">
        <v>0</v>
      </c>
      <c r="BV531">
        <v>0</v>
      </c>
      <c r="BW531">
        <v>0</v>
      </c>
      <c r="BX531">
        <v>0</v>
      </c>
      <c r="DG531" s="16">
        <f t="shared" si="44"/>
        <v>2</v>
      </c>
      <c r="DH531" s="16">
        <f t="shared" si="45"/>
        <v>68</v>
      </c>
      <c r="DI531" s="17">
        <f t="shared" si="46"/>
        <v>34</v>
      </c>
      <c r="DJ531" s="119" t="s">
        <v>4</v>
      </c>
      <c r="DK531" s="44" t="s">
        <v>4</v>
      </c>
    </row>
    <row r="532" spans="1:115">
      <c r="A532" s="32" t="str">
        <f t="shared" si="42"/>
        <v>Endeavour--POLE MOUNTED ; &gt; 22 kV ;  &gt;  600 kVA</v>
      </c>
      <c r="B532" s="32" t="str">
        <f t="shared" si="43"/>
        <v>Endeavour</v>
      </c>
      <c r="C532" s="395"/>
      <c r="D532" s="3"/>
      <c r="E532" t="s">
        <v>213</v>
      </c>
      <c r="F532">
        <v>51</v>
      </c>
      <c r="G532">
        <v>5.9160797830996161</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BX532">
        <v>0</v>
      </c>
      <c r="DG532" s="16">
        <f t="shared" si="44"/>
        <v>0</v>
      </c>
      <c r="DH532" s="16">
        <f t="shared" si="45"/>
        <v>0</v>
      </c>
      <c r="DI532" s="17" t="str">
        <f t="shared" si="46"/>
        <v/>
      </c>
      <c r="DJ532" s="119" t="s">
        <v>4</v>
      </c>
      <c r="DK532" s="44" t="s">
        <v>4</v>
      </c>
    </row>
    <row r="533" spans="1:115">
      <c r="A533" s="32" t="str">
        <f t="shared" si="42"/>
        <v>Endeavour--KIOSK MOUNTED ; &lt; = 22kV ;  &lt; = 60 kVA ; SINGLE PHASE</v>
      </c>
      <c r="B533" s="32" t="str">
        <f t="shared" si="43"/>
        <v>Endeavour</v>
      </c>
      <c r="C533" s="395"/>
      <c r="D533" s="3"/>
      <c r="E533" t="s">
        <v>214</v>
      </c>
      <c r="F533">
        <v>51</v>
      </c>
      <c r="G533">
        <v>6.7082039324993694</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BX533">
        <v>0</v>
      </c>
      <c r="DG533" s="16">
        <f t="shared" si="44"/>
        <v>0</v>
      </c>
      <c r="DH533" s="16">
        <f t="shared" si="45"/>
        <v>0</v>
      </c>
      <c r="DI533" s="17" t="str">
        <f t="shared" si="46"/>
        <v/>
      </c>
      <c r="DJ533" s="119" t="s">
        <v>4</v>
      </c>
      <c r="DK533" s="44" t="s">
        <v>4</v>
      </c>
    </row>
    <row r="534" spans="1:115">
      <c r="A534" s="32" t="str">
        <f t="shared" si="42"/>
        <v>Endeavour--KIOSK MOUNTED ; &lt; = 22kV ;  &gt; 60 kVA AND &lt; = 600 kVA ; SINGLE PHASE</v>
      </c>
      <c r="B534" s="32" t="str">
        <f t="shared" si="43"/>
        <v>Endeavour</v>
      </c>
      <c r="C534" s="395"/>
      <c r="D534" s="3"/>
      <c r="E534" t="s">
        <v>215</v>
      </c>
      <c r="F534">
        <v>51</v>
      </c>
      <c r="G534">
        <v>6.7082039324993694</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BX534">
        <v>0</v>
      </c>
      <c r="DG534" s="16">
        <f t="shared" si="44"/>
        <v>0</v>
      </c>
      <c r="DH534" s="16">
        <f t="shared" si="45"/>
        <v>0</v>
      </c>
      <c r="DI534" s="17" t="str">
        <f t="shared" si="46"/>
        <v/>
      </c>
      <c r="DJ534" s="119" t="s">
        <v>4</v>
      </c>
      <c r="DK534" s="44" t="s">
        <v>4</v>
      </c>
    </row>
    <row r="535" spans="1:115">
      <c r="A535" s="32" t="str">
        <f t="shared" si="42"/>
        <v>Endeavour--KIOSK MOUNTED ; &lt; = 22kV ;  &gt; 600 kVA ; SINGLE PHASE</v>
      </c>
      <c r="B535" s="32" t="str">
        <f t="shared" si="43"/>
        <v>Endeavour</v>
      </c>
      <c r="C535" s="395"/>
      <c r="D535" s="3"/>
      <c r="E535" t="s">
        <v>216</v>
      </c>
      <c r="F535">
        <v>51</v>
      </c>
      <c r="G535">
        <v>6.7082039324993694</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BX535">
        <v>0</v>
      </c>
      <c r="DG535" s="16">
        <f t="shared" si="44"/>
        <v>0</v>
      </c>
      <c r="DH535" s="16">
        <f t="shared" si="45"/>
        <v>0</v>
      </c>
      <c r="DI535" s="17" t="str">
        <f t="shared" si="46"/>
        <v/>
      </c>
      <c r="DJ535" s="119" t="s">
        <v>4</v>
      </c>
      <c r="DK535" s="44" t="s">
        <v>4</v>
      </c>
    </row>
    <row r="536" spans="1:115">
      <c r="A536" s="32" t="str">
        <f t="shared" ref="A536:A599" si="47">B536&amp;"-"&amp;D536&amp;"-"&amp;E536</f>
        <v>Endeavour--KIOSK MOUNTED ; &lt; = 22kV ;  &lt; = 60 kVA  ; MULTIPLE PHASE</v>
      </c>
      <c r="B536" s="32" t="str">
        <f t="shared" ref="B536:B599" si="48">IF(C536&gt;0,C536,B535)</f>
        <v>Endeavour</v>
      </c>
      <c r="C536" s="395"/>
      <c r="D536" s="3"/>
      <c r="E536" t="s">
        <v>217</v>
      </c>
      <c r="F536">
        <v>51</v>
      </c>
      <c r="G536">
        <v>6.7082039324993694</v>
      </c>
      <c r="H536">
        <v>0</v>
      </c>
      <c r="I536">
        <v>0</v>
      </c>
      <c r="J536">
        <v>0</v>
      </c>
      <c r="K536">
        <v>0</v>
      </c>
      <c r="L536">
        <v>0</v>
      </c>
      <c r="M536">
        <v>0</v>
      </c>
      <c r="N536">
        <v>0</v>
      </c>
      <c r="O536">
        <v>0</v>
      </c>
      <c r="P536">
        <v>0</v>
      </c>
      <c r="Q536">
        <v>0</v>
      </c>
      <c r="R536">
        <v>0</v>
      </c>
      <c r="S536">
        <v>1</v>
      </c>
      <c r="T536">
        <v>0</v>
      </c>
      <c r="U536">
        <v>1</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1</v>
      </c>
      <c r="AR536">
        <v>0</v>
      </c>
      <c r="AS536">
        <v>0</v>
      </c>
      <c r="AT536">
        <v>0</v>
      </c>
      <c r="AU536">
        <v>0</v>
      </c>
      <c r="AV536">
        <v>1</v>
      </c>
      <c r="AW536">
        <v>0</v>
      </c>
      <c r="AX536">
        <v>0</v>
      </c>
      <c r="AY536">
        <v>0</v>
      </c>
      <c r="AZ536">
        <v>1</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BX536">
        <v>0</v>
      </c>
      <c r="DG536" s="16">
        <f t="shared" si="44"/>
        <v>5</v>
      </c>
      <c r="DH536" s="16">
        <f t="shared" si="45"/>
        <v>148</v>
      </c>
      <c r="DI536" s="17">
        <f t="shared" si="46"/>
        <v>29.6</v>
      </c>
      <c r="DJ536" s="119" t="s">
        <v>4</v>
      </c>
      <c r="DK536" s="44" t="s">
        <v>4</v>
      </c>
    </row>
    <row r="537" spans="1:115">
      <c r="A537" s="32" t="str">
        <f t="shared" si="47"/>
        <v>Endeavour--KIOSK MOUNTED ; &lt; = 22kV ;  &gt; 60 kVA AND &lt; = 600 kVA  ; MULTIPLE PHASE</v>
      </c>
      <c r="B537" s="32" t="str">
        <f t="shared" si="48"/>
        <v>Endeavour</v>
      </c>
      <c r="C537" s="395"/>
      <c r="D537" s="3"/>
      <c r="E537" t="s">
        <v>218</v>
      </c>
      <c r="F537">
        <v>51</v>
      </c>
      <c r="G537">
        <v>6.7082039324993694</v>
      </c>
      <c r="H537">
        <v>225</v>
      </c>
      <c r="I537">
        <v>232</v>
      </c>
      <c r="J537">
        <v>303</v>
      </c>
      <c r="K537">
        <v>341</v>
      </c>
      <c r="L537">
        <v>282</v>
      </c>
      <c r="M537">
        <v>353</v>
      </c>
      <c r="N537">
        <v>397</v>
      </c>
      <c r="O537">
        <v>373</v>
      </c>
      <c r="P537">
        <v>421</v>
      </c>
      <c r="Q537">
        <v>526</v>
      </c>
      <c r="R537">
        <v>286</v>
      </c>
      <c r="S537">
        <v>342</v>
      </c>
      <c r="T537">
        <v>280</v>
      </c>
      <c r="U537">
        <v>171</v>
      </c>
      <c r="V537">
        <v>160</v>
      </c>
      <c r="W537">
        <v>103</v>
      </c>
      <c r="X537">
        <v>72</v>
      </c>
      <c r="Y537">
        <v>134</v>
      </c>
      <c r="Z537">
        <v>105</v>
      </c>
      <c r="AA537">
        <v>100</v>
      </c>
      <c r="AB537">
        <v>76</v>
      </c>
      <c r="AC537">
        <v>57</v>
      </c>
      <c r="AD537">
        <v>87</v>
      </c>
      <c r="AE537">
        <v>174</v>
      </c>
      <c r="AF537">
        <v>132</v>
      </c>
      <c r="AG537">
        <v>109</v>
      </c>
      <c r="AH537">
        <v>141</v>
      </c>
      <c r="AI537">
        <v>120</v>
      </c>
      <c r="AJ537">
        <v>87</v>
      </c>
      <c r="AK537">
        <v>68</v>
      </c>
      <c r="AL537">
        <v>217</v>
      </c>
      <c r="AM537">
        <v>260</v>
      </c>
      <c r="AN537">
        <v>243</v>
      </c>
      <c r="AO537">
        <v>159</v>
      </c>
      <c r="AP537">
        <v>112</v>
      </c>
      <c r="AQ537">
        <v>71</v>
      </c>
      <c r="AR537">
        <v>43</v>
      </c>
      <c r="AS537">
        <v>80</v>
      </c>
      <c r="AT537">
        <v>106</v>
      </c>
      <c r="AU537">
        <v>93</v>
      </c>
      <c r="AV537">
        <v>65</v>
      </c>
      <c r="AW537">
        <v>28</v>
      </c>
      <c r="AX537">
        <v>14</v>
      </c>
      <c r="AY537">
        <v>24</v>
      </c>
      <c r="AZ537">
        <v>13</v>
      </c>
      <c r="BA537">
        <v>6</v>
      </c>
      <c r="BB537">
        <v>8</v>
      </c>
      <c r="BC537">
        <v>0</v>
      </c>
      <c r="BD537">
        <v>1</v>
      </c>
      <c r="BE537">
        <v>3</v>
      </c>
      <c r="BF537">
        <v>2</v>
      </c>
      <c r="BG537">
        <v>2</v>
      </c>
      <c r="BH537">
        <v>4</v>
      </c>
      <c r="BI537">
        <v>0</v>
      </c>
      <c r="BJ537">
        <v>0</v>
      </c>
      <c r="BK537">
        <v>4</v>
      </c>
      <c r="BL537">
        <v>0</v>
      </c>
      <c r="BM537">
        <v>0</v>
      </c>
      <c r="BN537">
        <v>0</v>
      </c>
      <c r="BO537">
        <v>0</v>
      </c>
      <c r="BP537">
        <v>0</v>
      </c>
      <c r="BQ537">
        <v>0</v>
      </c>
      <c r="BR537">
        <v>0</v>
      </c>
      <c r="BS537">
        <v>0</v>
      </c>
      <c r="BT537">
        <v>0</v>
      </c>
      <c r="BU537">
        <v>0</v>
      </c>
      <c r="BV537">
        <v>0</v>
      </c>
      <c r="BW537">
        <v>0</v>
      </c>
      <c r="BX537">
        <v>0</v>
      </c>
      <c r="DG537" s="16">
        <f t="shared" si="44"/>
        <v>7815</v>
      </c>
      <c r="DH537" s="16">
        <f t="shared" si="45"/>
        <v>128166</v>
      </c>
      <c r="DI537" s="17">
        <f t="shared" si="46"/>
        <v>16.399999999999999</v>
      </c>
      <c r="DJ537" s="119" t="s">
        <v>4</v>
      </c>
      <c r="DK537" s="44" t="s">
        <v>4</v>
      </c>
    </row>
    <row r="538" spans="1:115">
      <c r="A538" s="32" t="str">
        <f t="shared" si="47"/>
        <v>Endeavour--KIOSK MOUNTED ; &lt; = 22kV ;  &gt; 600 kVA  ; MULTIPLE PHASE</v>
      </c>
      <c r="B538" s="32" t="str">
        <f t="shared" si="48"/>
        <v>Endeavour</v>
      </c>
      <c r="C538" s="395"/>
      <c r="D538" s="3"/>
      <c r="E538" t="s">
        <v>219</v>
      </c>
      <c r="F538">
        <v>51</v>
      </c>
      <c r="G538">
        <v>6.7082039324993694</v>
      </c>
      <c r="H538">
        <v>54</v>
      </c>
      <c r="I538">
        <v>45</v>
      </c>
      <c r="J538">
        <v>68</v>
      </c>
      <c r="K538">
        <v>61</v>
      </c>
      <c r="L538">
        <v>119</v>
      </c>
      <c r="M538">
        <v>153</v>
      </c>
      <c r="N538">
        <v>88</v>
      </c>
      <c r="O538">
        <v>154</v>
      </c>
      <c r="P538">
        <v>80</v>
      </c>
      <c r="Q538">
        <v>124</v>
      </c>
      <c r="R538">
        <v>105</v>
      </c>
      <c r="S538">
        <v>67</v>
      </c>
      <c r="T538">
        <v>73</v>
      </c>
      <c r="U538">
        <v>46</v>
      </c>
      <c r="V538">
        <v>143</v>
      </c>
      <c r="W538">
        <v>65</v>
      </c>
      <c r="X538">
        <v>48</v>
      </c>
      <c r="Y538">
        <v>33</v>
      </c>
      <c r="Z538">
        <v>47</v>
      </c>
      <c r="AA538">
        <v>31</v>
      </c>
      <c r="AB538">
        <v>15</v>
      </c>
      <c r="AC538">
        <v>14</v>
      </c>
      <c r="AD538">
        <v>20</v>
      </c>
      <c r="AE538">
        <v>27</v>
      </c>
      <c r="AF538">
        <v>16</v>
      </c>
      <c r="AG538">
        <v>34</v>
      </c>
      <c r="AH538">
        <v>22</v>
      </c>
      <c r="AI538">
        <v>18</v>
      </c>
      <c r="AJ538">
        <v>16</v>
      </c>
      <c r="AK538">
        <v>8</v>
      </c>
      <c r="AL538">
        <v>31</v>
      </c>
      <c r="AM538">
        <v>13</v>
      </c>
      <c r="AN538">
        <v>18</v>
      </c>
      <c r="AO538">
        <v>4</v>
      </c>
      <c r="AP538">
        <v>9</v>
      </c>
      <c r="AQ538">
        <v>7</v>
      </c>
      <c r="AR538">
        <v>1</v>
      </c>
      <c r="AS538">
        <v>0</v>
      </c>
      <c r="AT538">
        <v>1</v>
      </c>
      <c r="AU538">
        <v>2</v>
      </c>
      <c r="AV538">
        <v>2</v>
      </c>
      <c r="AW538">
        <v>4</v>
      </c>
      <c r="AX538">
        <v>1</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0</v>
      </c>
      <c r="DG538" s="16">
        <f t="shared" si="44"/>
        <v>1887</v>
      </c>
      <c r="DH538" s="16">
        <f t="shared" si="45"/>
        <v>23513</v>
      </c>
      <c r="DI538" s="17">
        <f t="shared" si="46"/>
        <v>12.460519342872285</v>
      </c>
      <c r="DJ538" s="119" t="s">
        <v>4</v>
      </c>
      <c r="DK538" s="44" t="s">
        <v>4</v>
      </c>
    </row>
    <row r="539" spans="1:115">
      <c r="A539" s="32" t="str">
        <f t="shared" si="47"/>
        <v xml:space="preserve">Endeavour--KIOSK MOUNTED ; &gt; 22 kV ;  &lt; = 60 kVA </v>
      </c>
      <c r="B539" s="32" t="str">
        <f t="shared" si="48"/>
        <v>Endeavour</v>
      </c>
      <c r="C539" s="395"/>
      <c r="D539" s="3"/>
      <c r="E539" t="s">
        <v>220</v>
      </c>
      <c r="F539">
        <v>51</v>
      </c>
      <c r="G539">
        <v>6.7082039324993694</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BX539">
        <v>0</v>
      </c>
      <c r="DG539" s="16">
        <f t="shared" si="44"/>
        <v>0</v>
      </c>
      <c r="DH539" s="16">
        <f t="shared" si="45"/>
        <v>0</v>
      </c>
      <c r="DI539" s="17" t="str">
        <f t="shared" si="46"/>
        <v/>
      </c>
      <c r="DJ539" s="119" t="s">
        <v>4</v>
      </c>
      <c r="DK539" s="44" t="s">
        <v>4</v>
      </c>
    </row>
    <row r="540" spans="1:115">
      <c r="A540" s="32" t="str">
        <f t="shared" si="47"/>
        <v xml:space="preserve">Endeavour--KIOSK MOUNTED ; &gt; 22 kV ;  &gt; 60 kVA AND &lt; = 600 kVA </v>
      </c>
      <c r="B540" s="32" t="str">
        <f t="shared" si="48"/>
        <v>Endeavour</v>
      </c>
      <c r="C540" s="395"/>
      <c r="D540" s="3"/>
      <c r="E540" t="s">
        <v>221</v>
      </c>
      <c r="F540">
        <v>51</v>
      </c>
      <c r="G540">
        <v>6.7082039324993694</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BX540">
        <v>0</v>
      </c>
      <c r="DG540" s="16">
        <f t="shared" si="44"/>
        <v>0</v>
      </c>
      <c r="DH540" s="16">
        <f t="shared" si="45"/>
        <v>0</v>
      </c>
      <c r="DI540" s="17" t="str">
        <f t="shared" si="46"/>
        <v/>
      </c>
      <c r="DJ540" s="119" t="s">
        <v>4</v>
      </c>
      <c r="DK540" s="44" t="s">
        <v>4</v>
      </c>
    </row>
    <row r="541" spans="1:115">
      <c r="A541" s="32" t="str">
        <f t="shared" si="47"/>
        <v>Endeavour--KIOSK MOUNTED ; &gt; 22 kV ;  &gt; 600 kVA</v>
      </c>
      <c r="B541" s="32" t="str">
        <f t="shared" si="48"/>
        <v>Endeavour</v>
      </c>
      <c r="C541" s="395"/>
      <c r="D541" s="3"/>
      <c r="E541" t="s">
        <v>222</v>
      </c>
      <c r="F541">
        <v>51</v>
      </c>
      <c r="G541">
        <v>6.7082039324993694</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0</v>
      </c>
      <c r="BX541">
        <v>0</v>
      </c>
      <c r="DG541" s="16">
        <f t="shared" si="44"/>
        <v>0</v>
      </c>
      <c r="DH541" s="16">
        <f t="shared" si="45"/>
        <v>0</v>
      </c>
      <c r="DI541" s="17" t="str">
        <f t="shared" si="46"/>
        <v/>
      </c>
      <c r="DJ541" s="119" t="s">
        <v>4</v>
      </c>
      <c r="DK541" s="44" t="s">
        <v>4</v>
      </c>
    </row>
    <row r="542" spans="1:115">
      <c r="A542" s="32" t="str">
        <f t="shared" si="47"/>
        <v xml:space="preserve">Endeavour--KIOSK MOUNTED ; &gt; 22 kV ;  &lt; = 60 kVA </v>
      </c>
      <c r="B542" s="32" t="str">
        <f t="shared" si="48"/>
        <v>Endeavour</v>
      </c>
      <c r="C542" s="395"/>
      <c r="D542" s="3"/>
      <c r="E542" t="s">
        <v>220</v>
      </c>
      <c r="F542">
        <v>51</v>
      </c>
      <c r="G542">
        <v>6.7082039324993694</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DG542" s="16">
        <f t="shared" si="44"/>
        <v>0</v>
      </c>
      <c r="DH542" s="16">
        <f t="shared" si="45"/>
        <v>0</v>
      </c>
      <c r="DI542" s="17" t="str">
        <f t="shared" si="46"/>
        <v/>
      </c>
      <c r="DJ542" s="119" t="s">
        <v>4</v>
      </c>
      <c r="DK542" s="44" t="s">
        <v>4</v>
      </c>
    </row>
    <row r="543" spans="1:115">
      <c r="A543" s="32" t="str">
        <f t="shared" si="47"/>
        <v>Endeavour--KIOSK MOUNTED ; &gt; 22 kV ;  &gt; 60 kVA AND &lt; = 600 kVA</v>
      </c>
      <c r="B543" s="32" t="str">
        <f t="shared" si="48"/>
        <v>Endeavour</v>
      </c>
      <c r="C543" s="395"/>
      <c r="D543" s="3"/>
      <c r="E543" t="s">
        <v>223</v>
      </c>
      <c r="F543">
        <v>51</v>
      </c>
      <c r="G543">
        <v>6.7082039324993694</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BX543">
        <v>0</v>
      </c>
      <c r="DG543" s="16">
        <f t="shared" si="44"/>
        <v>0</v>
      </c>
      <c r="DH543" s="16">
        <f t="shared" si="45"/>
        <v>0</v>
      </c>
      <c r="DI543" s="17" t="str">
        <f t="shared" si="46"/>
        <v/>
      </c>
      <c r="DJ543" s="119" t="s">
        <v>4</v>
      </c>
      <c r="DK543" s="44" t="s">
        <v>4</v>
      </c>
    </row>
    <row r="544" spans="1:115">
      <c r="A544" s="32" t="str">
        <f t="shared" si="47"/>
        <v>Endeavour--KIOSK MOUNTED ; &gt; 22 kV ;  &gt;  600 kVA</v>
      </c>
      <c r="B544" s="32" t="str">
        <f t="shared" si="48"/>
        <v>Endeavour</v>
      </c>
      <c r="C544" s="395"/>
      <c r="D544" s="3"/>
      <c r="E544" t="s">
        <v>224</v>
      </c>
      <c r="F544">
        <v>51</v>
      </c>
      <c r="G544">
        <v>6.7082039324993694</v>
      </c>
      <c r="H544">
        <v>0</v>
      </c>
      <c r="I544">
        <v>0</v>
      </c>
      <c r="J544">
        <v>0</v>
      </c>
      <c r="K544">
        <v>0</v>
      </c>
      <c r="L544">
        <v>0</v>
      </c>
      <c r="M544">
        <v>0</v>
      </c>
      <c r="N544">
        <v>0</v>
      </c>
      <c r="O544">
        <v>0</v>
      </c>
      <c r="P544">
        <v>0</v>
      </c>
      <c r="Q544">
        <v>0</v>
      </c>
      <c r="R544">
        <v>0</v>
      </c>
      <c r="S544">
        <v>0</v>
      </c>
      <c r="T544">
        <v>0</v>
      </c>
      <c r="U544">
        <v>1</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BX544">
        <v>0</v>
      </c>
      <c r="DG544" s="16">
        <f t="shared" si="44"/>
        <v>1</v>
      </c>
      <c r="DH544" s="16">
        <f t="shared" si="45"/>
        <v>14</v>
      </c>
      <c r="DI544" s="17">
        <f t="shared" si="46"/>
        <v>14</v>
      </c>
      <c r="DJ544" s="119" t="s">
        <v>4</v>
      </c>
      <c r="DK544" s="44" t="s">
        <v>4</v>
      </c>
    </row>
    <row r="545" spans="1:115">
      <c r="A545" s="32" t="str">
        <f t="shared" si="47"/>
        <v>Endeavour--GROUND OUTDOOR / INDOOR CHAMBER MOUNTED ; ˂ 22 kV ;  &lt; = 60 kVA ; SINGLE PHASE</v>
      </c>
      <c r="B545" s="32" t="str">
        <f t="shared" si="48"/>
        <v>Endeavour</v>
      </c>
      <c r="C545" s="395"/>
      <c r="D545" s="3"/>
      <c r="E545" t="s">
        <v>225</v>
      </c>
      <c r="F545">
        <v>51</v>
      </c>
      <c r="G545">
        <v>5.9160797830996161</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BX545">
        <v>0</v>
      </c>
      <c r="DG545" s="16">
        <f t="shared" si="44"/>
        <v>0</v>
      </c>
      <c r="DH545" s="16">
        <f t="shared" si="45"/>
        <v>0</v>
      </c>
      <c r="DI545" s="17" t="str">
        <f t="shared" si="46"/>
        <v/>
      </c>
      <c r="DJ545" s="119" t="s">
        <v>4</v>
      </c>
      <c r="DK545" s="44" t="s">
        <v>4</v>
      </c>
    </row>
    <row r="546" spans="1:115">
      <c r="A546" s="32" t="str">
        <f t="shared" si="47"/>
        <v>Endeavour--GROUND OUTDOOR / INDOOR CHAMBER MOUNTED ; ˂  22 kV ;  &gt; 60 kVA  AND &lt; = 600 kVA ; SINGLE PHASE</v>
      </c>
      <c r="B546" s="32" t="str">
        <f t="shared" si="48"/>
        <v>Endeavour</v>
      </c>
      <c r="C546" s="395"/>
      <c r="D546" s="3"/>
      <c r="E546" t="s">
        <v>226</v>
      </c>
      <c r="F546">
        <v>51</v>
      </c>
      <c r="G546">
        <v>5.9160797830996161</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0</v>
      </c>
      <c r="BX546">
        <v>0</v>
      </c>
      <c r="DG546" s="16">
        <f t="shared" si="44"/>
        <v>0</v>
      </c>
      <c r="DH546" s="16">
        <f t="shared" si="45"/>
        <v>0</v>
      </c>
      <c r="DI546" s="17" t="str">
        <f t="shared" si="46"/>
        <v/>
      </c>
      <c r="DJ546" s="119" t="s">
        <v>4</v>
      </c>
      <c r="DK546" s="44" t="s">
        <v>4</v>
      </c>
    </row>
    <row r="547" spans="1:115">
      <c r="A547" s="32" t="str">
        <f t="shared" si="47"/>
        <v>Endeavour--GROUND OUTDOOR / INDOOR CHAMBER MOUNTED ; ˂  22 kV ;  &gt;  600 kVA ; SINGLE PHASE</v>
      </c>
      <c r="B547" s="32" t="str">
        <f t="shared" si="48"/>
        <v>Endeavour</v>
      </c>
      <c r="C547" s="395"/>
      <c r="D547" s="3"/>
      <c r="E547" t="s">
        <v>227</v>
      </c>
      <c r="F547">
        <v>51</v>
      </c>
      <c r="G547">
        <v>5.9160797830996161</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BX547">
        <v>0</v>
      </c>
      <c r="DG547" s="16">
        <f t="shared" si="44"/>
        <v>0</v>
      </c>
      <c r="DH547" s="16">
        <f t="shared" si="45"/>
        <v>0</v>
      </c>
      <c r="DI547" s="17" t="str">
        <f t="shared" si="46"/>
        <v/>
      </c>
      <c r="DJ547" s="119" t="s">
        <v>4</v>
      </c>
      <c r="DK547" s="44" t="s">
        <v>4</v>
      </c>
    </row>
    <row r="548" spans="1:115">
      <c r="A548" s="32" t="str">
        <f t="shared" si="47"/>
        <v>Endeavour--GROUND OUTDOOR / INDOOR CHAMBER MOUNTED ; ˂  22 kV ;  &lt; = 60 kVA ; MULTIPLE PHASE</v>
      </c>
      <c r="B548" s="32" t="str">
        <f t="shared" si="48"/>
        <v>Endeavour</v>
      </c>
      <c r="C548" s="395"/>
      <c r="D548" s="3"/>
      <c r="E548" t="s">
        <v>228</v>
      </c>
      <c r="F548">
        <v>51</v>
      </c>
      <c r="G548">
        <v>5.9160797830996161</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1</v>
      </c>
      <c r="BG548">
        <v>0</v>
      </c>
      <c r="BH548">
        <v>0</v>
      </c>
      <c r="BI548">
        <v>0</v>
      </c>
      <c r="BJ548">
        <v>0</v>
      </c>
      <c r="BK548">
        <v>0</v>
      </c>
      <c r="BL548">
        <v>0</v>
      </c>
      <c r="BM548">
        <v>0</v>
      </c>
      <c r="BN548">
        <v>0</v>
      </c>
      <c r="BO548">
        <v>0</v>
      </c>
      <c r="BP548">
        <v>0</v>
      </c>
      <c r="BQ548">
        <v>0</v>
      </c>
      <c r="BR548">
        <v>0</v>
      </c>
      <c r="BS548">
        <v>0</v>
      </c>
      <c r="BT548">
        <v>0</v>
      </c>
      <c r="BU548">
        <v>0</v>
      </c>
      <c r="BV548">
        <v>0</v>
      </c>
      <c r="BW548">
        <v>0</v>
      </c>
      <c r="BX548">
        <v>0</v>
      </c>
      <c r="DG548" s="16">
        <f t="shared" si="44"/>
        <v>1</v>
      </c>
      <c r="DH548" s="16">
        <f t="shared" si="45"/>
        <v>51</v>
      </c>
      <c r="DI548" s="17">
        <f t="shared" si="46"/>
        <v>51</v>
      </c>
      <c r="DJ548" s="119" t="s">
        <v>4</v>
      </c>
      <c r="DK548" s="44" t="s">
        <v>4</v>
      </c>
    </row>
    <row r="549" spans="1:115">
      <c r="A549" s="32" t="str">
        <f t="shared" si="47"/>
        <v>Endeavour--GROUND OUTDOOR / INDOOR CHAMBER MOUNTED ; ˂  22 kV ;  &gt; 60 kVA  AND &lt; = 600 kVA ; MULTIPLE PHASE</v>
      </c>
      <c r="B549" s="32" t="str">
        <f t="shared" si="48"/>
        <v>Endeavour</v>
      </c>
      <c r="C549" s="395"/>
      <c r="D549" s="3"/>
      <c r="E549" t="s">
        <v>229</v>
      </c>
      <c r="F549">
        <v>51</v>
      </c>
      <c r="G549">
        <v>5.9160797830996161</v>
      </c>
      <c r="H549">
        <v>4</v>
      </c>
      <c r="I549">
        <v>7</v>
      </c>
      <c r="J549">
        <v>7</v>
      </c>
      <c r="K549">
        <v>8</v>
      </c>
      <c r="L549">
        <v>10</v>
      </c>
      <c r="M549">
        <v>8</v>
      </c>
      <c r="N549">
        <v>7</v>
      </c>
      <c r="O549">
        <v>4</v>
      </c>
      <c r="P549">
        <v>9</v>
      </c>
      <c r="Q549">
        <v>5</v>
      </c>
      <c r="R549">
        <v>1</v>
      </c>
      <c r="S549">
        <v>1</v>
      </c>
      <c r="T549">
        <v>1</v>
      </c>
      <c r="U549">
        <v>1</v>
      </c>
      <c r="V549">
        <v>0</v>
      </c>
      <c r="W549">
        <v>3</v>
      </c>
      <c r="X549">
        <v>0</v>
      </c>
      <c r="Y549">
        <v>1</v>
      </c>
      <c r="Z549">
        <v>1</v>
      </c>
      <c r="AA549">
        <v>0</v>
      </c>
      <c r="AB549">
        <v>2</v>
      </c>
      <c r="AC549">
        <v>2</v>
      </c>
      <c r="AD549">
        <v>3</v>
      </c>
      <c r="AE549">
        <v>2</v>
      </c>
      <c r="AF549">
        <v>1</v>
      </c>
      <c r="AG549">
        <v>3</v>
      </c>
      <c r="AH549">
        <v>21</v>
      </c>
      <c r="AI549">
        <v>11</v>
      </c>
      <c r="AJ549">
        <v>0</v>
      </c>
      <c r="AK549">
        <v>1</v>
      </c>
      <c r="AL549">
        <v>8</v>
      </c>
      <c r="AM549">
        <v>2</v>
      </c>
      <c r="AN549">
        <v>1</v>
      </c>
      <c r="AO549">
        <v>3</v>
      </c>
      <c r="AP549">
        <v>1</v>
      </c>
      <c r="AQ549">
        <v>1</v>
      </c>
      <c r="AR549">
        <v>2</v>
      </c>
      <c r="AS549">
        <v>7</v>
      </c>
      <c r="AT549">
        <v>5</v>
      </c>
      <c r="AU549">
        <v>4</v>
      </c>
      <c r="AV549">
        <v>4</v>
      </c>
      <c r="AW549">
        <v>3</v>
      </c>
      <c r="AX549">
        <v>0</v>
      </c>
      <c r="AY549">
        <v>4</v>
      </c>
      <c r="AZ549">
        <v>2</v>
      </c>
      <c r="BA549">
        <v>1</v>
      </c>
      <c r="BB549">
        <v>1</v>
      </c>
      <c r="BC549">
        <v>3</v>
      </c>
      <c r="BD549">
        <v>3</v>
      </c>
      <c r="BE549">
        <v>4</v>
      </c>
      <c r="BF549">
        <v>5</v>
      </c>
      <c r="BG549">
        <v>2</v>
      </c>
      <c r="BH549">
        <v>1</v>
      </c>
      <c r="BI549">
        <v>2</v>
      </c>
      <c r="BJ549">
        <v>2</v>
      </c>
      <c r="BK549">
        <v>0</v>
      </c>
      <c r="BL549">
        <v>1</v>
      </c>
      <c r="BM549">
        <v>0</v>
      </c>
      <c r="BN549">
        <v>0</v>
      </c>
      <c r="BO549">
        <v>0</v>
      </c>
      <c r="BP549">
        <v>0</v>
      </c>
      <c r="BQ549">
        <v>1</v>
      </c>
      <c r="BR549">
        <v>0</v>
      </c>
      <c r="BS549">
        <v>0</v>
      </c>
      <c r="BT549">
        <v>0</v>
      </c>
      <c r="BU549">
        <v>0</v>
      </c>
      <c r="BV549">
        <v>0</v>
      </c>
      <c r="BW549">
        <v>0</v>
      </c>
      <c r="BX549">
        <v>0</v>
      </c>
      <c r="DG549" s="16">
        <f t="shared" si="44"/>
        <v>197</v>
      </c>
      <c r="DH549" s="16">
        <f t="shared" si="45"/>
        <v>4829</v>
      </c>
      <c r="DI549" s="17">
        <f t="shared" si="46"/>
        <v>24.512690355329948</v>
      </c>
      <c r="DJ549" s="119" t="s">
        <v>4</v>
      </c>
      <c r="DK549" s="44" t="s">
        <v>4</v>
      </c>
    </row>
    <row r="550" spans="1:115">
      <c r="A550" s="32" t="str">
        <f t="shared" si="47"/>
        <v>Endeavour--GROUND OUTDOOR / INDOOR CHAMBER MOUNTED ; ˂  22 kV ;  &gt;  600 kVA ; MULTIPLE PHASE</v>
      </c>
      <c r="B550" s="32" t="str">
        <f t="shared" si="48"/>
        <v>Endeavour</v>
      </c>
      <c r="C550" s="395"/>
      <c r="D550" s="3"/>
      <c r="E550" t="s">
        <v>230</v>
      </c>
      <c r="F550">
        <v>51</v>
      </c>
      <c r="G550">
        <v>5.9160797830996161</v>
      </c>
      <c r="H550">
        <v>7</v>
      </c>
      <c r="I550">
        <v>9</v>
      </c>
      <c r="J550">
        <v>16</v>
      </c>
      <c r="K550">
        <v>16</v>
      </c>
      <c r="L550">
        <v>19</v>
      </c>
      <c r="M550">
        <v>25</v>
      </c>
      <c r="N550">
        <v>32</v>
      </c>
      <c r="O550">
        <v>36</v>
      </c>
      <c r="P550">
        <v>26</v>
      </c>
      <c r="Q550">
        <v>37</v>
      </c>
      <c r="R550">
        <v>20</v>
      </c>
      <c r="S550">
        <v>12</v>
      </c>
      <c r="T550">
        <v>12</v>
      </c>
      <c r="U550">
        <v>9</v>
      </c>
      <c r="V550">
        <v>27</v>
      </c>
      <c r="W550">
        <v>14</v>
      </c>
      <c r="X550">
        <v>7</v>
      </c>
      <c r="Y550">
        <v>14</v>
      </c>
      <c r="Z550">
        <v>28</v>
      </c>
      <c r="AA550">
        <v>26</v>
      </c>
      <c r="AB550">
        <v>15</v>
      </c>
      <c r="AC550">
        <v>14</v>
      </c>
      <c r="AD550">
        <v>6</v>
      </c>
      <c r="AE550">
        <v>6</v>
      </c>
      <c r="AF550">
        <v>12</v>
      </c>
      <c r="AG550">
        <v>27</v>
      </c>
      <c r="AH550">
        <v>17</v>
      </c>
      <c r="AI550">
        <v>15</v>
      </c>
      <c r="AJ550">
        <v>8</v>
      </c>
      <c r="AK550">
        <v>14</v>
      </c>
      <c r="AL550">
        <v>20</v>
      </c>
      <c r="AM550">
        <v>19</v>
      </c>
      <c r="AN550">
        <v>7</v>
      </c>
      <c r="AO550">
        <v>10</v>
      </c>
      <c r="AP550">
        <v>11</v>
      </c>
      <c r="AQ550">
        <v>3</v>
      </c>
      <c r="AR550">
        <v>1</v>
      </c>
      <c r="AS550">
        <v>8</v>
      </c>
      <c r="AT550">
        <v>9</v>
      </c>
      <c r="AU550">
        <v>10</v>
      </c>
      <c r="AV550">
        <v>10</v>
      </c>
      <c r="AW550">
        <v>10</v>
      </c>
      <c r="AX550">
        <v>6</v>
      </c>
      <c r="AY550">
        <v>1</v>
      </c>
      <c r="AZ550">
        <v>4</v>
      </c>
      <c r="BA550">
        <v>2</v>
      </c>
      <c r="BB550">
        <v>3</v>
      </c>
      <c r="BC550">
        <v>1</v>
      </c>
      <c r="BD550">
        <v>0</v>
      </c>
      <c r="BE550">
        <v>1</v>
      </c>
      <c r="BF550">
        <v>1</v>
      </c>
      <c r="BG550">
        <v>2</v>
      </c>
      <c r="BH550">
        <v>2</v>
      </c>
      <c r="BI550">
        <v>0</v>
      </c>
      <c r="BJ550">
        <v>0</v>
      </c>
      <c r="BK550">
        <v>0</v>
      </c>
      <c r="BL550">
        <v>0</v>
      </c>
      <c r="BM550">
        <v>0</v>
      </c>
      <c r="BN550">
        <v>0</v>
      </c>
      <c r="BO550">
        <v>0</v>
      </c>
      <c r="BP550">
        <v>0</v>
      </c>
      <c r="BQ550">
        <v>0</v>
      </c>
      <c r="BR550">
        <v>0</v>
      </c>
      <c r="BS550">
        <v>0</v>
      </c>
      <c r="BT550">
        <v>0</v>
      </c>
      <c r="BU550">
        <v>0</v>
      </c>
      <c r="BV550">
        <v>0</v>
      </c>
      <c r="BW550">
        <v>0</v>
      </c>
      <c r="BX550">
        <v>0</v>
      </c>
      <c r="DG550" s="16">
        <f t="shared" ref="DG550:DG609" si="49">SUM(H550:DF550)</f>
        <v>667</v>
      </c>
      <c r="DH550" s="16">
        <f t="shared" ref="DH550:DH609" si="50">IFERROR(SUMPRODUCT(H550:DF550,$H$1:$DF$1),"")</f>
        <v>12922</v>
      </c>
      <c r="DI550" s="17">
        <f t="shared" ref="DI550:DI609" si="51">IFERROR(DH550/DG550,"")</f>
        <v>19.373313343328334</v>
      </c>
      <c r="DJ550" s="119" t="s">
        <v>4</v>
      </c>
      <c r="DK550" s="44" t="s">
        <v>4</v>
      </c>
    </row>
    <row r="551" spans="1:115">
      <c r="A551" s="32" t="str">
        <f t="shared" si="47"/>
        <v>Endeavour--GROUND OUTDOOR / INDOOR CHAMBER MOUNTED ; &gt; = 22 kV &amp; &lt; = 33 kV ;  &lt; = 15 MVA</v>
      </c>
      <c r="B551" s="32" t="str">
        <f t="shared" si="48"/>
        <v>Endeavour</v>
      </c>
      <c r="C551" s="395"/>
      <c r="D551" s="3"/>
      <c r="E551" t="s">
        <v>231</v>
      </c>
      <c r="F551">
        <v>55</v>
      </c>
      <c r="G551">
        <v>7.0710678118654755</v>
      </c>
      <c r="H551">
        <v>0</v>
      </c>
      <c r="I551">
        <v>1</v>
      </c>
      <c r="J551">
        <v>1</v>
      </c>
      <c r="K551">
        <v>3</v>
      </c>
      <c r="L551">
        <v>1</v>
      </c>
      <c r="M551">
        <v>2</v>
      </c>
      <c r="N551">
        <v>2</v>
      </c>
      <c r="O551">
        <v>0</v>
      </c>
      <c r="P551">
        <v>2</v>
      </c>
      <c r="Q551">
        <v>3</v>
      </c>
      <c r="R551">
        <v>1</v>
      </c>
      <c r="S551">
        <v>4</v>
      </c>
      <c r="T551">
        <v>0</v>
      </c>
      <c r="U551">
        <v>1</v>
      </c>
      <c r="V551">
        <v>0</v>
      </c>
      <c r="W551">
        <v>0</v>
      </c>
      <c r="X551">
        <v>0</v>
      </c>
      <c r="Y551">
        <v>0</v>
      </c>
      <c r="Z551">
        <v>0</v>
      </c>
      <c r="AA551">
        <v>0</v>
      </c>
      <c r="AB551">
        <v>0</v>
      </c>
      <c r="AC551">
        <v>4</v>
      </c>
      <c r="AD551">
        <v>3</v>
      </c>
      <c r="AE551">
        <v>1</v>
      </c>
      <c r="AF551">
        <v>0</v>
      </c>
      <c r="AG551">
        <v>0</v>
      </c>
      <c r="AH551">
        <v>1</v>
      </c>
      <c r="AI551">
        <v>0</v>
      </c>
      <c r="AJ551">
        <v>0</v>
      </c>
      <c r="AK551">
        <v>1</v>
      </c>
      <c r="AL551">
        <v>0</v>
      </c>
      <c r="AM551">
        <v>3</v>
      </c>
      <c r="AN551">
        <v>3</v>
      </c>
      <c r="AO551">
        <v>1</v>
      </c>
      <c r="AP551">
        <v>0</v>
      </c>
      <c r="AQ551">
        <v>0</v>
      </c>
      <c r="AR551">
        <v>0</v>
      </c>
      <c r="AS551">
        <v>0</v>
      </c>
      <c r="AT551">
        <v>0</v>
      </c>
      <c r="AU551">
        <v>3</v>
      </c>
      <c r="AV551">
        <v>0</v>
      </c>
      <c r="AW551">
        <v>0</v>
      </c>
      <c r="AX551">
        <v>4</v>
      </c>
      <c r="AY551">
        <v>1</v>
      </c>
      <c r="AZ551">
        <v>1</v>
      </c>
      <c r="BA551">
        <v>3</v>
      </c>
      <c r="BB551">
        <v>0</v>
      </c>
      <c r="BC551">
        <v>1</v>
      </c>
      <c r="BD551">
        <v>4</v>
      </c>
      <c r="BE551">
        <v>1</v>
      </c>
      <c r="BF551">
        <v>8</v>
      </c>
      <c r="BG551">
        <v>6</v>
      </c>
      <c r="BH551">
        <v>10</v>
      </c>
      <c r="BI551">
        <v>0</v>
      </c>
      <c r="BJ551">
        <v>2</v>
      </c>
      <c r="BK551">
        <v>0</v>
      </c>
      <c r="BL551">
        <v>0</v>
      </c>
      <c r="BM551">
        <v>0</v>
      </c>
      <c r="BN551">
        <v>0</v>
      </c>
      <c r="BO551">
        <v>0</v>
      </c>
      <c r="BP551">
        <v>1</v>
      </c>
      <c r="BQ551">
        <v>0</v>
      </c>
      <c r="BR551">
        <v>0</v>
      </c>
      <c r="DG551" s="16">
        <f t="shared" si="49"/>
        <v>83</v>
      </c>
      <c r="DH551" s="16">
        <f t="shared" si="50"/>
        <v>2870</v>
      </c>
      <c r="DI551" s="17">
        <f t="shared" si="51"/>
        <v>34.578313253012048</v>
      </c>
      <c r="DJ551" s="119" t="s">
        <v>4</v>
      </c>
      <c r="DK551" s="119" t="s">
        <v>1530</v>
      </c>
    </row>
    <row r="552" spans="1:115">
      <c r="A552" s="32" t="str">
        <f t="shared" si="47"/>
        <v>Endeavour--GROUND OUTDOOR / INDOOR CHAMBER MOUNTED ; &gt; = 22 kV &amp; &lt; = 33 kV ;  &gt; 15 MVA AND &lt; = 40 MVA</v>
      </c>
      <c r="B552" s="32" t="str">
        <f t="shared" si="48"/>
        <v>Endeavour</v>
      </c>
      <c r="C552" s="395"/>
      <c r="D552" s="3"/>
      <c r="E552" t="s">
        <v>232</v>
      </c>
      <c r="F552">
        <v>55</v>
      </c>
      <c r="G552">
        <v>7.0710678118654755</v>
      </c>
      <c r="H552">
        <v>5</v>
      </c>
      <c r="I552">
        <v>4</v>
      </c>
      <c r="J552">
        <v>6</v>
      </c>
      <c r="K552">
        <v>2</v>
      </c>
      <c r="L552">
        <v>18</v>
      </c>
      <c r="M552">
        <v>6</v>
      </c>
      <c r="N552">
        <v>1</v>
      </c>
      <c r="O552">
        <v>5</v>
      </c>
      <c r="P552">
        <v>8</v>
      </c>
      <c r="Q552">
        <v>11</v>
      </c>
      <c r="R552">
        <v>5</v>
      </c>
      <c r="S552">
        <v>5</v>
      </c>
      <c r="T552">
        <v>6</v>
      </c>
      <c r="U552">
        <v>1</v>
      </c>
      <c r="V552">
        <v>0</v>
      </c>
      <c r="W552">
        <v>0</v>
      </c>
      <c r="X552">
        <v>0</v>
      </c>
      <c r="Y552">
        <v>0</v>
      </c>
      <c r="Z552">
        <v>1</v>
      </c>
      <c r="AA552">
        <v>2</v>
      </c>
      <c r="AB552">
        <v>2</v>
      </c>
      <c r="AC552">
        <v>0</v>
      </c>
      <c r="AD552">
        <v>0</v>
      </c>
      <c r="AE552">
        <v>1</v>
      </c>
      <c r="AF552">
        <v>0</v>
      </c>
      <c r="AG552">
        <v>2</v>
      </c>
      <c r="AH552">
        <v>2</v>
      </c>
      <c r="AI552">
        <v>0</v>
      </c>
      <c r="AJ552">
        <v>0</v>
      </c>
      <c r="AK552">
        <v>4</v>
      </c>
      <c r="AL552">
        <v>1</v>
      </c>
      <c r="AM552">
        <v>6</v>
      </c>
      <c r="AN552">
        <v>4</v>
      </c>
      <c r="AO552">
        <v>2</v>
      </c>
      <c r="AP552">
        <v>3</v>
      </c>
      <c r="AQ552">
        <v>8</v>
      </c>
      <c r="AR552">
        <v>3</v>
      </c>
      <c r="AS552">
        <v>0</v>
      </c>
      <c r="AT552">
        <v>3</v>
      </c>
      <c r="AU552">
        <v>4</v>
      </c>
      <c r="AV552">
        <v>7</v>
      </c>
      <c r="AW552">
        <v>2</v>
      </c>
      <c r="AX552">
        <v>7</v>
      </c>
      <c r="AY552">
        <v>11</v>
      </c>
      <c r="AZ552">
        <v>7</v>
      </c>
      <c r="BA552">
        <v>1</v>
      </c>
      <c r="BB552">
        <v>5</v>
      </c>
      <c r="BC552">
        <v>2</v>
      </c>
      <c r="BD552">
        <v>5</v>
      </c>
      <c r="BE552">
        <v>1</v>
      </c>
      <c r="BF552">
        <v>1</v>
      </c>
      <c r="BG552">
        <v>0</v>
      </c>
      <c r="BH552">
        <v>1</v>
      </c>
      <c r="BI552">
        <v>0</v>
      </c>
      <c r="BJ552">
        <v>0</v>
      </c>
      <c r="BK552">
        <v>0</v>
      </c>
      <c r="BL552">
        <v>1</v>
      </c>
      <c r="BM552">
        <v>0</v>
      </c>
      <c r="BN552">
        <v>0</v>
      </c>
      <c r="BO552">
        <v>0</v>
      </c>
      <c r="BP552">
        <v>0</v>
      </c>
      <c r="BQ552">
        <v>0</v>
      </c>
      <c r="BR552">
        <v>0</v>
      </c>
      <c r="DG552" s="16">
        <f t="shared" si="49"/>
        <v>182</v>
      </c>
      <c r="DH552" s="16">
        <f t="shared" si="50"/>
        <v>4460</v>
      </c>
      <c r="DI552" s="17">
        <f t="shared" si="51"/>
        <v>24.505494505494507</v>
      </c>
      <c r="DJ552" s="119" t="s">
        <v>4</v>
      </c>
      <c r="DK552" s="119" t="s">
        <v>1530</v>
      </c>
    </row>
    <row r="553" spans="1:115">
      <c r="A553" s="32" t="str">
        <f t="shared" si="47"/>
        <v>Endeavour--GROUND OUTDOOR / INDOOR CHAMBER MOUNTED ; &gt; = 22 kV &amp; &lt; = 33 kV ;  &gt; 40 MVA</v>
      </c>
      <c r="B553" s="32" t="str">
        <f t="shared" si="48"/>
        <v>Endeavour</v>
      </c>
      <c r="C553" s="395"/>
      <c r="D553" s="3"/>
      <c r="E553" t="s">
        <v>233</v>
      </c>
      <c r="F553">
        <v>55</v>
      </c>
      <c r="G553">
        <v>7.0710678118654755</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v>0</v>
      </c>
      <c r="BQ553">
        <v>0</v>
      </c>
      <c r="BR553">
        <v>0</v>
      </c>
      <c r="DG553" s="16">
        <f t="shared" si="49"/>
        <v>0</v>
      </c>
      <c r="DH553" s="16">
        <f t="shared" si="50"/>
        <v>0</v>
      </c>
      <c r="DI553" s="17" t="str">
        <f t="shared" si="51"/>
        <v/>
      </c>
      <c r="DJ553" s="119" t="s">
        <v>4</v>
      </c>
      <c r="DK553" s="119" t="s">
        <v>1530</v>
      </c>
    </row>
    <row r="554" spans="1:115">
      <c r="A554" s="32" t="str">
        <f t="shared" si="47"/>
        <v>Endeavour--GROUND OUTDOOR / INDOOR CHAMBER MOUNTED ; &gt; 33 kV &amp; &lt; = 66 kV ;  &lt; = 15 MVA</v>
      </c>
      <c r="B554" s="32" t="str">
        <f t="shared" si="48"/>
        <v>Endeavour</v>
      </c>
      <c r="C554" s="395"/>
      <c r="D554" s="3"/>
      <c r="E554" t="s">
        <v>234</v>
      </c>
      <c r="F554">
        <v>55</v>
      </c>
      <c r="G554">
        <v>7.0710678118654755</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3</v>
      </c>
      <c r="AM554">
        <v>0</v>
      </c>
      <c r="AN554">
        <v>0</v>
      </c>
      <c r="AO554">
        <v>0</v>
      </c>
      <c r="AP554">
        <v>0</v>
      </c>
      <c r="AQ554">
        <v>0</v>
      </c>
      <c r="AR554">
        <v>0</v>
      </c>
      <c r="AS554">
        <v>0</v>
      </c>
      <c r="AT554">
        <v>0</v>
      </c>
      <c r="AU554">
        <v>0</v>
      </c>
      <c r="AV554">
        <v>0</v>
      </c>
      <c r="AW554">
        <v>0</v>
      </c>
      <c r="AX554">
        <v>2</v>
      </c>
      <c r="AY554">
        <v>0</v>
      </c>
      <c r="AZ554">
        <v>0</v>
      </c>
      <c r="BA554">
        <v>0</v>
      </c>
      <c r="BB554">
        <v>1</v>
      </c>
      <c r="BC554">
        <v>0</v>
      </c>
      <c r="BD554">
        <v>2</v>
      </c>
      <c r="BE554">
        <v>0</v>
      </c>
      <c r="BF554">
        <v>0</v>
      </c>
      <c r="BG554">
        <v>0</v>
      </c>
      <c r="BH554">
        <v>0</v>
      </c>
      <c r="BI554">
        <v>0</v>
      </c>
      <c r="BJ554">
        <v>0</v>
      </c>
      <c r="BK554">
        <v>0</v>
      </c>
      <c r="BL554">
        <v>0</v>
      </c>
      <c r="BM554">
        <v>0</v>
      </c>
      <c r="BN554">
        <v>0</v>
      </c>
      <c r="BO554">
        <v>0</v>
      </c>
      <c r="BP554">
        <v>4</v>
      </c>
      <c r="BQ554">
        <v>1</v>
      </c>
      <c r="BR554">
        <v>1</v>
      </c>
      <c r="DG554" s="16">
        <f t="shared" si="49"/>
        <v>14</v>
      </c>
      <c r="DH554" s="16">
        <f t="shared" si="50"/>
        <v>693</v>
      </c>
      <c r="DI554" s="17">
        <f t="shared" si="51"/>
        <v>49.5</v>
      </c>
      <c r="DJ554" s="119" t="s">
        <v>4</v>
      </c>
      <c r="DK554" s="119" t="s">
        <v>1530</v>
      </c>
    </row>
    <row r="555" spans="1:115">
      <c r="A555" s="32" t="str">
        <f t="shared" si="47"/>
        <v>Endeavour--GROUND OUTDOOR / INDOOR CHAMBER MOUNTED ; &gt; 33 kV &amp; &lt; = 66 kV ;  &gt; 15 MVA AND &lt; = 40 MVA</v>
      </c>
      <c r="B555" s="32" t="str">
        <f t="shared" si="48"/>
        <v>Endeavour</v>
      </c>
      <c r="C555" s="395"/>
      <c r="D555" s="3"/>
      <c r="E555" t="s">
        <v>235</v>
      </c>
      <c r="F555">
        <v>55</v>
      </c>
      <c r="G555">
        <v>7.0710678118654755</v>
      </c>
      <c r="H555">
        <v>0</v>
      </c>
      <c r="I555">
        <v>0</v>
      </c>
      <c r="J555">
        <v>0</v>
      </c>
      <c r="K555">
        <v>3</v>
      </c>
      <c r="L555">
        <v>0</v>
      </c>
      <c r="M555">
        <v>0</v>
      </c>
      <c r="N555">
        <v>2</v>
      </c>
      <c r="O555">
        <v>4</v>
      </c>
      <c r="P555">
        <v>2</v>
      </c>
      <c r="Q555">
        <v>4</v>
      </c>
      <c r="R555">
        <v>1</v>
      </c>
      <c r="S555">
        <v>1</v>
      </c>
      <c r="T555">
        <v>0</v>
      </c>
      <c r="U555">
        <v>0</v>
      </c>
      <c r="V555">
        <v>0</v>
      </c>
      <c r="W555">
        <v>0</v>
      </c>
      <c r="X555">
        <v>0</v>
      </c>
      <c r="Y555">
        <v>0</v>
      </c>
      <c r="Z555">
        <v>2</v>
      </c>
      <c r="AA555">
        <v>2</v>
      </c>
      <c r="AB555">
        <v>0</v>
      </c>
      <c r="AC555">
        <v>0</v>
      </c>
      <c r="AD555">
        <v>0</v>
      </c>
      <c r="AE555">
        <v>1</v>
      </c>
      <c r="AF555">
        <v>1</v>
      </c>
      <c r="AG555">
        <v>3</v>
      </c>
      <c r="AH555">
        <v>0</v>
      </c>
      <c r="AI555">
        <v>5</v>
      </c>
      <c r="AJ555">
        <v>0</v>
      </c>
      <c r="AK555">
        <v>2</v>
      </c>
      <c r="AL555">
        <v>3</v>
      </c>
      <c r="AM555">
        <v>2</v>
      </c>
      <c r="AN555">
        <v>0</v>
      </c>
      <c r="AO555">
        <v>0</v>
      </c>
      <c r="AP555">
        <v>2</v>
      </c>
      <c r="AQ555">
        <v>0</v>
      </c>
      <c r="AR555">
        <v>0</v>
      </c>
      <c r="AS555">
        <v>6</v>
      </c>
      <c r="AT555">
        <v>0</v>
      </c>
      <c r="AU555">
        <v>0</v>
      </c>
      <c r="AV555">
        <v>0</v>
      </c>
      <c r="AW555">
        <v>1</v>
      </c>
      <c r="AX555">
        <v>0</v>
      </c>
      <c r="AY555">
        <v>0</v>
      </c>
      <c r="AZ555">
        <v>0</v>
      </c>
      <c r="BA555">
        <v>0</v>
      </c>
      <c r="BB555">
        <v>4</v>
      </c>
      <c r="BC555">
        <v>0</v>
      </c>
      <c r="BD555">
        <v>0</v>
      </c>
      <c r="BE555">
        <v>0</v>
      </c>
      <c r="BF555">
        <v>0</v>
      </c>
      <c r="BG555">
        <v>0</v>
      </c>
      <c r="BH555">
        <v>1</v>
      </c>
      <c r="BI555">
        <v>0</v>
      </c>
      <c r="BJ555">
        <v>0</v>
      </c>
      <c r="BK555">
        <v>0</v>
      </c>
      <c r="BL555">
        <v>0</v>
      </c>
      <c r="BM555">
        <v>0</v>
      </c>
      <c r="BN555">
        <v>0</v>
      </c>
      <c r="BO555">
        <v>0</v>
      </c>
      <c r="BP555">
        <v>0</v>
      </c>
      <c r="BQ555">
        <v>0</v>
      </c>
      <c r="BR555">
        <v>0</v>
      </c>
      <c r="DG555" s="16">
        <f t="shared" si="49"/>
        <v>52</v>
      </c>
      <c r="DH555" s="16">
        <f t="shared" si="50"/>
        <v>1282</v>
      </c>
      <c r="DI555" s="17">
        <f t="shared" si="51"/>
        <v>24.653846153846153</v>
      </c>
      <c r="DJ555" s="119" t="s">
        <v>4</v>
      </c>
      <c r="DK555" s="119" t="s">
        <v>1530</v>
      </c>
    </row>
    <row r="556" spans="1:115">
      <c r="A556" s="32" t="str">
        <f t="shared" si="47"/>
        <v>Endeavour--GROUND OUTDOOR / INDOOR CHAMBER MOUNTED ; &gt; 33 kV &amp; &lt; = 66 kV ;  &gt; 40 MVA</v>
      </c>
      <c r="B556" s="32" t="str">
        <f t="shared" si="48"/>
        <v>Endeavour</v>
      </c>
      <c r="C556" s="395"/>
      <c r="D556" s="3"/>
      <c r="E556" t="s">
        <v>236</v>
      </c>
      <c r="F556">
        <v>55</v>
      </c>
      <c r="G556">
        <v>7.0710678118654755</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DG556" s="16">
        <f t="shared" si="49"/>
        <v>0</v>
      </c>
      <c r="DH556" s="16">
        <f t="shared" si="50"/>
        <v>0</v>
      </c>
      <c r="DI556" s="17" t="str">
        <f t="shared" si="51"/>
        <v/>
      </c>
      <c r="DJ556" s="119" t="s">
        <v>4</v>
      </c>
      <c r="DK556" s="119" t="s">
        <v>1530</v>
      </c>
    </row>
    <row r="557" spans="1:115">
      <c r="A557" s="32" t="str">
        <f t="shared" si="47"/>
        <v>Endeavour--GROUND OUTDOOR / INDOOR CHAMBER MOUNTED ; &gt; 66 kV &amp; &lt; = 132 kV ;  &lt; = 100 MVA</v>
      </c>
      <c r="B557" s="32" t="str">
        <f t="shared" si="48"/>
        <v>Endeavour</v>
      </c>
      <c r="C557" s="395"/>
      <c r="D557" s="3"/>
      <c r="E557" t="s">
        <v>237</v>
      </c>
      <c r="F557">
        <v>55</v>
      </c>
      <c r="G557">
        <v>7.0710678118654755</v>
      </c>
      <c r="H557">
        <v>0</v>
      </c>
      <c r="I557">
        <v>4</v>
      </c>
      <c r="J557">
        <v>2</v>
      </c>
      <c r="K557">
        <v>1</v>
      </c>
      <c r="L557">
        <v>7</v>
      </c>
      <c r="M557">
        <v>10</v>
      </c>
      <c r="N557">
        <v>0</v>
      </c>
      <c r="O557">
        <v>7</v>
      </c>
      <c r="P557">
        <v>10</v>
      </c>
      <c r="Q557">
        <v>1</v>
      </c>
      <c r="R557">
        <v>8</v>
      </c>
      <c r="S557">
        <v>1</v>
      </c>
      <c r="T557">
        <v>3</v>
      </c>
      <c r="U557">
        <v>2</v>
      </c>
      <c r="V557">
        <v>0</v>
      </c>
      <c r="W557">
        <v>0</v>
      </c>
      <c r="X557">
        <v>2</v>
      </c>
      <c r="Y557">
        <v>2</v>
      </c>
      <c r="Z557">
        <v>1</v>
      </c>
      <c r="AA557">
        <v>0</v>
      </c>
      <c r="AB557">
        <v>2</v>
      </c>
      <c r="AC557">
        <v>2</v>
      </c>
      <c r="AD557">
        <v>1</v>
      </c>
      <c r="AE557">
        <v>0</v>
      </c>
      <c r="AF557">
        <v>0</v>
      </c>
      <c r="AG557">
        <v>5</v>
      </c>
      <c r="AH557">
        <v>0</v>
      </c>
      <c r="AI557">
        <v>2</v>
      </c>
      <c r="AJ557">
        <v>2</v>
      </c>
      <c r="AK557">
        <v>0</v>
      </c>
      <c r="AL557">
        <v>0</v>
      </c>
      <c r="AM557">
        <v>0</v>
      </c>
      <c r="AN557">
        <v>3</v>
      </c>
      <c r="AO557">
        <v>1</v>
      </c>
      <c r="AP557">
        <v>0</v>
      </c>
      <c r="AQ557">
        <v>0</v>
      </c>
      <c r="AR557">
        <v>0</v>
      </c>
      <c r="AS557">
        <v>0</v>
      </c>
      <c r="AT557">
        <v>0</v>
      </c>
      <c r="AU557">
        <v>0</v>
      </c>
      <c r="AV557">
        <v>0</v>
      </c>
      <c r="AW557">
        <v>0</v>
      </c>
      <c r="AX557">
        <v>2</v>
      </c>
      <c r="AY557">
        <v>0</v>
      </c>
      <c r="AZ557">
        <v>2</v>
      </c>
      <c r="BA557">
        <v>1</v>
      </c>
      <c r="BB557">
        <v>1</v>
      </c>
      <c r="BC557">
        <v>1</v>
      </c>
      <c r="BD557">
        <v>0</v>
      </c>
      <c r="BE557">
        <v>0</v>
      </c>
      <c r="BF557">
        <v>2</v>
      </c>
      <c r="BG557">
        <v>3</v>
      </c>
      <c r="BH557">
        <v>0</v>
      </c>
      <c r="BI557">
        <v>0</v>
      </c>
      <c r="BJ557">
        <v>0</v>
      </c>
      <c r="BK557">
        <v>0</v>
      </c>
      <c r="BL557">
        <v>2</v>
      </c>
      <c r="BM557">
        <v>0</v>
      </c>
      <c r="BN557">
        <v>0</v>
      </c>
      <c r="BO557">
        <v>0</v>
      </c>
      <c r="BP557">
        <v>0</v>
      </c>
      <c r="BQ557">
        <v>0</v>
      </c>
      <c r="BR557">
        <v>0</v>
      </c>
      <c r="DG557" s="16">
        <f t="shared" si="49"/>
        <v>93</v>
      </c>
      <c r="DH557" s="16">
        <f t="shared" si="50"/>
        <v>1700</v>
      </c>
      <c r="DI557" s="17">
        <f t="shared" si="51"/>
        <v>18.27956989247312</v>
      </c>
      <c r="DJ557" s="119" t="s">
        <v>4</v>
      </c>
      <c r="DK557" s="119" t="s">
        <v>1530</v>
      </c>
    </row>
    <row r="558" spans="1:115">
      <c r="A558" s="32" t="str">
        <f t="shared" si="47"/>
        <v>Endeavour--GROUND OUTDOOR / INDOOR CHAMBER MOUNTED ; &gt; 66 kV &amp; &lt; = 132 kV ;  &gt; 100 MVA</v>
      </c>
      <c r="B558" s="32" t="str">
        <f t="shared" si="48"/>
        <v>Endeavour</v>
      </c>
      <c r="C558" s="395"/>
      <c r="D558" s="3"/>
      <c r="E558" t="s">
        <v>238</v>
      </c>
      <c r="F558">
        <v>55</v>
      </c>
      <c r="G558">
        <v>7.0710678118654755</v>
      </c>
      <c r="H558">
        <v>0</v>
      </c>
      <c r="I558">
        <v>0</v>
      </c>
      <c r="J558">
        <v>0</v>
      </c>
      <c r="K558">
        <v>0</v>
      </c>
      <c r="L558">
        <v>0</v>
      </c>
      <c r="M558">
        <v>3</v>
      </c>
      <c r="N558">
        <v>0</v>
      </c>
      <c r="O558">
        <v>7</v>
      </c>
      <c r="P558">
        <v>1</v>
      </c>
      <c r="Q558">
        <v>1</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1</v>
      </c>
      <c r="AM558">
        <v>0</v>
      </c>
      <c r="AN558">
        <v>0</v>
      </c>
      <c r="AO558">
        <v>0</v>
      </c>
      <c r="AP558">
        <v>0</v>
      </c>
      <c r="AQ558">
        <v>1</v>
      </c>
      <c r="AR558">
        <v>0</v>
      </c>
      <c r="AS558">
        <v>2</v>
      </c>
      <c r="AT558">
        <v>0</v>
      </c>
      <c r="AU558">
        <v>1</v>
      </c>
      <c r="AV558">
        <v>2</v>
      </c>
      <c r="AW558">
        <v>0</v>
      </c>
      <c r="AX558">
        <v>0</v>
      </c>
      <c r="AY558">
        <v>0</v>
      </c>
      <c r="AZ558">
        <v>4</v>
      </c>
      <c r="BA558">
        <v>1</v>
      </c>
      <c r="BB558">
        <v>2</v>
      </c>
      <c r="BC558">
        <v>2</v>
      </c>
      <c r="BD558">
        <v>0</v>
      </c>
      <c r="BE558">
        <v>2</v>
      </c>
      <c r="BF558">
        <v>1</v>
      </c>
      <c r="BG558">
        <v>0</v>
      </c>
      <c r="BH558">
        <v>0</v>
      </c>
      <c r="BI558">
        <v>0</v>
      </c>
      <c r="BJ558">
        <v>0</v>
      </c>
      <c r="BK558">
        <v>0</v>
      </c>
      <c r="BL558">
        <v>0</v>
      </c>
      <c r="BM558">
        <v>0</v>
      </c>
      <c r="BN558">
        <v>0</v>
      </c>
      <c r="BO558">
        <v>0</v>
      </c>
      <c r="BP558">
        <v>0</v>
      </c>
      <c r="BQ558">
        <v>0</v>
      </c>
      <c r="BR558">
        <v>0</v>
      </c>
      <c r="DG558" s="16">
        <f t="shared" si="49"/>
        <v>31</v>
      </c>
      <c r="DH558" s="16">
        <f t="shared" si="50"/>
        <v>925</v>
      </c>
      <c r="DI558" s="17">
        <f t="shared" si="51"/>
        <v>29.838709677419356</v>
      </c>
      <c r="DJ558" s="119" t="s">
        <v>4</v>
      </c>
      <c r="DK558" s="119" t="s">
        <v>1530</v>
      </c>
    </row>
    <row r="559" spans="1:115">
      <c r="A559" s="32" t="str">
        <f t="shared" si="47"/>
        <v>Endeavour--GROUND OUTDOOR / INDOOR CHAMBER MOUNTED ; &gt; 132 kV ;  &lt; = 100 MVA</v>
      </c>
      <c r="B559" s="32" t="str">
        <f t="shared" si="48"/>
        <v>Endeavour</v>
      </c>
      <c r="C559" s="395"/>
      <c r="D559" s="3"/>
      <c r="E559" t="s">
        <v>239</v>
      </c>
      <c r="F559">
        <v>55</v>
      </c>
      <c r="G559">
        <v>7.0710678118654755</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0</v>
      </c>
      <c r="BQ559">
        <v>0</v>
      </c>
      <c r="BR559">
        <v>0</v>
      </c>
      <c r="DG559" s="16">
        <f t="shared" si="49"/>
        <v>0</v>
      </c>
      <c r="DH559" s="16">
        <f t="shared" si="50"/>
        <v>0</v>
      </c>
      <c r="DI559" s="17" t="str">
        <f t="shared" si="51"/>
        <v/>
      </c>
      <c r="DJ559" s="119" t="s">
        <v>4</v>
      </c>
      <c r="DK559" s="119" t="s">
        <v>1530</v>
      </c>
    </row>
    <row r="560" spans="1:115">
      <c r="A560" s="32" t="str">
        <f t="shared" si="47"/>
        <v>Endeavour--GROUND OUTDOOR / INDOOR CHAMBER MOUNTED ; &gt; 132 kV ;  &gt; 100 MVA</v>
      </c>
      <c r="B560" s="32" t="str">
        <f t="shared" si="48"/>
        <v>Endeavour</v>
      </c>
      <c r="C560" s="395"/>
      <c r="D560" s="3"/>
      <c r="E560" t="s">
        <v>240</v>
      </c>
      <c r="F560">
        <v>55</v>
      </c>
      <c r="G560">
        <v>7.0710678118654755</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DG560" s="16">
        <f t="shared" si="49"/>
        <v>0</v>
      </c>
      <c r="DH560" s="16">
        <f t="shared" si="50"/>
        <v>0</v>
      </c>
      <c r="DI560" s="17" t="str">
        <f t="shared" si="51"/>
        <v/>
      </c>
      <c r="DJ560" s="119" t="s">
        <v>4</v>
      </c>
      <c r="DK560" s="119" t="s">
        <v>1530</v>
      </c>
    </row>
    <row r="561" spans="1:115">
      <c r="A561" s="32" t="str">
        <f t="shared" si="47"/>
        <v>Endeavour--OTHER - PLEASE ADD A ROW IF NECESSARY AND NOMINATE THE CATEGORY</v>
      </c>
      <c r="B561" s="32" t="str">
        <f t="shared" si="48"/>
        <v>Endeavour</v>
      </c>
      <c r="C561" s="395"/>
      <c r="D561" s="3"/>
      <c r="E561" t="s">
        <v>170</v>
      </c>
      <c r="F561">
        <v>55</v>
      </c>
      <c r="DG561" s="16">
        <f t="shared" si="49"/>
        <v>0</v>
      </c>
      <c r="DH561" s="16">
        <f t="shared" si="50"/>
        <v>0</v>
      </c>
      <c r="DI561" s="17" t="str">
        <f t="shared" si="51"/>
        <v/>
      </c>
      <c r="DJ561" s="119" t="s">
        <v>4</v>
      </c>
      <c r="DK561" s="119" t="s">
        <v>1530</v>
      </c>
    </row>
    <row r="562" spans="1:115" ht="45">
      <c r="A562" s="32" t="str">
        <f t="shared" si="47"/>
        <v>Endeavour-SWITCHGEAR BY: 
HIGHEST OPERATING VOLTAGE ; SWITCH FUNCTION-˂ = 11 kV ;  FUSE</v>
      </c>
      <c r="B562" s="32" t="str">
        <f t="shared" si="48"/>
        <v>Endeavour</v>
      </c>
      <c r="C562" s="395"/>
      <c r="D562" s="3" t="s">
        <v>545</v>
      </c>
      <c r="E562" t="s">
        <v>246</v>
      </c>
      <c r="F562">
        <v>35</v>
      </c>
      <c r="G562">
        <v>5.9160797830996161</v>
      </c>
      <c r="H562">
        <v>147</v>
      </c>
      <c r="I562">
        <v>114</v>
      </c>
      <c r="J562">
        <v>64</v>
      </c>
      <c r="K562">
        <v>62</v>
      </c>
      <c r="L562">
        <v>50</v>
      </c>
      <c r="M562">
        <v>45</v>
      </c>
      <c r="N562">
        <v>42</v>
      </c>
      <c r="O562">
        <v>30</v>
      </c>
      <c r="P562">
        <v>31</v>
      </c>
      <c r="Q562">
        <v>39</v>
      </c>
      <c r="R562">
        <v>35</v>
      </c>
      <c r="S562">
        <v>38</v>
      </c>
      <c r="T562">
        <v>131</v>
      </c>
      <c r="U562">
        <v>66</v>
      </c>
      <c r="V562">
        <v>57</v>
      </c>
      <c r="W562">
        <v>25</v>
      </c>
      <c r="X562">
        <v>25</v>
      </c>
      <c r="Y562">
        <v>25</v>
      </c>
      <c r="Z562">
        <v>25</v>
      </c>
      <c r="AA562">
        <v>25</v>
      </c>
      <c r="AB562">
        <v>25</v>
      </c>
      <c r="AC562">
        <v>25</v>
      </c>
      <c r="AD562">
        <v>25</v>
      </c>
      <c r="AE562">
        <v>26</v>
      </c>
      <c r="AF562">
        <v>26</v>
      </c>
      <c r="AG562">
        <v>25</v>
      </c>
      <c r="AH562">
        <v>25</v>
      </c>
      <c r="AI562">
        <v>25</v>
      </c>
      <c r="AJ562">
        <v>26</v>
      </c>
      <c r="AK562">
        <v>25</v>
      </c>
      <c r="AL562">
        <v>25</v>
      </c>
      <c r="AM562">
        <v>25</v>
      </c>
      <c r="AN562">
        <v>25</v>
      </c>
      <c r="AO562">
        <v>25</v>
      </c>
      <c r="AP562">
        <v>25</v>
      </c>
      <c r="AQ562">
        <v>25</v>
      </c>
      <c r="AR562">
        <v>25</v>
      </c>
      <c r="AS562">
        <v>25</v>
      </c>
      <c r="AT562">
        <v>25</v>
      </c>
      <c r="AU562">
        <v>25</v>
      </c>
      <c r="AV562">
        <v>26</v>
      </c>
      <c r="AW562">
        <v>0</v>
      </c>
      <c r="AX562">
        <v>0</v>
      </c>
      <c r="AY562">
        <v>0</v>
      </c>
      <c r="AZ562">
        <v>0</v>
      </c>
      <c r="BA562">
        <v>0</v>
      </c>
      <c r="BB562">
        <v>0</v>
      </c>
      <c r="BC562">
        <v>0</v>
      </c>
      <c r="BD562">
        <v>0</v>
      </c>
      <c r="BE562">
        <v>0</v>
      </c>
      <c r="BF562">
        <v>0</v>
      </c>
      <c r="BG562">
        <v>0</v>
      </c>
      <c r="BH562">
        <v>0</v>
      </c>
      <c r="BI562">
        <v>0</v>
      </c>
      <c r="BJ562">
        <v>0</v>
      </c>
      <c r="BK562">
        <v>0</v>
      </c>
      <c r="BL562">
        <v>0</v>
      </c>
      <c r="BM562">
        <v>0</v>
      </c>
      <c r="BN562">
        <v>0</v>
      </c>
      <c r="DG562" s="16">
        <f t="shared" si="49"/>
        <v>1605</v>
      </c>
      <c r="DH562" s="16">
        <f t="shared" si="50"/>
        <v>25505</v>
      </c>
      <c r="DI562" s="17">
        <f t="shared" si="51"/>
        <v>15.890965732087228</v>
      </c>
      <c r="DJ562" s="119" t="s">
        <v>2</v>
      </c>
      <c r="DK562" t="s">
        <v>2</v>
      </c>
    </row>
    <row r="563" spans="1:115">
      <c r="A563" s="32" t="str">
        <f t="shared" si="47"/>
        <v>Endeavour--˂ = 11 kV  ; SWITCH</v>
      </c>
      <c r="B563" s="32" t="str">
        <f t="shared" si="48"/>
        <v>Endeavour</v>
      </c>
      <c r="C563" s="395"/>
      <c r="D563" s="3"/>
      <c r="E563" t="s">
        <v>247</v>
      </c>
      <c r="DG563" s="16">
        <f t="shared" si="49"/>
        <v>0</v>
      </c>
      <c r="DH563" s="16">
        <f t="shared" si="50"/>
        <v>0</v>
      </c>
      <c r="DI563" s="17" t="str">
        <f t="shared" si="51"/>
        <v/>
      </c>
      <c r="DJ563" s="119" t="s">
        <v>2</v>
      </c>
      <c r="DK563" s="44" t="s">
        <v>2</v>
      </c>
    </row>
    <row r="564" spans="1:115">
      <c r="A564" s="32" t="str">
        <f t="shared" si="47"/>
        <v>Endeavour--˂ = 11 kV ;  CIRCUIT BREAKER</v>
      </c>
      <c r="B564" s="32" t="str">
        <f t="shared" si="48"/>
        <v>Endeavour</v>
      </c>
      <c r="C564" s="395"/>
      <c r="D564" s="3"/>
      <c r="E564" t="s">
        <v>248</v>
      </c>
      <c r="F564">
        <v>51</v>
      </c>
      <c r="G564">
        <v>7.0710678118654755</v>
      </c>
      <c r="H564">
        <v>25</v>
      </c>
      <c r="I564">
        <v>353</v>
      </c>
      <c r="J564">
        <v>174</v>
      </c>
      <c r="K564">
        <v>93</v>
      </c>
      <c r="L564">
        <v>74</v>
      </c>
      <c r="M564">
        <v>97</v>
      </c>
      <c r="N564">
        <v>113</v>
      </c>
      <c r="O564">
        <v>97</v>
      </c>
      <c r="P564">
        <v>90</v>
      </c>
      <c r="Q564">
        <v>45</v>
      </c>
      <c r="R564">
        <v>97</v>
      </c>
      <c r="S564">
        <v>21</v>
      </c>
      <c r="T564">
        <v>54</v>
      </c>
      <c r="U564">
        <v>8</v>
      </c>
      <c r="V564">
        <v>0</v>
      </c>
      <c r="W564">
        <v>41</v>
      </c>
      <c r="X564">
        <v>6</v>
      </c>
      <c r="Y564">
        <v>8</v>
      </c>
      <c r="Z564">
        <v>7</v>
      </c>
      <c r="AA564">
        <v>24</v>
      </c>
      <c r="AB564">
        <v>12</v>
      </c>
      <c r="AC564">
        <v>7</v>
      </c>
      <c r="AD564">
        <v>21</v>
      </c>
      <c r="AE564">
        <v>26</v>
      </c>
      <c r="AF564">
        <v>38</v>
      </c>
      <c r="AG564">
        <v>39</v>
      </c>
      <c r="AH564">
        <v>15</v>
      </c>
      <c r="AI564">
        <v>36</v>
      </c>
      <c r="AJ564">
        <v>40</v>
      </c>
      <c r="AK564">
        <v>106</v>
      </c>
      <c r="AL564">
        <v>64</v>
      </c>
      <c r="AM564">
        <v>99</v>
      </c>
      <c r="AN564">
        <v>52</v>
      </c>
      <c r="AO564">
        <v>5</v>
      </c>
      <c r="AP564">
        <v>9</v>
      </c>
      <c r="AQ564">
        <v>9</v>
      </c>
      <c r="AR564">
        <v>2</v>
      </c>
      <c r="AS564">
        <v>49</v>
      </c>
      <c r="AT564">
        <v>23</v>
      </c>
      <c r="AU564">
        <v>0</v>
      </c>
      <c r="AV564">
        <v>0</v>
      </c>
      <c r="AW564">
        <v>56</v>
      </c>
      <c r="AX564">
        <v>0</v>
      </c>
      <c r="AY564">
        <v>54</v>
      </c>
      <c r="AZ564">
        <v>0</v>
      </c>
      <c r="BA564">
        <v>81</v>
      </c>
      <c r="BB564">
        <v>40</v>
      </c>
      <c r="BC564">
        <v>41</v>
      </c>
      <c r="BD564">
        <v>35</v>
      </c>
      <c r="BE564">
        <v>17</v>
      </c>
      <c r="BF564">
        <v>51</v>
      </c>
      <c r="BG564">
        <v>19</v>
      </c>
      <c r="BH564">
        <v>6</v>
      </c>
      <c r="BI564">
        <v>46</v>
      </c>
      <c r="BJ564">
        <v>1</v>
      </c>
      <c r="BK564">
        <v>7</v>
      </c>
      <c r="BL564">
        <v>6</v>
      </c>
      <c r="BM564">
        <v>0</v>
      </c>
      <c r="BN564">
        <v>0</v>
      </c>
      <c r="DG564" s="16">
        <f t="shared" si="49"/>
        <v>2539</v>
      </c>
      <c r="DH564" s="16">
        <f t="shared" si="50"/>
        <v>50839</v>
      </c>
      <c r="DI564" s="17">
        <f t="shared" si="51"/>
        <v>20.023237495076803</v>
      </c>
      <c r="DJ564" s="119" t="s">
        <v>2</v>
      </c>
      <c r="DK564" s="44" t="s">
        <v>2</v>
      </c>
    </row>
    <row r="565" spans="1:115">
      <c r="A565" s="32" t="str">
        <f t="shared" si="47"/>
        <v>Endeavour--&gt; 11 kV &amp; &lt; = 22 kV  ; SWITCH</v>
      </c>
      <c r="B565" s="32" t="str">
        <f t="shared" si="48"/>
        <v>Endeavour</v>
      </c>
      <c r="C565" s="395"/>
      <c r="D565" s="3"/>
      <c r="E565" t="s">
        <v>249</v>
      </c>
      <c r="DG565" s="16">
        <f t="shared" si="49"/>
        <v>0</v>
      </c>
      <c r="DH565" s="16">
        <f t="shared" si="50"/>
        <v>0</v>
      </c>
      <c r="DI565" s="17" t="str">
        <f t="shared" si="51"/>
        <v/>
      </c>
      <c r="DJ565" s="119" t="s">
        <v>2</v>
      </c>
      <c r="DK565" s="44" t="s">
        <v>2</v>
      </c>
    </row>
    <row r="566" spans="1:115">
      <c r="A566" s="32" t="str">
        <f t="shared" si="47"/>
        <v>Endeavour--&gt; 11 kV &amp; &lt; = 22 kV  ; CIRCUIT BREAKER</v>
      </c>
      <c r="B566" s="32" t="str">
        <f t="shared" si="48"/>
        <v>Endeavour</v>
      </c>
      <c r="C566" s="395"/>
      <c r="D566" s="3"/>
      <c r="E566" t="s">
        <v>250</v>
      </c>
      <c r="F566">
        <v>51</v>
      </c>
      <c r="G566">
        <v>7.0710678118654755</v>
      </c>
      <c r="H566">
        <v>0</v>
      </c>
      <c r="I566">
        <v>0</v>
      </c>
      <c r="J566">
        <v>2</v>
      </c>
      <c r="K566">
        <v>18</v>
      </c>
      <c r="L566">
        <v>3</v>
      </c>
      <c r="M566">
        <v>0</v>
      </c>
      <c r="N566">
        <v>0</v>
      </c>
      <c r="O566">
        <v>0</v>
      </c>
      <c r="P566">
        <v>7</v>
      </c>
      <c r="Q566">
        <v>0</v>
      </c>
      <c r="R566">
        <v>0</v>
      </c>
      <c r="S566">
        <v>0</v>
      </c>
      <c r="T566">
        <v>0</v>
      </c>
      <c r="U566">
        <v>16</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c r="BN566">
        <v>0</v>
      </c>
      <c r="DG566" s="16">
        <f t="shared" si="49"/>
        <v>46</v>
      </c>
      <c r="DH566" s="16">
        <f t="shared" si="50"/>
        <v>380</v>
      </c>
      <c r="DI566" s="17">
        <f t="shared" si="51"/>
        <v>8.2608695652173907</v>
      </c>
      <c r="DJ566" s="119" t="s">
        <v>2</v>
      </c>
      <c r="DK566" s="44" t="s">
        <v>2</v>
      </c>
    </row>
    <row r="567" spans="1:115">
      <c r="A567" s="32" t="str">
        <f t="shared" si="47"/>
        <v>Endeavour--&gt; 22 kV &amp; &lt; = 33 kV ; SWITCH</v>
      </c>
      <c r="B567" s="32" t="str">
        <f t="shared" si="48"/>
        <v>Endeavour</v>
      </c>
      <c r="C567" s="395"/>
      <c r="D567" s="3"/>
      <c r="E567" t="s">
        <v>251</v>
      </c>
      <c r="DG567" s="16">
        <f t="shared" si="49"/>
        <v>0</v>
      </c>
      <c r="DH567" s="16">
        <f t="shared" si="50"/>
        <v>0</v>
      </c>
      <c r="DI567" s="17" t="str">
        <f t="shared" si="51"/>
        <v/>
      </c>
      <c r="DJ567" s="119" t="s">
        <v>2</v>
      </c>
      <c r="DK567" s="44" t="s">
        <v>2</v>
      </c>
    </row>
    <row r="568" spans="1:115">
      <c r="A568" s="32" t="str">
        <f t="shared" si="47"/>
        <v>Endeavour--&gt; 22 kV &amp; &lt; = 33 kV ; CIRCUIT BREAKER</v>
      </c>
      <c r="B568" s="32" t="str">
        <f t="shared" si="48"/>
        <v>Endeavour</v>
      </c>
      <c r="C568" s="395"/>
      <c r="D568" s="3"/>
      <c r="E568" t="s">
        <v>252</v>
      </c>
      <c r="F568">
        <v>51</v>
      </c>
      <c r="G568">
        <v>7.0710678118654755</v>
      </c>
      <c r="H568">
        <v>16</v>
      </c>
      <c r="I568">
        <v>114</v>
      </c>
      <c r="J568">
        <v>60</v>
      </c>
      <c r="K568">
        <v>65</v>
      </c>
      <c r="L568">
        <v>49</v>
      </c>
      <c r="M568">
        <v>21</v>
      </c>
      <c r="N568">
        <v>39</v>
      </c>
      <c r="O568">
        <v>25</v>
      </c>
      <c r="P568">
        <v>17</v>
      </c>
      <c r="Q568">
        <v>29</v>
      </c>
      <c r="R568">
        <v>23</v>
      </c>
      <c r="S568">
        <v>6</v>
      </c>
      <c r="T568">
        <v>11</v>
      </c>
      <c r="U568">
        <v>4</v>
      </c>
      <c r="V568">
        <v>6</v>
      </c>
      <c r="W568">
        <v>0</v>
      </c>
      <c r="X568">
        <v>5</v>
      </c>
      <c r="Y568">
        <v>29</v>
      </c>
      <c r="Z568">
        <v>2</v>
      </c>
      <c r="AA568">
        <v>15</v>
      </c>
      <c r="AB568">
        <v>0</v>
      </c>
      <c r="AC568">
        <v>0</v>
      </c>
      <c r="AD568">
        <v>8</v>
      </c>
      <c r="AE568">
        <v>3</v>
      </c>
      <c r="AF568">
        <v>8</v>
      </c>
      <c r="AG568">
        <v>0</v>
      </c>
      <c r="AH568">
        <v>2</v>
      </c>
      <c r="AI568">
        <v>0</v>
      </c>
      <c r="AJ568">
        <v>9</v>
      </c>
      <c r="AK568">
        <v>27</v>
      </c>
      <c r="AL568">
        <v>20</v>
      </c>
      <c r="AM568">
        <v>22</v>
      </c>
      <c r="AN568">
        <v>14</v>
      </c>
      <c r="AO568">
        <v>12</v>
      </c>
      <c r="AP568">
        <v>6</v>
      </c>
      <c r="AQ568">
        <v>7</v>
      </c>
      <c r="AR568">
        <v>0</v>
      </c>
      <c r="AS568">
        <v>3</v>
      </c>
      <c r="AT568">
        <v>13</v>
      </c>
      <c r="AU568">
        <v>5</v>
      </c>
      <c r="AV568">
        <v>0</v>
      </c>
      <c r="AW568">
        <v>20</v>
      </c>
      <c r="AX568">
        <v>18</v>
      </c>
      <c r="AY568">
        <v>13</v>
      </c>
      <c r="AZ568">
        <v>35</v>
      </c>
      <c r="BA568">
        <v>15</v>
      </c>
      <c r="BB568">
        <v>11</v>
      </c>
      <c r="BC568">
        <v>26</v>
      </c>
      <c r="BD568">
        <v>8</v>
      </c>
      <c r="BE568">
        <v>16</v>
      </c>
      <c r="BF568">
        <v>5</v>
      </c>
      <c r="BG568">
        <v>2</v>
      </c>
      <c r="BH568">
        <v>35</v>
      </c>
      <c r="BI568">
        <v>0</v>
      </c>
      <c r="BJ568">
        <v>1</v>
      </c>
      <c r="BK568">
        <v>0</v>
      </c>
      <c r="BL568">
        <v>0</v>
      </c>
      <c r="BM568">
        <v>0</v>
      </c>
      <c r="BN568">
        <v>0</v>
      </c>
      <c r="DG568" s="16">
        <f t="shared" si="49"/>
        <v>900</v>
      </c>
      <c r="DH568" s="16">
        <f t="shared" si="50"/>
        <v>18265</v>
      </c>
      <c r="DI568" s="17">
        <f t="shared" si="51"/>
        <v>20.294444444444444</v>
      </c>
      <c r="DJ568" s="119" t="s">
        <v>2</v>
      </c>
      <c r="DK568" s="44" t="s">
        <v>2</v>
      </c>
    </row>
    <row r="569" spans="1:115">
      <c r="A569" s="32" t="str">
        <f t="shared" si="47"/>
        <v>Endeavour--&gt; 33 kV &amp; &lt; = 66 kV ; SWITCH</v>
      </c>
      <c r="B569" s="32" t="str">
        <f t="shared" si="48"/>
        <v>Endeavour</v>
      </c>
      <c r="C569" s="395"/>
      <c r="D569" s="3"/>
      <c r="E569" t="s">
        <v>253</v>
      </c>
      <c r="DG569" s="16">
        <f t="shared" si="49"/>
        <v>0</v>
      </c>
      <c r="DH569" s="16">
        <f t="shared" si="50"/>
        <v>0</v>
      </c>
      <c r="DI569" s="17" t="str">
        <f t="shared" si="51"/>
        <v/>
      </c>
      <c r="DJ569" s="119" t="s">
        <v>2</v>
      </c>
      <c r="DK569" s="44" t="s">
        <v>2</v>
      </c>
    </row>
    <row r="570" spans="1:115">
      <c r="A570" s="32" t="str">
        <f t="shared" si="47"/>
        <v>Endeavour--&gt; 33 kV &amp; &lt; = 66 kV ; CIRCUIT BREAKER</v>
      </c>
      <c r="B570" s="32" t="str">
        <f t="shared" si="48"/>
        <v>Endeavour</v>
      </c>
      <c r="C570" s="395"/>
      <c r="D570" s="3"/>
      <c r="E570" t="s">
        <v>254</v>
      </c>
      <c r="F570">
        <v>51</v>
      </c>
      <c r="G570">
        <v>7.0710678118654755</v>
      </c>
      <c r="H570">
        <v>1</v>
      </c>
      <c r="I570">
        <v>20</v>
      </c>
      <c r="J570">
        <v>30</v>
      </c>
      <c r="K570">
        <v>3</v>
      </c>
      <c r="L570">
        <v>30</v>
      </c>
      <c r="M570">
        <v>9</v>
      </c>
      <c r="N570">
        <v>13</v>
      </c>
      <c r="O570">
        <v>11</v>
      </c>
      <c r="P570">
        <v>5</v>
      </c>
      <c r="Q570">
        <v>0</v>
      </c>
      <c r="R570">
        <v>7</v>
      </c>
      <c r="S570">
        <v>0</v>
      </c>
      <c r="T570">
        <v>5</v>
      </c>
      <c r="U570">
        <v>1</v>
      </c>
      <c r="V570">
        <v>0</v>
      </c>
      <c r="W570">
        <v>0</v>
      </c>
      <c r="X570">
        <v>0</v>
      </c>
      <c r="Y570">
        <v>4</v>
      </c>
      <c r="Z570">
        <v>2</v>
      </c>
      <c r="AA570">
        <v>0</v>
      </c>
      <c r="AB570">
        <v>0</v>
      </c>
      <c r="AC570">
        <v>0</v>
      </c>
      <c r="AD570">
        <v>1</v>
      </c>
      <c r="AE570">
        <v>5</v>
      </c>
      <c r="AF570">
        <v>4</v>
      </c>
      <c r="AG570">
        <v>5</v>
      </c>
      <c r="AH570">
        <v>0</v>
      </c>
      <c r="AI570">
        <v>5</v>
      </c>
      <c r="AJ570">
        <v>0</v>
      </c>
      <c r="AK570">
        <v>1</v>
      </c>
      <c r="AL570">
        <v>0</v>
      </c>
      <c r="AM570">
        <v>3</v>
      </c>
      <c r="AN570">
        <v>7</v>
      </c>
      <c r="AO570">
        <v>1</v>
      </c>
      <c r="AP570">
        <v>0</v>
      </c>
      <c r="AQ570">
        <v>0</v>
      </c>
      <c r="AR570">
        <v>0</v>
      </c>
      <c r="AS570">
        <v>3</v>
      </c>
      <c r="AT570">
        <v>7</v>
      </c>
      <c r="AU570">
        <v>0</v>
      </c>
      <c r="AV570">
        <v>0</v>
      </c>
      <c r="AW570">
        <v>0</v>
      </c>
      <c r="AX570">
        <v>0</v>
      </c>
      <c r="AY570">
        <v>0</v>
      </c>
      <c r="AZ570">
        <v>0</v>
      </c>
      <c r="BA570">
        <v>0</v>
      </c>
      <c r="BB570">
        <v>0</v>
      </c>
      <c r="BC570">
        <v>0</v>
      </c>
      <c r="BD570">
        <v>2</v>
      </c>
      <c r="BE570">
        <v>0</v>
      </c>
      <c r="BF570">
        <v>0</v>
      </c>
      <c r="BG570">
        <v>0</v>
      </c>
      <c r="BH570">
        <v>0</v>
      </c>
      <c r="BI570">
        <v>4</v>
      </c>
      <c r="BJ570">
        <v>0</v>
      </c>
      <c r="BK570">
        <v>0</v>
      </c>
      <c r="BL570">
        <v>0</v>
      </c>
      <c r="BM570">
        <v>0</v>
      </c>
      <c r="BN570">
        <v>0</v>
      </c>
      <c r="DG570" s="16">
        <f t="shared" si="49"/>
        <v>189</v>
      </c>
      <c r="DH570" s="16">
        <f t="shared" si="50"/>
        <v>2442</v>
      </c>
      <c r="DI570" s="17">
        <f t="shared" si="51"/>
        <v>12.920634920634921</v>
      </c>
      <c r="DJ570" s="119" t="s">
        <v>2</v>
      </c>
      <c r="DK570" s="44" t="s">
        <v>2</v>
      </c>
    </row>
    <row r="571" spans="1:115">
      <c r="A571" s="32" t="str">
        <f t="shared" si="47"/>
        <v>Endeavour--&gt; 66 kV &amp; &lt; = 132 kV ; SWITCH</v>
      </c>
      <c r="B571" s="32" t="str">
        <f t="shared" si="48"/>
        <v>Endeavour</v>
      </c>
      <c r="C571" s="395"/>
      <c r="D571" s="3"/>
      <c r="E571" t="s">
        <v>255</v>
      </c>
      <c r="DG571" s="16">
        <f t="shared" si="49"/>
        <v>0</v>
      </c>
      <c r="DH571" s="16">
        <f t="shared" si="50"/>
        <v>0</v>
      </c>
      <c r="DI571" s="17" t="str">
        <f t="shared" si="51"/>
        <v/>
      </c>
      <c r="DJ571" s="119" t="s">
        <v>2</v>
      </c>
      <c r="DK571" s="44" t="s">
        <v>2</v>
      </c>
    </row>
    <row r="572" spans="1:115">
      <c r="A572" s="32" t="str">
        <f t="shared" si="47"/>
        <v>Endeavour--&gt; 66 kV &amp; &lt; = 132 kV  ; CIRCUIT BREAKER</v>
      </c>
      <c r="B572" s="32" t="str">
        <f t="shared" si="48"/>
        <v>Endeavour</v>
      </c>
      <c r="C572" s="395"/>
      <c r="D572" s="3"/>
      <c r="E572" t="s">
        <v>256</v>
      </c>
      <c r="F572">
        <v>51</v>
      </c>
      <c r="G572">
        <v>7.0710678118654755</v>
      </c>
      <c r="H572">
        <v>6</v>
      </c>
      <c r="I572">
        <v>67</v>
      </c>
      <c r="J572">
        <v>24</v>
      </c>
      <c r="K572">
        <v>33</v>
      </c>
      <c r="L572">
        <v>32</v>
      </c>
      <c r="M572">
        <v>16</v>
      </c>
      <c r="N572">
        <v>34</v>
      </c>
      <c r="O572">
        <v>10</v>
      </c>
      <c r="P572">
        <v>21</v>
      </c>
      <c r="Q572">
        <v>12</v>
      </c>
      <c r="R572">
        <v>7</v>
      </c>
      <c r="S572">
        <v>1</v>
      </c>
      <c r="T572">
        <v>4</v>
      </c>
      <c r="U572">
        <v>14</v>
      </c>
      <c r="V572">
        <v>11</v>
      </c>
      <c r="W572">
        <v>9</v>
      </c>
      <c r="X572">
        <v>1</v>
      </c>
      <c r="Y572">
        <v>4</v>
      </c>
      <c r="Z572">
        <v>1</v>
      </c>
      <c r="AA572">
        <v>3</v>
      </c>
      <c r="AB572">
        <v>0</v>
      </c>
      <c r="AC572">
        <v>0</v>
      </c>
      <c r="AD572">
        <v>2</v>
      </c>
      <c r="AE572">
        <v>9</v>
      </c>
      <c r="AF572">
        <v>4</v>
      </c>
      <c r="AG572">
        <v>1</v>
      </c>
      <c r="AH572">
        <v>0</v>
      </c>
      <c r="AI572">
        <v>6</v>
      </c>
      <c r="AJ572">
        <v>0</v>
      </c>
      <c r="AK572">
        <v>0</v>
      </c>
      <c r="AL572">
        <v>5</v>
      </c>
      <c r="AM572">
        <v>0</v>
      </c>
      <c r="AN572">
        <v>0</v>
      </c>
      <c r="AO572">
        <v>2</v>
      </c>
      <c r="AP572">
        <v>0</v>
      </c>
      <c r="AQ572">
        <v>0</v>
      </c>
      <c r="AR572">
        <v>0</v>
      </c>
      <c r="AS572">
        <v>7</v>
      </c>
      <c r="AT572">
        <v>0</v>
      </c>
      <c r="AU572">
        <v>0</v>
      </c>
      <c r="AV572">
        <v>0</v>
      </c>
      <c r="AW572">
        <v>1</v>
      </c>
      <c r="AX572">
        <v>0</v>
      </c>
      <c r="AY572">
        <v>0</v>
      </c>
      <c r="AZ572">
        <v>0</v>
      </c>
      <c r="BA572">
        <v>0</v>
      </c>
      <c r="BB572">
        <v>0</v>
      </c>
      <c r="BC572">
        <v>0</v>
      </c>
      <c r="BD572">
        <v>0</v>
      </c>
      <c r="BE572">
        <v>0</v>
      </c>
      <c r="BF572">
        <v>0</v>
      </c>
      <c r="BG572">
        <v>0</v>
      </c>
      <c r="BH572">
        <v>8</v>
      </c>
      <c r="BI572">
        <v>0</v>
      </c>
      <c r="BJ572">
        <v>0</v>
      </c>
      <c r="BK572">
        <v>0</v>
      </c>
      <c r="BL572">
        <v>0</v>
      </c>
      <c r="BM572">
        <v>0</v>
      </c>
      <c r="BN572">
        <v>0</v>
      </c>
      <c r="DG572" s="16">
        <f t="shared" si="49"/>
        <v>355</v>
      </c>
      <c r="DH572" s="16">
        <f t="shared" si="50"/>
        <v>3552</v>
      </c>
      <c r="DI572" s="17">
        <f t="shared" si="51"/>
        <v>10.005633802816902</v>
      </c>
      <c r="DJ572" s="119" t="s">
        <v>2</v>
      </c>
      <c r="DK572" s="44" t="s">
        <v>2</v>
      </c>
    </row>
    <row r="573" spans="1:115">
      <c r="A573" s="32" t="str">
        <f t="shared" si="47"/>
        <v>Endeavour--&gt; 132 kV ; SWITCH</v>
      </c>
      <c r="B573" s="32" t="str">
        <f t="shared" si="48"/>
        <v>Endeavour</v>
      </c>
      <c r="C573" s="395"/>
      <c r="D573" s="3"/>
      <c r="E573" t="s">
        <v>257</v>
      </c>
      <c r="DG573" s="16">
        <f t="shared" si="49"/>
        <v>0</v>
      </c>
      <c r="DH573" s="16">
        <f t="shared" si="50"/>
        <v>0</v>
      </c>
      <c r="DI573" s="17" t="str">
        <f t="shared" si="51"/>
        <v/>
      </c>
      <c r="DJ573" s="119" t="s">
        <v>2</v>
      </c>
      <c r="DK573" s="44" t="s">
        <v>2</v>
      </c>
    </row>
    <row r="574" spans="1:115">
      <c r="A574" s="32" t="str">
        <f t="shared" si="47"/>
        <v>Endeavour--&gt; 132 kV ; CIRCUIT BREAKER</v>
      </c>
      <c r="B574" s="32" t="str">
        <f t="shared" si="48"/>
        <v>Endeavour</v>
      </c>
      <c r="C574" s="395"/>
      <c r="D574" s="3"/>
      <c r="E574" t="s">
        <v>258</v>
      </c>
      <c r="DG574" s="16">
        <f t="shared" si="49"/>
        <v>0</v>
      </c>
      <c r="DH574" s="16">
        <f t="shared" si="50"/>
        <v>0</v>
      </c>
      <c r="DI574" s="17" t="str">
        <f t="shared" si="51"/>
        <v/>
      </c>
      <c r="DJ574" s="119" t="s">
        <v>2</v>
      </c>
      <c r="DK574" s="44" t="s">
        <v>2</v>
      </c>
    </row>
    <row r="575" spans="1:115">
      <c r="A575" s="32" t="str">
        <f t="shared" si="47"/>
        <v>Endeavour--Dist USL</v>
      </c>
      <c r="B575" s="32" t="str">
        <f t="shared" si="48"/>
        <v>Endeavour</v>
      </c>
      <c r="C575" s="395"/>
      <c r="D575" s="3"/>
      <c r="E575" t="s">
        <v>592</v>
      </c>
      <c r="F575">
        <v>35</v>
      </c>
      <c r="G575">
        <v>5.9160797830996161</v>
      </c>
      <c r="H575">
        <v>233</v>
      </c>
      <c r="I575">
        <v>258</v>
      </c>
      <c r="J575">
        <v>219</v>
      </c>
      <c r="K575">
        <v>233</v>
      </c>
      <c r="L575">
        <v>258</v>
      </c>
      <c r="M575">
        <v>277</v>
      </c>
      <c r="N575">
        <v>270</v>
      </c>
      <c r="O575">
        <v>245</v>
      </c>
      <c r="P575">
        <v>282</v>
      </c>
      <c r="Q575">
        <v>273</v>
      </c>
      <c r="R575">
        <v>290</v>
      </c>
      <c r="S575">
        <v>301</v>
      </c>
      <c r="T575">
        <v>268</v>
      </c>
      <c r="U575">
        <v>234</v>
      </c>
      <c r="V575">
        <v>200</v>
      </c>
      <c r="W575">
        <v>155</v>
      </c>
      <c r="X575">
        <v>145</v>
      </c>
      <c r="Y575">
        <v>145</v>
      </c>
      <c r="Z575">
        <v>145</v>
      </c>
      <c r="AA575">
        <v>147</v>
      </c>
      <c r="AB575">
        <v>147</v>
      </c>
      <c r="AC575">
        <v>162</v>
      </c>
      <c r="AD575">
        <v>145</v>
      </c>
      <c r="AE575">
        <v>145</v>
      </c>
      <c r="AF575">
        <v>149</v>
      </c>
      <c r="AG575">
        <v>145</v>
      </c>
      <c r="AH575">
        <v>145</v>
      </c>
      <c r="AI575">
        <v>145</v>
      </c>
      <c r="AJ575">
        <v>148</v>
      </c>
      <c r="AK575">
        <v>146</v>
      </c>
      <c r="AL575">
        <v>145</v>
      </c>
      <c r="AM575">
        <v>145</v>
      </c>
      <c r="AN575">
        <v>145</v>
      </c>
      <c r="AO575">
        <v>145</v>
      </c>
      <c r="AP575">
        <v>145</v>
      </c>
      <c r="AQ575">
        <v>145</v>
      </c>
      <c r="AR575">
        <v>145</v>
      </c>
      <c r="AS575">
        <v>145</v>
      </c>
      <c r="AT575">
        <v>145</v>
      </c>
      <c r="AU575">
        <v>145</v>
      </c>
      <c r="AV575">
        <v>146</v>
      </c>
      <c r="AW575">
        <v>146</v>
      </c>
      <c r="AX575">
        <v>146</v>
      </c>
      <c r="AY575">
        <v>145</v>
      </c>
      <c r="AZ575">
        <v>146</v>
      </c>
      <c r="BA575">
        <v>145</v>
      </c>
      <c r="BB575">
        <v>145</v>
      </c>
      <c r="BC575">
        <v>146</v>
      </c>
      <c r="BD575">
        <v>146</v>
      </c>
      <c r="BE575">
        <v>0</v>
      </c>
      <c r="BF575">
        <v>0</v>
      </c>
      <c r="BG575">
        <v>0</v>
      </c>
      <c r="BH575">
        <v>0</v>
      </c>
      <c r="BI575">
        <v>0</v>
      </c>
      <c r="BJ575">
        <v>0</v>
      </c>
      <c r="BK575">
        <v>0</v>
      </c>
      <c r="BL575">
        <v>0</v>
      </c>
      <c r="BM575">
        <v>0</v>
      </c>
      <c r="BN575">
        <v>0</v>
      </c>
      <c r="DG575" s="16">
        <f t="shared" si="49"/>
        <v>8816</v>
      </c>
      <c r="DH575" s="16">
        <f t="shared" si="50"/>
        <v>192296</v>
      </c>
      <c r="DI575" s="17">
        <f t="shared" si="51"/>
        <v>21.812159709618875</v>
      </c>
      <c r="DJ575" s="119" t="s">
        <v>2</v>
      </c>
      <c r="DK575" s="44" t="s">
        <v>2</v>
      </c>
    </row>
    <row r="576" spans="1:115">
      <c r="A576" s="32" t="str">
        <f t="shared" si="47"/>
        <v>Endeavour--Dist ABS</v>
      </c>
      <c r="B576" s="32" t="str">
        <f t="shared" si="48"/>
        <v>Endeavour</v>
      </c>
      <c r="C576" s="395"/>
      <c r="D576" s="3"/>
      <c r="E576" t="s">
        <v>593</v>
      </c>
      <c r="F576">
        <v>35</v>
      </c>
      <c r="G576">
        <v>5.9160797830996161</v>
      </c>
      <c r="H576">
        <v>409</v>
      </c>
      <c r="I576">
        <v>263</v>
      </c>
      <c r="J576">
        <v>270</v>
      </c>
      <c r="K576">
        <v>353</v>
      </c>
      <c r="L576">
        <v>611</v>
      </c>
      <c r="M576">
        <v>700</v>
      </c>
      <c r="N576">
        <v>636</v>
      </c>
      <c r="O576">
        <v>689</v>
      </c>
      <c r="P576">
        <v>495</v>
      </c>
      <c r="Q576">
        <v>458</v>
      </c>
      <c r="R576">
        <v>353</v>
      </c>
      <c r="S576">
        <v>322</v>
      </c>
      <c r="T576">
        <v>275</v>
      </c>
      <c r="U576">
        <v>241</v>
      </c>
      <c r="V576">
        <v>219</v>
      </c>
      <c r="W576">
        <v>63</v>
      </c>
      <c r="X576">
        <v>80</v>
      </c>
      <c r="Y576">
        <v>79</v>
      </c>
      <c r="Z576">
        <v>101</v>
      </c>
      <c r="AA576">
        <v>137</v>
      </c>
      <c r="AB576">
        <v>96</v>
      </c>
      <c r="AC576">
        <v>94</v>
      </c>
      <c r="AD576">
        <v>190</v>
      </c>
      <c r="AE576">
        <v>195</v>
      </c>
      <c r="AF576">
        <v>163</v>
      </c>
      <c r="AG576">
        <v>222</v>
      </c>
      <c r="AH576">
        <v>186</v>
      </c>
      <c r="AI576">
        <v>168</v>
      </c>
      <c r="AJ576">
        <v>215</v>
      </c>
      <c r="AK576">
        <v>216</v>
      </c>
      <c r="AL576">
        <v>130</v>
      </c>
      <c r="AM576">
        <v>147</v>
      </c>
      <c r="AN576">
        <v>118</v>
      </c>
      <c r="AO576">
        <v>187</v>
      </c>
      <c r="AP576">
        <v>180</v>
      </c>
      <c r="AQ576">
        <v>151</v>
      </c>
      <c r="AR576">
        <v>138</v>
      </c>
      <c r="AS576">
        <v>152</v>
      </c>
      <c r="AT576">
        <v>96</v>
      </c>
      <c r="AU576">
        <v>81</v>
      </c>
      <c r="AV576">
        <v>64</v>
      </c>
      <c r="AW576">
        <v>83</v>
      </c>
      <c r="AX576">
        <v>57</v>
      </c>
      <c r="AY576">
        <v>88</v>
      </c>
      <c r="AZ576">
        <v>56</v>
      </c>
      <c r="BA576">
        <v>40</v>
      </c>
      <c r="BB576">
        <v>37</v>
      </c>
      <c r="BC576">
        <v>24</v>
      </c>
      <c r="BD576">
        <v>81</v>
      </c>
      <c r="BE576">
        <v>48</v>
      </c>
      <c r="BF576">
        <v>38</v>
      </c>
      <c r="BG576">
        <v>14</v>
      </c>
      <c r="BH576">
        <v>32</v>
      </c>
      <c r="BI576">
        <v>14</v>
      </c>
      <c r="BJ576">
        <v>1</v>
      </c>
      <c r="BK576">
        <v>3</v>
      </c>
      <c r="BL576">
        <v>0</v>
      </c>
      <c r="BM576">
        <v>0</v>
      </c>
      <c r="BN576">
        <v>1</v>
      </c>
      <c r="DG576" s="16">
        <f t="shared" si="49"/>
        <v>10560</v>
      </c>
      <c r="DH576" s="16">
        <f t="shared" si="50"/>
        <v>181304</v>
      </c>
      <c r="DI576" s="17">
        <f t="shared" si="51"/>
        <v>17.168939393939393</v>
      </c>
      <c r="DJ576" s="119" t="s">
        <v>2</v>
      </c>
      <c r="DK576" s="44" t="s">
        <v>2</v>
      </c>
    </row>
    <row r="577" spans="1:116">
      <c r="A577" s="32" t="str">
        <f t="shared" si="47"/>
        <v>Endeavour--Dist LBS</v>
      </c>
      <c r="B577" s="32" t="str">
        <f t="shared" si="48"/>
        <v>Endeavour</v>
      </c>
      <c r="C577" s="395"/>
      <c r="D577" s="3"/>
      <c r="E577" t="s">
        <v>594</v>
      </c>
      <c r="F577">
        <v>35</v>
      </c>
      <c r="G577">
        <v>5.9160797830996161</v>
      </c>
      <c r="H577">
        <v>304</v>
      </c>
      <c r="I577">
        <v>409</v>
      </c>
      <c r="J577">
        <v>266</v>
      </c>
      <c r="K577">
        <v>313</v>
      </c>
      <c r="L577">
        <v>100</v>
      </c>
      <c r="M577">
        <v>47</v>
      </c>
      <c r="N577">
        <v>12</v>
      </c>
      <c r="O577">
        <v>5</v>
      </c>
      <c r="P577">
        <v>9</v>
      </c>
      <c r="Q577">
        <v>1</v>
      </c>
      <c r="R577">
        <v>2</v>
      </c>
      <c r="S577">
        <v>2</v>
      </c>
      <c r="T577">
        <v>0</v>
      </c>
      <c r="U577">
        <v>1</v>
      </c>
      <c r="V577">
        <v>0</v>
      </c>
      <c r="W577">
        <v>0</v>
      </c>
      <c r="X577">
        <v>0</v>
      </c>
      <c r="Y577">
        <v>0</v>
      </c>
      <c r="Z577">
        <v>1</v>
      </c>
      <c r="AA577">
        <v>1</v>
      </c>
      <c r="AB577">
        <v>0</v>
      </c>
      <c r="AC577">
        <v>0</v>
      </c>
      <c r="AD577">
        <v>0</v>
      </c>
      <c r="AE577">
        <v>0</v>
      </c>
      <c r="AF577">
        <v>1</v>
      </c>
      <c r="AG577">
        <v>0</v>
      </c>
      <c r="AH577">
        <v>0</v>
      </c>
      <c r="AI577">
        <v>0</v>
      </c>
      <c r="AJ577">
        <v>0</v>
      </c>
      <c r="AK577">
        <v>0</v>
      </c>
      <c r="AL577">
        <v>1</v>
      </c>
      <c r="AM577">
        <v>1</v>
      </c>
      <c r="AN577">
        <v>0</v>
      </c>
      <c r="AO577">
        <v>2</v>
      </c>
      <c r="AP577">
        <v>3</v>
      </c>
      <c r="AQ577">
        <v>2</v>
      </c>
      <c r="AR577">
        <v>1</v>
      </c>
      <c r="AS577">
        <v>0</v>
      </c>
      <c r="AT577">
        <v>0</v>
      </c>
      <c r="AU577">
        <v>1</v>
      </c>
      <c r="AV577">
        <v>0</v>
      </c>
      <c r="AW577">
        <v>0</v>
      </c>
      <c r="AX577">
        <v>0</v>
      </c>
      <c r="AY577">
        <v>3</v>
      </c>
      <c r="AZ577">
        <v>2</v>
      </c>
      <c r="BA577">
        <v>0</v>
      </c>
      <c r="BB577">
        <v>0</v>
      </c>
      <c r="BC577">
        <v>1</v>
      </c>
      <c r="BD577">
        <v>2</v>
      </c>
      <c r="BE577">
        <v>0</v>
      </c>
      <c r="BF577">
        <v>0</v>
      </c>
      <c r="BG577">
        <v>0</v>
      </c>
      <c r="BH577">
        <v>1</v>
      </c>
      <c r="BI577">
        <v>0</v>
      </c>
      <c r="BJ577">
        <v>0</v>
      </c>
      <c r="BK577">
        <v>0</v>
      </c>
      <c r="BL577">
        <v>0</v>
      </c>
      <c r="BM577">
        <v>0</v>
      </c>
      <c r="BN577">
        <v>0</v>
      </c>
      <c r="DG577" s="16">
        <f t="shared" si="49"/>
        <v>1494</v>
      </c>
      <c r="DH577" s="16">
        <f t="shared" si="50"/>
        <v>5099</v>
      </c>
      <c r="DI577" s="17">
        <f t="shared" si="51"/>
        <v>3.4129852744310574</v>
      </c>
      <c r="DJ577" s="119" t="s">
        <v>2</v>
      </c>
      <c r="DK577" s="44" t="s">
        <v>2</v>
      </c>
    </row>
    <row r="578" spans="1:116">
      <c r="A578" s="32" t="str">
        <f t="shared" si="47"/>
        <v>Endeavour--Dist SEC</v>
      </c>
      <c r="B578" s="32" t="str">
        <f t="shared" si="48"/>
        <v>Endeavour</v>
      </c>
      <c r="C578" s="395"/>
      <c r="D578" s="3"/>
      <c r="E578" t="s">
        <v>595</v>
      </c>
      <c r="F578">
        <v>35</v>
      </c>
      <c r="G578">
        <v>5.9160797830996161</v>
      </c>
      <c r="H578">
        <v>3</v>
      </c>
      <c r="I578">
        <v>8</v>
      </c>
      <c r="J578">
        <v>2</v>
      </c>
      <c r="K578">
        <v>6</v>
      </c>
      <c r="L578">
        <v>2</v>
      </c>
      <c r="M578">
        <v>0</v>
      </c>
      <c r="N578">
        <v>6</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DG578" s="16">
        <f t="shared" si="49"/>
        <v>27</v>
      </c>
      <c r="DH578" s="16">
        <f t="shared" si="50"/>
        <v>101</v>
      </c>
      <c r="DI578" s="17">
        <f t="shared" si="51"/>
        <v>3.7407407407407409</v>
      </c>
      <c r="DJ578" s="119" t="s">
        <v>2</v>
      </c>
      <c r="DK578" s="44" t="s">
        <v>2</v>
      </c>
    </row>
    <row r="579" spans="1:116">
      <c r="A579" s="32" t="str">
        <f t="shared" si="47"/>
        <v>Endeavour--Dist REC</v>
      </c>
      <c r="B579" s="32" t="str">
        <f t="shared" si="48"/>
        <v>Endeavour</v>
      </c>
      <c r="C579" s="395"/>
      <c r="D579" s="3"/>
      <c r="E579" t="s">
        <v>596</v>
      </c>
      <c r="F579">
        <v>35</v>
      </c>
      <c r="G579">
        <v>5.9160797830996161</v>
      </c>
      <c r="H579">
        <v>13</v>
      </c>
      <c r="I579">
        <v>24</v>
      </c>
      <c r="J579">
        <v>11</v>
      </c>
      <c r="K579">
        <v>23</v>
      </c>
      <c r="L579">
        <v>24</v>
      </c>
      <c r="M579">
        <v>30</v>
      </c>
      <c r="N579">
        <v>22</v>
      </c>
      <c r="O579">
        <v>21</v>
      </c>
      <c r="P579">
        <v>60</v>
      </c>
      <c r="Q579">
        <v>43</v>
      </c>
      <c r="R579">
        <v>21</v>
      </c>
      <c r="S579">
        <v>10</v>
      </c>
      <c r="T579">
        <v>16</v>
      </c>
      <c r="U579">
        <v>12</v>
      </c>
      <c r="V579">
        <v>0</v>
      </c>
      <c r="W579">
        <v>0</v>
      </c>
      <c r="X579">
        <v>0</v>
      </c>
      <c r="Y579">
        <v>1</v>
      </c>
      <c r="Z579">
        <v>6</v>
      </c>
      <c r="AA579">
        <v>2</v>
      </c>
      <c r="AB579">
        <v>0</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0</v>
      </c>
      <c r="BK579">
        <v>0</v>
      </c>
      <c r="BL579">
        <v>0</v>
      </c>
      <c r="BM579">
        <v>0</v>
      </c>
      <c r="BN579">
        <v>0</v>
      </c>
      <c r="DG579" s="16">
        <f t="shared" si="49"/>
        <v>339</v>
      </c>
      <c r="DH579" s="16">
        <f t="shared" si="50"/>
        <v>2677</v>
      </c>
      <c r="DI579" s="17">
        <f t="shared" si="51"/>
        <v>7.8967551622418881</v>
      </c>
      <c r="DJ579" s="119" t="s">
        <v>2</v>
      </c>
      <c r="DK579" s="44" t="s">
        <v>2</v>
      </c>
    </row>
    <row r="580" spans="1:116">
      <c r="A580" s="32" t="str">
        <f t="shared" si="47"/>
        <v>Endeavour--Transmission ABS</v>
      </c>
      <c r="B580" s="32" t="str">
        <f t="shared" si="48"/>
        <v>Endeavour</v>
      </c>
      <c r="C580" s="395"/>
      <c r="D580" s="3"/>
      <c r="E580" t="s">
        <v>597</v>
      </c>
      <c r="F580">
        <v>35</v>
      </c>
      <c r="G580">
        <v>5.9160797830996161</v>
      </c>
      <c r="H580">
        <v>2</v>
      </c>
      <c r="I580">
        <v>18</v>
      </c>
      <c r="J580">
        <v>10</v>
      </c>
      <c r="K580">
        <v>14</v>
      </c>
      <c r="L580">
        <v>2</v>
      </c>
      <c r="M580">
        <v>16</v>
      </c>
      <c r="N580">
        <v>14</v>
      </c>
      <c r="O580">
        <v>6</v>
      </c>
      <c r="P580">
        <v>8</v>
      </c>
      <c r="Q580">
        <v>4</v>
      </c>
      <c r="R580">
        <v>16</v>
      </c>
      <c r="S580">
        <v>4</v>
      </c>
      <c r="T580">
        <v>0</v>
      </c>
      <c r="U580">
        <v>10</v>
      </c>
      <c r="V580">
        <v>4</v>
      </c>
      <c r="W580">
        <v>0</v>
      </c>
      <c r="X580">
        <v>0</v>
      </c>
      <c r="Y580">
        <v>0</v>
      </c>
      <c r="Z580">
        <v>0</v>
      </c>
      <c r="AA580">
        <v>2</v>
      </c>
      <c r="AB580">
        <v>2</v>
      </c>
      <c r="AC580">
        <v>0</v>
      </c>
      <c r="AD580">
        <v>0</v>
      </c>
      <c r="AE580">
        <v>0</v>
      </c>
      <c r="AF580">
        <v>0</v>
      </c>
      <c r="AG580">
        <v>0</v>
      </c>
      <c r="AH580">
        <v>0</v>
      </c>
      <c r="AI580">
        <v>0</v>
      </c>
      <c r="AJ580">
        <v>0</v>
      </c>
      <c r="AK580">
        <v>0</v>
      </c>
      <c r="AL580">
        <v>2</v>
      </c>
      <c r="AM580">
        <v>4</v>
      </c>
      <c r="AN580">
        <v>0</v>
      </c>
      <c r="AO580">
        <v>0</v>
      </c>
      <c r="AP580">
        <v>0</v>
      </c>
      <c r="AQ580">
        <v>0</v>
      </c>
      <c r="AR580">
        <v>0</v>
      </c>
      <c r="AS580">
        <v>0</v>
      </c>
      <c r="AT580">
        <v>0</v>
      </c>
      <c r="AU580">
        <v>0</v>
      </c>
      <c r="AV580">
        <v>0</v>
      </c>
      <c r="AW580">
        <v>0</v>
      </c>
      <c r="AX580">
        <v>0</v>
      </c>
      <c r="AY580">
        <v>0</v>
      </c>
      <c r="AZ580">
        <v>4</v>
      </c>
      <c r="DG580" s="16">
        <f t="shared" si="49"/>
        <v>142</v>
      </c>
      <c r="DH580" s="16">
        <f t="shared" si="50"/>
        <v>1364</v>
      </c>
      <c r="DI580" s="17">
        <f t="shared" si="51"/>
        <v>9.6056338028169019</v>
      </c>
      <c r="DJ580" s="119" t="s">
        <v>2</v>
      </c>
      <c r="DK580" s="44" t="s">
        <v>2</v>
      </c>
    </row>
    <row r="581" spans="1:116">
      <c r="A581" s="32" t="str">
        <f t="shared" si="47"/>
        <v>Endeavour--Transmission USL</v>
      </c>
      <c r="B581" s="32" t="str">
        <f t="shared" si="48"/>
        <v>Endeavour</v>
      </c>
      <c r="C581" s="395"/>
      <c r="D581" s="3"/>
      <c r="E581" t="s">
        <v>598</v>
      </c>
      <c r="F581">
        <v>35</v>
      </c>
      <c r="G581">
        <v>5.9160797830996161</v>
      </c>
      <c r="H581">
        <v>1</v>
      </c>
      <c r="I581">
        <v>0</v>
      </c>
      <c r="J581">
        <v>0</v>
      </c>
      <c r="K581">
        <v>0</v>
      </c>
      <c r="L581">
        <v>0</v>
      </c>
      <c r="M581">
        <v>0</v>
      </c>
      <c r="N581">
        <v>3</v>
      </c>
      <c r="O581">
        <v>3</v>
      </c>
      <c r="P581">
        <v>7</v>
      </c>
      <c r="Q581">
        <v>17</v>
      </c>
      <c r="R581">
        <v>3</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DG581" s="16">
        <f t="shared" si="49"/>
        <v>34</v>
      </c>
      <c r="DH581" s="16">
        <f t="shared" si="50"/>
        <v>312</v>
      </c>
      <c r="DI581" s="17">
        <f t="shared" si="51"/>
        <v>9.1764705882352935</v>
      </c>
      <c r="DJ581" s="119" t="s">
        <v>2</v>
      </c>
      <c r="DK581" s="44" t="s">
        <v>2</v>
      </c>
    </row>
    <row r="582" spans="1:116">
      <c r="A582" s="32" t="str">
        <f t="shared" si="47"/>
        <v>Endeavour--Transmission DOF</v>
      </c>
      <c r="B582" s="32" t="str">
        <f t="shared" si="48"/>
        <v>Endeavour</v>
      </c>
      <c r="C582" s="395"/>
      <c r="D582" s="3"/>
      <c r="E582" t="s">
        <v>599</v>
      </c>
      <c r="F582">
        <v>35</v>
      </c>
      <c r="G582">
        <v>5.9160797830996161</v>
      </c>
      <c r="H582">
        <v>0</v>
      </c>
      <c r="I582">
        <v>0</v>
      </c>
      <c r="J582">
        <v>1</v>
      </c>
      <c r="K582">
        <v>0</v>
      </c>
      <c r="L582">
        <v>0</v>
      </c>
      <c r="M582">
        <v>0</v>
      </c>
      <c r="N582">
        <v>0</v>
      </c>
      <c r="O582">
        <v>0</v>
      </c>
      <c r="P582">
        <v>0</v>
      </c>
      <c r="Q582">
        <v>0</v>
      </c>
      <c r="R582">
        <v>0</v>
      </c>
      <c r="S582">
        <v>0</v>
      </c>
      <c r="T582">
        <v>0</v>
      </c>
      <c r="U582">
        <v>1</v>
      </c>
      <c r="V582">
        <v>1</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0</v>
      </c>
      <c r="AY582">
        <v>0</v>
      </c>
      <c r="AZ582">
        <v>0</v>
      </c>
      <c r="DG582" s="16">
        <f t="shared" si="49"/>
        <v>3</v>
      </c>
      <c r="DH582" s="16">
        <f t="shared" si="50"/>
        <v>32</v>
      </c>
      <c r="DI582" s="17">
        <f t="shared" si="51"/>
        <v>10.666666666666666</v>
      </c>
      <c r="DJ582" s="119" t="s">
        <v>2</v>
      </c>
      <c r="DK582" s="44" t="s">
        <v>2</v>
      </c>
    </row>
    <row r="583" spans="1:116">
      <c r="A583" s="32" t="str">
        <f t="shared" si="47"/>
        <v>Endeavour--LV Links</v>
      </c>
      <c r="B583" s="32" t="str">
        <f t="shared" si="48"/>
        <v>Endeavour</v>
      </c>
      <c r="C583" s="395"/>
      <c r="D583" s="3"/>
      <c r="E583" t="s">
        <v>600</v>
      </c>
      <c r="F583">
        <v>35</v>
      </c>
      <c r="G583">
        <v>5.9160797830996161</v>
      </c>
      <c r="H583">
        <v>1035</v>
      </c>
      <c r="I583">
        <v>829</v>
      </c>
      <c r="J583">
        <v>730</v>
      </c>
      <c r="K583">
        <v>707</v>
      </c>
      <c r="L583">
        <v>702</v>
      </c>
      <c r="M583">
        <v>779</v>
      </c>
      <c r="N583">
        <v>886</v>
      </c>
      <c r="O583">
        <v>811</v>
      </c>
      <c r="P583">
        <v>806</v>
      </c>
      <c r="Q583">
        <v>806</v>
      </c>
      <c r="R583">
        <v>752</v>
      </c>
      <c r="S583">
        <v>301</v>
      </c>
      <c r="T583">
        <v>622</v>
      </c>
      <c r="U583">
        <v>579</v>
      </c>
      <c r="V583">
        <v>530</v>
      </c>
      <c r="W583">
        <v>459</v>
      </c>
      <c r="X583">
        <v>372</v>
      </c>
      <c r="Y583">
        <v>494</v>
      </c>
      <c r="Z583">
        <v>549</v>
      </c>
      <c r="AA583">
        <v>632</v>
      </c>
      <c r="AB583">
        <v>698</v>
      </c>
      <c r="AC583">
        <v>700</v>
      </c>
      <c r="AD583">
        <v>752</v>
      </c>
      <c r="AE583">
        <v>962</v>
      </c>
      <c r="AF583">
        <v>818</v>
      </c>
      <c r="AG583">
        <v>774</v>
      </c>
      <c r="AH583">
        <v>794</v>
      </c>
      <c r="AI583">
        <v>613</v>
      </c>
      <c r="AJ583">
        <v>1016</v>
      </c>
      <c r="AK583">
        <v>1351</v>
      </c>
      <c r="AL583">
        <v>1579</v>
      </c>
      <c r="AM583">
        <v>743</v>
      </c>
      <c r="AN583">
        <v>4080</v>
      </c>
      <c r="AO583">
        <v>2376</v>
      </c>
      <c r="AP583">
        <v>1358</v>
      </c>
      <c r="AQ583">
        <v>1118</v>
      </c>
      <c r="AR583">
        <v>995</v>
      </c>
      <c r="AS583">
        <v>883</v>
      </c>
      <c r="AT583">
        <v>978</v>
      </c>
      <c r="AU583">
        <v>447</v>
      </c>
      <c r="AV583">
        <v>358</v>
      </c>
      <c r="AW583">
        <v>191</v>
      </c>
      <c r="AX583">
        <v>272</v>
      </c>
      <c r="AY583">
        <v>640</v>
      </c>
      <c r="AZ583">
        <v>773</v>
      </c>
      <c r="BA583">
        <v>778</v>
      </c>
      <c r="BB583">
        <v>718</v>
      </c>
      <c r="BC583">
        <v>646</v>
      </c>
      <c r="BD583">
        <v>485</v>
      </c>
      <c r="BE583">
        <v>579</v>
      </c>
      <c r="BF583">
        <v>416</v>
      </c>
      <c r="BG583">
        <v>216</v>
      </c>
      <c r="BH583">
        <v>261</v>
      </c>
      <c r="BI583">
        <v>77</v>
      </c>
      <c r="BJ583">
        <v>180</v>
      </c>
      <c r="BK583">
        <v>62</v>
      </c>
      <c r="BL583">
        <v>69</v>
      </c>
      <c r="BM583">
        <v>62</v>
      </c>
      <c r="BN583">
        <v>16</v>
      </c>
      <c r="BO583">
        <v>46</v>
      </c>
      <c r="BP583">
        <v>45</v>
      </c>
      <c r="BQ583">
        <v>70</v>
      </c>
      <c r="BR583">
        <v>14</v>
      </c>
      <c r="BS583">
        <v>9</v>
      </c>
      <c r="DG583" s="16">
        <f t="shared" si="49"/>
        <v>43399</v>
      </c>
      <c r="DH583" s="16">
        <f t="shared" si="50"/>
        <v>1181671</v>
      </c>
      <c r="DI583" s="17">
        <f t="shared" si="51"/>
        <v>27.228069771192885</v>
      </c>
      <c r="DJ583" s="119" t="s">
        <v>2</v>
      </c>
      <c r="DK583" s="44" t="s">
        <v>2</v>
      </c>
    </row>
    <row r="584" spans="1:116" ht="45">
      <c r="A584" s="32" t="str">
        <f t="shared" si="47"/>
        <v>Endeavour-PUBLIC LIGHTING BY: 
ASSET TYPE ; LIGHTING OBLIGATION-LUMINAIRES ;  MAJOR ROAD</v>
      </c>
      <c r="B584" s="32" t="str">
        <f t="shared" si="48"/>
        <v>Endeavour</v>
      </c>
      <c r="C584" s="395"/>
      <c r="D584" s="3" t="s">
        <v>547</v>
      </c>
      <c r="E584" t="s">
        <v>262</v>
      </c>
      <c r="DG584" s="16">
        <f t="shared" si="49"/>
        <v>0</v>
      </c>
      <c r="DH584" s="16">
        <f t="shared" si="50"/>
        <v>0</v>
      </c>
      <c r="DI584" s="17" t="str">
        <f t="shared" si="51"/>
        <v/>
      </c>
      <c r="DJ584" s="119" t="s">
        <v>1323</v>
      </c>
      <c r="DK584" s="119" t="s">
        <v>1524</v>
      </c>
      <c r="DL584" s="119" t="s">
        <v>1523</v>
      </c>
    </row>
    <row r="585" spans="1:116">
      <c r="A585" s="32" t="str">
        <f t="shared" si="47"/>
        <v>Endeavour--LUMINAIRES ;  MINOR ROAD</v>
      </c>
      <c r="B585" s="32" t="str">
        <f t="shared" si="48"/>
        <v>Endeavour</v>
      </c>
      <c r="C585" s="395"/>
      <c r="D585" s="3"/>
      <c r="E585" t="s">
        <v>263</v>
      </c>
      <c r="DG585" s="16">
        <f t="shared" si="49"/>
        <v>0</v>
      </c>
      <c r="DH585" s="16">
        <f t="shared" si="50"/>
        <v>0</v>
      </c>
      <c r="DI585" s="17" t="str">
        <f t="shared" si="51"/>
        <v/>
      </c>
      <c r="DJ585" s="119" t="s">
        <v>1323</v>
      </c>
      <c r="DK585" s="119" t="s">
        <v>1524</v>
      </c>
      <c r="DL585" s="119" t="s">
        <v>1523</v>
      </c>
    </row>
    <row r="586" spans="1:116">
      <c r="A586" s="32" t="str">
        <f t="shared" si="47"/>
        <v>Endeavour--BRACKETS ; MAJOR ROAD</v>
      </c>
      <c r="B586" s="32" t="str">
        <f t="shared" si="48"/>
        <v>Endeavour</v>
      </c>
      <c r="C586" s="395"/>
      <c r="D586" s="3"/>
      <c r="E586" t="s">
        <v>264</v>
      </c>
      <c r="DG586" s="16">
        <f t="shared" si="49"/>
        <v>0</v>
      </c>
      <c r="DH586" s="16">
        <f t="shared" si="50"/>
        <v>0</v>
      </c>
      <c r="DI586" s="17" t="str">
        <f t="shared" si="51"/>
        <v/>
      </c>
      <c r="DJ586" s="119" t="s">
        <v>1323</v>
      </c>
      <c r="DK586" s="119" t="s">
        <v>1525</v>
      </c>
    </row>
    <row r="587" spans="1:116">
      <c r="A587" s="32" t="str">
        <f t="shared" si="47"/>
        <v>Endeavour--BRACKETS ; MINOR ROAD</v>
      </c>
      <c r="B587" s="32" t="str">
        <f t="shared" si="48"/>
        <v>Endeavour</v>
      </c>
      <c r="C587" s="395"/>
      <c r="D587" s="3"/>
      <c r="E587" t="s">
        <v>265</v>
      </c>
      <c r="DG587" s="16">
        <f t="shared" si="49"/>
        <v>0</v>
      </c>
      <c r="DH587" s="16">
        <f t="shared" si="50"/>
        <v>0</v>
      </c>
      <c r="DI587" s="17" t="str">
        <f t="shared" si="51"/>
        <v/>
      </c>
      <c r="DJ587" s="119" t="s">
        <v>1323</v>
      </c>
      <c r="DK587" s="119" t="s">
        <v>1525</v>
      </c>
    </row>
    <row r="588" spans="1:116">
      <c r="A588" s="32" t="str">
        <f t="shared" si="47"/>
        <v>Endeavour--LAMPS ; MAJOR ROAD</v>
      </c>
      <c r="B588" s="32" t="str">
        <f t="shared" si="48"/>
        <v>Endeavour</v>
      </c>
      <c r="C588" s="395"/>
      <c r="D588" s="3"/>
      <c r="E588" t="s">
        <v>266</v>
      </c>
      <c r="DG588" s="16">
        <f t="shared" si="49"/>
        <v>0</v>
      </c>
      <c r="DH588" s="16">
        <f t="shared" si="50"/>
        <v>0</v>
      </c>
      <c r="DI588" s="17" t="str">
        <f t="shared" si="51"/>
        <v/>
      </c>
      <c r="DJ588" s="119" t="s">
        <v>1323</v>
      </c>
      <c r="DK588" s="119" t="s">
        <v>1525</v>
      </c>
    </row>
    <row r="589" spans="1:116">
      <c r="A589" s="32" t="str">
        <f t="shared" si="47"/>
        <v>Endeavour--LAMPS ; MINOR ROAD</v>
      </c>
      <c r="B589" s="32" t="str">
        <f t="shared" si="48"/>
        <v>Endeavour</v>
      </c>
      <c r="C589" s="395"/>
      <c r="D589" s="3"/>
      <c r="E589" t="s">
        <v>267</v>
      </c>
      <c r="DG589" s="16">
        <f t="shared" si="49"/>
        <v>0</v>
      </c>
      <c r="DH589" s="16">
        <f t="shared" si="50"/>
        <v>0</v>
      </c>
      <c r="DI589" s="17" t="str">
        <f t="shared" si="51"/>
        <v/>
      </c>
      <c r="DJ589" s="119" t="s">
        <v>1323</v>
      </c>
      <c r="DK589" s="119" t="s">
        <v>1525</v>
      </c>
    </row>
    <row r="590" spans="1:116">
      <c r="A590" s="32" t="str">
        <f t="shared" si="47"/>
        <v>Endeavour--POLES / COLUMNS ; MAJOR ROAD</v>
      </c>
      <c r="B590" s="32" t="str">
        <f t="shared" si="48"/>
        <v>Endeavour</v>
      </c>
      <c r="C590" s="395"/>
      <c r="D590" s="3"/>
      <c r="E590" t="s">
        <v>268</v>
      </c>
      <c r="DG590" s="16">
        <f t="shared" si="49"/>
        <v>0</v>
      </c>
      <c r="DH590" s="16">
        <f t="shared" si="50"/>
        <v>0</v>
      </c>
      <c r="DI590" s="17" t="str">
        <f t="shared" si="51"/>
        <v/>
      </c>
      <c r="DJ590" s="119" t="s">
        <v>1323</v>
      </c>
      <c r="DK590" s="119" t="s">
        <v>1539</v>
      </c>
      <c r="DL590" s="119" t="s">
        <v>1522</v>
      </c>
    </row>
    <row r="591" spans="1:116">
      <c r="A591" s="32" t="str">
        <f t="shared" si="47"/>
        <v>Endeavour--POLES / COLUMNS ; MINOR ROAD</v>
      </c>
      <c r="B591" s="32" t="str">
        <f t="shared" si="48"/>
        <v>Endeavour</v>
      </c>
      <c r="C591" s="395"/>
      <c r="D591" s="3"/>
      <c r="E591" t="s">
        <v>269</v>
      </c>
      <c r="DG591" s="16">
        <f t="shared" si="49"/>
        <v>0</v>
      </c>
      <c r="DH591" s="16">
        <f t="shared" si="50"/>
        <v>0</v>
      </c>
      <c r="DI591" s="17" t="str">
        <f t="shared" si="51"/>
        <v/>
      </c>
      <c r="DJ591" s="119" t="s">
        <v>1323</v>
      </c>
      <c r="DK591" s="119" t="s">
        <v>1539</v>
      </c>
      <c r="DL591" s="119" t="s">
        <v>1522</v>
      </c>
    </row>
    <row r="592" spans="1:116">
      <c r="A592" s="32" t="str">
        <f t="shared" si="47"/>
        <v>Endeavour--Streetlights</v>
      </c>
      <c r="B592" s="32" t="str">
        <f t="shared" si="48"/>
        <v>Endeavour</v>
      </c>
      <c r="C592" s="395"/>
      <c r="D592" s="3"/>
      <c r="E592" t="s">
        <v>601</v>
      </c>
      <c r="F592">
        <v>20</v>
      </c>
      <c r="G592">
        <v>4.4721359549995796</v>
      </c>
      <c r="H592">
        <v>2417</v>
      </c>
      <c r="I592">
        <v>2391</v>
      </c>
      <c r="J592">
        <v>2559</v>
      </c>
      <c r="K592">
        <v>1463</v>
      </c>
      <c r="L592">
        <v>2663</v>
      </c>
      <c r="M592">
        <v>2864</v>
      </c>
      <c r="N592">
        <v>3866</v>
      </c>
      <c r="O592">
        <v>4439</v>
      </c>
      <c r="P592">
        <v>5293</v>
      </c>
      <c r="Q592">
        <v>6202</v>
      </c>
      <c r="R592">
        <v>6713</v>
      </c>
      <c r="S592">
        <v>8959</v>
      </c>
      <c r="T592">
        <v>9979</v>
      </c>
      <c r="U592">
        <v>9418</v>
      </c>
      <c r="V592">
        <v>8148</v>
      </c>
      <c r="W592">
        <v>8049</v>
      </c>
      <c r="X592">
        <v>7949</v>
      </c>
      <c r="Y592">
        <v>4770</v>
      </c>
      <c r="Z592">
        <v>4950</v>
      </c>
      <c r="AA592">
        <v>4380</v>
      </c>
      <c r="AB592">
        <v>3806</v>
      </c>
      <c r="AC592">
        <v>3827</v>
      </c>
      <c r="AD592">
        <v>4458</v>
      </c>
      <c r="AE592">
        <v>4148</v>
      </c>
      <c r="AF592">
        <v>4154</v>
      </c>
      <c r="AG592">
        <v>4494</v>
      </c>
      <c r="AH592">
        <v>4915</v>
      </c>
      <c r="AI592">
        <v>4742</v>
      </c>
      <c r="AJ592">
        <v>3351</v>
      </c>
      <c r="AK592">
        <v>3907</v>
      </c>
      <c r="AL592">
        <v>4280</v>
      </c>
      <c r="AM592">
        <v>4109</v>
      </c>
      <c r="AN592">
        <v>5181</v>
      </c>
      <c r="AO592">
        <v>5011</v>
      </c>
      <c r="AP592">
        <v>4839</v>
      </c>
      <c r="AQ592">
        <v>3429</v>
      </c>
      <c r="AR592">
        <v>3658</v>
      </c>
      <c r="AS592">
        <v>2917</v>
      </c>
      <c r="AT592">
        <v>2607</v>
      </c>
      <c r="AU592">
        <v>2302</v>
      </c>
      <c r="AV592">
        <v>1480</v>
      </c>
      <c r="AW592">
        <v>1349</v>
      </c>
      <c r="AX592">
        <v>1820</v>
      </c>
      <c r="AY592">
        <v>1465</v>
      </c>
      <c r="AZ592">
        <v>1177</v>
      </c>
      <c r="BA592">
        <v>890</v>
      </c>
      <c r="BB592">
        <v>338</v>
      </c>
      <c r="BC592">
        <v>204</v>
      </c>
      <c r="BD592">
        <v>0</v>
      </c>
      <c r="BE592">
        <v>3</v>
      </c>
      <c r="BF592">
        <v>0</v>
      </c>
      <c r="BG592">
        <v>0</v>
      </c>
      <c r="BH592">
        <v>0</v>
      </c>
      <c r="BI592">
        <v>12</v>
      </c>
      <c r="BJ592">
        <v>0</v>
      </c>
      <c r="BK592">
        <v>0</v>
      </c>
      <c r="BL592">
        <v>2</v>
      </c>
      <c r="DG592" s="16">
        <f t="shared" si="49"/>
        <v>196347</v>
      </c>
      <c r="DH592" s="16">
        <f t="shared" si="50"/>
        <v>4105627</v>
      </c>
      <c r="DI592" s="17">
        <f t="shared" si="51"/>
        <v>20.910057194660475</v>
      </c>
      <c r="DJ592" s="119" t="s">
        <v>1323</v>
      </c>
      <c r="DK592" s="119" t="s">
        <v>1524</v>
      </c>
    </row>
    <row r="593" spans="1:115" ht="45">
      <c r="A593" s="32" t="str">
        <f t="shared" si="47"/>
        <v>Endeavour-SCADA, NETWORK CONTROL AND PROTECTION SYSTEMS BY: 
FUNCTION-FIELD DEVICES</v>
      </c>
      <c r="B593" s="32" t="str">
        <f t="shared" si="48"/>
        <v>Endeavour</v>
      </c>
      <c r="C593" s="395"/>
      <c r="D593" s="3" t="s">
        <v>548</v>
      </c>
      <c r="E593" t="s">
        <v>272</v>
      </c>
      <c r="DG593" s="16">
        <f t="shared" si="49"/>
        <v>0</v>
      </c>
      <c r="DH593" s="16">
        <f t="shared" si="50"/>
        <v>0</v>
      </c>
      <c r="DI593" s="17" t="str">
        <f t="shared" si="51"/>
        <v/>
      </c>
      <c r="DJ593" s="119" t="s">
        <v>659</v>
      </c>
      <c r="DK593" t="s">
        <v>659</v>
      </c>
    </row>
    <row r="594" spans="1:115">
      <c r="A594" s="32" t="str">
        <f t="shared" si="47"/>
        <v>Endeavour--LOCAL NETWORK WIRING ASSETS</v>
      </c>
      <c r="B594" s="32" t="str">
        <f t="shared" si="48"/>
        <v>Endeavour</v>
      </c>
      <c r="C594" s="395"/>
      <c r="D594" s="3"/>
      <c r="E594" t="s">
        <v>273</v>
      </c>
      <c r="DG594" s="16">
        <f t="shared" si="49"/>
        <v>0</v>
      </c>
      <c r="DH594" s="16">
        <f t="shared" si="50"/>
        <v>0</v>
      </c>
      <c r="DI594" s="17" t="str">
        <f t="shared" si="51"/>
        <v/>
      </c>
      <c r="DJ594" s="119" t="s">
        <v>659</v>
      </c>
      <c r="DK594" s="44" t="s">
        <v>659</v>
      </c>
    </row>
    <row r="595" spans="1:115">
      <c r="A595" s="32" t="str">
        <f t="shared" si="47"/>
        <v>Endeavour--COMMUNICATIONS NETWORK ASSETS</v>
      </c>
      <c r="B595" s="32" t="str">
        <f t="shared" si="48"/>
        <v>Endeavour</v>
      </c>
      <c r="C595" s="395"/>
      <c r="D595" s="3"/>
      <c r="E595" t="s">
        <v>274</v>
      </c>
      <c r="DG595" s="16">
        <f t="shared" si="49"/>
        <v>0</v>
      </c>
      <c r="DH595" s="16">
        <f t="shared" si="50"/>
        <v>0</v>
      </c>
      <c r="DI595" s="17" t="str">
        <f t="shared" si="51"/>
        <v/>
      </c>
      <c r="DJ595" s="119" t="s">
        <v>659</v>
      </c>
      <c r="DK595" s="44" t="s">
        <v>659</v>
      </c>
    </row>
    <row r="596" spans="1:115">
      <c r="A596" s="32" t="str">
        <f t="shared" si="47"/>
        <v>Endeavour--MASTER STATION ASSETS</v>
      </c>
      <c r="B596" s="32" t="str">
        <f t="shared" si="48"/>
        <v>Endeavour</v>
      </c>
      <c r="C596" s="395"/>
      <c r="D596" s="3"/>
      <c r="E596" t="s">
        <v>275</v>
      </c>
      <c r="DG596" s="16">
        <f t="shared" si="49"/>
        <v>0</v>
      </c>
      <c r="DH596" s="16">
        <f t="shared" si="50"/>
        <v>0</v>
      </c>
      <c r="DI596" s="17" t="str">
        <f t="shared" si="51"/>
        <v/>
      </c>
      <c r="DJ596" s="119" t="s">
        <v>659</v>
      </c>
      <c r="DK596" s="44" t="s">
        <v>659</v>
      </c>
    </row>
    <row r="597" spans="1:115">
      <c r="A597" s="32" t="str">
        <f t="shared" si="47"/>
        <v>Endeavour--SCADA Sub sites</v>
      </c>
      <c r="B597" s="32" t="str">
        <f t="shared" si="48"/>
        <v>Endeavour</v>
      </c>
      <c r="C597" s="395"/>
      <c r="D597" s="3"/>
      <c r="E597" t="s">
        <v>602</v>
      </c>
      <c r="F597">
        <v>10</v>
      </c>
      <c r="G597">
        <v>3.1622776601683795</v>
      </c>
      <c r="H597">
        <v>2</v>
      </c>
      <c r="I597">
        <v>19</v>
      </c>
      <c r="J597">
        <v>6</v>
      </c>
      <c r="K597">
        <v>8</v>
      </c>
      <c r="L597">
        <v>13</v>
      </c>
      <c r="M597">
        <v>9</v>
      </c>
      <c r="N597">
        <v>8</v>
      </c>
      <c r="O597">
        <v>25</v>
      </c>
      <c r="P597">
        <v>33</v>
      </c>
      <c r="Q597">
        <v>19</v>
      </c>
      <c r="R597">
        <v>50</v>
      </c>
      <c r="S597">
        <v>15</v>
      </c>
      <c r="T597">
        <v>2</v>
      </c>
      <c r="U597">
        <v>6</v>
      </c>
      <c r="V597">
        <v>2</v>
      </c>
      <c r="W597">
        <v>1</v>
      </c>
      <c r="X597">
        <v>1</v>
      </c>
      <c r="Y597">
        <v>5</v>
      </c>
      <c r="Z597">
        <v>1</v>
      </c>
      <c r="AA597">
        <v>1</v>
      </c>
      <c r="AB597">
        <v>6</v>
      </c>
      <c r="DG597" s="16">
        <f t="shared" si="49"/>
        <v>232</v>
      </c>
      <c r="DH597" s="16">
        <f t="shared" si="50"/>
        <v>2110</v>
      </c>
      <c r="DI597" s="17">
        <f t="shared" si="51"/>
        <v>9.0948275862068968</v>
      </c>
      <c r="DJ597" s="119" t="s">
        <v>659</v>
      </c>
      <c r="DK597" s="44" t="s">
        <v>659</v>
      </c>
    </row>
    <row r="598" spans="1:115">
      <c r="A598" s="32" t="str">
        <f t="shared" si="47"/>
        <v>Endeavour--Microwave Towers</v>
      </c>
      <c r="B598" s="32" t="str">
        <f t="shared" si="48"/>
        <v>Endeavour</v>
      </c>
      <c r="C598" s="395"/>
      <c r="D598" s="3"/>
      <c r="E598" t="s">
        <v>603</v>
      </c>
      <c r="F598">
        <v>50</v>
      </c>
      <c r="G598">
        <v>7.0710678118654755</v>
      </c>
      <c r="H598">
        <v>0</v>
      </c>
      <c r="I598">
        <v>0</v>
      </c>
      <c r="J598">
        <v>0</v>
      </c>
      <c r="K598">
        <v>1</v>
      </c>
      <c r="L598">
        <v>2</v>
      </c>
      <c r="M598">
        <v>2</v>
      </c>
      <c r="N598">
        <v>2</v>
      </c>
      <c r="O598">
        <v>0</v>
      </c>
      <c r="P598">
        <v>1</v>
      </c>
      <c r="Q598">
        <v>2</v>
      </c>
      <c r="R598">
        <v>2</v>
      </c>
      <c r="S598">
        <v>1</v>
      </c>
      <c r="T598">
        <v>0</v>
      </c>
      <c r="U598">
        <v>0</v>
      </c>
      <c r="V598">
        <v>0</v>
      </c>
      <c r="W598">
        <v>2</v>
      </c>
      <c r="X598">
        <v>1</v>
      </c>
      <c r="Y598">
        <v>0</v>
      </c>
      <c r="Z598">
        <v>2</v>
      </c>
      <c r="AA598">
        <v>2</v>
      </c>
      <c r="AB598">
        <v>1</v>
      </c>
      <c r="AC598">
        <v>0</v>
      </c>
      <c r="AD598">
        <v>0</v>
      </c>
      <c r="AE598">
        <v>0</v>
      </c>
      <c r="AF598">
        <v>0</v>
      </c>
      <c r="AG598">
        <v>1</v>
      </c>
      <c r="AH598">
        <v>0</v>
      </c>
      <c r="AI598">
        <v>0</v>
      </c>
      <c r="AJ598">
        <v>2</v>
      </c>
      <c r="DG598" s="16">
        <f t="shared" si="49"/>
        <v>24</v>
      </c>
      <c r="DH598" s="16">
        <f t="shared" si="50"/>
        <v>335</v>
      </c>
      <c r="DI598" s="17">
        <f t="shared" si="51"/>
        <v>13.958333333333334</v>
      </c>
      <c r="DJ598" s="119" t="s">
        <v>659</v>
      </c>
      <c r="DK598" s="44" t="s">
        <v>659</v>
      </c>
    </row>
    <row r="599" spans="1:115">
      <c r="A599" s="32" t="str">
        <f t="shared" si="47"/>
        <v>Endeavour--Microwave Civil Works</v>
      </c>
      <c r="B599" s="32" t="str">
        <f t="shared" si="48"/>
        <v>Endeavour</v>
      </c>
      <c r="C599" s="395"/>
      <c r="D599" s="3"/>
      <c r="E599" t="s">
        <v>604</v>
      </c>
      <c r="F599">
        <v>40</v>
      </c>
      <c r="G599">
        <v>6.324555320336759</v>
      </c>
      <c r="H599">
        <v>0</v>
      </c>
      <c r="I599">
        <v>0</v>
      </c>
      <c r="J599">
        <v>0</v>
      </c>
      <c r="K599">
        <v>1</v>
      </c>
      <c r="L599">
        <v>2</v>
      </c>
      <c r="M599">
        <v>2</v>
      </c>
      <c r="N599">
        <v>2</v>
      </c>
      <c r="O599">
        <v>0</v>
      </c>
      <c r="P599">
        <v>1</v>
      </c>
      <c r="Q599">
        <v>2</v>
      </c>
      <c r="R599">
        <v>2</v>
      </c>
      <c r="S599">
        <v>1</v>
      </c>
      <c r="T599">
        <v>0</v>
      </c>
      <c r="U599">
        <v>0</v>
      </c>
      <c r="V599">
        <v>0</v>
      </c>
      <c r="W599">
        <v>2</v>
      </c>
      <c r="X599">
        <v>1</v>
      </c>
      <c r="Y599">
        <v>0</v>
      </c>
      <c r="Z599">
        <v>2</v>
      </c>
      <c r="AA599">
        <v>2</v>
      </c>
      <c r="AB599">
        <v>1</v>
      </c>
      <c r="AC599">
        <v>0</v>
      </c>
      <c r="AD599">
        <v>0</v>
      </c>
      <c r="AE599">
        <v>0</v>
      </c>
      <c r="AF599">
        <v>0</v>
      </c>
      <c r="AG599">
        <v>1</v>
      </c>
      <c r="AH599">
        <v>0</v>
      </c>
      <c r="AI599">
        <v>0</v>
      </c>
      <c r="AJ599">
        <v>2</v>
      </c>
      <c r="DG599" s="16">
        <f t="shared" si="49"/>
        <v>24</v>
      </c>
      <c r="DH599" s="16">
        <f t="shared" si="50"/>
        <v>335</v>
      </c>
      <c r="DI599" s="17">
        <f t="shared" si="51"/>
        <v>13.958333333333334</v>
      </c>
      <c r="DJ599" s="119" t="s">
        <v>659</v>
      </c>
      <c r="DK599" s="44" t="s">
        <v>659</v>
      </c>
    </row>
    <row r="600" spans="1:115">
      <c r="A600" s="32" t="str">
        <f t="shared" ref="A600:A663" si="52">B600&amp;"-"&amp;D600&amp;"-"&amp;E600</f>
        <v>Endeavour--Microwave Equipment</v>
      </c>
      <c r="B600" s="32" t="str">
        <f t="shared" ref="B600:B663" si="53">IF(C600&gt;0,C600,B599)</f>
        <v>Endeavour</v>
      </c>
      <c r="C600" s="395"/>
      <c r="D600" s="3"/>
      <c r="E600" t="s">
        <v>605</v>
      </c>
      <c r="F600">
        <v>15</v>
      </c>
      <c r="G600">
        <v>3.872983346207417</v>
      </c>
      <c r="H600">
        <v>2</v>
      </c>
      <c r="I600">
        <v>2</v>
      </c>
      <c r="J600">
        <v>4</v>
      </c>
      <c r="K600">
        <v>7</v>
      </c>
      <c r="L600">
        <v>7</v>
      </c>
      <c r="M600">
        <v>4</v>
      </c>
      <c r="N600">
        <v>2</v>
      </c>
      <c r="O600">
        <v>6</v>
      </c>
      <c r="P600">
        <v>2</v>
      </c>
      <c r="Q600">
        <v>3</v>
      </c>
      <c r="R600">
        <v>7</v>
      </c>
      <c r="DG600" s="16">
        <f t="shared" si="49"/>
        <v>46</v>
      </c>
      <c r="DH600" s="16">
        <f t="shared" si="50"/>
        <v>292</v>
      </c>
      <c r="DI600" s="17">
        <f t="shared" si="51"/>
        <v>6.3478260869565215</v>
      </c>
      <c r="DJ600" s="119" t="s">
        <v>659</v>
      </c>
      <c r="DK600" s="44" t="s">
        <v>659</v>
      </c>
    </row>
    <row r="601" spans="1:115">
      <c r="A601" s="32" t="str">
        <f t="shared" si="52"/>
        <v>Endeavour--Reclosers</v>
      </c>
      <c r="B601" s="32" t="str">
        <f t="shared" si="53"/>
        <v>Endeavour</v>
      </c>
      <c r="C601" s="395"/>
      <c r="D601" s="3"/>
      <c r="E601" t="s">
        <v>606</v>
      </c>
      <c r="F601">
        <v>10</v>
      </c>
      <c r="G601">
        <v>3.1622776601683795</v>
      </c>
      <c r="H601">
        <v>25</v>
      </c>
      <c r="I601">
        <v>40</v>
      </c>
      <c r="J601">
        <v>44</v>
      </c>
      <c r="K601">
        <v>3</v>
      </c>
      <c r="L601">
        <v>32</v>
      </c>
      <c r="M601">
        <v>38</v>
      </c>
      <c r="N601">
        <v>25</v>
      </c>
      <c r="O601">
        <v>47</v>
      </c>
      <c r="P601">
        <v>135</v>
      </c>
      <c r="Q601">
        <v>7</v>
      </c>
      <c r="DG601" s="16">
        <f t="shared" si="49"/>
        <v>396</v>
      </c>
      <c r="DH601" s="16">
        <f t="shared" si="50"/>
        <v>2473</v>
      </c>
      <c r="DI601" s="17">
        <f t="shared" si="51"/>
        <v>6.2449494949494948</v>
      </c>
      <c r="DJ601" s="119" t="s">
        <v>659</v>
      </c>
      <c r="DK601" s="44" t="s">
        <v>659</v>
      </c>
    </row>
    <row r="602" spans="1:115">
      <c r="A602" s="32" t="str">
        <f t="shared" si="52"/>
        <v>Endeavour--Repeaters</v>
      </c>
      <c r="B602" s="32" t="str">
        <f t="shared" si="53"/>
        <v>Endeavour</v>
      </c>
      <c r="C602" s="395"/>
      <c r="D602" s="3"/>
      <c r="E602" t="s">
        <v>607</v>
      </c>
      <c r="F602">
        <v>10</v>
      </c>
      <c r="G602">
        <v>3.1622776601683795</v>
      </c>
      <c r="H602">
        <v>2</v>
      </c>
      <c r="I602">
        <v>0</v>
      </c>
      <c r="J602">
        <v>3</v>
      </c>
      <c r="K602">
        <v>4</v>
      </c>
      <c r="L602">
        <v>8</v>
      </c>
      <c r="M602">
        <v>8</v>
      </c>
      <c r="N602">
        <v>5</v>
      </c>
      <c r="O602">
        <v>7</v>
      </c>
      <c r="P602">
        <v>1</v>
      </c>
      <c r="DG602" s="16">
        <f t="shared" si="49"/>
        <v>38</v>
      </c>
      <c r="DH602" s="16">
        <f t="shared" si="50"/>
        <v>215</v>
      </c>
      <c r="DI602" s="17">
        <f t="shared" si="51"/>
        <v>5.6578947368421053</v>
      </c>
      <c r="DJ602" s="119" t="s">
        <v>659</v>
      </c>
      <c r="DK602" s="44" t="s">
        <v>659</v>
      </c>
    </row>
    <row r="603" spans="1:115">
      <c r="A603" s="32" t="str">
        <f t="shared" si="52"/>
        <v>Endeavour--GRN Radios</v>
      </c>
      <c r="B603" s="32" t="str">
        <f t="shared" si="53"/>
        <v>Endeavour</v>
      </c>
      <c r="C603" s="395"/>
      <c r="D603" s="3"/>
      <c r="E603" t="s">
        <v>608</v>
      </c>
      <c r="F603">
        <v>10</v>
      </c>
      <c r="G603">
        <v>3.1622776601683795</v>
      </c>
      <c r="H603">
        <v>0</v>
      </c>
      <c r="I603">
        <v>49</v>
      </c>
      <c r="J603">
        <v>117</v>
      </c>
      <c r="K603">
        <v>35</v>
      </c>
      <c r="L603">
        <v>73</v>
      </c>
      <c r="M603">
        <v>0</v>
      </c>
      <c r="N603">
        <v>419</v>
      </c>
      <c r="DG603" s="16">
        <f t="shared" si="49"/>
        <v>693</v>
      </c>
      <c r="DH603" s="16">
        <f t="shared" si="50"/>
        <v>3887</v>
      </c>
      <c r="DI603" s="17">
        <f t="shared" si="51"/>
        <v>5.6089466089466091</v>
      </c>
      <c r="DJ603" s="119" t="s">
        <v>659</v>
      </c>
      <c r="DK603" s="44" t="s">
        <v>659</v>
      </c>
    </row>
    <row r="604" spans="1:115">
      <c r="A604" s="32" t="str">
        <f t="shared" si="52"/>
        <v>Endeavour--Towers</v>
      </c>
      <c r="B604" s="32" t="str">
        <f t="shared" si="53"/>
        <v>Endeavour</v>
      </c>
      <c r="C604" s="395"/>
      <c r="D604" s="3"/>
      <c r="E604" t="s">
        <v>609</v>
      </c>
      <c r="F604">
        <v>60</v>
      </c>
      <c r="G604">
        <v>7.745966692414834</v>
      </c>
      <c r="H604">
        <v>0</v>
      </c>
      <c r="I604">
        <v>0</v>
      </c>
      <c r="J604">
        <v>0</v>
      </c>
      <c r="K604">
        <v>0</v>
      </c>
      <c r="L604">
        <v>0</v>
      </c>
      <c r="M604">
        <v>0</v>
      </c>
      <c r="N604">
        <v>6</v>
      </c>
      <c r="O604">
        <v>0</v>
      </c>
      <c r="P604">
        <v>0</v>
      </c>
      <c r="Q604">
        <v>1</v>
      </c>
      <c r="R604">
        <v>0</v>
      </c>
      <c r="S604">
        <v>1</v>
      </c>
      <c r="T604">
        <v>0</v>
      </c>
      <c r="U604">
        <v>0</v>
      </c>
      <c r="V604">
        <v>0</v>
      </c>
      <c r="W604">
        <v>0</v>
      </c>
      <c r="X604">
        <v>6</v>
      </c>
      <c r="Y604">
        <v>0</v>
      </c>
      <c r="Z604">
        <v>0</v>
      </c>
      <c r="AA604">
        <v>1</v>
      </c>
      <c r="AB604">
        <v>0</v>
      </c>
      <c r="AC604">
        <v>0</v>
      </c>
      <c r="AD604">
        <v>0</v>
      </c>
      <c r="AE604">
        <v>0</v>
      </c>
      <c r="AF604">
        <v>4</v>
      </c>
      <c r="AG604">
        <v>0</v>
      </c>
      <c r="AH604">
        <v>0</v>
      </c>
      <c r="AI604">
        <v>0</v>
      </c>
      <c r="AJ604">
        <v>23</v>
      </c>
      <c r="AK604">
        <v>0</v>
      </c>
      <c r="AL604">
        <v>0</v>
      </c>
      <c r="AM604">
        <v>0</v>
      </c>
      <c r="AN604">
        <v>3</v>
      </c>
      <c r="AO604">
        <v>9</v>
      </c>
      <c r="AP604">
        <v>0</v>
      </c>
      <c r="AQ604">
        <v>0</v>
      </c>
      <c r="AR604">
        <v>3</v>
      </c>
      <c r="AS604">
        <v>119</v>
      </c>
      <c r="AT604">
        <v>0</v>
      </c>
      <c r="AU604">
        <v>1</v>
      </c>
      <c r="AV604">
        <v>0</v>
      </c>
      <c r="AW604">
        <v>2</v>
      </c>
      <c r="AX604">
        <v>3</v>
      </c>
      <c r="AY604">
        <v>51</v>
      </c>
      <c r="AZ604">
        <v>114</v>
      </c>
      <c r="BA604">
        <v>119</v>
      </c>
      <c r="BB604">
        <v>7</v>
      </c>
      <c r="BC604">
        <v>0</v>
      </c>
      <c r="BD604">
        <v>68</v>
      </c>
      <c r="BE604">
        <v>47</v>
      </c>
      <c r="BF604">
        <v>0</v>
      </c>
      <c r="BG604">
        <v>0</v>
      </c>
      <c r="BH604">
        <v>0</v>
      </c>
      <c r="BI604">
        <v>0</v>
      </c>
      <c r="BJ604">
        <v>25</v>
      </c>
      <c r="BK604">
        <v>0</v>
      </c>
      <c r="BL604">
        <v>0</v>
      </c>
      <c r="BM604">
        <v>0</v>
      </c>
      <c r="BN604">
        <v>0</v>
      </c>
      <c r="BO604">
        <v>111</v>
      </c>
      <c r="BP604">
        <v>0</v>
      </c>
      <c r="BQ604">
        <v>0</v>
      </c>
      <c r="BR604">
        <v>0</v>
      </c>
      <c r="BS604">
        <v>172</v>
      </c>
      <c r="DG604" s="16">
        <f t="shared" si="49"/>
        <v>896</v>
      </c>
      <c r="DH604" s="16">
        <f t="shared" si="50"/>
        <v>44146</v>
      </c>
      <c r="DI604" s="17">
        <f t="shared" si="51"/>
        <v>49.270089285714285</v>
      </c>
      <c r="DJ604" s="119" t="s">
        <v>659</v>
      </c>
      <c r="DK604" s="44" t="s">
        <v>659</v>
      </c>
    </row>
    <row r="605" spans="1:115">
      <c r="A605" s="32" t="str">
        <f t="shared" si="52"/>
        <v>Endeavour--Substation Establishment: Major Indoor</v>
      </c>
      <c r="B605" s="32" t="str">
        <f t="shared" si="53"/>
        <v>Endeavour</v>
      </c>
      <c r="C605" s="395"/>
      <c r="D605" s="3"/>
      <c r="E605" t="s">
        <v>610</v>
      </c>
      <c r="F605">
        <v>50</v>
      </c>
      <c r="G605">
        <v>7.0710678118654755</v>
      </c>
      <c r="H605">
        <v>1</v>
      </c>
      <c r="I605">
        <v>0</v>
      </c>
      <c r="J605">
        <v>1</v>
      </c>
      <c r="K605">
        <v>0</v>
      </c>
      <c r="L605">
        <v>0</v>
      </c>
      <c r="M605">
        <v>3</v>
      </c>
      <c r="N605">
        <v>0</v>
      </c>
      <c r="O605">
        <v>0</v>
      </c>
      <c r="P605">
        <v>0</v>
      </c>
      <c r="Q605">
        <v>0</v>
      </c>
      <c r="R605">
        <v>0</v>
      </c>
      <c r="S605">
        <v>1</v>
      </c>
      <c r="T605">
        <v>0</v>
      </c>
      <c r="U605">
        <v>0</v>
      </c>
      <c r="V605">
        <v>0</v>
      </c>
      <c r="W605">
        <v>0</v>
      </c>
      <c r="X605">
        <v>0</v>
      </c>
      <c r="Y605">
        <v>0</v>
      </c>
      <c r="Z605">
        <v>0</v>
      </c>
      <c r="AA605">
        <v>0</v>
      </c>
      <c r="AB605">
        <v>0</v>
      </c>
      <c r="AC605">
        <v>0</v>
      </c>
      <c r="AD605">
        <v>0</v>
      </c>
      <c r="AE605">
        <v>0</v>
      </c>
      <c r="AF605">
        <v>2</v>
      </c>
      <c r="AG605">
        <v>0</v>
      </c>
      <c r="AH605">
        <v>0</v>
      </c>
      <c r="AI605">
        <v>0</v>
      </c>
      <c r="AJ605">
        <v>1</v>
      </c>
      <c r="AK605">
        <v>0</v>
      </c>
      <c r="AL605">
        <v>0</v>
      </c>
      <c r="AM605">
        <v>1</v>
      </c>
      <c r="AN605">
        <v>0</v>
      </c>
      <c r="AO605">
        <v>1</v>
      </c>
      <c r="AP605">
        <v>1</v>
      </c>
      <c r="AQ605">
        <v>0</v>
      </c>
      <c r="AR605">
        <v>1</v>
      </c>
      <c r="AS605">
        <v>0</v>
      </c>
      <c r="AT605">
        <v>1</v>
      </c>
      <c r="AU605">
        <v>0</v>
      </c>
      <c r="AV605">
        <v>0</v>
      </c>
      <c r="AW605">
        <v>0</v>
      </c>
      <c r="AX605">
        <v>1</v>
      </c>
      <c r="AY605">
        <v>0</v>
      </c>
      <c r="AZ605">
        <v>0</v>
      </c>
      <c r="BA605">
        <v>0</v>
      </c>
      <c r="BB605">
        <v>1</v>
      </c>
      <c r="BC605">
        <v>0</v>
      </c>
      <c r="BD605">
        <v>0</v>
      </c>
      <c r="BE605">
        <v>0</v>
      </c>
      <c r="BF605">
        <v>0</v>
      </c>
      <c r="BG605">
        <v>0</v>
      </c>
      <c r="BH605">
        <v>0</v>
      </c>
      <c r="BI605">
        <v>0</v>
      </c>
      <c r="BJ605">
        <v>0</v>
      </c>
      <c r="BK605">
        <v>0</v>
      </c>
      <c r="BL605">
        <v>0</v>
      </c>
      <c r="BM605">
        <v>0</v>
      </c>
      <c r="BN605">
        <v>0</v>
      </c>
      <c r="DG605" s="16">
        <f t="shared" si="49"/>
        <v>16</v>
      </c>
      <c r="DH605" s="16">
        <f t="shared" si="50"/>
        <v>380</v>
      </c>
      <c r="DI605" s="17">
        <f t="shared" si="51"/>
        <v>23.75</v>
      </c>
      <c r="DJ605" s="119" t="s">
        <v>720</v>
      </c>
      <c r="DK605" t="s">
        <v>720</v>
      </c>
    </row>
    <row r="606" spans="1:115">
      <c r="A606" s="32" t="str">
        <f t="shared" si="52"/>
        <v>Endeavour--Substation Establishment: Major Outdoor</v>
      </c>
      <c r="B606" s="32" t="str">
        <f t="shared" si="53"/>
        <v>Endeavour</v>
      </c>
      <c r="C606" s="395"/>
      <c r="D606" s="3"/>
      <c r="E606" t="s">
        <v>611</v>
      </c>
      <c r="F606">
        <v>50</v>
      </c>
      <c r="G606">
        <v>7.0710678118654755</v>
      </c>
      <c r="H606">
        <v>0</v>
      </c>
      <c r="I606">
        <v>0</v>
      </c>
      <c r="J606">
        <v>1</v>
      </c>
      <c r="K606">
        <v>2</v>
      </c>
      <c r="L606">
        <v>2</v>
      </c>
      <c r="M606">
        <v>0</v>
      </c>
      <c r="N606">
        <v>1</v>
      </c>
      <c r="O606">
        <v>1</v>
      </c>
      <c r="P606">
        <v>0</v>
      </c>
      <c r="Q606">
        <v>0</v>
      </c>
      <c r="R606">
        <v>0</v>
      </c>
      <c r="S606">
        <v>1</v>
      </c>
      <c r="T606">
        <v>1</v>
      </c>
      <c r="U606">
        <v>0</v>
      </c>
      <c r="V606">
        <v>0</v>
      </c>
      <c r="W606">
        <v>0</v>
      </c>
      <c r="X606">
        <v>0</v>
      </c>
      <c r="Y606">
        <v>0</v>
      </c>
      <c r="Z606">
        <v>2</v>
      </c>
      <c r="AA606">
        <v>0</v>
      </c>
      <c r="AB606">
        <v>0</v>
      </c>
      <c r="AC606">
        <v>1</v>
      </c>
      <c r="AD606">
        <v>1</v>
      </c>
      <c r="AE606">
        <v>1</v>
      </c>
      <c r="AF606">
        <v>1</v>
      </c>
      <c r="AG606">
        <v>0</v>
      </c>
      <c r="AH606">
        <v>1</v>
      </c>
      <c r="AI606">
        <v>1</v>
      </c>
      <c r="AJ606">
        <v>1</v>
      </c>
      <c r="AK606">
        <v>1</v>
      </c>
      <c r="AL606">
        <v>1</v>
      </c>
      <c r="AM606">
        <v>0</v>
      </c>
      <c r="AN606">
        <v>0</v>
      </c>
      <c r="AO606">
        <v>1</v>
      </c>
      <c r="AP606">
        <v>0</v>
      </c>
      <c r="AQ606">
        <v>0</v>
      </c>
      <c r="AR606">
        <v>2</v>
      </c>
      <c r="AS606">
        <v>0</v>
      </c>
      <c r="AT606">
        <v>3</v>
      </c>
      <c r="AU606">
        <v>0</v>
      </c>
      <c r="AV606">
        <v>3</v>
      </c>
      <c r="AW606">
        <v>2</v>
      </c>
      <c r="AX606">
        <v>2</v>
      </c>
      <c r="AY606">
        <v>2</v>
      </c>
      <c r="AZ606">
        <v>4</v>
      </c>
      <c r="BA606">
        <v>2</v>
      </c>
      <c r="BB606">
        <v>3</v>
      </c>
      <c r="BC606">
        <v>3</v>
      </c>
      <c r="BD606">
        <v>3</v>
      </c>
      <c r="BE606">
        <v>2</v>
      </c>
      <c r="BF606">
        <v>0</v>
      </c>
      <c r="BG606">
        <v>1</v>
      </c>
      <c r="BH606">
        <v>0</v>
      </c>
      <c r="BI606">
        <v>0</v>
      </c>
      <c r="BJ606">
        <v>0</v>
      </c>
      <c r="BK606">
        <v>0</v>
      </c>
      <c r="BL606">
        <v>1</v>
      </c>
      <c r="BM606">
        <v>0</v>
      </c>
      <c r="BN606">
        <v>0</v>
      </c>
      <c r="DG606" s="16">
        <f t="shared" si="49"/>
        <v>54</v>
      </c>
      <c r="DH606" s="16">
        <f t="shared" si="50"/>
        <v>1857</v>
      </c>
      <c r="DI606" s="17">
        <f t="shared" si="51"/>
        <v>34.388888888888886</v>
      </c>
      <c r="DJ606" s="119" t="s">
        <v>720</v>
      </c>
      <c r="DK606" s="44" t="s">
        <v>720</v>
      </c>
    </row>
    <row r="607" spans="1:115">
      <c r="A607" s="32" t="str">
        <f t="shared" si="52"/>
        <v>Endeavour--Substation Establishment: Medium Indoor</v>
      </c>
      <c r="B607" s="32" t="str">
        <f t="shared" si="53"/>
        <v>Endeavour</v>
      </c>
      <c r="C607" s="395"/>
      <c r="D607" s="3"/>
      <c r="E607" t="s">
        <v>612</v>
      </c>
      <c r="F607">
        <v>50</v>
      </c>
      <c r="G607">
        <v>7.0710678118654755</v>
      </c>
      <c r="H607">
        <v>5</v>
      </c>
      <c r="I607">
        <v>0</v>
      </c>
      <c r="J607">
        <v>0</v>
      </c>
      <c r="K607">
        <v>1</v>
      </c>
      <c r="L607">
        <v>2</v>
      </c>
      <c r="M607">
        <v>0</v>
      </c>
      <c r="N607">
        <v>0</v>
      </c>
      <c r="O607">
        <v>0</v>
      </c>
      <c r="P607">
        <v>1</v>
      </c>
      <c r="Q607">
        <v>0</v>
      </c>
      <c r="R607">
        <v>0</v>
      </c>
      <c r="S607">
        <v>0</v>
      </c>
      <c r="T607">
        <v>0</v>
      </c>
      <c r="U607">
        <v>0</v>
      </c>
      <c r="V607">
        <v>0</v>
      </c>
      <c r="W607">
        <v>0</v>
      </c>
      <c r="X607">
        <v>0</v>
      </c>
      <c r="Y607">
        <v>0</v>
      </c>
      <c r="Z607">
        <v>0</v>
      </c>
      <c r="AA607">
        <v>1</v>
      </c>
      <c r="AB607">
        <v>0</v>
      </c>
      <c r="AC607">
        <v>0</v>
      </c>
      <c r="AD607">
        <v>1</v>
      </c>
      <c r="AE607">
        <v>0</v>
      </c>
      <c r="AF607">
        <v>1</v>
      </c>
      <c r="AG607">
        <v>0</v>
      </c>
      <c r="AH607">
        <v>0</v>
      </c>
      <c r="AI607">
        <v>0</v>
      </c>
      <c r="AJ607">
        <v>0</v>
      </c>
      <c r="AK607">
        <v>0</v>
      </c>
      <c r="AL607">
        <v>3</v>
      </c>
      <c r="AM607">
        <v>0</v>
      </c>
      <c r="AN607">
        <v>0</v>
      </c>
      <c r="AO607">
        <v>1</v>
      </c>
      <c r="AP607">
        <v>1</v>
      </c>
      <c r="AQ607">
        <v>0</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c r="BN607">
        <v>1</v>
      </c>
      <c r="DG607" s="16">
        <f t="shared" si="49"/>
        <v>18</v>
      </c>
      <c r="DH607" s="16">
        <f t="shared" si="50"/>
        <v>317</v>
      </c>
      <c r="DI607" s="17">
        <f t="shared" si="51"/>
        <v>17.611111111111111</v>
      </c>
      <c r="DJ607" s="119" t="s">
        <v>720</v>
      </c>
      <c r="DK607" s="44" t="s">
        <v>720</v>
      </c>
    </row>
    <row r="608" spans="1:115">
      <c r="A608" s="32" t="str">
        <f t="shared" si="52"/>
        <v>Endeavour--Substation Establishment: Medium Outdoor</v>
      </c>
      <c r="B608" s="32" t="str">
        <f t="shared" si="53"/>
        <v>Endeavour</v>
      </c>
      <c r="C608" s="395"/>
      <c r="D608" s="3"/>
      <c r="E608" t="s">
        <v>613</v>
      </c>
      <c r="F608">
        <v>50</v>
      </c>
      <c r="G608">
        <v>7.0710678118654755</v>
      </c>
      <c r="H608">
        <v>2</v>
      </c>
      <c r="I608">
        <v>1</v>
      </c>
      <c r="J608">
        <v>1</v>
      </c>
      <c r="K608">
        <v>0</v>
      </c>
      <c r="L608">
        <v>0</v>
      </c>
      <c r="M608">
        <v>1</v>
      </c>
      <c r="N608">
        <v>0</v>
      </c>
      <c r="O608">
        <v>0</v>
      </c>
      <c r="P608">
        <v>0</v>
      </c>
      <c r="Q608">
        <v>1</v>
      </c>
      <c r="R608">
        <v>1</v>
      </c>
      <c r="S608">
        <v>0</v>
      </c>
      <c r="T608">
        <v>0</v>
      </c>
      <c r="U608">
        <v>1</v>
      </c>
      <c r="V608">
        <v>0</v>
      </c>
      <c r="W608">
        <v>1</v>
      </c>
      <c r="X608">
        <v>0</v>
      </c>
      <c r="Y608">
        <v>0</v>
      </c>
      <c r="Z608">
        <v>0</v>
      </c>
      <c r="AA608">
        <v>0</v>
      </c>
      <c r="AB608">
        <v>0</v>
      </c>
      <c r="AC608">
        <v>2</v>
      </c>
      <c r="AD608">
        <v>0</v>
      </c>
      <c r="AE608">
        <v>2</v>
      </c>
      <c r="AF608">
        <v>0</v>
      </c>
      <c r="AG608">
        <v>1</v>
      </c>
      <c r="AH608">
        <v>2</v>
      </c>
      <c r="AI608">
        <v>1</v>
      </c>
      <c r="AJ608">
        <v>1</v>
      </c>
      <c r="AK608">
        <v>3</v>
      </c>
      <c r="AL608">
        <v>1</v>
      </c>
      <c r="AM608">
        <v>1</v>
      </c>
      <c r="AN608">
        <v>1</v>
      </c>
      <c r="AO608">
        <v>0</v>
      </c>
      <c r="AP608">
        <v>1</v>
      </c>
      <c r="AQ608">
        <v>0</v>
      </c>
      <c r="AR608">
        <v>0</v>
      </c>
      <c r="AS608">
        <v>1</v>
      </c>
      <c r="AT608">
        <v>0</v>
      </c>
      <c r="AU608">
        <v>2</v>
      </c>
      <c r="AV608">
        <v>3</v>
      </c>
      <c r="AW608">
        <v>3</v>
      </c>
      <c r="AX608">
        <v>1</v>
      </c>
      <c r="AY608">
        <v>3</v>
      </c>
      <c r="AZ608">
        <v>0</v>
      </c>
      <c r="BA608">
        <v>2</v>
      </c>
      <c r="BB608">
        <v>2</v>
      </c>
      <c r="BC608">
        <v>1</v>
      </c>
      <c r="BD608">
        <v>0</v>
      </c>
      <c r="BE608">
        <v>2</v>
      </c>
      <c r="BF608">
        <v>1</v>
      </c>
      <c r="BG608">
        <v>0</v>
      </c>
      <c r="BH608">
        <v>1</v>
      </c>
      <c r="BI608">
        <v>0</v>
      </c>
      <c r="BJ608">
        <v>0</v>
      </c>
      <c r="BK608">
        <v>0</v>
      </c>
      <c r="BL608">
        <v>0</v>
      </c>
      <c r="BM608">
        <v>0</v>
      </c>
      <c r="BN608">
        <v>0</v>
      </c>
      <c r="DG608" s="16">
        <f t="shared" si="49"/>
        <v>47</v>
      </c>
      <c r="DH608" s="16">
        <f t="shared" si="50"/>
        <v>1494</v>
      </c>
      <c r="DI608" s="17">
        <f t="shared" si="51"/>
        <v>31.787234042553191</v>
      </c>
      <c r="DJ608" s="119" t="s">
        <v>720</v>
      </c>
      <c r="DK608" s="44" t="s">
        <v>720</v>
      </c>
    </row>
    <row r="609" spans="1:115">
      <c r="A609" s="32" t="str">
        <f t="shared" si="52"/>
        <v>Endeavour--Substation Establishment: Small Indoor</v>
      </c>
      <c r="B609" s="32" t="str">
        <f t="shared" si="53"/>
        <v>Endeavour</v>
      </c>
      <c r="C609" s="395"/>
      <c r="D609" s="3"/>
      <c r="E609" t="s">
        <v>614</v>
      </c>
      <c r="F609">
        <v>50</v>
      </c>
      <c r="G609">
        <v>7.0710678118654755</v>
      </c>
      <c r="H609">
        <v>0</v>
      </c>
      <c r="I609">
        <v>0</v>
      </c>
      <c r="J609">
        <v>0</v>
      </c>
      <c r="K609">
        <v>0</v>
      </c>
      <c r="L609">
        <v>1</v>
      </c>
      <c r="M609">
        <v>0</v>
      </c>
      <c r="N609">
        <v>0</v>
      </c>
      <c r="O609">
        <v>0</v>
      </c>
      <c r="P609">
        <v>0</v>
      </c>
      <c r="Q609">
        <v>0</v>
      </c>
      <c r="R609">
        <v>0</v>
      </c>
      <c r="S609">
        <v>1</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1</v>
      </c>
      <c r="AQ609">
        <v>0</v>
      </c>
      <c r="AR609">
        <v>0</v>
      </c>
      <c r="AS609">
        <v>0</v>
      </c>
      <c r="AT609">
        <v>0</v>
      </c>
      <c r="AU609">
        <v>0</v>
      </c>
      <c r="AV609">
        <v>0</v>
      </c>
      <c r="AW609">
        <v>0</v>
      </c>
      <c r="AX609">
        <v>0</v>
      </c>
      <c r="AY609">
        <v>0</v>
      </c>
      <c r="AZ609">
        <v>0</v>
      </c>
      <c r="BA609">
        <v>0</v>
      </c>
      <c r="BB609">
        <v>0</v>
      </c>
      <c r="BC609">
        <v>0</v>
      </c>
      <c r="BD609">
        <v>0</v>
      </c>
      <c r="BE609">
        <v>0</v>
      </c>
      <c r="BF609">
        <v>0</v>
      </c>
      <c r="BG609">
        <v>1</v>
      </c>
      <c r="BH609">
        <v>0</v>
      </c>
      <c r="BI609">
        <v>0</v>
      </c>
      <c r="BJ609">
        <v>0</v>
      </c>
      <c r="BK609">
        <v>0</v>
      </c>
      <c r="BL609">
        <v>0</v>
      </c>
      <c r="BM609">
        <v>0</v>
      </c>
      <c r="BN609">
        <v>0</v>
      </c>
      <c r="DG609" s="16">
        <f t="shared" si="49"/>
        <v>4</v>
      </c>
      <c r="DH609" s="16">
        <f t="shared" si="50"/>
        <v>104</v>
      </c>
      <c r="DI609" s="17">
        <f t="shared" si="51"/>
        <v>26</v>
      </c>
      <c r="DJ609" s="119" t="s">
        <v>720</v>
      </c>
      <c r="DK609" s="44" t="s">
        <v>720</v>
      </c>
    </row>
    <row r="610" spans="1:115">
      <c r="A610" s="32" t="str">
        <f t="shared" si="52"/>
        <v>Endeavour--Substation Establishment: Small Outdoor</v>
      </c>
      <c r="B610" s="32" t="str">
        <f t="shared" si="53"/>
        <v>Endeavour</v>
      </c>
      <c r="C610" s="395"/>
      <c r="D610" s="3"/>
      <c r="E610" t="s">
        <v>615</v>
      </c>
      <c r="F610">
        <v>50</v>
      </c>
      <c r="G610">
        <v>7.0710678118654755</v>
      </c>
      <c r="H610">
        <v>0</v>
      </c>
      <c r="I610">
        <v>0</v>
      </c>
      <c r="J610">
        <v>1</v>
      </c>
      <c r="K610">
        <v>1</v>
      </c>
      <c r="L610">
        <v>0</v>
      </c>
      <c r="M610">
        <v>0</v>
      </c>
      <c r="N610">
        <v>0</v>
      </c>
      <c r="O610">
        <v>0</v>
      </c>
      <c r="P610">
        <v>1</v>
      </c>
      <c r="Q610">
        <v>1</v>
      </c>
      <c r="R610">
        <v>2</v>
      </c>
      <c r="S610">
        <v>0</v>
      </c>
      <c r="T610">
        <v>0</v>
      </c>
      <c r="U610">
        <v>0</v>
      </c>
      <c r="V610">
        <v>1</v>
      </c>
      <c r="W610">
        <v>0</v>
      </c>
      <c r="X610">
        <v>1</v>
      </c>
      <c r="Y610">
        <v>0</v>
      </c>
      <c r="Z610">
        <v>1</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2</v>
      </c>
      <c r="AU610">
        <v>0</v>
      </c>
      <c r="AV610">
        <v>2</v>
      </c>
      <c r="AW610">
        <v>0</v>
      </c>
      <c r="AX610">
        <v>1</v>
      </c>
      <c r="AY610">
        <v>0</v>
      </c>
      <c r="AZ610">
        <v>2</v>
      </c>
      <c r="BA610">
        <v>0</v>
      </c>
      <c r="BB610">
        <v>0</v>
      </c>
      <c r="BC610">
        <v>1</v>
      </c>
      <c r="BD610">
        <v>1</v>
      </c>
      <c r="BE610">
        <v>0</v>
      </c>
      <c r="BF610">
        <v>0</v>
      </c>
      <c r="BG610">
        <v>0</v>
      </c>
      <c r="BH610">
        <v>1</v>
      </c>
      <c r="BI610">
        <v>0</v>
      </c>
      <c r="BJ610">
        <v>0</v>
      </c>
      <c r="BK610">
        <v>0</v>
      </c>
      <c r="BL610">
        <v>0</v>
      </c>
      <c r="BM610">
        <v>0</v>
      </c>
      <c r="BN610">
        <v>0</v>
      </c>
      <c r="DG610" s="16">
        <f t="shared" ref="DG610:DG670" si="54">SUM(H610:DF610)</f>
        <v>19</v>
      </c>
      <c r="DH610" s="16">
        <f t="shared" ref="DH610:DH670" si="55">IFERROR(SUMPRODUCT(H610:DF610,$H$1:$DF$1),"")</f>
        <v>542</v>
      </c>
      <c r="DI610" s="17">
        <f t="shared" ref="DI610:DI670" si="56">IFERROR(DH610/DG610,"")</f>
        <v>28.526315789473685</v>
      </c>
      <c r="DJ610" s="119" t="s">
        <v>720</v>
      </c>
      <c r="DK610" s="44" t="s">
        <v>720</v>
      </c>
    </row>
    <row r="611" spans="1:115">
      <c r="A611" s="32" t="str">
        <f t="shared" si="52"/>
        <v>Endeavour--Substation Establishment: Type A</v>
      </c>
      <c r="B611" s="32" t="str">
        <f t="shared" si="53"/>
        <v>Endeavour</v>
      </c>
      <c r="C611" s="395"/>
      <c r="D611" s="3"/>
      <c r="E611" t="s">
        <v>616</v>
      </c>
      <c r="F611">
        <v>50</v>
      </c>
      <c r="G611">
        <v>7.0710678118654755</v>
      </c>
      <c r="H611">
        <v>1</v>
      </c>
      <c r="I611">
        <v>0</v>
      </c>
      <c r="J611">
        <v>0</v>
      </c>
      <c r="K611">
        <v>0</v>
      </c>
      <c r="L611">
        <v>1</v>
      </c>
      <c r="M611">
        <v>0</v>
      </c>
      <c r="N611">
        <v>0</v>
      </c>
      <c r="O611">
        <v>0</v>
      </c>
      <c r="P611">
        <v>0</v>
      </c>
      <c r="Q611">
        <v>0</v>
      </c>
      <c r="R611">
        <v>0</v>
      </c>
      <c r="S611">
        <v>0</v>
      </c>
      <c r="T611">
        <v>0</v>
      </c>
      <c r="U611">
        <v>0</v>
      </c>
      <c r="V611">
        <v>0</v>
      </c>
      <c r="W611">
        <v>0</v>
      </c>
      <c r="X611">
        <v>1</v>
      </c>
      <c r="Y611">
        <v>0</v>
      </c>
      <c r="Z611">
        <v>0</v>
      </c>
      <c r="AA611">
        <v>0</v>
      </c>
      <c r="AB611">
        <v>0</v>
      </c>
      <c r="AC611">
        <v>0</v>
      </c>
      <c r="AD611">
        <v>0</v>
      </c>
      <c r="AE611">
        <v>0</v>
      </c>
      <c r="AF611">
        <v>0</v>
      </c>
      <c r="AG611">
        <v>0</v>
      </c>
      <c r="AH611">
        <v>1</v>
      </c>
      <c r="AI611">
        <v>0</v>
      </c>
      <c r="AJ611">
        <v>0</v>
      </c>
      <c r="AK611">
        <v>0</v>
      </c>
      <c r="AL611">
        <v>1</v>
      </c>
      <c r="AM611">
        <v>0</v>
      </c>
      <c r="AN611">
        <v>0</v>
      </c>
      <c r="AO611">
        <v>0</v>
      </c>
      <c r="AP611">
        <v>0</v>
      </c>
      <c r="AQ611">
        <v>0</v>
      </c>
      <c r="AR611">
        <v>0</v>
      </c>
      <c r="AS611">
        <v>0</v>
      </c>
      <c r="AT611">
        <v>0</v>
      </c>
      <c r="AU611">
        <v>0</v>
      </c>
      <c r="AV611">
        <v>0</v>
      </c>
      <c r="AW611">
        <v>0</v>
      </c>
      <c r="AX611">
        <v>0</v>
      </c>
      <c r="AY611">
        <v>1</v>
      </c>
      <c r="AZ611">
        <v>0</v>
      </c>
      <c r="BA611">
        <v>0</v>
      </c>
      <c r="BB611">
        <v>0</v>
      </c>
      <c r="BC611">
        <v>0</v>
      </c>
      <c r="BD611">
        <v>0</v>
      </c>
      <c r="BE611">
        <v>0</v>
      </c>
      <c r="BF611">
        <v>0</v>
      </c>
      <c r="BG611">
        <v>0</v>
      </c>
      <c r="BH611">
        <v>0</v>
      </c>
      <c r="BI611">
        <v>0</v>
      </c>
      <c r="BJ611">
        <v>0</v>
      </c>
      <c r="BK611">
        <v>0</v>
      </c>
      <c r="BL611">
        <v>1</v>
      </c>
      <c r="BM611">
        <v>0</v>
      </c>
      <c r="BN611">
        <v>0</v>
      </c>
      <c r="DG611" s="16">
        <f t="shared" si="54"/>
        <v>7</v>
      </c>
      <c r="DH611" s="16">
        <f t="shared" si="55"/>
        <v>182</v>
      </c>
      <c r="DI611" s="17">
        <f t="shared" si="56"/>
        <v>26</v>
      </c>
      <c r="DJ611" s="119" t="s">
        <v>720</v>
      </c>
      <c r="DK611" s="44" t="s">
        <v>720</v>
      </c>
    </row>
    <row r="612" spans="1:115">
      <c r="A612" s="32" t="str">
        <f t="shared" si="52"/>
        <v>Endeavour--Substation Establishment: Type B</v>
      </c>
      <c r="B612" s="32" t="str">
        <f t="shared" si="53"/>
        <v>Endeavour</v>
      </c>
      <c r="C612" s="395"/>
      <c r="D612" s="3"/>
      <c r="E612" t="s">
        <v>617</v>
      </c>
      <c r="F612">
        <v>50</v>
      </c>
      <c r="G612">
        <v>7.0710678118654755</v>
      </c>
      <c r="H612">
        <v>0</v>
      </c>
      <c r="I612">
        <v>0</v>
      </c>
      <c r="J612">
        <v>0</v>
      </c>
      <c r="K612">
        <v>0</v>
      </c>
      <c r="L612">
        <v>1</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1</v>
      </c>
      <c r="AS612">
        <v>0</v>
      </c>
      <c r="AT612">
        <v>0</v>
      </c>
      <c r="AU612">
        <v>0</v>
      </c>
      <c r="AV612">
        <v>1</v>
      </c>
      <c r="AW612">
        <v>0</v>
      </c>
      <c r="AX612">
        <v>2</v>
      </c>
      <c r="AY612">
        <v>0</v>
      </c>
      <c r="AZ612">
        <v>1</v>
      </c>
      <c r="BA612">
        <v>1</v>
      </c>
      <c r="BB612">
        <v>0</v>
      </c>
      <c r="BC612">
        <v>2</v>
      </c>
      <c r="BD612">
        <v>2</v>
      </c>
      <c r="BE612">
        <v>1</v>
      </c>
      <c r="BF612">
        <v>0</v>
      </c>
      <c r="BG612">
        <v>1</v>
      </c>
      <c r="BH612">
        <v>0</v>
      </c>
      <c r="BI612">
        <v>1</v>
      </c>
      <c r="BJ612">
        <v>0</v>
      </c>
      <c r="BK612">
        <v>0</v>
      </c>
      <c r="BL612">
        <v>1</v>
      </c>
      <c r="BM612">
        <v>0</v>
      </c>
      <c r="BN612">
        <v>0</v>
      </c>
      <c r="DG612" s="16">
        <f t="shared" si="54"/>
        <v>15</v>
      </c>
      <c r="DH612" s="16">
        <f t="shared" si="55"/>
        <v>667</v>
      </c>
      <c r="DI612" s="17">
        <f t="shared" si="56"/>
        <v>44.466666666666669</v>
      </c>
      <c r="DJ612" s="119" t="s">
        <v>720</v>
      </c>
      <c r="DK612" s="44" t="s">
        <v>720</v>
      </c>
    </row>
    <row r="613" spans="1:115">
      <c r="A613" s="32" t="str">
        <f t="shared" si="52"/>
        <v>Endeavour--Pilot Cables</v>
      </c>
      <c r="B613" s="32" t="str">
        <f t="shared" si="53"/>
        <v>Endeavour</v>
      </c>
      <c r="C613" s="395"/>
      <c r="D613" s="3"/>
      <c r="E613" t="s">
        <v>620</v>
      </c>
      <c r="F613">
        <v>50</v>
      </c>
      <c r="G613">
        <v>7.0710678118654755</v>
      </c>
      <c r="H613">
        <v>86.679999999999993</v>
      </c>
      <c r="I613">
        <v>171.58999999999997</v>
      </c>
      <c r="J613">
        <v>41.6</v>
      </c>
      <c r="K613">
        <v>12.720000000000002</v>
      </c>
      <c r="L613">
        <v>2</v>
      </c>
      <c r="M613">
        <v>0</v>
      </c>
      <c r="N613">
        <v>72.7</v>
      </c>
      <c r="O613">
        <v>0</v>
      </c>
      <c r="P613">
        <v>31.799999999999997</v>
      </c>
      <c r="Q613">
        <v>0</v>
      </c>
      <c r="R613">
        <v>0</v>
      </c>
      <c r="S613">
        <v>0</v>
      </c>
      <c r="T613">
        <v>0</v>
      </c>
      <c r="U613">
        <v>14.8</v>
      </c>
      <c r="V613">
        <v>0</v>
      </c>
      <c r="W613">
        <v>0</v>
      </c>
      <c r="X613">
        <v>0</v>
      </c>
      <c r="Y613">
        <v>0</v>
      </c>
      <c r="Z613">
        <v>0</v>
      </c>
      <c r="AA613">
        <v>10.739999999999998</v>
      </c>
      <c r="AB613">
        <v>0</v>
      </c>
      <c r="AC613">
        <v>0</v>
      </c>
      <c r="AD613">
        <v>23.029999999999998</v>
      </c>
      <c r="AE613">
        <v>0.2</v>
      </c>
      <c r="AF613">
        <v>0</v>
      </c>
      <c r="AG613">
        <v>0</v>
      </c>
      <c r="AH613">
        <v>5.57</v>
      </c>
      <c r="AI613">
        <v>1.4</v>
      </c>
      <c r="AJ613">
        <v>4</v>
      </c>
      <c r="AK613">
        <v>3.44</v>
      </c>
      <c r="AL613">
        <v>0</v>
      </c>
      <c r="AM613">
        <v>20.62</v>
      </c>
      <c r="AN613">
        <v>14.440000000000001</v>
      </c>
      <c r="AO613">
        <v>0</v>
      </c>
      <c r="AP613">
        <v>21.349999999999998</v>
      </c>
      <c r="AQ613">
        <v>28.570000000000004</v>
      </c>
      <c r="AR613">
        <v>23.2</v>
      </c>
      <c r="AS613">
        <v>26.099999999999994</v>
      </c>
      <c r="AT613">
        <v>5.7</v>
      </c>
      <c r="AU613">
        <v>10.5</v>
      </c>
      <c r="AV613">
        <v>8.76</v>
      </c>
      <c r="AW613">
        <v>31.93</v>
      </c>
      <c r="AX613">
        <v>55.430000000000021</v>
      </c>
      <c r="AY613">
        <v>49.45</v>
      </c>
      <c r="AZ613">
        <v>46.16</v>
      </c>
      <c r="BA613">
        <v>34.769999999999989</v>
      </c>
      <c r="BB613">
        <v>1</v>
      </c>
      <c r="BC613">
        <v>48.18</v>
      </c>
      <c r="BD613">
        <v>84.850000000000009</v>
      </c>
      <c r="BE613">
        <v>86.52</v>
      </c>
      <c r="BF613">
        <v>85.419999999999987</v>
      </c>
      <c r="BG613">
        <v>0</v>
      </c>
      <c r="BH613">
        <v>36.020000000000003</v>
      </c>
      <c r="BI613">
        <v>23.880000000000003</v>
      </c>
      <c r="BJ613">
        <v>0</v>
      </c>
      <c r="BK613">
        <v>10</v>
      </c>
      <c r="BL613">
        <v>11.420000000000002</v>
      </c>
      <c r="BM613">
        <v>16.670000000000002</v>
      </c>
      <c r="BN613">
        <v>4.17</v>
      </c>
      <c r="BO613">
        <v>0</v>
      </c>
      <c r="BP613">
        <v>0</v>
      </c>
      <c r="BQ613">
        <v>0</v>
      </c>
      <c r="BR613">
        <v>0</v>
      </c>
      <c r="BS613">
        <v>0</v>
      </c>
      <c r="DG613" s="16">
        <f t="shared" si="54"/>
        <v>1267.3800000000006</v>
      </c>
      <c r="DH613" s="16">
        <f t="shared" si="55"/>
        <v>38938.799999999996</v>
      </c>
      <c r="DI613" s="17">
        <f t="shared" si="56"/>
        <v>30.723855512947953</v>
      </c>
      <c r="DJ613" s="119" t="s">
        <v>720</v>
      </c>
      <c r="DK613" s="44" t="s">
        <v>720</v>
      </c>
    </row>
    <row r="614" spans="1:115">
      <c r="A614" s="32" t="str">
        <f t="shared" si="52"/>
        <v>Endeavour--11 - Chamber type (with LV CB) 1 Transformer Substn</v>
      </c>
      <c r="B614" s="32" t="str">
        <f t="shared" si="53"/>
        <v>Endeavour</v>
      </c>
      <c r="C614" s="395"/>
      <c r="D614" s="3"/>
      <c r="E614" t="s">
        <v>621</v>
      </c>
      <c r="F614">
        <v>40</v>
      </c>
      <c r="G614">
        <v>6.324555320336759</v>
      </c>
      <c r="H614">
        <v>13</v>
      </c>
      <c r="I614">
        <v>5</v>
      </c>
      <c r="J614">
        <v>3</v>
      </c>
      <c r="K614">
        <v>6</v>
      </c>
      <c r="L614">
        <v>7</v>
      </c>
      <c r="M614">
        <v>2</v>
      </c>
      <c r="N614">
        <v>6</v>
      </c>
      <c r="O614">
        <v>4</v>
      </c>
      <c r="P614">
        <v>6</v>
      </c>
      <c r="Q614">
        <v>6</v>
      </c>
      <c r="R614">
        <v>5</v>
      </c>
      <c r="S614">
        <v>3</v>
      </c>
      <c r="T614">
        <v>0</v>
      </c>
      <c r="U614">
        <v>2</v>
      </c>
      <c r="V614">
        <v>0</v>
      </c>
      <c r="W614">
        <v>1</v>
      </c>
      <c r="X614">
        <v>3</v>
      </c>
      <c r="Y614">
        <v>0</v>
      </c>
      <c r="Z614">
        <v>3</v>
      </c>
      <c r="AA614">
        <v>1</v>
      </c>
      <c r="AB614">
        <v>4</v>
      </c>
      <c r="AC614">
        <v>4</v>
      </c>
      <c r="AD614">
        <v>12</v>
      </c>
      <c r="AE614">
        <v>6</v>
      </c>
      <c r="AF614">
        <v>9</v>
      </c>
      <c r="AG614">
        <v>11</v>
      </c>
      <c r="AH614">
        <v>10</v>
      </c>
      <c r="AI614">
        <v>8</v>
      </c>
      <c r="AJ614">
        <v>6</v>
      </c>
      <c r="AK614">
        <v>8</v>
      </c>
      <c r="AL614">
        <v>7</v>
      </c>
      <c r="AM614">
        <v>6</v>
      </c>
      <c r="AN614">
        <v>8</v>
      </c>
      <c r="AO614">
        <v>5</v>
      </c>
      <c r="AP614">
        <v>2</v>
      </c>
      <c r="AQ614">
        <v>8</v>
      </c>
      <c r="AR614">
        <v>2</v>
      </c>
      <c r="AS614">
        <v>8</v>
      </c>
      <c r="AT614">
        <v>5</v>
      </c>
      <c r="AU614">
        <v>2</v>
      </c>
      <c r="AV614">
        <v>2</v>
      </c>
      <c r="AW614">
        <v>9</v>
      </c>
      <c r="AX614">
        <v>2</v>
      </c>
      <c r="AY614">
        <v>3</v>
      </c>
      <c r="AZ614">
        <v>7</v>
      </c>
      <c r="BA614">
        <v>2</v>
      </c>
      <c r="BB614">
        <v>1</v>
      </c>
      <c r="BC614">
        <v>4</v>
      </c>
      <c r="BD614">
        <v>2</v>
      </c>
      <c r="BE614">
        <v>6</v>
      </c>
      <c r="BF614">
        <v>4</v>
      </c>
      <c r="BG614">
        <v>2</v>
      </c>
      <c r="BH614">
        <v>1</v>
      </c>
      <c r="BI614">
        <v>13</v>
      </c>
      <c r="BJ614">
        <v>0</v>
      </c>
      <c r="BK614">
        <v>1</v>
      </c>
      <c r="BL614">
        <v>0</v>
      </c>
      <c r="BM614">
        <v>0</v>
      </c>
      <c r="BN614">
        <v>0</v>
      </c>
      <c r="BO614">
        <v>1</v>
      </c>
      <c r="BP614">
        <v>0</v>
      </c>
      <c r="BQ614">
        <v>0</v>
      </c>
      <c r="BR614">
        <v>0</v>
      </c>
      <c r="BS614">
        <v>1</v>
      </c>
      <c r="BT614">
        <v>0</v>
      </c>
      <c r="BU614">
        <v>0</v>
      </c>
      <c r="DG614" s="16">
        <f t="shared" si="54"/>
        <v>268</v>
      </c>
      <c r="DH614" s="16">
        <f t="shared" si="55"/>
        <v>7384</v>
      </c>
      <c r="DI614" s="17">
        <f t="shared" si="56"/>
        <v>27.552238805970148</v>
      </c>
      <c r="DJ614" s="119" t="s">
        <v>720</v>
      </c>
      <c r="DK614" s="44" t="s">
        <v>720</v>
      </c>
    </row>
    <row r="615" spans="1:115">
      <c r="A615" s="32" t="str">
        <f t="shared" si="52"/>
        <v>Endeavour--11 - Chamber type (with LV CB) 2 Transformer Substn</v>
      </c>
      <c r="B615" s="32" t="str">
        <f t="shared" si="53"/>
        <v>Endeavour</v>
      </c>
      <c r="C615" s="395"/>
      <c r="D615" s="3"/>
      <c r="E615" t="s">
        <v>622</v>
      </c>
      <c r="F615">
        <v>40</v>
      </c>
      <c r="G615">
        <v>6.324555320336759</v>
      </c>
      <c r="H615">
        <v>1</v>
      </c>
      <c r="I615">
        <v>2</v>
      </c>
      <c r="J615">
        <v>1</v>
      </c>
      <c r="K615">
        <v>2</v>
      </c>
      <c r="L615">
        <v>2</v>
      </c>
      <c r="M615">
        <v>2</v>
      </c>
      <c r="N615">
        <v>7</v>
      </c>
      <c r="O615">
        <v>4</v>
      </c>
      <c r="P615">
        <v>4</v>
      </c>
      <c r="Q615">
        <v>3</v>
      </c>
      <c r="R615">
        <v>6</v>
      </c>
      <c r="S615">
        <v>3</v>
      </c>
      <c r="T615">
        <v>2</v>
      </c>
      <c r="U615">
        <v>6</v>
      </c>
      <c r="V615">
        <v>2</v>
      </c>
      <c r="W615">
        <v>3</v>
      </c>
      <c r="X615">
        <v>1</v>
      </c>
      <c r="Y615">
        <v>4</v>
      </c>
      <c r="Z615">
        <v>1</v>
      </c>
      <c r="AA615">
        <v>4</v>
      </c>
      <c r="AB615">
        <v>3</v>
      </c>
      <c r="AC615">
        <v>4</v>
      </c>
      <c r="AD615">
        <v>4</v>
      </c>
      <c r="AE615">
        <v>5</v>
      </c>
      <c r="AF615">
        <v>6</v>
      </c>
      <c r="AG615">
        <v>12</v>
      </c>
      <c r="AH615">
        <v>12</v>
      </c>
      <c r="AI615">
        <v>5</v>
      </c>
      <c r="AJ615">
        <v>4</v>
      </c>
      <c r="AK615">
        <v>3</v>
      </c>
      <c r="AL615">
        <v>5</v>
      </c>
      <c r="AM615">
        <v>2</v>
      </c>
      <c r="AN615">
        <v>5</v>
      </c>
      <c r="AO615">
        <v>6</v>
      </c>
      <c r="AP615">
        <v>6</v>
      </c>
      <c r="AQ615">
        <v>2</v>
      </c>
      <c r="AR615">
        <v>1</v>
      </c>
      <c r="AS615">
        <v>13</v>
      </c>
      <c r="AT615">
        <v>5</v>
      </c>
      <c r="AU615">
        <v>3</v>
      </c>
      <c r="AV615">
        <v>1</v>
      </c>
      <c r="AW615">
        <v>0</v>
      </c>
      <c r="AX615">
        <v>0</v>
      </c>
      <c r="AY615">
        <v>1</v>
      </c>
      <c r="AZ615">
        <v>1</v>
      </c>
      <c r="BA615">
        <v>0</v>
      </c>
      <c r="BB615">
        <v>0</v>
      </c>
      <c r="BC615">
        <v>1</v>
      </c>
      <c r="BD615">
        <v>0</v>
      </c>
      <c r="BE615">
        <v>0</v>
      </c>
      <c r="BF615">
        <v>0</v>
      </c>
      <c r="BG615">
        <v>1</v>
      </c>
      <c r="BH615">
        <v>0</v>
      </c>
      <c r="BI615">
        <v>0</v>
      </c>
      <c r="BJ615">
        <v>1</v>
      </c>
      <c r="BK615">
        <v>0</v>
      </c>
      <c r="BL615">
        <v>0</v>
      </c>
      <c r="BM615">
        <v>0</v>
      </c>
      <c r="BN615">
        <v>0</v>
      </c>
      <c r="BO615">
        <v>0</v>
      </c>
      <c r="BP615">
        <v>0</v>
      </c>
      <c r="BQ615">
        <v>0</v>
      </c>
      <c r="BR615">
        <v>0</v>
      </c>
      <c r="BS615">
        <v>0</v>
      </c>
      <c r="BT615">
        <v>0</v>
      </c>
      <c r="BU615">
        <v>0</v>
      </c>
      <c r="DG615" s="16">
        <f t="shared" si="54"/>
        <v>172</v>
      </c>
      <c r="DH615" s="16">
        <f t="shared" si="55"/>
        <v>4159</v>
      </c>
      <c r="DI615" s="17">
        <f t="shared" si="56"/>
        <v>24.180232558139537</v>
      </c>
      <c r="DJ615" s="119" t="s">
        <v>720</v>
      </c>
      <c r="DK615" s="44" t="s">
        <v>720</v>
      </c>
    </row>
    <row r="616" spans="1:115">
      <c r="A616" s="32" t="str">
        <f t="shared" si="52"/>
        <v>Endeavour--11 - Chamber type (with LV CB) 3 Transformer Substn</v>
      </c>
      <c r="B616" s="32" t="str">
        <f t="shared" si="53"/>
        <v>Endeavour</v>
      </c>
      <c r="C616" s="395"/>
      <c r="D616" s="3"/>
      <c r="E616" t="s">
        <v>623</v>
      </c>
      <c r="F616">
        <v>40</v>
      </c>
      <c r="G616">
        <v>6.324555320336759</v>
      </c>
      <c r="H616">
        <v>0</v>
      </c>
      <c r="I616">
        <v>1</v>
      </c>
      <c r="J616">
        <v>0</v>
      </c>
      <c r="K616">
        <v>0</v>
      </c>
      <c r="L616">
        <v>1</v>
      </c>
      <c r="M616">
        <v>1</v>
      </c>
      <c r="N616">
        <v>4</v>
      </c>
      <c r="O616">
        <v>3</v>
      </c>
      <c r="P616">
        <v>5</v>
      </c>
      <c r="Q616">
        <v>3</v>
      </c>
      <c r="R616">
        <v>0</v>
      </c>
      <c r="S616">
        <v>1</v>
      </c>
      <c r="T616">
        <v>3</v>
      </c>
      <c r="U616">
        <v>0</v>
      </c>
      <c r="V616">
        <v>2</v>
      </c>
      <c r="W616">
        <v>0</v>
      </c>
      <c r="X616">
        <v>0</v>
      </c>
      <c r="Y616">
        <v>2</v>
      </c>
      <c r="Z616">
        <v>1</v>
      </c>
      <c r="AA616">
        <v>1</v>
      </c>
      <c r="AB616">
        <v>2</v>
      </c>
      <c r="AC616">
        <v>1</v>
      </c>
      <c r="AD616">
        <v>3</v>
      </c>
      <c r="AE616">
        <v>1</v>
      </c>
      <c r="AF616">
        <v>0</v>
      </c>
      <c r="AG616">
        <v>0</v>
      </c>
      <c r="AH616">
        <v>0</v>
      </c>
      <c r="AI616">
        <v>1</v>
      </c>
      <c r="AJ616">
        <v>0</v>
      </c>
      <c r="AK616">
        <v>4</v>
      </c>
      <c r="AL616">
        <v>2</v>
      </c>
      <c r="AM616">
        <v>0</v>
      </c>
      <c r="AN616">
        <v>0</v>
      </c>
      <c r="AO616">
        <v>0</v>
      </c>
      <c r="AP616">
        <v>0</v>
      </c>
      <c r="AQ616">
        <v>1</v>
      </c>
      <c r="AR616">
        <v>0</v>
      </c>
      <c r="AS616">
        <v>3</v>
      </c>
      <c r="AT616">
        <v>1</v>
      </c>
      <c r="AU616">
        <v>1</v>
      </c>
      <c r="AV616">
        <v>0</v>
      </c>
      <c r="AW616">
        <v>0</v>
      </c>
      <c r="AX616">
        <v>0</v>
      </c>
      <c r="AY616">
        <v>1</v>
      </c>
      <c r="AZ616">
        <v>0</v>
      </c>
      <c r="BA616">
        <v>0</v>
      </c>
      <c r="BB616">
        <v>0</v>
      </c>
      <c r="BC616">
        <v>0</v>
      </c>
      <c r="BD616">
        <v>0</v>
      </c>
      <c r="BE616">
        <v>0</v>
      </c>
      <c r="BF616">
        <v>1</v>
      </c>
      <c r="BG616">
        <v>0</v>
      </c>
      <c r="BH616">
        <v>0</v>
      </c>
      <c r="BI616">
        <v>0</v>
      </c>
      <c r="BJ616">
        <v>0</v>
      </c>
      <c r="BK616">
        <v>0</v>
      </c>
      <c r="BL616">
        <v>0</v>
      </c>
      <c r="BM616">
        <v>0</v>
      </c>
      <c r="BN616">
        <v>0</v>
      </c>
      <c r="BO616">
        <v>0</v>
      </c>
      <c r="BP616">
        <v>0</v>
      </c>
      <c r="BQ616">
        <v>0</v>
      </c>
      <c r="BR616">
        <v>0</v>
      </c>
      <c r="BS616">
        <v>0</v>
      </c>
      <c r="BT616">
        <v>0</v>
      </c>
      <c r="BU616">
        <v>0</v>
      </c>
      <c r="DG616" s="16">
        <f t="shared" si="54"/>
        <v>50</v>
      </c>
      <c r="DH616" s="16">
        <f t="shared" si="55"/>
        <v>987</v>
      </c>
      <c r="DI616" s="17">
        <f t="shared" si="56"/>
        <v>19.739999999999998</v>
      </c>
      <c r="DJ616" s="119" t="s">
        <v>720</v>
      </c>
      <c r="DK616" s="44" t="s">
        <v>720</v>
      </c>
    </row>
    <row r="617" spans="1:115">
      <c r="A617" s="32" t="str">
        <f t="shared" si="52"/>
        <v>Endeavour--11 - Chamber type (with LV CB) 4 Transformer Substn</v>
      </c>
      <c r="B617" s="32" t="str">
        <f t="shared" si="53"/>
        <v>Endeavour</v>
      </c>
      <c r="C617" s="395"/>
      <c r="D617" s="3"/>
      <c r="E617" t="s">
        <v>624</v>
      </c>
      <c r="F617">
        <v>40</v>
      </c>
      <c r="G617">
        <v>6.324555320336759</v>
      </c>
      <c r="H617">
        <v>0</v>
      </c>
      <c r="I617">
        <v>0</v>
      </c>
      <c r="J617">
        <v>2</v>
      </c>
      <c r="K617">
        <v>0</v>
      </c>
      <c r="L617">
        <v>0</v>
      </c>
      <c r="M617">
        <v>0</v>
      </c>
      <c r="N617">
        <v>2</v>
      </c>
      <c r="O617">
        <v>0</v>
      </c>
      <c r="P617">
        <v>1</v>
      </c>
      <c r="Q617">
        <v>2</v>
      </c>
      <c r="R617">
        <v>3</v>
      </c>
      <c r="S617">
        <v>0</v>
      </c>
      <c r="T617">
        <v>0</v>
      </c>
      <c r="U617">
        <v>0</v>
      </c>
      <c r="V617">
        <v>0</v>
      </c>
      <c r="W617">
        <v>1</v>
      </c>
      <c r="X617">
        <v>0</v>
      </c>
      <c r="Y617">
        <v>0</v>
      </c>
      <c r="Z617">
        <v>6</v>
      </c>
      <c r="AA617">
        <v>0</v>
      </c>
      <c r="AB617">
        <v>0</v>
      </c>
      <c r="AC617">
        <v>0</v>
      </c>
      <c r="AD617">
        <v>0</v>
      </c>
      <c r="AE617">
        <v>2</v>
      </c>
      <c r="AF617">
        <v>0</v>
      </c>
      <c r="AG617">
        <v>1</v>
      </c>
      <c r="AH617">
        <v>0</v>
      </c>
      <c r="AI617">
        <v>0</v>
      </c>
      <c r="AJ617">
        <v>1</v>
      </c>
      <c r="AK617">
        <v>2</v>
      </c>
      <c r="AL617">
        <v>1</v>
      </c>
      <c r="AM617">
        <v>0</v>
      </c>
      <c r="AN617">
        <v>0</v>
      </c>
      <c r="AO617">
        <v>0</v>
      </c>
      <c r="AP617">
        <v>0</v>
      </c>
      <c r="AQ617">
        <v>0</v>
      </c>
      <c r="AR617">
        <v>0</v>
      </c>
      <c r="AS617">
        <v>2</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DG617" s="16">
        <f t="shared" si="54"/>
        <v>26</v>
      </c>
      <c r="DH617" s="16">
        <f t="shared" si="55"/>
        <v>482</v>
      </c>
      <c r="DI617" s="17">
        <f t="shared" si="56"/>
        <v>18.53846153846154</v>
      </c>
      <c r="DJ617" s="119" t="s">
        <v>720</v>
      </c>
      <c r="DK617" s="44" t="s">
        <v>720</v>
      </c>
    </row>
    <row r="618" spans="1:115">
      <c r="A618" s="32" t="str">
        <f t="shared" si="52"/>
        <v>Endeavour--11 - Chamber type (with LV CB) 5 Transformer Substn</v>
      </c>
      <c r="B618" s="32" t="str">
        <f t="shared" si="53"/>
        <v>Endeavour</v>
      </c>
      <c r="C618" s="395"/>
      <c r="D618" s="3"/>
      <c r="E618" t="s">
        <v>625</v>
      </c>
      <c r="F618">
        <v>40</v>
      </c>
      <c r="G618">
        <v>6.324555320336759</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1</v>
      </c>
      <c r="AC618">
        <v>1</v>
      </c>
      <c r="AD618">
        <v>0</v>
      </c>
      <c r="AE618">
        <v>0</v>
      </c>
      <c r="AF618">
        <v>0</v>
      </c>
      <c r="AG618">
        <v>0</v>
      </c>
      <c r="AH618">
        <v>0</v>
      </c>
      <c r="AI618">
        <v>0</v>
      </c>
      <c r="AJ618">
        <v>0</v>
      </c>
      <c r="AK618">
        <v>0</v>
      </c>
      <c r="AL618">
        <v>1</v>
      </c>
      <c r="AM618">
        <v>0</v>
      </c>
      <c r="AN618">
        <v>0</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v>0</v>
      </c>
      <c r="BR618">
        <v>0</v>
      </c>
      <c r="BS618">
        <v>0</v>
      </c>
      <c r="BT618">
        <v>0</v>
      </c>
      <c r="BU618">
        <v>0</v>
      </c>
      <c r="DG618" s="16">
        <f t="shared" si="54"/>
        <v>3</v>
      </c>
      <c r="DH618" s="16">
        <f t="shared" si="55"/>
        <v>74</v>
      </c>
      <c r="DI618" s="17">
        <f t="shared" si="56"/>
        <v>24.666666666666668</v>
      </c>
      <c r="DJ618" s="119" t="s">
        <v>720</v>
      </c>
      <c r="DK618" s="44" t="s">
        <v>720</v>
      </c>
    </row>
    <row r="619" spans="1:115">
      <c r="A619" s="32" t="str">
        <f t="shared" si="52"/>
        <v>Endeavour--11 - Chamber type (with LV CB) 6 Transformer Substn</v>
      </c>
      <c r="B619" s="32" t="str">
        <f t="shared" si="53"/>
        <v>Endeavour</v>
      </c>
      <c r="C619" s="395"/>
      <c r="D619" s="3"/>
      <c r="E619" t="s">
        <v>626</v>
      </c>
      <c r="F619">
        <v>40</v>
      </c>
      <c r="G619">
        <v>6.324555320336759</v>
      </c>
      <c r="H619">
        <v>0</v>
      </c>
      <c r="I619">
        <v>1</v>
      </c>
      <c r="J619">
        <v>0</v>
      </c>
      <c r="K619">
        <v>0</v>
      </c>
      <c r="L619">
        <v>0</v>
      </c>
      <c r="M619">
        <v>0</v>
      </c>
      <c r="N619">
        <v>0</v>
      </c>
      <c r="O619">
        <v>0</v>
      </c>
      <c r="P619">
        <v>0</v>
      </c>
      <c r="Q619">
        <v>0</v>
      </c>
      <c r="R619">
        <v>0</v>
      </c>
      <c r="S619">
        <v>0</v>
      </c>
      <c r="T619">
        <v>0</v>
      </c>
      <c r="U619">
        <v>1</v>
      </c>
      <c r="V619">
        <v>0</v>
      </c>
      <c r="W619">
        <v>0</v>
      </c>
      <c r="X619">
        <v>0</v>
      </c>
      <c r="Y619">
        <v>0</v>
      </c>
      <c r="Z619">
        <v>0</v>
      </c>
      <c r="AA619">
        <v>0</v>
      </c>
      <c r="AB619">
        <v>0</v>
      </c>
      <c r="AC619">
        <v>0</v>
      </c>
      <c r="AD619">
        <v>0</v>
      </c>
      <c r="AE619">
        <v>0</v>
      </c>
      <c r="AF619">
        <v>0</v>
      </c>
      <c r="AG6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DG619" s="16">
        <f t="shared" si="54"/>
        <v>2</v>
      </c>
      <c r="DH619" s="16">
        <f t="shared" si="55"/>
        <v>16</v>
      </c>
      <c r="DI619" s="17">
        <f t="shared" si="56"/>
        <v>8</v>
      </c>
      <c r="DJ619" s="119" t="s">
        <v>720</v>
      </c>
      <c r="DK619" s="44" t="s">
        <v>720</v>
      </c>
    </row>
    <row r="620" spans="1:115">
      <c r="A620" s="32" t="str">
        <f t="shared" si="52"/>
        <v>Endeavour--11 - Chamber type (with LV CB) 7 Transformer Substn</v>
      </c>
      <c r="B620" s="32" t="str">
        <f t="shared" si="53"/>
        <v>Endeavour</v>
      </c>
      <c r="C620" s="395"/>
      <c r="D620" s="3"/>
      <c r="E620" t="s">
        <v>627</v>
      </c>
      <c r="F620">
        <v>40</v>
      </c>
      <c r="G620">
        <v>6.324555320336759</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1</v>
      </c>
      <c r="AH620">
        <v>0</v>
      </c>
      <c r="AI620">
        <v>0</v>
      </c>
      <c r="AJ620">
        <v>0</v>
      </c>
      <c r="AK620">
        <v>0</v>
      </c>
      <c r="AL620">
        <v>0</v>
      </c>
      <c r="AM620">
        <v>0</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0</v>
      </c>
      <c r="BS620">
        <v>0</v>
      </c>
      <c r="BT620">
        <v>0</v>
      </c>
      <c r="BU620">
        <v>0</v>
      </c>
      <c r="DG620" s="16">
        <f t="shared" si="54"/>
        <v>1</v>
      </c>
      <c r="DH620" s="16">
        <f t="shared" si="55"/>
        <v>26</v>
      </c>
      <c r="DI620" s="17">
        <f t="shared" si="56"/>
        <v>26</v>
      </c>
      <c r="DJ620" s="119" t="s">
        <v>720</v>
      </c>
      <c r="DK620" s="44" t="s">
        <v>720</v>
      </c>
    </row>
    <row r="621" spans="1:115">
      <c r="A621" s="32" t="str">
        <f t="shared" si="52"/>
        <v>Endeavour--11/22 - 1 phase All sizes Substn</v>
      </c>
      <c r="B621" s="32" t="str">
        <f t="shared" si="53"/>
        <v>Endeavour</v>
      </c>
      <c r="C621" s="395"/>
      <c r="D621" s="3"/>
      <c r="E621" t="s">
        <v>628</v>
      </c>
      <c r="F621">
        <v>40</v>
      </c>
      <c r="G621">
        <v>6.324555320336759</v>
      </c>
      <c r="H621">
        <v>6</v>
      </c>
      <c r="I621">
        <v>5</v>
      </c>
      <c r="J621">
        <v>2</v>
      </c>
      <c r="K621">
        <v>1</v>
      </c>
      <c r="L621">
        <v>0</v>
      </c>
      <c r="M621">
        <v>1</v>
      </c>
      <c r="N621">
        <v>2</v>
      </c>
      <c r="O621">
        <v>2</v>
      </c>
      <c r="P621">
        <v>4</v>
      </c>
      <c r="Q621">
        <v>2</v>
      </c>
      <c r="R621">
        <v>6</v>
      </c>
      <c r="S621">
        <v>4</v>
      </c>
      <c r="T621">
        <v>2</v>
      </c>
      <c r="U621">
        <v>5</v>
      </c>
      <c r="V621">
        <v>2</v>
      </c>
      <c r="W621">
        <v>4</v>
      </c>
      <c r="X621">
        <v>1</v>
      </c>
      <c r="Y621">
        <v>1</v>
      </c>
      <c r="Z621">
        <v>6</v>
      </c>
      <c r="AA621">
        <v>4</v>
      </c>
      <c r="AB621">
        <v>6</v>
      </c>
      <c r="AC621">
        <v>2</v>
      </c>
      <c r="AD621">
        <v>7</v>
      </c>
      <c r="AE621">
        <v>5</v>
      </c>
      <c r="AF621">
        <v>7</v>
      </c>
      <c r="AG621">
        <v>7</v>
      </c>
      <c r="AH621">
        <v>3</v>
      </c>
      <c r="AI621">
        <v>19</v>
      </c>
      <c r="AJ621">
        <v>50</v>
      </c>
      <c r="AK621">
        <v>73</v>
      </c>
      <c r="AL621">
        <v>10</v>
      </c>
      <c r="AM621">
        <v>7</v>
      </c>
      <c r="AN621">
        <v>4</v>
      </c>
      <c r="AO621">
        <v>2</v>
      </c>
      <c r="AP621">
        <v>3</v>
      </c>
      <c r="AQ621">
        <v>1</v>
      </c>
      <c r="AR621">
        <v>1</v>
      </c>
      <c r="AS621">
        <v>0</v>
      </c>
      <c r="AT621">
        <v>2</v>
      </c>
      <c r="AU621">
        <v>0</v>
      </c>
      <c r="AV621">
        <v>0</v>
      </c>
      <c r="AW621">
        <v>2</v>
      </c>
      <c r="AX621">
        <v>0</v>
      </c>
      <c r="AY621">
        <v>2</v>
      </c>
      <c r="AZ621">
        <v>0</v>
      </c>
      <c r="BA621">
        <v>2</v>
      </c>
      <c r="BB621">
        <v>0</v>
      </c>
      <c r="BC621">
        <v>1</v>
      </c>
      <c r="BD621">
        <v>0</v>
      </c>
      <c r="BE621">
        <v>0</v>
      </c>
      <c r="BF621">
        <v>0</v>
      </c>
      <c r="BG621">
        <v>0</v>
      </c>
      <c r="BH621">
        <v>0</v>
      </c>
      <c r="BI621">
        <v>5</v>
      </c>
      <c r="BJ621">
        <v>0</v>
      </c>
      <c r="BK621">
        <v>1</v>
      </c>
      <c r="BL621">
        <v>0</v>
      </c>
      <c r="BM621">
        <v>0</v>
      </c>
      <c r="BN621">
        <v>0</v>
      </c>
      <c r="BO621">
        <v>0</v>
      </c>
      <c r="BP621">
        <v>0</v>
      </c>
      <c r="BQ621">
        <v>0</v>
      </c>
      <c r="BR621">
        <v>0</v>
      </c>
      <c r="BS621">
        <v>0</v>
      </c>
      <c r="BT621">
        <v>0</v>
      </c>
      <c r="BU621">
        <v>0</v>
      </c>
      <c r="DG621" s="16">
        <f t="shared" si="54"/>
        <v>282</v>
      </c>
      <c r="DH621" s="16">
        <f t="shared" si="55"/>
        <v>7340</v>
      </c>
      <c r="DI621" s="17">
        <f t="shared" si="56"/>
        <v>26.028368794326241</v>
      </c>
      <c r="DJ621" s="119" t="s">
        <v>720</v>
      </c>
      <c r="DK621" s="44" t="s">
        <v>720</v>
      </c>
    </row>
    <row r="622" spans="1:115">
      <c r="A622" s="32" t="str">
        <f t="shared" si="52"/>
        <v>Endeavour--11/22 - 3 phase &lt;64kVA Substn</v>
      </c>
      <c r="B622" s="32" t="str">
        <f t="shared" si="53"/>
        <v>Endeavour</v>
      </c>
      <c r="C622" s="395"/>
      <c r="D622" s="3"/>
      <c r="E622" t="s">
        <v>629</v>
      </c>
      <c r="F622">
        <v>40</v>
      </c>
      <c r="G622">
        <v>6.324555320336759</v>
      </c>
      <c r="H622">
        <v>33</v>
      </c>
      <c r="I622">
        <v>66</v>
      </c>
      <c r="J622">
        <v>38</v>
      </c>
      <c r="K622">
        <v>58</v>
      </c>
      <c r="L622">
        <v>36</v>
      </c>
      <c r="M622">
        <v>50</v>
      </c>
      <c r="N622">
        <v>48</v>
      </c>
      <c r="O622">
        <v>53</v>
      </c>
      <c r="P622">
        <v>65</v>
      </c>
      <c r="Q622">
        <v>73</v>
      </c>
      <c r="R622">
        <v>92</v>
      </c>
      <c r="S622">
        <v>80</v>
      </c>
      <c r="T622">
        <v>79</v>
      </c>
      <c r="U622">
        <v>121</v>
      </c>
      <c r="V622">
        <v>103</v>
      </c>
      <c r="W622">
        <v>105</v>
      </c>
      <c r="X622">
        <v>103</v>
      </c>
      <c r="Y622">
        <v>104</v>
      </c>
      <c r="Z622">
        <v>125</v>
      </c>
      <c r="AA622">
        <v>129</v>
      </c>
      <c r="AB622">
        <v>146</v>
      </c>
      <c r="AC622">
        <v>134</v>
      </c>
      <c r="AD622">
        <v>153</v>
      </c>
      <c r="AE622">
        <v>183</v>
      </c>
      <c r="AF622">
        <v>190</v>
      </c>
      <c r="AG622">
        <v>144</v>
      </c>
      <c r="AH622">
        <v>150</v>
      </c>
      <c r="AI622">
        <v>180</v>
      </c>
      <c r="AJ622">
        <v>291</v>
      </c>
      <c r="AK622">
        <v>399</v>
      </c>
      <c r="AL622">
        <v>307</v>
      </c>
      <c r="AM622">
        <v>410</v>
      </c>
      <c r="AN622">
        <v>211</v>
      </c>
      <c r="AO622">
        <v>166</v>
      </c>
      <c r="AP622">
        <v>101</v>
      </c>
      <c r="AQ622">
        <v>71</v>
      </c>
      <c r="AR622">
        <v>68</v>
      </c>
      <c r="AS622">
        <v>82</v>
      </c>
      <c r="AT622">
        <v>64</v>
      </c>
      <c r="AU622">
        <v>43</v>
      </c>
      <c r="AV622">
        <v>62</v>
      </c>
      <c r="AW622">
        <v>40</v>
      </c>
      <c r="AX622">
        <v>30</v>
      </c>
      <c r="AY622">
        <v>46</v>
      </c>
      <c r="AZ622">
        <v>50</v>
      </c>
      <c r="BA622">
        <v>61</v>
      </c>
      <c r="BB622">
        <v>42</v>
      </c>
      <c r="BC622">
        <v>43</v>
      </c>
      <c r="BD622">
        <v>55</v>
      </c>
      <c r="BE622">
        <v>43</v>
      </c>
      <c r="BF622">
        <v>28</v>
      </c>
      <c r="BG622">
        <v>38</v>
      </c>
      <c r="BH622">
        <v>28</v>
      </c>
      <c r="BI622">
        <v>15</v>
      </c>
      <c r="BJ622">
        <v>29</v>
      </c>
      <c r="BK622">
        <v>20</v>
      </c>
      <c r="BL622">
        <v>34</v>
      </c>
      <c r="BM622">
        <v>16</v>
      </c>
      <c r="BN622">
        <v>18</v>
      </c>
      <c r="BO622">
        <v>28</v>
      </c>
      <c r="BP622">
        <v>28</v>
      </c>
      <c r="BQ622">
        <v>19</v>
      </c>
      <c r="BR622">
        <v>11</v>
      </c>
      <c r="BS622">
        <v>10</v>
      </c>
      <c r="BT622">
        <v>10</v>
      </c>
      <c r="BU622">
        <v>10</v>
      </c>
      <c r="DG622" s="16">
        <f t="shared" si="54"/>
        <v>5868</v>
      </c>
      <c r="DH622" s="16">
        <f t="shared" si="55"/>
        <v>163688</v>
      </c>
      <c r="DI622" s="17">
        <f t="shared" si="56"/>
        <v>27.895023858214042</v>
      </c>
      <c r="DJ622" s="119" t="s">
        <v>720</v>
      </c>
      <c r="DK622" s="44" t="s">
        <v>720</v>
      </c>
    </row>
    <row r="623" spans="1:115">
      <c r="A623" s="32" t="str">
        <f t="shared" si="52"/>
        <v>Endeavour--11/22 - 3 phase &gt;=64kVA Substn</v>
      </c>
      <c r="B623" s="32" t="str">
        <f t="shared" si="53"/>
        <v>Endeavour</v>
      </c>
      <c r="C623" s="395"/>
      <c r="D623" s="3"/>
      <c r="E623" t="s">
        <v>630</v>
      </c>
      <c r="F623">
        <v>40</v>
      </c>
      <c r="G623">
        <v>6.324555320336759</v>
      </c>
      <c r="H623">
        <v>93</v>
      </c>
      <c r="I623">
        <v>144</v>
      </c>
      <c r="J623">
        <v>123</v>
      </c>
      <c r="K623">
        <v>141</v>
      </c>
      <c r="L623">
        <v>157</v>
      </c>
      <c r="M623">
        <v>144</v>
      </c>
      <c r="N623">
        <v>202</v>
      </c>
      <c r="O623">
        <v>139</v>
      </c>
      <c r="P623">
        <v>211</v>
      </c>
      <c r="Q623">
        <v>286</v>
      </c>
      <c r="R623">
        <v>263</v>
      </c>
      <c r="S623">
        <v>224</v>
      </c>
      <c r="T623">
        <v>198</v>
      </c>
      <c r="U623">
        <v>157</v>
      </c>
      <c r="V623">
        <v>132</v>
      </c>
      <c r="W623">
        <v>107</v>
      </c>
      <c r="X623">
        <v>82</v>
      </c>
      <c r="Y623">
        <v>132</v>
      </c>
      <c r="Z623">
        <v>177</v>
      </c>
      <c r="AA623">
        <v>170</v>
      </c>
      <c r="AB623">
        <v>179</v>
      </c>
      <c r="AC623">
        <v>157</v>
      </c>
      <c r="AD623">
        <v>248</v>
      </c>
      <c r="AE623">
        <v>202</v>
      </c>
      <c r="AF623">
        <v>206</v>
      </c>
      <c r="AG623">
        <v>197</v>
      </c>
      <c r="AH623">
        <v>122</v>
      </c>
      <c r="AI623">
        <v>160</v>
      </c>
      <c r="AJ623">
        <v>223</v>
      </c>
      <c r="AK623">
        <v>306</v>
      </c>
      <c r="AL623">
        <v>260</v>
      </c>
      <c r="AM623">
        <v>1057</v>
      </c>
      <c r="AN623">
        <v>866</v>
      </c>
      <c r="AO623">
        <v>593</v>
      </c>
      <c r="AP623">
        <v>435</v>
      </c>
      <c r="AQ623">
        <v>390</v>
      </c>
      <c r="AR623">
        <v>350</v>
      </c>
      <c r="AS623">
        <v>349</v>
      </c>
      <c r="AT623">
        <v>222</v>
      </c>
      <c r="AU623">
        <v>102</v>
      </c>
      <c r="AV623">
        <v>101</v>
      </c>
      <c r="AW623">
        <v>143</v>
      </c>
      <c r="AX623">
        <v>131</v>
      </c>
      <c r="AY623">
        <v>180</v>
      </c>
      <c r="AZ623">
        <v>166</v>
      </c>
      <c r="BA623">
        <v>166</v>
      </c>
      <c r="BB623">
        <v>215</v>
      </c>
      <c r="BC623">
        <v>222</v>
      </c>
      <c r="BD623">
        <v>205</v>
      </c>
      <c r="BE623">
        <v>181</v>
      </c>
      <c r="BF623">
        <v>137</v>
      </c>
      <c r="BG623">
        <v>127</v>
      </c>
      <c r="BH623">
        <v>140</v>
      </c>
      <c r="BI623">
        <v>108</v>
      </c>
      <c r="BJ623">
        <v>99</v>
      </c>
      <c r="BK623">
        <v>97</v>
      </c>
      <c r="BL623">
        <v>98</v>
      </c>
      <c r="BM623">
        <v>90</v>
      </c>
      <c r="BN623">
        <v>98</v>
      </c>
      <c r="BO623">
        <v>102</v>
      </c>
      <c r="BP623">
        <v>102</v>
      </c>
      <c r="BQ623">
        <v>93</v>
      </c>
      <c r="BR623">
        <v>91</v>
      </c>
      <c r="BS623">
        <v>89</v>
      </c>
      <c r="BT623">
        <v>89</v>
      </c>
      <c r="BU623">
        <v>90</v>
      </c>
      <c r="DG623" s="16">
        <f t="shared" si="54"/>
        <v>13266</v>
      </c>
      <c r="DH623" s="16">
        <f t="shared" si="55"/>
        <v>419355</v>
      </c>
      <c r="DI623" s="17">
        <f t="shared" si="56"/>
        <v>31.611261872455902</v>
      </c>
      <c r="DJ623" s="119" t="s">
        <v>720</v>
      </c>
      <c r="DK623" s="44" t="s">
        <v>720</v>
      </c>
    </row>
    <row r="624" spans="1:115">
      <c r="A624" s="32" t="str">
        <f t="shared" si="52"/>
        <v>Endeavour--11/22 - kiosk and pad mount &lt;=500kVA Substn</v>
      </c>
      <c r="B624" s="32" t="str">
        <f t="shared" si="53"/>
        <v>Endeavour</v>
      </c>
      <c r="C624" s="395"/>
      <c r="D624" s="3"/>
      <c r="E624" t="s">
        <v>631</v>
      </c>
      <c r="F624">
        <v>40</v>
      </c>
      <c r="G624">
        <v>6.324555320336759</v>
      </c>
      <c r="H624">
        <v>268</v>
      </c>
      <c r="I624">
        <v>240</v>
      </c>
      <c r="J624">
        <v>322</v>
      </c>
      <c r="K624">
        <v>237</v>
      </c>
      <c r="L624">
        <v>183</v>
      </c>
      <c r="M624">
        <v>186</v>
      </c>
      <c r="N624">
        <v>218</v>
      </c>
      <c r="O624">
        <v>200</v>
      </c>
      <c r="P624">
        <v>287</v>
      </c>
      <c r="Q624">
        <v>383</v>
      </c>
      <c r="R624">
        <v>235</v>
      </c>
      <c r="S624">
        <v>219</v>
      </c>
      <c r="T624">
        <v>187</v>
      </c>
      <c r="U624">
        <v>197</v>
      </c>
      <c r="V624">
        <v>149</v>
      </c>
      <c r="W624">
        <v>143</v>
      </c>
      <c r="X624">
        <v>121</v>
      </c>
      <c r="Y624">
        <v>144</v>
      </c>
      <c r="Z624">
        <v>160</v>
      </c>
      <c r="AA624">
        <v>131</v>
      </c>
      <c r="AB624">
        <v>137</v>
      </c>
      <c r="AC624">
        <v>114</v>
      </c>
      <c r="AD624">
        <v>184</v>
      </c>
      <c r="AE624">
        <v>191</v>
      </c>
      <c r="AF624">
        <v>187</v>
      </c>
      <c r="AG624">
        <v>178</v>
      </c>
      <c r="AH624">
        <v>170</v>
      </c>
      <c r="AI624">
        <v>210</v>
      </c>
      <c r="AJ624">
        <v>183</v>
      </c>
      <c r="AK624">
        <v>169</v>
      </c>
      <c r="AL624">
        <v>297</v>
      </c>
      <c r="AM624">
        <v>375</v>
      </c>
      <c r="AN624">
        <v>262</v>
      </c>
      <c r="AO624">
        <v>192</v>
      </c>
      <c r="AP624">
        <v>142</v>
      </c>
      <c r="AQ624">
        <v>120</v>
      </c>
      <c r="AR624">
        <v>89</v>
      </c>
      <c r="AS624">
        <v>123</v>
      </c>
      <c r="AT624">
        <v>107</v>
      </c>
      <c r="AU624">
        <v>49</v>
      </c>
      <c r="AV624">
        <v>38</v>
      </c>
      <c r="AW624">
        <v>15</v>
      </c>
      <c r="AX624">
        <v>12</v>
      </c>
      <c r="AY624">
        <v>10</v>
      </c>
      <c r="AZ624">
        <v>3</v>
      </c>
      <c r="BA624">
        <v>3</v>
      </c>
      <c r="BB624">
        <v>7</v>
      </c>
      <c r="BC624">
        <v>7</v>
      </c>
      <c r="BD624">
        <v>7</v>
      </c>
      <c r="BE624">
        <v>7</v>
      </c>
      <c r="BF624">
        <v>5</v>
      </c>
      <c r="BG624">
        <v>8</v>
      </c>
      <c r="BH624">
        <v>6</v>
      </c>
      <c r="BI624">
        <v>36</v>
      </c>
      <c r="BJ624">
        <v>5</v>
      </c>
      <c r="BK624">
        <v>5</v>
      </c>
      <c r="BL624">
        <v>5</v>
      </c>
      <c r="BM624">
        <v>5</v>
      </c>
      <c r="BN624">
        <v>5</v>
      </c>
      <c r="BO624">
        <v>5</v>
      </c>
      <c r="BP624">
        <v>5</v>
      </c>
      <c r="BQ624">
        <v>5</v>
      </c>
      <c r="BR624">
        <v>5</v>
      </c>
      <c r="BS624">
        <v>5</v>
      </c>
      <c r="BT624">
        <v>5</v>
      </c>
      <c r="BU624">
        <v>5</v>
      </c>
      <c r="DG624" s="16">
        <f t="shared" si="54"/>
        <v>7913</v>
      </c>
      <c r="DH624" s="16">
        <f t="shared" si="55"/>
        <v>154926</v>
      </c>
      <c r="DI624" s="17">
        <f t="shared" si="56"/>
        <v>19.578668014659421</v>
      </c>
      <c r="DJ624" s="119" t="s">
        <v>720</v>
      </c>
      <c r="DK624" s="44" t="s">
        <v>720</v>
      </c>
    </row>
    <row r="625" spans="1:117">
      <c r="A625" s="32" t="str">
        <f t="shared" si="52"/>
        <v>Endeavour--11/22 - kiosk and pad mount &gt;500kVA Substn</v>
      </c>
      <c r="B625" s="32" t="str">
        <f t="shared" si="53"/>
        <v>Endeavour</v>
      </c>
      <c r="C625" s="395"/>
      <c r="D625" s="3"/>
      <c r="E625" t="s">
        <v>632</v>
      </c>
      <c r="F625">
        <v>40</v>
      </c>
      <c r="G625">
        <v>6.324555320336759</v>
      </c>
      <c r="H625">
        <v>60</v>
      </c>
      <c r="I625">
        <v>69</v>
      </c>
      <c r="J625">
        <v>82</v>
      </c>
      <c r="K625">
        <v>50</v>
      </c>
      <c r="L625">
        <v>75</v>
      </c>
      <c r="M625">
        <v>85</v>
      </c>
      <c r="N625">
        <v>89</v>
      </c>
      <c r="O625">
        <v>83</v>
      </c>
      <c r="P625">
        <v>96</v>
      </c>
      <c r="Q625">
        <v>86</v>
      </c>
      <c r="R625">
        <v>83</v>
      </c>
      <c r="S625">
        <v>55</v>
      </c>
      <c r="T625">
        <v>67</v>
      </c>
      <c r="U625">
        <v>57</v>
      </c>
      <c r="V625">
        <v>64</v>
      </c>
      <c r="W625">
        <v>47</v>
      </c>
      <c r="X625">
        <v>41</v>
      </c>
      <c r="Y625">
        <v>33</v>
      </c>
      <c r="Z625">
        <v>36</v>
      </c>
      <c r="AA625">
        <v>27</v>
      </c>
      <c r="AB625">
        <v>30</v>
      </c>
      <c r="AC625">
        <v>28</v>
      </c>
      <c r="AD625">
        <v>47</v>
      </c>
      <c r="AE625">
        <v>31</v>
      </c>
      <c r="AF625">
        <v>38</v>
      </c>
      <c r="AG625">
        <v>33</v>
      </c>
      <c r="AH625">
        <v>38</v>
      </c>
      <c r="AI625">
        <v>33</v>
      </c>
      <c r="AJ625">
        <v>31</v>
      </c>
      <c r="AK625">
        <v>14</v>
      </c>
      <c r="AL625">
        <v>37</v>
      </c>
      <c r="AM625">
        <v>48</v>
      </c>
      <c r="AN625">
        <v>35</v>
      </c>
      <c r="AO625">
        <v>30</v>
      </c>
      <c r="AP625">
        <v>26</v>
      </c>
      <c r="AQ625">
        <v>17</v>
      </c>
      <c r="AR625">
        <v>12</v>
      </c>
      <c r="AS625">
        <v>17</v>
      </c>
      <c r="AT625">
        <v>17</v>
      </c>
      <c r="AU625">
        <v>1</v>
      </c>
      <c r="AV625">
        <v>3</v>
      </c>
      <c r="AW625">
        <v>9</v>
      </c>
      <c r="AX625">
        <v>2</v>
      </c>
      <c r="AY625">
        <v>1</v>
      </c>
      <c r="AZ625">
        <v>2</v>
      </c>
      <c r="BA625">
        <v>3</v>
      </c>
      <c r="BB625">
        <v>2</v>
      </c>
      <c r="BC625">
        <v>2</v>
      </c>
      <c r="BD625">
        <v>2</v>
      </c>
      <c r="BE625">
        <v>3</v>
      </c>
      <c r="BF625">
        <v>2</v>
      </c>
      <c r="BG625">
        <v>2</v>
      </c>
      <c r="BH625">
        <v>2</v>
      </c>
      <c r="BI625">
        <v>3</v>
      </c>
      <c r="BJ625">
        <v>2</v>
      </c>
      <c r="BK625">
        <v>2</v>
      </c>
      <c r="BL625">
        <v>2</v>
      </c>
      <c r="BM625">
        <v>2</v>
      </c>
      <c r="BN625">
        <v>3</v>
      </c>
      <c r="BO625">
        <v>2</v>
      </c>
      <c r="BP625">
        <v>2</v>
      </c>
      <c r="BQ625">
        <v>2</v>
      </c>
      <c r="BR625">
        <v>2</v>
      </c>
      <c r="BS625">
        <v>2</v>
      </c>
      <c r="BT625">
        <v>2</v>
      </c>
      <c r="BU625">
        <v>2</v>
      </c>
      <c r="DG625" s="16">
        <f t="shared" si="54"/>
        <v>1911</v>
      </c>
      <c r="DH625" s="16">
        <f t="shared" si="55"/>
        <v>31612</v>
      </c>
      <c r="DI625" s="17">
        <f t="shared" si="56"/>
        <v>16.542124542124544</v>
      </c>
      <c r="DJ625" s="119" t="s">
        <v>720</v>
      </c>
      <c r="DK625" s="44" t="s">
        <v>720</v>
      </c>
    </row>
    <row r="626" spans="1:117">
      <c r="A626" s="32" t="str">
        <f t="shared" si="52"/>
        <v>Endeavour--11/22 Switching Station</v>
      </c>
      <c r="B626" s="32" t="str">
        <f t="shared" si="53"/>
        <v>Endeavour</v>
      </c>
      <c r="C626" s="395"/>
      <c r="D626" s="3"/>
      <c r="E626" t="s">
        <v>633</v>
      </c>
      <c r="F626">
        <v>40</v>
      </c>
      <c r="G626">
        <v>6.324555320336759</v>
      </c>
      <c r="H626">
        <v>22</v>
      </c>
      <c r="I626">
        <v>18</v>
      </c>
      <c r="J626">
        <v>9</v>
      </c>
      <c r="K626">
        <v>8</v>
      </c>
      <c r="L626">
        <v>6</v>
      </c>
      <c r="M626">
        <v>7</v>
      </c>
      <c r="N626">
        <v>8</v>
      </c>
      <c r="O626">
        <v>10</v>
      </c>
      <c r="P626">
        <v>14</v>
      </c>
      <c r="Q626">
        <v>16</v>
      </c>
      <c r="R626">
        <v>7</v>
      </c>
      <c r="S626">
        <v>3</v>
      </c>
      <c r="T626">
        <v>3</v>
      </c>
      <c r="U626">
        <v>10</v>
      </c>
      <c r="V626">
        <v>5</v>
      </c>
      <c r="W626">
        <v>12</v>
      </c>
      <c r="X626">
        <v>2</v>
      </c>
      <c r="Y626">
        <v>5</v>
      </c>
      <c r="Z626">
        <v>9</v>
      </c>
      <c r="AA626">
        <v>7</v>
      </c>
      <c r="AB626">
        <v>15</v>
      </c>
      <c r="AC626">
        <v>9</v>
      </c>
      <c r="AD626">
        <v>4</v>
      </c>
      <c r="AE626">
        <v>5</v>
      </c>
      <c r="AF626">
        <v>2</v>
      </c>
      <c r="AG626">
        <v>5</v>
      </c>
      <c r="AH626">
        <v>8</v>
      </c>
      <c r="AI626">
        <v>9</v>
      </c>
      <c r="AJ626">
        <v>3</v>
      </c>
      <c r="AK626">
        <v>9</v>
      </c>
      <c r="AL626">
        <v>43</v>
      </c>
      <c r="AM626">
        <v>5</v>
      </c>
      <c r="AN626">
        <v>4</v>
      </c>
      <c r="AO626">
        <v>4</v>
      </c>
      <c r="AP626">
        <v>0</v>
      </c>
      <c r="AQ626">
        <v>3</v>
      </c>
      <c r="AR626">
        <v>0</v>
      </c>
      <c r="AS626">
        <v>0</v>
      </c>
      <c r="AT626">
        <v>0</v>
      </c>
      <c r="AU626">
        <v>0</v>
      </c>
      <c r="AV626">
        <v>0</v>
      </c>
      <c r="AW626">
        <v>0</v>
      </c>
      <c r="AX626">
        <v>0</v>
      </c>
      <c r="AY626">
        <v>1</v>
      </c>
      <c r="AZ626">
        <v>0</v>
      </c>
      <c r="BA626">
        <v>0</v>
      </c>
      <c r="BB626">
        <v>0</v>
      </c>
      <c r="BC626">
        <v>0</v>
      </c>
      <c r="BD626">
        <v>0</v>
      </c>
      <c r="BE626">
        <v>0</v>
      </c>
      <c r="BF626">
        <v>0</v>
      </c>
      <c r="BG626">
        <v>0</v>
      </c>
      <c r="BH626">
        <v>0</v>
      </c>
      <c r="BI626">
        <v>2</v>
      </c>
      <c r="BJ626">
        <v>0</v>
      </c>
      <c r="BK626">
        <v>0</v>
      </c>
      <c r="BL626">
        <v>0</v>
      </c>
      <c r="BM626">
        <v>0</v>
      </c>
      <c r="BN626">
        <v>0</v>
      </c>
      <c r="BO626">
        <v>0</v>
      </c>
      <c r="BP626">
        <v>0</v>
      </c>
      <c r="BQ626">
        <v>0</v>
      </c>
      <c r="BR626">
        <v>0</v>
      </c>
      <c r="BS626">
        <v>0</v>
      </c>
      <c r="BT626">
        <v>0</v>
      </c>
      <c r="BU626">
        <v>0</v>
      </c>
      <c r="DG626" s="16">
        <f t="shared" si="54"/>
        <v>312</v>
      </c>
      <c r="DH626" s="16">
        <f t="shared" si="55"/>
        <v>5356</v>
      </c>
      <c r="DI626" s="17">
        <f t="shared" si="56"/>
        <v>17.166666666666668</v>
      </c>
      <c r="DJ626" s="119" t="s">
        <v>720</v>
      </c>
      <c r="DK626" s="44" t="s">
        <v>720</v>
      </c>
    </row>
    <row r="627" spans="1:117">
      <c r="A627" s="32" t="str">
        <f t="shared" si="52"/>
        <v>Endeavour--12.7 SWER All sizes Substn</v>
      </c>
      <c r="B627" s="32" t="str">
        <f t="shared" si="53"/>
        <v>Endeavour</v>
      </c>
      <c r="C627" s="395"/>
      <c r="D627" s="3"/>
      <c r="E627" t="s">
        <v>634</v>
      </c>
      <c r="F627">
        <v>40</v>
      </c>
      <c r="G627">
        <v>6.324555320336759</v>
      </c>
      <c r="H627">
        <v>0</v>
      </c>
      <c r="I627">
        <v>3</v>
      </c>
      <c r="J627">
        <v>1</v>
      </c>
      <c r="K627">
        <v>1</v>
      </c>
      <c r="L627">
        <v>1</v>
      </c>
      <c r="M627">
        <v>0</v>
      </c>
      <c r="N627">
        <v>0</v>
      </c>
      <c r="O627">
        <v>0</v>
      </c>
      <c r="P627">
        <v>0</v>
      </c>
      <c r="Q627">
        <v>0</v>
      </c>
      <c r="R627">
        <v>2</v>
      </c>
      <c r="S627">
        <v>1</v>
      </c>
      <c r="T627">
        <v>4</v>
      </c>
      <c r="U627">
        <v>1</v>
      </c>
      <c r="V627">
        <v>1</v>
      </c>
      <c r="W627">
        <v>1</v>
      </c>
      <c r="X627">
        <v>6</v>
      </c>
      <c r="Y627">
        <v>1</v>
      </c>
      <c r="Z627">
        <v>1</v>
      </c>
      <c r="AA627">
        <v>2</v>
      </c>
      <c r="AB627">
        <v>5</v>
      </c>
      <c r="AC627">
        <v>3</v>
      </c>
      <c r="AD627">
        <v>10</v>
      </c>
      <c r="AE627">
        <v>6</v>
      </c>
      <c r="AF627">
        <v>10</v>
      </c>
      <c r="AG627">
        <v>4</v>
      </c>
      <c r="AH627">
        <v>2</v>
      </c>
      <c r="AI627">
        <v>21</v>
      </c>
      <c r="AJ627">
        <v>79</v>
      </c>
      <c r="AK627">
        <v>64</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DG627" s="16">
        <f t="shared" si="54"/>
        <v>230</v>
      </c>
      <c r="DH627" s="16">
        <f t="shared" si="55"/>
        <v>6080</v>
      </c>
      <c r="DI627" s="17">
        <f t="shared" si="56"/>
        <v>26.434782608695652</v>
      </c>
      <c r="DJ627" s="119" t="s">
        <v>720</v>
      </c>
      <c r="DK627" s="44" t="s">
        <v>720</v>
      </c>
    </row>
    <row r="628" spans="1:117">
      <c r="A628" s="32" t="str">
        <f t="shared" si="52"/>
        <v>Endeavour--33 - 3 phase &lt;64kVA Substn</v>
      </c>
      <c r="B628" s="32" t="str">
        <f t="shared" si="53"/>
        <v>Endeavour</v>
      </c>
      <c r="C628" s="395"/>
      <c r="D628" s="3"/>
      <c r="E628" t="s">
        <v>635</v>
      </c>
      <c r="F628">
        <v>40</v>
      </c>
      <c r="G628">
        <v>6.324555320336759</v>
      </c>
      <c r="H628">
        <v>0</v>
      </c>
      <c r="I628">
        <v>0</v>
      </c>
      <c r="J628">
        <v>1</v>
      </c>
      <c r="K628">
        <v>0</v>
      </c>
      <c r="L628">
        <v>0</v>
      </c>
      <c r="M628">
        <v>0</v>
      </c>
      <c r="N628">
        <v>1</v>
      </c>
      <c r="O628">
        <v>0</v>
      </c>
      <c r="P628">
        <v>0</v>
      </c>
      <c r="Q628">
        <v>0</v>
      </c>
      <c r="R628">
        <v>1</v>
      </c>
      <c r="S628">
        <v>0</v>
      </c>
      <c r="T628">
        <v>0</v>
      </c>
      <c r="U628">
        <v>0</v>
      </c>
      <c r="V628">
        <v>0</v>
      </c>
      <c r="W628">
        <v>0</v>
      </c>
      <c r="X628">
        <v>1</v>
      </c>
      <c r="Y628">
        <v>0</v>
      </c>
      <c r="Z628">
        <v>0</v>
      </c>
      <c r="AA628">
        <v>1</v>
      </c>
      <c r="AB628">
        <v>0</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v>0</v>
      </c>
      <c r="BR628">
        <v>0</v>
      </c>
      <c r="BS628">
        <v>0</v>
      </c>
      <c r="BT628">
        <v>0</v>
      </c>
      <c r="BU628">
        <v>0</v>
      </c>
      <c r="DG628" s="16">
        <f t="shared" si="54"/>
        <v>5</v>
      </c>
      <c r="DH628" s="16">
        <f t="shared" si="55"/>
        <v>58</v>
      </c>
      <c r="DI628" s="17">
        <f t="shared" si="56"/>
        <v>11.6</v>
      </c>
      <c r="DJ628" s="119" t="s">
        <v>720</v>
      </c>
      <c r="DK628" s="44" t="s">
        <v>720</v>
      </c>
    </row>
    <row r="629" spans="1:117">
      <c r="A629" s="32" t="str">
        <f t="shared" si="52"/>
        <v>Endeavour--33 - 3 phase &gt;=64kVA Substn</v>
      </c>
      <c r="B629" s="32" t="str">
        <f t="shared" si="53"/>
        <v>Endeavour</v>
      </c>
      <c r="C629" s="395"/>
      <c r="D629" s="3"/>
      <c r="E629" t="s">
        <v>636</v>
      </c>
      <c r="F629">
        <v>40</v>
      </c>
      <c r="G629">
        <v>6.324555320336759</v>
      </c>
      <c r="H629">
        <v>0</v>
      </c>
      <c r="I629">
        <v>0</v>
      </c>
      <c r="J629">
        <v>0</v>
      </c>
      <c r="K629">
        <v>0</v>
      </c>
      <c r="L629">
        <v>0</v>
      </c>
      <c r="M629">
        <v>1</v>
      </c>
      <c r="N629">
        <v>0</v>
      </c>
      <c r="O629">
        <v>0</v>
      </c>
      <c r="P629">
        <v>1</v>
      </c>
      <c r="Q629">
        <v>0</v>
      </c>
      <c r="R629">
        <v>0</v>
      </c>
      <c r="S629">
        <v>0</v>
      </c>
      <c r="T629">
        <v>0</v>
      </c>
      <c r="U629">
        <v>1</v>
      </c>
      <c r="V629">
        <v>1</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DG629" s="16">
        <f t="shared" si="54"/>
        <v>4</v>
      </c>
      <c r="DH629" s="16">
        <f t="shared" si="55"/>
        <v>44</v>
      </c>
      <c r="DI629" s="17">
        <f t="shared" si="56"/>
        <v>11</v>
      </c>
      <c r="DJ629" s="119" t="s">
        <v>720</v>
      </c>
      <c r="DK629" s="44" t="s">
        <v>720</v>
      </c>
    </row>
    <row r="630" spans="1:117">
      <c r="A630" s="32" t="str">
        <f t="shared" si="52"/>
        <v>Endeavour--Cap Bank 11</v>
      </c>
      <c r="B630" s="32" t="str">
        <f t="shared" si="53"/>
        <v>Endeavour</v>
      </c>
      <c r="C630" s="395"/>
      <c r="D630" s="3"/>
      <c r="E630" t="s">
        <v>637</v>
      </c>
      <c r="F630">
        <v>50</v>
      </c>
      <c r="G630">
        <v>7.0710678118654755</v>
      </c>
      <c r="H630">
        <v>5</v>
      </c>
      <c r="I630">
        <v>1</v>
      </c>
      <c r="J630">
        <v>5</v>
      </c>
      <c r="K630">
        <v>3</v>
      </c>
      <c r="L630">
        <v>1</v>
      </c>
      <c r="M630">
        <v>4</v>
      </c>
      <c r="N630">
        <v>1</v>
      </c>
      <c r="O630">
        <v>0</v>
      </c>
      <c r="P630">
        <v>7</v>
      </c>
      <c r="Q630">
        <v>36</v>
      </c>
      <c r="R630">
        <v>39</v>
      </c>
      <c r="S630">
        <v>10</v>
      </c>
      <c r="T630">
        <v>0</v>
      </c>
      <c r="U630">
        <v>0</v>
      </c>
      <c r="V630">
        <v>0</v>
      </c>
      <c r="W630">
        <v>0</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c r="DG630" s="16">
        <f t="shared" si="54"/>
        <v>112</v>
      </c>
      <c r="DH630" s="16">
        <f t="shared" si="55"/>
        <v>1042</v>
      </c>
      <c r="DI630" s="17">
        <f t="shared" si="56"/>
        <v>9.3035714285714288</v>
      </c>
      <c r="DJ630" s="119" t="s">
        <v>720</v>
      </c>
      <c r="DK630" s="44" t="s">
        <v>720</v>
      </c>
    </row>
    <row r="631" spans="1:117">
      <c r="A631" s="32" t="str">
        <f t="shared" si="52"/>
        <v>Endeavour--Cap Bank 22</v>
      </c>
      <c r="B631" s="32" t="str">
        <f t="shared" si="53"/>
        <v>Endeavour</v>
      </c>
      <c r="C631" s="395"/>
      <c r="D631" s="3"/>
      <c r="E631" t="s">
        <v>638</v>
      </c>
      <c r="F631">
        <v>50</v>
      </c>
      <c r="G631">
        <v>7.0710678118654755</v>
      </c>
      <c r="H631">
        <v>0</v>
      </c>
      <c r="I631">
        <v>0</v>
      </c>
      <c r="J631">
        <v>2</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0</v>
      </c>
      <c r="AU631">
        <v>0</v>
      </c>
      <c r="AV631">
        <v>0</v>
      </c>
      <c r="AW631">
        <v>0</v>
      </c>
      <c r="AX631">
        <v>0</v>
      </c>
      <c r="AY631">
        <v>0</v>
      </c>
      <c r="DG631" s="16">
        <f t="shared" si="54"/>
        <v>2</v>
      </c>
      <c r="DH631" s="16">
        <f t="shared" si="55"/>
        <v>6</v>
      </c>
      <c r="DI631" s="17">
        <f t="shared" si="56"/>
        <v>3</v>
      </c>
      <c r="DJ631" s="119" t="s">
        <v>720</v>
      </c>
      <c r="DK631" s="44" t="s">
        <v>720</v>
      </c>
    </row>
    <row r="632" spans="1:117">
      <c r="A632" s="32" t="str">
        <f t="shared" si="52"/>
        <v>Endeavour--Cap Bank 33</v>
      </c>
      <c r="B632" s="32" t="str">
        <f t="shared" si="53"/>
        <v>Endeavour</v>
      </c>
      <c r="C632" s="395"/>
      <c r="D632" s="3"/>
      <c r="E632" t="s">
        <v>639</v>
      </c>
      <c r="F632">
        <v>50</v>
      </c>
      <c r="G632">
        <v>7.0710678118654755</v>
      </c>
      <c r="H632">
        <v>3</v>
      </c>
      <c r="I632">
        <v>3</v>
      </c>
      <c r="J632">
        <v>0</v>
      </c>
      <c r="K632">
        <v>0</v>
      </c>
      <c r="L632">
        <v>0</v>
      </c>
      <c r="M632">
        <v>0</v>
      </c>
      <c r="N632">
        <v>0</v>
      </c>
      <c r="O632">
        <v>0</v>
      </c>
      <c r="P632">
        <v>0</v>
      </c>
      <c r="Q632">
        <v>0</v>
      </c>
      <c r="R632">
        <v>0</v>
      </c>
      <c r="S632">
        <v>1</v>
      </c>
      <c r="T632">
        <v>0</v>
      </c>
      <c r="U632">
        <v>0</v>
      </c>
      <c r="V632">
        <v>2</v>
      </c>
      <c r="W632">
        <v>0</v>
      </c>
      <c r="X632">
        <v>2</v>
      </c>
      <c r="Y632">
        <v>1</v>
      </c>
      <c r="Z632">
        <v>0</v>
      </c>
      <c r="AA632">
        <v>0</v>
      </c>
      <c r="AB632">
        <v>0</v>
      </c>
      <c r="AC632">
        <v>2</v>
      </c>
      <c r="AD632">
        <v>17</v>
      </c>
      <c r="AE632">
        <v>1</v>
      </c>
      <c r="AF632">
        <v>0</v>
      </c>
      <c r="AG632">
        <v>0</v>
      </c>
      <c r="AH632">
        <v>0</v>
      </c>
      <c r="AI632">
        <v>0</v>
      </c>
      <c r="AJ632">
        <v>1</v>
      </c>
      <c r="AK632">
        <v>1</v>
      </c>
      <c r="AL632">
        <v>0</v>
      </c>
      <c r="AM632">
        <v>0</v>
      </c>
      <c r="AN632">
        <v>2</v>
      </c>
      <c r="AO632">
        <v>0</v>
      </c>
      <c r="AP632">
        <v>0</v>
      </c>
      <c r="AQ632">
        <v>0</v>
      </c>
      <c r="AR632">
        <v>0</v>
      </c>
      <c r="AS632">
        <v>0</v>
      </c>
      <c r="AT632">
        <v>0</v>
      </c>
      <c r="AU632">
        <v>0</v>
      </c>
      <c r="AV632">
        <v>0</v>
      </c>
      <c r="AW632">
        <v>0</v>
      </c>
      <c r="AX632">
        <v>0</v>
      </c>
      <c r="AY632">
        <v>2</v>
      </c>
      <c r="DG632" s="16">
        <f t="shared" si="54"/>
        <v>38</v>
      </c>
      <c r="DH632" s="16">
        <f t="shared" si="55"/>
        <v>775</v>
      </c>
      <c r="DI632" s="17">
        <f t="shared" si="56"/>
        <v>20.394736842105264</v>
      </c>
      <c r="DJ632" s="119" t="s">
        <v>720</v>
      </c>
      <c r="DK632" s="44" t="s">
        <v>720</v>
      </c>
    </row>
    <row r="633" spans="1:117">
      <c r="A633" s="32" t="str">
        <f t="shared" si="52"/>
        <v>Endeavour--Cap Bank 66</v>
      </c>
      <c r="B633" s="32" t="str">
        <f t="shared" si="53"/>
        <v>Endeavour</v>
      </c>
      <c r="C633" s="395"/>
      <c r="D633" s="3"/>
      <c r="E633" t="s">
        <v>640</v>
      </c>
      <c r="F633">
        <v>50</v>
      </c>
      <c r="G633">
        <v>7.0710678118654755</v>
      </c>
      <c r="H633">
        <v>0</v>
      </c>
      <c r="I633">
        <v>0</v>
      </c>
      <c r="J633">
        <v>0</v>
      </c>
      <c r="K633">
        <v>0</v>
      </c>
      <c r="L633">
        <v>0</v>
      </c>
      <c r="M633">
        <v>2</v>
      </c>
      <c r="N633">
        <v>0</v>
      </c>
      <c r="O633">
        <v>0</v>
      </c>
      <c r="P633">
        <v>0</v>
      </c>
      <c r="Q633">
        <v>0</v>
      </c>
      <c r="R633">
        <v>0</v>
      </c>
      <c r="S633">
        <v>0</v>
      </c>
      <c r="T633">
        <v>0</v>
      </c>
      <c r="U633">
        <v>0</v>
      </c>
      <c r="V633">
        <v>0</v>
      </c>
      <c r="W633">
        <v>0</v>
      </c>
      <c r="X633">
        <v>0</v>
      </c>
      <c r="Y633">
        <v>0</v>
      </c>
      <c r="Z633">
        <v>0</v>
      </c>
      <c r="AA633">
        <v>0</v>
      </c>
      <c r="AB633">
        <v>0</v>
      </c>
      <c r="AC633">
        <v>0</v>
      </c>
      <c r="AD633">
        <v>2</v>
      </c>
      <c r="AE633">
        <v>0</v>
      </c>
      <c r="AF633">
        <v>0</v>
      </c>
      <c r="AG633">
        <v>0</v>
      </c>
      <c r="AH633">
        <v>0</v>
      </c>
      <c r="AI633">
        <v>0</v>
      </c>
      <c r="AJ633">
        <v>0</v>
      </c>
      <c r="AK633">
        <v>0</v>
      </c>
      <c r="AL633">
        <v>0</v>
      </c>
      <c r="AM633">
        <v>0</v>
      </c>
      <c r="AN633">
        <v>0</v>
      </c>
      <c r="AO633">
        <v>1</v>
      </c>
      <c r="AP633">
        <v>0</v>
      </c>
      <c r="AQ633">
        <v>0</v>
      </c>
      <c r="AR633">
        <v>0</v>
      </c>
      <c r="AS633">
        <v>0</v>
      </c>
      <c r="AT633">
        <v>0</v>
      </c>
      <c r="AU633">
        <v>0</v>
      </c>
      <c r="AV633">
        <v>0</v>
      </c>
      <c r="AW633">
        <v>0</v>
      </c>
      <c r="AX633">
        <v>0</v>
      </c>
      <c r="AY633">
        <v>0</v>
      </c>
      <c r="DG633" s="16">
        <f t="shared" si="54"/>
        <v>5</v>
      </c>
      <c r="DH633" s="16">
        <f t="shared" si="55"/>
        <v>92</v>
      </c>
      <c r="DI633" s="17">
        <f t="shared" si="56"/>
        <v>18.399999999999999</v>
      </c>
      <c r="DJ633" s="119" t="s">
        <v>720</v>
      </c>
      <c r="DK633" s="44" t="s">
        <v>720</v>
      </c>
    </row>
    <row r="634" spans="1:117">
      <c r="A634" s="32" t="str">
        <f t="shared" si="52"/>
        <v>Endeavour--Cap Bank 132</v>
      </c>
      <c r="B634" s="32" t="str">
        <f t="shared" si="53"/>
        <v>Endeavour</v>
      </c>
      <c r="C634" s="395"/>
      <c r="D634" s="3"/>
      <c r="E634" t="s">
        <v>641</v>
      </c>
      <c r="F634">
        <v>50</v>
      </c>
      <c r="G634">
        <v>7.0710678118654755</v>
      </c>
      <c r="H634">
        <v>1</v>
      </c>
      <c r="I634">
        <v>0</v>
      </c>
      <c r="J634">
        <v>0</v>
      </c>
      <c r="K634">
        <v>0</v>
      </c>
      <c r="L634">
        <v>1</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DG634" s="16">
        <f t="shared" si="54"/>
        <v>2</v>
      </c>
      <c r="DH634" s="16">
        <f t="shared" si="55"/>
        <v>6</v>
      </c>
      <c r="DI634" s="17">
        <f t="shared" si="56"/>
        <v>3</v>
      </c>
      <c r="DJ634" s="119" t="s">
        <v>720</v>
      </c>
      <c r="DK634" s="44" t="s">
        <v>720</v>
      </c>
    </row>
    <row r="635" spans="1:117" ht="60">
      <c r="A635" s="32" t="str">
        <f t="shared" si="52"/>
        <v>Ausgrid-POLES BY: 
HIGHEST OPERATING VOLTAGE ; MATERIAL TYPE;  STAKING (IF WOOD)-STAKING OF A WOODEN POLE</v>
      </c>
      <c r="B635" s="32" t="str">
        <f t="shared" si="53"/>
        <v>Ausgrid</v>
      </c>
      <c r="C635" s="396" t="s">
        <v>574</v>
      </c>
      <c r="D635" s="31" t="s">
        <v>311</v>
      </c>
      <c r="E635" s="30" t="s">
        <v>117</v>
      </c>
      <c r="F635" s="19">
        <v>6.77</v>
      </c>
      <c r="G635" s="19">
        <v>4.07</v>
      </c>
      <c r="H635" s="30">
        <v>2000</v>
      </c>
      <c r="I635" s="30">
        <v>2319</v>
      </c>
      <c r="J635" s="30">
        <v>1999</v>
      </c>
      <c r="K635" s="30">
        <v>3159</v>
      </c>
      <c r="L635" s="30">
        <v>2530</v>
      </c>
      <c r="M635" s="30">
        <v>3045</v>
      </c>
      <c r="N635" s="30">
        <v>1539</v>
      </c>
      <c r="O635" s="30">
        <v>1176</v>
      </c>
      <c r="P635" s="30">
        <v>1132</v>
      </c>
      <c r="Q635" s="30">
        <v>921</v>
      </c>
      <c r="R635" s="30">
        <v>1051</v>
      </c>
      <c r="S635" s="30">
        <v>543</v>
      </c>
      <c r="T635" s="30">
        <v>357</v>
      </c>
      <c r="U635" s="30">
        <v>332</v>
      </c>
      <c r="V635" s="30">
        <v>315</v>
      </c>
      <c r="W635" s="30">
        <v>310</v>
      </c>
      <c r="X635" s="30">
        <v>309</v>
      </c>
      <c r="Y635" s="30">
        <v>0</v>
      </c>
      <c r="Z635" s="30">
        <v>0</v>
      </c>
      <c r="AA635" s="30">
        <v>0</v>
      </c>
      <c r="AB635" s="30">
        <v>0</v>
      </c>
      <c r="AC635" s="30">
        <v>0</v>
      </c>
      <c r="AD635" s="30">
        <v>0</v>
      </c>
      <c r="AE635" s="30">
        <v>0</v>
      </c>
      <c r="AF635" s="30">
        <v>0</v>
      </c>
      <c r="AG635" s="30">
        <v>0</v>
      </c>
      <c r="AH635" s="30">
        <v>0</v>
      </c>
      <c r="AI635" s="30">
        <v>0</v>
      </c>
      <c r="AJ635" s="30">
        <v>0</v>
      </c>
      <c r="AK635" s="30">
        <v>0</v>
      </c>
      <c r="AL635" s="30">
        <v>0</v>
      </c>
      <c r="AM635" s="30">
        <v>0</v>
      </c>
      <c r="AN635" s="30">
        <v>0</v>
      </c>
      <c r="AO635" s="30">
        <v>0</v>
      </c>
      <c r="AP635" s="30">
        <v>0</v>
      </c>
      <c r="AQ635" s="30">
        <v>0</v>
      </c>
      <c r="AR635" s="30">
        <v>0</v>
      </c>
      <c r="AS635" s="30">
        <v>0</v>
      </c>
      <c r="AT635" s="30">
        <v>0</v>
      </c>
      <c r="AU635" s="30">
        <v>0</v>
      </c>
      <c r="AV635" s="30">
        <v>0</v>
      </c>
      <c r="AW635" s="30">
        <v>0</v>
      </c>
      <c r="AX635" s="30">
        <v>0</v>
      </c>
      <c r="AY635" s="30">
        <v>0</v>
      </c>
      <c r="AZ635" s="30">
        <v>0</v>
      </c>
      <c r="BA635" s="30">
        <v>0</v>
      </c>
      <c r="BB635" s="30">
        <v>0</v>
      </c>
      <c r="BC635" s="30">
        <v>0</v>
      </c>
      <c r="BD635" s="30">
        <v>0</v>
      </c>
      <c r="BE635" s="30">
        <v>0</v>
      </c>
      <c r="BF635" s="30">
        <v>0</v>
      </c>
      <c r="BG635" s="30">
        <v>0</v>
      </c>
      <c r="BH635" s="30">
        <v>0</v>
      </c>
      <c r="BI635" s="30">
        <v>0</v>
      </c>
      <c r="BJ635" s="30">
        <v>0</v>
      </c>
      <c r="BK635" s="30">
        <v>0</v>
      </c>
      <c r="BL635" s="30">
        <v>0</v>
      </c>
      <c r="BM635" s="30">
        <v>0</v>
      </c>
      <c r="BN635" s="30">
        <v>0</v>
      </c>
      <c r="BO635" s="30">
        <v>0</v>
      </c>
      <c r="BP635" s="30">
        <v>0</v>
      </c>
      <c r="BQ635" s="30">
        <v>0</v>
      </c>
      <c r="BR635" s="30">
        <v>0</v>
      </c>
      <c r="BS635" s="30">
        <v>0</v>
      </c>
      <c r="BT635" s="30">
        <v>0</v>
      </c>
      <c r="BU635" s="30">
        <v>0</v>
      </c>
      <c r="BV635" s="30">
        <v>0</v>
      </c>
      <c r="BW635" s="30">
        <v>0</v>
      </c>
      <c r="BX635" s="30">
        <v>0</v>
      </c>
      <c r="BY635" s="30">
        <v>0</v>
      </c>
      <c r="BZ635" s="30">
        <v>0</v>
      </c>
      <c r="CA635" s="30">
        <v>0</v>
      </c>
      <c r="CB635" s="30">
        <v>0</v>
      </c>
      <c r="CC635" s="30">
        <v>0</v>
      </c>
      <c r="CD635" s="30">
        <v>0</v>
      </c>
      <c r="CE635" s="30">
        <v>0</v>
      </c>
      <c r="CF635" s="30">
        <v>0</v>
      </c>
      <c r="CG635" s="30">
        <v>0</v>
      </c>
      <c r="CH635" s="30">
        <v>0</v>
      </c>
      <c r="CI635" s="30">
        <v>0</v>
      </c>
      <c r="CJ635" s="30">
        <v>0</v>
      </c>
      <c r="CK635" s="30">
        <v>0</v>
      </c>
      <c r="CL635" s="30">
        <v>0</v>
      </c>
      <c r="CM635" s="30">
        <v>0</v>
      </c>
      <c r="CN635" s="30">
        <v>0</v>
      </c>
      <c r="CO635" s="30">
        <v>0</v>
      </c>
      <c r="CP635" s="30">
        <v>0</v>
      </c>
      <c r="CQ635" s="30">
        <v>0</v>
      </c>
      <c r="CR635" s="30">
        <v>0</v>
      </c>
      <c r="CS635" s="30">
        <v>0</v>
      </c>
      <c r="CT635" s="30">
        <v>0</v>
      </c>
      <c r="CU635" s="30">
        <v>0</v>
      </c>
      <c r="CV635" s="30">
        <v>0</v>
      </c>
      <c r="CW635" s="30">
        <v>0</v>
      </c>
      <c r="CX635" s="30">
        <v>0</v>
      </c>
      <c r="CY635" s="30">
        <v>0</v>
      </c>
      <c r="CZ635" s="30">
        <v>0</v>
      </c>
      <c r="DA635" s="30">
        <v>0</v>
      </c>
      <c r="DB635" s="30">
        <v>0</v>
      </c>
      <c r="DC635" s="30">
        <v>0</v>
      </c>
      <c r="DD635" s="30">
        <v>0</v>
      </c>
      <c r="DE635" s="30">
        <v>0</v>
      </c>
      <c r="DF635" s="30">
        <v>0</v>
      </c>
      <c r="DG635" s="16">
        <f t="shared" si="54"/>
        <v>23037</v>
      </c>
      <c r="DH635" s="16">
        <f t="shared" si="55"/>
        <v>138074</v>
      </c>
      <c r="DI635" s="17">
        <f t="shared" si="56"/>
        <v>5.9935755523722705</v>
      </c>
      <c r="DJ635" s="119" t="s">
        <v>1</v>
      </c>
      <c r="DK635" t="s">
        <v>1</v>
      </c>
      <c r="DL635" s="44" t="s">
        <v>117</v>
      </c>
      <c r="DM635" s="44"/>
    </row>
    <row r="636" spans="1:117">
      <c r="A636" s="32" t="str">
        <f t="shared" si="52"/>
        <v>Ausgrid--˂ = 1 kV; WOOD</v>
      </c>
      <c r="B636" s="32" t="str">
        <f t="shared" si="53"/>
        <v>Ausgrid</v>
      </c>
      <c r="C636" s="397"/>
      <c r="D636" s="31"/>
      <c r="E636" s="30" t="s">
        <v>119</v>
      </c>
      <c r="F636" s="19">
        <v>40.61</v>
      </c>
      <c r="G636" s="19">
        <v>12.69</v>
      </c>
      <c r="H636" s="30">
        <v>3472</v>
      </c>
      <c r="I636" s="30">
        <v>4177</v>
      </c>
      <c r="J636" s="30">
        <v>3834</v>
      </c>
      <c r="K636" s="30">
        <v>3692</v>
      </c>
      <c r="L636" s="30">
        <v>3070</v>
      </c>
      <c r="M636" s="30">
        <v>3047</v>
      </c>
      <c r="N636" s="30">
        <v>2636</v>
      </c>
      <c r="O636" s="30">
        <v>2268</v>
      </c>
      <c r="P636" s="30">
        <v>1946</v>
      </c>
      <c r="Q636" s="30">
        <v>2219</v>
      </c>
      <c r="R636" s="30">
        <v>1761</v>
      </c>
      <c r="S636" s="30">
        <v>1692</v>
      </c>
      <c r="T636" s="30">
        <v>1451</v>
      </c>
      <c r="U636" s="30">
        <v>1504</v>
      </c>
      <c r="V636" s="30">
        <v>1514</v>
      </c>
      <c r="W636" s="30">
        <v>1911</v>
      </c>
      <c r="X636" s="30">
        <v>2066</v>
      </c>
      <c r="Y636" s="30">
        <v>3008</v>
      </c>
      <c r="Z636" s="30">
        <v>3035</v>
      </c>
      <c r="AA636" s="30">
        <v>2661</v>
      </c>
      <c r="AB636" s="30">
        <v>1833</v>
      </c>
      <c r="AC636" s="30">
        <v>1596</v>
      </c>
      <c r="AD636" s="30">
        <v>3836</v>
      </c>
      <c r="AE636" s="30">
        <v>3914</v>
      </c>
      <c r="AF636" s="30">
        <v>3309</v>
      </c>
      <c r="AG636" s="30">
        <v>2835</v>
      </c>
      <c r="AH636" s="30">
        <v>4496</v>
      </c>
      <c r="AI636" s="30">
        <v>3769</v>
      </c>
      <c r="AJ636" s="30">
        <v>3307</v>
      </c>
      <c r="AK636" s="30">
        <v>2424</v>
      </c>
      <c r="AL636" s="30">
        <v>3746</v>
      </c>
      <c r="AM636" s="30">
        <v>6318</v>
      </c>
      <c r="AN636" s="30">
        <v>5737</v>
      </c>
      <c r="AO636" s="30">
        <v>5545</v>
      </c>
      <c r="AP636" s="30">
        <v>4547</v>
      </c>
      <c r="AQ636" s="30">
        <v>3421</v>
      </c>
      <c r="AR636" s="30">
        <v>3896</v>
      </c>
      <c r="AS636" s="30">
        <v>2702</v>
      </c>
      <c r="AT636" s="30">
        <v>3759</v>
      </c>
      <c r="AU636" s="30">
        <v>4662</v>
      </c>
      <c r="AV636" s="30">
        <v>3493</v>
      </c>
      <c r="AW636" s="30">
        <v>6868</v>
      </c>
      <c r="AX636" s="30">
        <v>6784</v>
      </c>
      <c r="AY636" s="30">
        <v>5889</v>
      </c>
      <c r="AZ636" s="30">
        <v>7071</v>
      </c>
      <c r="BA636" s="30">
        <v>10210</v>
      </c>
      <c r="BB636" s="30">
        <v>12916</v>
      </c>
      <c r="BC636" s="30">
        <v>11384</v>
      </c>
      <c r="BD636" s="30">
        <v>14266</v>
      </c>
      <c r="BE636" s="30">
        <v>9873</v>
      </c>
      <c r="BF636" s="30">
        <v>14598</v>
      </c>
      <c r="BG636" s="30">
        <v>7793</v>
      </c>
      <c r="BH636" s="30">
        <v>9641</v>
      </c>
      <c r="BI636" s="30">
        <v>6295</v>
      </c>
      <c r="BJ636" s="30">
        <v>7700</v>
      </c>
      <c r="BK636" s="30">
        <v>4722</v>
      </c>
      <c r="BL636" s="30">
        <v>2435</v>
      </c>
      <c r="BM636" s="30">
        <v>655</v>
      </c>
      <c r="BN636" s="30">
        <v>3387</v>
      </c>
      <c r="BO636" s="30">
        <v>654</v>
      </c>
      <c r="BP636" s="30">
        <v>1287</v>
      </c>
      <c r="BQ636" s="30">
        <v>580</v>
      </c>
      <c r="BR636" s="30">
        <v>892</v>
      </c>
      <c r="BS636" s="30">
        <v>161</v>
      </c>
      <c r="BT636" s="30">
        <v>31</v>
      </c>
      <c r="BU636" s="30">
        <v>755</v>
      </c>
      <c r="BV636" s="30">
        <v>658</v>
      </c>
      <c r="BW636" s="30">
        <v>0</v>
      </c>
      <c r="BX636" s="30">
        <v>9</v>
      </c>
      <c r="BY636" s="30">
        <v>0</v>
      </c>
      <c r="BZ636" s="30">
        <v>915</v>
      </c>
      <c r="CA636" s="30">
        <v>0</v>
      </c>
      <c r="CB636" s="30">
        <v>0</v>
      </c>
      <c r="CC636" s="30">
        <v>0</v>
      </c>
      <c r="CD636" s="30">
        <v>0</v>
      </c>
      <c r="CE636" s="30">
        <v>0</v>
      </c>
      <c r="CF636" s="30">
        <v>0</v>
      </c>
      <c r="CG636" s="30">
        <v>0</v>
      </c>
      <c r="CH636" s="30">
        <v>0</v>
      </c>
      <c r="CI636" s="30">
        <v>0</v>
      </c>
      <c r="CJ636" s="30">
        <v>0</v>
      </c>
      <c r="CK636" s="30">
        <v>0</v>
      </c>
      <c r="CL636" s="30">
        <v>362</v>
      </c>
      <c r="CM636" s="30">
        <v>0</v>
      </c>
      <c r="CN636" s="30">
        <v>0</v>
      </c>
      <c r="CO636" s="30">
        <v>0</v>
      </c>
      <c r="CP636" s="30">
        <v>0</v>
      </c>
      <c r="CQ636" s="30">
        <v>0</v>
      </c>
      <c r="CR636" s="30">
        <v>0</v>
      </c>
      <c r="CS636" s="30">
        <v>0</v>
      </c>
      <c r="CT636" s="30">
        <v>0</v>
      </c>
      <c r="CU636" s="30">
        <v>0</v>
      </c>
      <c r="CV636" s="30">
        <v>0</v>
      </c>
      <c r="CW636" s="30">
        <v>0</v>
      </c>
      <c r="CX636" s="30">
        <v>0</v>
      </c>
      <c r="CY636" s="30">
        <v>0</v>
      </c>
      <c r="CZ636" s="30">
        <v>0</v>
      </c>
      <c r="DA636" s="30">
        <v>0</v>
      </c>
      <c r="DB636" s="30">
        <v>0</v>
      </c>
      <c r="DC636" s="30">
        <v>0</v>
      </c>
      <c r="DD636" s="30">
        <v>0</v>
      </c>
      <c r="DE636" s="30">
        <v>0</v>
      </c>
      <c r="DF636" s="30">
        <v>0</v>
      </c>
      <c r="DG636" s="16">
        <f t="shared" si="54"/>
        <v>278900</v>
      </c>
      <c r="DH636" s="16">
        <f t="shared" si="55"/>
        <v>10440650</v>
      </c>
      <c r="DI636" s="17">
        <f t="shared" si="56"/>
        <v>37.435102187163857</v>
      </c>
      <c r="DJ636" s="119" t="s">
        <v>1</v>
      </c>
      <c r="DK636" s="44" t="s">
        <v>1</v>
      </c>
      <c r="DL636" s="44" t="s">
        <v>1328</v>
      </c>
      <c r="DM636" s="44"/>
    </row>
    <row r="637" spans="1:117">
      <c r="A637" s="32" t="str">
        <f t="shared" si="52"/>
        <v>Ausgrid--&gt; 1 kV &amp; &lt; = 11 kV; WOOD</v>
      </c>
      <c r="B637" s="32" t="str">
        <f t="shared" si="53"/>
        <v>Ausgrid</v>
      </c>
      <c r="C637" s="397"/>
      <c r="D637" s="31"/>
      <c r="E637" s="30" t="s">
        <v>121</v>
      </c>
      <c r="F637" s="19">
        <v>40.61</v>
      </c>
      <c r="G637" s="19">
        <v>12.69</v>
      </c>
      <c r="H637" s="30">
        <v>2587</v>
      </c>
      <c r="I637" s="30">
        <v>2878</v>
      </c>
      <c r="J637" s="30">
        <v>2827</v>
      </c>
      <c r="K637" s="30">
        <v>2705</v>
      </c>
      <c r="L637" s="30">
        <v>2891</v>
      </c>
      <c r="M637" s="30">
        <v>2315</v>
      </c>
      <c r="N637" s="30">
        <v>2173</v>
      </c>
      <c r="O637" s="30">
        <v>1938</v>
      </c>
      <c r="P637" s="30">
        <v>1953</v>
      </c>
      <c r="Q637" s="30">
        <v>2090</v>
      </c>
      <c r="R637" s="30">
        <v>1549</v>
      </c>
      <c r="S637" s="30">
        <v>1629</v>
      </c>
      <c r="T637" s="30">
        <v>1600</v>
      </c>
      <c r="U637" s="30">
        <v>2260</v>
      </c>
      <c r="V637" s="30">
        <v>1448</v>
      </c>
      <c r="W637" s="30">
        <v>1552</v>
      </c>
      <c r="X637" s="30">
        <v>1224</v>
      </c>
      <c r="Y637" s="30">
        <v>1600</v>
      </c>
      <c r="Z637" s="30">
        <v>1978</v>
      </c>
      <c r="AA637" s="30">
        <v>1704</v>
      </c>
      <c r="AB637" s="30">
        <v>1413</v>
      </c>
      <c r="AC637" s="30">
        <v>1597</v>
      </c>
      <c r="AD637" s="30">
        <v>2552</v>
      </c>
      <c r="AE637" s="30">
        <v>2591</v>
      </c>
      <c r="AF637" s="30">
        <v>2026</v>
      </c>
      <c r="AG637" s="30">
        <v>2002</v>
      </c>
      <c r="AH637" s="30">
        <v>2635</v>
      </c>
      <c r="AI637" s="30">
        <v>2812</v>
      </c>
      <c r="AJ637" s="30">
        <v>2396</v>
      </c>
      <c r="AK637" s="30">
        <v>1534</v>
      </c>
      <c r="AL637" s="30">
        <v>2659</v>
      </c>
      <c r="AM637" s="30">
        <v>3879</v>
      </c>
      <c r="AN637" s="30">
        <v>2955</v>
      </c>
      <c r="AO637" s="30">
        <v>2209</v>
      </c>
      <c r="AP637" s="30">
        <v>2193</v>
      </c>
      <c r="AQ637" s="30">
        <v>1931</v>
      </c>
      <c r="AR637" s="30">
        <v>2058</v>
      </c>
      <c r="AS637" s="30">
        <v>1901</v>
      </c>
      <c r="AT637" s="30">
        <v>3329</v>
      </c>
      <c r="AU637" s="30">
        <v>3067</v>
      </c>
      <c r="AV637" s="30">
        <v>2295</v>
      </c>
      <c r="AW637" s="30">
        <v>3381</v>
      </c>
      <c r="AX637" s="30">
        <v>3110</v>
      </c>
      <c r="AY637" s="30">
        <v>3489</v>
      </c>
      <c r="AZ637" s="30">
        <v>2130</v>
      </c>
      <c r="BA637" s="30">
        <v>3670</v>
      </c>
      <c r="BB637" s="30">
        <v>4296</v>
      </c>
      <c r="BC637" s="30">
        <v>3529</v>
      </c>
      <c r="BD637" s="30">
        <v>4078</v>
      </c>
      <c r="BE637" s="30">
        <v>2655</v>
      </c>
      <c r="BF637" s="30">
        <v>1996</v>
      </c>
      <c r="BG637" s="30">
        <v>1089</v>
      </c>
      <c r="BH637" s="30">
        <v>2066</v>
      </c>
      <c r="BI637" s="30">
        <v>1316</v>
      </c>
      <c r="BJ637" s="30">
        <v>712</v>
      </c>
      <c r="BK637" s="30">
        <v>252</v>
      </c>
      <c r="BL637" s="30">
        <v>116</v>
      </c>
      <c r="BM637" s="30">
        <v>120</v>
      </c>
      <c r="BN637" s="30">
        <v>30</v>
      </c>
      <c r="BO637" s="30">
        <v>39</v>
      </c>
      <c r="BP637" s="30">
        <v>18</v>
      </c>
      <c r="BQ637" s="30">
        <v>1</v>
      </c>
      <c r="BR637" s="30">
        <v>1</v>
      </c>
      <c r="BS637" s="30">
        <v>0</v>
      </c>
      <c r="BT637" s="30">
        <v>27</v>
      </c>
      <c r="BU637" s="30">
        <v>1</v>
      </c>
      <c r="BV637" s="30">
        <v>0</v>
      </c>
      <c r="BW637" s="30">
        <v>0</v>
      </c>
      <c r="BX637" s="30">
        <v>12</v>
      </c>
      <c r="BY637" s="30">
        <v>0</v>
      </c>
      <c r="BZ637" s="30">
        <v>1</v>
      </c>
      <c r="CA637" s="30">
        <v>0</v>
      </c>
      <c r="CB637" s="30">
        <v>0</v>
      </c>
      <c r="CC637" s="30">
        <v>0</v>
      </c>
      <c r="CD637" s="30">
        <v>0</v>
      </c>
      <c r="CE637" s="30">
        <v>0</v>
      </c>
      <c r="CF637" s="30">
        <v>0</v>
      </c>
      <c r="CG637" s="30">
        <v>0</v>
      </c>
      <c r="CH637" s="30">
        <v>0</v>
      </c>
      <c r="CI637" s="30">
        <v>0</v>
      </c>
      <c r="CJ637" s="30">
        <v>0</v>
      </c>
      <c r="CK637" s="30">
        <v>0</v>
      </c>
      <c r="CL637" s="30">
        <v>0</v>
      </c>
      <c r="CM637" s="30">
        <v>0</v>
      </c>
      <c r="CN637" s="30">
        <v>0</v>
      </c>
      <c r="CO637" s="30">
        <v>0</v>
      </c>
      <c r="CP637" s="30">
        <v>0</v>
      </c>
      <c r="CQ637" s="30">
        <v>0</v>
      </c>
      <c r="CR637" s="30">
        <v>0</v>
      </c>
      <c r="CS637" s="30">
        <v>0</v>
      </c>
      <c r="CT637" s="30">
        <v>0</v>
      </c>
      <c r="CU637" s="30">
        <v>0</v>
      </c>
      <c r="CV637" s="30">
        <v>0</v>
      </c>
      <c r="CW637" s="30">
        <v>0</v>
      </c>
      <c r="CX637" s="30">
        <v>0</v>
      </c>
      <c r="CY637" s="30">
        <v>0</v>
      </c>
      <c r="CZ637" s="30">
        <v>0</v>
      </c>
      <c r="DA637" s="30">
        <v>0</v>
      </c>
      <c r="DB637" s="30">
        <v>0</v>
      </c>
      <c r="DC637" s="30">
        <v>0</v>
      </c>
      <c r="DD637" s="30">
        <v>0</v>
      </c>
      <c r="DE637" s="30">
        <v>0</v>
      </c>
      <c r="DF637" s="30">
        <v>0</v>
      </c>
      <c r="DG637" s="16">
        <f t="shared" si="54"/>
        <v>129070</v>
      </c>
      <c r="DH637" s="16">
        <f t="shared" si="55"/>
        <v>3767920</v>
      </c>
      <c r="DI637" s="17">
        <f t="shared" si="56"/>
        <v>29.192841093980011</v>
      </c>
      <c r="DJ637" s="119" t="s">
        <v>1</v>
      </c>
      <c r="DK637" s="44" t="s">
        <v>1</v>
      </c>
      <c r="DL637" s="44" t="s">
        <v>1328</v>
      </c>
      <c r="DM637" s="44"/>
    </row>
    <row r="638" spans="1:117">
      <c r="A638" s="32" t="str">
        <f t="shared" si="52"/>
        <v>Ausgrid--˃ 11 kV &amp; &lt; = 22 kV; WOOD</v>
      </c>
      <c r="B638" s="32" t="str">
        <f t="shared" si="53"/>
        <v>Ausgrid</v>
      </c>
      <c r="C638" s="397"/>
      <c r="D638" s="31"/>
      <c r="E638" s="30" t="s">
        <v>123</v>
      </c>
      <c r="F638" s="19">
        <v>40.61</v>
      </c>
      <c r="G638" s="19">
        <v>12.69</v>
      </c>
      <c r="H638" s="30">
        <v>6</v>
      </c>
      <c r="I638" s="30">
        <v>0</v>
      </c>
      <c r="J638" s="30">
        <v>0</v>
      </c>
      <c r="K638" s="30">
        <v>1</v>
      </c>
      <c r="L638" s="30">
        <v>31</v>
      </c>
      <c r="M638" s="30">
        <v>5</v>
      </c>
      <c r="N638" s="30">
        <v>1</v>
      </c>
      <c r="O638" s="30">
        <v>1</v>
      </c>
      <c r="P638" s="30">
        <v>11</v>
      </c>
      <c r="Q638" s="30">
        <v>31</v>
      </c>
      <c r="R638" s="30">
        <v>25</v>
      </c>
      <c r="S638" s="30">
        <v>23</v>
      </c>
      <c r="T638" s="30">
        <v>11</v>
      </c>
      <c r="U638" s="30">
        <v>40</v>
      </c>
      <c r="V638" s="30">
        <v>31</v>
      </c>
      <c r="W638" s="30">
        <v>14</v>
      </c>
      <c r="X638" s="30">
        <v>7</v>
      </c>
      <c r="Y638" s="30">
        <v>1</v>
      </c>
      <c r="Z638" s="30">
        <v>4</v>
      </c>
      <c r="AA638" s="30">
        <v>2</v>
      </c>
      <c r="AB638" s="30">
        <v>18</v>
      </c>
      <c r="AC638" s="30">
        <v>5</v>
      </c>
      <c r="AD638" s="30">
        <v>7</v>
      </c>
      <c r="AE638" s="30">
        <v>10</v>
      </c>
      <c r="AF638" s="30">
        <v>10</v>
      </c>
      <c r="AG638" s="30">
        <v>1</v>
      </c>
      <c r="AH638" s="30">
        <v>2</v>
      </c>
      <c r="AI638" s="30">
        <v>1</v>
      </c>
      <c r="AJ638" s="30">
        <v>0</v>
      </c>
      <c r="AK638" s="30">
        <v>2</v>
      </c>
      <c r="AL638" s="30">
        <v>4</v>
      </c>
      <c r="AM638" s="30">
        <v>9</v>
      </c>
      <c r="AN638" s="30">
        <v>11</v>
      </c>
      <c r="AO638" s="30">
        <v>1</v>
      </c>
      <c r="AP638" s="30">
        <v>0</v>
      </c>
      <c r="AQ638" s="30">
        <v>0</v>
      </c>
      <c r="AR638" s="30">
        <v>0</v>
      </c>
      <c r="AS638" s="30">
        <v>18</v>
      </c>
      <c r="AT638" s="30">
        <v>0</v>
      </c>
      <c r="AU638" s="30">
        <v>0</v>
      </c>
      <c r="AV638" s="30">
        <v>38</v>
      </c>
      <c r="AW638" s="30">
        <v>42</v>
      </c>
      <c r="AX638" s="30">
        <v>5</v>
      </c>
      <c r="AY638" s="30">
        <v>189</v>
      </c>
      <c r="AZ638" s="30">
        <v>0</v>
      </c>
      <c r="BA638" s="30">
        <v>0</v>
      </c>
      <c r="BB638" s="30">
        <v>24</v>
      </c>
      <c r="BC638" s="30">
        <v>0</v>
      </c>
      <c r="BD638" s="30">
        <v>0</v>
      </c>
      <c r="BE638" s="30">
        <v>0</v>
      </c>
      <c r="BF638" s="30">
        <v>1</v>
      </c>
      <c r="BG638" s="30">
        <v>0</v>
      </c>
      <c r="BH638" s="30">
        <v>0</v>
      </c>
      <c r="BI638" s="30">
        <v>0</v>
      </c>
      <c r="BJ638" s="30">
        <v>0</v>
      </c>
      <c r="BK638" s="30">
        <v>0</v>
      </c>
      <c r="BL638" s="30">
        <v>0</v>
      </c>
      <c r="BM638" s="30">
        <v>0</v>
      </c>
      <c r="BN638" s="30">
        <v>0</v>
      </c>
      <c r="BO638" s="30">
        <v>0</v>
      </c>
      <c r="BP638" s="30">
        <v>0</v>
      </c>
      <c r="BQ638" s="30">
        <v>0</v>
      </c>
      <c r="BR638" s="30">
        <v>0</v>
      </c>
      <c r="BS638" s="30">
        <v>0</v>
      </c>
      <c r="BT638" s="30">
        <v>0</v>
      </c>
      <c r="BU638" s="30">
        <v>0</v>
      </c>
      <c r="BV638" s="30">
        <v>0</v>
      </c>
      <c r="BW638" s="30">
        <v>0</v>
      </c>
      <c r="BX638" s="30">
        <v>0</v>
      </c>
      <c r="BY638" s="30">
        <v>0</v>
      </c>
      <c r="BZ638" s="30">
        <v>0</v>
      </c>
      <c r="CA638" s="30">
        <v>0</v>
      </c>
      <c r="CB638" s="30">
        <v>0</v>
      </c>
      <c r="CC638" s="30">
        <v>0</v>
      </c>
      <c r="CD638" s="30">
        <v>0</v>
      </c>
      <c r="CE638" s="30">
        <v>0</v>
      </c>
      <c r="CF638" s="30">
        <v>0</v>
      </c>
      <c r="CG638" s="30">
        <v>0</v>
      </c>
      <c r="CH638" s="30">
        <v>0</v>
      </c>
      <c r="CI638" s="30">
        <v>0</v>
      </c>
      <c r="CJ638" s="30">
        <v>0</v>
      </c>
      <c r="CK638" s="30">
        <v>0</v>
      </c>
      <c r="CL638" s="30">
        <v>0</v>
      </c>
      <c r="CM638" s="30">
        <v>0</v>
      </c>
      <c r="CN638" s="30">
        <v>0</v>
      </c>
      <c r="CO638" s="30">
        <v>0</v>
      </c>
      <c r="CP638" s="30">
        <v>0</v>
      </c>
      <c r="CQ638" s="30">
        <v>0</v>
      </c>
      <c r="CR638" s="30">
        <v>0</v>
      </c>
      <c r="CS638" s="30">
        <v>0</v>
      </c>
      <c r="CT638" s="30">
        <v>0</v>
      </c>
      <c r="CU638" s="30">
        <v>0</v>
      </c>
      <c r="CV638" s="30">
        <v>0</v>
      </c>
      <c r="CW638" s="30">
        <v>0</v>
      </c>
      <c r="CX638" s="30">
        <v>0</v>
      </c>
      <c r="CY638" s="30">
        <v>0</v>
      </c>
      <c r="CZ638" s="30">
        <v>0</v>
      </c>
      <c r="DA638" s="30">
        <v>0</v>
      </c>
      <c r="DB638" s="30">
        <v>0</v>
      </c>
      <c r="DC638" s="30">
        <v>0</v>
      </c>
      <c r="DD638" s="30">
        <v>0</v>
      </c>
      <c r="DE638" s="30">
        <v>0</v>
      </c>
      <c r="DF638" s="30">
        <v>0</v>
      </c>
      <c r="DG638" s="16">
        <f t="shared" si="54"/>
        <v>643</v>
      </c>
      <c r="DH638" s="16">
        <f t="shared" si="55"/>
        <v>18647</v>
      </c>
      <c r="DI638" s="17">
        <f t="shared" si="56"/>
        <v>29</v>
      </c>
      <c r="DJ638" s="119" t="s">
        <v>1</v>
      </c>
      <c r="DK638" s="44" t="s">
        <v>1</v>
      </c>
      <c r="DL638" s="44" t="s">
        <v>1328</v>
      </c>
      <c r="DM638" s="44"/>
    </row>
    <row r="639" spans="1:117">
      <c r="A639" s="32" t="str">
        <f t="shared" si="52"/>
        <v>Ausgrid--&gt; 22 kV &amp; &lt; = 66 kV; WOOD</v>
      </c>
      <c r="B639" s="32" t="str">
        <f t="shared" si="53"/>
        <v>Ausgrid</v>
      </c>
      <c r="C639" s="397"/>
      <c r="D639" s="31"/>
      <c r="E639" s="30" t="s">
        <v>125</v>
      </c>
      <c r="F639" s="19">
        <v>40.61</v>
      </c>
      <c r="G639" s="19">
        <v>12.69</v>
      </c>
      <c r="H639" s="30">
        <v>206</v>
      </c>
      <c r="I639" s="30">
        <v>276</v>
      </c>
      <c r="J639" s="30">
        <v>293</v>
      </c>
      <c r="K639" s="30">
        <v>360</v>
      </c>
      <c r="L639" s="30">
        <v>374</v>
      </c>
      <c r="M639" s="30">
        <v>271</v>
      </c>
      <c r="N639" s="30">
        <v>221</v>
      </c>
      <c r="O639" s="30">
        <v>138</v>
      </c>
      <c r="P639" s="30">
        <v>223</v>
      </c>
      <c r="Q639" s="30">
        <v>208</v>
      </c>
      <c r="R639" s="30">
        <v>232</v>
      </c>
      <c r="S639" s="30">
        <v>245</v>
      </c>
      <c r="T639" s="30">
        <v>154</v>
      </c>
      <c r="U639" s="30">
        <v>129</v>
      </c>
      <c r="V639" s="30">
        <v>112</v>
      </c>
      <c r="W639" s="30">
        <v>126</v>
      </c>
      <c r="X639" s="30">
        <v>94</v>
      </c>
      <c r="Y639" s="30">
        <v>133</v>
      </c>
      <c r="Z639" s="30">
        <v>206</v>
      </c>
      <c r="AA639" s="30">
        <v>245</v>
      </c>
      <c r="AB639" s="30">
        <v>216</v>
      </c>
      <c r="AC639" s="30">
        <v>339</v>
      </c>
      <c r="AD639" s="30">
        <v>237</v>
      </c>
      <c r="AE639" s="30">
        <v>232</v>
      </c>
      <c r="AF639" s="30">
        <v>178</v>
      </c>
      <c r="AG639" s="30">
        <v>123</v>
      </c>
      <c r="AH639" s="30">
        <v>360</v>
      </c>
      <c r="AI639" s="30">
        <v>295</v>
      </c>
      <c r="AJ639" s="30">
        <v>262</v>
      </c>
      <c r="AK639" s="30">
        <v>283</v>
      </c>
      <c r="AL639" s="30">
        <v>587</v>
      </c>
      <c r="AM639" s="30">
        <v>672</v>
      </c>
      <c r="AN639" s="30">
        <v>332</v>
      </c>
      <c r="AO639" s="30">
        <v>430</v>
      </c>
      <c r="AP639" s="30">
        <v>267</v>
      </c>
      <c r="AQ639" s="30">
        <v>293</v>
      </c>
      <c r="AR639" s="30">
        <v>406</v>
      </c>
      <c r="AS639" s="30">
        <v>229</v>
      </c>
      <c r="AT639" s="30">
        <v>242</v>
      </c>
      <c r="AU639" s="30">
        <v>373</v>
      </c>
      <c r="AV639" s="30">
        <v>220</v>
      </c>
      <c r="AW639" s="30">
        <v>590</v>
      </c>
      <c r="AX639" s="30">
        <v>621</v>
      </c>
      <c r="AY639" s="30">
        <v>597</v>
      </c>
      <c r="AZ639" s="30">
        <v>460</v>
      </c>
      <c r="BA639" s="30">
        <v>653</v>
      </c>
      <c r="BB639" s="30">
        <v>784</v>
      </c>
      <c r="BC639" s="30">
        <v>870</v>
      </c>
      <c r="BD639" s="30">
        <v>701</v>
      </c>
      <c r="BE639" s="30">
        <v>443</v>
      </c>
      <c r="BF639" s="30">
        <v>271</v>
      </c>
      <c r="BG639" s="30">
        <v>125</v>
      </c>
      <c r="BH639" s="30">
        <v>275</v>
      </c>
      <c r="BI639" s="30">
        <v>250</v>
      </c>
      <c r="BJ639" s="30">
        <v>49</v>
      </c>
      <c r="BK639" s="30">
        <v>0</v>
      </c>
      <c r="BL639" s="30">
        <v>0</v>
      </c>
      <c r="BM639" s="30">
        <v>0</v>
      </c>
      <c r="BN639" s="30">
        <v>30</v>
      </c>
      <c r="BO639" s="30">
        <v>12</v>
      </c>
      <c r="BP639" s="30">
        <v>0</v>
      </c>
      <c r="BQ639" s="30">
        <v>0</v>
      </c>
      <c r="BR639" s="30">
        <v>0</v>
      </c>
      <c r="BS639" s="30">
        <v>0</v>
      </c>
      <c r="BT639" s="30">
        <v>6</v>
      </c>
      <c r="BU639" s="30">
        <v>0</v>
      </c>
      <c r="BV639" s="30">
        <v>0</v>
      </c>
      <c r="BW639" s="30">
        <v>0</v>
      </c>
      <c r="BX639" s="30">
        <v>82</v>
      </c>
      <c r="BY639" s="30">
        <v>0</v>
      </c>
      <c r="BZ639" s="30">
        <v>0</v>
      </c>
      <c r="CA639" s="30">
        <v>0</v>
      </c>
      <c r="CB639" s="30">
        <v>0</v>
      </c>
      <c r="CC639" s="30">
        <v>0</v>
      </c>
      <c r="CD639" s="30">
        <v>0</v>
      </c>
      <c r="CE639" s="30">
        <v>0</v>
      </c>
      <c r="CF639" s="30">
        <v>0</v>
      </c>
      <c r="CG639" s="30">
        <v>0</v>
      </c>
      <c r="CH639" s="30">
        <v>0</v>
      </c>
      <c r="CI639" s="30">
        <v>0</v>
      </c>
      <c r="CJ639" s="30">
        <v>0</v>
      </c>
      <c r="CK639" s="30">
        <v>0</v>
      </c>
      <c r="CL639" s="30">
        <v>0</v>
      </c>
      <c r="CM639" s="30">
        <v>0</v>
      </c>
      <c r="CN639" s="30">
        <v>0</v>
      </c>
      <c r="CO639" s="30">
        <v>0</v>
      </c>
      <c r="CP639" s="30">
        <v>0</v>
      </c>
      <c r="CQ639" s="30">
        <v>0</v>
      </c>
      <c r="CR639" s="30">
        <v>0</v>
      </c>
      <c r="CS639" s="30">
        <v>0</v>
      </c>
      <c r="CT639" s="30">
        <v>0</v>
      </c>
      <c r="CU639" s="30">
        <v>0</v>
      </c>
      <c r="CV639" s="30">
        <v>0</v>
      </c>
      <c r="CW639" s="30">
        <v>0</v>
      </c>
      <c r="CX639" s="30">
        <v>0</v>
      </c>
      <c r="CY639" s="30">
        <v>0</v>
      </c>
      <c r="CZ639" s="30">
        <v>0</v>
      </c>
      <c r="DA639" s="30">
        <v>0</v>
      </c>
      <c r="DB639" s="30">
        <v>0</v>
      </c>
      <c r="DC639" s="30">
        <v>0</v>
      </c>
      <c r="DD639" s="30">
        <v>0</v>
      </c>
      <c r="DE639" s="30">
        <v>0</v>
      </c>
      <c r="DF639" s="30">
        <v>0</v>
      </c>
      <c r="DG639" s="16">
        <f t="shared" si="54"/>
        <v>17641</v>
      </c>
      <c r="DH639" s="16">
        <f t="shared" si="55"/>
        <v>569339</v>
      </c>
      <c r="DI639" s="17">
        <f t="shared" si="56"/>
        <v>32.273623944220851</v>
      </c>
      <c r="DJ639" s="119" t="s">
        <v>1</v>
      </c>
      <c r="DK639" s="44" t="s">
        <v>1</v>
      </c>
      <c r="DL639" s="44" t="s">
        <v>1328</v>
      </c>
      <c r="DM639" s="44"/>
    </row>
    <row r="640" spans="1:117">
      <c r="A640" s="32" t="str">
        <f t="shared" si="52"/>
        <v>Ausgrid--&gt; 66 kV &amp; &lt; = 132 kV; WOOD</v>
      </c>
      <c r="B640" s="32" t="str">
        <f t="shared" si="53"/>
        <v>Ausgrid</v>
      </c>
      <c r="C640" s="397"/>
      <c r="D640" s="31"/>
      <c r="E640" s="30" t="s">
        <v>127</v>
      </c>
      <c r="F640" s="19">
        <v>40.61</v>
      </c>
      <c r="G640" s="19">
        <v>12.69</v>
      </c>
      <c r="H640" s="30">
        <v>16</v>
      </c>
      <c r="I640" s="30">
        <v>21</v>
      </c>
      <c r="J640" s="30">
        <v>22</v>
      </c>
      <c r="K640" s="30">
        <v>49</v>
      </c>
      <c r="L640" s="30">
        <v>33</v>
      </c>
      <c r="M640" s="30">
        <v>57</v>
      </c>
      <c r="N640" s="30">
        <v>16</v>
      </c>
      <c r="O640" s="30">
        <v>10</v>
      </c>
      <c r="P640" s="30">
        <v>17</v>
      </c>
      <c r="Q640" s="30">
        <v>11</v>
      </c>
      <c r="R640" s="30">
        <v>13</v>
      </c>
      <c r="S640" s="30">
        <v>10</v>
      </c>
      <c r="T640" s="30">
        <v>36</v>
      </c>
      <c r="U640" s="30">
        <v>88</v>
      </c>
      <c r="V640" s="30">
        <v>13</v>
      </c>
      <c r="W640" s="30">
        <v>8</v>
      </c>
      <c r="X640" s="30">
        <v>16</v>
      </c>
      <c r="Y640" s="30">
        <v>21</v>
      </c>
      <c r="Z640" s="30">
        <v>36</v>
      </c>
      <c r="AA640" s="30">
        <v>63</v>
      </c>
      <c r="AB640" s="30">
        <v>13</v>
      </c>
      <c r="AC640" s="30">
        <v>15</v>
      </c>
      <c r="AD640" s="30">
        <v>33</v>
      </c>
      <c r="AE640" s="30">
        <v>40</v>
      </c>
      <c r="AF640" s="30">
        <v>12</v>
      </c>
      <c r="AG640" s="30">
        <v>18</v>
      </c>
      <c r="AH640" s="30">
        <v>17</v>
      </c>
      <c r="AI640" s="30">
        <v>19</v>
      </c>
      <c r="AJ640" s="30">
        <v>22</v>
      </c>
      <c r="AK640" s="30">
        <v>33</v>
      </c>
      <c r="AL640" s="30">
        <v>416</v>
      </c>
      <c r="AM640" s="30">
        <v>345</v>
      </c>
      <c r="AN640" s="30">
        <v>52</v>
      </c>
      <c r="AO640" s="30">
        <v>35</v>
      </c>
      <c r="AP640" s="30">
        <v>80</v>
      </c>
      <c r="AQ640" s="30">
        <v>108</v>
      </c>
      <c r="AR640" s="30">
        <v>73</v>
      </c>
      <c r="AS640" s="30">
        <v>511</v>
      </c>
      <c r="AT640" s="30">
        <v>141</v>
      </c>
      <c r="AU640" s="30">
        <v>127</v>
      </c>
      <c r="AV640" s="30">
        <v>17</v>
      </c>
      <c r="AW640" s="30">
        <v>174</v>
      </c>
      <c r="AX640" s="30">
        <v>144</v>
      </c>
      <c r="AY640" s="30">
        <v>397</v>
      </c>
      <c r="AZ640" s="30">
        <v>250</v>
      </c>
      <c r="BA640" s="30">
        <v>206</v>
      </c>
      <c r="BB640" s="30">
        <v>66</v>
      </c>
      <c r="BC640" s="30">
        <v>177</v>
      </c>
      <c r="BD640" s="30">
        <v>124</v>
      </c>
      <c r="BE640" s="30">
        <v>122</v>
      </c>
      <c r="BF640" s="30">
        <v>72</v>
      </c>
      <c r="BG640" s="30">
        <v>0</v>
      </c>
      <c r="BH640" s="30">
        <v>49</v>
      </c>
      <c r="BI640" s="30">
        <v>119</v>
      </c>
      <c r="BJ640" s="30">
        <v>14</v>
      </c>
      <c r="BK640" s="30">
        <v>13</v>
      </c>
      <c r="BL640" s="30">
        <v>0</v>
      </c>
      <c r="BM640" s="30">
        <v>0</v>
      </c>
      <c r="BN640" s="30">
        <v>0</v>
      </c>
      <c r="BO640" s="30">
        <v>0</v>
      </c>
      <c r="BP640" s="30">
        <v>0</v>
      </c>
      <c r="BQ640" s="30">
        <v>0</v>
      </c>
      <c r="BR640" s="30">
        <v>0</v>
      </c>
      <c r="BS640" s="30">
        <v>0</v>
      </c>
      <c r="BT640" s="30">
        <v>0</v>
      </c>
      <c r="BU640" s="30">
        <v>0</v>
      </c>
      <c r="BV640" s="30">
        <v>0</v>
      </c>
      <c r="BW640" s="30">
        <v>0</v>
      </c>
      <c r="BX640" s="30">
        <v>0</v>
      </c>
      <c r="BY640" s="30">
        <v>0</v>
      </c>
      <c r="BZ640" s="30">
        <v>0</v>
      </c>
      <c r="CA640" s="30">
        <v>0</v>
      </c>
      <c r="CB640" s="30">
        <v>0</v>
      </c>
      <c r="CC640" s="30">
        <v>0</v>
      </c>
      <c r="CD640" s="30">
        <v>0</v>
      </c>
      <c r="CE640" s="30">
        <v>0</v>
      </c>
      <c r="CF640" s="30">
        <v>0</v>
      </c>
      <c r="CG640" s="30">
        <v>0</v>
      </c>
      <c r="CH640" s="30">
        <v>0</v>
      </c>
      <c r="CI640" s="30">
        <v>0</v>
      </c>
      <c r="CJ640" s="30">
        <v>0</v>
      </c>
      <c r="CK640" s="30">
        <v>0</v>
      </c>
      <c r="CL640" s="30">
        <v>0</v>
      </c>
      <c r="CM640" s="30">
        <v>0</v>
      </c>
      <c r="CN640" s="30">
        <v>0</v>
      </c>
      <c r="CO640" s="30">
        <v>0</v>
      </c>
      <c r="CP640" s="30">
        <v>0</v>
      </c>
      <c r="CQ640" s="30">
        <v>0</v>
      </c>
      <c r="CR640" s="30">
        <v>0</v>
      </c>
      <c r="CS640" s="30">
        <v>0</v>
      </c>
      <c r="CT640" s="30">
        <v>0</v>
      </c>
      <c r="CU640" s="30">
        <v>0</v>
      </c>
      <c r="CV640" s="30">
        <v>0</v>
      </c>
      <c r="CW640" s="30">
        <v>0</v>
      </c>
      <c r="CX640" s="30">
        <v>0</v>
      </c>
      <c r="CY640" s="30">
        <v>0</v>
      </c>
      <c r="CZ640" s="30">
        <v>0</v>
      </c>
      <c r="DA640" s="30">
        <v>0</v>
      </c>
      <c r="DB640" s="30">
        <v>0</v>
      </c>
      <c r="DC640" s="30">
        <v>0</v>
      </c>
      <c r="DD640" s="30">
        <v>0</v>
      </c>
      <c r="DE640" s="30">
        <v>0</v>
      </c>
      <c r="DF640" s="30">
        <v>0</v>
      </c>
      <c r="DG640" s="16">
        <f t="shared" si="54"/>
        <v>4610</v>
      </c>
      <c r="DH640" s="16">
        <f t="shared" si="55"/>
        <v>168457</v>
      </c>
      <c r="DI640" s="17">
        <f t="shared" si="56"/>
        <v>36.541648590021694</v>
      </c>
      <c r="DJ640" s="119" t="s">
        <v>1</v>
      </c>
      <c r="DK640" s="44" t="s">
        <v>1</v>
      </c>
      <c r="DL640" s="44" t="s">
        <v>1328</v>
      </c>
      <c r="DM640" s="44"/>
    </row>
    <row r="641" spans="1:117">
      <c r="A641" s="32" t="str">
        <f t="shared" si="52"/>
        <v>Ausgrid--&gt; 132 kV; WOOD</v>
      </c>
      <c r="B641" s="32" t="str">
        <f t="shared" si="53"/>
        <v>Ausgrid</v>
      </c>
      <c r="C641" s="397"/>
      <c r="D641" s="31"/>
      <c r="E641" s="30" t="s">
        <v>129</v>
      </c>
      <c r="F641" s="19">
        <v>0</v>
      </c>
      <c r="G641" s="19">
        <v>0</v>
      </c>
      <c r="H641" s="30">
        <v>0</v>
      </c>
      <c r="I641" s="30">
        <v>0</v>
      </c>
      <c r="J641" s="30">
        <v>0</v>
      </c>
      <c r="K641" s="30">
        <v>0</v>
      </c>
      <c r="L641" s="30">
        <v>0</v>
      </c>
      <c r="M641" s="30">
        <v>0</v>
      </c>
      <c r="N641" s="30">
        <v>0</v>
      </c>
      <c r="O641" s="30">
        <v>0</v>
      </c>
      <c r="P641" s="30">
        <v>0</v>
      </c>
      <c r="Q641" s="30">
        <v>0</v>
      </c>
      <c r="R641" s="30">
        <v>0</v>
      </c>
      <c r="S641" s="30">
        <v>0</v>
      </c>
      <c r="T641" s="30">
        <v>0</v>
      </c>
      <c r="U641" s="30">
        <v>0</v>
      </c>
      <c r="V641" s="30">
        <v>0</v>
      </c>
      <c r="W641" s="30">
        <v>0</v>
      </c>
      <c r="X641" s="30">
        <v>0</v>
      </c>
      <c r="Y641" s="30">
        <v>0</v>
      </c>
      <c r="Z641" s="30">
        <v>0</v>
      </c>
      <c r="AA641" s="30">
        <v>0</v>
      </c>
      <c r="AB641" s="30">
        <v>0</v>
      </c>
      <c r="AC641" s="30">
        <v>0</v>
      </c>
      <c r="AD641" s="30">
        <v>0</v>
      </c>
      <c r="AE641" s="30">
        <v>0</v>
      </c>
      <c r="AF641" s="30">
        <v>0</v>
      </c>
      <c r="AG641" s="30">
        <v>0</v>
      </c>
      <c r="AH641" s="30">
        <v>0</v>
      </c>
      <c r="AI641" s="30">
        <v>0</v>
      </c>
      <c r="AJ641" s="30">
        <v>0</v>
      </c>
      <c r="AK641" s="30">
        <v>0</v>
      </c>
      <c r="AL641" s="30">
        <v>0</v>
      </c>
      <c r="AM641" s="30">
        <v>0</v>
      </c>
      <c r="AN641" s="30">
        <v>0</v>
      </c>
      <c r="AO641" s="30">
        <v>0</v>
      </c>
      <c r="AP641" s="30">
        <v>0</v>
      </c>
      <c r="AQ641" s="30">
        <v>0</v>
      </c>
      <c r="AR641" s="30">
        <v>0</v>
      </c>
      <c r="AS641" s="30">
        <v>0</v>
      </c>
      <c r="AT641" s="30">
        <v>0</v>
      </c>
      <c r="AU641" s="30">
        <v>0</v>
      </c>
      <c r="AV641" s="30">
        <v>0</v>
      </c>
      <c r="AW641" s="30">
        <v>0</v>
      </c>
      <c r="AX641" s="30">
        <v>0</v>
      </c>
      <c r="AY641" s="30">
        <v>0</v>
      </c>
      <c r="AZ641" s="30">
        <v>0</v>
      </c>
      <c r="BA641" s="30">
        <v>0</v>
      </c>
      <c r="BB641" s="30">
        <v>0</v>
      </c>
      <c r="BC641" s="30">
        <v>0</v>
      </c>
      <c r="BD641" s="30">
        <v>0</v>
      </c>
      <c r="BE641" s="30">
        <v>0</v>
      </c>
      <c r="BF641" s="30">
        <v>0</v>
      </c>
      <c r="BG641" s="30">
        <v>0</v>
      </c>
      <c r="BH641" s="30">
        <v>0</v>
      </c>
      <c r="BI641" s="30">
        <v>0</v>
      </c>
      <c r="BJ641" s="30">
        <v>0</v>
      </c>
      <c r="BK641" s="30">
        <v>0</v>
      </c>
      <c r="BL641" s="30">
        <v>0</v>
      </c>
      <c r="BM641" s="30">
        <v>0</v>
      </c>
      <c r="BN641" s="30">
        <v>0</v>
      </c>
      <c r="BO641" s="30">
        <v>0</v>
      </c>
      <c r="BP641" s="30">
        <v>0</v>
      </c>
      <c r="BQ641" s="30">
        <v>0</v>
      </c>
      <c r="BR641" s="30">
        <v>0</v>
      </c>
      <c r="BS641" s="30">
        <v>0</v>
      </c>
      <c r="BT641" s="30">
        <v>0</v>
      </c>
      <c r="BU641" s="30">
        <v>0</v>
      </c>
      <c r="BV641" s="30">
        <v>0</v>
      </c>
      <c r="BW641" s="30">
        <v>0</v>
      </c>
      <c r="BX641" s="30">
        <v>0</v>
      </c>
      <c r="BY641" s="30">
        <v>0</v>
      </c>
      <c r="BZ641" s="30">
        <v>0</v>
      </c>
      <c r="CA641" s="30">
        <v>0</v>
      </c>
      <c r="CB641" s="30">
        <v>0</v>
      </c>
      <c r="CC641" s="30">
        <v>0</v>
      </c>
      <c r="CD641" s="30">
        <v>0</v>
      </c>
      <c r="CE641" s="30">
        <v>0</v>
      </c>
      <c r="CF641" s="30">
        <v>0</v>
      </c>
      <c r="CG641" s="30">
        <v>0</v>
      </c>
      <c r="CH641" s="30">
        <v>0</v>
      </c>
      <c r="CI641" s="30">
        <v>0</v>
      </c>
      <c r="CJ641" s="30">
        <v>0</v>
      </c>
      <c r="CK641" s="30">
        <v>0</v>
      </c>
      <c r="CL641" s="30">
        <v>0</v>
      </c>
      <c r="CM641" s="30">
        <v>0</v>
      </c>
      <c r="CN641" s="30">
        <v>0</v>
      </c>
      <c r="CO641" s="30">
        <v>0</v>
      </c>
      <c r="CP641" s="30">
        <v>0</v>
      </c>
      <c r="CQ641" s="30">
        <v>0</v>
      </c>
      <c r="CR641" s="30">
        <v>0</v>
      </c>
      <c r="CS641" s="30">
        <v>0</v>
      </c>
      <c r="CT641" s="30">
        <v>0</v>
      </c>
      <c r="CU641" s="30">
        <v>0</v>
      </c>
      <c r="CV641" s="30">
        <v>0</v>
      </c>
      <c r="CW641" s="30">
        <v>0</v>
      </c>
      <c r="CX641" s="30">
        <v>0</v>
      </c>
      <c r="CY641" s="30">
        <v>0</v>
      </c>
      <c r="CZ641" s="30">
        <v>0</v>
      </c>
      <c r="DA641" s="30">
        <v>0</v>
      </c>
      <c r="DB641" s="30">
        <v>0</v>
      </c>
      <c r="DC641" s="30">
        <v>0</v>
      </c>
      <c r="DD641" s="30">
        <v>0</v>
      </c>
      <c r="DE641" s="30">
        <v>0</v>
      </c>
      <c r="DF641" s="30">
        <v>0</v>
      </c>
      <c r="DG641" s="16">
        <f t="shared" si="54"/>
        <v>0</v>
      </c>
      <c r="DH641" s="16">
        <f t="shared" si="55"/>
        <v>0</v>
      </c>
      <c r="DI641" s="17" t="str">
        <f t="shared" si="56"/>
        <v/>
      </c>
      <c r="DJ641" s="119" t="s">
        <v>1</v>
      </c>
      <c r="DK641" s="44" t="s">
        <v>1</v>
      </c>
      <c r="DL641" s="44" t="s">
        <v>1328</v>
      </c>
      <c r="DM641" s="44"/>
    </row>
    <row r="642" spans="1:117">
      <c r="A642" s="32" t="str">
        <f t="shared" si="52"/>
        <v>Ausgrid--˂ = 1 kV; CONCRETE</v>
      </c>
      <c r="B642" s="32" t="str">
        <f t="shared" si="53"/>
        <v>Ausgrid</v>
      </c>
      <c r="C642" s="397"/>
      <c r="D642" s="31"/>
      <c r="E642" s="30" t="s">
        <v>131</v>
      </c>
      <c r="F642" s="19">
        <v>27.63</v>
      </c>
      <c r="G642" s="19">
        <v>17.170000000000002</v>
      </c>
      <c r="H642" s="30">
        <v>13</v>
      </c>
      <c r="I642" s="30">
        <v>25</v>
      </c>
      <c r="J642" s="30">
        <v>20</v>
      </c>
      <c r="K642" s="30">
        <v>25</v>
      </c>
      <c r="L642" s="30">
        <v>2</v>
      </c>
      <c r="M642" s="30">
        <v>6</v>
      </c>
      <c r="N642" s="30">
        <v>5</v>
      </c>
      <c r="O642" s="30">
        <v>13</v>
      </c>
      <c r="P642" s="30">
        <v>2</v>
      </c>
      <c r="Q642" s="30">
        <v>14</v>
      </c>
      <c r="R642" s="30">
        <v>0</v>
      </c>
      <c r="S642" s="30">
        <v>0</v>
      </c>
      <c r="T642" s="30">
        <v>6</v>
      </c>
      <c r="U642" s="30">
        <v>6</v>
      </c>
      <c r="V642" s="30">
        <v>0</v>
      </c>
      <c r="W642" s="30">
        <v>1</v>
      </c>
      <c r="X642" s="30">
        <v>0</v>
      </c>
      <c r="Y642" s="30">
        <v>22</v>
      </c>
      <c r="Z642" s="30">
        <v>17</v>
      </c>
      <c r="AA642" s="30">
        <v>41</v>
      </c>
      <c r="AB642" s="30">
        <v>3</v>
      </c>
      <c r="AC642" s="30">
        <v>61</v>
      </c>
      <c r="AD642" s="30">
        <v>12</v>
      </c>
      <c r="AE642" s="30">
        <v>44</v>
      </c>
      <c r="AF642" s="30">
        <v>0</v>
      </c>
      <c r="AG642" s="30">
        <v>0</v>
      </c>
      <c r="AH642" s="30">
        <v>2</v>
      </c>
      <c r="AI642" s="30">
        <v>27</v>
      </c>
      <c r="AJ642" s="30">
        <v>7</v>
      </c>
      <c r="AK642" s="30">
        <v>10</v>
      </c>
      <c r="AL642" s="30">
        <v>0</v>
      </c>
      <c r="AM642" s="30">
        <v>3</v>
      </c>
      <c r="AN642" s="30">
        <v>2</v>
      </c>
      <c r="AO642" s="30">
        <v>0</v>
      </c>
      <c r="AP642" s="30">
        <v>0</v>
      </c>
      <c r="AQ642" s="30">
        <v>0</v>
      </c>
      <c r="AR642" s="30">
        <v>0</v>
      </c>
      <c r="AS642" s="30">
        <v>0</v>
      </c>
      <c r="AT642" s="30">
        <v>1</v>
      </c>
      <c r="AU642" s="30">
        <v>0</v>
      </c>
      <c r="AV642" s="30">
        <v>25</v>
      </c>
      <c r="AW642" s="30">
        <v>7</v>
      </c>
      <c r="AX642" s="30">
        <v>4</v>
      </c>
      <c r="AY642" s="30">
        <v>3</v>
      </c>
      <c r="AZ642" s="30">
        <v>0</v>
      </c>
      <c r="BA642" s="30">
        <v>1</v>
      </c>
      <c r="BB642" s="30">
        <v>0</v>
      </c>
      <c r="BC642" s="30">
        <v>0</v>
      </c>
      <c r="BD642" s="30">
        <v>0</v>
      </c>
      <c r="BE642" s="30">
        <v>9</v>
      </c>
      <c r="BF642" s="30">
        <v>0</v>
      </c>
      <c r="BG642" s="30">
        <v>1</v>
      </c>
      <c r="BH642" s="30">
        <v>16</v>
      </c>
      <c r="BI642" s="30">
        <v>5</v>
      </c>
      <c r="BJ642" s="30">
        <v>0</v>
      </c>
      <c r="BK642" s="30">
        <v>2</v>
      </c>
      <c r="BL642" s="30">
        <v>0</v>
      </c>
      <c r="BM642" s="30">
        <v>0</v>
      </c>
      <c r="BN642" s="30">
        <v>0</v>
      </c>
      <c r="BO642" s="30">
        <v>0</v>
      </c>
      <c r="BP642" s="30">
        <v>0</v>
      </c>
      <c r="BQ642" s="30">
        <v>1</v>
      </c>
      <c r="BR642" s="30">
        <v>0</v>
      </c>
      <c r="BS642" s="30">
        <v>0</v>
      </c>
      <c r="BT642" s="30">
        <v>0</v>
      </c>
      <c r="BU642" s="30">
        <v>0</v>
      </c>
      <c r="BV642" s="30">
        <v>0</v>
      </c>
      <c r="BW642" s="30">
        <v>0</v>
      </c>
      <c r="BX642" s="30">
        <v>0</v>
      </c>
      <c r="BY642" s="30">
        <v>0</v>
      </c>
      <c r="BZ642" s="30">
        <v>0</v>
      </c>
      <c r="CA642" s="30">
        <v>0</v>
      </c>
      <c r="CB642" s="30">
        <v>0</v>
      </c>
      <c r="CC642" s="30">
        <v>0</v>
      </c>
      <c r="CD642" s="30">
        <v>0</v>
      </c>
      <c r="CE642" s="30">
        <v>0</v>
      </c>
      <c r="CF642" s="30">
        <v>0</v>
      </c>
      <c r="CG642" s="30">
        <v>0</v>
      </c>
      <c r="CH642" s="30">
        <v>0</v>
      </c>
      <c r="CI642" s="30">
        <v>0</v>
      </c>
      <c r="CJ642" s="30">
        <v>0</v>
      </c>
      <c r="CK642" s="30">
        <v>0</v>
      </c>
      <c r="CL642" s="30">
        <v>0</v>
      </c>
      <c r="CM642" s="30">
        <v>0</v>
      </c>
      <c r="CN642" s="30">
        <v>0</v>
      </c>
      <c r="CO642" s="30">
        <v>0</v>
      </c>
      <c r="CP642" s="30">
        <v>0</v>
      </c>
      <c r="CQ642" s="30">
        <v>0</v>
      </c>
      <c r="CR642" s="30">
        <v>0</v>
      </c>
      <c r="CS642" s="30">
        <v>0</v>
      </c>
      <c r="CT642" s="30">
        <v>0</v>
      </c>
      <c r="CU642" s="30">
        <v>0</v>
      </c>
      <c r="CV642" s="30">
        <v>0</v>
      </c>
      <c r="CW642" s="30">
        <v>0</v>
      </c>
      <c r="CX642" s="30">
        <v>0</v>
      </c>
      <c r="CY642" s="30">
        <v>0</v>
      </c>
      <c r="CZ642" s="30">
        <v>0</v>
      </c>
      <c r="DA642" s="30">
        <v>0</v>
      </c>
      <c r="DB642" s="30">
        <v>0</v>
      </c>
      <c r="DC642" s="30">
        <v>0</v>
      </c>
      <c r="DD642" s="30">
        <v>0</v>
      </c>
      <c r="DE642" s="30">
        <v>0</v>
      </c>
      <c r="DF642" s="30">
        <v>0</v>
      </c>
      <c r="DG642" s="16">
        <f t="shared" si="54"/>
        <v>464</v>
      </c>
      <c r="DH642" s="16">
        <f t="shared" si="55"/>
        <v>9997</v>
      </c>
      <c r="DI642" s="17">
        <f t="shared" si="56"/>
        <v>21.545258620689655</v>
      </c>
      <c r="DJ642" s="119" t="s">
        <v>1</v>
      </c>
      <c r="DK642" s="44" t="s">
        <v>1</v>
      </c>
      <c r="DL642" s="44" t="s">
        <v>1329</v>
      </c>
      <c r="DM642" s="44"/>
    </row>
    <row r="643" spans="1:117">
      <c r="A643" s="32" t="str">
        <f t="shared" si="52"/>
        <v>Ausgrid--&gt; 1 kV &amp; &lt; = 11 kV; CONCRETE</v>
      </c>
      <c r="B643" s="32" t="str">
        <f t="shared" si="53"/>
        <v>Ausgrid</v>
      </c>
      <c r="C643" s="397"/>
      <c r="D643" s="31"/>
      <c r="E643" s="30" t="s">
        <v>133</v>
      </c>
      <c r="F643" s="19">
        <v>27.63</v>
      </c>
      <c r="G643" s="19">
        <v>17.170000000000002</v>
      </c>
      <c r="H643" s="30">
        <v>10</v>
      </c>
      <c r="I643" s="30">
        <v>17</v>
      </c>
      <c r="J643" s="30">
        <v>12</v>
      </c>
      <c r="K643" s="30">
        <v>8</v>
      </c>
      <c r="L643" s="30">
        <v>2</v>
      </c>
      <c r="M643" s="30">
        <v>3</v>
      </c>
      <c r="N643" s="30">
        <v>10</v>
      </c>
      <c r="O643" s="30">
        <v>6</v>
      </c>
      <c r="P643" s="30">
        <v>1</v>
      </c>
      <c r="Q643" s="30">
        <v>7</v>
      </c>
      <c r="R643" s="30">
        <v>12</v>
      </c>
      <c r="S643" s="30">
        <v>9</v>
      </c>
      <c r="T643" s="30">
        <v>9</v>
      </c>
      <c r="U643" s="30">
        <v>0</v>
      </c>
      <c r="V643" s="30">
        <v>4</v>
      </c>
      <c r="W643" s="30">
        <v>0</v>
      </c>
      <c r="X643" s="30">
        <v>2</v>
      </c>
      <c r="Y643" s="30">
        <v>55</v>
      </c>
      <c r="Z643" s="30">
        <v>8</v>
      </c>
      <c r="AA643" s="30">
        <v>63</v>
      </c>
      <c r="AB643" s="30">
        <v>28</v>
      </c>
      <c r="AC643" s="30">
        <v>1</v>
      </c>
      <c r="AD643" s="30">
        <v>0</v>
      </c>
      <c r="AE643" s="30">
        <v>3</v>
      </c>
      <c r="AF643" s="30">
        <v>0</v>
      </c>
      <c r="AG643" s="30">
        <v>0</v>
      </c>
      <c r="AH643" s="30">
        <v>1</v>
      </c>
      <c r="AI643" s="30">
        <v>0</v>
      </c>
      <c r="AJ643" s="30">
        <v>0</v>
      </c>
      <c r="AK643" s="30">
        <v>0</v>
      </c>
      <c r="AL643" s="30">
        <v>0</v>
      </c>
      <c r="AM643" s="30">
        <v>0</v>
      </c>
      <c r="AN643" s="30">
        <v>0</v>
      </c>
      <c r="AO643" s="30">
        <v>0</v>
      </c>
      <c r="AP643" s="30">
        <v>0</v>
      </c>
      <c r="AQ643" s="30">
        <v>0</v>
      </c>
      <c r="AR643" s="30">
        <v>0</v>
      </c>
      <c r="AS643" s="30">
        <v>0</v>
      </c>
      <c r="AT643" s="30">
        <v>0</v>
      </c>
      <c r="AU643" s="30">
        <v>0</v>
      </c>
      <c r="AV643" s="30">
        <v>0</v>
      </c>
      <c r="AW643" s="30">
        <v>0</v>
      </c>
      <c r="AX643" s="30">
        <v>1</v>
      </c>
      <c r="AY643" s="30">
        <v>0</v>
      </c>
      <c r="AZ643" s="30">
        <v>0</v>
      </c>
      <c r="BA643" s="30">
        <v>1</v>
      </c>
      <c r="BB643" s="30">
        <v>0</v>
      </c>
      <c r="BC643" s="30">
        <v>0</v>
      </c>
      <c r="BD643" s="30">
        <v>0</v>
      </c>
      <c r="BE643" s="30">
        <v>0</v>
      </c>
      <c r="BF643" s="30">
        <v>0</v>
      </c>
      <c r="BG643" s="30">
        <v>0</v>
      </c>
      <c r="BH643" s="30">
        <v>1</v>
      </c>
      <c r="BI643" s="30">
        <v>0</v>
      </c>
      <c r="BJ643" s="30">
        <v>0</v>
      </c>
      <c r="BK643" s="30">
        <v>0</v>
      </c>
      <c r="BL643" s="30">
        <v>0</v>
      </c>
      <c r="BM643" s="30">
        <v>0</v>
      </c>
      <c r="BN643" s="30">
        <v>0</v>
      </c>
      <c r="BO643" s="30">
        <v>0</v>
      </c>
      <c r="BP643" s="30">
        <v>0</v>
      </c>
      <c r="BQ643" s="30">
        <v>0</v>
      </c>
      <c r="BR643" s="30">
        <v>0</v>
      </c>
      <c r="BS643" s="30">
        <v>0</v>
      </c>
      <c r="BT643" s="30">
        <v>0</v>
      </c>
      <c r="BU643" s="30">
        <v>0</v>
      </c>
      <c r="BV643" s="30">
        <v>0</v>
      </c>
      <c r="BW643" s="30">
        <v>0</v>
      </c>
      <c r="BX643" s="30">
        <v>0</v>
      </c>
      <c r="BY643" s="30">
        <v>0</v>
      </c>
      <c r="BZ643" s="30">
        <v>0</v>
      </c>
      <c r="CA643" s="30">
        <v>0</v>
      </c>
      <c r="CB643" s="30">
        <v>0</v>
      </c>
      <c r="CC643" s="30">
        <v>0</v>
      </c>
      <c r="CD643" s="30">
        <v>0</v>
      </c>
      <c r="CE643" s="30">
        <v>0</v>
      </c>
      <c r="CF643" s="30">
        <v>0</v>
      </c>
      <c r="CG643" s="30">
        <v>0</v>
      </c>
      <c r="CH643" s="30">
        <v>0</v>
      </c>
      <c r="CI643" s="30">
        <v>0</v>
      </c>
      <c r="CJ643" s="30">
        <v>0</v>
      </c>
      <c r="CK643" s="30">
        <v>0</v>
      </c>
      <c r="CL643" s="30">
        <v>0</v>
      </c>
      <c r="CM643" s="30">
        <v>0</v>
      </c>
      <c r="CN643" s="30">
        <v>0</v>
      </c>
      <c r="CO643" s="30">
        <v>0</v>
      </c>
      <c r="CP643" s="30">
        <v>0</v>
      </c>
      <c r="CQ643" s="30">
        <v>0</v>
      </c>
      <c r="CR643" s="30">
        <v>0</v>
      </c>
      <c r="CS643" s="30">
        <v>0</v>
      </c>
      <c r="CT643" s="30">
        <v>0</v>
      </c>
      <c r="CU643" s="30">
        <v>0</v>
      </c>
      <c r="CV643" s="30">
        <v>0</v>
      </c>
      <c r="CW643" s="30">
        <v>0</v>
      </c>
      <c r="CX643" s="30">
        <v>0</v>
      </c>
      <c r="CY643" s="30">
        <v>0</v>
      </c>
      <c r="CZ643" s="30">
        <v>0</v>
      </c>
      <c r="DA643" s="30">
        <v>0</v>
      </c>
      <c r="DB643" s="30">
        <v>0</v>
      </c>
      <c r="DC643" s="30">
        <v>0</v>
      </c>
      <c r="DD643" s="30">
        <v>0</v>
      </c>
      <c r="DE643" s="30">
        <v>0</v>
      </c>
      <c r="DF643" s="30">
        <v>0</v>
      </c>
      <c r="DG643" s="16">
        <f t="shared" si="54"/>
        <v>274</v>
      </c>
      <c r="DH643" s="16">
        <f t="shared" si="55"/>
        <v>4041</v>
      </c>
      <c r="DI643" s="17">
        <f t="shared" si="56"/>
        <v>14.748175182481752</v>
      </c>
      <c r="DJ643" s="119" t="s">
        <v>1</v>
      </c>
      <c r="DK643" s="44" t="s">
        <v>1</v>
      </c>
      <c r="DL643" s="44" t="s">
        <v>1329</v>
      </c>
      <c r="DM643" s="44"/>
    </row>
    <row r="644" spans="1:117">
      <c r="A644" s="32" t="str">
        <f t="shared" si="52"/>
        <v>Ausgrid--˃ 11 kV &amp; &lt; = 22 kV; CONCRETE</v>
      </c>
      <c r="B644" s="32" t="str">
        <f t="shared" si="53"/>
        <v>Ausgrid</v>
      </c>
      <c r="C644" s="397"/>
      <c r="D644" s="31"/>
      <c r="E644" s="30" t="s">
        <v>153</v>
      </c>
      <c r="F644" s="19">
        <v>0</v>
      </c>
      <c r="G644" s="19">
        <v>0</v>
      </c>
      <c r="H644" s="30">
        <v>0</v>
      </c>
      <c r="I644" s="30">
        <v>0</v>
      </c>
      <c r="J644" s="30">
        <v>0</v>
      </c>
      <c r="K644" s="30">
        <v>0</v>
      </c>
      <c r="L644" s="30">
        <v>0</v>
      </c>
      <c r="M644" s="30">
        <v>0</v>
      </c>
      <c r="N644" s="30">
        <v>0</v>
      </c>
      <c r="O644" s="30">
        <v>0</v>
      </c>
      <c r="P644" s="30">
        <v>0</v>
      </c>
      <c r="Q644" s="30">
        <v>0</v>
      </c>
      <c r="R644" s="30">
        <v>0</v>
      </c>
      <c r="S644" s="30">
        <v>0</v>
      </c>
      <c r="T644" s="30">
        <v>0</v>
      </c>
      <c r="U644" s="30">
        <v>0</v>
      </c>
      <c r="V644" s="30">
        <v>0</v>
      </c>
      <c r="W644" s="30">
        <v>0</v>
      </c>
      <c r="X644" s="30">
        <v>0</v>
      </c>
      <c r="Y644" s="30">
        <v>0</v>
      </c>
      <c r="Z644" s="30">
        <v>0</v>
      </c>
      <c r="AA644" s="30">
        <v>0</v>
      </c>
      <c r="AB644" s="30">
        <v>0</v>
      </c>
      <c r="AC644" s="30">
        <v>0</v>
      </c>
      <c r="AD644" s="30">
        <v>0</v>
      </c>
      <c r="AE644" s="30">
        <v>0</v>
      </c>
      <c r="AF644" s="30">
        <v>0</v>
      </c>
      <c r="AG644" s="30">
        <v>0</v>
      </c>
      <c r="AH644" s="30">
        <v>0</v>
      </c>
      <c r="AI644" s="30">
        <v>0</v>
      </c>
      <c r="AJ644" s="30">
        <v>0</v>
      </c>
      <c r="AK644" s="30">
        <v>0</v>
      </c>
      <c r="AL644" s="30">
        <v>0</v>
      </c>
      <c r="AM644" s="30">
        <v>0</v>
      </c>
      <c r="AN644" s="30">
        <v>0</v>
      </c>
      <c r="AO644" s="30">
        <v>0</v>
      </c>
      <c r="AP644" s="30">
        <v>0</v>
      </c>
      <c r="AQ644" s="30">
        <v>0</v>
      </c>
      <c r="AR644" s="30">
        <v>0</v>
      </c>
      <c r="AS644" s="30">
        <v>0</v>
      </c>
      <c r="AT644" s="30">
        <v>0</v>
      </c>
      <c r="AU644" s="30">
        <v>0</v>
      </c>
      <c r="AV644" s="30">
        <v>0</v>
      </c>
      <c r="AW644" s="30">
        <v>0</v>
      </c>
      <c r="AX644" s="30">
        <v>0</v>
      </c>
      <c r="AY644" s="30">
        <v>0</v>
      </c>
      <c r="AZ644" s="30">
        <v>0</v>
      </c>
      <c r="BA644" s="30">
        <v>0</v>
      </c>
      <c r="BB644" s="30">
        <v>0</v>
      </c>
      <c r="BC644" s="30">
        <v>0</v>
      </c>
      <c r="BD644" s="30">
        <v>0</v>
      </c>
      <c r="BE644" s="30">
        <v>0</v>
      </c>
      <c r="BF644" s="30">
        <v>0</v>
      </c>
      <c r="BG644" s="30">
        <v>0</v>
      </c>
      <c r="BH644" s="30">
        <v>0</v>
      </c>
      <c r="BI644" s="30">
        <v>0</v>
      </c>
      <c r="BJ644" s="30">
        <v>0</v>
      </c>
      <c r="BK644" s="30">
        <v>0</v>
      </c>
      <c r="BL644" s="30">
        <v>0</v>
      </c>
      <c r="BM644" s="30">
        <v>0</v>
      </c>
      <c r="BN644" s="30">
        <v>0</v>
      </c>
      <c r="BO644" s="30">
        <v>0</v>
      </c>
      <c r="BP644" s="30">
        <v>0</v>
      </c>
      <c r="BQ644" s="30">
        <v>0</v>
      </c>
      <c r="BR644" s="30">
        <v>0</v>
      </c>
      <c r="BS644" s="30">
        <v>0</v>
      </c>
      <c r="BT644" s="30">
        <v>0</v>
      </c>
      <c r="BU644" s="30">
        <v>0</v>
      </c>
      <c r="BV644" s="30">
        <v>0</v>
      </c>
      <c r="BW644" s="30">
        <v>0</v>
      </c>
      <c r="BX644" s="30">
        <v>0</v>
      </c>
      <c r="BY644" s="30">
        <v>0</v>
      </c>
      <c r="BZ644" s="30">
        <v>0</v>
      </c>
      <c r="CA644" s="30">
        <v>0</v>
      </c>
      <c r="CB644" s="30">
        <v>0</v>
      </c>
      <c r="CC644" s="30">
        <v>0</v>
      </c>
      <c r="CD644" s="30">
        <v>0</v>
      </c>
      <c r="CE644" s="30">
        <v>0</v>
      </c>
      <c r="CF644" s="30">
        <v>0</v>
      </c>
      <c r="CG644" s="30">
        <v>0</v>
      </c>
      <c r="CH644" s="30">
        <v>0</v>
      </c>
      <c r="CI644" s="30">
        <v>0</v>
      </c>
      <c r="CJ644" s="30">
        <v>0</v>
      </c>
      <c r="CK644" s="30">
        <v>0</v>
      </c>
      <c r="CL644" s="30">
        <v>0</v>
      </c>
      <c r="CM644" s="30">
        <v>0</v>
      </c>
      <c r="CN644" s="30">
        <v>0</v>
      </c>
      <c r="CO644" s="30">
        <v>0</v>
      </c>
      <c r="CP644" s="30">
        <v>0</v>
      </c>
      <c r="CQ644" s="30">
        <v>0</v>
      </c>
      <c r="CR644" s="30">
        <v>0</v>
      </c>
      <c r="CS644" s="30">
        <v>0</v>
      </c>
      <c r="CT644" s="30">
        <v>0</v>
      </c>
      <c r="CU644" s="30">
        <v>0</v>
      </c>
      <c r="CV644" s="30">
        <v>0</v>
      </c>
      <c r="CW644" s="30">
        <v>0</v>
      </c>
      <c r="CX644" s="30">
        <v>0</v>
      </c>
      <c r="CY644" s="30">
        <v>0</v>
      </c>
      <c r="CZ644" s="30">
        <v>0</v>
      </c>
      <c r="DA644" s="30">
        <v>0</v>
      </c>
      <c r="DB644" s="30">
        <v>0</v>
      </c>
      <c r="DC644" s="30">
        <v>0</v>
      </c>
      <c r="DD644" s="30">
        <v>0</v>
      </c>
      <c r="DE644" s="30">
        <v>0</v>
      </c>
      <c r="DF644" s="30">
        <v>0</v>
      </c>
      <c r="DG644" s="16">
        <f t="shared" si="54"/>
        <v>0</v>
      </c>
      <c r="DH644" s="16">
        <f t="shared" si="55"/>
        <v>0</v>
      </c>
      <c r="DI644" s="17" t="str">
        <f t="shared" si="56"/>
        <v/>
      </c>
      <c r="DJ644" s="119" t="s">
        <v>1</v>
      </c>
      <c r="DK644" s="44" t="s">
        <v>1</v>
      </c>
      <c r="DL644" s="44" t="s">
        <v>1329</v>
      </c>
      <c r="DM644" s="44"/>
    </row>
    <row r="645" spans="1:117">
      <c r="A645" s="32" t="str">
        <f t="shared" si="52"/>
        <v>Ausgrid--&gt; 22 kV &amp; &lt; = 66 kV; CONCRETE</v>
      </c>
      <c r="B645" s="32" t="str">
        <f t="shared" si="53"/>
        <v>Ausgrid</v>
      </c>
      <c r="C645" s="397"/>
      <c r="D645" s="31"/>
      <c r="E645" s="30" t="s">
        <v>155</v>
      </c>
      <c r="F645" s="19">
        <v>27.63</v>
      </c>
      <c r="G645" s="19">
        <v>17.170000000000002</v>
      </c>
      <c r="H645" s="30">
        <v>51</v>
      </c>
      <c r="I645" s="30">
        <v>156</v>
      </c>
      <c r="J645" s="30">
        <v>342</v>
      </c>
      <c r="K645" s="30">
        <v>322</v>
      </c>
      <c r="L645" s="30">
        <v>95</v>
      </c>
      <c r="M645" s="30">
        <v>112</v>
      </c>
      <c r="N645" s="30">
        <v>416</v>
      </c>
      <c r="O645" s="30">
        <v>410</v>
      </c>
      <c r="P645" s="30">
        <v>310</v>
      </c>
      <c r="Q645" s="30">
        <v>155</v>
      </c>
      <c r="R645" s="30">
        <v>108</v>
      </c>
      <c r="S645" s="30">
        <v>92</v>
      </c>
      <c r="T645" s="30">
        <v>74</v>
      </c>
      <c r="U645" s="30">
        <v>85</v>
      </c>
      <c r="V645" s="30">
        <v>13</v>
      </c>
      <c r="W645" s="30">
        <v>60</v>
      </c>
      <c r="X645" s="30">
        <v>4</v>
      </c>
      <c r="Y645" s="30">
        <v>56</v>
      </c>
      <c r="Z645" s="30">
        <v>10</v>
      </c>
      <c r="AA645" s="30">
        <v>54</v>
      </c>
      <c r="AB645" s="30">
        <v>19</v>
      </c>
      <c r="AC645" s="30">
        <v>86</v>
      </c>
      <c r="AD645" s="30">
        <v>42</v>
      </c>
      <c r="AE645" s="30">
        <v>47</v>
      </c>
      <c r="AF645" s="30">
        <v>39</v>
      </c>
      <c r="AG645" s="30">
        <v>0</v>
      </c>
      <c r="AH645" s="30">
        <v>38</v>
      </c>
      <c r="AI645" s="30">
        <v>6</v>
      </c>
      <c r="AJ645" s="30">
        <v>0</v>
      </c>
      <c r="AK645" s="30">
        <v>57</v>
      </c>
      <c r="AL645" s="30">
        <v>4</v>
      </c>
      <c r="AM645" s="30">
        <v>0</v>
      </c>
      <c r="AN645" s="30">
        <v>0</v>
      </c>
      <c r="AO645" s="30">
        <v>1</v>
      </c>
      <c r="AP645" s="30">
        <v>0</v>
      </c>
      <c r="AQ645" s="30">
        <v>1</v>
      </c>
      <c r="AR645" s="30">
        <v>1</v>
      </c>
      <c r="AS645" s="30">
        <v>0</v>
      </c>
      <c r="AT645" s="30">
        <v>20</v>
      </c>
      <c r="AU645" s="30">
        <v>0</v>
      </c>
      <c r="AV645" s="30">
        <v>0</v>
      </c>
      <c r="AW645" s="30">
        <v>0</v>
      </c>
      <c r="AX645" s="30">
        <v>2</v>
      </c>
      <c r="AY645" s="30">
        <v>1</v>
      </c>
      <c r="AZ645" s="30">
        <v>0</v>
      </c>
      <c r="BA645" s="30">
        <v>8</v>
      </c>
      <c r="BB645" s="30">
        <v>1</v>
      </c>
      <c r="BC645" s="30">
        <v>46</v>
      </c>
      <c r="BD645" s="30">
        <v>22</v>
      </c>
      <c r="BE645" s="30">
        <v>1</v>
      </c>
      <c r="BF645" s="30">
        <v>0</v>
      </c>
      <c r="BG645" s="30">
        <v>0</v>
      </c>
      <c r="BH645" s="30">
        <v>0</v>
      </c>
      <c r="BI645" s="30">
        <v>23</v>
      </c>
      <c r="BJ645" s="30">
        <v>0</v>
      </c>
      <c r="BK645" s="30">
        <v>0</v>
      </c>
      <c r="BL645" s="30">
        <v>0</v>
      </c>
      <c r="BM645" s="30">
        <v>0</v>
      </c>
      <c r="BN645" s="30">
        <v>0</v>
      </c>
      <c r="BO645" s="30">
        <v>0</v>
      </c>
      <c r="BP645" s="30">
        <v>0</v>
      </c>
      <c r="BQ645" s="30">
        <v>0</v>
      </c>
      <c r="BR645" s="30">
        <v>0</v>
      </c>
      <c r="BS645" s="30">
        <v>0</v>
      </c>
      <c r="BT645" s="30">
        <v>0</v>
      </c>
      <c r="BU645" s="30">
        <v>0</v>
      </c>
      <c r="BV645" s="30">
        <v>0</v>
      </c>
      <c r="BW645" s="30">
        <v>0</v>
      </c>
      <c r="BX645" s="30">
        <v>0</v>
      </c>
      <c r="BY645" s="30">
        <v>0</v>
      </c>
      <c r="BZ645" s="30">
        <v>0</v>
      </c>
      <c r="CA645" s="30">
        <v>0</v>
      </c>
      <c r="CB645" s="30">
        <v>0</v>
      </c>
      <c r="CC645" s="30">
        <v>0</v>
      </c>
      <c r="CD645" s="30">
        <v>0</v>
      </c>
      <c r="CE645" s="30">
        <v>0</v>
      </c>
      <c r="CF645" s="30">
        <v>0</v>
      </c>
      <c r="CG645" s="30">
        <v>0</v>
      </c>
      <c r="CH645" s="30">
        <v>0</v>
      </c>
      <c r="CI645" s="30">
        <v>0</v>
      </c>
      <c r="CJ645" s="30">
        <v>0</v>
      </c>
      <c r="CK645" s="30">
        <v>0</v>
      </c>
      <c r="CL645" s="30">
        <v>0</v>
      </c>
      <c r="CM645" s="30">
        <v>0</v>
      </c>
      <c r="CN645" s="30">
        <v>0</v>
      </c>
      <c r="CO645" s="30">
        <v>0</v>
      </c>
      <c r="CP645" s="30">
        <v>0</v>
      </c>
      <c r="CQ645" s="30">
        <v>0</v>
      </c>
      <c r="CR645" s="30">
        <v>0</v>
      </c>
      <c r="CS645" s="30">
        <v>0</v>
      </c>
      <c r="CT645" s="30">
        <v>0</v>
      </c>
      <c r="CU645" s="30">
        <v>0</v>
      </c>
      <c r="CV645" s="30">
        <v>0</v>
      </c>
      <c r="CW645" s="30">
        <v>0</v>
      </c>
      <c r="CX645" s="30">
        <v>0</v>
      </c>
      <c r="CY645" s="30">
        <v>0</v>
      </c>
      <c r="CZ645" s="30">
        <v>0</v>
      </c>
      <c r="DA645" s="30">
        <v>0</v>
      </c>
      <c r="DB645" s="30">
        <v>0</v>
      </c>
      <c r="DC645" s="30">
        <v>0</v>
      </c>
      <c r="DD645" s="30">
        <v>0</v>
      </c>
      <c r="DE645" s="30">
        <v>0</v>
      </c>
      <c r="DF645" s="30">
        <v>0</v>
      </c>
      <c r="DG645" s="16">
        <f t="shared" si="54"/>
        <v>3390</v>
      </c>
      <c r="DH645" s="16">
        <f t="shared" si="55"/>
        <v>36699</v>
      </c>
      <c r="DI645" s="17">
        <f t="shared" si="56"/>
        <v>10.825663716814159</v>
      </c>
      <c r="DJ645" s="119" t="s">
        <v>1</v>
      </c>
      <c r="DK645" s="44" t="s">
        <v>1</v>
      </c>
      <c r="DL645" s="44" t="s">
        <v>1329</v>
      </c>
      <c r="DM645" s="44"/>
    </row>
    <row r="646" spans="1:117">
      <c r="A646" s="32" t="str">
        <f t="shared" si="52"/>
        <v>Ausgrid--&gt; 66 kV &amp; &lt; = 132 kV; CONCRETE</v>
      </c>
      <c r="B646" s="32" t="str">
        <f t="shared" si="53"/>
        <v>Ausgrid</v>
      </c>
      <c r="C646" s="397"/>
      <c r="D646" s="31"/>
      <c r="E646" s="30" t="s">
        <v>157</v>
      </c>
      <c r="F646" s="19">
        <v>27.63</v>
      </c>
      <c r="G646" s="19">
        <v>17.170000000000002</v>
      </c>
      <c r="H646" s="30">
        <v>29</v>
      </c>
      <c r="I646" s="30">
        <v>217</v>
      </c>
      <c r="J646" s="30">
        <v>280</v>
      </c>
      <c r="K646" s="30">
        <v>416</v>
      </c>
      <c r="L646" s="30">
        <v>184</v>
      </c>
      <c r="M646" s="30">
        <v>62</v>
      </c>
      <c r="N646" s="30">
        <v>79</v>
      </c>
      <c r="O646" s="30">
        <v>30</v>
      </c>
      <c r="P646" s="30">
        <v>47</v>
      </c>
      <c r="Q646" s="30">
        <v>148</v>
      </c>
      <c r="R646" s="30">
        <v>255</v>
      </c>
      <c r="S646" s="30">
        <v>64</v>
      </c>
      <c r="T646" s="30">
        <v>144</v>
      </c>
      <c r="U646" s="30">
        <v>67</v>
      </c>
      <c r="V646" s="30">
        <v>2</v>
      </c>
      <c r="W646" s="30">
        <v>3</v>
      </c>
      <c r="X646" s="30">
        <v>17</v>
      </c>
      <c r="Y646" s="30">
        <v>30</v>
      </c>
      <c r="Z646" s="30">
        <v>2</v>
      </c>
      <c r="AA646" s="30">
        <v>1</v>
      </c>
      <c r="AB646" s="30">
        <v>4</v>
      </c>
      <c r="AC646" s="30">
        <v>0</v>
      </c>
      <c r="AD646" s="30">
        <v>99</v>
      </c>
      <c r="AE646" s="30">
        <v>28</v>
      </c>
      <c r="AF646" s="30">
        <v>2</v>
      </c>
      <c r="AG646" s="30">
        <v>46</v>
      </c>
      <c r="AH646" s="30">
        <v>14</v>
      </c>
      <c r="AI646" s="30">
        <v>119</v>
      </c>
      <c r="AJ646" s="30">
        <v>30</v>
      </c>
      <c r="AK646" s="30">
        <v>8</v>
      </c>
      <c r="AL646" s="30">
        <v>17</v>
      </c>
      <c r="AM646" s="30">
        <v>19</v>
      </c>
      <c r="AN646" s="30">
        <v>5</v>
      </c>
      <c r="AO646" s="30">
        <v>0</v>
      </c>
      <c r="AP646" s="30">
        <v>0</v>
      </c>
      <c r="AQ646" s="30">
        <v>0</v>
      </c>
      <c r="AR646" s="30">
        <v>0</v>
      </c>
      <c r="AS646" s="30">
        <v>0</v>
      </c>
      <c r="AT646" s="30">
        <v>1</v>
      </c>
      <c r="AU646" s="30">
        <v>2</v>
      </c>
      <c r="AV646" s="30">
        <v>0</v>
      </c>
      <c r="AW646" s="30">
        <v>2</v>
      </c>
      <c r="AX646" s="30">
        <v>0</v>
      </c>
      <c r="AY646" s="30">
        <v>7</v>
      </c>
      <c r="AZ646" s="30">
        <v>2</v>
      </c>
      <c r="BA646" s="30">
        <v>7</v>
      </c>
      <c r="BB646" s="30">
        <v>6</v>
      </c>
      <c r="BC646" s="30">
        <v>2</v>
      </c>
      <c r="BD646" s="30">
        <v>10</v>
      </c>
      <c r="BE646" s="30">
        <v>0</v>
      </c>
      <c r="BF646" s="30">
        <v>3</v>
      </c>
      <c r="BG646" s="30">
        <v>0</v>
      </c>
      <c r="BH646" s="30">
        <v>0</v>
      </c>
      <c r="BI646" s="30">
        <v>37</v>
      </c>
      <c r="BJ646" s="30">
        <v>0</v>
      </c>
      <c r="BK646" s="30">
        <v>0</v>
      </c>
      <c r="BL646" s="30">
        <v>0</v>
      </c>
      <c r="BM646" s="30">
        <v>0</v>
      </c>
      <c r="BN646" s="30">
        <v>0</v>
      </c>
      <c r="BO646" s="30">
        <v>0</v>
      </c>
      <c r="BP646" s="30">
        <v>0</v>
      </c>
      <c r="BQ646" s="30">
        <v>0</v>
      </c>
      <c r="BR646" s="30">
        <v>0</v>
      </c>
      <c r="BS646" s="30">
        <v>0</v>
      </c>
      <c r="BT646" s="30">
        <v>0</v>
      </c>
      <c r="BU646" s="30">
        <v>0</v>
      </c>
      <c r="BV646" s="30">
        <v>0</v>
      </c>
      <c r="BW646" s="30">
        <v>0</v>
      </c>
      <c r="BX646" s="30">
        <v>0</v>
      </c>
      <c r="BY646" s="30">
        <v>0</v>
      </c>
      <c r="BZ646" s="30">
        <v>0</v>
      </c>
      <c r="CA646" s="30">
        <v>0</v>
      </c>
      <c r="CB646" s="30">
        <v>0</v>
      </c>
      <c r="CC646" s="30">
        <v>0</v>
      </c>
      <c r="CD646" s="30">
        <v>0</v>
      </c>
      <c r="CE646" s="30">
        <v>0</v>
      </c>
      <c r="CF646" s="30">
        <v>0</v>
      </c>
      <c r="CG646" s="30">
        <v>0</v>
      </c>
      <c r="CH646" s="30">
        <v>0</v>
      </c>
      <c r="CI646" s="30">
        <v>0</v>
      </c>
      <c r="CJ646" s="30">
        <v>0</v>
      </c>
      <c r="CK646" s="30">
        <v>0</v>
      </c>
      <c r="CL646" s="30">
        <v>0</v>
      </c>
      <c r="CM646" s="30">
        <v>0</v>
      </c>
      <c r="CN646" s="30">
        <v>0</v>
      </c>
      <c r="CO646" s="30">
        <v>0</v>
      </c>
      <c r="CP646" s="30">
        <v>0</v>
      </c>
      <c r="CQ646" s="30">
        <v>0</v>
      </c>
      <c r="CR646" s="30">
        <v>0</v>
      </c>
      <c r="CS646" s="30">
        <v>0</v>
      </c>
      <c r="CT646" s="30">
        <v>0</v>
      </c>
      <c r="CU646" s="30">
        <v>0</v>
      </c>
      <c r="CV646" s="30">
        <v>0</v>
      </c>
      <c r="CW646" s="30">
        <v>0</v>
      </c>
      <c r="CX646" s="30">
        <v>0</v>
      </c>
      <c r="CY646" s="30">
        <v>0</v>
      </c>
      <c r="CZ646" s="30">
        <v>0</v>
      </c>
      <c r="DA646" s="30">
        <v>0</v>
      </c>
      <c r="DB646" s="30">
        <v>0</v>
      </c>
      <c r="DC646" s="30">
        <v>0</v>
      </c>
      <c r="DD646" s="30">
        <v>0</v>
      </c>
      <c r="DE646" s="30">
        <v>0</v>
      </c>
      <c r="DF646" s="30">
        <v>0</v>
      </c>
      <c r="DG646" s="16">
        <f t="shared" si="54"/>
        <v>2547</v>
      </c>
      <c r="DH646" s="16">
        <f t="shared" si="55"/>
        <v>28644</v>
      </c>
      <c r="DI646" s="17">
        <f t="shared" si="56"/>
        <v>11.246171967020024</v>
      </c>
      <c r="DJ646" s="119" t="s">
        <v>1</v>
      </c>
      <c r="DK646" s="44" t="s">
        <v>1</v>
      </c>
      <c r="DL646" s="44" t="s">
        <v>1329</v>
      </c>
      <c r="DM646" s="44"/>
    </row>
    <row r="647" spans="1:117">
      <c r="A647" s="32" t="str">
        <f t="shared" si="52"/>
        <v>Ausgrid--&gt; 132 kV; CONCRETE</v>
      </c>
      <c r="B647" s="32" t="str">
        <f t="shared" si="53"/>
        <v>Ausgrid</v>
      </c>
      <c r="C647" s="397"/>
      <c r="D647" s="31"/>
      <c r="E647" s="30" t="s">
        <v>159</v>
      </c>
      <c r="F647" s="19">
        <v>0</v>
      </c>
      <c r="G647" s="19">
        <v>0</v>
      </c>
      <c r="H647" s="30">
        <v>0</v>
      </c>
      <c r="I647" s="30">
        <v>0</v>
      </c>
      <c r="J647" s="30">
        <v>0</v>
      </c>
      <c r="K647" s="30">
        <v>0</v>
      </c>
      <c r="L647" s="30">
        <v>0</v>
      </c>
      <c r="M647" s="30">
        <v>0</v>
      </c>
      <c r="N647" s="30">
        <v>0</v>
      </c>
      <c r="O647" s="30">
        <v>0</v>
      </c>
      <c r="P647" s="30">
        <v>0</v>
      </c>
      <c r="Q647" s="30">
        <v>0</v>
      </c>
      <c r="R647" s="30">
        <v>0</v>
      </c>
      <c r="S647" s="30">
        <v>0</v>
      </c>
      <c r="T647" s="30">
        <v>0</v>
      </c>
      <c r="U647" s="30">
        <v>0</v>
      </c>
      <c r="V647" s="30">
        <v>0</v>
      </c>
      <c r="W647" s="30">
        <v>0</v>
      </c>
      <c r="X647" s="30">
        <v>0</v>
      </c>
      <c r="Y647" s="30">
        <v>0</v>
      </c>
      <c r="Z647" s="30">
        <v>0</v>
      </c>
      <c r="AA647" s="30">
        <v>0</v>
      </c>
      <c r="AB647" s="30">
        <v>0</v>
      </c>
      <c r="AC647" s="30">
        <v>0</v>
      </c>
      <c r="AD647" s="30">
        <v>0</v>
      </c>
      <c r="AE647" s="30">
        <v>0</v>
      </c>
      <c r="AF647" s="30">
        <v>0</v>
      </c>
      <c r="AG647" s="30">
        <v>0</v>
      </c>
      <c r="AH647" s="30">
        <v>0</v>
      </c>
      <c r="AI647" s="30">
        <v>0</v>
      </c>
      <c r="AJ647" s="30">
        <v>0</v>
      </c>
      <c r="AK647" s="30">
        <v>0</v>
      </c>
      <c r="AL647" s="30">
        <v>0</v>
      </c>
      <c r="AM647" s="30">
        <v>0</v>
      </c>
      <c r="AN647" s="30">
        <v>0</v>
      </c>
      <c r="AO647" s="30">
        <v>0</v>
      </c>
      <c r="AP647" s="30">
        <v>0</v>
      </c>
      <c r="AQ647" s="30">
        <v>0</v>
      </c>
      <c r="AR647" s="30">
        <v>0</v>
      </c>
      <c r="AS647" s="30">
        <v>0</v>
      </c>
      <c r="AT647" s="30">
        <v>0</v>
      </c>
      <c r="AU647" s="30">
        <v>0</v>
      </c>
      <c r="AV647" s="30">
        <v>0</v>
      </c>
      <c r="AW647" s="30">
        <v>0</v>
      </c>
      <c r="AX647" s="30">
        <v>0</v>
      </c>
      <c r="AY647" s="30">
        <v>0</v>
      </c>
      <c r="AZ647" s="30">
        <v>0</v>
      </c>
      <c r="BA647" s="30">
        <v>0</v>
      </c>
      <c r="BB647" s="30">
        <v>0</v>
      </c>
      <c r="BC647" s="30">
        <v>0</v>
      </c>
      <c r="BD647" s="30">
        <v>0</v>
      </c>
      <c r="BE647" s="30">
        <v>0</v>
      </c>
      <c r="BF647" s="30">
        <v>0</v>
      </c>
      <c r="BG647" s="30">
        <v>0</v>
      </c>
      <c r="BH647" s="30">
        <v>0</v>
      </c>
      <c r="BI647" s="30">
        <v>0</v>
      </c>
      <c r="BJ647" s="30">
        <v>0</v>
      </c>
      <c r="BK647" s="30">
        <v>0</v>
      </c>
      <c r="BL647" s="30">
        <v>0</v>
      </c>
      <c r="BM647" s="30">
        <v>0</v>
      </c>
      <c r="BN647" s="30">
        <v>0</v>
      </c>
      <c r="BO647" s="30">
        <v>0</v>
      </c>
      <c r="BP647" s="30">
        <v>0</v>
      </c>
      <c r="BQ647" s="30">
        <v>0</v>
      </c>
      <c r="BR647" s="30">
        <v>0</v>
      </c>
      <c r="BS647" s="30">
        <v>0</v>
      </c>
      <c r="BT647" s="30">
        <v>0</v>
      </c>
      <c r="BU647" s="30">
        <v>0</v>
      </c>
      <c r="BV647" s="30">
        <v>0</v>
      </c>
      <c r="BW647" s="30">
        <v>0</v>
      </c>
      <c r="BX647" s="30">
        <v>0</v>
      </c>
      <c r="BY647" s="30">
        <v>0</v>
      </c>
      <c r="BZ647" s="30">
        <v>0</v>
      </c>
      <c r="CA647" s="30">
        <v>0</v>
      </c>
      <c r="CB647" s="30">
        <v>0</v>
      </c>
      <c r="CC647" s="30">
        <v>0</v>
      </c>
      <c r="CD647" s="30">
        <v>0</v>
      </c>
      <c r="CE647" s="30">
        <v>0</v>
      </c>
      <c r="CF647" s="30">
        <v>0</v>
      </c>
      <c r="CG647" s="30">
        <v>0</v>
      </c>
      <c r="CH647" s="30">
        <v>0</v>
      </c>
      <c r="CI647" s="30">
        <v>0</v>
      </c>
      <c r="CJ647" s="30">
        <v>0</v>
      </c>
      <c r="CK647" s="30">
        <v>0</v>
      </c>
      <c r="CL647" s="30">
        <v>0</v>
      </c>
      <c r="CM647" s="30">
        <v>0</v>
      </c>
      <c r="CN647" s="30">
        <v>0</v>
      </c>
      <c r="CO647" s="30">
        <v>0</v>
      </c>
      <c r="CP647" s="30">
        <v>0</v>
      </c>
      <c r="CQ647" s="30">
        <v>0</v>
      </c>
      <c r="CR647" s="30">
        <v>0</v>
      </c>
      <c r="CS647" s="30">
        <v>0</v>
      </c>
      <c r="CT647" s="30">
        <v>0</v>
      </c>
      <c r="CU647" s="30">
        <v>0</v>
      </c>
      <c r="CV647" s="30">
        <v>0</v>
      </c>
      <c r="CW647" s="30">
        <v>0</v>
      </c>
      <c r="CX647" s="30">
        <v>0</v>
      </c>
      <c r="CY647" s="30">
        <v>0</v>
      </c>
      <c r="CZ647" s="30">
        <v>0</v>
      </c>
      <c r="DA647" s="30">
        <v>0</v>
      </c>
      <c r="DB647" s="30">
        <v>0</v>
      </c>
      <c r="DC647" s="30">
        <v>0</v>
      </c>
      <c r="DD647" s="30">
        <v>0</v>
      </c>
      <c r="DE647" s="30">
        <v>0</v>
      </c>
      <c r="DF647" s="30">
        <v>0</v>
      </c>
      <c r="DG647" s="16">
        <f t="shared" si="54"/>
        <v>0</v>
      </c>
      <c r="DH647" s="16">
        <f t="shared" si="55"/>
        <v>0</v>
      </c>
      <c r="DI647" s="17" t="str">
        <f t="shared" si="56"/>
        <v/>
      </c>
      <c r="DJ647" s="119" t="s">
        <v>1</v>
      </c>
      <c r="DK647" s="44" t="s">
        <v>1</v>
      </c>
      <c r="DL647" s="44" t="s">
        <v>1329</v>
      </c>
      <c r="DM647" s="44"/>
    </row>
    <row r="648" spans="1:117">
      <c r="A648" s="32" t="str">
        <f t="shared" si="52"/>
        <v>Ausgrid--˂ = 1 kV; STEEL</v>
      </c>
      <c r="B648" s="32" t="str">
        <f t="shared" si="53"/>
        <v>Ausgrid</v>
      </c>
      <c r="C648" s="397"/>
      <c r="D648" s="31"/>
      <c r="E648" s="30" t="s">
        <v>161</v>
      </c>
      <c r="F648" s="19">
        <v>38.19</v>
      </c>
      <c r="G648" s="19">
        <v>17.14</v>
      </c>
      <c r="H648" s="30">
        <v>72</v>
      </c>
      <c r="I648" s="30">
        <v>102</v>
      </c>
      <c r="J648" s="30">
        <v>93</v>
      </c>
      <c r="K648" s="30">
        <v>78</v>
      </c>
      <c r="L648" s="30">
        <v>70</v>
      </c>
      <c r="M648" s="30">
        <v>182</v>
      </c>
      <c r="N648" s="30">
        <v>514</v>
      </c>
      <c r="O648" s="30">
        <v>387</v>
      </c>
      <c r="P648" s="30">
        <v>314</v>
      </c>
      <c r="Q648" s="30">
        <v>224</v>
      </c>
      <c r="R648" s="30">
        <v>183</v>
      </c>
      <c r="S648" s="30">
        <v>108</v>
      </c>
      <c r="T648" s="30">
        <v>102</v>
      </c>
      <c r="U648" s="30">
        <v>589</v>
      </c>
      <c r="V648" s="30">
        <v>18</v>
      </c>
      <c r="W648" s="30">
        <v>63</v>
      </c>
      <c r="X648" s="30">
        <v>26</v>
      </c>
      <c r="Y648" s="30">
        <v>44</v>
      </c>
      <c r="Z648" s="30">
        <v>11</v>
      </c>
      <c r="AA648" s="30">
        <v>25</v>
      </c>
      <c r="AB648" s="30">
        <v>11</v>
      </c>
      <c r="AC648" s="30">
        <v>184</v>
      </c>
      <c r="AD648" s="30">
        <v>120</v>
      </c>
      <c r="AE648" s="30">
        <v>189</v>
      </c>
      <c r="AF648" s="30">
        <v>4</v>
      </c>
      <c r="AG648" s="30">
        <v>120</v>
      </c>
      <c r="AH648" s="30">
        <v>14</v>
      </c>
      <c r="AI648" s="30">
        <v>12</v>
      </c>
      <c r="AJ648" s="30">
        <v>166</v>
      </c>
      <c r="AK648" s="30">
        <v>285</v>
      </c>
      <c r="AL648" s="30">
        <v>972</v>
      </c>
      <c r="AM648" s="30">
        <v>652</v>
      </c>
      <c r="AN648" s="30">
        <v>355</v>
      </c>
      <c r="AO648" s="30">
        <v>101</v>
      </c>
      <c r="AP648" s="30">
        <v>58</v>
      </c>
      <c r="AQ648" s="30">
        <v>14</v>
      </c>
      <c r="AR648" s="30">
        <v>114</v>
      </c>
      <c r="AS648" s="30">
        <v>16</v>
      </c>
      <c r="AT648" s="30">
        <v>14</v>
      </c>
      <c r="AU648" s="30">
        <v>37</v>
      </c>
      <c r="AV648" s="30">
        <v>44</v>
      </c>
      <c r="AW648" s="30">
        <v>216</v>
      </c>
      <c r="AX648" s="30">
        <v>35</v>
      </c>
      <c r="AY648" s="30">
        <v>58</v>
      </c>
      <c r="AZ648" s="30">
        <v>53</v>
      </c>
      <c r="BA648" s="30">
        <v>134</v>
      </c>
      <c r="BB648" s="30">
        <v>64</v>
      </c>
      <c r="BC648" s="30">
        <v>144</v>
      </c>
      <c r="BD648" s="30">
        <v>98</v>
      </c>
      <c r="BE648" s="30">
        <v>111</v>
      </c>
      <c r="BF648" s="30">
        <v>45</v>
      </c>
      <c r="BG648" s="30">
        <v>20</v>
      </c>
      <c r="BH648" s="30">
        <v>45</v>
      </c>
      <c r="BI648" s="30">
        <v>65</v>
      </c>
      <c r="BJ648" s="30">
        <v>60</v>
      </c>
      <c r="BK648" s="30">
        <v>21</v>
      </c>
      <c r="BL648" s="30">
        <v>9</v>
      </c>
      <c r="BM648" s="30">
        <v>0</v>
      </c>
      <c r="BN648" s="30">
        <v>33</v>
      </c>
      <c r="BO648" s="30">
        <v>1</v>
      </c>
      <c r="BP648" s="30">
        <v>1</v>
      </c>
      <c r="BQ648" s="30">
        <v>6</v>
      </c>
      <c r="BR648" s="30">
        <v>0</v>
      </c>
      <c r="BS648" s="30">
        <v>1</v>
      </c>
      <c r="BT648" s="30">
        <v>0</v>
      </c>
      <c r="BU648" s="30">
        <v>2</v>
      </c>
      <c r="BV648" s="30">
        <v>3</v>
      </c>
      <c r="BW648" s="30">
        <v>0</v>
      </c>
      <c r="BX648" s="30">
        <v>0</v>
      </c>
      <c r="BY648" s="30">
        <v>0</v>
      </c>
      <c r="BZ648" s="30">
        <v>0</v>
      </c>
      <c r="CA648" s="30">
        <v>0</v>
      </c>
      <c r="CB648" s="30">
        <v>0</v>
      </c>
      <c r="CC648" s="30">
        <v>0</v>
      </c>
      <c r="CD648" s="30">
        <v>0</v>
      </c>
      <c r="CE648" s="30">
        <v>0</v>
      </c>
      <c r="CF648" s="30">
        <v>0</v>
      </c>
      <c r="CG648" s="30">
        <v>0</v>
      </c>
      <c r="CH648" s="30">
        <v>0</v>
      </c>
      <c r="CI648" s="30">
        <v>0</v>
      </c>
      <c r="CJ648" s="30">
        <v>0</v>
      </c>
      <c r="CK648" s="30">
        <v>0</v>
      </c>
      <c r="CL648" s="30">
        <v>3</v>
      </c>
      <c r="CM648" s="30">
        <v>0</v>
      </c>
      <c r="CN648" s="30">
        <v>0</v>
      </c>
      <c r="CO648" s="30">
        <v>0</v>
      </c>
      <c r="CP648" s="30">
        <v>0</v>
      </c>
      <c r="CQ648" s="30">
        <v>0</v>
      </c>
      <c r="CR648" s="30">
        <v>0</v>
      </c>
      <c r="CS648" s="30">
        <v>0</v>
      </c>
      <c r="CT648" s="30">
        <v>0</v>
      </c>
      <c r="CU648" s="30">
        <v>0</v>
      </c>
      <c r="CV648" s="30">
        <v>0</v>
      </c>
      <c r="CW648" s="30">
        <v>0</v>
      </c>
      <c r="CX648" s="30">
        <v>0</v>
      </c>
      <c r="CY648" s="30">
        <v>0</v>
      </c>
      <c r="CZ648" s="30">
        <v>0</v>
      </c>
      <c r="DA648" s="30">
        <v>0</v>
      </c>
      <c r="DB648" s="30">
        <v>0</v>
      </c>
      <c r="DC648" s="30">
        <v>0</v>
      </c>
      <c r="DD648" s="30">
        <v>0</v>
      </c>
      <c r="DE648" s="30">
        <v>0</v>
      </c>
      <c r="DF648" s="30">
        <v>0</v>
      </c>
      <c r="DG648" s="16">
        <f t="shared" si="54"/>
        <v>7915</v>
      </c>
      <c r="DH648" s="16">
        <f t="shared" si="55"/>
        <v>195634</v>
      </c>
      <c r="DI648" s="17">
        <f t="shared" si="56"/>
        <v>24.716866708780795</v>
      </c>
      <c r="DJ648" s="119" t="s">
        <v>1</v>
      </c>
      <c r="DK648" s="44" t="s">
        <v>1</v>
      </c>
      <c r="DL648" s="44" t="s">
        <v>1330</v>
      </c>
      <c r="DM648" s="44"/>
    </row>
    <row r="649" spans="1:117">
      <c r="A649" s="32" t="str">
        <f t="shared" si="52"/>
        <v>Ausgrid--&gt; 1 kV &amp; &lt; = 11 kV; STEEL</v>
      </c>
      <c r="B649" s="32" t="str">
        <f t="shared" si="53"/>
        <v>Ausgrid</v>
      </c>
      <c r="C649" s="397"/>
      <c r="D649" s="31"/>
      <c r="E649" s="30" t="s">
        <v>163</v>
      </c>
      <c r="F649" s="19">
        <v>38.19</v>
      </c>
      <c r="G649" s="19">
        <v>17.14</v>
      </c>
      <c r="H649" s="30">
        <v>0</v>
      </c>
      <c r="I649" s="30">
        <v>8</v>
      </c>
      <c r="J649" s="30">
        <v>0</v>
      </c>
      <c r="K649" s="30">
        <v>0</v>
      </c>
      <c r="L649" s="30">
        <v>0</v>
      </c>
      <c r="M649" s="30">
        <v>1</v>
      </c>
      <c r="N649" s="30">
        <v>0</v>
      </c>
      <c r="O649" s="30">
        <v>4</v>
      </c>
      <c r="P649" s="30">
        <v>5</v>
      </c>
      <c r="Q649" s="30">
        <v>0</v>
      </c>
      <c r="R649" s="30">
        <v>0</v>
      </c>
      <c r="S649" s="30">
        <v>0</v>
      </c>
      <c r="T649" s="30">
        <v>0</v>
      </c>
      <c r="U649" s="30">
        <v>0</v>
      </c>
      <c r="V649" s="30">
        <v>0</v>
      </c>
      <c r="W649" s="30">
        <v>0</v>
      </c>
      <c r="X649" s="30">
        <v>0</v>
      </c>
      <c r="Y649" s="30">
        <v>0</v>
      </c>
      <c r="Z649" s="30">
        <v>0</v>
      </c>
      <c r="AA649" s="30">
        <v>0</v>
      </c>
      <c r="AB649" s="30">
        <v>0</v>
      </c>
      <c r="AC649" s="30">
        <v>0</v>
      </c>
      <c r="AD649" s="30">
        <v>0</v>
      </c>
      <c r="AE649" s="30">
        <v>0</v>
      </c>
      <c r="AF649" s="30">
        <v>0</v>
      </c>
      <c r="AG649" s="30">
        <v>0</v>
      </c>
      <c r="AH649" s="30">
        <v>0</v>
      </c>
      <c r="AI649" s="30">
        <v>0</v>
      </c>
      <c r="AJ649" s="30">
        <v>0</v>
      </c>
      <c r="AK649" s="30">
        <v>0</v>
      </c>
      <c r="AL649" s="30">
        <v>0</v>
      </c>
      <c r="AM649" s="30">
        <v>0</v>
      </c>
      <c r="AN649" s="30">
        <v>1</v>
      </c>
      <c r="AO649" s="30">
        <v>0</v>
      </c>
      <c r="AP649" s="30">
        <v>0</v>
      </c>
      <c r="AQ649" s="30">
        <v>1</v>
      </c>
      <c r="AR649" s="30">
        <v>12</v>
      </c>
      <c r="AS649" s="30">
        <v>0</v>
      </c>
      <c r="AT649" s="30">
        <v>0</v>
      </c>
      <c r="AU649" s="30">
        <v>2</v>
      </c>
      <c r="AV649" s="30">
        <v>0</v>
      </c>
      <c r="AW649" s="30">
        <v>0</v>
      </c>
      <c r="AX649" s="30">
        <v>1</v>
      </c>
      <c r="AY649" s="30">
        <v>0</v>
      </c>
      <c r="AZ649" s="30">
        <v>0</v>
      </c>
      <c r="BA649" s="30">
        <v>0</v>
      </c>
      <c r="BB649" s="30">
        <v>0</v>
      </c>
      <c r="BC649" s="30">
        <v>1</v>
      </c>
      <c r="BD649" s="30">
        <v>0</v>
      </c>
      <c r="BE649" s="30">
        <v>1</v>
      </c>
      <c r="BF649" s="30">
        <v>0</v>
      </c>
      <c r="BG649" s="30">
        <v>0</v>
      </c>
      <c r="BH649" s="30">
        <v>0</v>
      </c>
      <c r="BI649" s="30">
        <v>0</v>
      </c>
      <c r="BJ649" s="30">
        <v>0</v>
      </c>
      <c r="BK649" s="30">
        <v>2</v>
      </c>
      <c r="BL649" s="30">
        <v>0</v>
      </c>
      <c r="BM649" s="30">
        <v>0</v>
      </c>
      <c r="BN649" s="30">
        <v>0</v>
      </c>
      <c r="BO649" s="30">
        <v>0</v>
      </c>
      <c r="BP649" s="30">
        <v>0</v>
      </c>
      <c r="BQ649" s="30">
        <v>0</v>
      </c>
      <c r="BR649" s="30">
        <v>0</v>
      </c>
      <c r="BS649" s="30">
        <v>0</v>
      </c>
      <c r="BT649" s="30">
        <v>0</v>
      </c>
      <c r="BU649" s="30">
        <v>0</v>
      </c>
      <c r="BV649" s="30">
        <v>0</v>
      </c>
      <c r="BW649" s="30">
        <v>0</v>
      </c>
      <c r="BX649" s="30">
        <v>0</v>
      </c>
      <c r="BY649" s="30">
        <v>0</v>
      </c>
      <c r="BZ649" s="30">
        <v>0</v>
      </c>
      <c r="CA649" s="30">
        <v>0</v>
      </c>
      <c r="CB649" s="30">
        <v>0</v>
      </c>
      <c r="CC649" s="30">
        <v>0</v>
      </c>
      <c r="CD649" s="30">
        <v>0</v>
      </c>
      <c r="CE649" s="30">
        <v>0</v>
      </c>
      <c r="CF649" s="30">
        <v>0</v>
      </c>
      <c r="CG649" s="30">
        <v>0</v>
      </c>
      <c r="CH649" s="30">
        <v>0</v>
      </c>
      <c r="CI649" s="30">
        <v>0</v>
      </c>
      <c r="CJ649" s="30">
        <v>0</v>
      </c>
      <c r="CK649" s="30">
        <v>0</v>
      </c>
      <c r="CL649" s="30">
        <v>0</v>
      </c>
      <c r="CM649" s="30">
        <v>0</v>
      </c>
      <c r="CN649" s="30">
        <v>0</v>
      </c>
      <c r="CO649" s="30">
        <v>0</v>
      </c>
      <c r="CP649" s="30">
        <v>0</v>
      </c>
      <c r="CQ649" s="30">
        <v>0</v>
      </c>
      <c r="CR649" s="30">
        <v>0</v>
      </c>
      <c r="CS649" s="30">
        <v>0</v>
      </c>
      <c r="CT649" s="30">
        <v>0</v>
      </c>
      <c r="CU649" s="30">
        <v>0</v>
      </c>
      <c r="CV649" s="30">
        <v>0</v>
      </c>
      <c r="CW649" s="30">
        <v>0</v>
      </c>
      <c r="CX649" s="30">
        <v>0</v>
      </c>
      <c r="CY649" s="30">
        <v>0</v>
      </c>
      <c r="CZ649" s="30">
        <v>0</v>
      </c>
      <c r="DA649" s="30">
        <v>0</v>
      </c>
      <c r="DB649" s="30">
        <v>0</v>
      </c>
      <c r="DC649" s="30">
        <v>0</v>
      </c>
      <c r="DD649" s="30">
        <v>0</v>
      </c>
      <c r="DE649" s="30">
        <v>0</v>
      </c>
      <c r="DF649" s="30">
        <v>0</v>
      </c>
      <c r="DG649" s="16">
        <f t="shared" si="54"/>
        <v>39</v>
      </c>
      <c r="DH649" s="16">
        <f t="shared" si="55"/>
        <v>945</v>
      </c>
      <c r="DI649" s="17">
        <f t="shared" si="56"/>
        <v>24.23076923076923</v>
      </c>
      <c r="DJ649" s="119" t="s">
        <v>1</v>
      </c>
      <c r="DK649" s="44" t="s">
        <v>1</v>
      </c>
      <c r="DL649" s="44" t="s">
        <v>1330</v>
      </c>
      <c r="DM649" s="44"/>
    </row>
    <row r="650" spans="1:117">
      <c r="A650" s="32" t="str">
        <f t="shared" si="52"/>
        <v>Ausgrid--˃ 11 kV &amp; &lt; = 22 kV; STEEL</v>
      </c>
      <c r="B650" s="32" t="str">
        <f t="shared" si="53"/>
        <v>Ausgrid</v>
      </c>
      <c r="C650" s="397"/>
      <c r="D650" s="31"/>
      <c r="E650" s="30" t="s">
        <v>165</v>
      </c>
      <c r="F650" s="19">
        <v>38.19</v>
      </c>
      <c r="G650" s="19">
        <v>17.14</v>
      </c>
      <c r="H650" s="30">
        <v>1</v>
      </c>
      <c r="I650" s="30">
        <v>0</v>
      </c>
      <c r="J650" s="30">
        <v>0</v>
      </c>
      <c r="K650" s="30">
        <v>0</v>
      </c>
      <c r="L650" s="30">
        <v>0</v>
      </c>
      <c r="M650" s="30">
        <v>0</v>
      </c>
      <c r="N650" s="30">
        <v>0</v>
      </c>
      <c r="O650" s="30">
        <v>0</v>
      </c>
      <c r="P650" s="30">
        <v>1</v>
      </c>
      <c r="Q650" s="30">
        <v>0</v>
      </c>
      <c r="R650" s="30">
        <v>2</v>
      </c>
      <c r="S650" s="30">
        <v>4</v>
      </c>
      <c r="T650" s="30">
        <v>0</v>
      </c>
      <c r="U650" s="30">
        <v>0</v>
      </c>
      <c r="V650" s="30">
        <v>0</v>
      </c>
      <c r="W650" s="30">
        <v>0</v>
      </c>
      <c r="X650" s="30">
        <v>0</v>
      </c>
      <c r="Y650" s="30">
        <v>0</v>
      </c>
      <c r="Z650" s="30">
        <v>0</v>
      </c>
      <c r="AA650" s="30">
        <v>0</v>
      </c>
      <c r="AB650" s="30">
        <v>0</v>
      </c>
      <c r="AC650" s="30">
        <v>0</v>
      </c>
      <c r="AD650" s="30">
        <v>0</v>
      </c>
      <c r="AE650" s="30">
        <v>0</v>
      </c>
      <c r="AF650" s="30">
        <v>0</v>
      </c>
      <c r="AG650" s="30">
        <v>0</v>
      </c>
      <c r="AH650" s="30">
        <v>0</v>
      </c>
      <c r="AI650" s="30">
        <v>0</v>
      </c>
      <c r="AJ650" s="30">
        <v>0</v>
      </c>
      <c r="AK650" s="30">
        <v>0</v>
      </c>
      <c r="AL650" s="30">
        <v>0</v>
      </c>
      <c r="AM650" s="30">
        <v>0</v>
      </c>
      <c r="AN650" s="30">
        <v>0</v>
      </c>
      <c r="AO650" s="30">
        <v>0</v>
      </c>
      <c r="AP650" s="30">
        <v>0</v>
      </c>
      <c r="AQ650" s="30">
        <v>0</v>
      </c>
      <c r="AR650" s="30">
        <v>0</v>
      </c>
      <c r="AS650" s="30">
        <v>0</v>
      </c>
      <c r="AT650" s="30">
        <v>0</v>
      </c>
      <c r="AU650" s="30">
        <v>0</v>
      </c>
      <c r="AV650" s="30">
        <v>0</v>
      </c>
      <c r="AW650" s="30">
        <v>0</v>
      </c>
      <c r="AX650" s="30">
        <v>0</v>
      </c>
      <c r="AY650" s="30">
        <v>0</v>
      </c>
      <c r="AZ650" s="30">
        <v>0</v>
      </c>
      <c r="BA650" s="30">
        <v>0</v>
      </c>
      <c r="BB650" s="30">
        <v>0</v>
      </c>
      <c r="BC650" s="30">
        <v>0</v>
      </c>
      <c r="BD650" s="30">
        <v>0</v>
      </c>
      <c r="BE650" s="30">
        <v>0</v>
      </c>
      <c r="BF650" s="30">
        <v>0</v>
      </c>
      <c r="BG650" s="30">
        <v>0</v>
      </c>
      <c r="BH650" s="30">
        <v>0</v>
      </c>
      <c r="BI650" s="30">
        <v>0</v>
      </c>
      <c r="BJ650" s="30">
        <v>0</v>
      </c>
      <c r="BK650" s="30">
        <v>0</v>
      </c>
      <c r="BL650" s="30">
        <v>0</v>
      </c>
      <c r="BM650" s="30">
        <v>0</v>
      </c>
      <c r="BN650" s="30">
        <v>0</v>
      </c>
      <c r="BO650" s="30">
        <v>0</v>
      </c>
      <c r="BP650" s="30">
        <v>0</v>
      </c>
      <c r="BQ650" s="30">
        <v>0</v>
      </c>
      <c r="BR650" s="30">
        <v>0</v>
      </c>
      <c r="BS650" s="30">
        <v>0</v>
      </c>
      <c r="BT650" s="30">
        <v>0</v>
      </c>
      <c r="BU650" s="30">
        <v>0</v>
      </c>
      <c r="BV650" s="30">
        <v>0</v>
      </c>
      <c r="BW650" s="30">
        <v>0</v>
      </c>
      <c r="BX650" s="30">
        <v>0</v>
      </c>
      <c r="BY650" s="30">
        <v>0</v>
      </c>
      <c r="BZ650" s="30">
        <v>0</v>
      </c>
      <c r="CA650" s="30">
        <v>0</v>
      </c>
      <c r="CB650" s="30">
        <v>0</v>
      </c>
      <c r="CC650" s="30">
        <v>0</v>
      </c>
      <c r="CD650" s="30">
        <v>0</v>
      </c>
      <c r="CE650" s="30">
        <v>0</v>
      </c>
      <c r="CF650" s="30">
        <v>0</v>
      </c>
      <c r="CG650" s="30">
        <v>0</v>
      </c>
      <c r="CH650" s="30">
        <v>0</v>
      </c>
      <c r="CI650" s="30">
        <v>0</v>
      </c>
      <c r="CJ650" s="30">
        <v>0</v>
      </c>
      <c r="CK650" s="30">
        <v>0</v>
      </c>
      <c r="CL650" s="30">
        <v>0</v>
      </c>
      <c r="CM650" s="30">
        <v>0</v>
      </c>
      <c r="CN650" s="30">
        <v>0</v>
      </c>
      <c r="CO650" s="30">
        <v>0</v>
      </c>
      <c r="CP650" s="30">
        <v>0</v>
      </c>
      <c r="CQ650" s="30">
        <v>0</v>
      </c>
      <c r="CR650" s="30">
        <v>0</v>
      </c>
      <c r="CS650" s="30">
        <v>0</v>
      </c>
      <c r="CT650" s="30">
        <v>0</v>
      </c>
      <c r="CU650" s="30">
        <v>0</v>
      </c>
      <c r="CV650" s="30">
        <v>0</v>
      </c>
      <c r="CW650" s="30">
        <v>0</v>
      </c>
      <c r="CX650" s="30">
        <v>0</v>
      </c>
      <c r="CY650" s="30">
        <v>0</v>
      </c>
      <c r="CZ650" s="30">
        <v>0</v>
      </c>
      <c r="DA650" s="30">
        <v>0</v>
      </c>
      <c r="DB650" s="30">
        <v>0</v>
      </c>
      <c r="DC650" s="30">
        <v>0</v>
      </c>
      <c r="DD650" s="30">
        <v>0</v>
      </c>
      <c r="DE650" s="30">
        <v>0</v>
      </c>
      <c r="DF650" s="30">
        <v>0</v>
      </c>
      <c r="DG650" s="16">
        <f t="shared" si="54"/>
        <v>8</v>
      </c>
      <c r="DH650" s="16">
        <f t="shared" si="55"/>
        <v>80</v>
      </c>
      <c r="DI650" s="17">
        <f t="shared" si="56"/>
        <v>10</v>
      </c>
      <c r="DJ650" s="119" t="s">
        <v>1</v>
      </c>
      <c r="DK650" s="44" t="s">
        <v>1</v>
      </c>
      <c r="DL650" s="44" t="s">
        <v>1330</v>
      </c>
      <c r="DM650" s="44"/>
    </row>
    <row r="651" spans="1:117">
      <c r="A651" s="32" t="str">
        <f t="shared" si="52"/>
        <v>Ausgrid--&gt; 22 kV &amp; &lt; = 66 kV; STEEL</v>
      </c>
      <c r="B651" s="32" t="str">
        <f t="shared" si="53"/>
        <v>Ausgrid</v>
      </c>
      <c r="C651" s="397"/>
      <c r="D651" s="31"/>
      <c r="E651" s="30" t="s">
        <v>166</v>
      </c>
      <c r="F651" s="19">
        <v>38.19</v>
      </c>
      <c r="G651" s="19">
        <v>17.14</v>
      </c>
      <c r="H651" s="30">
        <v>2</v>
      </c>
      <c r="I651" s="30">
        <v>24</v>
      </c>
      <c r="J651" s="30">
        <v>99</v>
      </c>
      <c r="K651" s="30">
        <v>5</v>
      </c>
      <c r="L651" s="30">
        <v>1</v>
      </c>
      <c r="M651" s="30">
        <v>21</v>
      </c>
      <c r="N651" s="30">
        <v>46</v>
      </c>
      <c r="O651" s="30">
        <v>28</v>
      </c>
      <c r="P651" s="30">
        <v>0</v>
      </c>
      <c r="Q651" s="30">
        <v>4</v>
      </c>
      <c r="R651" s="30">
        <v>0</v>
      </c>
      <c r="S651" s="30">
        <v>0</v>
      </c>
      <c r="T651" s="30">
        <v>0</v>
      </c>
      <c r="U651" s="30">
        <v>0</v>
      </c>
      <c r="V651" s="30">
        <v>0</v>
      </c>
      <c r="W651" s="30">
        <v>0</v>
      </c>
      <c r="X651" s="30">
        <v>0</v>
      </c>
      <c r="Y651" s="30">
        <v>0</v>
      </c>
      <c r="Z651" s="30">
        <v>0</v>
      </c>
      <c r="AA651" s="30">
        <v>0</v>
      </c>
      <c r="AB651" s="30">
        <v>0</v>
      </c>
      <c r="AC651" s="30">
        <v>0</v>
      </c>
      <c r="AD651" s="30">
        <v>0</v>
      </c>
      <c r="AE651" s="30">
        <v>0</v>
      </c>
      <c r="AF651" s="30">
        <v>0</v>
      </c>
      <c r="AG651" s="30">
        <v>0</v>
      </c>
      <c r="AH651" s="30">
        <v>0</v>
      </c>
      <c r="AI651" s="30">
        <v>0</v>
      </c>
      <c r="AJ651" s="30">
        <v>0</v>
      </c>
      <c r="AK651" s="30">
        <v>0</v>
      </c>
      <c r="AL651" s="30">
        <v>0</v>
      </c>
      <c r="AM651" s="30">
        <v>2</v>
      </c>
      <c r="AN651" s="30">
        <v>0</v>
      </c>
      <c r="AO651" s="30">
        <v>0</v>
      </c>
      <c r="AP651" s="30">
        <v>0</v>
      </c>
      <c r="AQ651" s="30">
        <v>0</v>
      </c>
      <c r="AR651" s="30">
        <v>0</v>
      </c>
      <c r="AS651" s="30">
        <v>0</v>
      </c>
      <c r="AT651" s="30">
        <v>0</v>
      </c>
      <c r="AU651" s="30">
        <v>0</v>
      </c>
      <c r="AV651" s="30">
        <v>0</v>
      </c>
      <c r="AW651" s="30">
        <v>0</v>
      </c>
      <c r="AX651" s="30">
        <v>0</v>
      </c>
      <c r="AY651" s="30">
        <v>0</v>
      </c>
      <c r="AZ651" s="30">
        <v>0</v>
      </c>
      <c r="BA651" s="30">
        <v>0</v>
      </c>
      <c r="BB651" s="30">
        <v>0</v>
      </c>
      <c r="BC651" s="30">
        <v>0</v>
      </c>
      <c r="BD651" s="30">
        <v>0</v>
      </c>
      <c r="BE651" s="30">
        <v>0</v>
      </c>
      <c r="BF651" s="30">
        <v>0</v>
      </c>
      <c r="BG651" s="30">
        <v>0</v>
      </c>
      <c r="BH651" s="30">
        <v>0</v>
      </c>
      <c r="BI651" s="30">
        <v>0</v>
      </c>
      <c r="BJ651" s="30">
        <v>0</v>
      </c>
      <c r="BK651" s="30">
        <v>0</v>
      </c>
      <c r="BL651" s="30">
        <v>0</v>
      </c>
      <c r="BM651" s="30">
        <v>0</v>
      </c>
      <c r="BN651" s="30">
        <v>0</v>
      </c>
      <c r="BO651" s="30">
        <v>0</v>
      </c>
      <c r="BP651" s="30">
        <v>0</v>
      </c>
      <c r="BQ651" s="30">
        <v>0</v>
      </c>
      <c r="BR651" s="30">
        <v>0</v>
      </c>
      <c r="BS651" s="30">
        <v>0</v>
      </c>
      <c r="BT651" s="30">
        <v>0</v>
      </c>
      <c r="BU651" s="30">
        <v>0</v>
      </c>
      <c r="BV651" s="30">
        <v>0</v>
      </c>
      <c r="BW651" s="30">
        <v>0</v>
      </c>
      <c r="BX651" s="30">
        <v>0</v>
      </c>
      <c r="BY651" s="30">
        <v>0</v>
      </c>
      <c r="BZ651" s="30">
        <v>0</v>
      </c>
      <c r="CA651" s="30">
        <v>0</v>
      </c>
      <c r="CB651" s="30">
        <v>0</v>
      </c>
      <c r="CC651" s="30">
        <v>0</v>
      </c>
      <c r="CD651" s="30">
        <v>0</v>
      </c>
      <c r="CE651" s="30">
        <v>0</v>
      </c>
      <c r="CF651" s="30">
        <v>0</v>
      </c>
      <c r="CG651" s="30">
        <v>0</v>
      </c>
      <c r="CH651" s="30">
        <v>0</v>
      </c>
      <c r="CI651" s="30">
        <v>0</v>
      </c>
      <c r="CJ651" s="30">
        <v>0</v>
      </c>
      <c r="CK651" s="30">
        <v>0</v>
      </c>
      <c r="CL651" s="30">
        <v>0</v>
      </c>
      <c r="CM651" s="30">
        <v>0</v>
      </c>
      <c r="CN651" s="30">
        <v>0</v>
      </c>
      <c r="CO651" s="30">
        <v>0</v>
      </c>
      <c r="CP651" s="30">
        <v>0</v>
      </c>
      <c r="CQ651" s="30">
        <v>0</v>
      </c>
      <c r="CR651" s="30">
        <v>0</v>
      </c>
      <c r="CS651" s="30">
        <v>0</v>
      </c>
      <c r="CT651" s="30">
        <v>0</v>
      </c>
      <c r="CU651" s="30">
        <v>0</v>
      </c>
      <c r="CV651" s="30">
        <v>0</v>
      </c>
      <c r="CW651" s="30">
        <v>0</v>
      </c>
      <c r="CX651" s="30">
        <v>0</v>
      </c>
      <c r="CY651" s="30">
        <v>0</v>
      </c>
      <c r="CZ651" s="30">
        <v>0</v>
      </c>
      <c r="DA651" s="30">
        <v>0</v>
      </c>
      <c r="DB651" s="30">
        <v>0</v>
      </c>
      <c r="DC651" s="30">
        <v>0</v>
      </c>
      <c r="DD651" s="30">
        <v>0</v>
      </c>
      <c r="DE651" s="30">
        <v>0</v>
      </c>
      <c r="DF651" s="30">
        <v>0</v>
      </c>
      <c r="DG651" s="16">
        <f t="shared" si="54"/>
        <v>232</v>
      </c>
      <c r="DH651" s="16">
        <f t="shared" si="55"/>
        <v>1148</v>
      </c>
      <c r="DI651" s="17">
        <f t="shared" si="56"/>
        <v>4.9482758620689653</v>
      </c>
      <c r="DJ651" s="119" t="s">
        <v>1</v>
      </c>
      <c r="DK651" s="44" t="s">
        <v>1</v>
      </c>
      <c r="DL651" s="44" t="s">
        <v>1330</v>
      </c>
      <c r="DM651" s="44"/>
    </row>
    <row r="652" spans="1:117">
      <c r="A652" s="32" t="str">
        <f t="shared" si="52"/>
        <v>Ausgrid--&gt; 66 kV &amp; &lt; = 132 kV; STEEL</v>
      </c>
      <c r="B652" s="32" t="str">
        <f t="shared" si="53"/>
        <v>Ausgrid</v>
      </c>
      <c r="C652" s="397"/>
      <c r="D652" s="31"/>
      <c r="E652" s="30" t="s">
        <v>167</v>
      </c>
      <c r="F652" s="19">
        <v>38.19</v>
      </c>
      <c r="G652" s="19">
        <v>17.14</v>
      </c>
      <c r="H652" s="30">
        <v>0</v>
      </c>
      <c r="I652" s="30">
        <v>8</v>
      </c>
      <c r="J652" s="30">
        <v>9</v>
      </c>
      <c r="K652" s="30">
        <v>14</v>
      </c>
      <c r="L652" s="30">
        <v>7</v>
      </c>
      <c r="M652" s="30">
        <v>6</v>
      </c>
      <c r="N652" s="30">
        <v>0</v>
      </c>
      <c r="O652" s="30">
        <v>16</v>
      </c>
      <c r="P652" s="30">
        <v>11</v>
      </c>
      <c r="Q652" s="30">
        <v>2</v>
      </c>
      <c r="R652" s="30">
        <v>0</v>
      </c>
      <c r="S652" s="30">
        <v>0</v>
      </c>
      <c r="T652" s="30">
        <v>0</v>
      </c>
      <c r="U652" s="30">
        <v>0</v>
      </c>
      <c r="V652" s="30">
        <v>0</v>
      </c>
      <c r="W652" s="30">
        <v>0</v>
      </c>
      <c r="X652" s="30">
        <v>0</v>
      </c>
      <c r="Y652" s="30">
        <v>0</v>
      </c>
      <c r="Z652" s="30">
        <v>0</v>
      </c>
      <c r="AA652" s="30">
        <v>0</v>
      </c>
      <c r="AB652" s="30">
        <v>0</v>
      </c>
      <c r="AC652" s="30">
        <v>0</v>
      </c>
      <c r="AD652" s="30">
        <v>0</v>
      </c>
      <c r="AE652" s="30">
        <v>0</v>
      </c>
      <c r="AF652" s="30">
        <v>0</v>
      </c>
      <c r="AG652" s="30">
        <v>9</v>
      </c>
      <c r="AH652" s="30">
        <v>0</v>
      </c>
      <c r="AI652" s="30">
        <v>0</v>
      </c>
      <c r="AJ652" s="30">
        <v>0</v>
      </c>
      <c r="AK652" s="30">
        <v>0</v>
      </c>
      <c r="AL652" s="30">
        <v>2</v>
      </c>
      <c r="AM652" s="30">
        <v>0</v>
      </c>
      <c r="AN652" s="30">
        <v>37</v>
      </c>
      <c r="AO652" s="30">
        <v>0</v>
      </c>
      <c r="AP652" s="30">
        <v>0</v>
      </c>
      <c r="AQ652" s="30">
        <v>1</v>
      </c>
      <c r="AR652" s="30">
        <v>0</v>
      </c>
      <c r="AS652" s="30">
        <v>0</v>
      </c>
      <c r="AT652" s="30">
        <v>0</v>
      </c>
      <c r="AU652" s="30">
        <v>0</v>
      </c>
      <c r="AV652" s="30">
        <v>0</v>
      </c>
      <c r="AW652" s="30">
        <v>0</v>
      </c>
      <c r="AX652" s="30">
        <v>0</v>
      </c>
      <c r="AY652" s="30">
        <v>0</v>
      </c>
      <c r="AZ652" s="30">
        <v>0</v>
      </c>
      <c r="BA652" s="30">
        <v>0</v>
      </c>
      <c r="BB652" s="30">
        <v>0</v>
      </c>
      <c r="BC652" s="30">
        <v>0</v>
      </c>
      <c r="BD652" s="30">
        <v>0</v>
      </c>
      <c r="BE652" s="30">
        <v>0</v>
      </c>
      <c r="BF652" s="30">
        <v>1</v>
      </c>
      <c r="BG652" s="30">
        <v>0</v>
      </c>
      <c r="BH652" s="30">
        <v>0</v>
      </c>
      <c r="BI652" s="30">
        <v>2</v>
      </c>
      <c r="BJ652" s="30">
        <v>0</v>
      </c>
      <c r="BK652" s="30">
        <v>4</v>
      </c>
      <c r="BL652" s="30">
        <v>0</v>
      </c>
      <c r="BM652" s="30">
        <v>0</v>
      </c>
      <c r="BN652" s="30">
        <v>0</v>
      </c>
      <c r="BO652" s="30">
        <v>0</v>
      </c>
      <c r="BP652" s="30">
        <v>0</v>
      </c>
      <c r="BQ652" s="30">
        <v>0</v>
      </c>
      <c r="BR652" s="30">
        <v>0</v>
      </c>
      <c r="BS652" s="30">
        <v>0</v>
      </c>
      <c r="BT652" s="30">
        <v>0</v>
      </c>
      <c r="BU652" s="30">
        <v>0</v>
      </c>
      <c r="BV652" s="30">
        <v>0</v>
      </c>
      <c r="BW652" s="30">
        <v>0</v>
      </c>
      <c r="BX652" s="30">
        <v>0</v>
      </c>
      <c r="BY652" s="30">
        <v>0</v>
      </c>
      <c r="BZ652" s="30">
        <v>0</v>
      </c>
      <c r="CA652" s="30">
        <v>0</v>
      </c>
      <c r="CB652" s="30">
        <v>0</v>
      </c>
      <c r="CC652" s="30">
        <v>0</v>
      </c>
      <c r="CD652" s="30">
        <v>0</v>
      </c>
      <c r="CE652" s="30">
        <v>0</v>
      </c>
      <c r="CF652" s="30">
        <v>0</v>
      </c>
      <c r="CG652" s="30">
        <v>0</v>
      </c>
      <c r="CH652" s="30">
        <v>0</v>
      </c>
      <c r="CI652" s="30">
        <v>0</v>
      </c>
      <c r="CJ652" s="30">
        <v>0</v>
      </c>
      <c r="CK652" s="30">
        <v>0</v>
      </c>
      <c r="CL652" s="30">
        <v>0</v>
      </c>
      <c r="CM652" s="30">
        <v>0</v>
      </c>
      <c r="CN652" s="30">
        <v>0</v>
      </c>
      <c r="CO652" s="30">
        <v>0</v>
      </c>
      <c r="CP652" s="30">
        <v>0</v>
      </c>
      <c r="CQ652" s="30">
        <v>0</v>
      </c>
      <c r="CR652" s="30">
        <v>0</v>
      </c>
      <c r="CS652" s="30">
        <v>0</v>
      </c>
      <c r="CT652" s="30">
        <v>0</v>
      </c>
      <c r="CU652" s="30">
        <v>0</v>
      </c>
      <c r="CV652" s="30">
        <v>0</v>
      </c>
      <c r="CW652" s="30">
        <v>0</v>
      </c>
      <c r="CX652" s="30">
        <v>0</v>
      </c>
      <c r="CY652" s="30">
        <v>0</v>
      </c>
      <c r="CZ652" s="30">
        <v>0</v>
      </c>
      <c r="DA652" s="30">
        <v>0</v>
      </c>
      <c r="DB652" s="30">
        <v>0</v>
      </c>
      <c r="DC652" s="30">
        <v>0</v>
      </c>
      <c r="DD652" s="30">
        <v>0</v>
      </c>
      <c r="DE652" s="30">
        <v>0</v>
      </c>
      <c r="DF652" s="30">
        <v>0</v>
      </c>
      <c r="DG652" s="16">
        <f t="shared" si="54"/>
        <v>129</v>
      </c>
      <c r="DH652" s="16">
        <f t="shared" si="55"/>
        <v>2353</v>
      </c>
      <c r="DI652" s="17">
        <f t="shared" si="56"/>
        <v>18.240310077519378</v>
      </c>
      <c r="DJ652" s="119" t="s">
        <v>1</v>
      </c>
      <c r="DK652" s="44" t="s">
        <v>1</v>
      </c>
      <c r="DL652" s="44" t="s">
        <v>1330</v>
      </c>
      <c r="DM652" s="44"/>
    </row>
    <row r="653" spans="1:117">
      <c r="A653" s="32" t="str">
        <f t="shared" si="52"/>
        <v>Ausgrid--&gt; 132 kV; STEEL</v>
      </c>
      <c r="B653" s="32" t="str">
        <f t="shared" si="53"/>
        <v>Ausgrid</v>
      </c>
      <c r="C653" s="397"/>
      <c r="D653" s="31"/>
      <c r="E653" s="30" t="s">
        <v>168</v>
      </c>
      <c r="F653" s="19">
        <v>0</v>
      </c>
      <c r="G653" s="19">
        <v>0</v>
      </c>
      <c r="H653" s="30">
        <v>0</v>
      </c>
      <c r="I653" s="30">
        <v>0</v>
      </c>
      <c r="J653" s="30">
        <v>0</v>
      </c>
      <c r="K653" s="30">
        <v>0</v>
      </c>
      <c r="L653" s="30">
        <v>0</v>
      </c>
      <c r="M653" s="30">
        <v>0</v>
      </c>
      <c r="N653" s="30">
        <v>0</v>
      </c>
      <c r="O653" s="30">
        <v>0</v>
      </c>
      <c r="P653" s="30">
        <v>0</v>
      </c>
      <c r="Q653" s="30">
        <v>0</v>
      </c>
      <c r="R653" s="30">
        <v>0</v>
      </c>
      <c r="S653" s="30">
        <v>0</v>
      </c>
      <c r="T653" s="30">
        <v>0</v>
      </c>
      <c r="U653" s="30">
        <v>0</v>
      </c>
      <c r="V653" s="30">
        <v>0</v>
      </c>
      <c r="W653" s="30">
        <v>0</v>
      </c>
      <c r="X653" s="30">
        <v>0</v>
      </c>
      <c r="Y653" s="30">
        <v>0</v>
      </c>
      <c r="Z653" s="30">
        <v>0</v>
      </c>
      <c r="AA653" s="30">
        <v>0</v>
      </c>
      <c r="AB653" s="30">
        <v>0</v>
      </c>
      <c r="AC653" s="30">
        <v>0</v>
      </c>
      <c r="AD653" s="30">
        <v>0</v>
      </c>
      <c r="AE653" s="30">
        <v>0</v>
      </c>
      <c r="AF653" s="30">
        <v>0</v>
      </c>
      <c r="AG653" s="30">
        <v>0</v>
      </c>
      <c r="AH653" s="30">
        <v>0</v>
      </c>
      <c r="AI653" s="30">
        <v>0</v>
      </c>
      <c r="AJ653" s="30">
        <v>0</v>
      </c>
      <c r="AK653" s="30">
        <v>0</v>
      </c>
      <c r="AL653" s="30">
        <v>0</v>
      </c>
      <c r="AM653" s="30">
        <v>0</v>
      </c>
      <c r="AN653" s="30">
        <v>0</v>
      </c>
      <c r="AO653" s="30">
        <v>0</v>
      </c>
      <c r="AP653" s="30">
        <v>0</v>
      </c>
      <c r="AQ653" s="30">
        <v>0</v>
      </c>
      <c r="AR653" s="30">
        <v>0</v>
      </c>
      <c r="AS653" s="30">
        <v>0</v>
      </c>
      <c r="AT653" s="30">
        <v>0</v>
      </c>
      <c r="AU653" s="30">
        <v>0</v>
      </c>
      <c r="AV653" s="30">
        <v>0</v>
      </c>
      <c r="AW653" s="30">
        <v>0</v>
      </c>
      <c r="AX653" s="30">
        <v>0</v>
      </c>
      <c r="AY653" s="30">
        <v>0</v>
      </c>
      <c r="AZ653" s="30">
        <v>0</v>
      </c>
      <c r="BA653" s="30">
        <v>0</v>
      </c>
      <c r="BB653" s="30">
        <v>0</v>
      </c>
      <c r="BC653" s="30">
        <v>0</v>
      </c>
      <c r="BD653" s="30">
        <v>0</v>
      </c>
      <c r="BE653" s="30">
        <v>0</v>
      </c>
      <c r="BF653" s="30">
        <v>0</v>
      </c>
      <c r="BG653" s="30">
        <v>0</v>
      </c>
      <c r="BH653" s="30">
        <v>0</v>
      </c>
      <c r="BI653" s="30">
        <v>0</v>
      </c>
      <c r="BJ653" s="30">
        <v>0</v>
      </c>
      <c r="BK653" s="30">
        <v>0</v>
      </c>
      <c r="BL653" s="30">
        <v>0</v>
      </c>
      <c r="BM653" s="30">
        <v>0</v>
      </c>
      <c r="BN653" s="30">
        <v>0</v>
      </c>
      <c r="BO653" s="30">
        <v>0</v>
      </c>
      <c r="BP653" s="30">
        <v>0</v>
      </c>
      <c r="BQ653" s="30">
        <v>0</v>
      </c>
      <c r="BR653" s="30">
        <v>0</v>
      </c>
      <c r="BS653" s="30">
        <v>0</v>
      </c>
      <c r="BT653" s="30">
        <v>0</v>
      </c>
      <c r="BU653" s="30">
        <v>0</v>
      </c>
      <c r="BV653" s="30">
        <v>0</v>
      </c>
      <c r="BW653" s="30">
        <v>0</v>
      </c>
      <c r="BX653" s="30">
        <v>0</v>
      </c>
      <c r="BY653" s="30">
        <v>0</v>
      </c>
      <c r="BZ653" s="30">
        <v>0</v>
      </c>
      <c r="CA653" s="30">
        <v>0</v>
      </c>
      <c r="CB653" s="30">
        <v>0</v>
      </c>
      <c r="CC653" s="30">
        <v>0</v>
      </c>
      <c r="CD653" s="30">
        <v>0</v>
      </c>
      <c r="CE653" s="30">
        <v>0</v>
      </c>
      <c r="CF653" s="30">
        <v>0</v>
      </c>
      <c r="CG653" s="30">
        <v>0</v>
      </c>
      <c r="CH653" s="30">
        <v>0</v>
      </c>
      <c r="CI653" s="30">
        <v>0</v>
      </c>
      <c r="CJ653" s="30">
        <v>0</v>
      </c>
      <c r="CK653" s="30">
        <v>0</v>
      </c>
      <c r="CL653" s="30">
        <v>0</v>
      </c>
      <c r="CM653" s="30">
        <v>0</v>
      </c>
      <c r="CN653" s="30">
        <v>0</v>
      </c>
      <c r="CO653" s="30">
        <v>0</v>
      </c>
      <c r="CP653" s="30">
        <v>0</v>
      </c>
      <c r="CQ653" s="30">
        <v>0</v>
      </c>
      <c r="CR653" s="30">
        <v>0</v>
      </c>
      <c r="CS653" s="30">
        <v>0</v>
      </c>
      <c r="CT653" s="30">
        <v>0</v>
      </c>
      <c r="CU653" s="30">
        <v>0</v>
      </c>
      <c r="CV653" s="30">
        <v>0</v>
      </c>
      <c r="CW653" s="30">
        <v>0</v>
      </c>
      <c r="CX653" s="30">
        <v>0</v>
      </c>
      <c r="CY653" s="30">
        <v>0</v>
      </c>
      <c r="CZ653" s="30">
        <v>0</v>
      </c>
      <c r="DA653" s="30">
        <v>0</v>
      </c>
      <c r="DB653" s="30">
        <v>0</v>
      </c>
      <c r="DC653" s="30">
        <v>0</v>
      </c>
      <c r="DD653" s="30">
        <v>0</v>
      </c>
      <c r="DE653" s="30">
        <v>0</v>
      </c>
      <c r="DF653" s="30">
        <v>0</v>
      </c>
      <c r="DG653" s="16">
        <f t="shared" si="54"/>
        <v>0</v>
      </c>
      <c r="DH653" s="16">
        <f t="shared" si="55"/>
        <v>0</v>
      </c>
      <c r="DI653" s="17" t="str">
        <f t="shared" si="56"/>
        <v/>
      </c>
      <c r="DJ653" s="119" t="s">
        <v>1</v>
      </c>
      <c r="DK653" s="44" t="s">
        <v>1</v>
      </c>
      <c r="DL653" s="44" t="s">
        <v>1330</v>
      </c>
      <c r="DM653" s="44"/>
    </row>
    <row r="654" spans="1:117">
      <c r="A654" s="32" t="str">
        <f t="shared" si="52"/>
        <v>Ausgrid--OTHER - PLEASE ADD A ROW IF NECESSARY AND NOMINATE THE CATEGORY</v>
      </c>
      <c r="B654" s="32" t="str">
        <f t="shared" si="53"/>
        <v>Ausgrid</v>
      </c>
      <c r="C654" s="397"/>
      <c r="D654" s="31"/>
      <c r="E654" s="30" t="s">
        <v>170</v>
      </c>
      <c r="F654" s="19"/>
      <c r="G654" s="19"/>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16">
        <f t="shared" si="54"/>
        <v>0</v>
      </c>
      <c r="DH654" s="16">
        <f t="shared" si="55"/>
        <v>0</v>
      </c>
      <c r="DI654" s="17" t="str">
        <f t="shared" si="56"/>
        <v/>
      </c>
      <c r="DJ654" s="119" t="s">
        <v>1</v>
      </c>
      <c r="DK654" s="44" t="s">
        <v>1</v>
      </c>
      <c r="DL654" s="44" t="s">
        <v>720</v>
      </c>
      <c r="DM654" s="44"/>
    </row>
    <row r="655" spans="1:117" ht="45">
      <c r="A655" s="32" t="str">
        <f t="shared" si="52"/>
        <v>Ausgrid-OVERHEAD CONDUCTORS BY: 
HIGHEST OPERATING VOLTAGE; NUMBER OF PHASES (AT HV)-˂ = 1 kV</v>
      </c>
      <c r="B655" s="32" t="str">
        <f t="shared" si="53"/>
        <v>Ausgrid</v>
      </c>
      <c r="C655" s="397"/>
      <c r="D655" s="31" t="s">
        <v>538</v>
      </c>
      <c r="E655" s="30" t="s">
        <v>171</v>
      </c>
      <c r="F655" s="19">
        <v>40.61</v>
      </c>
      <c r="G655" s="19">
        <v>12.69</v>
      </c>
      <c r="H655" s="30">
        <v>105.2150377</v>
      </c>
      <c r="I655" s="30">
        <v>146.8149761</v>
      </c>
      <c r="J655" s="30">
        <v>147.45860049999999</v>
      </c>
      <c r="K655" s="30">
        <v>127.6702975</v>
      </c>
      <c r="L655" s="30">
        <v>137.21661119999999</v>
      </c>
      <c r="M655" s="30">
        <v>124.6392882</v>
      </c>
      <c r="N655" s="30">
        <v>106.50770850000001</v>
      </c>
      <c r="O655" s="30">
        <v>113.7663439</v>
      </c>
      <c r="P655" s="30">
        <v>104.5254207</v>
      </c>
      <c r="Q655" s="30">
        <v>88.27583928</v>
      </c>
      <c r="R655" s="30">
        <v>98.795995939999997</v>
      </c>
      <c r="S655" s="30">
        <v>69.491735199999994</v>
      </c>
      <c r="T655" s="30">
        <v>65.390053820000006</v>
      </c>
      <c r="U655" s="30">
        <v>71.400864159999998</v>
      </c>
      <c r="V655" s="30">
        <v>58.50551608</v>
      </c>
      <c r="W655" s="30">
        <v>49.334176550000002</v>
      </c>
      <c r="X655" s="30">
        <v>49.772873660000002</v>
      </c>
      <c r="Y655" s="30">
        <v>51.695833190000002</v>
      </c>
      <c r="Z655" s="30">
        <v>64.547167259999995</v>
      </c>
      <c r="AA655" s="30">
        <v>64.401563589999995</v>
      </c>
      <c r="AB655" s="30">
        <v>45.569144090000002</v>
      </c>
      <c r="AC655" s="30">
        <v>36.292153550000002</v>
      </c>
      <c r="AD655" s="30">
        <v>87.789674779999999</v>
      </c>
      <c r="AE655" s="30">
        <v>109.6878052</v>
      </c>
      <c r="AF655" s="30">
        <v>81.530530729999995</v>
      </c>
      <c r="AG655" s="30">
        <v>69.093030209999995</v>
      </c>
      <c r="AH655" s="30">
        <v>106.955382</v>
      </c>
      <c r="AI655" s="30">
        <v>102.32264240000001</v>
      </c>
      <c r="AJ655" s="30">
        <v>119.6562361</v>
      </c>
      <c r="AK655" s="30">
        <v>92.706166080000003</v>
      </c>
      <c r="AL655" s="30">
        <v>86.241833310000004</v>
      </c>
      <c r="AM655" s="30">
        <v>177.12971820000001</v>
      </c>
      <c r="AN655" s="30">
        <v>165.85083019999999</v>
      </c>
      <c r="AO655" s="30">
        <v>371.64726539999998</v>
      </c>
      <c r="AP655" s="30">
        <v>228.6414924</v>
      </c>
      <c r="AQ655" s="30">
        <v>134.6641884</v>
      </c>
      <c r="AR655" s="30">
        <v>152.5924871</v>
      </c>
      <c r="AS655" s="30">
        <v>147.04872879999999</v>
      </c>
      <c r="AT655" s="30">
        <v>175.4629754</v>
      </c>
      <c r="AU655" s="30">
        <v>270.90477879999997</v>
      </c>
      <c r="AV655" s="30">
        <v>178.50862599999999</v>
      </c>
      <c r="AW655" s="30">
        <v>278.38997460000002</v>
      </c>
      <c r="AX655" s="30">
        <v>203.7881462</v>
      </c>
      <c r="AY655" s="30">
        <v>248.48680100000001</v>
      </c>
      <c r="AZ655" s="30">
        <v>336.24087079999998</v>
      </c>
      <c r="BA655" s="30">
        <v>442.12734590000002</v>
      </c>
      <c r="BB655" s="30">
        <v>309.15502839999999</v>
      </c>
      <c r="BC655" s="30">
        <v>527.20229670000003</v>
      </c>
      <c r="BD655" s="30">
        <v>546.26164849999998</v>
      </c>
      <c r="BE655" s="30">
        <v>544.65711160000001</v>
      </c>
      <c r="BF655" s="30">
        <v>910.01095120000002</v>
      </c>
      <c r="BG655" s="30">
        <v>469.05664639999998</v>
      </c>
      <c r="BH655" s="30">
        <v>534.44069609999997</v>
      </c>
      <c r="BI655" s="30">
        <v>604.44720700000005</v>
      </c>
      <c r="BJ655" s="30">
        <v>528.07128729999999</v>
      </c>
      <c r="BK655" s="30">
        <v>279.55728040000002</v>
      </c>
      <c r="BL655" s="30">
        <v>340.51449769999999</v>
      </c>
      <c r="BM655" s="30">
        <v>382.1187372</v>
      </c>
      <c r="BN655" s="30">
        <v>99.555658690000001</v>
      </c>
      <c r="BO655" s="30">
        <v>49.56331101</v>
      </c>
      <c r="BP655" s="30">
        <v>49.356891140000002</v>
      </c>
      <c r="BQ655" s="30">
        <v>37.689091400000002</v>
      </c>
      <c r="BR655" s="30">
        <v>54.697572209999997</v>
      </c>
      <c r="BS655" s="30">
        <v>20.136226780000001</v>
      </c>
      <c r="BT655" s="30">
        <v>38.997142510000003</v>
      </c>
      <c r="BU655" s="30">
        <v>18.052559609999999</v>
      </c>
      <c r="BV655" s="30">
        <v>4.6748710400000002</v>
      </c>
      <c r="BW655" s="30">
        <v>7.8662678750000001</v>
      </c>
      <c r="BX655" s="30">
        <v>59.435091849999999</v>
      </c>
      <c r="BY655" s="30">
        <v>0</v>
      </c>
      <c r="BZ655" s="30">
        <v>0</v>
      </c>
      <c r="CA655" s="30">
        <v>0</v>
      </c>
      <c r="CB655" s="30">
        <v>0</v>
      </c>
      <c r="CC655" s="30">
        <v>51.791774220000001</v>
      </c>
      <c r="CD655" s="30">
        <v>0</v>
      </c>
      <c r="CE655" s="30">
        <v>0</v>
      </c>
      <c r="CF655" s="30">
        <v>0</v>
      </c>
      <c r="CG655" s="30">
        <v>0</v>
      </c>
      <c r="CH655" s="30">
        <v>0</v>
      </c>
      <c r="CI655" s="30">
        <v>0</v>
      </c>
      <c r="CJ655" s="30">
        <v>0</v>
      </c>
      <c r="CK655" s="30">
        <v>0</v>
      </c>
      <c r="CL655" s="30">
        <v>0</v>
      </c>
      <c r="CM655" s="30">
        <v>0</v>
      </c>
      <c r="CN655" s="30">
        <v>0</v>
      </c>
      <c r="CO655" s="30">
        <v>75.325427939999997</v>
      </c>
      <c r="CP655" s="30">
        <v>62.820485220000002</v>
      </c>
      <c r="CQ655" s="30">
        <v>0</v>
      </c>
      <c r="CR655" s="30">
        <v>0</v>
      </c>
      <c r="CS655" s="30">
        <v>0</v>
      </c>
      <c r="CT655" s="30">
        <v>0</v>
      </c>
      <c r="CU655" s="30">
        <v>0</v>
      </c>
      <c r="CV655" s="30">
        <v>0</v>
      </c>
      <c r="CW655" s="30">
        <v>0.63647186499999997</v>
      </c>
      <c r="CX655" s="30">
        <v>0</v>
      </c>
      <c r="CY655" s="30">
        <v>0</v>
      </c>
      <c r="CZ655" s="30">
        <v>0</v>
      </c>
      <c r="DA655" s="30">
        <v>0</v>
      </c>
      <c r="DB655" s="30">
        <v>0</v>
      </c>
      <c r="DC655" s="30">
        <v>0</v>
      </c>
      <c r="DD655" s="30">
        <v>0</v>
      </c>
      <c r="DE655" s="30">
        <v>0</v>
      </c>
      <c r="DF655" s="30">
        <v>0</v>
      </c>
      <c r="DG655" s="16">
        <f t="shared" si="54"/>
        <v>12900.846962540001</v>
      </c>
      <c r="DH655" s="16">
        <f t="shared" si="55"/>
        <v>535944.46756508003</v>
      </c>
      <c r="DI655" s="17">
        <f t="shared" si="56"/>
        <v>41.543355186003993</v>
      </c>
      <c r="DJ655" s="119" t="s">
        <v>718</v>
      </c>
      <c r="DK655" t="s">
        <v>718</v>
      </c>
    </row>
    <row r="656" spans="1:117">
      <c r="A656" s="32" t="str">
        <f t="shared" si="52"/>
        <v>Ausgrid--&gt; 1 kV &amp; &lt; = 11 kV</v>
      </c>
      <c r="B656" s="32" t="str">
        <f t="shared" si="53"/>
        <v>Ausgrid</v>
      </c>
      <c r="C656" s="397"/>
      <c r="D656" s="31"/>
      <c r="E656" s="30" t="s">
        <v>172</v>
      </c>
      <c r="F656" s="19">
        <v>40.61</v>
      </c>
      <c r="G656" s="19">
        <v>12.69</v>
      </c>
      <c r="H656" s="30">
        <v>164.00081739999999</v>
      </c>
      <c r="I656" s="30">
        <v>133.52620139999999</v>
      </c>
      <c r="J656" s="30">
        <v>167.2403257</v>
      </c>
      <c r="K656" s="30">
        <v>145.03894310000001</v>
      </c>
      <c r="L656" s="30">
        <v>160.5181604</v>
      </c>
      <c r="M656" s="30">
        <v>142.4915743</v>
      </c>
      <c r="N656" s="30">
        <v>140.63771209999999</v>
      </c>
      <c r="O656" s="30">
        <v>106.4029137</v>
      </c>
      <c r="P656" s="30">
        <v>188.14838219999999</v>
      </c>
      <c r="Q656" s="30">
        <v>119.9421712</v>
      </c>
      <c r="R656" s="30">
        <v>130.51444609999999</v>
      </c>
      <c r="S656" s="30">
        <v>129.9946118</v>
      </c>
      <c r="T656" s="30">
        <v>125.7569925</v>
      </c>
      <c r="U656" s="30">
        <v>167.0253773</v>
      </c>
      <c r="V656" s="30">
        <v>138.19625579999999</v>
      </c>
      <c r="W656" s="30">
        <v>102.7682657</v>
      </c>
      <c r="X656" s="30">
        <v>63.55480309</v>
      </c>
      <c r="Y656" s="30">
        <v>61.100851679999998</v>
      </c>
      <c r="Z656" s="30">
        <v>64.749357739999994</v>
      </c>
      <c r="AA656" s="30">
        <v>63.870227130000004</v>
      </c>
      <c r="AB656" s="30">
        <v>68.319204049999996</v>
      </c>
      <c r="AC656" s="30">
        <v>61.594390619999999</v>
      </c>
      <c r="AD656" s="30">
        <v>79.374420490000006</v>
      </c>
      <c r="AE656" s="30">
        <v>93.486863290000002</v>
      </c>
      <c r="AF656" s="30">
        <v>65.850724880000001</v>
      </c>
      <c r="AG656" s="30">
        <v>69.228196339999997</v>
      </c>
      <c r="AH656" s="30">
        <v>88.573070369999996</v>
      </c>
      <c r="AI656" s="30">
        <v>97.439119419999997</v>
      </c>
      <c r="AJ656" s="30">
        <v>85.321961490000007</v>
      </c>
      <c r="AK656" s="30">
        <v>66.346756859999999</v>
      </c>
      <c r="AL656" s="30">
        <v>65.529997109999996</v>
      </c>
      <c r="AM656" s="30">
        <v>130.2761964</v>
      </c>
      <c r="AN656" s="30">
        <v>107.7267902</v>
      </c>
      <c r="AO656" s="30">
        <v>284.45409100000001</v>
      </c>
      <c r="AP656" s="30">
        <v>189.1061326</v>
      </c>
      <c r="AQ656" s="30">
        <v>130.38082919999999</v>
      </c>
      <c r="AR656" s="30">
        <v>176.71264429999999</v>
      </c>
      <c r="AS656" s="30">
        <v>164.44658519999999</v>
      </c>
      <c r="AT656" s="30">
        <v>143.62618219999999</v>
      </c>
      <c r="AU656" s="30">
        <v>217.97714300000001</v>
      </c>
      <c r="AV656" s="30">
        <v>264.99596969999999</v>
      </c>
      <c r="AW656" s="30">
        <v>358.60187869999999</v>
      </c>
      <c r="AX656" s="30">
        <v>220.57762109999999</v>
      </c>
      <c r="AY656" s="30">
        <v>173.46716240000001</v>
      </c>
      <c r="AZ656" s="30">
        <v>398.36918179999998</v>
      </c>
      <c r="BA656" s="30">
        <v>332.3652204</v>
      </c>
      <c r="BB656" s="30">
        <v>271.82207030000001</v>
      </c>
      <c r="BC656" s="30">
        <v>268.89008469999999</v>
      </c>
      <c r="BD656" s="30">
        <v>350.51794869999998</v>
      </c>
      <c r="BE656" s="30">
        <v>265.64994339999998</v>
      </c>
      <c r="BF656" s="30">
        <v>503.64678190000001</v>
      </c>
      <c r="BG656" s="30">
        <v>181.73352800000001</v>
      </c>
      <c r="BH656" s="30">
        <v>361.33703209999999</v>
      </c>
      <c r="BI656" s="30">
        <v>221.71217480000001</v>
      </c>
      <c r="BJ656" s="30">
        <v>215.28065359999999</v>
      </c>
      <c r="BK656" s="30">
        <v>106.822698</v>
      </c>
      <c r="BL656" s="30">
        <v>123.58234950000001</v>
      </c>
      <c r="BM656" s="30">
        <v>138.14404279999999</v>
      </c>
      <c r="BN656" s="30">
        <v>15.96712784</v>
      </c>
      <c r="BO656" s="30">
        <v>35.448017139999997</v>
      </c>
      <c r="BP656" s="30">
        <v>12.56442564</v>
      </c>
      <c r="BQ656" s="30">
        <v>29.817190490000002</v>
      </c>
      <c r="BR656" s="30">
        <v>1.008664615</v>
      </c>
      <c r="BS656" s="30">
        <v>0</v>
      </c>
      <c r="BT656" s="30">
        <v>0</v>
      </c>
      <c r="BU656" s="30">
        <v>0</v>
      </c>
      <c r="BV656" s="30">
        <v>9.8315860859999997</v>
      </c>
      <c r="BW656" s="30">
        <v>0</v>
      </c>
      <c r="BX656" s="30">
        <v>0</v>
      </c>
      <c r="BY656" s="30">
        <v>0</v>
      </c>
      <c r="BZ656" s="30">
        <v>0</v>
      </c>
      <c r="CA656" s="30">
        <v>0</v>
      </c>
      <c r="CB656" s="30">
        <v>0</v>
      </c>
      <c r="CC656" s="30">
        <v>14.391046319999999</v>
      </c>
      <c r="CD656" s="30">
        <v>0</v>
      </c>
      <c r="CE656" s="30">
        <v>0</v>
      </c>
      <c r="CF656" s="30">
        <v>0</v>
      </c>
      <c r="CG656" s="30">
        <v>0</v>
      </c>
      <c r="CH656" s="30">
        <v>0</v>
      </c>
      <c r="CI656" s="30">
        <v>0</v>
      </c>
      <c r="CJ656" s="30">
        <v>0</v>
      </c>
      <c r="CK656" s="30">
        <v>0</v>
      </c>
      <c r="CL656" s="30">
        <v>0</v>
      </c>
      <c r="CM656" s="30">
        <v>0</v>
      </c>
      <c r="CN656" s="30">
        <v>0</v>
      </c>
      <c r="CO656" s="30">
        <v>0.46662703500000002</v>
      </c>
      <c r="CP656" s="30">
        <v>0</v>
      </c>
      <c r="CQ656" s="30">
        <v>0</v>
      </c>
      <c r="CR656" s="30">
        <v>0</v>
      </c>
      <c r="CS656" s="30">
        <v>0</v>
      </c>
      <c r="CT656" s="30">
        <v>0</v>
      </c>
      <c r="CU656" s="30">
        <v>0</v>
      </c>
      <c r="CV656" s="30">
        <v>0</v>
      </c>
      <c r="CW656" s="30">
        <v>0</v>
      </c>
      <c r="CX656" s="30">
        <v>0</v>
      </c>
      <c r="CY656" s="30">
        <v>0</v>
      </c>
      <c r="CZ656" s="30">
        <v>0</v>
      </c>
      <c r="DA656" s="30">
        <v>0</v>
      </c>
      <c r="DB656" s="30">
        <v>0</v>
      </c>
      <c r="DC656" s="30">
        <v>0</v>
      </c>
      <c r="DD656" s="30">
        <v>0</v>
      </c>
      <c r="DE656" s="30">
        <v>0</v>
      </c>
      <c r="DF656" s="30">
        <v>0</v>
      </c>
      <c r="DG656" s="16">
        <f t="shared" si="54"/>
        <v>9778.2607164260007</v>
      </c>
      <c r="DH656" s="16">
        <f t="shared" si="55"/>
        <v>340058.606207937</v>
      </c>
      <c r="DI656" s="17">
        <f t="shared" si="56"/>
        <v>34.777003402730912</v>
      </c>
      <c r="DJ656" s="119" t="s">
        <v>718</v>
      </c>
      <c r="DK656" s="44" t="s">
        <v>718</v>
      </c>
    </row>
    <row r="657" spans="1:115">
      <c r="A657" s="32" t="str">
        <f t="shared" si="52"/>
        <v>Ausgrid--˃ 11 kV &amp; &lt; = 22 kV  ; SWER</v>
      </c>
      <c r="B657" s="32" t="str">
        <f t="shared" si="53"/>
        <v>Ausgrid</v>
      </c>
      <c r="C657" s="397"/>
      <c r="D657" s="31"/>
      <c r="E657" s="30" t="s">
        <v>177</v>
      </c>
      <c r="F657" s="19">
        <v>40.61</v>
      </c>
      <c r="G657" s="19">
        <v>12.69</v>
      </c>
      <c r="H657" s="30">
        <v>0</v>
      </c>
      <c r="I657" s="30">
        <v>6.7200442300000001</v>
      </c>
      <c r="J657" s="30">
        <v>0</v>
      </c>
      <c r="K657" s="30">
        <v>0</v>
      </c>
      <c r="L657" s="30">
        <v>0</v>
      </c>
      <c r="M657" s="30">
        <v>0</v>
      </c>
      <c r="N657" s="30">
        <v>0.22216687500000001</v>
      </c>
      <c r="O657" s="30">
        <v>1.9552179999999999E-3</v>
      </c>
      <c r="P657" s="30">
        <v>0.15593462599999999</v>
      </c>
      <c r="Q657" s="30">
        <v>0</v>
      </c>
      <c r="R657" s="30">
        <v>0</v>
      </c>
      <c r="S657" s="30">
        <v>0</v>
      </c>
      <c r="T657" s="30">
        <v>7.3800201999999995E-2</v>
      </c>
      <c r="U657" s="30">
        <v>0.31154670800000001</v>
      </c>
      <c r="V657" s="30">
        <v>0</v>
      </c>
      <c r="W657" s="30">
        <v>0</v>
      </c>
      <c r="X657" s="30">
        <v>0</v>
      </c>
      <c r="Y657" s="30">
        <v>0</v>
      </c>
      <c r="Z657" s="30">
        <v>0</v>
      </c>
      <c r="AA657" s="30">
        <v>0</v>
      </c>
      <c r="AB657" s="30">
        <v>9.9900000000000002E-5</v>
      </c>
      <c r="AC657" s="30">
        <v>0</v>
      </c>
      <c r="AD657" s="30">
        <v>0</v>
      </c>
      <c r="AE657" s="30">
        <v>0.81285486799999995</v>
      </c>
      <c r="AF657" s="30">
        <v>3.00205E-4</v>
      </c>
      <c r="AG657" s="30">
        <v>2.704321E-3</v>
      </c>
      <c r="AH657" s="30">
        <v>3.5747847930000001</v>
      </c>
      <c r="AI657" s="30">
        <v>0</v>
      </c>
      <c r="AJ657" s="30">
        <v>42.218583420000002</v>
      </c>
      <c r="AK657" s="30">
        <v>1.4647071780000001</v>
      </c>
      <c r="AL657" s="30">
        <v>1E-4</v>
      </c>
      <c r="AM657" s="30">
        <v>2.3853479999999998E-3</v>
      </c>
      <c r="AN657" s="30">
        <v>0</v>
      </c>
      <c r="AO657" s="30">
        <v>0</v>
      </c>
      <c r="AP657" s="30">
        <v>0</v>
      </c>
      <c r="AQ657" s="30">
        <v>1.00005E-4</v>
      </c>
      <c r="AR657" s="30">
        <v>2.2457047619999999</v>
      </c>
      <c r="AS657" s="30">
        <v>0</v>
      </c>
      <c r="AT657" s="30">
        <v>0</v>
      </c>
      <c r="AU657" s="30">
        <v>4.3656066410000003</v>
      </c>
      <c r="AV657" s="30">
        <v>1.25250872</v>
      </c>
      <c r="AW657" s="30">
        <v>0</v>
      </c>
      <c r="AX657" s="30">
        <v>0.39769501800000001</v>
      </c>
      <c r="AY657" s="30">
        <v>1.0096469340000001</v>
      </c>
      <c r="AZ657" s="30">
        <v>0</v>
      </c>
      <c r="BA657" s="30">
        <v>0</v>
      </c>
      <c r="BB657" s="30">
        <v>0</v>
      </c>
      <c r="BC657" s="30">
        <v>0</v>
      </c>
      <c r="BD657" s="30">
        <v>0</v>
      </c>
      <c r="BE657" s="30">
        <v>0</v>
      </c>
      <c r="BF657" s="30">
        <v>11.166625</v>
      </c>
      <c r="BG657" s="30">
        <v>6.0590245400000002</v>
      </c>
      <c r="BH657" s="30">
        <v>0</v>
      </c>
      <c r="BI657" s="30">
        <v>0</v>
      </c>
      <c r="BJ657" s="30">
        <v>0</v>
      </c>
      <c r="BK657" s="30">
        <v>0</v>
      </c>
      <c r="BL657" s="30">
        <v>42.530064510000003</v>
      </c>
      <c r="BM657" s="30">
        <v>0</v>
      </c>
      <c r="BN657" s="30">
        <v>0</v>
      </c>
      <c r="BO657" s="30">
        <v>0</v>
      </c>
      <c r="BP657" s="30">
        <v>0</v>
      </c>
      <c r="BQ657" s="30">
        <v>0</v>
      </c>
      <c r="BR657" s="30">
        <v>0</v>
      </c>
      <c r="BS657" s="30">
        <v>0</v>
      </c>
      <c r="BT657" s="30">
        <v>0</v>
      </c>
      <c r="BU657" s="30">
        <v>0</v>
      </c>
      <c r="BV657" s="30">
        <v>0</v>
      </c>
      <c r="BW657" s="30">
        <v>0</v>
      </c>
      <c r="BX657" s="30">
        <v>0</v>
      </c>
      <c r="BY657" s="30">
        <v>0</v>
      </c>
      <c r="BZ657" s="30">
        <v>0</v>
      </c>
      <c r="CA657" s="30">
        <v>0</v>
      </c>
      <c r="CB657" s="30">
        <v>0</v>
      </c>
      <c r="CC657" s="30">
        <v>0</v>
      </c>
      <c r="CD657" s="30">
        <v>0</v>
      </c>
      <c r="CE657" s="30">
        <v>0</v>
      </c>
      <c r="CF657" s="30">
        <v>0</v>
      </c>
      <c r="CG657" s="30">
        <v>0</v>
      </c>
      <c r="CH657" s="30">
        <v>0</v>
      </c>
      <c r="CI657" s="30">
        <v>0</v>
      </c>
      <c r="CJ657" s="30">
        <v>0</v>
      </c>
      <c r="CK657" s="30">
        <v>0</v>
      </c>
      <c r="CL657" s="30">
        <v>0</v>
      </c>
      <c r="CM657" s="30">
        <v>0</v>
      </c>
      <c r="CN657" s="30">
        <v>0</v>
      </c>
      <c r="CO657" s="30">
        <v>0</v>
      </c>
      <c r="CP657" s="30">
        <v>0</v>
      </c>
      <c r="CQ657" s="30">
        <v>0</v>
      </c>
      <c r="CR657" s="30">
        <v>0</v>
      </c>
      <c r="CS657" s="30">
        <v>0</v>
      </c>
      <c r="CT657" s="30">
        <v>0</v>
      </c>
      <c r="CU657" s="30">
        <v>0</v>
      </c>
      <c r="CV657" s="30">
        <v>0</v>
      </c>
      <c r="CW657" s="30">
        <v>0</v>
      </c>
      <c r="CX657" s="30">
        <v>0</v>
      </c>
      <c r="CY657" s="30">
        <v>0</v>
      </c>
      <c r="CZ657" s="30">
        <v>0</v>
      </c>
      <c r="DA657" s="30">
        <v>0</v>
      </c>
      <c r="DB657" s="30">
        <v>0</v>
      </c>
      <c r="DC657" s="30">
        <v>0</v>
      </c>
      <c r="DD657" s="30">
        <v>0</v>
      </c>
      <c r="DE657" s="30">
        <v>0</v>
      </c>
      <c r="DF657" s="30">
        <v>0</v>
      </c>
      <c r="DG657" s="16">
        <f t="shared" si="54"/>
        <v>124.58894402199999</v>
      </c>
      <c r="DH657" s="16">
        <f t="shared" si="55"/>
        <v>5085.5805323250006</v>
      </c>
      <c r="DI657" s="17">
        <f t="shared" si="56"/>
        <v>40.818874999269482</v>
      </c>
      <c r="DJ657" s="119" t="s">
        <v>718</v>
      </c>
      <c r="DK657" s="44" t="s">
        <v>718</v>
      </c>
    </row>
    <row r="658" spans="1:115">
      <c r="A658" s="32" t="str">
        <f t="shared" si="52"/>
        <v>Ausgrid--˃ 11 kV &amp; &lt; = 22 kV ; SINGLE-PHASE</v>
      </c>
      <c r="B658" s="32" t="str">
        <f t="shared" si="53"/>
        <v>Ausgrid</v>
      </c>
      <c r="C658" s="397"/>
      <c r="D658" s="31"/>
      <c r="E658" s="30" t="s">
        <v>178</v>
      </c>
      <c r="F658" s="19">
        <v>40.61</v>
      </c>
      <c r="G658" s="19">
        <v>12.69</v>
      </c>
      <c r="H658" s="30">
        <v>0</v>
      </c>
      <c r="I658" s="30">
        <v>0</v>
      </c>
      <c r="J658" s="30">
        <v>0</v>
      </c>
      <c r="K658" s="30">
        <v>0</v>
      </c>
      <c r="L658" s="30">
        <v>4.0361078199999998</v>
      </c>
      <c r="M658" s="30">
        <v>0.26823888299999998</v>
      </c>
      <c r="N658" s="30">
        <v>0</v>
      </c>
      <c r="O658" s="30">
        <v>0</v>
      </c>
      <c r="P658" s="30">
        <v>2.084100158</v>
      </c>
      <c r="Q658" s="30">
        <v>5.7320724920000004</v>
      </c>
      <c r="R658" s="30">
        <v>0.246299935</v>
      </c>
      <c r="S658" s="30">
        <v>0.372804368</v>
      </c>
      <c r="T658" s="30">
        <v>2.1811515699999999</v>
      </c>
      <c r="U658" s="30">
        <v>11.399068</v>
      </c>
      <c r="V658" s="30">
        <v>4.4305652179999999</v>
      </c>
      <c r="W658" s="30">
        <v>2.0778637729999998</v>
      </c>
      <c r="X658" s="30">
        <v>0.68725927799999997</v>
      </c>
      <c r="Y658" s="30">
        <v>0</v>
      </c>
      <c r="Z658" s="30">
        <v>0.49755461499999998</v>
      </c>
      <c r="AA658" s="30">
        <v>0</v>
      </c>
      <c r="AB658" s="30">
        <v>1.03078E-4</v>
      </c>
      <c r="AC658" s="30">
        <v>0.23095043100000001</v>
      </c>
      <c r="AD658" s="30">
        <v>1.211458229</v>
      </c>
      <c r="AE658" s="30">
        <v>1.2158768</v>
      </c>
      <c r="AF658" s="30">
        <v>0.77090167499999995</v>
      </c>
      <c r="AG658" s="30">
        <v>0</v>
      </c>
      <c r="AH658" s="30">
        <v>1.0309700000000001E-4</v>
      </c>
      <c r="AI658" s="30">
        <v>0.17798974200000001</v>
      </c>
      <c r="AJ658" s="30">
        <v>0</v>
      </c>
      <c r="AK658" s="30">
        <v>0.18773483799999999</v>
      </c>
      <c r="AL658" s="30">
        <v>0.84649414199999995</v>
      </c>
      <c r="AM658" s="30">
        <v>0.557156023</v>
      </c>
      <c r="AN658" s="30">
        <v>1.117480126</v>
      </c>
      <c r="AO658" s="30">
        <v>1.7328300000000001E-3</v>
      </c>
      <c r="AP658" s="30">
        <v>0</v>
      </c>
      <c r="AQ658" s="30">
        <v>0</v>
      </c>
      <c r="AR658" s="30">
        <v>0</v>
      </c>
      <c r="AS658" s="30">
        <v>0</v>
      </c>
      <c r="AT658" s="30">
        <v>0</v>
      </c>
      <c r="AU658" s="30">
        <v>6.2101048759999999</v>
      </c>
      <c r="AV658" s="30">
        <v>6.1332708629999999</v>
      </c>
      <c r="AW658" s="30">
        <v>9.3707728039999996</v>
      </c>
      <c r="AX658" s="30">
        <v>3.4376262350000002</v>
      </c>
      <c r="AY658" s="30">
        <v>6.2936648289999999</v>
      </c>
      <c r="AZ658" s="30">
        <v>0</v>
      </c>
      <c r="BA658" s="30">
        <v>0</v>
      </c>
      <c r="BB658" s="30">
        <v>0</v>
      </c>
      <c r="BC658" s="30">
        <v>0</v>
      </c>
      <c r="BD658" s="30">
        <v>0</v>
      </c>
      <c r="BE658" s="30">
        <v>0</v>
      </c>
      <c r="BF658" s="30">
        <v>0</v>
      </c>
      <c r="BG658" s="30">
        <v>0</v>
      </c>
      <c r="BH658" s="30">
        <v>0</v>
      </c>
      <c r="BI658" s="30">
        <v>0</v>
      </c>
      <c r="BJ658" s="30">
        <v>0</v>
      </c>
      <c r="BK658" s="30">
        <v>0</v>
      </c>
      <c r="BL658" s="30">
        <v>0</v>
      </c>
      <c r="BM658" s="30">
        <v>0</v>
      </c>
      <c r="BN658" s="30">
        <v>0</v>
      </c>
      <c r="BO658" s="30">
        <v>0</v>
      </c>
      <c r="BP658" s="30">
        <v>0</v>
      </c>
      <c r="BQ658" s="30">
        <v>0</v>
      </c>
      <c r="BR658" s="30">
        <v>0</v>
      </c>
      <c r="BS658" s="30">
        <v>0</v>
      </c>
      <c r="BT658" s="30">
        <v>0</v>
      </c>
      <c r="BU658" s="30">
        <v>0</v>
      </c>
      <c r="BV658" s="30">
        <v>0</v>
      </c>
      <c r="BW658" s="30">
        <v>0</v>
      </c>
      <c r="BX658" s="30">
        <v>0</v>
      </c>
      <c r="BY658" s="30">
        <v>0</v>
      </c>
      <c r="BZ658" s="30">
        <v>0</v>
      </c>
      <c r="CA658" s="30">
        <v>0</v>
      </c>
      <c r="CB658" s="30">
        <v>0</v>
      </c>
      <c r="CC658" s="30">
        <v>0</v>
      </c>
      <c r="CD658" s="30">
        <v>0</v>
      </c>
      <c r="CE658" s="30">
        <v>0</v>
      </c>
      <c r="CF658" s="30">
        <v>0</v>
      </c>
      <c r="CG658" s="30">
        <v>0</v>
      </c>
      <c r="CH658" s="30">
        <v>0</v>
      </c>
      <c r="CI658" s="30">
        <v>0</v>
      </c>
      <c r="CJ658" s="30">
        <v>0</v>
      </c>
      <c r="CK658" s="30">
        <v>0</v>
      </c>
      <c r="CL658" s="30">
        <v>0</v>
      </c>
      <c r="CM658" s="30">
        <v>0</v>
      </c>
      <c r="CN658" s="30">
        <v>0</v>
      </c>
      <c r="CO658" s="30">
        <v>0</v>
      </c>
      <c r="CP658" s="30">
        <v>0</v>
      </c>
      <c r="CQ658" s="30">
        <v>0</v>
      </c>
      <c r="CR658" s="30">
        <v>0</v>
      </c>
      <c r="CS658" s="30">
        <v>0</v>
      </c>
      <c r="CT658" s="30">
        <v>0</v>
      </c>
      <c r="CU658" s="30">
        <v>0</v>
      </c>
      <c r="CV658" s="30">
        <v>0</v>
      </c>
      <c r="CW658" s="30">
        <v>0</v>
      </c>
      <c r="CX658" s="30">
        <v>0</v>
      </c>
      <c r="CY658" s="30">
        <v>0</v>
      </c>
      <c r="CZ658" s="30">
        <v>0</v>
      </c>
      <c r="DA658" s="30">
        <v>0</v>
      </c>
      <c r="DB658" s="30">
        <v>0</v>
      </c>
      <c r="DC658" s="30">
        <v>0</v>
      </c>
      <c r="DD658" s="30">
        <v>0</v>
      </c>
      <c r="DE658" s="30">
        <v>0</v>
      </c>
      <c r="DF658" s="30">
        <v>0</v>
      </c>
      <c r="DG658" s="16">
        <f t="shared" si="54"/>
        <v>71.776506727999973</v>
      </c>
      <c r="DH658" s="16">
        <f t="shared" si="55"/>
        <v>1905.0384671850002</v>
      </c>
      <c r="DI658" s="17">
        <f t="shared" si="56"/>
        <v>26.541253594358135</v>
      </c>
      <c r="DJ658" s="119" t="s">
        <v>718</v>
      </c>
      <c r="DK658" s="44" t="s">
        <v>718</v>
      </c>
    </row>
    <row r="659" spans="1:115">
      <c r="A659" s="32" t="str">
        <f t="shared" si="52"/>
        <v>Ausgrid--˃ 11 kV &amp; &lt; = 22 kV ; MULTIPLE-PHASE</v>
      </c>
      <c r="B659" s="32" t="str">
        <f t="shared" si="53"/>
        <v>Ausgrid</v>
      </c>
      <c r="C659" s="397"/>
      <c r="D659" s="31"/>
      <c r="E659" s="30" t="s">
        <v>179</v>
      </c>
      <c r="F659" s="19">
        <v>40.61</v>
      </c>
      <c r="G659" s="19">
        <v>12.69</v>
      </c>
      <c r="H659" s="30">
        <v>0</v>
      </c>
      <c r="I659" s="30">
        <v>0</v>
      </c>
      <c r="J659" s="30">
        <v>0</v>
      </c>
      <c r="K659" s="30">
        <v>0.12697746200000001</v>
      </c>
      <c r="L659" s="30">
        <v>0</v>
      </c>
      <c r="M659" s="30">
        <v>0</v>
      </c>
      <c r="N659" s="30">
        <v>0</v>
      </c>
      <c r="O659" s="30">
        <v>0</v>
      </c>
      <c r="P659" s="30">
        <v>1.0041E-4</v>
      </c>
      <c r="Q659" s="30">
        <v>3.121921811</v>
      </c>
      <c r="R659" s="30">
        <v>0.48288618300000002</v>
      </c>
      <c r="S659" s="30">
        <v>5.1948372430000003</v>
      </c>
      <c r="T659" s="30">
        <v>0</v>
      </c>
      <c r="U659" s="30">
        <v>0.65547666599999999</v>
      </c>
      <c r="V659" s="30">
        <v>1.059286E-3</v>
      </c>
      <c r="W659" s="30">
        <v>1.1811676799999999</v>
      </c>
      <c r="X659" s="30">
        <v>0</v>
      </c>
      <c r="Y659" s="30">
        <v>0</v>
      </c>
      <c r="Z659" s="30">
        <v>2.6737714380000002</v>
      </c>
      <c r="AA659" s="30">
        <v>0</v>
      </c>
      <c r="AB659" s="30">
        <v>0</v>
      </c>
      <c r="AC659" s="30">
        <v>0</v>
      </c>
      <c r="AD659" s="30">
        <v>8.6689764000000002E-2</v>
      </c>
      <c r="AE659" s="30">
        <v>0</v>
      </c>
      <c r="AF659" s="30">
        <v>1.8016151819999999</v>
      </c>
      <c r="AG659" s="30">
        <v>0</v>
      </c>
      <c r="AH659" s="30">
        <v>0</v>
      </c>
      <c r="AI659" s="30">
        <v>0</v>
      </c>
      <c r="AJ659" s="30">
        <v>0</v>
      </c>
      <c r="AK659" s="30">
        <v>0</v>
      </c>
      <c r="AL659" s="30">
        <v>0</v>
      </c>
      <c r="AM659" s="30">
        <v>0</v>
      </c>
      <c r="AN659" s="30">
        <v>0</v>
      </c>
      <c r="AO659" s="30">
        <v>0</v>
      </c>
      <c r="AP659" s="30">
        <v>0</v>
      </c>
      <c r="AQ659" s="30">
        <v>0</v>
      </c>
      <c r="AR659" s="30">
        <v>0</v>
      </c>
      <c r="AS659" s="30">
        <v>0</v>
      </c>
      <c r="AT659" s="30">
        <v>0</v>
      </c>
      <c r="AU659" s="30">
        <v>1.7699062189999999</v>
      </c>
      <c r="AV659" s="30">
        <v>1.818667346</v>
      </c>
      <c r="AW659" s="28">
        <v>9.9932299999999999E-5</v>
      </c>
      <c r="AX659" s="30">
        <v>0</v>
      </c>
      <c r="AY659" s="30">
        <v>23.225414919999999</v>
      </c>
      <c r="AZ659" s="30">
        <v>0</v>
      </c>
      <c r="BA659" s="30">
        <v>0</v>
      </c>
      <c r="BB659" s="30">
        <v>0</v>
      </c>
      <c r="BC659" s="30">
        <v>0</v>
      </c>
      <c r="BD659" s="30">
        <v>0</v>
      </c>
      <c r="BE659" s="30">
        <v>11.65827393</v>
      </c>
      <c r="BF659" s="30">
        <v>0</v>
      </c>
      <c r="BG659" s="30">
        <v>0</v>
      </c>
      <c r="BH659" s="30">
        <v>0</v>
      </c>
      <c r="BI659" s="30">
        <v>0</v>
      </c>
      <c r="BJ659" s="30">
        <v>0</v>
      </c>
      <c r="BK659" s="30">
        <v>0</v>
      </c>
      <c r="BL659" s="30">
        <v>0</v>
      </c>
      <c r="BM659" s="30">
        <v>0</v>
      </c>
      <c r="BN659" s="30">
        <v>0</v>
      </c>
      <c r="BO659" s="30">
        <v>0</v>
      </c>
      <c r="BP659" s="30">
        <v>0</v>
      </c>
      <c r="BQ659" s="30">
        <v>0</v>
      </c>
      <c r="BR659" s="30">
        <v>0</v>
      </c>
      <c r="BS659" s="30">
        <v>0</v>
      </c>
      <c r="BT659" s="30">
        <v>0</v>
      </c>
      <c r="BU659" s="30">
        <v>0</v>
      </c>
      <c r="BV659" s="30">
        <v>0</v>
      </c>
      <c r="BW659" s="30">
        <v>0</v>
      </c>
      <c r="BX659" s="30">
        <v>0</v>
      </c>
      <c r="BY659" s="30">
        <v>0</v>
      </c>
      <c r="BZ659" s="30">
        <v>0</v>
      </c>
      <c r="CA659" s="30">
        <v>0</v>
      </c>
      <c r="CB659" s="30">
        <v>0</v>
      </c>
      <c r="CC659" s="30">
        <v>0</v>
      </c>
      <c r="CD659" s="30">
        <v>0</v>
      </c>
      <c r="CE659" s="30">
        <v>0</v>
      </c>
      <c r="CF659" s="30">
        <v>0</v>
      </c>
      <c r="CG659" s="30">
        <v>0</v>
      </c>
      <c r="CH659" s="30">
        <v>0</v>
      </c>
      <c r="CI659" s="30">
        <v>0</v>
      </c>
      <c r="CJ659" s="30">
        <v>0</v>
      </c>
      <c r="CK659" s="30">
        <v>0</v>
      </c>
      <c r="CL659" s="30">
        <v>0</v>
      </c>
      <c r="CM659" s="30">
        <v>0</v>
      </c>
      <c r="CN659" s="30">
        <v>0</v>
      </c>
      <c r="CO659" s="30">
        <v>0</v>
      </c>
      <c r="CP659" s="30">
        <v>0</v>
      </c>
      <c r="CQ659" s="30">
        <v>0</v>
      </c>
      <c r="CR659" s="30">
        <v>0</v>
      </c>
      <c r="CS659" s="30">
        <v>0</v>
      </c>
      <c r="CT659" s="30">
        <v>0</v>
      </c>
      <c r="CU659" s="30">
        <v>0</v>
      </c>
      <c r="CV659" s="30">
        <v>0</v>
      </c>
      <c r="CW659" s="30">
        <v>0</v>
      </c>
      <c r="CX659" s="30">
        <v>0</v>
      </c>
      <c r="CY659" s="30">
        <v>0</v>
      </c>
      <c r="CZ659" s="30">
        <v>0</v>
      </c>
      <c r="DA659" s="30">
        <v>0</v>
      </c>
      <c r="DB659" s="30">
        <v>0</v>
      </c>
      <c r="DC659" s="30">
        <v>0</v>
      </c>
      <c r="DD659" s="30">
        <v>0</v>
      </c>
      <c r="DE659" s="30">
        <v>0</v>
      </c>
      <c r="DF659" s="30">
        <v>0</v>
      </c>
      <c r="DG659" s="16">
        <f t="shared" si="54"/>
        <v>53.798865472300001</v>
      </c>
      <c r="DH659" s="16">
        <f t="shared" si="55"/>
        <v>1975.5027335976001</v>
      </c>
      <c r="DI659" s="17">
        <f t="shared" si="56"/>
        <v>36.720156015459999</v>
      </c>
      <c r="DJ659" s="119" t="s">
        <v>718</v>
      </c>
      <c r="DK659" s="44" t="s">
        <v>718</v>
      </c>
    </row>
    <row r="660" spans="1:115">
      <c r="A660" s="32" t="str">
        <f t="shared" si="52"/>
        <v>Ausgrid--&gt; 22 kV &amp; &lt; = 66 kV</v>
      </c>
      <c r="B660" s="32" t="str">
        <f t="shared" si="53"/>
        <v>Ausgrid</v>
      </c>
      <c r="C660" s="397"/>
      <c r="D660" s="31"/>
      <c r="E660" s="30" t="s">
        <v>174</v>
      </c>
      <c r="F660" s="19">
        <v>40.61</v>
      </c>
      <c r="G660" s="19">
        <v>12.69</v>
      </c>
      <c r="H660" s="30">
        <v>30.95418703</v>
      </c>
      <c r="I660" s="30">
        <v>22.363271180000002</v>
      </c>
      <c r="J660" s="30">
        <v>57.739933049999998</v>
      </c>
      <c r="K660" s="30">
        <v>74.12512504</v>
      </c>
      <c r="L660" s="30">
        <v>16.889903960000002</v>
      </c>
      <c r="M660" s="30">
        <v>61.446789889999998</v>
      </c>
      <c r="N660" s="30">
        <v>45.391705360000003</v>
      </c>
      <c r="O660" s="30">
        <v>81.88055215</v>
      </c>
      <c r="P660" s="30">
        <v>34.069990670000003</v>
      </c>
      <c r="Q660" s="30">
        <v>14.976932980000001</v>
      </c>
      <c r="R660" s="30">
        <v>9.7995021369999993</v>
      </c>
      <c r="S660" s="30">
        <v>20.761586749999999</v>
      </c>
      <c r="T660" s="30">
        <v>23.093590979999998</v>
      </c>
      <c r="U660" s="30">
        <v>15.70689556</v>
      </c>
      <c r="V660" s="30">
        <v>9.7364116910000007</v>
      </c>
      <c r="W660" s="30">
        <v>18.411135439999999</v>
      </c>
      <c r="X660" s="30">
        <v>3.8443491870000002</v>
      </c>
      <c r="Y660" s="30">
        <v>6.5992885379999997</v>
      </c>
      <c r="Z660" s="30">
        <v>4.1958152880000004</v>
      </c>
      <c r="AA660" s="30">
        <v>31.00074047</v>
      </c>
      <c r="AB660" s="30">
        <v>0.57913005500000003</v>
      </c>
      <c r="AC660" s="30">
        <v>20.792264200000002</v>
      </c>
      <c r="AD660" s="30">
        <v>1.1034071640000001</v>
      </c>
      <c r="AE660" s="30">
        <v>14.75658234</v>
      </c>
      <c r="AF660" s="30">
        <v>5.9938235750000004</v>
      </c>
      <c r="AG660" s="30">
        <v>0.49619548299999999</v>
      </c>
      <c r="AH660" s="30">
        <v>2.3107341680000002</v>
      </c>
      <c r="AI660" s="30">
        <v>0.326998397</v>
      </c>
      <c r="AJ660" s="30">
        <v>33.252317920000003</v>
      </c>
      <c r="AK660" s="30">
        <v>7.9964994090000001</v>
      </c>
      <c r="AL660" s="30">
        <v>12.350755550000001</v>
      </c>
      <c r="AM660" s="30">
        <v>26.54790079</v>
      </c>
      <c r="AN660" s="30">
        <v>41.420414790000002</v>
      </c>
      <c r="AO660" s="30">
        <v>79.49114582</v>
      </c>
      <c r="AP660" s="30">
        <v>15.510253710000001</v>
      </c>
      <c r="AQ660" s="30">
        <v>9.5399743089999998</v>
      </c>
      <c r="AR660" s="30">
        <v>38.290477199999998</v>
      </c>
      <c r="AS660" s="30">
        <v>18.673134210000001</v>
      </c>
      <c r="AT660" s="30">
        <v>2.6279229999999999E-3</v>
      </c>
      <c r="AU660" s="30">
        <v>20.89824802</v>
      </c>
      <c r="AV660" s="30">
        <v>6.884610114</v>
      </c>
      <c r="AW660" s="30">
        <v>24.812611230000002</v>
      </c>
      <c r="AX660" s="30">
        <v>12.048042089999999</v>
      </c>
      <c r="AY660" s="30">
        <v>23.174632119999998</v>
      </c>
      <c r="AZ660" s="30">
        <v>59.2408024</v>
      </c>
      <c r="BA660" s="30">
        <v>95.546998329999994</v>
      </c>
      <c r="BB660" s="30">
        <v>51.857590799999997</v>
      </c>
      <c r="BC660" s="30">
        <v>14.017531139999999</v>
      </c>
      <c r="BD660" s="30">
        <v>132.0784707</v>
      </c>
      <c r="BE660" s="30">
        <v>109.94678589999999</v>
      </c>
      <c r="BF660" s="30">
        <v>85.346092440000007</v>
      </c>
      <c r="BG660" s="30">
        <v>28.54155493</v>
      </c>
      <c r="BH660" s="30">
        <v>28.44934379</v>
      </c>
      <c r="BI660" s="30">
        <v>95.249638349999998</v>
      </c>
      <c r="BJ660" s="30">
        <v>0</v>
      </c>
      <c r="BK660" s="30">
        <v>0</v>
      </c>
      <c r="BL660" s="30">
        <v>2.79042922</v>
      </c>
      <c r="BM660" s="30">
        <v>19.69279843</v>
      </c>
      <c r="BN660" s="30">
        <v>10.82611286</v>
      </c>
      <c r="BO660" s="30">
        <v>6.0973529099999997</v>
      </c>
      <c r="BP660" s="30">
        <v>12.603981920000001</v>
      </c>
      <c r="BQ660" s="30">
        <v>6.7813873659999997</v>
      </c>
      <c r="BR660" s="30">
        <v>0</v>
      </c>
      <c r="BS660" s="30">
        <v>0</v>
      </c>
      <c r="BT660" s="30">
        <v>0</v>
      </c>
      <c r="BU660" s="30">
        <v>0</v>
      </c>
      <c r="BV660" s="30">
        <v>0</v>
      </c>
      <c r="BW660" s="30">
        <v>0</v>
      </c>
      <c r="BX660" s="30">
        <v>0</v>
      </c>
      <c r="BY660" s="30">
        <v>0</v>
      </c>
      <c r="BZ660" s="30">
        <v>0</v>
      </c>
      <c r="CA660" s="30">
        <v>0</v>
      </c>
      <c r="CB660" s="30">
        <v>0</v>
      </c>
      <c r="CC660" s="30">
        <v>0</v>
      </c>
      <c r="CD660" s="30">
        <v>0</v>
      </c>
      <c r="CE660" s="30">
        <v>0</v>
      </c>
      <c r="CF660" s="30">
        <v>0</v>
      </c>
      <c r="CG660" s="30">
        <v>0</v>
      </c>
      <c r="CH660" s="30">
        <v>0</v>
      </c>
      <c r="CI660" s="30">
        <v>0</v>
      </c>
      <c r="CJ660" s="30">
        <v>0</v>
      </c>
      <c r="CK660" s="30">
        <v>0</v>
      </c>
      <c r="CL660" s="30">
        <v>0</v>
      </c>
      <c r="CM660" s="30">
        <v>0</v>
      </c>
      <c r="CN660" s="30">
        <v>0</v>
      </c>
      <c r="CO660" s="30">
        <v>0</v>
      </c>
      <c r="CP660" s="30">
        <v>0</v>
      </c>
      <c r="CQ660" s="30">
        <v>0</v>
      </c>
      <c r="CR660" s="30">
        <v>0</v>
      </c>
      <c r="CS660" s="30">
        <v>0</v>
      </c>
      <c r="CT660" s="30">
        <v>0</v>
      </c>
      <c r="CU660" s="30">
        <v>0</v>
      </c>
      <c r="CV660" s="30">
        <v>0</v>
      </c>
      <c r="CW660" s="30">
        <v>0</v>
      </c>
      <c r="CX660" s="30">
        <v>0</v>
      </c>
      <c r="CY660" s="30">
        <v>0</v>
      </c>
      <c r="CZ660" s="30">
        <v>0</v>
      </c>
      <c r="DA660" s="30">
        <v>0</v>
      </c>
      <c r="DB660" s="30">
        <v>0</v>
      </c>
      <c r="DC660" s="30">
        <v>0</v>
      </c>
      <c r="DD660" s="30">
        <v>0</v>
      </c>
      <c r="DE660" s="30">
        <v>0</v>
      </c>
      <c r="DF660" s="30">
        <v>0</v>
      </c>
      <c r="DG660" s="16">
        <f t="shared" si="54"/>
        <v>1759.3073594239995</v>
      </c>
      <c r="DH660" s="16">
        <f t="shared" si="55"/>
        <v>57053.226742555998</v>
      </c>
      <c r="DI660" s="17">
        <f t="shared" si="56"/>
        <v>32.429368544922887</v>
      </c>
      <c r="DJ660" s="119" t="s">
        <v>718</v>
      </c>
      <c r="DK660" s="44" t="s">
        <v>718</v>
      </c>
    </row>
    <row r="661" spans="1:115">
      <c r="A661" s="32" t="str">
        <f t="shared" si="52"/>
        <v>Ausgrid--&gt; 66 kV &amp; &lt; = 132 kV</v>
      </c>
      <c r="B661" s="32" t="str">
        <f t="shared" si="53"/>
        <v>Ausgrid</v>
      </c>
      <c r="C661" s="397"/>
      <c r="D661" s="31"/>
      <c r="E661" s="30" t="s">
        <v>175</v>
      </c>
      <c r="F661" s="19">
        <v>40.61</v>
      </c>
      <c r="G661" s="19">
        <v>12.69</v>
      </c>
      <c r="H661" s="30">
        <v>15.1339405</v>
      </c>
      <c r="I661" s="30">
        <v>21.842655690000001</v>
      </c>
      <c r="J661" s="30">
        <v>75.758647839999995</v>
      </c>
      <c r="K661" s="30">
        <v>16.753252419999999</v>
      </c>
      <c r="L661" s="30">
        <v>3.1406764109999998</v>
      </c>
      <c r="M661" s="30">
        <v>7.5308461099999997</v>
      </c>
      <c r="N661" s="30">
        <v>7.5956973449999996</v>
      </c>
      <c r="O661" s="30">
        <v>1.46030985</v>
      </c>
      <c r="P661" s="30">
        <v>2.7979429100000002</v>
      </c>
      <c r="Q661" s="30">
        <v>11.009822420000001</v>
      </c>
      <c r="R661" s="30">
        <v>19.57901918</v>
      </c>
      <c r="S661" s="30">
        <v>13.510733</v>
      </c>
      <c r="T661" s="30">
        <v>3.52372628</v>
      </c>
      <c r="U661" s="30">
        <v>4.4363014569999999</v>
      </c>
      <c r="V661" s="30">
        <v>0</v>
      </c>
      <c r="W661" s="30">
        <v>4.6546465499999998</v>
      </c>
      <c r="X661" s="30">
        <v>1.6916779799999999</v>
      </c>
      <c r="Y661" s="30">
        <v>0</v>
      </c>
      <c r="Z661" s="30">
        <v>35.470053780000001</v>
      </c>
      <c r="AA661" s="30">
        <v>0</v>
      </c>
      <c r="AB661" s="30">
        <v>0</v>
      </c>
      <c r="AC661" s="30">
        <v>0</v>
      </c>
      <c r="AD661" s="30">
        <v>0</v>
      </c>
      <c r="AE661" s="30">
        <v>0</v>
      </c>
      <c r="AF661" s="30">
        <v>0</v>
      </c>
      <c r="AG661" s="30">
        <v>6.2281754600000001</v>
      </c>
      <c r="AH661" s="30">
        <v>3.9321946589999999</v>
      </c>
      <c r="AI661" s="30">
        <v>4.5006616800000003</v>
      </c>
      <c r="AJ661" s="30">
        <v>50.688526400000001</v>
      </c>
      <c r="AK661" s="30">
        <v>0.213612416</v>
      </c>
      <c r="AL661" s="30">
        <v>8.7828359900000006</v>
      </c>
      <c r="AM661" s="30">
        <v>16.39350963</v>
      </c>
      <c r="AN661" s="30">
        <v>2.1179937999999998</v>
      </c>
      <c r="AO661" s="30">
        <v>0.69606495400000001</v>
      </c>
      <c r="AP661" s="30">
        <v>29.010815780000001</v>
      </c>
      <c r="AQ661" s="30">
        <v>28.8205536</v>
      </c>
      <c r="AR661" s="30">
        <v>20.921526650000001</v>
      </c>
      <c r="AS661" s="30">
        <v>26.177445540000001</v>
      </c>
      <c r="AT661" s="30">
        <v>12.91531172</v>
      </c>
      <c r="AU661" s="30">
        <v>27.54364717</v>
      </c>
      <c r="AV661" s="30">
        <v>25.96620922</v>
      </c>
      <c r="AW661" s="30">
        <v>32.169332500000003</v>
      </c>
      <c r="AX661" s="30">
        <v>4.3388556139999999</v>
      </c>
      <c r="AY661" s="30">
        <v>3.6821455649999999</v>
      </c>
      <c r="AZ661" s="30">
        <v>13.0629369</v>
      </c>
      <c r="BA661" s="30">
        <v>117.6291918</v>
      </c>
      <c r="BB661" s="30">
        <v>8.5548585900000003</v>
      </c>
      <c r="BC661" s="30">
        <v>0.39251980600000003</v>
      </c>
      <c r="BD661" s="30">
        <v>14.63771775</v>
      </c>
      <c r="BE661" s="30">
        <v>50.969939699999998</v>
      </c>
      <c r="BF661" s="30">
        <v>60.808595830000002</v>
      </c>
      <c r="BG661" s="30">
        <v>10.28612279</v>
      </c>
      <c r="BH661" s="30">
        <v>54.737489189999998</v>
      </c>
      <c r="BI661" s="30">
        <v>188.99128429999999</v>
      </c>
      <c r="BJ661" s="30">
        <v>0</v>
      </c>
      <c r="BK661" s="30">
        <v>0</v>
      </c>
      <c r="BL661" s="30">
        <v>0</v>
      </c>
      <c r="BM661" s="30">
        <v>14.80264157</v>
      </c>
      <c r="BN661" s="30">
        <v>0</v>
      </c>
      <c r="BO661" s="30">
        <v>0</v>
      </c>
      <c r="BP661" s="30">
        <v>0</v>
      </c>
      <c r="BQ661" s="30">
        <v>0</v>
      </c>
      <c r="BR661" s="30">
        <v>0</v>
      </c>
      <c r="BS661" s="30">
        <v>0</v>
      </c>
      <c r="BT661" s="30">
        <v>0</v>
      </c>
      <c r="BU661" s="30">
        <v>0</v>
      </c>
      <c r="BV661" s="30">
        <v>0</v>
      </c>
      <c r="BW661" s="30">
        <v>0</v>
      </c>
      <c r="BX661" s="30">
        <v>0</v>
      </c>
      <c r="BY661" s="30">
        <v>0</v>
      </c>
      <c r="BZ661" s="30">
        <v>0</v>
      </c>
      <c r="CA661" s="30">
        <v>0</v>
      </c>
      <c r="CB661" s="30">
        <v>0</v>
      </c>
      <c r="CC661" s="30">
        <v>0</v>
      </c>
      <c r="CD661" s="30">
        <v>0</v>
      </c>
      <c r="CE661" s="30">
        <v>0</v>
      </c>
      <c r="CF661" s="30">
        <v>0</v>
      </c>
      <c r="CG661" s="30">
        <v>0</v>
      </c>
      <c r="CH661" s="30">
        <v>0</v>
      </c>
      <c r="CI661" s="30">
        <v>0</v>
      </c>
      <c r="CJ661" s="30">
        <v>0</v>
      </c>
      <c r="CK661" s="30">
        <v>0</v>
      </c>
      <c r="CL661" s="30">
        <v>0</v>
      </c>
      <c r="CM661" s="30">
        <v>0</v>
      </c>
      <c r="CN661" s="30">
        <v>0</v>
      </c>
      <c r="CO661" s="30">
        <v>0</v>
      </c>
      <c r="CP661" s="30">
        <v>0</v>
      </c>
      <c r="CQ661" s="30">
        <v>0</v>
      </c>
      <c r="CR661" s="30">
        <v>0</v>
      </c>
      <c r="CS661" s="30">
        <v>0</v>
      </c>
      <c r="CT661" s="30">
        <v>0</v>
      </c>
      <c r="CU661" s="30">
        <v>0</v>
      </c>
      <c r="CV661" s="30">
        <v>0</v>
      </c>
      <c r="CW661" s="30">
        <v>0</v>
      </c>
      <c r="CX661" s="30">
        <v>0</v>
      </c>
      <c r="CY661" s="30">
        <v>0</v>
      </c>
      <c r="CZ661" s="30">
        <v>0</v>
      </c>
      <c r="DA661" s="30">
        <v>0</v>
      </c>
      <c r="DB661" s="30">
        <v>0</v>
      </c>
      <c r="DC661" s="30">
        <v>0</v>
      </c>
      <c r="DD661" s="30">
        <v>0</v>
      </c>
      <c r="DE661" s="30">
        <v>0</v>
      </c>
      <c r="DF661" s="30">
        <v>0</v>
      </c>
      <c r="DG661" s="16">
        <f t="shared" si="54"/>
        <v>1085.862666297</v>
      </c>
      <c r="DH661" s="16">
        <f t="shared" si="55"/>
        <v>40115.861893096997</v>
      </c>
      <c r="DI661" s="17">
        <f t="shared" si="56"/>
        <v>36.943771195209962</v>
      </c>
      <c r="DJ661" s="119" t="s">
        <v>718</v>
      </c>
      <c r="DK661" s="44" t="s">
        <v>718</v>
      </c>
    </row>
    <row r="662" spans="1:115">
      <c r="A662" s="32" t="str">
        <f t="shared" si="52"/>
        <v>Ausgrid--&gt; 132 kV</v>
      </c>
      <c r="B662" s="32" t="str">
        <f t="shared" si="53"/>
        <v>Ausgrid</v>
      </c>
      <c r="C662" s="397"/>
      <c r="D662" s="31"/>
      <c r="E662" s="30" t="s">
        <v>176</v>
      </c>
      <c r="F662" s="19">
        <v>40.61</v>
      </c>
      <c r="G662" s="19">
        <v>12.69</v>
      </c>
      <c r="H662" s="30">
        <v>0</v>
      </c>
      <c r="I662" s="30">
        <v>0</v>
      </c>
      <c r="J662" s="30">
        <v>0</v>
      </c>
      <c r="K662" s="30">
        <v>0</v>
      </c>
      <c r="L662" s="30">
        <v>0</v>
      </c>
      <c r="M662" s="30">
        <v>0</v>
      </c>
      <c r="N662" s="30">
        <v>0</v>
      </c>
      <c r="O662" s="30">
        <v>0</v>
      </c>
      <c r="P662" s="30">
        <v>0</v>
      </c>
      <c r="Q662" s="30">
        <v>0</v>
      </c>
      <c r="R662" s="30">
        <v>0</v>
      </c>
      <c r="S662" s="30">
        <v>0</v>
      </c>
      <c r="T662" s="30">
        <v>0</v>
      </c>
      <c r="U662" s="30">
        <v>0</v>
      </c>
      <c r="V662" s="30">
        <v>0</v>
      </c>
      <c r="W662" s="30">
        <v>0</v>
      </c>
      <c r="X662" s="30">
        <v>0</v>
      </c>
      <c r="Y662" s="30">
        <v>0</v>
      </c>
      <c r="Z662" s="30">
        <v>0</v>
      </c>
      <c r="AA662" s="30">
        <v>0</v>
      </c>
      <c r="AB662" s="30">
        <v>0</v>
      </c>
      <c r="AC662" s="30">
        <v>0</v>
      </c>
      <c r="AD662" s="30">
        <v>0</v>
      </c>
      <c r="AE662" s="30">
        <v>0</v>
      </c>
      <c r="AF662" s="30">
        <v>0</v>
      </c>
      <c r="AG662" s="30">
        <v>0</v>
      </c>
      <c r="AH662" s="30">
        <v>0</v>
      </c>
      <c r="AI662" s="30">
        <v>0</v>
      </c>
      <c r="AJ662" s="30">
        <v>0</v>
      </c>
      <c r="AK662" s="30">
        <v>0</v>
      </c>
      <c r="AL662" s="30">
        <v>0</v>
      </c>
      <c r="AM662" s="30">
        <v>0</v>
      </c>
      <c r="AN662" s="30">
        <v>0</v>
      </c>
      <c r="AO662" s="30">
        <v>0</v>
      </c>
      <c r="AP662" s="30">
        <v>0</v>
      </c>
      <c r="AQ662" s="30">
        <v>0</v>
      </c>
      <c r="AR662" s="30">
        <v>0</v>
      </c>
      <c r="AS662" s="30">
        <v>0</v>
      </c>
      <c r="AT662" s="30">
        <v>0</v>
      </c>
      <c r="AU662" s="30">
        <v>0</v>
      </c>
      <c r="AV662" s="30">
        <v>0</v>
      </c>
      <c r="AW662" s="30">
        <v>0</v>
      </c>
      <c r="AX662" s="30">
        <v>0</v>
      </c>
      <c r="AY662" s="30">
        <v>0</v>
      </c>
      <c r="AZ662" s="30">
        <v>0</v>
      </c>
      <c r="BA662" s="30">
        <v>0</v>
      </c>
      <c r="BB662" s="30">
        <v>0</v>
      </c>
      <c r="BC662" s="30">
        <v>0</v>
      </c>
      <c r="BD662" s="30">
        <v>0</v>
      </c>
      <c r="BE662" s="30">
        <v>0</v>
      </c>
      <c r="BF662" s="30">
        <v>0</v>
      </c>
      <c r="BG662" s="30">
        <v>0</v>
      </c>
      <c r="BH662" s="30">
        <v>0</v>
      </c>
      <c r="BI662" s="30">
        <v>0</v>
      </c>
      <c r="BJ662" s="30">
        <v>0</v>
      </c>
      <c r="BK662" s="30">
        <v>0</v>
      </c>
      <c r="BL662" s="30">
        <v>0</v>
      </c>
      <c r="BM662" s="30">
        <v>0</v>
      </c>
      <c r="BN662" s="30">
        <v>0</v>
      </c>
      <c r="BO662" s="30">
        <v>0</v>
      </c>
      <c r="BP662" s="30">
        <v>0</v>
      </c>
      <c r="BQ662" s="30">
        <v>0</v>
      </c>
      <c r="BR662" s="30">
        <v>0</v>
      </c>
      <c r="BS662" s="30">
        <v>0</v>
      </c>
      <c r="BT662" s="30">
        <v>0</v>
      </c>
      <c r="BU662" s="30">
        <v>0</v>
      </c>
      <c r="BV662" s="30">
        <v>0</v>
      </c>
      <c r="BW662" s="30">
        <v>0</v>
      </c>
      <c r="BX662" s="30">
        <v>0</v>
      </c>
      <c r="BY662" s="30">
        <v>0</v>
      </c>
      <c r="BZ662" s="30">
        <v>0</v>
      </c>
      <c r="CA662" s="30">
        <v>0</v>
      </c>
      <c r="CB662" s="30">
        <v>0</v>
      </c>
      <c r="CC662" s="30">
        <v>0</v>
      </c>
      <c r="CD662" s="30">
        <v>0</v>
      </c>
      <c r="CE662" s="30">
        <v>0</v>
      </c>
      <c r="CF662" s="30">
        <v>0</v>
      </c>
      <c r="CG662" s="30">
        <v>0</v>
      </c>
      <c r="CH662" s="30">
        <v>0</v>
      </c>
      <c r="CI662" s="30">
        <v>0</v>
      </c>
      <c r="CJ662" s="30">
        <v>0</v>
      </c>
      <c r="CK662" s="30">
        <v>0</v>
      </c>
      <c r="CL662" s="30">
        <v>0</v>
      </c>
      <c r="CM662" s="30">
        <v>0</v>
      </c>
      <c r="CN662" s="30">
        <v>0</v>
      </c>
      <c r="CO662" s="30">
        <v>0</v>
      </c>
      <c r="CP662" s="30">
        <v>0</v>
      </c>
      <c r="CQ662" s="30">
        <v>0</v>
      </c>
      <c r="CR662" s="30">
        <v>0</v>
      </c>
      <c r="CS662" s="30">
        <v>0</v>
      </c>
      <c r="CT662" s="30">
        <v>0</v>
      </c>
      <c r="CU662" s="30">
        <v>0</v>
      </c>
      <c r="CV662" s="30">
        <v>0</v>
      </c>
      <c r="CW662" s="30">
        <v>0</v>
      </c>
      <c r="CX662" s="30">
        <v>0</v>
      </c>
      <c r="CY662" s="30">
        <v>0</v>
      </c>
      <c r="CZ662" s="30">
        <v>0</v>
      </c>
      <c r="DA662" s="30">
        <v>0</v>
      </c>
      <c r="DB662" s="30">
        <v>0</v>
      </c>
      <c r="DC662" s="30">
        <v>0</v>
      </c>
      <c r="DD662" s="30">
        <v>0</v>
      </c>
      <c r="DE662" s="30">
        <v>0</v>
      </c>
      <c r="DF662" s="30">
        <v>0</v>
      </c>
      <c r="DG662" s="16">
        <f t="shared" si="54"/>
        <v>0</v>
      </c>
      <c r="DH662" s="16">
        <f t="shared" si="55"/>
        <v>0</v>
      </c>
      <c r="DI662" s="17" t="str">
        <f t="shared" si="56"/>
        <v/>
      </c>
      <c r="DJ662" s="119" t="s">
        <v>718</v>
      </c>
      <c r="DK662" s="44" t="s">
        <v>718</v>
      </c>
    </row>
    <row r="663" spans="1:115">
      <c r="A663" s="32" t="str">
        <f t="shared" si="52"/>
        <v>Ausgrid--OTHER - PLEASE ADD A ROW IF NECESSARY AND NOMINATE THE CATEGORY</v>
      </c>
      <c r="B663" s="32" t="str">
        <f t="shared" si="53"/>
        <v>Ausgrid</v>
      </c>
      <c r="C663" s="397"/>
      <c r="D663" s="31"/>
      <c r="E663" s="30" t="s">
        <v>170</v>
      </c>
      <c r="F663" s="19"/>
      <c r="G663" s="19"/>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16">
        <f t="shared" si="54"/>
        <v>0</v>
      </c>
      <c r="DH663" s="16">
        <f t="shared" si="55"/>
        <v>0</v>
      </c>
      <c r="DI663" s="17" t="str">
        <f t="shared" si="56"/>
        <v/>
      </c>
      <c r="DJ663" s="119" t="s">
        <v>718</v>
      </c>
      <c r="DK663" s="44" t="s">
        <v>718</v>
      </c>
    </row>
    <row r="664" spans="1:115" ht="30">
      <c r="A664" s="32" t="str">
        <f t="shared" ref="A664:A727" si="57">B664&amp;"-"&amp;D664&amp;"-"&amp;E664</f>
        <v>Ausgrid-UNDERGROUND CABLES BY: 
HIGHEST OPERATING VOLTAGE-˂ = 1 kV</v>
      </c>
      <c r="B664" s="32" t="str">
        <f t="shared" ref="B664:B727" si="58">IF(C664&gt;0,C664,B663)</f>
        <v>Ausgrid</v>
      </c>
      <c r="C664" s="397"/>
      <c r="D664" s="31" t="s">
        <v>539</v>
      </c>
      <c r="E664" s="30" t="s">
        <v>171</v>
      </c>
      <c r="F664" s="19">
        <v>42.49</v>
      </c>
      <c r="G664" s="19">
        <v>15.09</v>
      </c>
      <c r="H664" s="30">
        <v>177.6077932</v>
      </c>
      <c r="I664" s="30">
        <v>221.35517580000001</v>
      </c>
      <c r="J664" s="30">
        <v>181.1567728</v>
      </c>
      <c r="K664" s="30">
        <v>134.0899235</v>
      </c>
      <c r="L664" s="30">
        <v>148.16365139999999</v>
      </c>
      <c r="M664" s="30">
        <v>126.733405</v>
      </c>
      <c r="N664" s="30">
        <v>129.4051719</v>
      </c>
      <c r="O664" s="30">
        <v>159.6210615</v>
      </c>
      <c r="P664" s="30">
        <v>154.73883240000001</v>
      </c>
      <c r="Q664" s="30">
        <v>143.40392439999999</v>
      </c>
      <c r="R664" s="30">
        <v>148.75915359999999</v>
      </c>
      <c r="S664" s="30">
        <v>95.727757449999999</v>
      </c>
      <c r="T664" s="30">
        <v>97.476617410000003</v>
      </c>
      <c r="U664" s="30">
        <v>99.897918329999996</v>
      </c>
      <c r="V664" s="30">
        <v>108.998829</v>
      </c>
      <c r="W664" s="30">
        <v>61.981378790000001</v>
      </c>
      <c r="X664" s="30">
        <v>69.206609970000002</v>
      </c>
      <c r="Y664" s="30">
        <v>58.406774980000002</v>
      </c>
      <c r="Z664" s="30">
        <v>77.342896620000005</v>
      </c>
      <c r="AA664" s="30">
        <v>53.996013920000003</v>
      </c>
      <c r="AB664" s="30">
        <v>67.694253000000003</v>
      </c>
      <c r="AC664" s="30">
        <v>47.967047489999999</v>
      </c>
      <c r="AD664" s="30">
        <v>43.124818689999998</v>
      </c>
      <c r="AE664" s="30">
        <v>31.624199919999999</v>
      </c>
      <c r="AF664" s="30">
        <v>48.603234129999997</v>
      </c>
      <c r="AG664" s="30">
        <v>75.318182960000001</v>
      </c>
      <c r="AH664" s="30">
        <v>33.213518290000003</v>
      </c>
      <c r="AI664" s="30">
        <v>39.714933690000002</v>
      </c>
      <c r="AJ664" s="30">
        <v>53.492434490000001</v>
      </c>
      <c r="AK664" s="30">
        <v>43.353399179999997</v>
      </c>
      <c r="AL664" s="30">
        <v>74.130134639999994</v>
      </c>
      <c r="AM664" s="30">
        <v>111.9006693</v>
      </c>
      <c r="AN664" s="30">
        <v>138.49668120000001</v>
      </c>
      <c r="AO664" s="30">
        <v>94.707118339999994</v>
      </c>
      <c r="AP664" s="30">
        <v>133.4601949</v>
      </c>
      <c r="AQ664" s="30">
        <v>113.53417880000001</v>
      </c>
      <c r="AR664" s="30">
        <v>122.4293758</v>
      </c>
      <c r="AS664" s="30">
        <v>53.457662720000002</v>
      </c>
      <c r="AT664" s="30">
        <v>56.646030799999998</v>
      </c>
      <c r="AU664" s="30">
        <v>96.132430229999997</v>
      </c>
      <c r="AV664" s="30">
        <v>47.807561630000002</v>
      </c>
      <c r="AW664" s="30">
        <v>92.293797699999999</v>
      </c>
      <c r="AX664" s="30">
        <v>49.633791049999999</v>
      </c>
      <c r="AY664" s="30">
        <v>71.743548559999994</v>
      </c>
      <c r="AZ664" s="30">
        <v>78.505657260000007</v>
      </c>
      <c r="BA664" s="30">
        <v>104.84636089999999</v>
      </c>
      <c r="BB664" s="30">
        <v>29.33347539</v>
      </c>
      <c r="BC664" s="30">
        <v>96.939445610000007</v>
      </c>
      <c r="BD664" s="30">
        <v>119.995971</v>
      </c>
      <c r="BE664" s="30">
        <v>76.135222540000001</v>
      </c>
      <c r="BF664" s="30">
        <v>126.7397308</v>
      </c>
      <c r="BG664" s="30">
        <v>70.174321239999998</v>
      </c>
      <c r="BH664" s="30">
        <v>111.73595829999999</v>
      </c>
      <c r="BI664" s="30">
        <v>107.5196152</v>
      </c>
      <c r="BJ664" s="30">
        <v>88.674609469999993</v>
      </c>
      <c r="BK664" s="30">
        <v>57.672356860000001</v>
      </c>
      <c r="BL664" s="30">
        <v>70.087219739999995</v>
      </c>
      <c r="BM664" s="30">
        <v>51.457631069999998</v>
      </c>
      <c r="BN664" s="30">
        <v>85.239347370000004</v>
      </c>
      <c r="BO664" s="30">
        <v>11.79953426</v>
      </c>
      <c r="BP664" s="30">
        <v>5.8756651580000003</v>
      </c>
      <c r="BQ664" s="30">
        <v>15.376368709999999</v>
      </c>
      <c r="BR664" s="30">
        <v>14.09785731</v>
      </c>
      <c r="BS664" s="30">
        <v>11.220262379999999</v>
      </c>
      <c r="BT664" s="30">
        <v>13.947688769999999</v>
      </c>
      <c r="BU664" s="30">
        <v>8.0054574760000001</v>
      </c>
      <c r="BV664" s="30">
        <v>0.50504218300000003</v>
      </c>
      <c r="BW664" s="30">
        <v>2.4533300659999999</v>
      </c>
      <c r="BX664" s="30">
        <v>16.033696559999999</v>
      </c>
      <c r="BY664" s="30">
        <v>3.3810632E-2</v>
      </c>
      <c r="BZ664" s="30">
        <v>0.113515824</v>
      </c>
      <c r="CA664" s="30">
        <v>0.17763466</v>
      </c>
      <c r="CB664" s="30">
        <v>0.45828243200000002</v>
      </c>
      <c r="CC664" s="30">
        <v>3.7528348619999998</v>
      </c>
      <c r="CD664" s="30">
        <v>0.35806496999999998</v>
      </c>
      <c r="CE664" s="30">
        <v>0.39817130899999997</v>
      </c>
      <c r="CF664" s="30">
        <v>0.14685894199999999</v>
      </c>
      <c r="CG664" s="30">
        <v>0.121584786</v>
      </c>
      <c r="CH664" s="30">
        <v>2.1335102000000002E-2</v>
      </c>
      <c r="CI664" s="30">
        <v>0.267033311</v>
      </c>
      <c r="CJ664" s="30">
        <v>7.1384740000000002E-2</v>
      </c>
      <c r="CK664" s="30">
        <v>0.14916859700000001</v>
      </c>
      <c r="CL664" s="30">
        <v>0.78141826400000003</v>
      </c>
      <c r="CM664" s="30">
        <v>0.15973967</v>
      </c>
      <c r="CN664" s="30">
        <v>0.169801696</v>
      </c>
      <c r="CO664" s="30">
        <v>20.91458639</v>
      </c>
      <c r="CP664" s="30">
        <v>12.9828531</v>
      </c>
      <c r="CQ664" s="30">
        <v>0.121259478</v>
      </c>
      <c r="CR664" s="30">
        <v>9.2182949999999996E-3</v>
      </c>
      <c r="CS664" s="30">
        <v>0</v>
      </c>
      <c r="CT664" s="30">
        <v>0</v>
      </c>
      <c r="CU664" s="30">
        <v>2.2902700000000001E-3</v>
      </c>
      <c r="CV664" s="30">
        <v>5.5269849999999999E-3</v>
      </c>
      <c r="CW664" s="30">
        <v>0</v>
      </c>
      <c r="CX664" s="30">
        <v>0</v>
      </c>
      <c r="CY664" s="30">
        <v>0</v>
      </c>
      <c r="CZ664" s="30">
        <v>0</v>
      </c>
      <c r="DA664" s="30">
        <v>0</v>
      </c>
      <c r="DB664" s="30">
        <v>0</v>
      </c>
      <c r="DC664" s="30">
        <v>0</v>
      </c>
      <c r="DD664" s="30">
        <v>0</v>
      </c>
      <c r="DE664" s="30">
        <v>0</v>
      </c>
      <c r="DF664" s="30">
        <v>0</v>
      </c>
      <c r="DG664" s="16">
        <f t="shared" si="54"/>
        <v>5604.1370594180007</v>
      </c>
      <c r="DH664" s="16">
        <f t="shared" si="55"/>
        <v>155382.84107756495</v>
      </c>
      <c r="DI664" s="17">
        <f t="shared" si="56"/>
        <v>27.72645269559159</v>
      </c>
      <c r="DJ664" s="119" t="s">
        <v>572</v>
      </c>
      <c r="DK664" t="s">
        <v>572</v>
      </c>
    </row>
    <row r="665" spans="1:115">
      <c r="A665" s="32" t="str">
        <f t="shared" si="57"/>
        <v>Ausgrid--&gt; 1 kV &amp; &lt; = 11 kV</v>
      </c>
      <c r="B665" s="32" t="str">
        <f t="shared" si="58"/>
        <v>Ausgrid</v>
      </c>
      <c r="C665" s="397"/>
      <c r="D665" s="31"/>
      <c r="E665" s="30" t="s">
        <v>172</v>
      </c>
      <c r="F665" s="19">
        <v>45.67</v>
      </c>
      <c r="G665" s="19">
        <v>18.52</v>
      </c>
      <c r="H665" s="30">
        <v>279.8082</v>
      </c>
      <c r="I665" s="30">
        <v>299.47981420000002</v>
      </c>
      <c r="J665" s="30">
        <v>279.11034849999999</v>
      </c>
      <c r="K665" s="30">
        <v>221.03377130000001</v>
      </c>
      <c r="L665" s="30">
        <v>217.02793919999999</v>
      </c>
      <c r="M665" s="30">
        <v>167.48712829999999</v>
      </c>
      <c r="N665" s="30">
        <v>197.53638900000001</v>
      </c>
      <c r="O665" s="30">
        <v>132.0785496</v>
      </c>
      <c r="P665" s="30">
        <v>127.3427246</v>
      </c>
      <c r="Q665" s="30">
        <v>113.6681727</v>
      </c>
      <c r="R665" s="30">
        <v>116.2724657</v>
      </c>
      <c r="S665" s="30">
        <v>97.575553990000003</v>
      </c>
      <c r="T665" s="30">
        <v>112.3873956</v>
      </c>
      <c r="U665" s="30">
        <v>123.0518065</v>
      </c>
      <c r="V665" s="30">
        <v>105.5003336</v>
      </c>
      <c r="W665" s="30">
        <v>82.411191860000002</v>
      </c>
      <c r="X665" s="30">
        <v>53.462803110000003</v>
      </c>
      <c r="Y665" s="30">
        <v>59.910038409999999</v>
      </c>
      <c r="Z665" s="30">
        <v>91.531269309999999</v>
      </c>
      <c r="AA665" s="30">
        <v>56.42372417</v>
      </c>
      <c r="AB665" s="30">
        <v>71.869239449999995</v>
      </c>
      <c r="AC665" s="30">
        <v>88.25706314</v>
      </c>
      <c r="AD665" s="30">
        <v>59.058255590000002</v>
      </c>
      <c r="AE665" s="30">
        <v>60.096850400000001</v>
      </c>
      <c r="AF665" s="30">
        <v>52.381462519999999</v>
      </c>
      <c r="AG665" s="30">
        <v>85.306620370000005</v>
      </c>
      <c r="AH665" s="30">
        <v>46.611487199999999</v>
      </c>
      <c r="AI665" s="30">
        <v>40.151687150000001</v>
      </c>
      <c r="AJ665" s="30">
        <v>77.589163549999995</v>
      </c>
      <c r="AK665" s="30">
        <v>33.901582789999999</v>
      </c>
      <c r="AL665" s="30">
        <v>78.965975979999996</v>
      </c>
      <c r="AM665" s="30">
        <v>91.940049290000005</v>
      </c>
      <c r="AN665" s="30">
        <v>114.7318463</v>
      </c>
      <c r="AO665" s="30">
        <v>135.53359599999999</v>
      </c>
      <c r="AP665" s="30">
        <v>157.01759300000001</v>
      </c>
      <c r="AQ665" s="30">
        <v>128.69779589999999</v>
      </c>
      <c r="AR665" s="30">
        <v>117.9192575</v>
      </c>
      <c r="AS665" s="30">
        <v>90.530329780000002</v>
      </c>
      <c r="AT665" s="30">
        <v>88.243464700000004</v>
      </c>
      <c r="AU665" s="30">
        <v>110.1437964</v>
      </c>
      <c r="AV665" s="30">
        <v>73.178114199999996</v>
      </c>
      <c r="AW665" s="30">
        <v>98.831310650000006</v>
      </c>
      <c r="AX665" s="30">
        <v>55.876153469999998</v>
      </c>
      <c r="AY665" s="30">
        <v>124.8542327</v>
      </c>
      <c r="AZ665" s="30">
        <v>76.220202839999999</v>
      </c>
      <c r="BA665" s="30">
        <v>146.71603440000001</v>
      </c>
      <c r="BB665" s="30">
        <v>79.413648879999997</v>
      </c>
      <c r="BC665" s="30">
        <v>126.6255178</v>
      </c>
      <c r="BD665" s="30">
        <v>140.16802419999999</v>
      </c>
      <c r="BE665" s="30">
        <v>166.06769209999999</v>
      </c>
      <c r="BF665" s="30">
        <v>263.95414590000001</v>
      </c>
      <c r="BG665" s="30">
        <v>117.6822713</v>
      </c>
      <c r="BH665" s="30">
        <v>186.69082259999999</v>
      </c>
      <c r="BI665" s="30">
        <v>158.17990940000001</v>
      </c>
      <c r="BJ665" s="30">
        <v>177.95978070000001</v>
      </c>
      <c r="BK665" s="30">
        <v>150.37754100000001</v>
      </c>
      <c r="BL665" s="30">
        <v>156.6269508</v>
      </c>
      <c r="BM665" s="30">
        <v>174.0015148</v>
      </c>
      <c r="BN665" s="30">
        <v>213.28361889999999</v>
      </c>
      <c r="BO665" s="30">
        <v>21.9719029</v>
      </c>
      <c r="BP665" s="30">
        <v>33.86242609</v>
      </c>
      <c r="BQ665" s="30">
        <v>23.250271009999999</v>
      </c>
      <c r="BR665" s="30">
        <v>27.284782660000001</v>
      </c>
      <c r="BS665" s="30">
        <v>22.474047299999999</v>
      </c>
      <c r="BT665" s="30">
        <v>25.471777469999999</v>
      </c>
      <c r="BU665" s="30">
        <v>17.054633190000001</v>
      </c>
      <c r="BV665" s="30">
        <v>1.1982079000000001</v>
      </c>
      <c r="BW665" s="30">
        <v>3.607522925</v>
      </c>
      <c r="BX665" s="30">
        <v>49.95478859</v>
      </c>
      <c r="BY665" s="30">
        <v>0.60639618799999995</v>
      </c>
      <c r="BZ665" s="30">
        <v>1.9856566449999999</v>
      </c>
      <c r="CA665" s="30">
        <v>1.2317073810000001</v>
      </c>
      <c r="CB665" s="30">
        <v>1.0675994470000001</v>
      </c>
      <c r="CC665" s="30">
        <v>28.22073924</v>
      </c>
      <c r="CD665" s="30">
        <v>3.8718246019999998</v>
      </c>
      <c r="CE665" s="30">
        <v>5.2679005930000002</v>
      </c>
      <c r="CF665" s="30">
        <v>2.2926320680000001</v>
      </c>
      <c r="CG665" s="30">
        <v>1.4142106679999999</v>
      </c>
      <c r="CH665" s="30">
        <v>0.46280729599999998</v>
      </c>
      <c r="CI665" s="30">
        <v>0.33042357300000003</v>
      </c>
      <c r="CJ665" s="30">
        <v>0.18678945899999999</v>
      </c>
      <c r="CK665" s="30">
        <v>1.3971372049999999</v>
      </c>
      <c r="CL665" s="30">
        <v>2.7301219460000001</v>
      </c>
      <c r="CM665" s="30">
        <v>18.42945074</v>
      </c>
      <c r="CN665" s="30">
        <v>10.24054196</v>
      </c>
      <c r="CO665" s="30">
        <v>63.584412669999999</v>
      </c>
      <c r="CP665" s="30">
        <v>50.632122950000003</v>
      </c>
      <c r="CQ665" s="30">
        <v>2.3325686409999999</v>
      </c>
      <c r="CR665" s="30">
        <v>7.0777000000000001E-3</v>
      </c>
      <c r="CS665" s="30">
        <v>0</v>
      </c>
      <c r="CT665" s="30">
        <v>9.0007599999999998E-4</v>
      </c>
      <c r="CU665" s="30">
        <v>0</v>
      </c>
      <c r="CV665" s="30">
        <v>0</v>
      </c>
      <c r="CW665" s="30">
        <v>0</v>
      </c>
      <c r="CX665" s="30">
        <v>0</v>
      </c>
      <c r="CY665" s="30">
        <v>0</v>
      </c>
      <c r="CZ665" s="30">
        <v>0</v>
      </c>
      <c r="DA665" s="30">
        <v>0</v>
      </c>
      <c r="DB665" s="30">
        <v>0</v>
      </c>
      <c r="DC665" s="30">
        <v>0</v>
      </c>
      <c r="DD665" s="30">
        <v>0</v>
      </c>
      <c r="DE665" s="30">
        <v>0</v>
      </c>
      <c r="DF665" s="30">
        <v>0</v>
      </c>
      <c r="DG665" s="16">
        <f t="shared" si="54"/>
        <v>7771.1776043829987</v>
      </c>
      <c r="DH665" s="16">
        <f t="shared" si="55"/>
        <v>246702.29461313103</v>
      </c>
      <c r="DI665" s="17">
        <f t="shared" si="56"/>
        <v>31.745805741717859</v>
      </c>
      <c r="DJ665" s="119" t="s">
        <v>572</v>
      </c>
      <c r="DK665" s="44" t="s">
        <v>572</v>
      </c>
    </row>
    <row r="666" spans="1:115">
      <c r="A666" s="32" t="str">
        <f t="shared" si="57"/>
        <v>Ausgrid--&gt; 11 kV &amp; &lt; = 22 kV</v>
      </c>
      <c r="B666" s="32" t="str">
        <f t="shared" si="58"/>
        <v>Ausgrid</v>
      </c>
      <c r="C666" s="397"/>
      <c r="D666" s="31"/>
      <c r="E666" s="30" t="s">
        <v>181</v>
      </c>
      <c r="F666" s="19">
        <v>45.67</v>
      </c>
      <c r="G666" s="19">
        <v>18.52</v>
      </c>
      <c r="H666" s="30">
        <v>0</v>
      </c>
      <c r="I666" s="30">
        <v>0</v>
      </c>
      <c r="J666" s="30">
        <v>0</v>
      </c>
      <c r="K666" s="30">
        <v>0</v>
      </c>
      <c r="L666" s="30">
        <v>0</v>
      </c>
      <c r="M666" s="30">
        <v>0</v>
      </c>
      <c r="N666" s="30">
        <v>0</v>
      </c>
      <c r="O666" s="30">
        <v>0</v>
      </c>
      <c r="P666" s="30">
        <v>0</v>
      </c>
      <c r="Q666" s="30">
        <v>0</v>
      </c>
      <c r="R666" s="30">
        <v>0</v>
      </c>
      <c r="S666" s="30">
        <v>0</v>
      </c>
      <c r="T666" s="30">
        <v>0</v>
      </c>
      <c r="U666" s="30">
        <v>0</v>
      </c>
      <c r="V666" s="30">
        <v>0</v>
      </c>
      <c r="W666" s="30">
        <v>0</v>
      </c>
      <c r="X666" s="30">
        <v>0</v>
      </c>
      <c r="Y666" s="30">
        <v>0</v>
      </c>
      <c r="Z666" s="30">
        <v>0</v>
      </c>
      <c r="AA666" s="30">
        <v>0</v>
      </c>
      <c r="AB666" s="30">
        <v>0</v>
      </c>
      <c r="AC666" s="30">
        <v>0</v>
      </c>
      <c r="AD666" s="30">
        <v>0</v>
      </c>
      <c r="AE666" s="30">
        <v>1.0000497000000001E-2</v>
      </c>
      <c r="AF666" s="30">
        <v>0</v>
      </c>
      <c r="AG666" s="30">
        <v>0</v>
      </c>
      <c r="AH666" s="30">
        <v>0</v>
      </c>
      <c r="AI666" s="30">
        <v>0</v>
      </c>
      <c r="AJ666" s="30">
        <v>0</v>
      </c>
      <c r="AK666" s="30">
        <v>0</v>
      </c>
      <c r="AL666" s="30">
        <v>0</v>
      </c>
      <c r="AM666" s="30">
        <v>0</v>
      </c>
      <c r="AN666" s="30">
        <v>0</v>
      </c>
      <c r="AO666" s="30">
        <v>0</v>
      </c>
      <c r="AP666" s="30">
        <v>0</v>
      </c>
      <c r="AQ666" s="30">
        <v>0</v>
      </c>
      <c r="AR666" s="30">
        <v>0</v>
      </c>
      <c r="AS666" s="30">
        <v>0</v>
      </c>
      <c r="AT666" s="30">
        <v>0</v>
      </c>
      <c r="AU666" s="30">
        <v>0</v>
      </c>
      <c r="AV666" s="30">
        <v>0</v>
      </c>
      <c r="AW666" s="30">
        <v>0</v>
      </c>
      <c r="AX666" s="30">
        <v>0</v>
      </c>
      <c r="AY666" s="30">
        <v>0</v>
      </c>
      <c r="AZ666" s="30">
        <v>0</v>
      </c>
      <c r="BA666" s="30">
        <v>0</v>
      </c>
      <c r="BB666" s="30">
        <v>0</v>
      </c>
      <c r="BC666" s="30">
        <v>0</v>
      </c>
      <c r="BD666" s="30">
        <v>0</v>
      </c>
      <c r="BE666" s="30">
        <v>0</v>
      </c>
      <c r="BF666" s="30">
        <v>0</v>
      </c>
      <c r="BG666" s="30">
        <v>0</v>
      </c>
      <c r="BH666" s="30">
        <v>0</v>
      </c>
      <c r="BI666" s="30">
        <v>0</v>
      </c>
      <c r="BJ666" s="30">
        <v>0</v>
      </c>
      <c r="BK666" s="30">
        <v>0</v>
      </c>
      <c r="BL666" s="30">
        <v>0</v>
      </c>
      <c r="BM666" s="30">
        <v>0</v>
      </c>
      <c r="BN666" s="30">
        <v>0</v>
      </c>
      <c r="BO666" s="30">
        <v>0</v>
      </c>
      <c r="BP666" s="30">
        <v>0</v>
      </c>
      <c r="BQ666" s="30">
        <v>0</v>
      </c>
      <c r="BR666" s="30">
        <v>0</v>
      </c>
      <c r="BS666" s="30">
        <v>0</v>
      </c>
      <c r="BT666" s="30">
        <v>0</v>
      </c>
      <c r="BU666" s="30">
        <v>0</v>
      </c>
      <c r="BV666" s="30">
        <v>0</v>
      </c>
      <c r="BW666" s="30">
        <v>0</v>
      </c>
      <c r="BX666" s="30">
        <v>0</v>
      </c>
      <c r="BY666" s="30">
        <v>0</v>
      </c>
      <c r="BZ666" s="30">
        <v>0</v>
      </c>
      <c r="CA666" s="30">
        <v>0</v>
      </c>
      <c r="CB666" s="30">
        <v>0</v>
      </c>
      <c r="CC666" s="30">
        <v>0</v>
      </c>
      <c r="CD666" s="30">
        <v>0</v>
      </c>
      <c r="CE666" s="30">
        <v>0</v>
      </c>
      <c r="CF666" s="30">
        <v>0</v>
      </c>
      <c r="CG666" s="30">
        <v>0</v>
      </c>
      <c r="CH666" s="30">
        <v>0</v>
      </c>
      <c r="CI666" s="30">
        <v>0</v>
      </c>
      <c r="CJ666" s="30">
        <v>0</v>
      </c>
      <c r="CK666" s="30">
        <v>0</v>
      </c>
      <c r="CL666" s="30">
        <v>0</v>
      </c>
      <c r="CM666" s="30">
        <v>0</v>
      </c>
      <c r="CN666" s="30">
        <v>0</v>
      </c>
      <c r="CO666" s="30">
        <v>0</v>
      </c>
      <c r="CP666" s="30">
        <v>0</v>
      </c>
      <c r="CQ666" s="30">
        <v>0</v>
      </c>
      <c r="CR666" s="30">
        <v>0</v>
      </c>
      <c r="CS666" s="30">
        <v>0</v>
      </c>
      <c r="CT666" s="30">
        <v>0</v>
      </c>
      <c r="CU666" s="30">
        <v>0</v>
      </c>
      <c r="CV666" s="30">
        <v>0</v>
      </c>
      <c r="CW666" s="30">
        <v>0</v>
      </c>
      <c r="CX666" s="30">
        <v>0</v>
      </c>
      <c r="CY666" s="30">
        <v>0</v>
      </c>
      <c r="CZ666" s="30">
        <v>0</v>
      </c>
      <c r="DA666" s="30">
        <v>0</v>
      </c>
      <c r="DB666" s="30">
        <v>0</v>
      </c>
      <c r="DC666" s="30">
        <v>0</v>
      </c>
      <c r="DD666" s="30">
        <v>0</v>
      </c>
      <c r="DE666" s="30">
        <v>0</v>
      </c>
      <c r="DF666" s="30">
        <v>0</v>
      </c>
      <c r="DG666" s="16">
        <f t="shared" si="54"/>
        <v>1.0000497000000001E-2</v>
      </c>
      <c r="DH666" s="16">
        <f t="shared" si="55"/>
        <v>0.24001192800000001</v>
      </c>
      <c r="DI666" s="17">
        <f t="shared" si="56"/>
        <v>24</v>
      </c>
      <c r="DJ666" s="119" t="s">
        <v>572</v>
      </c>
      <c r="DK666" s="44" t="s">
        <v>572</v>
      </c>
    </row>
    <row r="667" spans="1:115">
      <c r="A667" s="32" t="str">
        <f t="shared" si="57"/>
        <v>Ausgrid--&gt; 22 kV &amp; &lt; = 33 kV</v>
      </c>
      <c r="B667" s="32" t="str">
        <f t="shared" si="58"/>
        <v>Ausgrid</v>
      </c>
      <c r="C667" s="397"/>
      <c r="D667" s="31"/>
      <c r="E667" s="30" t="s">
        <v>182</v>
      </c>
      <c r="F667" s="19">
        <v>46.66</v>
      </c>
      <c r="G667" s="19">
        <v>15.11</v>
      </c>
      <c r="H667" s="30">
        <v>15.31479831</v>
      </c>
      <c r="I667" s="30">
        <v>21.49865278</v>
      </c>
      <c r="J667" s="30">
        <v>25.27414473</v>
      </c>
      <c r="K667" s="30">
        <v>28.992683970000002</v>
      </c>
      <c r="L667" s="30">
        <v>25.232045370000002</v>
      </c>
      <c r="M667" s="30">
        <v>8.7593445289999998</v>
      </c>
      <c r="N667" s="30">
        <v>18.675750359999999</v>
      </c>
      <c r="O667" s="30">
        <v>12.15200471</v>
      </c>
      <c r="P667" s="30">
        <v>11.30532769</v>
      </c>
      <c r="Q667" s="30">
        <v>0.89140241399999998</v>
      </c>
      <c r="R667" s="30">
        <v>14.472479659999999</v>
      </c>
      <c r="S667" s="30">
        <v>5.3649879</v>
      </c>
      <c r="T667" s="30">
        <v>6.2973019810000004</v>
      </c>
      <c r="U667" s="30">
        <v>8.7121624059999991</v>
      </c>
      <c r="V667" s="30">
        <v>4.6059520420000002</v>
      </c>
      <c r="W667" s="30">
        <v>2.6007661789999998</v>
      </c>
      <c r="X667" s="30">
        <v>0.70092879299999999</v>
      </c>
      <c r="Y667" s="30">
        <v>3.8115456139999999</v>
      </c>
      <c r="Z667" s="30">
        <v>0.19342498799999999</v>
      </c>
      <c r="AA667" s="30">
        <v>2.5311896960000002</v>
      </c>
      <c r="AB667" s="30">
        <v>0.27632774700000001</v>
      </c>
      <c r="AC667" s="30">
        <v>0.50821503499999998</v>
      </c>
      <c r="AD667" s="30">
        <v>0.90411165500000001</v>
      </c>
      <c r="AE667" s="30">
        <v>0.403608625</v>
      </c>
      <c r="AF667" s="30">
        <v>0.14413023599999999</v>
      </c>
      <c r="AG667" s="30">
        <v>7.7177219000000005E-2</v>
      </c>
      <c r="AH667" s="30">
        <v>0.94143848100000005</v>
      </c>
      <c r="AI667" s="30">
        <v>0.48054650300000001</v>
      </c>
      <c r="AJ667" s="30">
        <v>7.7263851999999994E-2</v>
      </c>
      <c r="AK667" s="30">
        <v>0.486310609</v>
      </c>
      <c r="AL667" s="30">
        <v>0.19857358999999999</v>
      </c>
      <c r="AM667" s="30">
        <v>2.9358948999999999E-2</v>
      </c>
      <c r="AN667" s="30">
        <v>0.4010938</v>
      </c>
      <c r="AO667" s="30">
        <v>0.156776843</v>
      </c>
      <c r="AP667" s="30">
        <v>3.977202589</v>
      </c>
      <c r="AQ667" s="30">
        <v>3.0848434779999998</v>
      </c>
      <c r="AR667" s="30">
        <v>0.71353497499999996</v>
      </c>
      <c r="AS667" s="30">
        <v>4.2348621499999997</v>
      </c>
      <c r="AT667" s="30">
        <v>1.7749851679999999</v>
      </c>
      <c r="AU667" s="30">
        <v>12.457252370000001</v>
      </c>
      <c r="AV667" s="30">
        <v>7.1070193179999999</v>
      </c>
      <c r="AW667" s="30">
        <v>13.63608134</v>
      </c>
      <c r="AX667" s="30">
        <v>11.6860801</v>
      </c>
      <c r="AY667" s="30">
        <v>0.58622405899999996</v>
      </c>
      <c r="AZ667" s="30">
        <v>2.9029666180000002</v>
      </c>
      <c r="BA667" s="30">
        <v>64.745337160000005</v>
      </c>
      <c r="BB667" s="30">
        <v>22.835202850000002</v>
      </c>
      <c r="BC667" s="30">
        <v>22.49075728</v>
      </c>
      <c r="BD667" s="30">
        <v>36.690787479999997</v>
      </c>
      <c r="BE667" s="30">
        <v>42.28969927</v>
      </c>
      <c r="BF667" s="30">
        <v>39.762414730000003</v>
      </c>
      <c r="BG667" s="30">
        <v>0.112437935</v>
      </c>
      <c r="BH667" s="30">
        <v>0</v>
      </c>
      <c r="BI667" s="30">
        <v>1.805833805</v>
      </c>
      <c r="BJ667" s="30">
        <v>0.72648714299999995</v>
      </c>
      <c r="BK667" s="30">
        <v>0.70905045700000002</v>
      </c>
      <c r="BL667" s="30">
        <v>2.5530238390000002</v>
      </c>
      <c r="BM667" s="30">
        <v>43.737233760000002</v>
      </c>
      <c r="BN667" s="30">
        <v>20.015173999999998</v>
      </c>
      <c r="BO667" s="30">
        <v>2.42301864</v>
      </c>
      <c r="BP667" s="30">
        <v>25.167570619999999</v>
      </c>
      <c r="BQ667" s="30">
        <v>13.07358183</v>
      </c>
      <c r="BR667" s="30">
        <v>5.0140528050000004</v>
      </c>
      <c r="BS667" s="30">
        <v>0.94677725400000001</v>
      </c>
      <c r="BT667" s="30">
        <v>19.555450409999999</v>
      </c>
      <c r="BU667" s="30">
        <v>16.46439951</v>
      </c>
      <c r="BV667" s="30">
        <v>41.598292530000002</v>
      </c>
      <c r="BW667" s="30">
        <v>0.63655084100000003</v>
      </c>
      <c r="BX667" s="30">
        <v>0.69683510400000004</v>
      </c>
      <c r="BY667" s="30">
        <v>1.2134516900000001</v>
      </c>
      <c r="BZ667" s="30">
        <v>2.7919336600000002</v>
      </c>
      <c r="CA667" s="30">
        <v>0.13397204800000001</v>
      </c>
      <c r="CB667" s="30">
        <v>3.88035825</v>
      </c>
      <c r="CC667" s="30">
        <v>5.3066154809999997</v>
      </c>
      <c r="CD667" s="30">
        <v>1.5998897700000001</v>
      </c>
      <c r="CE667" s="30">
        <v>1.65043626</v>
      </c>
      <c r="CF667" s="30">
        <v>20.55930408</v>
      </c>
      <c r="CG667" s="30">
        <v>0</v>
      </c>
      <c r="CH667" s="30">
        <v>0</v>
      </c>
      <c r="CI667" s="30">
        <v>0</v>
      </c>
      <c r="CJ667" s="30">
        <v>0</v>
      </c>
      <c r="CK667" s="30">
        <v>18.427861780000001</v>
      </c>
      <c r="CL667" s="30">
        <v>7.006823818</v>
      </c>
      <c r="CM667" s="30">
        <v>32.656989459999998</v>
      </c>
      <c r="CN667" s="30">
        <v>0</v>
      </c>
      <c r="CO667" s="30">
        <v>0</v>
      </c>
      <c r="CP667" s="30">
        <v>0</v>
      </c>
      <c r="CQ667" s="30">
        <v>0</v>
      </c>
      <c r="CR667" s="30">
        <v>0</v>
      </c>
      <c r="CS667" s="30">
        <v>0</v>
      </c>
      <c r="CT667" s="30">
        <v>0</v>
      </c>
      <c r="CU667" s="30">
        <v>0</v>
      </c>
      <c r="CV667" s="30">
        <v>0</v>
      </c>
      <c r="CW667" s="30">
        <v>0</v>
      </c>
      <c r="CX667" s="30">
        <v>0</v>
      </c>
      <c r="CY667" s="30">
        <v>0</v>
      </c>
      <c r="CZ667" s="30">
        <v>0</v>
      </c>
      <c r="DA667" s="30">
        <v>0</v>
      </c>
      <c r="DB667" s="30">
        <v>0</v>
      </c>
      <c r="DC667" s="30">
        <v>0</v>
      </c>
      <c r="DD667" s="30">
        <v>0</v>
      </c>
      <c r="DE667" s="30">
        <v>0</v>
      </c>
      <c r="DF667" s="30">
        <v>0</v>
      </c>
      <c r="DG667" s="16">
        <f t="shared" si="54"/>
        <v>803.9104849810002</v>
      </c>
      <c r="DH667" s="16">
        <f t="shared" si="55"/>
        <v>34957.402397497994</v>
      </c>
      <c r="DI667" s="17">
        <f t="shared" si="56"/>
        <v>43.484197619743924</v>
      </c>
      <c r="DJ667" s="119" t="s">
        <v>572</v>
      </c>
      <c r="DK667" s="44" t="s">
        <v>572</v>
      </c>
    </row>
    <row r="668" spans="1:115">
      <c r="A668" s="32" t="str">
        <f t="shared" si="57"/>
        <v>Ausgrid--&gt; 33 kV &amp; &lt; = 66 kV</v>
      </c>
      <c r="B668" s="32" t="str">
        <f t="shared" si="58"/>
        <v>Ausgrid</v>
      </c>
      <c r="C668" s="397"/>
      <c r="D668" s="31"/>
      <c r="E668" s="30" t="s">
        <v>183</v>
      </c>
      <c r="F668" s="19">
        <v>46.66</v>
      </c>
      <c r="G668" s="19">
        <v>15.11</v>
      </c>
      <c r="H668" s="30">
        <v>0.41504808100000001</v>
      </c>
      <c r="I668" s="30">
        <v>0.57056913600000003</v>
      </c>
      <c r="J668" s="30">
        <v>1.0880553390000001</v>
      </c>
      <c r="K668" s="30">
        <v>0</v>
      </c>
      <c r="L668" s="30">
        <v>0</v>
      </c>
      <c r="M668" s="30">
        <v>0</v>
      </c>
      <c r="N668" s="30">
        <v>0</v>
      </c>
      <c r="O668" s="30">
        <v>0</v>
      </c>
      <c r="P668" s="30">
        <v>0</v>
      </c>
      <c r="Q668" s="30">
        <v>0</v>
      </c>
      <c r="R668" s="30">
        <v>0</v>
      </c>
      <c r="S668" s="30">
        <v>0</v>
      </c>
      <c r="T668" s="30">
        <v>0</v>
      </c>
      <c r="U668" s="30">
        <v>0</v>
      </c>
      <c r="V668" s="30">
        <v>0</v>
      </c>
      <c r="W668" s="30">
        <v>0</v>
      </c>
      <c r="X668" s="30">
        <v>0</v>
      </c>
      <c r="Y668" s="30">
        <v>0</v>
      </c>
      <c r="Z668" s="30">
        <v>0</v>
      </c>
      <c r="AA668" s="30">
        <v>0</v>
      </c>
      <c r="AB668" s="30">
        <v>0</v>
      </c>
      <c r="AC668" s="30">
        <v>0</v>
      </c>
      <c r="AD668" s="30">
        <v>0</v>
      </c>
      <c r="AE668" s="30">
        <v>0</v>
      </c>
      <c r="AF668" s="30">
        <v>0</v>
      </c>
      <c r="AG668" s="30">
        <v>0</v>
      </c>
      <c r="AH668" s="30">
        <v>0</v>
      </c>
      <c r="AI668" s="30">
        <v>0</v>
      </c>
      <c r="AJ668" s="30">
        <v>0</v>
      </c>
      <c r="AK668" s="30">
        <v>0</v>
      </c>
      <c r="AL668" s="30">
        <v>0</v>
      </c>
      <c r="AM668" s="30">
        <v>0</v>
      </c>
      <c r="AN668" s="30">
        <v>0</v>
      </c>
      <c r="AO668" s="30">
        <v>6.8292015999999997E-2</v>
      </c>
      <c r="AP668" s="30">
        <v>0</v>
      </c>
      <c r="AQ668" s="30">
        <v>0</v>
      </c>
      <c r="AR668" s="30">
        <v>0</v>
      </c>
      <c r="AS668" s="30">
        <v>0</v>
      </c>
      <c r="AT668" s="30">
        <v>0</v>
      </c>
      <c r="AU668" s="30">
        <v>0</v>
      </c>
      <c r="AV668" s="30">
        <v>0</v>
      </c>
      <c r="AW668" s="30">
        <v>0</v>
      </c>
      <c r="AX668" s="30">
        <v>0</v>
      </c>
      <c r="AY668" s="30">
        <v>0</v>
      </c>
      <c r="AZ668" s="30">
        <v>0.26985341099999999</v>
      </c>
      <c r="BA668" s="30">
        <v>0</v>
      </c>
      <c r="BB668" s="30">
        <v>0</v>
      </c>
      <c r="BC668" s="30">
        <v>0</v>
      </c>
      <c r="BD668" s="30">
        <v>0</v>
      </c>
      <c r="BE668" s="30">
        <v>0</v>
      </c>
      <c r="BF668" s="30">
        <v>0</v>
      </c>
      <c r="BG668" s="30">
        <v>0</v>
      </c>
      <c r="BH668" s="30">
        <v>0</v>
      </c>
      <c r="BI668" s="30">
        <v>0</v>
      </c>
      <c r="BJ668" s="30">
        <v>0</v>
      </c>
      <c r="BK668" s="30">
        <v>0</v>
      </c>
      <c r="BL668" s="30">
        <v>0</v>
      </c>
      <c r="BM668" s="30">
        <v>9.3025353000000005E-2</v>
      </c>
      <c r="BN668" s="30">
        <v>0</v>
      </c>
      <c r="BO668" s="30">
        <v>0</v>
      </c>
      <c r="BP668" s="30">
        <v>0</v>
      </c>
      <c r="BQ668" s="30">
        <v>0</v>
      </c>
      <c r="BR668" s="30">
        <v>0</v>
      </c>
      <c r="BS668" s="30">
        <v>0</v>
      </c>
      <c r="BT668" s="30">
        <v>0</v>
      </c>
      <c r="BU668" s="30">
        <v>0</v>
      </c>
      <c r="BV668" s="30">
        <v>0</v>
      </c>
      <c r="BW668" s="30">
        <v>0</v>
      </c>
      <c r="BX668" s="30">
        <v>0</v>
      </c>
      <c r="BY668" s="30">
        <v>0</v>
      </c>
      <c r="BZ668" s="30">
        <v>0</v>
      </c>
      <c r="CA668" s="30">
        <v>0</v>
      </c>
      <c r="CB668" s="30">
        <v>0</v>
      </c>
      <c r="CC668" s="30">
        <v>0</v>
      </c>
      <c r="CD668" s="30">
        <v>0</v>
      </c>
      <c r="CE668" s="30">
        <v>0</v>
      </c>
      <c r="CF668" s="30">
        <v>0</v>
      </c>
      <c r="CG668" s="30">
        <v>0</v>
      </c>
      <c r="CH668" s="30">
        <v>0</v>
      </c>
      <c r="CI668" s="30">
        <v>0</v>
      </c>
      <c r="CJ668" s="30">
        <v>0</v>
      </c>
      <c r="CK668" s="30">
        <v>0</v>
      </c>
      <c r="CL668" s="30">
        <v>0</v>
      </c>
      <c r="CM668" s="30">
        <v>0</v>
      </c>
      <c r="CN668" s="30">
        <v>0</v>
      </c>
      <c r="CO668" s="30">
        <v>0</v>
      </c>
      <c r="CP668" s="30">
        <v>0</v>
      </c>
      <c r="CQ668" s="30">
        <v>0</v>
      </c>
      <c r="CR668" s="30">
        <v>0</v>
      </c>
      <c r="CS668" s="30">
        <v>0</v>
      </c>
      <c r="CT668" s="30">
        <v>0</v>
      </c>
      <c r="CU668" s="30">
        <v>0</v>
      </c>
      <c r="CV668" s="30">
        <v>0</v>
      </c>
      <c r="CW668" s="30">
        <v>0</v>
      </c>
      <c r="CX668" s="30">
        <v>0</v>
      </c>
      <c r="CY668" s="30">
        <v>0</v>
      </c>
      <c r="CZ668" s="30">
        <v>0</v>
      </c>
      <c r="DA668" s="30">
        <v>0</v>
      </c>
      <c r="DB668" s="30">
        <v>0</v>
      </c>
      <c r="DC668" s="30">
        <v>0</v>
      </c>
      <c r="DD668" s="30">
        <v>0</v>
      </c>
      <c r="DE668" s="30">
        <v>0</v>
      </c>
      <c r="DF668" s="30">
        <v>0</v>
      </c>
      <c r="DG668" s="16">
        <f t="shared" si="54"/>
        <v>2.504843336</v>
      </c>
      <c r="DH668" s="16">
        <f t="shared" si="55"/>
        <v>24.681154882999998</v>
      </c>
      <c r="DI668" s="17">
        <f t="shared" si="56"/>
        <v>9.8533726753600046</v>
      </c>
      <c r="DJ668" s="119" t="s">
        <v>572</v>
      </c>
      <c r="DK668" s="44" t="s">
        <v>572</v>
      </c>
    </row>
    <row r="669" spans="1:115">
      <c r="A669" s="32" t="str">
        <f t="shared" si="57"/>
        <v>Ausgrid--&gt; 66 kV &amp; &lt; = 132 kV</v>
      </c>
      <c r="B669" s="32" t="str">
        <f t="shared" si="58"/>
        <v>Ausgrid</v>
      </c>
      <c r="C669" s="397"/>
      <c r="D669" s="31"/>
      <c r="E669" s="30" t="s">
        <v>175</v>
      </c>
      <c r="F669" s="19">
        <v>53.5</v>
      </c>
      <c r="G669" s="19">
        <v>7.86</v>
      </c>
      <c r="H669" s="30">
        <v>23.145042480000001</v>
      </c>
      <c r="I669" s="30">
        <v>24.303651599999998</v>
      </c>
      <c r="J669" s="30">
        <v>22.345366630000001</v>
      </c>
      <c r="K669" s="30">
        <v>23.261899190000001</v>
      </c>
      <c r="L669" s="30">
        <v>0.25848982399999998</v>
      </c>
      <c r="M669" s="30">
        <v>18.859010900000001</v>
      </c>
      <c r="N669" s="30">
        <v>0.12843274399999999</v>
      </c>
      <c r="O669" s="30">
        <v>0.655514292</v>
      </c>
      <c r="P669" s="30">
        <v>5.4968965709999997</v>
      </c>
      <c r="Q669" s="30">
        <v>3.8824299870000001</v>
      </c>
      <c r="R669" s="30">
        <v>16.27480482</v>
      </c>
      <c r="S669" s="30">
        <v>8.1078556489999993</v>
      </c>
      <c r="T669" s="30">
        <v>0</v>
      </c>
      <c r="U669" s="30">
        <v>6.4885391239999999</v>
      </c>
      <c r="V669" s="30">
        <v>0.44769509200000002</v>
      </c>
      <c r="W669" s="30">
        <v>9.3293456179999996</v>
      </c>
      <c r="X669" s="30">
        <v>0.18814755899999999</v>
      </c>
      <c r="Y669" s="30">
        <v>1.3581349E-2</v>
      </c>
      <c r="Z669" s="30">
        <v>0.57853892100000004</v>
      </c>
      <c r="AA669" s="30">
        <v>6.1824828999999998E-2</v>
      </c>
      <c r="AB669" s="30">
        <v>0</v>
      </c>
      <c r="AC669" s="30">
        <v>0</v>
      </c>
      <c r="AD669" s="30">
        <v>9.2633290000000007E-3</v>
      </c>
      <c r="AE669" s="30">
        <v>0.84789383699999998</v>
      </c>
      <c r="AF669" s="30">
        <v>0</v>
      </c>
      <c r="AG669" s="30">
        <v>11.31293644</v>
      </c>
      <c r="AH669" s="30">
        <v>0</v>
      </c>
      <c r="AI669" s="30">
        <v>1.0854737999999999E-2</v>
      </c>
      <c r="AJ669" s="30">
        <v>1.0039675E-2</v>
      </c>
      <c r="AK669" s="30">
        <v>0</v>
      </c>
      <c r="AL669" s="30">
        <v>3.1127699999999998</v>
      </c>
      <c r="AM669" s="30">
        <v>3.8052171239999999</v>
      </c>
      <c r="AN669" s="30">
        <v>19.888288469999999</v>
      </c>
      <c r="AO669" s="30">
        <v>23.00605706</v>
      </c>
      <c r="AP669" s="30">
        <v>5.72369445</v>
      </c>
      <c r="AQ669" s="30">
        <v>14.50226647</v>
      </c>
      <c r="AR669" s="30">
        <v>18.12719178</v>
      </c>
      <c r="AS669" s="30">
        <v>10.250164440000001</v>
      </c>
      <c r="AT669" s="30">
        <v>7.3172110090000002</v>
      </c>
      <c r="AU669" s="30">
        <v>1.2128362399999999</v>
      </c>
      <c r="AV669" s="30">
        <v>88.327480039999998</v>
      </c>
      <c r="AW669" s="30">
        <v>51.20477863</v>
      </c>
      <c r="AX669" s="30">
        <v>26.971657140000001</v>
      </c>
      <c r="AY669" s="30">
        <v>13.79000428</v>
      </c>
      <c r="AZ669" s="30">
        <v>32.914464809999998</v>
      </c>
      <c r="BA669" s="30">
        <v>27.072092520000002</v>
      </c>
      <c r="BB669" s="30">
        <v>5.1229127639999996</v>
      </c>
      <c r="BC669" s="30">
        <v>16.16030525</v>
      </c>
      <c r="BD669" s="30">
        <v>0</v>
      </c>
      <c r="BE669" s="30">
        <v>0</v>
      </c>
      <c r="BF669" s="30">
        <v>39.744072330000002</v>
      </c>
      <c r="BG669" s="30">
        <v>0</v>
      </c>
      <c r="BH669" s="30">
        <v>4.7700521000000003E-2</v>
      </c>
      <c r="BI669" s="30">
        <v>2.62836363</v>
      </c>
      <c r="BJ669" s="30">
        <v>0</v>
      </c>
      <c r="BK669" s="30">
        <v>0</v>
      </c>
      <c r="BL669" s="30">
        <v>0</v>
      </c>
      <c r="BM669" s="30">
        <v>0</v>
      </c>
      <c r="BN669" s="30">
        <v>0</v>
      </c>
      <c r="BO669" s="30">
        <v>0</v>
      </c>
      <c r="BP669" s="30">
        <v>0</v>
      </c>
      <c r="BQ669" s="30">
        <v>0</v>
      </c>
      <c r="BR669" s="30">
        <v>0</v>
      </c>
      <c r="BS669" s="30">
        <v>0</v>
      </c>
      <c r="BT669" s="30">
        <v>0</v>
      </c>
      <c r="BU669" s="30">
        <v>0</v>
      </c>
      <c r="BV669" s="30">
        <v>0</v>
      </c>
      <c r="BW669" s="30">
        <v>0</v>
      </c>
      <c r="BX669" s="30">
        <v>0</v>
      </c>
      <c r="BY669" s="30">
        <v>0</v>
      </c>
      <c r="BZ669" s="30">
        <v>0</v>
      </c>
      <c r="CA669" s="30">
        <v>0</v>
      </c>
      <c r="CB669" s="30">
        <v>0</v>
      </c>
      <c r="CC669" s="30">
        <v>0</v>
      </c>
      <c r="CD669" s="30">
        <v>0</v>
      </c>
      <c r="CE669" s="30">
        <v>0</v>
      </c>
      <c r="CF669" s="30">
        <v>0</v>
      </c>
      <c r="CG669" s="30">
        <v>0</v>
      </c>
      <c r="CH669" s="30">
        <v>0</v>
      </c>
      <c r="CI669" s="30">
        <v>0</v>
      </c>
      <c r="CJ669" s="30">
        <v>0</v>
      </c>
      <c r="CK669" s="30">
        <v>0</v>
      </c>
      <c r="CL669" s="30">
        <v>0</v>
      </c>
      <c r="CM669" s="30">
        <v>0</v>
      </c>
      <c r="CN669" s="30">
        <v>0</v>
      </c>
      <c r="CO669" s="30">
        <v>0</v>
      </c>
      <c r="CP669" s="30">
        <v>0</v>
      </c>
      <c r="CQ669" s="30">
        <v>0</v>
      </c>
      <c r="CR669" s="30">
        <v>0</v>
      </c>
      <c r="CS669" s="30">
        <v>0</v>
      </c>
      <c r="CT669" s="30">
        <v>0</v>
      </c>
      <c r="CU669" s="30">
        <v>0</v>
      </c>
      <c r="CV669" s="30">
        <v>0</v>
      </c>
      <c r="CW669" s="30">
        <v>0</v>
      </c>
      <c r="CX669" s="30">
        <v>0</v>
      </c>
      <c r="CY669" s="30">
        <v>0</v>
      </c>
      <c r="CZ669" s="30">
        <v>0</v>
      </c>
      <c r="DA669" s="30">
        <v>0</v>
      </c>
      <c r="DB669" s="30">
        <v>0</v>
      </c>
      <c r="DC669" s="30">
        <v>0</v>
      </c>
      <c r="DD669" s="30">
        <v>0</v>
      </c>
      <c r="DE669" s="30">
        <v>0</v>
      </c>
      <c r="DF669" s="30">
        <v>0</v>
      </c>
      <c r="DG669" s="16">
        <f t="shared" si="54"/>
        <v>586.94758415599983</v>
      </c>
      <c r="DH669" s="16">
        <f t="shared" si="55"/>
        <v>18521.034548313</v>
      </c>
      <c r="DI669" s="17">
        <f t="shared" si="56"/>
        <v>31.554835641661747</v>
      </c>
      <c r="DJ669" s="119" t="s">
        <v>572</v>
      </c>
      <c r="DK669" s="44" t="s">
        <v>572</v>
      </c>
    </row>
    <row r="670" spans="1:115">
      <c r="A670" s="32" t="str">
        <f t="shared" si="57"/>
        <v>Ausgrid--&gt;  132 kV</v>
      </c>
      <c r="B670" s="32" t="str">
        <f t="shared" si="58"/>
        <v>Ausgrid</v>
      </c>
      <c r="C670" s="397"/>
      <c r="D670" s="31"/>
      <c r="E670" s="30" t="s">
        <v>184</v>
      </c>
      <c r="F670" s="19">
        <v>0</v>
      </c>
      <c r="G670" s="19">
        <v>0</v>
      </c>
      <c r="H670" s="30">
        <v>0</v>
      </c>
      <c r="I670" s="30">
        <v>0</v>
      </c>
      <c r="J670" s="30">
        <v>0</v>
      </c>
      <c r="K670" s="30">
        <v>0</v>
      </c>
      <c r="L670" s="30">
        <v>0</v>
      </c>
      <c r="M670" s="30">
        <v>0</v>
      </c>
      <c r="N670" s="30">
        <v>0</v>
      </c>
      <c r="O670" s="30">
        <v>0</v>
      </c>
      <c r="P670" s="30">
        <v>0</v>
      </c>
      <c r="Q670" s="30">
        <v>0</v>
      </c>
      <c r="R670" s="30">
        <v>0</v>
      </c>
      <c r="S670" s="30">
        <v>0</v>
      </c>
      <c r="T670" s="30">
        <v>0</v>
      </c>
      <c r="U670" s="30">
        <v>0</v>
      </c>
      <c r="V670" s="30">
        <v>0</v>
      </c>
      <c r="W670" s="30">
        <v>0</v>
      </c>
      <c r="X670" s="30">
        <v>0</v>
      </c>
      <c r="Y670" s="30">
        <v>0</v>
      </c>
      <c r="Z670" s="30">
        <v>0</v>
      </c>
      <c r="AA670" s="30">
        <v>0</v>
      </c>
      <c r="AB670" s="30">
        <v>0</v>
      </c>
      <c r="AC670" s="30">
        <v>0</v>
      </c>
      <c r="AD670" s="30">
        <v>0</v>
      </c>
      <c r="AE670" s="30">
        <v>0</v>
      </c>
      <c r="AF670" s="30">
        <v>0</v>
      </c>
      <c r="AG670" s="30">
        <v>0</v>
      </c>
      <c r="AH670" s="30">
        <v>0</v>
      </c>
      <c r="AI670" s="30">
        <v>0</v>
      </c>
      <c r="AJ670" s="30">
        <v>0</v>
      </c>
      <c r="AK670" s="30">
        <v>0</v>
      </c>
      <c r="AL670" s="30">
        <v>0</v>
      </c>
      <c r="AM670" s="30">
        <v>0</v>
      </c>
      <c r="AN670" s="30">
        <v>0</v>
      </c>
      <c r="AO670" s="30">
        <v>0</v>
      </c>
      <c r="AP670" s="30">
        <v>0</v>
      </c>
      <c r="AQ670" s="30">
        <v>0</v>
      </c>
      <c r="AR670" s="30">
        <v>0</v>
      </c>
      <c r="AS670" s="30">
        <v>0</v>
      </c>
      <c r="AT670" s="30">
        <v>0</v>
      </c>
      <c r="AU670" s="30">
        <v>0</v>
      </c>
      <c r="AV670" s="30">
        <v>0</v>
      </c>
      <c r="AW670" s="30">
        <v>0</v>
      </c>
      <c r="AX670" s="30">
        <v>0</v>
      </c>
      <c r="AY670" s="30">
        <v>0</v>
      </c>
      <c r="AZ670" s="30">
        <v>0</v>
      </c>
      <c r="BA670" s="30">
        <v>0</v>
      </c>
      <c r="BB670" s="30">
        <v>0</v>
      </c>
      <c r="BC670" s="30">
        <v>0</v>
      </c>
      <c r="BD670" s="30">
        <v>0</v>
      </c>
      <c r="BE670" s="30">
        <v>0</v>
      </c>
      <c r="BF670" s="30">
        <v>0</v>
      </c>
      <c r="BG670" s="30">
        <v>0</v>
      </c>
      <c r="BH670" s="30">
        <v>0</v>
      </c>
      <c r="BI670" s="30">
        <v>0</v>
      </c>
      <c r="BJ670" s="30">
        <v>0</v>
      </c>
      <c r="BK670" s="30">
        <v>0</v>
      </c>
      <c r="BL670" s="30">
        <v>0</v>
      </c>
      <c r="BM670" s="30">
        <v>0</v>
      </c>
      <c r="BN670" s="30">
        <v>0</v>
      </c>
      <c r="BO670" s="30">
        <v>0</v>
      </c>
      <c r="BP670" s="30">
        <v>0</v>
      </c>
      <c r="BQ670" s="30">
        <v>0</v>
      </c>
      <c r="BR670" s="30">
        <v>0</v>
      </c>
      <c r="BS670" s="30">
        <v>0</v>
      </c>
      <c r="BT670" s="30">
        <v>0</v>
      </c>
      <c r="BU670" s="30">
        <v>0</v>
      </c>
      <c r="BV670" s="30">
        <v>0</v>
      </c>
      <c r="BW670" s="30">
        <v>0</v>
      </c>
      <c r="BX670" s="30">
        <v>0</v>
      </c>
      <c r="BY670" s="30">
        <v>0</v>
      </c>
      <c r="BZ670" s="30">
        <v>0</v>
      </c>
      <c r="CA670" s="30">
        <v>0</v>
      </c>
      <c r="CB670" s="30">
        <v>0</v>
      </c>
      <c r="CC670" s="30">
        <v>0</v>
      </c>
      <c r="CD670" s="30">
        <v>0</v>
      </c>
      <c r="CE670" s="30">
        <v>0</v>
      </c>
      <c r="CF670" s="30">
        <v>0</v>
      </c>
      <c r="CG670" s="30">
        <v>0</v>
      </c>
      <c r="CH670" s="30">
        <v>0</v>
      </c>
      <c r="CI670" s="30">
        <v>0</v>
      </c>
      <c r="CJ670" s="30">
        <v>0</v>
      </c>
      <c r="CK670" s="30">
        <v>0</v>
      </c>
      <c r="CL670" s="30">
        <v>0</v>
      </c>
      <c r="CM670" s="30">
        <v>0</v>
      </c>
      <c r="CN670" s="30">
        <v>0</v>
      </c>
      <c r="CO670" s="30">
        <v>0</v>
      </c>
      <c r="CP670" s="30">
        <v>0</v>
      </c>
      <c r="CQ670" s="30">
        <v>0</v>
      </c>
      <c r="CR670" s="30">
        <v>0</v>
      </c>
      <c r="CS670" s="30">
        <v>0</v>
      </c>
      <c r="CT670" s="30">
        <v>0</v>
      </c>
      <c r="CU670" s="30">
        <v>0</v>
      </c>
      <c r="CV670" s="30">
        <v>0</v>
      </c>
      <c r="CW670" s="30">
        <v>0</v>
      </c>
      <c r="CX670" s="30">
        <v>0</v>
      </c>
      <c r="CY670" s="30">
        <v>0</v>
      </c>
      <c r="CZ670" s="30">
        <v>0</v>
      </c>
      <c r="DA670" s="30">
        <v>0</v>
      </c>
      <c r="DB670" s="30">
        <v>0</v>
      </c>
      <c r="DC670" s="30">
        <v>0</v>
      </c>
      <c r="DD670" s="30">
        <v>0</v>
      </c>
      <c r="DE670" s="30">
        <v>0</v>
      </c>
      <c r="DF670" s="30">
        <v>0</v>
      </c>
      <c r="DG670" s="16">
        <f t="shared" si="54"/>
        <v>0</v>
      </c>
      <c r="DH670" s="16">
        <f t="shared" si="55"/>
        <v>0</v>
      </c>
      <c r="DI670" s="17" t="str">
        <f t="shared" si="56"/>
        <v/>
      </c>
      <c r="DJ670" s="119" t="s">
        <v>572</v>
      </c>
      <c r="DK670" s="44" t="s">
        <v>572</v>
      </c>
    </row>
    <row r="671" spans="1:115">
      <c r="A671" s="32" t="str">
        <f t="shared" si="57"/>
        <v>Ausgrid--OTHER - PLEASE ADD A ROW IF NECESSARY AND NOMINATE THE CATEGORY</v>
      </c>
      <c r="B671" s="32" t="str">
        <f t="shared" si="58"/>
        <v>Ausgrid</v>
      </c>
      <c r="C671" s="397"/>
      <c r="D671" s="31"/>
      <c r="E671" s="30" t="s">
        <v>170</v>
      </c>
      <c r="F671" s="19"/>
      <c r="G671" s="19"/>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16">
        <f t="shared" ref="DG671:DG732" si="59">SUM(H671:DF671)</f>
        <v>0</v>
      </c>
      <c r="DH671" s="16">
        <f t="shared" ref="DH671:DH732" si="60">IFERROR(SUMPRODUCT(H671:DF671,$H$1:$DF$1),"")</f>
        <v>0</v>
      </c>
      <c r="DI671" s="17" t="str">
        <f t="shared" ref="DI671:DI732" si="61">IFERROR(DH671/DG671,"")</f>
        <v/>
      </c>
      <c r="DJ671" s="119" t="s">
        <v>572</v>
      </c>
      <c r="DK671" s="44" t="s">
        <v>572</v>
      </c>
    </row>
    <row r="672" spans="1:115" ht="60">
      <c r="A672" s="32" t="str">
        <f t="shared" si="57"/>
        <v xml:space="preserve">Ausgrid-SERVICE LINES BY: 
CONNECTION VOLTAGE; CUSTOMER TYPE; CONNECTION COMPLEXITY -˂ = 11 kV ; RESIDENTIAL ; SIMPLE TYPE </v>
      </c>
      <c r="B672" s="32" t="str">
        <f t="shared" si="58"/>
        <v>Ausgrid</v>
      </c>
      <c r="C672" s="397"/>
      <c r="D672" s="31" t="s">
        <v>541</v>
      </c>
      <c r="E672" s="30" t="s">
        <v>186</v>
      </c>
      <c r="F672" s="19">
        <v>33.934609100000003</v>
      </c>
      <c r="G672" s="19">
        <v>9.3629738029999992</v>
      </c>
      <c r="H672" s="30">
        <v>19008</v>
      </c>
      <c r="I672" s="30">
        <v>24931</v>
      </c>
      <c r="J672" s="30">
        <v>23374</v>
      </c>
      <c r="K672" s="30">
        <v>26037</v>
      </c>
      <c r="L672" s="30">
        <v>30493</v>
      </c>
      <c r="M672" s="30">
        <v>24001</v>
      </c>
      <c r="N672" s="30">
        <v>20012</v>
      </c>
      <c r="O672" s="30">
        <v>20886</v>
      </c>
      <c r="P672" s="30">
        <v>15612</v>
      </c>
      <c r="Q672" s="30">
        <v>14468</v>
      </c>
      <c r="R672" s="30">
        <v>12481</v>
      </c>
      <c r="S672" s="30">
        <v>13572</v>
      </c>
      <c r="T672" s="30">
        <v>12466</v>
      </c>
      <c r="U672" s="30">
        <v>9356</v>
      </c>
      <c r="V672" s="30">
        <v>7432</v>
      </c>
      <c r="W672" s="30">
        <v>6994</v>
      </c>
      <c r="X672" s="30">
        <v>8594</v>
      </c>
      <c r="Y672" s="30">
        <v>8458</v>
      </c>
      <c r="Z672" s="30">
        <v>11276</v>
      </c>
      <c r="AA672" s="30">
        <v>8237</v>
      </c>
      <c r="AB672" s="30">
        <v>6777</v>
      </c>
      <c r="AC672" s="30">
        <v>5933</v>
      </c>
      <c r="AD672" s="30">
        <v>11506</v>
      </c>
      <c r="AE672" s="30">
        <v>11147</v>
      </c>
      <c r="AF672" s="30">
        <v>11436</v>
      </c>
      <c r="AG672" s="30">
        <v>8444</v>
      </c>
      <c r="AH672" s="30">
        <v>11422</v>
      </c>
      <c r="AI672" s="30">
        <v>10522</v>
      </c>
      <c r="AJ672" s="30">
        <v>10776</v>
      </c>
      <c r="AK672" s="30">
        <v>7264</v>
      </c>
      <c r="AL672" s="30">
        <v>7111</v>
      </c>
      <c r="AM672" s="30">
        <v>11897</v>
      </c>
      <c r="AN672" s="30">
        <v>13727</v>
      </c>
      <c r="AO672" s="30">
        <v>22929</v>
      </c>
      <c r="AP672" s="30">
        <v>14782</v>
      </c>
      <c r="AQ672" s="30">
        <v>11633</v>
      </c>
      <c r="AR672" s="30">
        <v>9607</v>
      </c>
      <c r="AS672" s="30">
        <v>4589</v>
      </c>
      <c r="AT672" s="30">
        <v>6425</v>
      </c>
      <c r="AU672" s="30">
        <v>11708</v>
      </c>
      <c r="AV672" s="30">
        <v>4386</v>
      </c>
      <c r="AW672" s="30">
        <v>10937</v>
      </c>
      <c r="AX672" s="30">
        <v>6666</v>
      </c>
      <c r="AY672" s="30">
        <v>11367</v>
      </c>
      <c r="AZ672" s="30">
        <v>14818</v>
      </c>
      <c r="BA672" s="30">
        <v>16970</v>
      </c>
      <c r="BB672" s="30">
        <v>8820</v>
      </c>
      <c r="BC672" s="30">
        <v>18742</v>
      </c>
      <c r="BD672" s="30">
        <v>23761</v>
      </c>
      <c r="BE672" s="30">
        <v>20222</v>
      </c>
      <c r="BF672" s="30">
        <v>36457</v>
      </c>
      <c r="BG672" s="30">
        <v>16763</v>
      </c>
      <c r="BH672" s="30">
        <v>24019</v>
      </c>
      <c r="BI672" s="30">
        <v>35775</v>
      </c>
      <c r="BJ672" s="30">
        <v>28654</v>
      </c>
      <c r="BK672" s="30">
        <v>18249</v>
      </c>
      <c r="BL672" s="30">
        <v>15752</v>
      </c>
      <c r="BM672" s="30">
        <v>18089</v>
      </c>
      <c r="BN672" s="30">
        <v>7540</v>
      </c>
      <c r="BO672" s="30">
        <v>4614</v>
      </c>
      <c r="BP672" s="30">
        <v>2418</v>
      </c>
      <c r="BQ672" s="30">
        <v>4246</v>
      </c>
      <c r="BR672" s="30">
        <v>4441</v>
      </c>
      <c r="BS672" s="30">
        <v>3096</v>
      </c>
      <c r="BT672" s="30">
        <v>3506</v>
      </c>
      <c r="BU672" s="30">
        <v>3210</v>
      </c>
      <c r="BV672" s="30">
        <v>52</v>
      </c>
      <c r="BW672" s="30">
        <v>1028</v>
      </c>
      <c r="BX672" s="30">
        <v>2560</v>
      </c>
      <c r="BY672" s="30">
        <v>0</v>
      </c>
      <c r="BZ672" s="30">
        <v>0</v>
      </c>
      <c r="CA672" s="30">
        <v>1</v>
      </c>
      <c r="CB672" s="30">
        <v>0</v>
      </c>
      <c r="CC672" s="30">
        <v>2343</v>
      </c>
      <c r="CD672" s="30">
        <v>2</v>
      </c>
      <c r="CE672" s="30">
        <v>2</v>
      </c>
      <c r="CF672" s="30">
        <v>5</v>
      </c>
      <c r="CG672" s="30">
        <v>0</v>
      </c>
      <c r="CH672" s="30">
        <v>0</v>
      </c>
      <c r="CI672" s="30">
        <v>0</v>
      </c>
      <c r="CJ672" s="30">
        <v>0</v>
      </c>
      <c r="CK672" s="30">
        <v>0</v>
      </c>
      <c r="CL672" s="30">
        <v>0</v>
      </c>
      <c r="CM672" s="30">
        <v>0</v>
      </c>
      <c r="CN672" s="30">
        <v>0</v>
      </c>
      <c r="CO672" s="30">
        <v>8284</v>
      </c>
      <c r="CP672" s="30">
        <v>1321</v>
      </c>
      <c r="CQ672" s="30">
        <v>0</v>
      </c>
      <c r="CR672" s="30">
        <v>0</v>
      </c>
      <c r="CS672" s="30">
        <v>0</v>
      </c>
      <c r="CT672" s="30">
        <v>0</v>
      </c>
      <c r="CU672" s="30">
        <v>0</v>
      </c>
      <c r="CV672" s="30">
        <v>0</v>
      </c>
      <c r="CW672" s="30">
        <v>4422</v>
      </c>
      <c r="CX672" s="30">
        <v>0</v>
      </c>
      <c r="CY672" s="30">
        <v>0</v>
      </c>
      <c r="CZ672" s="30">
        <v>0</v>
      </c>
      <c r="DA672" s="30">
        <v>0</v>
      </c>
      <c r="DB672" s="30">
        <v>0</v>
      </c>
      <c r="DC672" s="30">
        <v>0</v>
      </c>
      <c r="DD672" s="30">
        <v>0</v>
      </c>
      <c r="DE672" s="30">
        <v>0</v>
      </c>
      <c r="DF672" s="30">
        <v>67</v>
      </c>
      <c r="DG672" s="16">
        <f t="shared" si="59"/>
        <v>910928</v>
      </c>
      <c r="DH672" s="16">
        <f t="shared" si="60"/>
        <v>29656318</v>
      </c>
      <c r="DI672" s="17">
        <f t="shared" si="61"/>
        <v>32.55616031124304</v>
      </c>
      <c r="DJ672" s="119" t="s">
        <v>719</v>
      </c>
      <c r="DK672" t="s">
        <v>719</v>
      </c>
    </row>
    <row r="673" spans="1:115">
      <c r="A673" s="32" t="str">
        <f t="shared" si="57"/>
        <v xml:space="preserve">Ausgrid--˂ = 11 kV ; COMMERCIAL &amp; INDUSTRIAL ; SIMPLE TYPE </v>
      </c>
      <c r="B673" s="32" t="str">
        <f t="shared" si="58"/>
        <v>Ausgrid</v>
      </c>
      <c r="C673" s="397"/>
      <c r="D673" s="31"/>
      <c r="E673" s="30" t="s">
        <v>187</v>
      </c>
      <c r="F673" s="19">
        <v>37.270000000000003</v>
      </c>
      <c r="G673" s="19">
        <v>13.06256672</v>
      </c>
      <c r="H673" s="30">
        <v>995</v>
      </c>
      <c r="I673" s="30">
        <v>986</v>
      </c>
      <c r="J673" s="30">
        <v>1270</v>
      </c>
      <c r="K673" s="30">
        <v>1287</v>
      </c>
      <c r="L673" s="30">
        <v>1591</v>
      </c>
      <c r="M673" s="30">
        <v>1463</v>
      </c>
      <c r="N673" s="30">
        <v>1262</v>
      </c>
      <c r="O673" s="30">
        <v>2506</v>
      </c>
      <c r="P673" s="30">
        <v>3596</v>
      </c>
      <c r="Q673" s="30">
        <v>1566</v>
      </c>
      <c r="R673" s="30">
        <v>1015</v>
      </c>
      <c r="S673" s="30">
        <v>1137</v>
      </c>
      <c r="T673" s="30">
        <v>1290</v>
      </c>
      <c r="U673" s="30">
        <v>1012</v>
      </c>
      <c r="V673" s="30">
        <v>673</v>
      </c>
      <c r="W673" s="30">
        <v>679</v>
      </c>
      <c r="X673" s="30">
        <v>548</v>
      </c>
      <c r="Y673" s="30">
        <v>582</v>
      </c>
      <c r="Z673" s="30">
        <v>635</v>
      </c>
      <c r="AA673" s="30">
        <v>572</v>
      </c>
      <c r="AB673" s="30">
        <v>515</v>
      </c>
      <c r="AC673" s="30">
        <v>503</v>
      </c>
      <c r="AD673" s="30">
        <v>723</v>
      </c>
      <c r="AE673" s="30">
        <v>693</v>
      </c>
      <c r="AF673" s="30">
        <v>725</v>
      </c>
      <c r="AG673" s="30">
        <v>586</v>
      </c>
      <c r="AH673" s="30">
        <v>678</v>
      </c>
      <c r="AI673" s="30">
        <v>800</v>
      </c>
      <c r="AJ673" s="30">
        <v>807</v>
      </c>
      <c r="AK673" s="30">
        <v>489</v>
      </c>
      <c r="AL673" s="30">
        <v>862</v>
      </c>
      <c r="AM673" s="30">
        <v>618</v>
      </c>
      <c r="AN673" s="30">
        <v>565</v>
      </c>
      <c r="AO673" s="30">
        <v>1685</v>
      </c>
      <c r="AP673" s="30">
        <v>834</v>
      </c>
      <c r="AQ673" s="30">
        <v>655</v>
      </c>
      <c r="AR673" s="30">
        <v>731</v>
      </c>
      <c r="AS673" s="30">
        <v>296</v>
      </c>
      <c r="AT673" s="30">
        <v>366</v>
      </c>
      <c r="AU673" s="30">
        <v>870</v>
      </c>
      <c r="AV673" s="30">
        <v>405</v>
      </c>
      <c r="AW673" s="30">
        <v>797</v>
      </c>
      <c r="AX673" s="30">
        <v>469</v>
      </c>
      <c r="AY673" s="30">
        <v>814</v>
      </c>
      <c r="AZ673" s="30">
        <v>736</v>
      </c>
      <c r="BA673" s="30">
        <v>2696</v>
      </c>
      <c r="BB673" s="30">
        <v>587</v>
      </c>
      <c r="BC673" s="30">
        <v>1557</v>
      </c>
      <c r="BD673" s="30">
        <v>2489</v>
      </c>
      <c r="BE673" s="30">
        <v>1913</v>
      </c>
      <c r="BF673" s="30">
        <v>2464</v>
      </c>
      <c r="BG673" s="30">
        <v>1738</v>
      </c>
      <c r="BH673" s="30">
        <v>2224</v>
      </c>
      <c r="BI673" s="30">
        <v>2309</v>
      </c>
      <c r="BJ673" s="30">
        <v>2173</v>
      </c>
      <c r="BK673" s="30">
        <v>1719</v>
      </c>
      <c r="BL673" s="30">
        <v>1906</v>
      </c>
      <c r="BM673" s="30">
        <v>1340</v>
      </c>
      <c r="BN673" s="30">
        <v>2111</v>
      </c>
      <c r="BO673" s="30">
        <v>318</v>
      </c>
      <c r="BP673" s="30">
        <v>166</v>
      </c>
      <c r="BQ673" s="30">
        <v>476</v>
      </c>
      <c r="BR673" s="30">
        <v>449</v>
      </c>
      <c r="BS673" s="30">
        <v>218</v>
      </c>
      <c r="BT673" s="30">
        <v>334</v>
      </c>
      <c r="BU673" s="30">
        <v>226</v>
      </c>
      <c r="BV673" s="30">
        <v>6</v>
      </c>
      <c r="BW673" s="30">
        <v>50</v>
      </c>
      <c r="BX673" s="30">
        <v>258</v>
      </c>
      <c r="BY673" s="30">
        <v>0</v>
      </c>
      <c r="BZ673" s="30">
        <v>0</v>
      </c>
      <c r="CA673" s="30">
        <v>0</v>
      </c>
      <c r="CB673" s="30">
        <v>0</v>
      </c>
      <c r="CC673" s="30">
        <v>109</v>
      </c>
      <c r="CD673" s="30">
        <v>0</v>
      </c>
      <c r="CE673" s="30">
        <v>0</v>
      </c>
      <c r="CF673" s="30">
        <v>0</v>
      </c>
      <c r="CG673" s="30">
        <v>0</v>
      </c>
      <c r="CH673" s="30">
        <v>0</v>
      </c>
      <c r="CI673" s="30">
        <v>0</v>
      </c>
      <c r="CJ673" s="30">
        <v>0</v>
      </c>
      <c r="CK673" s="30">
        <v>0</v>
      </c>
      <c r="CL673" s="30">
        <v>0</v>
      </c>
      <c r="CM673" s="30">
        <v>0</v>
      </c>
      <c r="CN673" s="30">
        <v>0</v>
      </c>
      <c r="CO673" s="30">
        <v>724</v>
      </c>
      <c r="CP673" s="30">
        <v>418</v>
      </c>
      <c r="CQ673" s="30">
        <v>0</v>
      </c>
      <c r="CR673" s="30">
        <v>0</v>
      </c>
      <c r="CS673" s="30">
        <v>0</v>
      </c>
      <c r="CT673" s="30">
        <v>0</v>
      </c>
      <c r="CU673" s="30">
        <v>0</v>
      </c>
      <c r="CV673" s="30">
        <v>0</v>
      </c>
      <c r="CW673" s="30">
        <v>200</v>
      </c>
      <c r="CX673" s="30">
        <v>0</v>
      </c>
      <c r="CY673" s="30">
        <v>0</v>
      </c>
      <c r="CZ673" s="30">
        <v>0</v>
      </c>
      <c r="DA673" s="30">
        <v>0</v>
      </c>
      <c r="DB673" s="30">
        <v>0</v>
      </c>
      <c r="DC673" s="30">
        <v>0</v>
      </c>
      <c r="DD673" s="30">
        <v>0</v>
      </c>
      <c r="DE673" s="30">
        <v>0</v>
      </c>
      <c r="DF673" s="30">
        <v>1</v>
      </c>
      <c r="DG673" s="16">
        <f t="shared" si="59"/>
        <v>73066</v>
      </c>
      <c r="DH673" s="16">
        <f t="shared" si="60"/>
        <v>2508629</v>
      </c>
      <c r="DI673" s="17">
        <f t="shared" si="61"/>
        <v>34.333739358935759</v>
      </c>
      <c r="DJ673" s="119" t="s">
        <v>719</v>
      </c>
      <c r="DK673" s="44" t="s">
        <v>719</v>
      </c>
    </row>
    <row r="674" spans="1:115">
      <c r="A674" s="32" t="str">
        <f t="shared" si="57"/>
        <v xml:space="preserve">Ausgrid--˂ = 11 kV ; RESIDENTIAL ; COMPLEX TYPE </v>
      </c>
      <c r="B674" s="32" t="str">
        <f t="shared" si="58"/>
        <v>Ausgrid</v>
      </c>
      <c r="C674" s="397"/>
      <c r="D674" s="31"/>
      <c r="E674" s="30" t="s">
        <v>188</v>
      </c>
      <c r="F674" s="19">
        <v>0</v>
      </c>
      <c r="G674" s="19">
        <v>0</v>
      </c>
      <c r="H674" s="30">
        <v>0</v>
      </c>
      <c r="I674" s="30">
        <v>0</v>
      </c>
      <c r="J674" s="30">
        <v>0</v>
      </c>
      <c r="K674" s="30">
        <v>0</v>
      </c>
      <c r="L674" s="30">
        <v>0</v>
      </c>
      <c r="M674" s="30">
        <v>0</v>
      </c>
      <c r="N674" s="30">
        <v>0</v>
      </c>
      <c r="O674" s="30">
        <v>0</v>
      </c>
      <c r="P674" s="30">
        <v>0</v>
      </c>
      <c r="Q674" s="30">
        <v>0</v>
      </c>
      <c r="R674" s="30">
        <v>0</v>
      </c>
      <c r="S674" s="30">
        <v>0</v>
      </c>
      <c r="T674" s="30">
        <v>0</v>
      </c>
      <c r="U674" s="30">
        <v>0</v>
      </c>
      <c r="V674" s="30">
        <v>0</v>
      </c>
      <c r="W674" s="30">
        <v>0</v>
      </c>
      <c r="X674" s="30">
        <v>0</v>
      </c>
      <c r="Y674" s="30">
        <v>0</v>
      </c>
      <c r="Z674" s="30">
        <v>0</v>
      </c>
      <c r="AA674" s="30">
        <v>0</v>
      </c>
      <c r="AB674" s="30">
        <v>0</v>
      </c>
      <c r="AC674" s="30">
        <v>0</v>
      </c>
      <c r="AD674" s="30">
        <v>0</v>
      </c>
      <c r="AE674" s="30">
        <v>0</v>
      </c>
      <c r="AF674" s="30">
        <v>0</v>
      </c>
      <c r="AG674" s="30">
        <v>0</v>
      </c>
      <c r="AH674" s="30">
        <v>0</v>
      </c>
      <c r="AI674" s="30">
        <v>0</v>
      </c>
      <c r="AJ674" s="30">
        <v>0</v>
      </c>
      <c r="AK674" s="30">
        <v>0</v>
      </c>
      <c r="AL674" s="30">
        <v>0</v>
      </c>
      <c r="AM674" s="30">
        <v>0</v>
      </c>
      <c r="AN674" s="30">
        <v>0</v>
      </c>
      <c r="AO674" s="30">
        <v>0</v>
      </c>
      <c r="AP674" s="30">
        <v>0</v>
      </c>
      <c r="AQ674" s="30">
        <v>0</v>
      </c>
      <c r="AR674" s="30">
        <v>0</v>
      </c>
      <c r="AS674" s="30">
        <v>0</v>
      </c>
      <c r="AT674" s="30">
        <v>0</v>
      </c>
      <c r="AU674" s="30">
        <v>0</v>
      </c>
      <c r="AV674" s="30">
        <v>0</v>
      </c>
      <c r="AW674" s="30">
        <v>0</v>
      </c>
      <c r="AX674" s="30">
        <v>0</v>
      </c>
      <c r="AY674" s="30">
        <v>0</v>
      </c>
      <c r="AZ674" s="30">
        <v>0</v>
      </c>
      <c r="BA674" s="30">
        <v>0</v>
      </c>
      <c r="BB674" s="30">
        <v>0</v>
      </c>
      <c r="BC674" s="30">
        <v>0</v>
      </c>
      <c r="BD674" s="30">
        <v>0</v>
      </c>
      <c r="BE674" s="30">
        <v>0</v>
      </c>
      <c r="BF674" s="30">
        <v>0</v>
      </c>
      <c r="BG674" s="30">
        <v>0</v>
      </c>
      <c r="BH674" s="30">
        <v>0</v>
      </c>
      <c r="BI674" s="30">
        <v>0</v>
      </c>
      <c r="BJ674" s="30">
        <v>0</v>
      </c>
      <c r="BK674" s="30">
        <v>0</v>
      </c>
      <c r="BL674" s="30">
        <v>0</v>
      </c>
      <c r="BM674" s="30">
        <v>0</v>
      </c>
      <c r="BN674" s="30">
        <v>0</v>
      </c>
      <c r="BO674" s="30">
        <v>0</v>
      </c>
      <c r="BP674" s="30">
        <v>0</v>
      </c>
      <c r="BQ674" s="30">
        <v>0</v>
      </c>
      <c r="BR674" s="30">
        <v>0</v>
      </c>
      <c r="BS674" s="30">
        <v>0</v>
      </c>
      <c r="BT674" s="30">
        <v>0</v>
      </c>
      <c r="BU674" s="30">
        <v>0</v>
      </c>
      <c r="BV674" s="30">
        <v>0</v>
      </c>
      <c r="BW674" s="30">
        <v>0</v>
      </c>
      <c r="BX674" s="30">
        <v>0</v>
      </c>
      <c r="BY674" s="30">
        <v>0</v>
      </c>
      <c r="BZ674" s="30">
        <v>0</v>
      </c>
      <c r="CA674" s="30">
        <v>0</v>
      </c>
      <c r="CB674" s="30">
        <v>0</v>
      </c>
      <c r="CC674" s="30">
        <v>0</v>
      </c>
      <c r="CD674" s="30">
        <v>0</v>
      </c>
      <c r="CE674" s="30">
        <v>0</v>
      </c>
      <c r="CF674" s="30">
        <v>0</v>
      </c>
      <c r="CG674" s="30">
        <v>0</v>
      </c>
      <c r="CH674" s="30">
        <v>0</v>
      </c>
      <c r="CI674" s="30">
        <v>0</v>
      </c>
      <c r="CJ674" s="30">
        <v>0</v>
      </c>
      <c r="CK674" s="30">
        <v>0</v>
      </c>
      <c r="CL674" s="30">
        <v>0</v>
      </c>
      <c r="CM674" s="30">
        <v>0</v>
      </c>
      <c r="CN674" s="30">
        <v>0</v>
      </c>
      <c r="CO674" s="30">
        <v>0</v>
      </c>
      <c r="CP674" s="30">
        <v>0</v>
      </c>
      <c r="CQ674" s="30">
        <v>0</v>
      </c>
      <c r="CR674" s="30">
        <v>0</v>
      </c>
      <c r="CS674" s="30">
        <v>0</v>
      </c>
      <c r="CT674" s="30">
        <v>0</v>
      </c>
      <c r="CU674" s="30">
        <v>0</v>
      </c>
      <c r="CV674" s="30">
        <v>0</v>
      </c>
      <c r="CW674" s="30">
        <v>0</v>
      </c>
      <c r="CX674" s="30">
        <v>0</v>
      </c>
      <c r="CY674" s="30">
        <v>0</v>
      </c>
      <c r="CZ674" s="30">
        <v>0</v>
      </c>
      <c r="DA674" s="30">
        <v>0</v>
      </c>
      <c r="DB674" s="30">
        <v>0</v>
      </c>
      <c r="DC674" s="30">
        <v>0</v>
      </c>
      <c r="DD674" s="30">
        <v>0</v>
      </c>
      <c r="DE674" s="30">
        <v>0</v>
      </c>
      <c r="DF674" s="30">
        <v>0</v>
      </c>
      <c r="DG674" s="16">
        <f t="shared" si="59"/>
        <v>0</v>
      </c>
      <c r="DH674" s="16">
        <f t="shared" si="60"/>
        <v>0</v>
      </c>
      <c r="DI674" s="17" t="str">
        <f t="shared" si="61"/>
        <v/>
      </c>
      <c r="DJ674" s="119" t="s">
        <v>719</v>
      </c>
      <c r="DK674" s="44" t="s">
        <v>719</v>
      </c>
    </row>
    <row r="675" spans="1:115">
      <c r="A675" s="32" t="str">
        <f t="shared" si="57"/>
        <v xml:space="preserve">Ausgrid--˂ = 11 kV ; COMMERCIAL &amp; INDUSTRIAL ; COMPLEX TYPE </v>
      </c>
      <c r="B675" s="32" t="str">
        <f t="shared" si="58"/>
        <v>Ausgrid</v>
      </c>
      <c r="C675" s="397"/>
      <c r="D675" s="31"/>
      <c r="E675" s="30" t="s">
        <v>189</v>
      </c>
      <c r="F675" s="19">
        <v>0</v>
      </c>
      <c r="G675" s="19">
        <v>0</v>
      </c>
      <c r="H675" s="30">
        <v>0</v>
      </c>
      <c r="I675" s="30">
        <v>0</v>
      </c>
      <c r="J675" s="30">
        <v>0</v>
      </c>
      <c r="K675" s="30">
        <v>0</v>
      </c>
      <c r="L675" s="30">
        <v>0</v>
      </c>
      <c r="M675" s="30">
        <v>0</v>
      </c>
      <c r="N675" s="30">
        <v>0</v>
      </c>
      <c r="O675" s="30">
        <v>0</v>
      </c>
      <c r="P675" s="30">
        <v>0</v>
      </c>
      <c r="Q675" s="30">
        <v>0</v>
      </c>
      <c r="R675" s="30">
        <v>0</v>
      </c>
      <c r="S675" s="30">
        <v>0</v>
      </c>
      <c r="T675" s="30">
        <v>0</v>
      </c>
      <c r="U675" s="30">
        <v>0</v>
      </c>
      <c r="V675" s="30">
        <v>0</v>
      </c>
      <c r="W675" s="30">
        <v>0</v>
      </c>
      <c r="X675" s="30">
        <v>0</v>
      </c>
      <c r="Y675" s="30">
        <v>0</v>
      </c>
      <c r="Z675" s="30">
        <v>0</v>
      </c>
      <c r="AA675" s="30">
        <v>0</v>
      </c>
      <c r="AB675" s="30">
        <v>0</v>
      </c>
      <c r="AC675" s="30">
        <v>0</v>
      </c>
      <c r="AD675" s="30">
        <v>0</v>
      </c>
      <c r="AE675" s="30">
        <v>0</v>
      </c>
      <c r="AF675" s="30">
        <v>0</v>
      </c>
      <c r="AG675" s="30">
        <v>0</v>
      </c>
      <c r="AH675" s="30">
        <v>0</v>
      </c>
      <c r="AI675" s="30">
        <v>0</v>
      </c>
      <c r="AJ675" s="30">
        <v>0</v>
      </c>
      <c r="AK675" s="30">
        <v>0</v>
      </c>
      <c r="AL675" s="30">
        <v>0</v>
      </c>
      <c r="AM675" s="30">
        <v>0</v>
      </c>
      <c r="AN675" s="30">
        <v>0</v>
      </c>
      <c r="AO675" s="30">
        <v>0</v>
      </c>
      <c r="AP675" s="30">
        <v>0</v>
      </c>
      <c r="AQ675" s="30">
        <v>0</v>
      </c>
      <c r="AR675" s="30">
        <v>0</v>
      </c>
      <c r="AS675" s="30">
        <v>0</v>
      </c>
      <c r="AT675" s="30">
        <v>0</v>
      </c>
      <c r="AU675" s="30">
        <v>0</v>
      </c>
      <c r="AV675" s="30">
        <v>0</v>
      </c>
      <c r="AW675" s="30">
        <v>0</v>
      </c>
      <c r="AX675" s="30">
        <v>0</v>
      </c>
      <c r="AY675" s="30">
        <v>0</v>
      </c>
      <c r="AZ675" s="30">
        <v>0</v>
      </c>
      <c r="BA675" s="30">
        <v>0</v>
      </c>
      <c r="BB675" s="30">
        <v>0</v>
      </c>
      <c r="BC675" s="30">
        <v>0</v>
      </c>
      <c r="BD675" s="30">
        <v>0</v>
      </c>
      <c r="BE675" s="30">
        <v>0</v>
      </c>
      <c r="BF675" s="30">
        <v>0</v>
      </c>
      <c r="BG675" s="30">
        <v>0</v>
      </c>
      <c r="BH675" s="30">
        <v>0</v>
      </c>
      <c r="BI675" s="30">
        <v>0</v>
      </c>
      <c r="BJ675" s="30">
        <v>0</v>
      </c>
      <c r="BK675" s="30">
        <v>0</v>
      </c>
      <c r="BL675" s="30">
        <v>0</v>
      </c>
      <c r="BM675" s="30">
        <v>0</v>
      </c>
      <c r="BN675" s="30">
        <v>0</v>
      </c>
      <c r="BO675" s="30">
        <v>0</v>
      </c>
      <c r="BP675" s="30">
        <v>0</v>
      </c>
      <c r="BQ675" s="30">
        <v>0</v>
      </c>
      <c r="BR675" s="30">
        <v>0</v>
      </c>
      <c r="BS675" s="30">
        <v>0</v>
      </c>
      <c r="BT675" s="30">
        <v>0</v>
      </c>
      <c r="BU675" s="30">
        <v>0</v>
      </c>
      <c r="BV675" s="30">
        <v>0</v>
      </c>
      <c r="BW675" s="30">
        <v>0</v>
      </c>
      <c r="BX675" s="30">
        <v>0</v>
      </c>
      <c r="BY675" s="30">
        <v>0</v>
      </c>
      <c r="BZ675" s="30">
        <v>0</v>
      </c>
      <c r="CA675" s="30">
        <v>0</v>
      </c>
      <c r="CB675" s="30">
        <v>0</v>
      </c>
      <c r="CC675" s="30">
        <v>0</v>
      </c>
      <c r="CD675" s="30">
        <v>0</v>
      </c>
      <c r="CE675" s="30">
        <v>0</v>
      </c>
      <c r="CF675" s="30">
        <v>0</v>
      </c>
      <c r="CG675" s="30">
        <v>0</v>
      </c>
      <c r="CH675" s="30">
        <v>0</v>
      </c>
      <c r="CI675" s="30">
        <v>0</v>
      </c>
      <c r="CJ675" s="30">
        <v>0</v>
      </c>
      <c r="CK675" s="30">
        <v>0</v>
      </c>
      <c r="CL675" s="30">
        <v>0</v>
      </c>
      <c r="CM675" s="30">
        <v>0</v>
      </c>
      <c r="CN675" s="30">
        <v>0</v>
      </c>
      <c r="CO675" s="30">
        <v>0</v>
      </c>
      <c r="CP675" s="30">
        <v>0</v>
      </c>
      <c r="CQ675" s="30">
        <v>0</v>
      </c>
      <c r="CR675" s="30">
        <v>0</v>
      </c>
      <c r="CS675" s="30">
        <v>0</v>
      </c>
      <c r="CT675" s="30">
        <v>0</v>
      </c>
      <c r="CU675" s="30">
        <v>0</v>
      </c>
      <c r="CV675" s="30">
        <v>0</v>
      </c>
      <c r="CW675" s="30">
        <v>0</v>
      </c>
      <c r="CX675" s="30">
        <v>0</v>
      </c>
      <c r="CY675" s="30">
        <v>0</v>
      </c>
      <c r="CZ675" s="30">
        <v>0</v>
      </c>
      <c r="DA675" s="30">
        <v>0</v>
      </c>
      <c r="DB675" s="30">
        <v>0</v>
      </c>
      <c r="DC675" s="30">
        <v>0</v>
      </c>
      <c r="DD675" s="30">
        <v>0</v>
      </c>
      <c r="DE675" s="30">
        <v>0</v>
      </c>
      <c r="DF675" s="30">
        <v>0</v>
      </c>
      <c r="DG675" s="16">
        <f t="shared" si="59"/>
        <v>0</v>
      </c>
      <c r="DH675" s="16">
        <f t="shared" si="60"/>
        <v>0</v>
      </c>
      <c r="DI675" s="17" t="str">
        <f t="shared" si="61"/>
        <v/>
      </c>
      <c r="DJ675" s="119" t="s">
        <v>719</v>
      </c>
      <c r="DK675" s="44" t="s">
        <v>719</v>
      </c>
    </row>
    <row r="676" spans="1:115">
      <c r="A676" s="32" t="str">
        <f t="shared" si="57"/>
        <v xml:space="preserve">Ausgrid--˂ = 11 kV ; SUBDIVISION ; COMPLEX TYPE </v>
      </c>
      <c r="B676" s="32" t="str">
        <f t="shared" si="58"/>
        <v>Ausgrid</v>
      </c>
      <c r="C676" s="397"/>
      <c r="D676" s="31"/>
      <c r="E676" s="30" t="s">
        <v>190</v>
      </c>
      <c r="F676" s="19">
        <v>0</v>
      </c>
      <c r="G676" s="19">
        <v>0</v>
      </c>
      <c r="H676" s="30">
        <v>0</v>
      </c>
      <c r="I676" s="30">
        <v>0</v>
      </c>
      <c r="J676" s="30">
        <v>0</v>
      </c>
      <c r="K676" s="30">
        <v>0</v>
      </c>
      <c r="L676" s="30">
        <v>0</v>
      </c>
      <c r="M676" s="30">
        <v>0</v>
      </c>
      <c r="N676" s="30">
        <v>0</v>
      </c>
      <c r="O676" s="30">
        <v>0</v>
      </c>
      <c r="P676" s="30">
        <v>0</v>
      </c>
      <c r="Q676" s="30">
        <v>0</v>
      </c>
      <c r="R676" s="30">
        <v>0</v>
      </c>
      <c r="S676" s="30">
        <v>0</v>
      </c>
      <c r="T676" s="30">
        <v>0</v>
      </c>
      <c r="U676" s="30">
        <v>0</v>
      </c>
      <c r="V676" s="30">
        <v>0</v>
      </c>
      <c r="W676" s="30">
        <v>0</v>
      </c>
      <c r="X676" s="30">
        <v>0</v>
      </c>
      <c r="Y676" s="30">
        <v>0</v>
      </c>
      <c r="Z676" s="30">
        <v>0</v>
      </c>
      <c r="AA676" s="30">
        <v>0</v>
      </c>
      <c r="AB676" s="30">
        <v>0</v>
      </c>
      <c r="AC676" s="30">
        <v>0</v>
      </c>
      <c r="AD676" s="30">
        <v>0</v>
      </c>
      <c r="AE676" s="30">
        <v>0</v>
      </c>
      <c r="AF676" s="30">
        <v>0</v>
      </c>
      <c r="AG676" s="30">
        <v>0</v>
      </c>
      <c r="AH676" s="30">
        <v>0</v>
      </c>
      <c r="AI676" s="30">
        <v>0</v>
      </c>
      <c r="AJ676" s="30">
        <v>0</v>
      </c>
      <c r="AK676" s="30">
        <v>0</v>
      </c>
      <c r="AL676" s="30">
        <v>0</v>
      </c>
      <c r="AM676" s="30">
        <v>0</v>
      </c>
      <c r="AN676" s="30">
        <v>0</v>
      </c>
      <c r="AO676" s="30">
        <v>0</v>
      </c>
      <c r="AP676" s="30">
        <v>0</v>
      </c>
      <c r="AQ676" s="30">
        <v>0</v>
      </c>
      <c r="AR676" s="30">
        <v>0</v>
      </c>
      <c r="AS676" s="30">
        <v>0</v>
      </c>
      <c r="AT676" s="30">
        <v>0</v>
      </c>
      <c r="AU676" s="30">
        <v>0</v>
      </c>
      <c r="AV676" s="30">
        <v>0</v>
      </c>
      <c r="AW676" s="30">
        <v>0</v>
      </c>
      <c r="AX676" s="30">
        <v>0</v>
      </c>
      <c r="AY676" s="30">
        <v>0</v>
      </c>
      <c r="AZ676" s="30">
        <v>0</v>
      </c>
      <c r="BA676" s="30">
        <v>0</v>
      </c>
      <c r="BB676" s="30">
        <v>0</v>
      </c>
      <c r="BC676" s="30">
        <v>0</v>
      </c>
      <c r="BD676" s="30">
        <v>0</v>
      </c>
      <c r="BE676" s="30">
        <v>0</v>
      </c>
      <c r="BF676" s="30">
        <v>0</v>
      </c>
      <c r="BG676" s="30">
        <v>0</v>
      </c>
      <c r="BH676" s="30">
        <v>0</v>
      </c>
      <c r="BI676" s="30">
        <v>0</v>
      </c>
      <c r="BJ676" s="30">
        <v>0</v>
      </c>
      <c r="BK676" s="30">
        <v>0</v>
      </c>
      <c r="BL676" s="30">
        <v>0</v>
      </c>
      <c r="BM676" s="30">
        <v>0</v>
      </c>
      <c r="BN676" s="30">
        <v>0</v>
      </c>
      <c r="BO676" s="30">
        <v>0</v>
      </c>
      <c r="BP676" s="30">
        <v>0</v>
      </c>
      <c r="BQ676" s="30">
        <v>0</v>
      </c>
      <c r="BR676" s="30">
        <v>0</v>
      </c>
      <c r="BS676" s="30">
        <v>0</v>
      </c>
      <c r="BT676" s="30">
        <v>0</v>
      </c>
      <c r="BU676" s="30">
        <v>0</v>
      </c>
      <c r="BV676" s="30">
        <v>0</v>
      </c>
      <c r="BW676" s="30">
        <v>0</v>
      </c>
      <c r="BX676" s="30">
        <v>0</v>
      </c>
      <c r="BY676" s="30">
        <v>0</v>
      </c>
      <c r="BZ676" s="30">
        <v>0</v>
      </c>
      <c r="CA676" s="30">
        <v>0</v>
      </c>
      <c r="CB676" s="30">
        <v>0</v>
      </c>
      <c r="CC676" s="30">
        <v>0</v>
      </c>
      <c r="CD676" s="30">
        <v>0</v>
      </c>
      <c r="CE676" s="30">
        <v>0</v>
      </c>
      <c r="CF676" s="30">
        <v>0</v>
      </c>
      <c r="CG676" s="30">
        <v>0</v>
      </c>
      <c r="CH676" s="30">
        <v>0</v>
      </c>
      <c r="CI676" s="30">
        <v>0</v>
      </c>
      <c r="CJ676" s="30">
        <v>0</v>
      </c>
      <c r="CK676" s="30">
        <v>0</v>
      </c>
      <c r="CL676" s="30">
        <v>0</v>
      </c>
      <c r="CM676" s="30">
        <v>0</v>
      </c>
      <c r="CN676" s="30">
        <v>0</v>
      </c>
      <c r="CO676" s="30">
        <v>0</v>
      </c>
      <c r="CP676" s="30">
        <v>0</v>
      </c>
      <c r="CQ676" s="30">
        <v>0</v>
      </c>
      <c r="CR676" s="30">
        <v>0</v>
      </c>
      <c r="CS676" s="30">
        <v>0</v>
      </c>
      <c r="CT676" s="30">
        <v>0</v>
      </c>
      <c r="CU676" s="30">
        <v>0</v>
      </c>
      <c r="CV676" s="30">
        <v>0</v>
      </c>
      <c r="CW676" s="30">
        <v>0</v>
      </c>
      <c r="CX676" s="30">
        <v>0</v>
      </c>
      <c r="CY676" s="30">
        <v>0</v>
      </c>
      <c r="CZ676" s="30">
        <v>0</v>
      </c>
      <c r="DA676" s="30">
        <v>0</v>
      </c>
      <c r="DB676" s="30">
        <v>0</v>
      </c>
      <c r="DC676" s="30">
        <v>0</v>
      </c>
      <c r="DD676" s="30">
        <v>0</v>
      </c>
      <c r="DE676" s="30">
        <v>0</v>
      </c>
      <c r="DF676" s="30">
        <v>0</v>
      </c>
      <c r="DG676" s="16">
        <f t="shared" si="59"/>
        <v>0</v>
      </c>
      <c r="DH676" s="16">
        <f t="shared" si="60"/>
        <v>0</v>
      </c>
      <c r="DI676" s="17" t="str">
        <f t="shared" si="61"/>
        <v/>
      </c>
      <c r="DJ676" s="119" t="s">
        <v>719</v>
      </c>
      <c r="DK676" s="44" t="s">
        <v>719</v>
      </c>
    </row>
    <row r="677" spans="1:115">
      <c r="A677" s="32" t="str">
        <f t="shared" si="57"/>
        <v xml:space="preserve">Ausgrid--&gt; 11 kV  &amp; &lt; = 22 kV ; COMMERCIAL &amp; INDUSTRIAL  </v>
      </c>
      <c r="B677" s="32" t="str">
        <f t="shared" si="58"/>
        <v>Ausgrid</v>
      </c>
      <c r="C677" s="397"/>
      <c r="D677" s="31"/>
      <c r="E677" s="30" t="s">
        <v>191</v>
      </c>
      <c r="F677" s="19">
        <v>0</v>
      </c>
      <c r="G677" s="19">
        <v>0</v>
      </c>
      <c r="H677" s="30">
        <v>0</v>
      </c>
      <c r="I677" s="30">
        <v>0</v>
      </c>
      <c r="J677" s="30">
        <v>0</v>
      </c>
      <c r="K677" s="30">
        <v>0</v>
      </c>
      <c r="L677" s="30">
        <v>0</v>
      </c>
      <c r="M677" s="30">
        <v>0</v>
      </c>
      <c r="N677" s="30">
        <v>0</v>
      </c>
      <c r="O677" s="30">
        <v>0</v>
      </c>
      <c r="P677" s="30">
        <v>0</v>
      </c>
      <c r="Q677" s="30">
        <v>0</v>
      </c>
      <c r="R677" s="30">
        <v>0</v>
      </c>
      <c r="S677" s="30">
        <v>0</v>
      </c>
      <c r="T677" s="30">
        <v>0</v>
      </c>
      <c r="U677" s="30">
        <v>0</v>
      </c>
      <c r="V677" s="30">
        <v>0</v>
      </c>
      <c r="W677" s="30">
        <v>0</v>
      </c>
      <c r="X677" s="30">
        <v>0</v>
      </c>
      <c r="Y677" s="30">
        <v>0</v>
      </c>
      <c r="Z677" s="30">
        <v>0</v>
      </c>
      <c r="AA677" s="30">
        <v>0</v>
      </c>
      <c r="AB677" s="30">
        <v>0</v>
      </c>
      <c r="AC677" s="30">
        <v>0</v>
      </c>
      <c r="AD677" s="30">
        <v>0</v>
      </c>
      <c r="AE677" s="30">
        <v>0</v>
      </c>
      <c r="AF677" s="30">
        <v>0</v>
      </c>
      <c r="AG677" s="30">
        <v>0</v>
      </c>
      <c r="AH677" s="30">
        <v>0</v>
      </c>
      <c r="AI677" s="30">
        <v>0</v>
      </c>
      <c r="AJ677" s="30">
        <v>0</v>
      </c>
      <c r="AK677" s="30">
        <v>0</v>
      </c>
      <c r="AL677" s="30">
        <v>0</v>
      </c>
      <c r="AM677" s="30">
        <v>0</v>
      </c>
      <c r="AN677" s="30">
        <v>0</v>
      </c>
      <c r="AO677" s="30">
        <v>0</v>
      </c>
      <c r="AP677" s="30">
        <v>0</v>
      </c>
      <c r="AQ677" s="30">
        <v>0</v>
      </c>
      <c r="AR677" s="30">
        <v>0</v>
      </c>
      <c r="AS677" s="30">
        <v>0</v>
      </c>
      <c r="AT677" s="30">
        <v>0</v>
      </c>
      <c r="AU677" s="30">
        <v>0</v>
      </c>
      <c r="AV677" s="30">
        <v>0</v>
      </c>
      <c r="AW677" s="30">
        <v>0</v>
      </c>
      <c r="AX677" s="30">
        <v>0</v>
      </c>
      <c r="AY677" s="30">
        <v>0</v>
      </c>
      <c r="AZ677" s="30">
        <v>0</v>
      </c>
      <c r="BA677" s="30">
        <v>0</v>
      </c>
      <c r="BB677" s="30">
        <v>0</v>
      </c>
      <c r="BC677" s="30">
        <v>0</v>
      </c>
      <c r="BD677" s="30">
        <v>0</v>
      </c>
      <c r="BE677" s="30">
        <v>0</v>
      </c>
      <c r="BF677" s="30">
        <v>0</v>
      </c>
      <c r="BG677" s="30">
        <v>0</v>
      </c>
      <c r="BH677" s="30">
        <v>0</v>
      </c>
      <c r="BI677" s="30">
        <v>0</v>
      </c>
      <c r="BJ677" s="30">
        <v>0</v>
      </c>
      <c r="BK677" s="30">
        <v>0</v>
      </c>
      <c r="BL677" s="30">
        <v>0</v>
      </c>
      <c r="BM677" s="30">
        <v>0</v>
      </c>
      <c r="BN677" s="30">
        <v>0</v>
      </c>
      <c r="BO677" s="30">
        <v>0</v>
      </c>
      <c r="BP677" s="30">
        <v>0</v>
      </c>
      <c r="BQ677" s="30">
        <v>0</v>
      </c>
      <c r="BR677" s="30">
        <v>0</v>
      </c>
      <c r="BS677" s="30">
        <v>0</v>
      </c>
      <c r="BT677" s="30">
        <v>0</v>
      </c>
      <c r="BU677" s="30">
        <v>0</v>
      </c>
      <c r="BV677" s="30">
        <v>0</v>
      </c>
      <c r="BW677" s="30">
        <v>0</v>
      </c>
      <c r="BX677" s="30">
        <v>0</v>
      </c>
      <c r="BY677" s="30">
        <v>0</v>
      </c>
      <c r="BZ677" s="30">
        <v>0</v>
      </c>
      <c r="CA677" s="30">
        <v>0</v>
      </c>
      <c r="CB677" s="30">
        <v>0</v>
      </c>
      <c r="CC677" s="30">
        <v>0</v>
      </c>
      <c r="CD677" s="30">
        <v>0</v>
      </c>
      <c r="CE677" s="30">
        <v>0</v>
      </c>
      <c r="CF677" s="30">
        <v>0</v>
      </c>
      <c r="CG677" s="30">
        <v>0</v>
      </c>
      <c r="CH677" s="30">
        <v>0</v>
      </c>
      <c r="CI677" s="30">
        <v>0</v>
      </c>
      <c r="CJ677" s="30">
        <v>0</v>
      </c>
      <c r="CK677" s="30">
        <v>0</v>
      </c>
      <c r="CL677" s="30">
        <v>0</v>
      </c>
      <c r="CM677" s="30">
        <v>0</v>
      </c>
      <c r="CN677" s="30">
        <v>0</v>
      </c>
      <c r="CO677" s="30">
        <v>0</v>
      </c>
      <c r="CP677" s="30">
        <v>0</v>
      </c>
      <c r="CQ677" s="30">
        <v>0</v>
      </c>
      <c r="CR677" s="30">
        <v>0</v>
      </c>
      <c r="CS677" s="30">
        <v>0</v>
      </c>
      <c r="CT677" s="30">
        <v>0</v>
      </c>
      <c r="CU677" s="30">
        <v>0</v>
      </c>
      <c r="CV677" s="30">
        <v>0</v>
      </c>
      <c r="CW677" s="30">
        <v>0</v>
      </c>
      <c r="CX677" s="30">
        <v>0</v>
      </c>
      <c r="CY677" s="30">
        <v>0</v>
      </c>
      <c r="CZ677" s="30">
        <v>0</v>
      </c>
      <c r="DA677" s="30">
        <v>0</v>
      </c>
      <c r="DB677" s="30">
        <v>0</v>
      </c>
      <c r="DC677" s="30">
        <v>0</v>
      </c>
      <c r="DD677" s="30">
        <v>0</v>
      </c>
      <c r="DE677" s="30">
        <v>0</v>
      </c>
      <c r="DF677" s="30">
        <v>0</v>
      </c>
      <c r="DG677" s="16">
        <f t="shared" si="59"/>
        <v>0</v>
      </c>
      <c r="DH677" s="16">
        <f t="shared" si="60"/>
        <v>0</v>
      </c>
      <c r="DI677" s="17" t="str">
        <f t="shared" si="61"/>
        <v/>
      </c>
      <c r="DJ677" s="119" t="s">
        <v>719</v>
      </c>
      <c r="DK677" s="44" t="s">
        <v>719</v>
      </c>
    </row>
    <row r="678" spans="1:115">
      <c r="A678" s="32" t="str">
        <f t="shared" si="57"/>
        <v xml:space="preserve">Ausgrid--&gt; 11 kV  &amp; &lt; = 22 kV ; SUBDIVISION  </v>
      </c>
      <c r="B678" s="32" t="str">
        <f t="shared" si="58"/>
        <v>Ausgrid</v>
      </c>
      <c r="C678" s="397"/>
      <c r="D678" s="31"/>
      <c r="E678" s="30" t="s">
        <v>192</v>
      </c>
      <c r="F678" s="19">
        <v>0</v>
      </c>
      <c r="G678" s="19">
        <v>0</v>
      </c>
      <c r="H678" s="30">
        <v>0</v>
      </c>
      <c r="I678" s="30">
        <v>0</v>
      </c>
      <c r="J678" s="30">
        <v>0</v>
      </c>
      <c r="K678" s="30">
        <v>0</v>
      </c>
      <c r="L678" s="30">
        <v>0</v>
      </c>
      <c r="M678" s="30">
        <v>0</v>
      </c>
      <c r="N678" s="30">
        <v>0</v>
      </c>
      <c r="O678" s="30">
        <v>0</v>
      </c>
      <c r="P678" s="30">
        <v>0</v>
      </c>
      <c r="Q678" s="30">
        <v>0</v>
      </c>
      <c r="R678" s="30">
        <v>0</v>
      </c>
      <c r="S678" s="30">
        <v>0</v>
      </c>
      <c r="T678" s="30">
        <v>0</v>
      </c>
      <c r="U678" s="30">
        <v>0</v>
      </c>
      <c r="V678" s="30">
        <v>0</v>
      </c>
      <c r="W678" s="30">
        <v>0</v>
      </c>
      <c r="X678" s="30">
        <v>0</v>
      </c>
      <c r="Y678" s="30">
        <v>0</v>
      </c>
      <c r="Z678" s="30">
        <v>0</v>
      </c>
      <c r="AA678" s="30">
        <v>0</v>
      </c>
      <c r="AB678" s="30">
        <v>0</v>
      </c>
      <c r="AC678" s="30">
        <v>0</v>
      </c>
      <c r="AD678" s="30">
        <v>0</v>
      </c>
      <c r="AE678" s="30">
        <v>0</v>
      </c>
      <c r="AF678" s="30">
        <v>0</v>
      </c>
      <c r="AG678" s="30">
        <v>0</v>
      </c>
      <c r="AH678" s="30">
        <v>0</v>
      </c>
      <c r="AI678" s="30">
        <v>0</v>
      </c>
      <c r="AJ678" s="30">
        <v>0</v>
      </c>
      <c r="AK678" s="30">
        <v>0</v>
      </c>
      <c r="AL678" s="30">
        <v>0</v>
      </c>
      <c r="AM678" s="30">
        <v>0</v>
      </c>
      <c r="AN678" s="30">
        <v>0</v>
      </c>
      <c r="AO678" s="30">
        <v>0</v>
      </c>
      <c r="AP678" s="30">
        <v>0</v>
      </c>
      <c r="AQ678" s="30">
        <v>0</v>
      </c>
      <c r="AR678" s="30">
        <v>0</v>
      </c>
      <c r="AS678" s="30">
        <v>0</v>
      </c>
      <c r="AT678" s="30">
        <v>0</v>
      </c>
      <c r="AU678" s="30">
        <v>0</v>
      </c>
      <c r="AV678" s="30">
        <v>0</v>
      </c>
      <c r="AW678" s="30">
        <v>0</v>
      </c>
      <c r="AX678" s="30">
        <v>0</v>
      </c>
      <c r="AY678" s="30">
        <v>0</v>
      </c>
      <c r="AZ678" s="30">
        <v>0</v>
      </c>
      <c r="BA678" s="30">
        <v>0</v>
      </c>
      <c r="BB678" s="30">
        <v>0</v>
      </c>
      <c r="BC678" s="30">
        <v>0</v>
      </c>
      <c r="BD678" s="30">
        <v>0</v>
      </c>
      <c r="BE678" s="30">
        <v>0</v>
      </c>
      <c r="BF678" s="30">
        <v>0</v>
      </c>
      <c r="BG678" s="30">
        <v>0</v>
      </c>
      <c r="BH678" s="30">
        <v>0</v>
      </c>
      <c r="BI678" s="30">
        <v>0</v>
      </c>
      <c r="BJ678" s="30">
        <v>0</v>
      </c>
      <c r="BK678" s="30">
        <v>0</v>
      </c>
      <c r="BL678" s="30">
        <v>0</v>
      </c>
      <c r="BM678" s="30">
        <v>0</v>
      </c>
      <c r="BN678" s="30">
        <v>0</v>
      </c>
      <c r="BO678" s="30">
        <v>0</v>
      </c>
      <c r="BP678" s="30">
        <v>0</v>
      </c>
      <c r="BQ678" s="30">
        <v>0</v>
      </c>
      <c r="BR678" s="30">
        <v>0</v>
      </c>
      <c r="BS678" s="30">
        <v>0</v>
      </c>
      <c r="BT678" s="30">
        <v>0</v>
      </c>
      <c r="BU678" s="30">
        <v>0</v>
      </c>
      <c r="BV678" s="30">
        <v>0</v>
      </c>
      <c r="BW678" s="30">
        <v>0</v>
      </c>
      <c r="BX678" s="30">
        <v>0</v>
      </c>
      <c r="BY678" s="30">
        <v>0</v>
      </c>
      <c r="BZ678" s="30">
        <v>0</v>
      </c>
      <c r="CA678" s="30">
        <v>0</v>
      </c>
      <c r="CB678" s="30">
        <v>0</v>
      </c>
      <c r="CC678" s="30">
        <v>0</v>
      </c>
      <c r="CD678" s="30">
        <v>0</v>
      </c>
      <c r="CE678" s="30">
        <v>0</v>
      </c>
      <c r="CF678" s="30">
        <v>0</v>
      </c>
      <c r="CG678" s="30">
        <v>0</v>
      </c>
      <c r="CH678" s="30">
        <v>0</v>
      </c>
      <c r="CI678" s="30">
        <v>0</v>
      </c>
      <c r="CJ678" s="30">
        <v>0</v>
      </c>
      <c r="CK678" s="30">
        <v>0</v>
      </c>
      <c r="CL678" s="30">
        <v>0</v>
      </c>
      <c r="CM678" s="30">
        <v>0</v>
      </c>
      <c r="CN678" s="30">
        <v>0</v>
      </c>
      <c r="CO678" s="30">
        <v>0</v>
      </c>
      <c r="CP678" s="30">
        <v>0</v>
      </c>
      <c r="CQ678" s="30">
        <v>0</v>
      </c>
      <c r="CR678" s="30">
        <v>0</v>
      </c>
      <c r="CS678" s="30">
        <v>0</v>
      </c>
      <c r="CT678" s="30">
        <v>0</v>
      </c>
      <c r="CU678" s="30">
        <v>0</v>
      </c>
      <c r="CV678" s="30">
        <v>0</v>
      </c>
      <c r="CW678" s="30">
        <v>0</v>
      </c>
      <c r="CX678" s="30">
        <v>0</v>
      </c>
      <c r="CY678" s="30">
        <v>0</v>
      </c>
      <c r="CZ678" s="30">
        <v>0</v>
      </c>
      <c r="DA678" s="30">
        <v>0</v>
      </c>
      <c r="DB678" s="30">
        <v>0</v>
      </c>
      <c r="DC678" s="30">
        <v>0</v>
      </c>
      <c r="DD678" s="30">
        <v>0</v>
      </c>
      <c r="DE678" s="30">
        <v>0</v>
      </c>
      <c r="DF678" s="30">
        <v>0</v>
      </c>
      <c r="DG678" s="16">
        <f t="shared" si="59"/>
        <v>0</v>
      </c>
      <c r="DH678" s="16">
        <f t="shared" si="60"/>
        <v>0</v>
      </c>
      <c r="DI678" s="17" t="str">
        <f t="shared" si="61"/>
        <v/>
      </c>
      <c r="DJ678" s="119" t="s">
        <v>719</v>
      </c>
      <c r="DK678" s="44" t="s">
        <v>719</v>
      </c>
    </row>
    <row r="679" spans="1:115">
      <c r="A679" s="32" t="str">
        <f t="shared" si="57"/>
        <v xml:space="preserve">Ausgrid--&gt; 22 kV &amp; &lt; = 33 kV ; COMMERCIAL &amp; INDUSTRIAL  </v>
      </c>
      <c r="B679" s="32" t="str">
        <f t="shared" si="58"/>
        <v>Ausgrid</v>
      </c>
      <c r="C679" s="397"/>
      <c r="D679" s="31"/>
      <c r="E679" s="30" t="s">
        <v>193</v>
      </c>
      <c r="F679" s="19">
        <v>0</v>
      </c>
      <c r="G679" s="19">
        <v>0</v>
      </c>
      <c r="H679" s="30">
        <v>0</v>
      </c>
      <c r="I679" s="30">
        <v>0</v>
      </c>
      <c r="J679" s="30">
        <v>0</v>
      </c>
      <c r="K679" s="30">
        <v>0</v>
      </c>
      <c r="L679" s="30">
        <v>0</v>
      </c>
      <c r="M679" s="30">
        <v>0</v>
      </c>
      <c r="N679" s="30">
        <v>0</v>
      </c>
      <c r="O679" s="30">
        <v>0</v>
      </c>
      <c r="P679" s="30">
        <v>0</v>
      </c>
      <c r="Q679" s="30">
        <v>0</v>
      </c>
      <c r="R679" s="30">
        <v>0</v>
      </c>
      <c r="S679" s="30">
        <v>0</v>
      </c>
      <c r="T679" s="30">
        <v>0</v>
      </c>
      <c r="U679" s="30">
        <v>0</v>
      </c>
      <c r="V679" s="30">
        <v>0</v>
      </c>
      <c r="W679" s="30">
        <v>0</v>
      </c>
      <c r="X679" s="30">
        <v>0</v>
      </c>
      <c r="Y679" s="30">
        <v>0</v>
      </c>
      <c r="Z679" s="30">
        <v>0</v>
      </c>
      <c r="AA679" s="30">
        <v>0</v>
      </c>
      <c r="AB679" s="30">
        <v>0</v>
      </c>
      <c r="AC679" s="30">
        <v>0</v>
      </c>
      <c r="AD679" s="30">
        <v>0</v>
      </c>
      <c r="AE679" s="30">
        <v>0</v>
      </c>
      <c r="AF679" s="30">
        <v>0</v>
      </c>
      <c r="AG679" s="30">
        <v>0</v>
      </c>
      <c r="AH679" s="30">
        <v>0</v>
      </c>
      <c r="AI679" s="30">
        <v>0</v>
      </c>
      <c r="AJ679" s="30">
        <v>0</v>
      </c>
      <c r="AK679" s="30">
        <v>0</v>
      </c>
      <c r="AL679" s="30">
        <v>0</v>
      </c>
      <c r="AM679" s="30">
        <v>0</v>
      </c>
      <c r="AN679" s="30">
        <v>0</v>
      </c>
      <c r="AO679" s="30">
        <v>0</v>
      </c>
      <c r="AP679" s="30">
        <v>0</v>
      </c>
      <c r="AQ679" s="30">
        <v>0</v>
      </c>
      <c r="AR679" s="30">
        <v>0</v>
      </c>
      <c r="AS679" s="30">
        <v>0</v>
      </c>
      <c r="AT679" s="30">
        <v>0</v>
      </c>
      <c r="AU679" s="30">
        <v>0</v>
      </c>
      <c r="AV679" s="30">
        <v>0</v>
      </c>
      <c r="AW679" s="30">
        <v>0</v>
      </c>
      <c r="AX679" s="30">
        <v>0</v>
      </c>
      <c r="AY679" s="30">
        <v>0</v>
      </c>
      <c r="AZ679" s="30">
        <v>0</v>
      </c>
      <c r="BA679" s="30">
        <v>0</v>
      </c>
      <c r="BB679" s="30">
        <v>0</v>
      </c>
      <c r="BC679" s="30">
        <v>0</v>
      </c>
      <c r="BD679" s="30">
        <v>0</v>
      </c>
      <c r="BE679" s="30">
        <v>0</v>
      </c>
      <c r="BF679" s="30">
        <v>0</v>
      </c>
      <c r="BG679" s="30">
        <v>0</v>
      </c>
      <c r="BH679" s="30">
        <v>0</v>
      </c>
      <c r="BI679" s="30">
        <v>0</v>
      </c>
      <c r="BJ679" s="30">
        <v>0</v>
      </c>
      <c r="BK679" s="30">
        <v>0</v>
      </c>
      <c r="BL679" s="30">
        <v>0</v>
      </c>
      <c r="BM679" s="30">
        <v>0</v>
      </c>
      <c r="BN679" s="30">
        <v>0</v>
      </c>
      <c r="BO679" s="30">
        <v>0</v>
      </c>
      <c r="BP679" s="30">
        <v>0</v>
      </c>
      <c r="BQ679" s="30">
        <v>0</v>
      </c>
      <c r="BR679" s="30">
        <v>0</v>
      </c>
      <c r="BS679" s="30">
        <v>0</v>
      </c>
      <c r="BT679" s="30">
        <v>0</v>
      </c>
      <c r="BU679" s="30">
        <v>0</v>
      </c>
      <c r="BV679" s="30">
        <v>0</v>
      </c>
      <c r="BW679" s="30">
        <v>0</v>
      </c>
      <c r="BX679" s="30">
        <v>0</v>
      </c>
      <c r="BY679" s="30">
        <v>0</v>
      </c>
      <c r="BZ679" s="30">
        <v>0</v>
      </c>
      <c r="CA679" s="30">
        <v>0</v>
      </c>
      <c r="CB679" s="30">
        <v>0</v>
      </c>
      <c r="CC679" s="30">
        <v>0</v>
      </c>
      <c r="CD679" s="30">
        <v>0</v>
      </c>
      <c r="CE679" s="30">
        <v>0</v>
      </c>
      <c r="CF679" s="30">
        <v>0</v>
      </c>
      <c r="CG679" s="30">
        <v>0</v>
      </c>
      <c r="CH679" s="30">
        <v>0</v>
      </c>
      <c r="CI679" s="30">
        <v>0</v>
      </c>
      <c r="CJ679" s="30">
        <v>0</v>
      </c>
      <c r="CK679" s="30">
        <v>0</v>
      </c>
      <c r="CL679" s="30">
        <v>0</v>
      </c>
      <c r="CM679" s="30">
        <v>0</v>
      </c>
      <c r="CN679" s="30">
        <v>0</v>
      </c>
      <c r="CO679" s="30">
        <v>0</v>
      </c>
      <c r="CP679" s="30">
        <v>0</v>
      </c>
      <c r="CQ679" s="30">
        <v>0</v>
      </c>
      <c r="CR679" s="30">
        <v>0</v>
      </c>
      <c r="CS679" s="30">
        <v>0</v>
      </c>
      <c r="CT679" s="30">
        <v>0</v>
      </c>
      <c r="CU679" s="30">
        <v>0</v>
      </c>
      <c r="CV679" s="30">
        <v>0</v>
      </c>
      <c r="CW679" s="30">
        <v>0</v>
      </c>
      <c r="CX679" s="30">
        <v>0</v>
      </c>
      <c r="CY679" s="30">
        <v>0</v>
      </c>
      <c r="CZ679" s="30">
        <v>0</v>
      </c>
      <c r="DA679" s="30">
        <v>0</v>
      </c>
      <c r="DB679" s="30">
        <v>0</v>
      </c>
      <c r="DC679" s="30">
        <v>0</v>
      </c>
      <c r="DD679" s="30">
        <v>0</v>
      </c>
      <c r="DE679" s="30">
        <v>0</v>
      </c>
      <c r="DF679" s="30">
        <v>0</v>
      </c>
      <c r="DG679" s="16">
        <f t="shared" si="59"/>
        <v>0</v>
      </c>
      <c r="DH679" s="16">
        <f t="shared" si="60"/>
        <v>0</v>
      </c>
      <c r="DI679" s="17" t="str">
        <f t="shared" si="61"/>
        <v/>
      </c>
      <c r="DJ679" s="119" t="s">
        <v>719</v>
      </c>
      <c r="DK679" s="44" t="s">
        <v>719</v>
      </c>
    </row>
    <row r="680" spans="1:115">
      <c r="A680" s="32" t="str">
        <f t="shared" si="57"/>
        <v xml:space="preserve">Ausgrid--&gt; 22 kV &amp; &lt; = 33 kV ; SUBDIVISION  </v>
      </c>
      <c r="B680" s="32" t="str">
        <f t="shared" si="58"/>
        <v>Ausgrid</v>
      </c>
      <c r="C680" s="397"/>
      <c r="D680" s="31"/>
      <c r="E680" s="30" t="s">
        <v>194</v>
      </c>
      <c r="F680" s="19">
        <v>0</v>
      </c>
      <c r="G680" s="19">
        <v>0</v>
      </c>
      <c r="H680" s="30">
        <v>0</v>
      </c>
      <c r="I680" s="30">
        <v>0</v>
      </c>
      <c r="J680" s="30">
        <v>0</v>
      </c>
      <c r="K680" s="30">
        <v>0</v>
      </c>
      <c r="L680" s="30">
        <v>0</v>
      </c>
      <c r="M680" s="30">
        <v>0</v>
      </c>
      <c r="N680" s="30">
        <v>0</v>
      </c>
      <c r="O680" s="30">
        <v>0</v>
      </c>
      <c r="P680" s="30">
        <v>0</v>
      </c>
      <c r="Q680" s="30">
        <v>0</v>
      </c>
      <c r="R680" s="30">
        <v>0</v>
      </c>
      <c r="S680" s="30">
        <v>0</v>
      </c>
      <c r="T680" s="30">
        <v>0</v>
      </c>
      <c r="U680" s="30">
        <v>0</v>
      </c>
      <c r="V680" s="30">
        <v>0</v>
      </c>
      <c r="W680" s="30">
        <v>0</v>
      </c>
      <c r="X680" s="30">
        <v>0</v>
      </c>
      <c r="Y680" s="30">
        <v>0</v>
      </c>
      <c r="Z680" s="30">
        <v>0</v>
      </c>
      <c r="AA680" s="30">
        <v>0</v>
      </c>
      <c r="AB680" s="30">
        <v>0</v>
      </c>
      <c r="AC680" s="30">
        <v>0</v>
      </c>
      <c r="AD680" s="30">
        <v>0</v>
      </c>
      <c r="AE680" s="30">
        <v>0</v>
      </c>
      <c r="AF680" s="30">
        <v>0</v>
      </c>
      <c r="AG680" s="30">
        <v>0</v>
      </c>
      <c r="AH680" s="30">
        <v>0</v>
      </c>
      <c r="AI680" s="30">
        <v>0</v>
      </c>
      <c r="AJ680" s="30">
        <v>0</v>
      </c>
      <c r="AK680" s="30">
        <v>0</v>
      </c>
      <c r="AL680" s="30">
        <v>0</v>
      </c>
      <c r="AM680" s="30">
        <v>0</v>
      </c>
      <c r="AN680" s="30">
        <v>0</v>
      </c>
      <c r="AO680" s="30">
        <v>0</v>
      </c>
      <c r="AP680" s="30">
        <v>0</v>
      </c>
      <c r="AQ680" s="30">
        <v>0</v>
      </c>
      <c r="AR680" s="30">
        <v>0</v>
      </c>
      <c r="AS680" s="30">
        <v>0</v>
      </c>
      <c r="AT680" s="30">
        <v>0</v>
      </c>
      <c r="AU680" s="30">
        <v>0</v>
      </c>
      <c r="AV680" s="30">
        <v>0</v>
      </c>
      <c r="AW680" s="30">
        <v>0</v>
      </c>
      <c r="AX680" s="30">
        <v>0</v>
      </c>
      <c r="AY680" s="30">
        <v>0</v>
      </c>
      <c r="AZ680" s="30">
        <v>0</v>
      </c>
      <c r="BA680" s="30">
        <v>0</v>
      </c>
      <c r="BB680" s="30">
        <v>0</v>
      </c>
      <c r="BC680" s="30">
        <v>0</v>
      </c>
      <c r="BD680" s="30">
        <v>0</v>
      </c>
      <c r="BE680" s="30">
        <v>0</v>
      </c>
      <c r="BF680" s="30">
        <v>0</v>
      </c>
      <c r="BG680" s="30">
        <v>0</v>
      </c>
      <c r="BH680" s="30">
        <v>0</v>
      </c>
      <c r="BI680" s="30">
        <v>0</v>
      </c>
      <c r="BJ680" s="30">
        <v>0</v>
      </c>
      <c r="BK680" s="30">
        <v>0</v>
      </c>
      <c r="BL680" s="30">
        <v>0</v>
      </c>
      <c r="BM680" s="30">
        <v>0</v>
      </c>
      <c r="BN680" s="30">
        <v>0</v>
      </c>
      <c r="BO680" s="30">
        <v>0</v>
      </c>
      <c r="BP680" s="30">
        <v>0</v>
      </c>
      <c r="BQ680" s="30">
        <v>0</v>
      </c>
      <c r="BR680" s="30">
        <v>0</v>
      </c>
      <c r="BS680" s="30">
        <v>0</v>
      </c>
      <c r="BT680" s="30">
        <v>0</v>
      </c>
      <c r="BU680" s="30">
        <v>0</v>
      </c>
      <c r="BV680" s="30">
        <v>0</v>
      </c>
      <c r="BW680" s="30">
        <v>0</v>
      </c>
      <c r="BX680" s="30">
        <v>0</v>
      </c>
      <c r="BY680" s="30">
        <v>0</v>
      </c>
      <c r="BZ680" s="30">
        <v>0</v>
      </c>
      <c r="CA680" s="30">
        <v>0</v>
      </c>
      <c r="CB680" s="30">
        <v>0</v>
      </c>
      <c r="CC680" s="30">
        <v>0</v>
      </c>
      <c r="CD680" s="30">
        <v>0</v>
      </c>
      <c r="CE680" s="30">
        <v>0</v>
      </c>
      <c r="CF680" s="30">
        <v>0</v>
      </c>
      <c r="CG680" s="30">
        <v>0</v>
      </c>
      <c r="CH680" s="30">
        <v>0</v>
      </c>
      <c r="CI680" s="30">
        <v>0</v>
      </c>
      <c r="CJ680" s="30">
        <v>0</v>
      </c>
      <c r="CK680" s="30">
        <v>0</v>
      </c>
      <c r="CL680" s="30">
        <v>0</v>
      </c>
      <c r="CM680" s="30">
        <v>0</v>
      </c>
      <c r="CN680" s="30">
        <v>0</v>
      </c>
      <c r="CO680" s="30">
        <v>0</v>
      </c>
      <c r="CP680" s="30">
        <v>0</v>
      </c>
      <c r="CQ680" s="30">
        <v>0</v>
      </c>
      <c r="CR680" s="30">
        <v>0</v>
      </c>
      <c r="CS680" s="30">
        <v>0</v>
      </c>
      <c r="CT680" s="30">
        <v>0</v>
      </c>
      <c r="CU680" s="30">
        <v>0</v>
      </c>
      <c r="CV680" s="30">
        <v>0</v>
      </c>
      <c r="CW680" s="30">
        <v>0</v>
      </c>
      <c r="CX680" s="30">
        <v>0</v>
      </c>
      <c r="CY680" s="30">
        <v>0</v>
      </c>
      <c r="CZ680" s="30">
        <v>0</v>
      </c>
      <c r="DA680" s="30">
        <v>0</v>
      </c>
      <c r="DB680" s="30">
        <v>0</v>
      </c>
      <c r="DC680" s="30">
        <v>0</v>
      </c>
      <c r="DD680" s="30">
        <v>0</v>
      </c>
      <c r="DE680" s="30">
        <v>0</v>
      </c>
      <c r="DF680" s="30">
        <v>0</v>
      </c>
      <c r="DG680" s="16">
        <f t="shared" si="59"/>
        <v>0</v>
      </c>
      <c r="DH680" s="16">
        <f t="shared" si="60"/>
        <v>0</v>
      </c>
      <c r="DI680" s="17" t="str">
        <f t="shared" si="61"/>
        <v/>
      </c>
      <c r="DJ680" s="119" t="s">
        <v>719</v>
      </c>
      <c r="DK680" s="44" t="s">
        <v>719</v>
      </c>
    </row>
    <row r="681" spans="1:115">
      <c r="A681" s="32" t="str">
        <f t="shared" si="57"/>
        <v xml:space="preserve">Ausgrid--&gt; 33 kV &amp; &lt; = 66 kV ; COMMERCIAL &amp; INDUSTRIAL  </v>
      </c>
      <c r="B681" s="32" t="str">
        <f t="shared" si="58"/>
        <v>Ausgrid</v>
      </c>
      <c r="C681" s="397"/>
      <c r="D681" s="31"/>
      <c r="E681" s="30" t="s">
        <v>195</v>
      </c>
      <c r="F681" s="19">
        <v>0</v>
      </c>
      <c r="G681" s="19">
        <v>0</v>
      </c>
      <c r="H681" s="30">
        <v>0</v>
      </c>
      <c r="I681" s="30">
        <v>0</v>
      </c>
      <c r="J681" s="30">
        <v>0</v>
      </c>
      <c r="K681" s="30">
        <v>0</v>
      </c>
      <c r="L681" s="30">
        <v>0</v>
      </c>
      <c r="M681" s="30">
        <v>0</v>
      </c>
      <c r="N681" s="30">
        <v>0</v>
      </c>
      <c r="O681" s="30">
        <v>0</v>
      </c>
      <c r="P681" s="30">
        <v>0</v>
      </c>
      <c r="Q681" s="30">
        <v>0</v>
      </c>
      <c r="R681" s="30">
        <v>0</v>
      </c>
      <c r="S681" s="30">
        <v>0</v>
      </c>
      <c r="T681" s="30">
        <v>0</v>
      </c>
      <c r="U681" s="30">
        <v>0</v>
      </c>
      <c r="V681" s="30">
        <v>0</v>
      </c>
      <c r="W681" s="30">
        <v>0</v>
      </c>
      <c r="X681" s="30">
        <v>0</v>
      </c>
      <c r="Y681" s="30">
        <v>0</v>
      </c>
      <c r="Z681" s="30">
        <v>0</v>
      </c>
      <c r="AA681" s="30">
        <v>0</v>
      </c>
      <c r="AB681" s="30">
        <v>0</v>
      </c>
      <c r="AC681" s="30">
        <v>0</v>
      </c>
      <c r="AD681" s="30">
        <v>0</v>
      </c>
      <c r="AE681" s="30">
        <v>0</v>
      </c>
      <c r="AF681" s="30">
        <v>0</v>
      </c>
      <c r="AG681" s="30">
        <v>0</v>
      </c>
      <c r="AH681" s="30">
        <v>0</v>
      </c>
      <c r="AI681" s="30">
        <v>0</v>
      </c>
      <c r="AJ681" s="30">
        <v>0</v>
      </c>
      <c r="AK681" s="30">
        <v>0</v>
      </c>
      <c r="AL681" s="30">
        <v>0</v>
      </c>
      <c r="AM681" s="30">
        <v>0</v>
      </c>
      <c r="AN681" s="30">
        <v>0</v>
      </c>
      <c r="AO681" s="30">
        <v>0</v>
      </c>
      <c r="AP681" s="30">
        <v>0</v>
      </c>
      <c r="AQ681" s="30">
        <v>0</v>
      </c>
      <c r="AR681" s="30">
        <v>0</v>
      </c>
      <c r="AS681" s="30">
        <v>0</v>
      </c>
      <c r="AT681" s="30">
        <v>0</v>
      </c>
      <c r="AU681" s="30">
        <v>0</v>
      </c>
      <c r="AV681" s="30">
        <v>0</v>
      </c>
      <c r="AW681" s="30">
        <v>0</v>
      </c>
      <c r="AX681" s="30">
        <v>0</v>
      </c>
      <c r="AY681" s="30">
        <v>0</v>
      </c>
      <c r="AZ681" s="30">
        <v>0</v>
      </c>
      <c r="BA681" s="30">
        <v>0</v>
      </c>
      <c r="BB681" s="30">
        <v>0</v>
      </c>
      <c r="BC681" s="30">
        <v>0</v>
      </c>
      <c r="BD681" s="30">
        <v>0</v>
      </c>
      <c r="BE681" s="30">
        <v>0</v>
      </c>
      <c r="BF681" s="30">
        <v>0</v>
      </c>
      <c r="BG681" s="30">
        <v>0</v>
      </c>
      <c r="BH681" s="30">
        <v>0</v>
      </c>
      <c r="BI681" s="30">
        <v>0</v>
      </c>
      <c r="BJ681" s="30">
        <v>0</v>
      </c>
      <c r="BK681" s="30">
        <v>0</v>
      </c>
      <c r="BL681" s="30">
        <v>0</v>
      </c>
      <c r="BM681" s="30">
        <v>0</v>
      </c>
      <c r="BN681" s="30">
        <v>0</v>
      </c>
      <c r="BO681" s="30">
        <v>0</v>
      </c>
      <c r="BP681" s="30">
        <v>0</v>
      </c>
      <c r="BQ681" s="30">
        <v>0</v>
      </c>
      <c r="BR681" s="30">
        <v>0</v>
      </c>
      <c r="BS681" s="30">
        <v>0</v>
      </c>
      <c r="BT681" s="30">
        <v>0</v>
      </c>
      <c r="BU681" s="30">
        <v>0</v>
      </c>
      <c r="BV681" s="30">
        <v>0</v>
      </c>
      <c r="BW681" s="30">
        <v>0</v>
      </c>
      <c r="BX681" s="30">
        <v>0</v>
      </c>
      <c r="BY681" s="30">
        <v>0</v>
      </c>
      <c r="BZ681" s="30">
        <v>0</v>
      </c>
      <c r="CA681" s="30">
        <v>0</v>
      </c>
      <c r="CB681" s="30">
        <v>0</v>
      </c>
      <c r="CC681" s="30">
        <v>0</v>
      </c>
      <c r="CD681" s="30">
        <v>0</v>
      </c>
      <c r="CE681" s="30">
        <v>0</v>
      </c>
      <c r="CF681" s="30">
        <v>0</v>
      </c>
      <c r="CG681" s="30">
        <v>0</v>
      </c>
      <c r="CH681" s="30">
        <v>0</v>
      </c>
      <c r="CI681" s="30">
        <v>0</v>
      </c>
      <c r="CJ681" s="30">
        <v>0</v>
      </c>
      <c r="CK681" s="30">
        <v>0</v>
      </c>
      <c r="CL681" s="30">
        <v>0</v>
      </c>
      <c r="CM681" s="30">
        <v>0</v>
      </c>
      <c r="CN681" s="30">
        <v>0</v>
      </c>
      <c r="CO681" s="30">
        <v>0</v>
      </c>
      <c r="CP681" s="30">
        <v>0</v>
      </c>
      <c r="CQ681" s="30">
        <v>0</v>
      </c>
      <c r="CR681" s="30">
        <v>0</v>
      </c>
      <c r="CS681" s="30">
        <v>0</v>
      </c>
      <c r="CT681" s="30">
        <v>0</v>
      </c>
      <c r="CU681" s="30">
        <v>0</v>
      </c>
      <c r="CV681" s="30">
        <v>0</v>
      </c>
      <c r="CW681" s="30">
        <v>0</v>
      </c>
      <c r="CX681" s="30">
        <v>0</v>
      </c>
      <c r="CY681" s="30">
        <v>0</v>
      </c>
      <c r="CZ681" s="30">
        <v>0</v>
      </c>
      <c r="DA681" s="30">
        <v>0</v>
      </c>
      <c r="DB681" s="30">
        <v>0</v>
      </c>
      <c r="DC681" s="30">
        <v>0</v>
      </c>
      <c r="DD681" s="30">
        <v>0</v>
      </c>
      <c r="DE681" s="30">
        <v>0</v>
      </c>
      <c r="DF681" s="30">
        <v>0</v>
      </c>
      <c r="DG681" s="16">
        <f t="shared" si="59"/>
        <v>0</v>
      </c>
      <c r="DH681" s="16">
        <f t="shared" si="60"/>
        <v>0</v>
      </c>
      <c r="DI681" s="17" t="str">
        <f t="shared" si="61"/>
        <v/>
      </c>
      <c r="DJ681" s="119" t="s">
        <v>719</v>
      </c>
      <c r="DK681" s="44" t="s">
        <v>719</v>
      </c>
    </row>
    <row r="682" spans="1:115">
      <c r="A682" s="32" t="str">
        <f t="shared" si="57"/>
        <v xml:space="preserve">Ausgrid--&gt; 33 kV &amp; &lt; = 66 kV ; SUBDIVISION  </v>
      </c>
      <c r="B682" s="32" t="str">
        <f t="shared" si="58"/>
        <v>Ausgrid</v>
      </c>
      <c r="C682" s="397"/>
      <c r="D682" s="31"/>
      <c r="E682" s="30" t="s">
        <v>196</v>
      </c>
      <c r="F682" s="19">
        <v>0</v>
      </c>
      <c r="G682" s="19">
        <v>0</v>
      </c>
      <c r="H682" s="30">
        <v>0</v>
      </c>
      <c r="I682" s="30">
        <v>0</v>
      </c>
      <c r="J682" s="30">
        <v>0</v>
      </c>
      <c r="K682" s="30">
        <v>0</v>
      </c>
      <c r="L682" s="30">
        <v>0</v>
      </c>
      <c r="M682" s="30">
        <v>0</v>
      </c>
      <c r="N682" s="30">
        <v>0</v>
      </c>
      <c r="O682" s="30">
        <v>0</v>
      </c>
      <c r="P682" s="30">
        <v>0</v>
      </c>
      <c r="Q682" s="30">
        <v>0</v>
      </c>
      <c r="R682" s="30">
        <v>0</v>
      </c>
      <c r="S682" s="30">
        <v>0</v>
      </c>
      <c r="T682" s="30">
        <v>0</v>
      </c>
      <c r="U682" s="30">
        <v>0</v>
      </c>
      <c r="V682" s="30">
        <v>0</v>
      </c>
      <c r="W682" s="30">
        <v>0</v>
      </c>
      <c r="X682" s="30">
        <v>0</v>
      </c>
      <c r="Y682" s="30">
        <v>0</v>
      </c>
      <c r="Z682" s="30">
        <v>0</v>
      </c>
      <c r="AA682" s="30">
        <v>0</v>
      </c>
      <c r="AB682" s="30">
        <v>0</v>
      </c>
      <c r="AC682" s="30">
        <v>0</v>
      </c>
      <c r="AD682" s="30">
        <v>0</v>
      </c>
      <c r="AE682" s="30">
        <v>0</v>
      </c>
      <c r="AF682" s="30">
        <v>0</v>
      </c>
      <c r="AG682" s="30">
        <v>0</v>
      </c>
      <c r="AH682" s="30">
        <v>0</v>
      </c>
      <c r="AI682" s="30">
        <v>0</v>
      </c>
      <c r="AJ682" s="30">
        <v>0</v>
      </c>
      <c r="AK682" s="30">
        <v>0</v>
      </c>
      <c r="AL682" s="30">
        <v>0</v>
      </c>
      <c r="AM682" s="30">
        <v>0</v>
      </c>
      <c r="AN682" s="30">
        <v>0</v>
      </c>
      <c r="AO682" s="30">
        <v>0</v>
      </c>
      <c r="AP682" s="30">
        <v>0</v>
      </c>
      <c r="AQ682" s="30">
        <v>0</v>
      </c>
      <c r="AR682" s="30">
        <v>0</v>
      </c>
      <c r="AS682" s="30">
        <v>0</v>
      </c>
      <c r="AT682" s="30">
        <v>0</v>
      </c>
      <c r="AU682" s="30">
        <v>0</v>
      </c>
      <c r="AV682" s="30">
        <v>0</v>
      </c>
      <c r="AW682" s="30">
        <v>0</v>
      </c>
      <c r="AX682" s="30">
        <v>0</v>
      </c>
      <c r="AY682" s="30">
        <v>0</v>
      </c>
      <c r="AZ682" s="30">
        <v>0</v>
      </c>
      <c r="BA682" s="30">
        <v>0</v>
      </c>
      <c r="BB682" s="30">
        <v>0</v>
      </c>
      <c r="BC682" s="30">
        <v>0</v>
      </c>
      <c r="BD682" s="30">
        <v>0</v>
      </c>
      <c r="BE682" s="30">
        <v>0</v>
      </c>
      <c r="BF682" s="30">
        <v>0</v>
      </c>
      <c r="BG682" s="30">
        <v>0</v>
      </c>
      <c r="BH682" s="30">
        <v>0</v>
      </c>
      <c r="BI682" s="30">
        <v>0</v>
      </c>
      <c r="BJ682" s="30">
        <v>0</v>
      </c>
      <c r="BK682" s="30">
        <v>0</v>
      </c>
      <c r="BL682" s="30">
        <v>0</v>
      </c>
      <c r="BM682" s="30">
        <v>0</v>
      </c>
      <c r="BN682" s="30">
        <v>0</v>
      </c>
      <c r="BO682" s="30">
        <v>0</v>
      </c>
      <c r="BP682" s="30">
        <v>0</v>
      </c>
      <c r="BQ682" s="30">
        <v>0</v>
      </c>
      <c r="BR682" s="30">
        <v>0</v>
      </c>
      <c r="BS682" s="30">
        <v>0</v>
      </c>
      <c r="BT682" s="30">
        <v>0</v>
      </c>
      <c r="BU682" s="30">
        <v>0</v>
      </c>
      <c r="BV682" s="30">
        <v>0</v>
      </c>
      <c r="BW682" s="30">
        <v>0</v>
      </c>
      <c r="BX682" s="30">
        <v>0</v>
      </c>
      <c r="BY682" s="30">
        <v>0</v>
      </c>
      <c r="BZ682" s="30">
        <v>0</v>
      </c>
      <c r="CA682" s="30">
        <v>0</v>
      </c>
      <c r="CB682" s="30">
        <v>0</v>
      </c>
      <c r="CC682" s="30">
        <v>0</v>
      </c>
      <c r="CD682" s="30">
        <v>0</v>
      </c>
      <c r="CE682" s="30">
        <v>0</v>
      </c>
      <c r="CF682" s="30">
        <v>0</v>
      </c>
      <c r="CG682" s="30">
        <v>0</v>
      </c>
      <c r="CH682" s="30">
        <v>0</v>
      </c>
      <c r="CI682" s="30">
        <v>0</v>
      </c>
      <c r="CJ682" s="30">
        <v>0</v>
      </c>
      <c r="CK682" s="30">
        <v>0</v>
      </c>
      <c r="CL682" s="30">
        <v>0</v>
      </c>
      <c r="CM682" s="30">
        <v>0</v>
      </c>
      <c r="CN682" s="30">
        <v>0</v>
      </c>
      <c r="CO682" s="30">
        <v>0</v>
      </c>
      <c r="CP682" s="30">
        <v>0</v>
      </c>
      <c r="CQ682" s="30">
        <v>0</v>
      </c>
      <c r="CR682" s="30">
        <v>0</v>
      </c>
      <c r="CS682" s="30">
        <v>0</v>
      </c>
      <c r="CT682" s="30">
        <v>0</v>
      </c>
      <c r="CU682" s="30">
        <v>0</v>
      </c>
      <c r="CV682" s="30">
        <v>0</v>
      </c>
      <c r="CW682" s="30">
        <v>0</v>
      </c>
      <c r="CX682" s="30">
        <v>0</v>
      </c>
      <c r="CY682" s="30">
        <v>0</v>
      </c>
      <c r="CZ682" s="30">
        <v>0</v>
      </c>
      <c r="DA682" s="30">
        <v>0</v>
      </c>
      <c r="DB682" s="30">
        <v>0</v>
      </c>
      <c r="DC682" s="30">
        <v>0</v>
      </c>
      <c r="DD682" s="30">
        <v>0</v>
      </c>
      <c r="DE682" s="30">
        <v>0</v>
      </c>
      <c r="DF682" s="30">
        <v>0</v>
      </c>
      <c r="DG682" s="16">
        <f t="shared" si="59"/>
        <v>0</v>
      </c>
      <c r="DH682" s="16">
        <f t="shared" si="60"/>
        <v>0</v>
      </c>
      <c r="DI682" s="17" t="str">
        <f t="shared" si="61"/>
        <v/>
      </c>
      <c r="DJ682" s="119" t="s">
        <v>719</v>
      </c>
      <c r="DK682" s="44" t="s">
        <v>719</v>
      </c>
    </row>
    <row r="683" spans="1:115">
      <c r="A683" s="32" t="str">
        <f t="shared" si="57"/>
        <v xml:space="preserve">Ausgrid--&gt; 66 kV &amp; &lt; = 132 kV ; COMMERCIAL &amp; INDUSTRIAL  </v>
      </c>
      <c r="B683" s="32" t="str">
        <f t="shared" si="58"/>
        <v>Ausgrid</v>
      </c>
      <c r="C683" s="397"/>
      <c r="D683" s="31"/>
      <c r="E683" s="30" t="s">
        <v>197</v>
      </c>
      <c r="F683" s="19">
        <v>0</v>
      </c>
      <c r="G683" s="19">
        <v>0</v>
      </c>
      <c r="H683" s="30">
        <v>0</v>
      </c>
      <c r="I683" s="30">
        <v>0</v>
      </c>
      <c r="J683" s="30">
        <v>0</v>
      </c>
      <c r="K683" s="30">
        <v>0</v>
      </c>
      <c r="L683" s="30">
        <v>0</v>
      </c>
      <c r="M683" s="30">
        <v>0</v>
      </c>
      <c r="N683" s="30">
        <v>0</v>
      </c>
      <c r="O683" s="30">
        <v>0</v>
      </c>
      <c r="P683" s="30">
        <v>0</v>
      </c>
      <c r="Q683" s="30">
        <v>0</v>
      </c>
      <c r="R683" s="30">
        <v>0</v>
      </c>
      <c r="S683" s="30">
        <v>0</v>
      </c>
      <c r="T683" s="30">
        <v>0</v>
      </c>
      <c r="U683" s="30">
        <v>0</v>
      </c>
      <c r="V683" s="30">
        <v>0</v>
      </c>
      <c r="W683" s="30">
        <v>0</v>
      </c>
      <c r="X683" s="30">
        <v>0</v>
      </c>
      <c r="Y683" s="30">
        <v>0</v>
      </c>
      <c r="Z683" s="30">
        <v>0</v>
      </c>
      <c r="AA683" s="30">
        <v>0</v>
      </c>
      <c r="AB683" s="30">
        <v>0</v>
      </c>
      <c r="AC683" s="30">
        <v>0</v>
      </c>
      <c r="AD683" s="30">
        <v>0</v>
      </c>
      <c r="AE683" s="30">
        <v>0</v>
      </c>
      <c r="AF683" s="30">
        <v>0</v>
      </c>
      <c r="AG683" s="30">
        <v>0</v>
      </c>
      <c r="AH683" s="30">
        <v>0</v>
      </c>
      <c r="AI683" s="30">
        <v>0</v>
      </c>
      <c r="AJ683" s="30">
        <v>0</v>
      </c>
      <c r="AK683" s="30">
        <v>0</v>
      </c>
      <c r="AL683" s="30">
        <v>0</v>
      </c>
      <c r="AM683" s="30">
        <v>0</v>
      </c>
      <c r="AN683" s="30">
        <v>0</v>
      </c>
      <c r="AO683" s="30">
        <v>0</v>
      </c>
      <c r="AP683" s="30">
        <v>0</v>
      </c>
      <c r="AQ683" s="30">
        <v>0</v>
      </c>
      <c r="AR683" s="30">
        <v>0</v>
      </c>
      <c r="AS683" s="30">
        <v>0</v>
      </c>
      <c r="AT683" s="30">
        <v>0</v>
      </c>
      <c r="AU683" s="30">
        <v>0</v>
      </c>
      <c r="AV683" s="30">
        <v>0</v>
      </c>
      <c r="AW683" s="30">
        <v>0</v>
      </c>
      <c r="AX683" s="30">
        <v>0</v>
      </c>
      <c r="AY683" s="30">
        <v>0</v>
      </c>
      <c r="AZ683" s="30">
        <v>0</v>
      </c>
      <c r="BA683" s="30">
        <v>0</v>
      </c>
      <c r="BB683" s="30">
        <v>0</v>
      </c>
      <c r="BC683" s="30">
        <v>0</v>
      </c>
      <c r="BD683" s="30">
        <v>0</v>
      </c>
      <c r="BE683" s="30">
        <v>0</v>
      </c>
      <c r="BF683" s="30">
        <v>0</v>
      </c>
      <c r="BG683" s="30">
        <v>0</v>
      </c>
      <c r="BH683" s="30">
        <v>0</v>
      </c>
      <c r="BI683" s="30">
        <v>0</v>
      </c>
      <c r="BJ683" s="30">
        <v>0</v>
      </c>
      <c r="BK683" s="30">
        <v>0</v>
      </c>
      <c r="BL683" s="30">
        <v>0</v>
      </c>
      <c r="BM683" s="30">
        <v>0</v>
      </c>
      <c r="BN683" s="30">
        <v>0</v>
      </c>
      <c r="BO683" s="30">
        <v>0</v>
      </c>
      <c r="BP683" s="30">
        <v>0</v>
      </c>
      <c r="BQ683" s="30">
        <v>0</v>
      </c>
      <c r="BR683" s="30">
        <v>0</v>
      </c>
      <c r="BS683" s="30">
        <v>0</v>
      </c>
      <c r="BT683" s="30">
        <v>0</v>
      </c>
      <c r="BU683" s="30">
        <v>0</v>
      </c>
      <c r="BV683" s="30">
        <v>0</v>
      </c>
      <c r="BW683" s="30">
        <v>0</v>
      </c>
      <c r="BX683" s="30">
        <v>0</v>
      </c>
      <c r="BY683" s="30">
        <v>0</v>
      </c>
      <c r="BZ683" s="30">
        <v>0</v>
      </c>
      <c r="CA683" s="30">
        <v>0</v>
      </c>
      <c r="CB683" s="30">
        <v>0</v>
      </c>
      <c r="CC683" s="30">
        <v>0</v>
      </c>
      <c r="CD683" s="30">
        <v>0</v>
      </c>
      <c r="CE683" s="30">
        <v>0</v>
      </c>
      <c r="CF683" s="30">
        <v>0</v>
      </c>
      <c r="CG683" s="30">
        <v>0</v>
      </c>
      <c r="CH683" s="30">
        <v>0</v>
      </c>
      <c r="CI683" s="30">
        <v>0</v>
      </c>
      <c r="CJ683" s="30">
        <v>0</v>
      </c>
      <c r="CK683" s="30">
        <v>0</v>
      </c>
      <c r="CL683" s="30">
        <v>0</v>
      </c>
      <c r="CM683" s="30">
        <v>0</v>
      </c>
      <c r="CN683" s="30">
        <v>0</v>
      </c>
      <c r="CO683" s="30">
        <v>0</v>
      </c>
      <c r="CP683" s="30">
        <v>0</v>
      </c>
      <c r="CQ683" s="30">
        <v>0</v>
      </c>
      <c r="CR683" s="30">
        <v>0</v>
      </c>
      <c r="CS683" s="30">
        <v>0</v>
      </c>
      <c r="CT683" s="30">
        <v>0</v>
      </c>
      <c r="CU683" s="30">
        <v>0</v>
      </c>
      <c r="CV683" s="30">
        <v>0</v>
      </c>
      <c r="CW683" s="30">
        <v>0</v>
      </c>
      <c r="CX683" s="30">
        <v>0</v>
      </c>
      <c r="CY683" s="30">
        <v>0</v>
      </c>
      <c r="CZ683" s="30">
        <v>0</v>
      </c>
      <c r="DA683" s="30">
        <v>0</v>
      </c>
      <c r="DB683" s="30">
        <v>0</v>
      </c>
      <c r="DC683" s="30">
        <v>0</v>
      </c>
      <c r="DD683" s="30">
        <v>0</v>
      </c>
      <c r="DE683" s="30">
        <v>0</v>
      </c>
      <c r="DF683" s="30">
        <v>0</v>
      </c>
      <c r="DG683" s="16">
        <f t="shared" si="59"/>
        <v>0</v>
      </c>
      <c r="DH683" s="16">
        <f t="shared" si="60"/>
        <v>0</v>
      </c>
      <c r="DI683" s="17" t="str">
        <f t="shared" si="61"/>
        <v/>
      </c>
      <c r="DJ683" s="119" t="s">
        <v>719</v>
      </c>
      <c r="DK683" s="44" t="s">
        <v>719</v>
      </c>
    </row>
    <row r="684" spans="1:115">
      <c r="A684" s="32" t="str">
        <f t="shared" si="57"/>
        <v xml:space="preserve">Ausgrid--&gt; 66 kV &amp; &lt; = 132 kV ; SUBDIVISION  </v>
      </c>
      <c r="B684" s="32" t="str">
        <f t="shared" si="58"/>
        <v>Ausgrid</v>
      </c>
      <c r="C684" s="397"/>
      <c r="D684" s="31"/>
      <c r="E684" s="30" t="s">
        <v>198</v>
      </c>
      <c r="F684" s="19">
        <v>0</v>
      </c>
      <c r="G684" s="19">
        <v>0</v>
      </c>
      <c r="H684" s="30">
        <v>0</v>
      </c>
      <c r="I684" s="30">
        <v>0</v>
      </c>
      <c r="J684" s="30">
        <v>0</v>
      </c>
      <c r="K684" s="30">
        <v>0</v>
      </c>
      <c r="L684" s="30">
        <v>0</v>
      </c>
      <c r="M684" s="30">
        <v>0</v>
      </c>
      <c r="N684" s="30">
        <v>0</v>
      </c>
      <c r="O684" s="30">
        <v>0</v>
      </c>
      <c r="P684" s="30">
        <v>0</v>
      </c>
      <c r="Q684" s="30">
        <v>0</v>
      </c>
      <c r="R684" s="30">
        <v>0</v>
      </c>
      <c r="S684" s="30">
        <v>0</v>
      </c>
      <c r="T684" s="30">
        <v>0</v>
      </c>
      <c r="U684" s="30">
        <v>0</v>
      </c>
      <c r="V684" s="30">
        <v>0</v>
      </c>
      <c r="W684" s="30">
        <v>0</v>
      </c>
      <c r="X684" s="30">
        <v>0</v>
      </c>
      <c r="Y684" s="30">
        <v>0</v>
      </c>
      <c r="Z684" s="30">
        <v>0</v>
      </c>
      <c r="AA684" s="30">
        <v>0</v>
      </c>
      <c r="AB684" s="30">
        <v>0</v>
      </c>
      <c r="AC684" s="30">
        <v>0</v>
      </c>
      <c r="AD684" s="30">
        <v>0</v>
      </c>
      <c r="AE684" s="30">
        <v>0</v>
      </c>
      <c r="AF684" s="30">
        <v>0</v>
      </c>
      <c r="AG684" s="30">
        <v>0</v>
      </c>
      <c r="AH684" s="30">
        <v>0</v>
      </c>
      <c r="AI684" s="30">
        <v>0</v>
      </c>
      <c r="AJ684" s="30">
        <v>0</v>
      </c>
      <c r="AK684" s="30">
        <v>0</v>
      </c>
      <c r="AL684" s="30">
        <v>0</v>
      </c>
      <c r="AM684" s="30">
        <v>0</v>
      </c>
      <c r="AN684" s="30">
        <v>0</v>
      </c>
      <c r="AO684" s="30">
        <v>0</v>
      </c>
      <c r="AP684" s="30">
        <v>0</v>
      </c>
      <c r="AQ684" s="30">
        <v>0</v>
      </c>
      <c r="AR684" s="30">
        <v>0</v>
      </c>
      <c r="AS684" s="30">
        <v>0</v>
      </c>
      <c r="AT684" s="30">
        <v>0</v>
      </c>
      <c r="AU684" s="30">
        <v>0</v>
      </c>
      <c r="AV684" s="30">
        <v>0</v>
      </c>
      <c r="AW684" s="30">
        <v>0</v>
      </c>
      <c r="AX684" s="30">
        <v>0</v>
      </c>
      <c r="AY684" s="30">
        <v>0</v>
      </c>
      <c r="AZ684" s="30">
        <v>0</v>
      </c>
      <c r="BA684" s="30">
        <v>0</v>
      </c>
      <c r="BB684" s="30">
        <v>0</v>
      </c>
      <c r="BC684" s="30">
        <v>0</v>
      </c>
      <c r="BD684" s="30">
        <v>0</v>
      </c>
      <c r="BE684" s="30">
        <v>0</v>
      </c>
      <c r="BF684" s="30">
        <v>0</v>
      </c>
      <c r="BG684" s="30">
        <v>0</v>
      </c>
      <c r="BH684" s="30">
        <v>0</v>
      </c>
      <c r="BI684" s="30">
        <v>0</v>
      </c>
      <c r="BJ684" s="30">
        <v>0</v>
      </c>
      <c r="BK684" s="30">
        <v>0</v>
      </c>
      <c r="BL684" s="30">
        <v>0</v>
      </c>
      <c r="BM684" s="30">
        <v>0</v>
      </c>
      <c r="BN684" s="30">
        <v>0</v>
      </c>
      <c r="BO684" s="30">
        <v>0</v>
      </c>
      <c r="BP684" s="30">
        <v>0</v>
      </c>
      <c r="BQ684" s="30">
        <v>0</v>
      </c>
      <c r="BR684" s="30">
        <v>0</v>
      </c>
      <c r="BS684" s="30">
        <v>0</v>
      </c>
      <c r="BT684" s="30">
        <v>0</v>
      </c>
      <c r="BU684" s="30">
        <v>0</v>
      </c>
      <c r="BV684" s="30">
        <v>0</v>
      </c>
      <c r="BW684" s="30">
        <v>0</v>
      </c>
      <c r="BX684" s="30">
        <v>0</v>
      </c>
      <c r="BY684" s="30">
        <v>0</v>
      </c>
      <c r="BZ684" s="30">
        <v>0</v>
      </c>
      <c r="CA684" s="30">
        <v>0</v>
      </c>
      <c r="CB684" s="30">
        <v>0</v>
      </c>
      <c r="CC684" s="30">
        <v>0</v>
      </c>
      <c r="CD684" s="30">
        <v>0</v>
      </c>
      <c r="CE684" s="30">
        <v>0</v>
      </c>
      <c r="CF684" s="30">
        <v>0</v>
      </c>
      <c r="CG684" s="30">
        <v>0</v>
      </c>
      <c r="CH684" s="30">
        <v>0</v>
      </c>
      <c r="CI684" s="30">
        <v>0</v>
      </c>
      <c r="CJ684" s="30">
        <v>0</v>
      </c>
      <c r="CK684" s="30">
        <v>0</v>
      </c>
      <c r="CL684" s="30">
        <v>0</v>
      </c>
      <c r="CM684" s="30">
        <v>0</v>
      </c>
      <c r="CN684" s="30">
        <v>0</v>
      </c>
      <c r="CO684" s="30">
        <v>0</v>
      </c>
      <c r="CP684" s="30">
        <v>0</v>
      </c>
      <c r="CQ684" s="30">
        <v>0</v>
      </c>
      <c r="CR684" s="30">
        <v>0</v>
      </c>
      <c r="CS684" s="30">
        <v>0</v>
      </c>
      <c r="CT684" s="30">
        <v>0</v>
      </c>
      <c r="CU684" s="30">
        <v>0</v>
      </c>
      <c r="CV684" s="30">
        <v>0</v>
      </c>
      <c r="CW684" s="30">
        <v>0</v>
      </c>
      <c r="CX684" s="30">
        <v>0</v>
      </c>
      <c r="CY684" s="30">
        <v>0</v>
      </c>
      <c r="CZ684" s="30">
        <v>0</v>
      </c>
      <c r="DA684" s="30">
        <v>0</v>
      </c>
      <c r="DB684" s="30">
        <v>0</v>
      </c>
      <c r="DC684" s="30">
        <v>0</v>
      </c>
      <c r="DD684" s="30">
        <v>0</v>
      </c>
      <c r="DE684" s="30">
        <v>0</v>
      </c>
      <c r="DF684" s="30">
        <v>0</v>
      </c>
      <c r="DG684" s="16">
        <f t="shared" si="59"/>
        <v>0</v>
      </c>
      <c r="DH684" s="16">
        <f t="shared" si="60"/>
        <v>0</v>
      </c>
      <c r="DI684" s="17" t="str">
        <f t="shared" si="61"/>
        <v/>
      </c>
      <c r="DJ684" s="119" t="s">
        <v>719</v>
      </c>
      <c r="DK684" s="44" t="s">
        <v>719</v>
      </c>
    </row>
    <row r="685" spans="1:115">
      <c r="A685" s="32" t="str">
        <f t="shared" si="57"/>
        <v xml:space="preserve">Ausgrid--&gt; 132 kV ; COMMERCIAL &amp; INDUSTRIAL  </v>
      </c>
      <c r="B685" s="32" t="str">
        <f t="shared" si="58"/>
        <v>Ausgrid</v>
      </c>
      <c r="C685" s="397"/>
      <c r="D685" s="31"/>
      <c r="E685" s="30" t="s">
        <v>199</v>
      </c>
      <c r="F685" s="19">
        <v>0</v>
      </c>
      <c r="G685" s="19">
        <v>0</v>
      </c>
      <c r="H685" s="30">
        <v>0</v>
      </c>
      <c r="I685" s="30">
        <v>0</v>
      </c>
      <c r="J685" s="30">
        <v>0</v>
      </c>
      <c r="K685" s="30">
        <v>0</v>
      </c>
      <c r="L685" s="30">
        <v>0</v>
      </c>
      <c r="M685" s="30">
        <v>0</v>
      </c>
      <c r="N685" s="30">
        <v>0</v>
      </c>
      <c r="O685" s="30">
        <v>0</v>
      </c>
      <c r="P685" s="30">
        <v>0</v>
      </c>
      <c r="Q685" s="30">
        <v>0</v>
      </c>
      <c r="R685" s="30">
        <v>0</v>
      </c>
      <c r="S685" s="30">
        <v>0</v>
      </c>
      <c r="T685" s="30">
        <v>0</v>
      </c>
      <c r="U685" s="30">
        <v>0</v>
      </c>
      <c r="V685" s="30">
        <v>0</v>
      </c>
      <c r="W685" s="30">
        <v>0</v>
      </c>
      <c r="X685" s="30">
        <v>0</v>
      </c>
      <c r="Y685" s="30">
        <v>0</v>
      </c>
      <c r="Z685" s="30">
        <v>0</v>
      </c>
      <c r="AA685" s="30">
        <v>0</v>
      </c>
      <c r="AB685" s="30">
        <v>0</v>
      </c>
      <c r="AC685" s="30">
        <v>0</v>
      </c>
      <c r="AD685" s="30">
        <v>0</v>
      </c>
      <c r="AE685" s="30">
        <v>0</v>
      </c>
      <c r="AF685" s="30">
        <v>0</v>
      </c>
      <c r="AG685" s="30">
        <v>0</v>
      </c>
      <c r="AH685" s="30">
        <v>0</v>
      </c>
      <c r="AI685" s="30">
        <v>0</v>
      </c>
      <c r="AJ685" s="30">
        <v>0</v>
      </c>
      <c r="AK685" s="30">
        <v>0</v>
      </c>
      <c r="AL685" s="30">
        <v>0</v>
      </c>
      <c r="AM685" s="30">
        <v>0</v>
      </c>
      <c r="AN685" s="30">
        <v>0</v>
      </c>
      <c r="AO685" s="30">
        <v>0</v>
      </c>
      <c r="AP685" s="30">
        <v>0</v>
      </c>
      <c r="AQ685" s="30">
        <v>0</v>
      </c>
      <c r="AR685" s="30">
        <v>0</v>
      </c>
      <c r="AS685" s="30">
        <v>0</v>
      </c>
      <c r="AT685" s="30">
        <v>0</v>
      </c>
      <c r="AU685" s="30">
        <v>0</v>
      </c>
      <c r="AV685" s="30">
        <v>0</v>
      </c>
      <c r="AW685" s="30">
        <v>0</v>
      </c>
      <c r="AX685" s="30">
        <v>0</v>
      </c>
      <c r="AY685" s="30">
        <v>0</v>
      </c>
      <c r="AZ685" s="30">
        <v>0</v>
      </c>
      <c r="BA685" s="30">
        <v>0</v>
      </c>
      <c r="BB685" s="30">
        <v>0</v>
      </c>
      <c r="BC685" s="30">
        <v>0</v>
      </c>
      <c r="BD685" s="30">
        <v>0</v>
      </c>
      <c r="BE685" s="30">
        <v>0</v>
      </c>
      <c r="BF685" s="30">
        <v>0</v>
      </c>
      <c r="BG685" s="30">
        <v>0</v>
      </c>
      <c r="BH685" s="30">
        <v>0</v>
      </c>
      <c r="BI685" s="30">
        <v>0</v>
      </c>
      <c r="BJ685" s="30">
        <v>0</v>
      </c>
      <c r="BK685" s="30">
        <v>0</v>
      </c>
      <c r="BL685" s="30">
        <v>0</v>
      </c>
      <c r="BM685" s="30">
        <v>0</v>
      </c>
      <c r="BN685" s="30">
        <v>0</v>
      </c>
      <c r="BO685" s="30">
        <v>0</v>
      </c>
      <c r="BP685" s="30">
        <v>0</v>
      </c>
      <c r="BQ685" s="30">
        <v>0</v>
      </c>
      <c r="BR685" s="30">
        <v>0</v>
      </c>
      <c r="BS685" s="30">
        <v>0</v>
      </c>
      <c r="BT685" s="30">
        <v>0</v>
      </c>
      <c r="BU685" s="30">
        <v>0</v>
      </c>
      <c r="BV685" s="30">
        <v>0</v>
      </c>
      <c r="BW685" s="30">
        <v>0</v>
      </c>
      <c r="BX685" s="30">
        <v>0</v>
      </c>
      <c r="BY685" s="30">
        <v>0</v>
      </c>
      <c r="BZ685" s="30">
        <v>0</v>
      </c>
      <c r="CA685" s="30">
        <v>0</v>
      </c>
      <c r="CB685" s="30">
        <v>0</v>
      </c>
      <c r="CC685" s="30">
        <v>0</v>
      </c>
      <c r="CD685" s="30">
        <v>0</v>
      </c>
      <c r="CE685" s="30">
        <v>0</v>
      </c>
      <c r="CF685" s="30">
        <v>0</v>
      </c>
      <c r="CG685" s="30">
        <v>0</v>
      </c>
      <c r="CH685" s="30">
        <v>0</v>
      </c>
      <c r="CI685" s="30">
        <v>0</v>
      </c>
      <c r="CJ685" s="30">
        <v>0</v>
      </c>
      <c r="CK685" s="30">
        <v>0</v>
      </c>
      <c r="CL685" s="30">
        <v>0</v>
      </c>
      <c r="CM685" s="30">
        <v>0</v>
      </c>
      <c r="CN685" s="30">
        <v>0</v>
      </c>
      <c r="CO685" s="30">
        <v>0</v>
      </c>
      <c r="CP685" s="30">
        <v>0</v>
      </c>
      <c r="CQ685" s="30">
        <v>0</v>
      </c>
      <c r="CR685" s="30">
        <v>0</v>
      </c>
      <c r="CS685" s="30">
        <v>0</v>
      </c>
      <c r="CT685" s="30">
        <v>0</v>
      </c>
      <c r="CU685" s="30">
        <v>0</v>
      </c>
      <c r="CV685" s="30">
        <v>0</v>
      </c>
      <c r="CW685" s="30">
        <v>0</v>
      </c>
      <c r="CX685" s="30">
        <v>0</v>
      </c>
      <c r="CY685" s="30">
        <v>0</v>
      </c>
      <c r="CZ685" s="30">
        <v>0</v>
      </c>
      <c r="DA685" s="30">
        <v>0</v>
      </c>
      <c r="DB685" s="30">
        <v>0</v>
      </c>
      <c r="DC685" s="30">
        <v>0</v>
      </c>
      <c r="DD685" s="30">
        <v>0</v>
      </c>
      <c r="DE685" s="30">
        <v>0</v>
      </c>
      <c r="DF685" s="30">
        <v>0</v>
      </c>
      <c r="DG685" s="16">
        <f t="shared" si="59"/>
        <v>0</v>
      </c>
      <c r="DH685" s="16">
        <f t="shared" si="60"/>
        <v>0</v>
      </c>
      <c r="DI685" s="17" t="str">
        <f t="shared" si="61"/>
        <v/>
      </c>
      <c r="DJ685" s="119" t="s">
        <v>719</v>
      </c>
      <c r="DK685" s="44" t="s">
        <v>719</v>
      </c>
    </row>
    <row r="686" spans="1:115">
      <c r="A686" s="32" t="str">
        <f t="shared" si="57"/>
        <v xml:space="preserve">Ausgrid--&gt; 132 kV ; SUBDIVISION  </v>
      </c>
      <c r="B686" s="32" t="str">
        <f t="shared" si="58"/>
        <v>Ausgrid</v>
      </c>
      <c r="C686" s="397"/>
      <c r="D686" s="31"/>
      <c r="E686" s="30" t="s">
        <v>200</v>
      </c>
      <c r="F686" s="19">
        <v>0</v>
      </c>
      <c r="G686" s="19">
        <v>0</v>
      </c>
      <c r="H686" s="30">
        <v>0</v>
      </c>
      <c r="I686" s="30">
        <v>0</v>
      </c>
      <c r="J686" s="30">
        <v>0</v>
      </c>
      <c r="K686" s="30">
        <v>0</v>
      </c>
      <c r="L686" s="30">
        <v>0</v>
      </c>
      <c r="M686" s="30">
        <v>0</v>
      </c>
      <c r="N686" s="30">
        <v>0</v>
      </c>
      <c r="O686" s="30">
        <v>0</v>
      </c>
      <c r="P686" s="30">
        <v>0</v>
      </c>
      <c r="Q686" s="30">
        <v>0</v>
      </c>
      <c r="R686" s="30">
        <v>0</v>
      </c>
      <c r="S686" s="30">
        <v>0</v>
      </c>
      <c r="T686" s="30">
        <v>0</v>
      </c>
      <c r="U686" s="30">
        <v>0</v>
      </c>
      <c r="V686" s="30">
        <v>0</v>
      </c>
      <c r="W686" s="30">
        <v>0</v>
      </c>
      <c r="X686" s="30">
        <v>0</v>
      </c>
      <c r="Y686" s="30">
        <v>0</v>
      </c>
      <c r="Z686" s="30">
        <v>0</v>
      </c>
      <c r="AA686" s="30">
        <v>0</v>
      </c>
      <c r="AB686" s="30">
        <v>0</v>
      </c>
      <c r="AC686" s="30">
        <v>0</v>
      </c>
      <c r="AD686" s="30">
        <v>0</v>
      </c>
      <c r="AE686" s="30">
        <v>0</v>
      </c>
      <c r="AF686" s="30">
        <v>0</v>
      </c>
      <c r="AG686" s="30">
        <v>0</v>
      </c>
      <c r="AH686" s="30">
        <v>0</v>
      </c>
      <c r="AI686" s="30">
        <v>0</v>
      </c>
      <c r="AJ686" s="30">
        <v>0</v>
      </c>
      <c r="AK686" s="30">
        <v>0</v>
      </c>
      <c r="AL686" s="30">
        <v>0</v>
      </c>
      <c r="AM686" s="30">
        <v>0</v>
      </c>
      <c r="AN686" s="30">
        <v>0</v>
      </c>
      <c r="AO686" s="30">
        <v>0</v>
      </c>
      <c r="AP686" s="30">
        <v>0</v>
      </c>
      <c r="AQ686" s="30">
        <v>0</v>
      </c>
      <c r="AR686" s="30">
        <v>0</v>
      </c>
      <c r="AS686" s="30">
        <v>0</v>
      </c>
      <c r="AT686" s="30">
        <v>0</v>
      </c>
      <c r="AU686" s="30">
        <v>0</v>
      </c>
      <c r="AV686" s="30">
        <v>0</v>
      </c>
      <c r="AW686" s="30">
        <v>0</v>
      </c>
      <c r="AX686" s="30">
        <v>0</v>
      </c>
      <c r="AY686" s="30">
        <v>0</v>
      </c>
      <c r="AZ686" s="30">
        <v>0</v>
      </c>
      <c r="BA686" s="30">
        <v>0</v>
      </c>
      <c r="BB686" s="30">
        <v>0</v>
      </c>
      <c r="BC686" s="30">
        <v>0</v>
      </c>
      <c r="BD686" s="30">
        <v>0</v>
      </c>
      <c r="BE686" s="30">
        <v>0</v>
      </c>
      <c r="BF686" s="30">
        <v>0</v>
      </c>
      <c r="BG686" s="30">
        <v>0</v>
      </c>
      <c r="BH686" s="30">
        <v>0</v>
      </c>
      <c r="BI686" s="30">
        <v>0</v>
      </c>
      <c r="BJ686" s="30">
        <v>0</v>
      </c>
      <c r="BK686" s="30">
        <v>0</v>
      </c>
      <c r="BL686" s="30">
        <v>0</v>
      </c>
      <c r="BM686" s="30">
        <v>0</v>
      </c>
      <c r="BN686" s="30">
        <v>0</v>
      </c>
      <c r="BO686" s="30">
        <v>0</v>
      </c>
      <c r="BP686" s="30">
        <v>0</v>
      </c>
      <c r="BQ686" s="30">
        <v>0</v>
      </c>
      <c r="BR686" s="30">
        <v>0</v>
      </c>
      <c r="BS686" s="30">
        <v>0</v>
      </c>
      <c r="BT686" s="30">
        <v>0</v>
      </c>
      <c r="BU686" s="30">
        <v>0</v>
      </c>
      <c r="BV686" s="30">
        <v>0</v>
      </c>
      <c r="BW686" s="30">
        <v>0</v>
      </c>
      <c r="BX686" s="30">
        <v>0</v>
      </c>
      <c r="BY686" s="30">
        <v>0</v>
      </c>
      <c r="BZ686" s="30">
        <v>0</v>
      </c>
      <c r="CA686" s="30">
        <v>0</v>
      </c>
      <c r="CB686" s="30">
        <v>0</v>
      </c>
      <c r="CC686" s="30">
        <v>0</v>
      </c>
      <c r="CD686" s="30">
        <v>0</v>
      </c>
      <c r="CE686" s="30">
        <v>0</v>
      </c>
      <c r="CF686" s="30">
        <v>0</v>
      </c>
      <c r="CG686" s="30">
        <v>0</v>
      </c>
      <c r="CH686" s="30">
        <v>0</v>
      </c>
      <c r="CI686" s="30">
        <v>0</v>
      </c>
      <c r="CJ686" s="30">
        <v>0</v>
      </c>
      <c r="CK686" s="30">
        <v>0</v>
      </c>
      <c r="CL686" s="30">
        <v>0</v>
      </c>
      <c r="CM686" s="30">
        <v>0</v>
      </c>
      <c r="CN686" s="30">
        <v>0</v>
      </c>
      <c r="CO686" s="30">
        <v>0</v>
      </c>
      <c r="CP686" s="30">
        <v>0</v>
      </c>
      <c r="CQ686" s="30">
        <v>0</v>
      </c>
      <c r="CR686" s="30">
        <v>0</v>
      </c>
      <c r="CS686" s="30">
        <v>0</v>
      </c>
      <c r="CT686" s="30">
        <v>0</v>
      </c>
      <c r="CU686" s="30">
        <v>0</v>
      </c>
      <c r="CV686" s="30">
        <v>0</v>
      </c>
      <c r="CW686" s="30">
        <v>0</v>
      </c>
      <c r="CX686" s="30">
        <v>0</v>
      </c>
      <c r="CY686" s="30">
        <v>0</v>
      </c>
      <c r="CZ686" s="30">
        <v>0</v>
      </c>
      <c r="DA686" s="30">
        <v>0</v>
      </c>
      <c r="DB686" s="30">
        <v>0</v>
      </c>
      <c r="DC686" s="30">
        <v>0</v>
      </c>
      <c r="DD686" s="30">
        <v>0</v>
      </c>
      <c r="DE686" s="30">
        <v>0</v>
      </c>
      <c r="DF686" s="30">
        <v>0</v>
      </c>
      <c r="DG686" s="16">
        <f t="shared" si="59"/>
        <v>0</v>
      </c>
      <c r="DH686" s="16">
        <f t="shared" si="60"/>
        <v>0</v>
      </c>
      <c r="DI686" s="17" t="str">
        <f t="shared" si="61"/>
        <v/>
      </c>
      <c r="DJ686" s="119" t="s">
        <v>719</v>
      </c>
      <c r="DK686" s="44" t="s">
        <v>719</v>
      </c>
    </row>
    <row r="687" spans="1:115">
      <c r="A687" s="32" t="str">
        <f t="shared" si="57"/>
        <v>Ausgrid--OTHER - PLEASE ADD A ROW IF NECESSARY AND NOMINATE THE CATEGORY</v>
      </c>
      <c r="B687" s="32" t="str">
        <f t="shared" si="58"/>
        <v>Ausgrid</v>
      </c>
      <c r="C687" s="397"/>
      <c r="D687" s="31"/>
      <c r="E687" s="30" t="s">
        <v>170</v>
      </c>
      <c r="F687" s="19"/>
      <c r="G687" s="19"/>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16">
        <f t="shared" si="59"/>
        <v>0</v>
      </c>
      <c r="DH687" s="16">
        <f t="shared" si="60"/>
        <v>0</v>
      </c>
      <c r="DI687" s="17" t="str">
        <f t="shared" si="61"/>
        <v/>
      </c>
      <c r="DJ687" s="119" t="s">
        <v>719</v>
      </c>
      <c r="DK687" s="44" t="s">
        <v>719</v>
      </c>
    </row>
    <row r="688" spans="1:115">
      <c r="A688" s="32" t="str">
        <f t="shared" si="57"/>
        <v>Ausgrid--&lt; = 11kV; RESIDENTIAL ; SIMPLE ; OVERHEAD</v>
      </c>
      <c r="B688" s="32" t="str">
        <f t="shared" si="58"/>
        <v>Ausgrid</v>
      </c>
      <c r="C688" s="397"/>
      <c r="D688" s="31"/>
      <c r="E688" s="30" t="s">
        <v>666</v>
      </c>
      <c r="F688" s="19">
        <v>30</v>
      </c>
      <c r="G688" s="19">
        <v>5</v>
      </c>
      <c r="H688" s="30">
        <v>18031</v>
      </c>
      <c r="I688" s="30">
        <v>22772</v>
      </c>
      <c r="J688" s="30">
        <v>19470</v>
      </c>
      <c r="K688" s="30">
        <v>22586</v>
      </c>
      <c r="L688" s="30">
        <v>27048</v>
      </c>
      <c r="M688" s="30">
        <v>21105</v>
      </c>
      <c r="N688" s="30">
        <v>16654</v>
      </c>
      <c r="O688" s="30">
        <v>16511</v>
      </c>
      <c r="P688" s="30">
        <v>10268</v>
      </c>
      <c r="Q688" s="30">
        <v>10208</v>
      </c>
      <c r="R688" s="30">
        <v>8795</v>
      </c>
      <c r="S688" s="30">
        <v>11283</v>
      </c>
      <c r="T688" s="30">
        <v>9799</v>
      </c>
      <c r="U688" s="30">
        <v>5939</v>
      </c>
      <c r="V688" s="30">
        <v>4344</v>
      </c>
      <c r="W688" s="30">
        <v>4914</v>
      </c>
      <c r="X688" s="30">
        <v>5026</v>
      </c>
      <c r="Y688" s="30">
        <v>6436</v>
      </c>
      <c r="Z688" s="30">
        <v>7186</v>
      </c>
      <c r="AA688" s="30">
        <v>6431</v>
      </c>
      <c r="AB688" s="30">
        <v>4962</v>
      </c>
      <c r="AC688" s="30">
        <v>4390</v>
      </c>
      <c r="AD688" s="30">
        <v>10099</v>
      </c>
      <c r="AE688" s="30">
        <v>9993</v>
      </c>
      <c r="AF688" s="30">
        <v>8418</v>
      </c>
      <c r="AG688" s="30">
        <v>7288</v>
      </c>
      <c r="AH688" s="30">
        <v>9828</v>
      </c>
      <c r="AI688" s="30">
        <v>9486</v>
      </c>
      <c r="AJ688" s="30">
        <v>7976</v>
      </c>
      <c r="AK688" s="30">
        <v>6347</v>
      </c>
      <c r="AL688" s="30">
        <v>4405</v>
      </c>
      <c r="AM688" s="30">
        <v>7790</v>
      </c>
      <c r="AN688" s="30">
        <v>7126</v>
      </c>
      <c r="AO688" s="30">
        <v>15087</v>
      </c>
      <c r="AP688" s="30">
        <v>7426</v>
      </c>
      <c r="AQ688" s="30">
        <v>5161</v>
      </c>
      <c r="AR688" s="30">
        <v>4800</v>
      </c>
      <c r="AS688" s="30">
        <v>4178</v>
      </c>
      <c r="AT688" s="30">
        <v>4846</v>
      </c>
      <c r="AU688" s="30">
        <v>8428</v>
      </c>
      <c r="AV688" s="30">
        <v>3958</v>
      </c>
      <c r="AW688" s="30">
        <v>6158</v>
      </c>
      <c r="AX688" s="30">
        <v>5488</v>
      </c>
      <c r="AY688" s="30">
        <v>7431</v>
      </c>
      <c r="AZ688" s="30">
        <v>10627</v>
      </c>
      <c r="BA688" s="30">
        <v>11806</v>
      </c>
      <c r="BB688" s="30">
        <v>7799</v>
      </c>
      <c r="BC688" s="30">
        <v>13296</v>
      </c>
      <c r="BD688" s="30">
        <v>16859</v>
      </c>
      <c r="BE688" s="30">
        <v>14769</v>
      </c>
      <c r="BF688" s="30">
        <v>28380</v>
      </c>
      <c r="BG688" s="30">
        <v>13965</v>
      </c>
      <c r="BH688" s="30">
        <v>18168</v>
      </c>
      <c r="BI688" s="30">
        <v>25652</v>
      </c>
      <c r="BJ688" s="30">
        <v>21173</v>
      </c>
      <c r="BK688" s="30">
        <v>9686</v>
      </c>
      <c r="BL688" s="30">
        <v>11520</v>
      </c>
      <c r="BM688" s="30">
        <v>14083</v>
      </c>
      <c r="BN688" s="30">
        <v>4009</v>
      </c>
      <c r="BO688" s="30">
        <v>2440</v>
      </c>
      <c r="BP688" s="30">
        <v>2041</v>
      </c>
      <c r="BQ688" s="30">
        <v>1542</v>
      </c>
      <c r="BR688" s="30">
        <v>2095</v>
      </c>
      <c r="BS688" s="30">
        <v>785</v>
      </c>
      <c r="BT688" s="30">
        <v>1233</v>
      </c>
      <c r="BU688" s="30">
        <v>342</v>
      </c>
      <c r="BV688" s="30">
        <v>20</v>
      </c>
      <c r="BW688" s="30">
        <v>397</v>
      </c>
      <c r="BX688" s="30">
        <v>846</v>
      </c>
      <c r="BY688" s="30">
        <v>0</v>
      </c>
      <c r="BZ688" s="30">
        <v>0</v>
      </c>
      <c r="CA688" s="30">
        <v>1</v>
      </c>
      <c r="CB688" s="30">
        <v>0</v>
      </c>
      <c r="CC688" s="30">
        <v>2153</v>
      </c>
      <c r="CD688" s="30">
        <v>1</v>
      </c>
      <c r="CE688" s="30">
        <v>2</v>
      </c>
      <c r="CF688" s="30">
        <v>4</v>
      </c>
      <c r="CG688" s="30">
        <v>0</v>
      </c>
      <c r="CH688" s="30">
        <v>0</v>
      </c>
      <c r="CI688" s="30">
        <v>0</v>
      </c>
      <c r="CJ688" s="30">
        <v>0</v>
      </c>
      <c r="CK688" s="30">
        <v>0</v>
      </c>
      <c r="CL688" s="30">
        <v>0</v>
      </c>
      <c r="CM688" s="30">
        <v>0</v>
      </c>
      <c r="CN688" s="30">
        <v>0</v>
      </c>
      <c r="CO688" s="30">
        <v>3285</v>
      </c>
      <c r="CP688" s="30">
        <v>1067</v>
      </c>
      <c r="CQ688" s="30">
        <v>0</v>
      </c>
      <c r="CR688" s="30">
        <v>0</v>
      </c>
      <c r="CS688" s="30">
        <v>0</v>
      </c>
      <c r="CT688" s="30">
        <v>0</v>
      </c>
      <c r="CU688" s="30">
        <v>0</v>
      </c>
      <c r="CV688" s="30">
        <v>0</v>
      </c>
      <c r="CW688" s="30">
        <v>4077</v>
      </c>
      <c r="CX688" s="30">
        <v>0</v>
      </c>
      <c r="CY688" s="30">
        <v>0</v>
      </c>
      <c r="CZ688" s="30">
        <v>0</v>
      </c>
      <c r="DA688" s="30">
        <v>0</v>
      </c>
      <c r="DB688" s="30">
        <v>0</v>
      </c>
      <c r="DC688" s="30">
        <v>0</v>
      </c>
      <c r="DD688" s="30">
        <v>0</v>
      </c>
      <c r="DE688" s="30">
        <v>0</v>
      </c>
      <c r="DF688" s="30">
        <v>60</v>
      </c>
      <c r="DG688" s="16">
        <f t="shared" si="59"/>
        <v>670058</v>
      </c>
      <c r="DH688" s="16">
        <f t="shared" si="60"/>
        <v>20613787</v>
      </c>
      <c r="DI688" s="17">
        <f t="shared" si="61"/>
        <v>30.764183100567415</v>
      </c>
      <c r="DJ688" s="119" t="s">
        <v>1197</v>
      </c>
      <c r="DK688" s="44" t="s">
        <v>1197</v>
      </c>
    </row>
    <row r="689" spans="1:115">
      <c r="A689" s="32" t="str">
        <f t="shared" si="57"/>
        <v>Ausgrid--&lt; = 11kV; RESIDENTIAL ; SIMPLE ; UNDERGROUND</v>
      </c>
      <c r="B689" s="32" t="str">
        <f t="shared" si="58"/>
        <v>Ausgrid</v>
      </c>
      <c r="C689" s="397"/>
      <c r="D689" s="31"/>
      <c r="E689" s="30" t="s">
        <v>667</v>
      </c>
      <c r="F689" s="19">
        <v>44.88</v>
      </c>
      <c r="G689" s="19">
        <v>21.5</v>
      </c>
      <c r="H689" s="30">
        <v>977</v>
      </c>
      <c r="I689" s="30">
        <v>2159</v>
      </c>
      <c r="J689" s="30">
        <v>3904</v>
      </c>
      <c r="K689" s="30">
        <v>3451</v>
      </c>
      <c r="L689" s="30">
        <v>3445</v>
      </c>
      <c r="M689" s="30">
        <v>2896</v>
      </c>
      <c r="N689" s="30">
        <v>3358</v>
      </c>
      <c r="O689" s="30">
        <v>4375</v>
      </c>
      <c r="P689" s="30">
        <v>5344</v>
      </c>
      <c r="Q689" s="30">
        <v>4260</v>
      </c>
      <c r="R689" s="30">
        <v>3686</v>
      </c>
      <c r="S689" s="30">
        <v>2289</v>
      </c>
      <c r="T689" s="30">
        <v>2667</v>
      </c>
      <c r="U689" s="30">
        <v>3417</v>
      </c>
      <c r="V689" s="30">
        <v>3088</v>
      </c>
      <c r="W689" s="30">
        <v>2080</v>
      </c>
      <c r="X689" s="30">
        <v>3568</v>
      </c>
      <c r="Y689" s="30">
        <v>2022</v>
      </c>
      <c r="Z689" s="30">
        <v>4090</v>
      </c>
      <c r="AA689" s="30">
        <v>1806</v>
      </c>
      <c r="AB689" s="30">
        <v>1815</v>
      </c>
      <c r="AC689" s="30">
        <v>1543</v>
      </c>
      <c r="AD689" s="30">
        <v>1407</v>
      </c>
      <c r="AE689" s="30">
        <v>1154</v>
      </c>
      <c r="AF689" s="30">
        <v>3018</v>
      </c>
      <c r="AG689" s="30">
        <v>1156</v>
      </c>
      <c r="AH689" s="30">
        <v>1594</v>
      </c>
      <c r="AI689" s="30">
        <v>1036</v>
      </c>
      <c r="AJ689" s="30">
        <v>2800</v>
      </c>
      <c r="AK689" s="30">
        <v>917</v>
      </c>
      <c r="AL689" s="30">
        <v>2706</v>
      </c>
      <c r="AM689" s="30">
        <v>4107</v>
      </c>
      <c r="AN689" s="30">
        <v>6601</v>
      </c>
      <c r="AO689" s="30">
        <v>7842</v>
      </c>
      <c r="AP689" s="30">
        <v>7356</v>
      </c>
      <c r="AQ689" s="30">
        <v>6472</v>
      </c>
      <c r="AR689" s="30">
        <v>4807</v>
      </c>
      <c r="AS689" s="30">
        <v>411</v>
      </c>
      <c r="AT689" s="30">
        <v>1579</v>
      </c>
      <c r="AU689" s="30">
        <v>3280</v>
      </c>
      <c r="AV689" s="30">
        <v>428</v>
      </c>
      <c r="AW689" s="30">
        <v>4779</v>
      </c>
      <c r="AX689" s="30">
        <v>1178</v>
      </c>
      <c r="AY689" s="30">
        <v>3936</v>
      </c>
      <c r="AZ689" s="30">
        <v>4191</v>
      </c>
      <c r="BA689" s="30">
        <v>5164</v>
      </c>
      <c r="BB689" s="30">
        <v>1021</v>
      </c>
      <c r="BC689" s="30">
        <v>5446</v>
      </c>
      <c r="BD689" s="30">
        <v>6902</v>
      </c>
      <c r="BE689" s="30">
        <v>5453</v>
      </c>
      <c r="BF689" s="30">
        <v>8077</v>
      </c>
      <c r="BG689" s="30">
        <v>2798</v>
      </c>
      <c r="BH689" s="30">
        <v>5851</v>
      </c>
      <c r="BI689" s="30">
        <v>10123</v>
      </c>
      <c r="BJ689" s="30">
        <v>7481</v>
      </c>
      <c r="BK689" s="30">
        <v>8563</v>
      </c>
      <c r="BL689" s="30">
        <v>4232</v>
      </c>
      <c r="BM689" s="30">
        <v>4006</v>
      </c>
      <c r="BN689" s="30">
        <v>3531</v>
      </c>
      <c r="BO689" s="30">
        <v>2174</v>
      </c>
      <c r="BP689" s="30">
        <v>377</v>
      </c>
      <c r="BQ689" s="30">
        <v>2704</v>
      </c>
      <c r="BR689" s="30">
        <v>2346</v>
      </c>
      <c r="BS689" s="30">
        <v>2311</v>
      </c>
      <c r="BT689" s="30">
        <v>2273</v>
      </c>
      <c r="BU689" s="30">
        <v>2868</v>
      </c>
      <c r="BV689" s="30">
        <v>32</v>
      </c>
      <c r="BW689" s="30">
        <v>631</v>
      </c>
      <c r="BX689" s="30">
        <v>1714</v>
      </c>
      <c r="BY689" s="30">
        <v>0</v>
      </c>
      <c r="BZ689" s="30">
        <v>0</v>
      </c>
      <c r="CA689" s="30">
        <v>0</v>
      </c>
      <c r="CB689" s="30">
        <v>0</v>
      </c>
      <c r="CC689" s="30">
        <v>190</v>
      </c>
      <c r="CD689" s="30">
        <v>1</v>
      </c>
      <c r="CE689" s="30">
        <v>0</v>
      </c>
      <c r="CF689" s="30">
        <v>1</v>
      </c>
      <c r="CG689" s="30">
        <v>0</v>
      </c>
      <c r="CH689" s="30">
        <v>0</v>
      </c>
      <c r="CI689" s="30">
        <v>0</v>
      </c>
      <c r="CJ689" s="30">
        <v>0</v>
      </c>
      <c r="CK689" s="30">
        <v>0</v>
      </c>
      <c r="CL689" s="30">
        <v>0</v>
      </c>
      <c r="CM689" s="30">
        <v>0</v>
      </c>
      <c r="CN689" s="30">
        <v>0</v>
      </c>
      <c r="CO689" s="30">
        <v>4999</v>
      </c>
      <c r="CP689" s="30">
        <v>254</v>
      </c>
      <c r="CQ689" s="30">
        <v>0</v>
      </c>
      <c r="CR689" s="30">
        <v>0</v>
      </c>
      <c r="CS689" s="30">
        <v>0</v>
      </c>
      <c r="CT689" s="30">
        <v>0</v>
      </c>
      <c r="CU689" s="30">
        <v>0</v>
      </c>
      <c r="CV689" s="30">
        <v>0</v>
      </c>
      <c r="CW689" s="30">
        <v>345</v>
      </c>
      <c r="CX689" s="30">
        <v>0</v>
      </c>
      <c r="CY689" s="30">
        <v>0</v>
      </c>
      <c r="CZ689" s="30">
        <v>0</v>
      </c>
      <c r="DA689" s="30">
        <v>0</v>
      </c>
      <c r="DB689" s="30">
        <v>0</v>
      </c>
      <c r="DC689" s="30">
        <v>0</v>
      </c>
      <c r="DD689" s="30">
        <v>0</v>
      </c>
      <c r="DE689" s="30">
        <v>0</v>
      </c>
      <c r="DF689" s="30">
        <v>7</v>
      </c>
      <c r="DG689" s="16">
        <f t="shared" si="59"/>
        <v>240870</v>
      </c>
      <c r="DH689" s="16">
        <f t="shared" si="60"/>
        <v>9042531</v>
      </c>
      <c r="DI689" s="17">
        <f t="shared" si="61"/>
        <v>37.541125918545276</v>
      </c>
      <c r="DJ689" s="119" t="s">
        <v>1197</v>
      </c>
      <c r="DK689" s="44" t="s">
        <v>1197</v>
      </c>
    </row>
    <row r="690" spans="1:115">
      <c r="A690" s="32" t="str">
        <f t="shared" si="57"/>
        <v>Ausgrid--&lt; = 11kV; COMMERCIAL &amp; INDUSTRIAL ; SIMPLE ; OVERHEAD</v>
      </c>
      <c r="B690" s="32" t="str">
        <f t="shared" si="58"/>
        <v>Ausgrid</v>
      </c>
      <c r="C690" s="397"/>
      <c r="D690" s="31"/>
      <c r="E690" s="30" t="s">
        <v>668</v>
      </c>
      <c r="F690" s="19">
        <v>30</v>
      </c>
      <c r="G690" s="19">
        <v>5</v>
      </c>
      <c r="H690" s="30">
        <v>585</v>
      </c>
      <c r="I690" s="30">
        <v>630</v>
      </c>
      <c r="J690" s="30">
        <v>530</v>
      </c>
      <c r="K690" s="30">
        <v>601</v>
      </c>
      <c r="L690" s="30">
        <v>544</v>
      </c>
      <c r="M690" s="30">
        <v>499</v>
      </c>
      <c r="N690" s="30">
        <v>425</v>
      </c>
      <c r="O690" s="30">
        <v>1195</v>
      </c>
      <c r="P690" s="30">
        <v>1967</v>
      </c>
      <c r="Q690" s="30">
        <v>842</v>
      </c>
      <c r="R690" s="30">
        <v>583</v>
      </c>
      <c r="S690" s="30">
        <v>818</v>
      </c>
      <c r="T690" s="30">
        <v>881</v>
      </c>
      <c r="U690" s="30">
        <v>612</v>
      </c>
      <c r="V690" s="30">
        <v>461</v>
      </c>
      <c r="W690" s="30">
        <v>402</v>
      </c>
      <c r="X690" s="30">
        <v>400</v>
      </c>
      <c r="Y690" s="30">
        <v>454</v>
      </c>
      <c r="Z690" s="30">
        <v>475</v>
      </c>
      <c r="AA690" s="30">
        <v>458</v>
      </c>
      <c r="AB690" s="30">
        <v>370</v>
      </c>
      <c r="AC690" s="30">
        <v>381</v>
      </c>
      <c r="AD690" s="30">
        <v>584</v>
      </c>
      <c r="AE690" s="30">
        <v>551</v>
      </c>
      <c r="AF690" s="30">
        <v>592</v>
      </c>
      <c r="AG690" s="30">
        <v>438</v>
      </c>
      <c r="AH690" s="30">
        <v>581</v>
      </c>
      <c r="AI690" s="30">
        <v>584</v>
      </c>
      <c r="AJ690" s="30">
        <v>499</v>
      </c>
      <c r="AK690" s="30">
        <v>404</v>
      </c>
      <c r="AL690" s="30">
        <v>340</v>
      </c>
      <c r="AM690" s="30">
        <v>511</v>
      </c>
      <c r="AN690" s="30">
        <v>466</v>
      </c>
      <c r="AO690" s="30">
        <v>856</v>
      </c>
      <c r="AP690" s="30">
        <v>482</v>
      </c>
      <c r="AQ690" s="30">
        <v>364</v>
      </c>
      <c r="AR690" s="30">
        <v>300</v>
      </c>
      <c r="AS690" s="30">
        <v>244</v>
      </c>
      <c r="AT690" s="30">
        <v>272</v>
      </c>
      <c r="AU690" s="30">
        <v>350</v>
      </c>
      <c r="AV690" s="30">
        <v>289</v>
      </c>
      <c r="AW690" s="30">
        <v>345</v>
      </c>
      <c r="AX690" s="30">
        <v>306</v>
      </c>
      <c r="AY690" s="30">
        <v>470</v>
      </c>
      <c r="AZ690" s="30">
        <v>443</v>
      </c>
      <c r="BA690" s="30">
        <v>883</v>
      </c>
      <c r="BB690" s="30">
        <v>362</v>
      </c>
      <c r="BC690" s="30">
        <v>636</v>
      </c>
      <c r="BD690" s="30">
        <v>994</v>
      </c>
      <c r="BE690" s="30">
        <v>983</v>
      </c>
      <c r="BF690" s="30">
        <v>1304</v>
      </c>
      <c r="BG690" s="30">
        <v>750</v>
      </c>
      <c r="BH690" s="30">
        <v>1167</v>
      </c>
      <c r="BI690" s="30">
        <v>1337</v>
      </c>
      <c r="BJ690" s="30">
        <v>1007</v>
      </c>
      <c r="BK690" s="30">
        <v>625</v>
      </c>
      <c r="BL690" s="30">
        <v>674</v>
      </c>
      <c r="BM690" s="30">
        <v>780</v>
      </c>
      <c r="BN690" s="30">
        <v>308</v>
      </c>
      <c r="BO690" s="30">
        <v>153</v>
      </c>
      <c r="BP690" s="30">
        <v>76</v>
      </c>
      <c r="BQ690" s="30">
        <v>87</v>
      </c>
      <c r="BR690" s="30">
        <v>86</v>
      </c>
      <c r="BS690" s="30">
        <v>67</v>
      </c>
      <c r="BT690" s="30">
        <v>97</v>
      </c>
      <c r="BU690" s="30">
        <v>18</v>
      </c>
      <c r="BV690" s="30">
        <v>4</v>
      </c>
      <c r="BW690" s="30">
        <v>9</v>
      </c>
      <c r="BX690" s="30">
        <v>47</v>
      </c>
      <c r="BY690" s="30">
        <v>0</v>
      </c>
      <c r="BZ690" s="30">
        <v>0</v>
      </c>
      <c r="CA690" s="30">
        <v>0</v>
      </c>
      <c r="CB690" s="30">
        <v>0</v>
      </c>
      <c r="CC690" s="30">
        <v>82</v>
      </c>
      <c r="CD690" s="30">
        <v>0</v>
      </c>
      <c r="CE690" s="30">
        <v>0</v>
      </c>
      <c r="CF690" s="30">
        <v>0</v>
      </c>
      <c r="CG690" s="30">
        <v>0</v>
      </c>
      <c r="CH690" s="30">
        <v>0</v>
      </c>
      <c r="CI690" s="30">
        <v>0</v>
      </c>
      <c r="CJ690" s="30">
        <v>0</v>
      </c>
      <c r="CK690" s="30">
        <v>0</v>
      </c>
      <c r="CL690" s="30">
        <v>0</v>
      </c>
      <c r="CM690" s="30">
        <v>0</v>
      </c>
      <c r="CN690" s="30">
        <v>0</v>
      </c>
      <c r="CO690" s="30">
        <v>137</v>
      </c>
      <c r="CP690" s="30">
        <v>162</v>
      </c>
      <c r="CQ690" s="30">
        <v>0</v>
      </c>
      <c r="CR690" s="30">
        <v>0</v>
      </c>
      <c r="CS690" s="30">
        <v>0</v>
      </c>
      <c r="CT690" s="30">
        <v>0</v>
      </c>
      <c r="CU690" s="30">
        <v>0</v>
      </c>
      <c r="CV690" s="30">
        <v>0</v>
      </c>
      <c r="CW690" s="30">
        <v>143</v>
      </c>
      <c r="CX690" s="30">
        <v>0</v>
      </c>
      <c r="CY690" s="30">
        <v>0</v>
      </c>
      <c r="CZ690" s="30">
        <v>0</v>
      </c>
      <c r="DA690" s="30">
        <v>0</v>
      </c>
      <c r="DB690" s="30">
        <v>0</v>
      </c>
      <c r="DC690" s="30">
        <v>0</v>
      </c>
      <c r="DD690" s="30">
        <v>0</v>
      </c>
      <c r="DE690" s="30">
        <v>0</v>
      </c>
      <c r="DF690" s="30">
        <v>1</v>
      </c>
      <c r="DG690" s="16">
        <f t="shared" si="59"/>
        <v>37363</v>
      </c>
      <c r="DH690" s="16">
        <f t="shared" si="60"/>
        <v>1190836</v>
      </c>
      <c r="DI690" s="17">
        <f t="shared" si="61"/>
        <v>31.872065947595214</v>
      </c>
      <c r="DJ690" s="119" t="s">
        <v>1197</v>
      </c>
      <c r="DK690" s="44" t="s">
        <v>1197</v>
      </c>
    </row>
    <row r="691" spans="1:115">
      <c r="A691" s="32" t="str">
        <f t="shared" si="57"/>
        <v>Ausgrid--&lt; = 11kV; COMMERCIAL &amp; INDUSTRIAL ; SIMPLE ; UNDERGROUND</v>
      </c>
      <c r="B691" s="32" t="str">
        <f t="shared" si="58"/>
        <v>Ausgrid</v>
      </c>
      <c r="C691" s="397"/>
      <c r="D691" s="31"/>
      <c r="E691" s="30" t="s">
        <v>669</v>
      </c>
      <c r="F691" s="19">
        <v>44.88</v>
      </c>
      <c r="G691" s="19">
        <v>21.5</v>
      </c>
      <c r="H691" s="30">
        <v>410</v>
      </c>
      <c r="I691" s="30">
        <v>356</v>
      </c>
      <c r="J691" s="30">
        <v>740</v>
      </c>
      <c r="K691" s="30">
        <v>686</v>
      </c>
      <c r="L691" s="30">
        <v>1047</v>
      </c>
      <c r="M691" s="30">
        <v>964</v>
      </c>
      <c r="N691" s="30">
        <v>837</v>
      </c>
      <c r="O691" s="30">
        <v>1311</v>
      </c>
      <c r="P691" s="30">
        <v>1629</v>
      </c>
      <c r="Q691" s="30">
        <v>724</v>
      </c>
      <c r="R691" s="30">
        <v>432</v>
      </c>
      <c r="S691" s="30">
        <v>319</v>
      </c>
      <c r="T691" s="30">
        <v>409</v>
      </c>
      <c r="U691" s="30">
        <v>400</v>
      </c>
      <c r="V691" s="30">
        <v>212</v>
      </c>
      <c r="W691" s="30">
        <v>277</v>
      </c>
      <c r="X691" s="30">
        <v>148</v>
      </c>
      <c r="Y691" s="30">
        <v>128</v>
      </c>
      <c r="Z691" s="30">
        <v>160</v>
      </c>
      <c r="AA691" s="30">
        <v>114</v>
      </c>
      <c r="AB691" s="30">
        <v>145</v>
      </c>
      <c r="AC691" s="30">
        <v>122</v>
      </c>
      <c r="AD691" s="30">
        <v>139</v>
      </c>
      <c r="AE691" s="30">
        <v>142</v>
      </c>
      <c r="AF691" s="30">
        <v>133</v>
      </c>
      <c r="AG691" s="30">
        <v>148</v>
      </c>
      <c r="AH691" s="30">
        <v>97</v>
      </c>
      <c r="AI691" s="30">
        <v>216</v>
      </c>
      <c r="AJ691" s="30">
        <v>308</v>
      </c>
      <c r="AK691" s="30">
        <v>85</v>
      </c>
      <c r="AL691" s="30">
        <v>522</v>
      </c>
      <c r="AM691" s="30">
        <v>107</v>
      </c>
      <c r="AN691" s="30">
        <v>99</v>
      </c>
      <c r="AO691" s="30">
        <v>829</v>
      </c>
      <c r="AP691" s="30">
        <v>352</v>
      </c>
      <c r="AQ691" s="30">
        <v>291</v>
      </c>
      <c r="AR691" s="30">
        <v>431</v>
      </c>
      <c r="AS691" s="30">
        <v>52</v>
      </c>
      <c r="AT691" s="30">
        <v>94</v>
      </c>
      <c r="AU691" s="30">
        <v>520</v>
      </c>
      <c r="AV691" s="30">
        <v>116</v>
      </c>
      <c r="AW691" s="30">
        <v>452</v>
      </c>
      <c r="AX691" s="30">
        <v>163</v>
      </c>
      <c r="AY691" s="30">
        <v>344</v>
      </c>
      <c r="AZ691" s="30">
        <v>293</v>
      </c>
      <c r="BA691" s="30">
        <v>1813</v>
      </c>
      <c r="BB691" s="30">
        <v>225</v>
      </c>
      <c r="BC691" s="30">
        <v>921</v>
      </c>
      <c r="BD691" s="30">
        <v>1495</v>
      </c>
      <c r="BE691" s="30">
        <v>930</v>
      </c>
      <c r="BF691" s="30">
        <v>1160</v>
      </c>
      <c r="BG691" s="30">
        <v>988</v>
      </c>
      <c r="BH691" s="30">
        <v>1057</v>
      </c>
      <c r="BI691" s="30">
        <v>972</v>
      </c>
      <c r="BJ691" s="30">
        <v>1166</v>
      </c>
      <c r="BK691" s="30">
        <v>1094</v>
      </c>
      <c r="BL691" s="30">
        <v>1232</v>
      </c>
      <c r="BM691" s="30">
        <v>560</v>
      </c>
      <c r="BN691" s="30">
        <v>1803</v>
      </c>
      <c r="BO691" s="30">
        <v>165</v>
      </c>
      <c r="BP691" s="30">
        <v>90</v>
      </c>
      <c r="BQ691" s="30">
        <v>389</v>
      </c>
      <c r="BR691" s="30">
        <v>363</v>
      </c>
      <c r="BS691" s="30">
        <v>151</v>
      </c>
      <c r="BT691" s="30">
        <v>237</v>
      </c>
      <c r="BU691" s="30">
        <v>208</v>
      </c>
      <c r="BV691" s="30">
        <v>2</v>
      </c>
      <c r="BW691" s="30">
        <v>41</v>
      </c>
      <c r="BX691" s="30">
        <v>211</v>
      </c>
      <c r="BY691" s="30">
        <v>0</v>
      </c>
      <c r="BZ691" s="30">
        <v>0</v>
      </c>
      <c r="CA691" s="30">
        <v>0</v>
      </c>
      <c r="CB691" s="30">
        <v>0</v>
      </c>
      <c r="CC691" s="30">
        <v>27</v>
      </c>
      <c r="CD691" s="30">
        <v>0</v>
      </c>
      <c r="CE691" s="30">
        <v>0</v>
      </c>
      <c r="CF691" s="30">
        <v>0</v>
      </c>
      <c r="CG691" s="30">
        <v>0</v>
      </c>
      <c r="CH691" s="30">
        <v>0</v>
      </c>
      <c r="CI691" s="30">
        <v>0</v>
      </c>
      <c r="CJ691" s="30">
        <v>0</v>
      </c>
      <c r="CK691" s="30">
        <v>0</v>
      </c>
      <c r="CL691" s="30">
        <v>0</v>
      </c>
      <c r="CM691" s="30">
        <v>0</v>
      </c>
      <c r="CN691" s="30">
        <v>0</v>
      </c>
      <c r="CO691" s="30">
        <v>587</v>
      </c>
      <c r="CP691" s="30">
        <v>256</v>
      </c>
      <c r="CQ691" s="30">
        <v>0</v>
      </c>
      <c r="CR691" s="30">
        <v>0</v>
      </c>
      <c r="CS691" s="30">
        <v>0</v>
      </c>
      <c r="CT691" s="30">
        <v>0</v>
      </c>
      <c r="CU691" s="30">
        <v>0</v>
      </c>
      <c r="CV691" s="30">
        <v>0</v>
      </c>
      <c r="CW691" s="30">
        <v>57</v>
      </c>
      <c r="CX691" s="30">
        <v>0</v>
      </c>
      <c r="CY691" s="30">
        <v>0</v>
      </c>
      <c r="CZ691" s="30">
        <v>0</v>
      </c>
      <c r="DA691" s="30">
        <v>0</v>
      </c>
      <c r="DB691" s="30">
        <v>0</v>
      </c>
      <c r="DC691" s="30">
        <v>0</v>
      </c>
      <c r="DD691" s="30">
        <v>0</v>
      </c>
      <c r="DE691" s="30">
        <v>0</v>
      </c>
      <c r="DF691" s="30">
        <v>0</v>
      </c>
      <c r="DG691" s="16">
        <f t="shared" si="59"/>
        <v>35703</v>
      </c>
      <c r="DH691" s="16">
        <f t="shared" si="60"/>
        <v>1317793</v>
      </c>
      <c r="DI691" s="17">
        <f t="shared" si="61"/>
        <v>36.909867518135734</v>
      </c>
      <c r="DJ691" s="119" t="s">
        <v>1197</v>
      </c>
      <c r="DK691" s="44" t="s">
        <v>1197</v>
      </c>
    </row>
    <row r="692" spans="1:115" ht="75">
      <c r="A692" s="32" t="str">
        <f t="shared" si="57"/>
        <v>Ausgrid-TRANSFORMERS BY: 
MOUNTING TYPE; HIGHEST OPERATING VOLTAGE ; AMPERE RATING; NUMBER OF PHASES (AT LV)-POLE MOUNTED ; &lt; = 22kV ;  &lt; = 60 kVA ; SINGLE PHASE</v>
      </c>
      <c r="B692" s="32" t="str">
        <f t="shared" si="58"/>
        <v>Ausgrid</v>
      </c>
      <c r="C692" s="397"/>
      <c r="D692" s="31" t="s">
        <v>544</v>
      </c>
      <c r="E692" s="30" t="s">
        <v>203</v>
      </c>
      <c r="F692" s="19">
        <v>32.33</v>
      </c>
      <c r="G692" s="19">
        <v>10.34</v>
      </c>
      <c r="H692" s="30">
        <v>70</v>
      </c>
      <c r="I692" s="30">
        <v>71</v>
      </c>
      <c r="J692" s="30">
        <v>77</v>
      </c>
      <c r="K692" s="30">
        <v>80</v>
      </c>
      <c r="L692" s="30">
        <v>124</v>
      </c>
      <c r="M692" s="30">
        <v>205</v>
      </c>
      <c r="N692" s="30">
        <v>106</v>
      </c>
      <c r="O692" s="30">
        <v>70</v>
      </c>
      <c r="P692" s="30">
        <v>46</v>
      </c>
      <c r="Q692" s="30">
        <v>55</v>
      </c>
      <c r="R692" s="30">
        <v>50</v>
      </c>
      <c r="S692" s="30">
        <v>18</v>
      </c>
      <c r="T692" s="30">
        <v>191</v>
      </c>
      <c r="U692" s="30">
        <v>42</v>
      </c>
      <c r="V692" s="30">
        <v>22</v>
      </c>
      <c r="W692" s="30">
        <v>50</v>
      </c>
      <c r="X692" s="30">
        <v>105</v>
      </c>
      <c r="Y692" s="30">
        <v>95</v>
      </c>
      <c r="Z692" s="30">
        <v>188</v>
      </c>
      <c r="AA692" s="30">
        <v>144</v>
      </c>
      <c r="AB692" s="30">
        <v>195</v>
      </c>
      <c r="AC692" s="30">
        <v>72</v>
      </c>
      <c r="AD692" s="30">
        <v>104</v>
      </c>
      <c r="AE692" s="30">
        <v>290</v>
      </c>
      <c r="AF692" s="30">
        <v>101</v>
      </c>
      <c r="AG692" s="30">
        <v>65</v>
      </c>
      <c r="AH692" s="30">
        <v>116</v>
      </c>
      <c r="AI692" s="30">
        <v>94</v>
      </c>
      <c r="AJ692" s="30">
        <v>82</v>
      </c>
      <c r="AK692" s="30">
        <v>72</v>
      </c>
      <c r="AL692" s="30">
        <v>189</v>
      </c>
      <c r="AM692" s="30">
        <v>163</v>
      </c>
      <c r="AN692" s="30">
        <v>116</v>
      </c>
      <c r="AO692" s="30">
        <v>106</v>
      </c>
      <c r="AP692" s="30">
        <v>80</v>
      </c>
      <c r="AQ692" s="30">
        <v>58</v>
      </c>
      <c r="AR692" s="30">
        <v>59</v>
      </c>
      <c r="AS692" s="30">
        <v>38</v>
      </c>
      <c r="AT692" s="30">
        <v>45</v>
      </c>
      <c r="AU692" s="30">
        <v>40</v>
      </c>
      <c r="AV692" s="30">
        <v>53</v>
      </c>
      <c r="AW692" s="30">
        <v>26</v>
      </c>
      <c r="AX692" s="30">
        <v>33</v>
      </c>
      <c r="AY692" s="30">
        <v>36</v>
      </c>
      <c r="AZ692" s="30">
        <v>21</v>
      </c>
      <c r="BA692" s="30">
        <v>31</v>
      </c>
      <c r="BB692" s="30">
        <v>27</v>
      </c>
      <c r="BC692" s="30">
        <v>19</v>
      </c>
      <c r="BD692" s="30">
        <v>25</v>
      </c>
      <c r="BE692" s="30">
        <v>28</v>
      </c>
      <c r="BF692" s="30">
        <v>21</v>
      </c>
      <c r="BG692" s="30">
        <v>23</v>
      </c>
      <c r="BH692" s="30">
        <v>42</v>
      </c>
      <c r="BI692" s="30">
        <v>12</v>
      </c>
      <c r="BJ692" s="30">
        <v>21</v>
      </c>
      <c r="BK692" s="30">
        <v>26</v>
      </c>
      <c r="BL692" s="30">
        <v>16</v>
      </c>
      <c r="BM692" s="30">
        <v>5</v>
      </c>
      <c r="BN692" s="30">
        <v>2</v>
      </c>
      <c r="BO692" s="30">
        <v>0</v>
      </c>
      <c r="BP692" s="30">
        <v>0</v>
      </c>
      <c r="BQ692" s="30">
        <v>1</v>
      </c>
      <c r="BR692" s="30">
        <v>1</v>
      </c>
      <c r="BS692" s="30">
        <v>284</v>
      </c>
      <c r="BT692" s="30">
        <v>1</v>
      </c>
      <c r="BU692" s="30">
        <v>0</v>
      </c>
      <c r="BV692" s="30">
        <v>0</v>
      </c>
      <c r="BW692" s="30">
        <v>0</v>
      </c>
      <c r="BX692" s="30">
        <v>0</v>
      </c>
      <c r="BY692" s="30">
        <v>0</v>
      </c>
      <c r="BZ692" s="30">
        <v>0</v>
      </c>
      <c r="CA692" s="30">
        <v>0</v>
      </c>
      <c r="CB692" s="30">
        <v>0</v>
      </c>
      <c r="CC692" s="30">
        <v>0</v>
      </c>
      <c r="CD692" s="30">
        <v>0</v>
      </c>
      <c r="CE692" s="30">
        <v>0</v>
      </c>
      <c r="CF692" s="30">
        <v>0</v>
      </c>
      <c r="CG692" s="30">
        <v>0</v>
      </c>
      <c r="CH692" s="30">
        <v>0</v>
      </c>
      <c r="CI692" s="30">
        <v>0</v>
      </c>
      <c r="CJ692" s="30">
        <v>0</v>
      </c>
      <c r="CK692" s="30">
        <v>0</v>
      </c>
      <c r="CL692" s="30">
        <v>0</v>
      </c>
      <c r="CM692" s="30">
        <v>0</v>
      </c>
      <c r="CN692" s="30">
        <v>0</v>
      </c>
      <c r="CO692" s="30">
        <v>0</v>
      </c>
      <c r="CP692" s="30">
        <v>0</v>
      </c>
      <c r="CQ692" s="30">
        <v>0</v>
      </c>
      <c r="CR692" s="30">
        <v>0</v>
      </c>
      <c r="CS692" s="30">
        <v>0</v>
      </c>
      <c r="CT692" s="30">
        <v>0</v>
      </c>
      <c r="CU692" s="30">
        <v>0</v>
      </c>
      <c r="CV692" s="30">
        <v>0</v>
      </c>
      <c r="CW692" s="30">
        <v>0</v>
      </c>
      <c r="CX692" s="30">
        <v>0</v>
      </c>
      <c r="CY692" s="30">
        <v>0</v>
      </c>
      <c r="CZ692" s="30">
        <v>0</v>
      </c>
      <c r="DA692" s="30">
        <v>0</v>
      </c>
      <c r="DB692" s="30">
        <v>0</v>
      </c>
      <c r="DC692" s="30">
        <v>0</v>
      </c>
      <c r="DD692" s="30">
        <v>0</v>
      </c>
      <c r="DE692" s="30">
        <v>0</v>
      </c>
      <c r="DF692" s="30">
        <v>0</v>
      </c>
      <c r="DG692" s="16">
        <f t="shared" si="59"/>
        <v>4648</v>
      </c>
      <c r="DH692" s="16">
        <f t="shared" si="60"/>
        <v>120601</v>
      </c>
      <c r="DI692" s="17">
        <f t="shared" si="61"/>
        <v>25.94685886402754</v>
      </c>
      <c r="DJ692" s="119" t="s">
        <v>4</v>
      </c>
      <c r="DK692" t="s">
        <v>4</v>
      </c>
    </row>
    <row r="693" spans="1:115">
      <c r="A693" s="32" t="str">
        <f t="shared" si="57"/>
        <v>Ausgrid--POLE MOUNTED ; &lt; = 22kV ;  &gt; 60 kVA AND &lt; = 600 kVA ; SINGLE PHASE</v>
      </c>
      <c r="B693" s="32" t="str">
        <f t="shared" si="58"/>
        <v>Ausgrid</v>
      </c>
      <c r="C693" s="397"/>
      <c r="D693" s="31"/>
      <c r="E693" s="30" t="s">
        <v>204</v>
      </c>
      <c r="F693" s="19">
        <v>36.51</v>
      </c>
      <c r="G693" s="19">
        <v>11.02</v>
      </c>
      <c r="H693" s="30">
        <v>5</v>
      </c>
      <c r="I693" s="30">
        <v>20</v>
      </c>
      <c r="J693" s="30">
        <v>25</v>
      </c>
      <c r="K693" s="30">
        <v>25</v>
      </c>
      <c r="L693" s="30">
        <v>27</v>
      </c>
      <c r="M693" s="30">
        <v>33</v>
      </c>
      <c r="N693" s="30">
        <v>38</v>
      </c>
      <c r="O693" s="30">
        <v>19</v>
      </c>
      <c r="P693" s="30">
        <v>15</v>
      </c>
      <c r="Q693" s="30">
        <v>12</v>
      </c>
      <c r="R693" s="30">
        <v>8</v>
      </c>
      <c r="S693" s="30">
        <v>3</v>
      </c>
      <c r="T693" s="30">
        <v>55</v>
      </c>
      <c r="U693" s="30">
        <v>3</v>
      </c>
      <c r="V693" s="30">
        <v>0</v>
      </c>
      <c r="W693" s="30">
        <v>1</v>
      </c>
      <c r="X693" s="30">
        <v>1</v>
      </c>
      <c r="Y693" s="30">
        <v>23</v>
      </c>
      <c r="Z693" s="30">
        <v>40</v>
      </c>
      <c r="AA693" s="30">
        <v>2</v>
      </c>
      <c r="AB693" s="30">
        <v>14</v>
      </c>
      <c r="AC693" s="30">
        <v>9</v>
      </c>
      <c r="AD693" s="30">
        <v>0</v>
      </c>
      <c r="AE693" s="30">
        <v>7</v>
      </c>
      <c r="AF693" s="30">
        <v>1</v>
      </c>
      <c r="AG693" s="30">
        <v>1</v>
      </c>
      <c r="AH693" s="30">
        <v>1</v>
      </c>
      <c r="AI693" s="30">
        <v>1</v>
      </c>
      <c r="AJ693" s="30">
        <v>1</v>
      </c>
      <c r="AK693" s="30">
        <v>1</v>
      </c>
      <c r="AL693" s="30">
        <v>0</v>
      </c>
      <c r="AM693" s="30">
        <v>2</v>
      </c>
      <c r="AN693" s="30">
        <v>2</v>
      </c>
      <c r="AO693" s="30">
        <v>1</v>
      </c>
      <c r="AP693" s="30">
        <v>2</v>
      </c>
      <c r="AQ693" s="30">
        <v>0</v>
      </c>
      <c r="AR693" s="30">
        <v>2</v>
      </c>
      <c r="AS693" s="30">
        <v>1</v>
      </c>
      <c r="AT693" s="30">
        <v>2</v>
      </c>
      <c r="AU693" s="30">
        <v>3</v>
      </c>
      <c r="AV693" s="30">
        <v>0</v>
      </c>
      <c r="AW693" s="30">
        <v>1</v>
      </c>
      <c r="AX693" s="30">
        <v>0</v>
      </c>
      <c r="AY693" s="30">
        <v>0</v>
      </c>
      <c r="AZ693" s="30">
        <v>0</v>
      </c>
      <c r="BA693" s="30">
        <v>2</v>
      </c>
      <c r="BB693" s="30">
        <v>3</v>
      </c>
      <c r="BC693" s="30">
        <v>4</v>
      </c>
      <c r="BD693" s="30">
        <v>2</v>
      </c>
      <c r="BE693" s="30">
        <v>0</v>
      </c>
      <c r="BF693" s="30">
        <v>3</v>
      </c>
      <c r="BG693" s="30">
        <v>2</v>
      </c>
      <c r="BH693" s="30">
        <v>1</v>
      </c>
      <c r="BI693" s="30">
        <v>0</v>
      </c>
      <c r="BJ693" s="30">
        <v>0</v>
      </c>
      <c r="BK693" s="30">
        <v>0</v>
      </c>
      <c r="BL693" s="30">
        <v>0</v>
      </c>
      <c r="BM693" s="30">
        <v>0</v>
      </c>
      <c r="BN693" s="30">
        <v>0</v>
      </c>
      <c r="BO693" s="30">
        <v>1</v>
      </c>
      <c r="BP693" s="30">
        <v>0</v>
      </c>
      <c r="BQ693" s="30">
        <v>0</v>
      </c>
      <c r="BR693" s="30">
        <v>0</v>
      </c>
      <c r="BS693" s="30">
        <v>14</v>
      </c>
      <c r="BT693" s="30">
        <v>0</v>
      </c>
      <c r="BU693" s="30">
        <v>0</v>
      </c>
      <c r="BV693" s="30">
        <v>0</v>
      </c>
      <c r="BW693" s="30">
        <v>0</v>
      </c>
      <c r="BX693" s="30">
        <v>0</v>
      </c>
      <c r="BY693" s="30">
        <v>0</v>
      </c>
      <c r="BZ693" s="30">
        <v>0</v>
      </c>
      <c r="CA693" s="30">
        <v>0</v>
      </c>
      <c r="CB693" s="30">
        <v>0</v>
      </c>
      <c r="CC693" s="30">
        <v>0</v>
      </c>
      <c r="CD693" s="30">
        <v>0</v>
      </c>
      <c r="CE693" s="30">
        <v>0</v>
      </c>
      <c r="CF693" s="30">
        <v>0</v>
      </c>
      <c r="CG693" s="30">
        <v>0</v>
      </c>
      <c r="CH693" s="30">
        <v>0</v>
      </c>
      <c r="CI693" s="30">
        <v>0</v>
      </c>
      <c r="CJ693" s="30">
        <v>0</v>
      </c>
      <c r="CK693" s="30">
        <v>0</v>
      </c>
      <c r="CL693" s="30">
        <v>0</v>
      </c>
      <c r="CM693" s="30">
        <v>0</v>
      </c>
      <c r="CN693" s="30">
        <v>0</v>
      </c>
      <c r="CO693" s="30">
        <v>0</v>
      </c>
      <c r="CP693" s="30">
        <v>0</v>
      </c>
      <c r="CQ693" s="30">
        <v>0</v>
      </c>
      <c r="CR693" s="30">
        <v>0</v>
      </c>
      <c r="CS693" s="30">
        <v>0</v>
      </c>
      <c r="CT693" s="30">
        <v>0</v>
      </c>
      <c r="CU693" s="30">
        <v>0</v>
      </c>
      <c r="CV693" s="30">
        <v>0</v>
      </c>
      <c r="CW693" s="30">
        <v>0</v>
      </c>
      <c r="CX693" s="30">
        <v>0</v>
      </c>
      <c r="CY693" s="30">
        <v>0</v>
      </c>
      <c r="CZ693" s="30">
        <v>0</v>
      </c>
      <c r="DA693" s="30">
        <v>0</v>
      </c>
      <c r="DB693" s="30">
        <v>0</v>
      </c>
      <c r="DC693" s="30">
        <v>0</v>
      </c>
      <c r="DD693" s="30">
        <v>0</v>
      </c>
      <c r="DE693" s="30">
        <v>0</v>
      </c>
      <c r="DF693" s="30">
        <v>0</v>
      </c>
      <c r="DG693" s="16">
        <f t="shared" si="59"/>
        <v>439</v>
      </c>
      <c r="DH693" s="16">
        <f t="shared" si="60"/>
        <v>6554</v>
      </c>
      <c r="DI693" s="17">
        <f t="shared" si="61"/>
        <v>14.929384965831435</v>
      </c>
      <c r="DJ693" s="119" t="s">
        <v>4</v>
      </c>
      <c r="DK693" s="44" t="s">
        <v>4</v>
      </c>
    </row>
    <row r="694" spans="1:115">
      <c r="A694" s="32" t="str">
        <f t="shared" si="57"/>
        <v>Ausgrid--POLE MOUNTED ; &lt; = 22kV ;  &gt; 600 kVA ; SINGLE PHASE</v>
      </c>
      <c r="B694" s="32" t="str">
        <f t="shared" si="58"/>
        <v>Ausgrid</v>
      </c>
      <c r="C694" s="397"/>
      <c r="D694" s="31"/>
      <c r="E694" s="30" t="s">
        <v>205</v>
      </c>
      <c r="F694" s="19">
        <v>0</v>
      </c>
      <c r="G694" s="19">
        <v>0</v>
      </c>
      <c r="H694" s="30">
        <v>0</v>
      </c>
      <c r="I694" s="30">
        <v>0</v>
      </c>
      <c r="J694" s="30">
        <v>0</v>
      </c>
      <c r="K694" s="30">
        <v>0</v>
      </c>
      <c r="L694" s="30">
        <v>0</v>
      </c>
      <c r="M694" s="30">
        <v>0</v>
      </c>
      <c r="N694" s="30">
        <v>0</v>
      </c>
      <c r="O694" s="30">
        <v>0</v>
      </c>
      <c r="P694" s="30">
        <v>0</v>
      </c>
      <c r="Q694" s="30">
        <v>0</v>
      </c>
      <c r="R694" s="30">
        <v>0</v>
      </c>
      <c r="S694" s="30">
        <v>0</v>
      </c>
      <c r="T694" s="30">
        <v>0</v>
      </c>
      <c r="U694" s="30">
        <v>0</v>
      </c>
      <c r="V694" s="30">
        <v>0</v>
      </c>
      <c r="W694" s="30">
        <v>0</v>
      </c>
      <c r="X694" s="30">
        <v>0</v>
      </c>
      <c r="Y694" s="30">
        <v>0</v>
      </c>
      <c r="Z694" s="30">
        <v>0</v>
      </c>
      <c r="AA694" s="30">
        <v>0</v>
      </c>
      <c r="AB694" s="30">
        <v>0</v>
      </c>
      <c r="AC694" s="30">
        <v>0</v>
      </c>
      <c r="AD694" s="30">
        <v>0</v>
      </c>
      <c r="AE694" s="30">
        <v>0</v>
      </c>
      <c r="AF694" s="30">
        <v>0</v>
      </c>
      <c r="AG694" s="30">
        <v>0</v>
      </c>
      <c r="AH694" s="30">
        <v>0</v>
      </c>
      <c r="AI694" s="30">
        <v>0</v>
      </c>
      <c r="AJ694" s="30">
        <v>0</v>
      </c>
      <c r="AK694" s="30">
        <v>0</v>
      </c>
      <c r="AL694" s="30">
        <v>0</v>
      </c>
      <c r="AM694" s="30">
        <v>0</v>
      </c>
      <c r="AN694" s="30">
        <v>0</v>
      </c>
      <c r="AO694" s="30">
        <v>0</v>
      </c>
      <c r="AP694" s="30">
        <v>0</v>
      </c>
      <c r="AQ694" s="30">
        <v>0</v>
      </c>
      <c r="AR694" s="30">
        <v>0</v>
      </c>
      <c r="AS694" s="30">
        <v>0</v>
      </c>
      <c r="AT694" s="30">
        <v>0</v>
      </c>
      <c r="AU694" s="30">
        <v>0</v>
      </c>
      <c r="AV694" s="30">
        <v>0</v>
      </c>
      <c r="AW694" s="30">
        <v>0</v>
      </c>
      <c r="AX694" s="30">
        <v>0</v>
      </c>
      <c r="AY694" s="30">
        <v>0</v>
      </c>
      <c r="AZ694" s="30">
        <v>0</v>
      </c>
      <c r="BA694" s="30">
        <v>0</v>
      </c>
      <c r="BB694" s="30">
        <v>0</v>
      </c>
      <c r="BC694" s="30">
        <v>0</v>
      </c>
      <c r="BD694" s="30">
        <v>0</v>
      </c>
      <c r="BE694" s="30">
        <v>0</v>
      </c>
      <c r="BF694" s="30">
        <v>0</v>
      </c>
      <c r="BG694" s="30">
        <v>0</v>
      </c>
      <c r="BH694" s="30">
        <v>0</v>
      </c>
      <c r="BI694" s="30">
        <v>0</v>
      </c>
      <c r="BJ694" s="30">
        <v>0</v>
      </c>
      <c r="BK694" s="30">
        <v>0</v>
      </c>
      <c r="BL694" s="30">
        <v>0</v>
      </c>
      <c r="BM694" s="30">
        <v>0</v>
      </c>
      <c r="BN694" s="30">
        <v>0</v>
      </c>
      <c r="BO694" s="30">
        <v>0</v>
      </c>
      <c r="BP694" s="30">
        <v>0</v>
      </c>
      <c r="BQ694" s="30">
        <v>0</v>
      </c>
      <c r="BR694" s="30">
        <v>0</v>
      </c>
      <c r="BS694" s="30">
        <v>0</v>
      </c>
      <c r="BT694" s="30">
        <v>0</v>
      </c>
      <c r="BU694" s="30">
        <v>0</v>
      </c>
      <c r="BV694" s="30">
        <v>0</v>
      </c>
      <c r="BW694" s="30">
        <v>0</v>
      </c>
      <c r="BX694" s="30">
        <v>0</v>
      </c>
      <c r="BY694" s="30">
        <v>0</v>
      </c>
      <c r="BZ694" s="30">
        <v>0</v>
      </c>
      <c r="CA694" s="30">
        <v>0</v>
      </c>
      <c r="CB694" s="30">
        <v>0</v>
      </c>
      <c r="CC694" s="30">
        <v>0</v>
      </c>
      <c r="CD694" s="30">
        <v>0</v>
      </c>
      <c r="CE694" s="30">
        <v>0</v>
      </c>
      <c r="CF694" s="30">
        <v>0</v>
      </c>
      <c r="CG694" s="30">
        <v>0</v>
      </c>
      <c r="CH694" s="30">
        <v>0</v>
      </c>
      <c r="CI694" s="30">
        <v>0</v>
      </c>
      <c r="CJ694" s="30">
        <v>0</v>
      </c>
      <c r="CK694" s="30">
        <v>0</v>
      </c>
      <c r="CL694" s="30">
        <v>0</v>
      </c>
      <c r="CM694" s="30">
        <v>0</v>
      </c>
      <c r="CN694" s="30">
        <v>0</v>
      </c>
      <c r="CO694" s="30">
        <v>0</v>
      </c>
      <c r="CP694" s="30">
        <v>0</v>
      </c>
      <c r="CQ694" s="30">
        <v>0</v>
      </c>
      <c r="CR694" s="30">
        <v>0</v>
      </c>
      <c r="CS694" s="30">
        <v>0</v>
      </c>
      <c r="CT694" s="30">
        <v>0</v>
      </c>
      <c r="CU694" s="30">
        <v>0</v>
      </c>
      <c r="CV694" s="30">
        <v>0</v>
      </c>
      <c r="CW694" s="30">
        <v>0</v>
      </c>
      <c r="CX694" s="30">
        <v>0</v>
      </c>
      <c r="CY694" s="30">
        <v>0</v>
      </c>
      <c r="CZ694" s="30">
        <v>0</v>
      </c>
      <c r="DA694" s="30">
        <v>0</v>
      </c>
      <c r="DB694" s="30">
        <v>0</v>
      </c>
      <c r="DC694" s="30">
        <v>0</v>
      </c>
      <c r="DD694" s="30">
        <v>0</v>
      </c>
      <c r="DE694" s="30">
        <v>0</v>
      </c>
      <c r="DF694" s="30">
        <v>0</v>
      </c>
      <c r="DG694" s="16">
        <f t="shared" si="59"/>
        <v>0</v>
      </c>
      <c r="DH694" s="16">
        <f t="shared" si="60"/>
        <v>0</v>
      </c>
      <c r="DI694" s="17" t="str">
        <f t="shared" si="61"/>
        <v/>
      </c>
      <c r="DJ694" s="119" t="s">
        <v>4</v>
      </c>
      <c r="DK694" s="44" t="s">
        <v>4</v>
      </c>
    </row>
    <row r="695" spans="1:115">
      <c r="A695" s="32" t="str">
        <f t="shared" si="57"/>
        <v>Ausgrid--POLE MOUNTED ; &lt; = 22kV ;  &lt; = 60 kVA  ; MULTIPLE PHASE</v>
      </c>
      <c r="B695" s="32" t="str">
        <f t="shared" si="58"/>
        <v>Ausgrid</v>
      </c>
      <c r="C695" s="397"/>
      <c r="D695" s="31"/>
      <c r="E695" s="30" t="s">
        <v>206</v>
      </c>
      <c r="F695" s="19">
        <v>32.979999999999997</v>
      </c>
      <c r="G695" s="19">
        <v>11.38</v>
      </c>
      <c r="H695" s="30">
        <v>18</v>
      </c>
      <c r="I695" s="30">
        <v>20</v>
      </c>
      <c r="J695" s="30">
        <v>31</v>
      </c>
      <c r="K695" s="30">
        <v>22</v>
      </c>
      <c r="L695" s="30">
        <v>39</v>
      </c>
      <c r="M695" s="30">
        <v>75</v>
      </c>
      <c r="N695" s="30">
        <v>34</v>
      </c>
      <c r="O695" s="30">
        <v>27</v>
      </c>
      <c r="P695" s="30">
        <v>18</v>
      </c>
      <c r="Q695" s="30">
        <v>15</v>
      </c>
      <c r="R695" s="30">
        <v>14</v>
      </c>
      <c r="S695" s="30">
        <v>5</v>
      </c>
      <c r="T695" s="30">
        <v>80</v>
      </c>
      <c r="U695" s="30">
        <v>13</v>
      </c>
      <c r="V695" s="30">
        <v>12</v>
      </c>
      <c r="W695" s="30">
        <v>22</v>
      </c>
      <c r="X695" s="30">
        <v>47</v>
      </c>
      <c r="Y695" s="30">
        <v>34</v>
      </c>
      <c r="Z695" s="30">
        <v>67</v>
      </c>
      <c r="AA695" s="30">
        <v>56</v>
      </c>
      <c r="AB695" s="30">
        <v>78</v>
      </c>
      <c r="AC695" s="30">
        <v>49</v>
      </c>
      <c r="AD695" s="30">
        <v>38</v>
      </c>
      <c r="AE695" s="30">
        <v>146</v>
      </c>
      <c r="AF695" s="30">
        <v>31</v>
      </c>
      <c r="AG695" s="30">
        <v>37</v>
      </c>
      <c r="AH695" s="30">
        <v>46</v>
      </c>
      <c r="AI695" s="30">
        <v>60</v>
      </c>
      <c r="AJ695" s="30">
        <v>38</v>
      </c>
      <c r="AK695" s="30">
        <v>18</v>
      </c>
      <c r="AL695" s="30">
        <v>60</v>
      </c>
      <c r="AM695" s="30">
        <v>41</v>
      </c>
      <c r="AN695" s="30">
        <v>61</v>
      </c>
      <c r="AO695" s="30">
        <v>42</v>
      </c>
      <c r="AP695" s="30">
        <v>41</v>
      </c>
      <c r="AQ695" s="30">
        <v>27</v>
      </c>
      <c r="AR695" s="30">
        <v>31</v>
      </c>
      <c r="AS695" s="30">
        <v>28</v>
      </c>
      <c r="AT695" s="30">
        <v>34</v>
      </c>
      <c r="AU695" s="30">
        <v>39</v>
      </c>
      <c r="AV695" s="30">
        <v>26</v>
      </c>
      <c r="AW695" s="30">
        <v>21</v>
      </c>
      <c r="AX695" s="30">
        <v>52</v>
      </c>
      <c r="AY695" s="30">
        <v>23</v>
      </c>
      <c r="AZ695" s="30">
        <v>35</v>
      </c>
      <c r="BA695" s="30">
        <v>36</v>
      </c>
      <c r="BB695" s="30">
        <v>21</v>
      </c>
      <c r="BC695" s="30">
        <v>16</v>
      </c>
      <c r="BD695" s="30">
        <v>35</v>
      </c>
      <c r="BE695" s="30">
        <v>17</v>
      </c>
      <c r="BF695" s="30">
        <v>15</v>
      </c>
      <c r="BG695" s="30">
        <v>20</v>
      </c>
      <c r="BH695" s="30">
        <v>20</v>
      </c>
      <c r="BI695" s="30">
        <v>14</v>
      </c>
      <c r="BJ695" s="30">
        <v>13</v>
      </c>
      <c r="BK695" s="30">
        <v>20</v>
      </c>
      <c r="BL695" s="30">
        <v>10</v>
      </c>
      <c r="BM695" s="30">
        <v>24</v>
      </c>
      <c r="BN695" s="30">
        <v>7</v>
      </c>
      <c r="BO695" s="30">
        <v>2</v>
      </c>
      <c r="BP695" s="30">
        <v>0</v>
      </c>
      <c r="BQ695" s="30">
        <v>0</v>
      </c>
      <c r="BR695" s="30">
        <v>1</v>
      </c>
      <c r="BS695" s="30">
        <v>140</v>
      </c>
      <c r="BT695" s="30">
        <v>1</v>
      </c>
      <c r="BU695" s="30">
        <v>0</v>
      </c>
      <c r="BV695" s="30">
        <v>0</v>
      </c>
      <c r="BW695" s="30">
        <v>0</v>
      </c>
      <c r="BX695" s="30">
        <v>0</v>
      </c>
      <c r="BY695" s="30">
        <v>0</v>
      </c>
      <c r="BZ695" s="30">
        <v>0</v>
      </c>
      <c r="CA695" s="30">
        <v>0</v>
      </c>
      <c r="CB695" s="30">
        <v>0</v>
      </c>
      <c r="CC695" s="30">
        <v>0</v>
      </c>
      <c r="CD695" s="30">
        <v>0</v>
      </c>
      <c r="CE695" s="30">
        <v>0</v>
      </c>
      <c r="CF695" s="30">
        <v>0</v>
      </c>
      <c r="CG695" s="30">
        <v>0</v>
      </c>
      <c r="CH695" s="30">
        <v>0</v>
      </c>
      <c r="CI695" s="30">
        <v>0</v>
      </c>
      <c r="CJ695" s="30">
        <v>0</v>
      </c>
      <c r="CK695" s="30">
        <v>0</v>
      </c>
      <c r="CL695" s="30">
        <v>0</v>
      </c>
      <c r="CM695" s="30">
        <v>0</v>
      </c>
      <c r="CN695" s="30">
        <v>0</v>
      </c>
      <c r="CO695" s="30">
        <v>0</v>
      </c>
      <c r="CP695" s="30">
        <v>0</v>
      </c>
      <c r="CQ695" s="30">
        <v>0</v>
      </c>
      <c r="CR695" s="30">
        <v>0</v>
      </c>
      <c r="CS695" s="30">
        <v>0</v>
      </c>
      <c r="CT695" s="30">
        <v>0</v>
      </c>
      <c r="CU695" s="30">
        <v>0</v>
      </c>
      <c r="CV695" s="30">
        <v>0</v>
      </c>
      <c r="CW695" s="30">
        <v>0</v>
      </c>
      <c r="CX695" s="30">
        <v>0</v>
      </c>
      <c r="CY695" s="30">
        <v>0</v>
      </c>
      <c r="CZ695" s="30">
        <v>0</v>
      </c>
      <c r="DA695" s="30">
        <v>0</v>
      </c>
      <c r="DB695" s="30">
        <v>0</v>
      </c>
      <c r="DC695" s="30">
        <v>0</v>
      </c>
      <c r="DD695" s="30">
        <v>0</v>
      </c>
      <c r="DE695" s="30">
        <v>0</v>
      </c>
      <c r="DF695" s="30">
        <v>0</v>
      </c>
      <c r="DG695" s="16">
        <f t="shared" si="59"/>
        <v>2163</v>
      </c>
      <c r="DH695" s="16">
        <f t="shared" si="60"/>
        <v>64720</v>
      </c>
      <c r="DI695" s="17">
        <f t="shared" si="61"/>
        <v>29.921405455386036</v>
      </c>
      <c r="DJ695" s="119" t="s">
        <v>4</v>
      </c>
      <c r="DK695" s="44" t="s">
        <v>4</v>
      </c>
    </row>
    <row r="696" spans="1:115">
      <c r="A696" s="32" t="str">
        <f t="shared" si="57"/>
        <v>Ausgrid--POLE MOUNTED ; &lt; = 22kV ;  &gt; 60 kVA AND &lt; = 600 kVA  ; MULTIPLE PHASE</v>
      </c>
      <c r="B696" s="32" t="str">
        <f t="shared" si="58"/>
        <v>Ausgrid</v>
      </c>
      <c r="C696" s="397"/>
      <c r="D696" s="31"/>
      <c r="E696" s="30" t="s">
        <v>207</v>
      </c>
      <c r="F696" s="19">
        <v>36.51</v>
      </c>
      <c r="G696" s="19">
        <v>11.02</v>
      </c>
      <c r="H696" s="30">
        <v>175</v>
      </c>
      <c r="I696" s="30">
        <v>184</v>
      </c>
      <c r="J696" s="30">
        <v>227</v>
      </c>
      <c r="K696" s="30">
        <v>311</v>
      </c>
      <c r="L696" s="30">
        <v>315</v>
      </c>
      <c r="M696" s="30">
        <v>484</v>
      </c>
      <c r="N696" s="30">
        <v>279</v>
      </c>
      <c r="O696" s="30">
        <v>228</v>
      </c>
      <c r="P696" s="30">
        <v>92</v>
      </c>
      <c r="Q696" s="30">
        <v>96</v>
      </c>
      <c r="R696" s="30">
        <v>75</v>
      </c>
      <c r="S696" s="30">
        <v>46</v>
      </c>
      <c r="T696" s="30">
        <v>459</v>
      </c>
      <c r="U696" s="30">
        <v>52</v>
      </c>
      <c r="V696" s="30">
        <v>43</v>
      </c>
      <c r="W696" s="30">
        <v>85</v>
      </c>
      <c r="X696" s="30">
        <v>118</v>
      </c>
      <c r="Y696" s="30">
        <v>106</v>
      </c>
      <c r="Z696" s="30">
        <v>320</v>
      </c>
      <c r="AA696" s="30">
        <v>93</v>
      </c>
      <c r="AB696" s="30">
        <v>182</v>
      </c>
      <c r="AC696" s="30">
        <v>172</v>
      </c>
      <c r="AD696" s="30">
        <v>90</v>
      </c>
      <c r="AE696" s="30">
        <v>170</v>
      </c>
      <c r="AF696" s="30">
        <v>71</v>
      </c>
      <c r="AG696" s="30">
        <v>81</v>
      </c>
      <c r="AH696" s="30">
        <v>90</v>
      </c>
      <c r="AI696" s="30">
        <v>115</v>
      </c>
      <c r="AJ696" s="30">
        <v>88</v>
      </c>
      <c r="AK696" s="30">
        <v>129</v>
      </c>
      <c r="AL696" s="30">
        <v>314</v>
      </c>
      <c r="AM696" s="30">
        <v>91</v>
      </c>
      <c r="AN696" s="30">
        <v>92</v>
      </c>
      <c r="AO696" s="30">
        <v>116</v>
      </c>
      <c r="AP696" s="30">
        <v>87</v>
      </c>
      <c r="AQ696" s="30">
        <v>61</v>
      </c>
      <c r="AR696" s="30">
        <v>56</v>
      </c>
      <c r="AS696" s="30">
        <v>131</v>
      </c>
      <c r="AT696" s="30">
        <v>101</v>
      </c>
      <c r="AU696" s="30">
        <v>126</v>
      </c>
      <c r="AV696" s="30">
        <v>170</v>
      </c>
      <c r="AW696" s="30">
        <v>158</v>
      </c>
      <c r="AX696" s="30">
        <v>157</v>
      </c>
      <c r="AY696" s="30">
        <v>241</v>
      </c>
      <c r="AZ696" s="30">
        <v>177</v>
      </c>
      <c r="BA696" s="30">
        <v>206</v>
      </c>
      <c r="BB696" s="30">
        <v>158</v>
      </c>
      <c r="BC696" s="30">
        <v>168</v>
      </c>
      <c r="BD696" s="30">
        <v>181</v>
      </c>
      <c r="BE696" s="30">
        <v>141</v>
      </c>
      <c r="BF696" s="30">
        <v>112</v>
      </c>
      <c r="BG696" s="30">
        <v>86</v>
      </c>
      <c r="BH696" s="30">
        <v>96</v>
      </c>
      <c r="BI696" s="30">
        <v>59</v>
      </c>
      <c r="BJ696" s="30">
        <v>81</v>
      </c>
      <c r="BK696" s="30">
        <v>12</v>
      </c>
      <c r="BL696" s="30">
        <v>21</v>
      </c>
      <c r="BM696" s="30">
        <v>16</v>
      </c>
      <c r="BN696" s="30">
        <v>3</v>
      </c>
      <c r="BO696" s="30">
        <v>4</v>
      </c>
      <c r="BP696" s="30">
        <v>3</v>
      </c>
      <c r="BQ696" s="30">
        <v>5</v>
      </c>
      <c r="BR696" s="30">
        <v>2</v>
      </c>
      <c r="BS696" s="30">
        <v>207</v>
      </c>
      <c r="BT696" s="30">
        <v>0</v>
      </c>
      <c r="BU696" s="30">
        <v>0</v>
      </c>
      <c r="BV696" s="30">
        <v>0</v>
      </c>
      <c r="BW696" s="30">
        <v>0</v>
      </c>
      <c r="BX696" s="30">
        <v>0</v>
      </c>
      <c r="BY696" s="30">
        <v>0</v>
      </c>
      <c r="BZ696" s="30">
        <v>0</v>
      </c>
      <c r="CA696" s="30">
        <v>0</v>
      </c>
      <c r="CB696" s="30">
        <v>0</v>
      </c>
      <c r="CC696" s="30">
        <v>0</v>
      </c>
      <c r="CD696" s="30">
        <v>0</v>
      </c>
      <c r="CE696" s="30">
        <v>0</v>
      </c>
      <c r="CF696" s="30">
        <v>0</v>
      </c>
      <c r="CG696" s="30">
        <v>0</v>
      </c>
      <c r="CH696" s="30">
        <v>0</v>
      </c>
      <c r="CI696" s="30">
        <v>0</v>
      </c>
      <c r="CJ696" s="30">
        <v>0</v>
      </c>
      <c r="CK696" s="30">
        <v>0</v>
      </c>
      <c r="CL696" s="30">
        <v>0</v>
      </c>
      <c r="CM696" s="30">
        <v>0</v>
      </c>
      <c r="CN696" s="30">
        <v>0</v>
      </c>
      <c r="CO696" s="30">
        <v>0</v>
      </c>
      <c r="CP696" s="30">
        <v>0</v>
      </c>
      <c r="CQ696" s="30">
        <v>0</v>
      </c>
      <c r="CR696" s="30">
        <v>0</v>
      </c>
      <c r="CS696" s="30">
        <v>0</v>
      </c>
      <c r="CT696" s="30">
        <v>0</v>
      </c>
      <c r="CU696" s="30">
        <v>0</v>
      </c>
      <c r="CV696" s="30">
        <v>0</v>
      </c>
      <c r="CW696" s="30">
        <v>0</v>
      </c>
      <c r="CX696" s="30">
        <v>0</v>
      </c>
      <c r="CY696" s="30">
        <v>0</v>
      </c>
      <c r="CZ696" s="30">
        <v>0</v>
      </c>
      <c r="DA696" s="30">
        <v>0</v>
      </c>
      <c r="DB696" s="30">
        <v>0</v>
      </c>
      <c r="DC696" s="30">
        <v>0</v>
      </c>
      <c r="DD696" s="30">
        <v>0</v>
      </c>
      <c r="DE696" s="30">
        <v>0</v>
      </c>
      <c r="DF696" s="30">
        <v>0</v>
      </c>
      <c r="DG696" s="16">
        <f t="shared" si="59"/>
        <v>8615</v>
      </c>
      <c r="DH696" s="16">
        <f t="shared" si="60"/>
        <v>224853</v>
      </c>
      <c r="DI696" s="17">
        <f t="shared" si="61"/>
        <v>26.100174114915845</v>
      </c>
      <c r="DJ696" s="119" t="s">
        <v>4</v>
      </c>
      <c r="DK696" s="44" t="s">
        <v>4</v>
      </c>
    </row>
    <row r="697" spans="1:115">
      <c r="A697" s="32" t="str">
        <f t="shared" si="57"/>
        <v>Ausgrid--POLE MOUNTED ; &lt; = 22kV ;  &gt; 600 kVA  ; MULTIPLE PHASE</v>
      </c>
      <c r="B697" s="32" t="str">
        <f t="shared" si="58"/>
        <v>Ausgrid</v>
      </c>
      <c r="C697" s="397"/>
      <c r="D697" s="31"/>
      <c r="E697" s="30" t="s">
        <v>208</v>
      </c>
      <c r="F697" s="19">
        <v>0</v>
      </c>
      <c r="G697" s="19">
        <v>0</v>
      </c>
      <c r="H697" s="30">
        <v>0</v>
      </c>
      <c r="I697" s="30">
        <v>0</v>
      </c>
      <c r="J697" s="30">
        <v>0</v>
      </c>
      <c r="K697" s="30">
        <v>0</v>
      </c>
      <c r="L697" s="30">
        <v>0</v>
      </c>
      <c r="M697" s="30">
        <v>0</v>
      </c>
      <c r="N697" s="30">
        <v>0</v>
      </c>
      <c r="O697" s="30">
        <v>0</v>
      </c>
      <c r="P697" s="30">
        <v>0</v>
      </c>
      <c r="Q697" s="30">
        <v>0</v>
      </c>
      <c r="R697" s="30">
        <v>0</v>
      </c>
      <c r="S697" s="30">
        <v>0</v>
      </c>
      <c r="T697" s="30">
        <v>0</v>
      </c>
      <c r="U697" s="30">
        <v>0</v>
      </c>
      <c r="V697" s="30">
        <v>0</v>
      </c>
      <c r="W697" s="30">
        <v>0</v>
      </c>
      <c r="X697" s="30">
        <v>0</v>
      </c>
      <c r="Y697" s="30">
        <v>0</v>
      </c>
      <c r="Z697" s="30">
        <v>0</v>
      </c>
      <c r="AA697" s="30">
        <v>0</v>
      </c>
      <c r="AB697" s="30">
        <v>0</v>
      </c>
      <c r="AC697" s="30">
        <v>0</v>
      </c>
      <c r="AD697" s="30">
        <v>0</v>
      </c>
      <c r="AE697" s="30">
        <v>0</v>
      </c>
      <c r="AF697" s="30">
        <v>0</v>
      </c>
      <c r="AG697" s="30">
        <v>0</v>
      </c>
      <c r="AH697" s="30">
        <v>0</v>
      </c>
      <c r="AI697" s="30">
        <v>0</v>
      </c>
      <c r="AJ697" s="30">
        <v>0</v>
      </c>
      <c r="AK697" s="30">
        <v>0</v>
      </c>
      <c r="AL697" s="30">
        <v>0</v>
      </c>
      <c r="AM697" s="30">
        <v>0</v>
      </c>
      <c r="AN697" s="30">
        <v>0</v>
      </c>
      <c r="AO697" s="30">
        <v>0</v>
      </c>
      <c r="AP697" s="30">
        <v>0</v>
      </c>
      <c r="AQ697" s="30">
        <v>0</v>
      </c>
      <c r="AR697" s="30">
        <v>0</v>
      </c>
      <c r="AS697" s="30">
        <v>0</v>
      </c>
      <c r="AT697" s="30">
        <v>0</v>
      </c>
      <c r="AU697" s="30">
        <v>0</v>
      </c>
      <c r="AV697" s="30">
        <v>0</v>
      </c>
      <c r="AW697" s="30">
        <v>0</v>
      </c>
      <c r="AX697" s="30">
        <v>0</v>
      </c>
      <c r="AY697" s="30">
        <v>0</v>
      </c>
      <c r="AZ697" s="30">
        <v>0</v>
      </c>
      <c r="BA697" s="30">
        <v>0</v>
      </c>
      <c r="BB697" s="30">
        <v>0</v>
      </c>
      <c r="BC697" s="30">
        <v>0</v>
      </c>
      <c r="BD697" s="30">
        <v>0</v>
      </c>
      <c r="BE697" s="30">
        <v>0</v>
      </c>
      <c r="BF697" s="30">
        <v>0</v>
      </c>
      <c r="BG697" s="30">
        <v>0</v>
      </c>
      <c r="BH697" s="30">
        <v>0</v>
      </c>
      <c r="BI697" s="30">
        <v>0</v>
      </c>
      <c r="BJ697" s="30">
        <v>0</v>
      </c>
      <c r="BK697" s="30">
        <v>0</v>
      </c>
      <c r="BL697" s="30">
        <v>0</v>
      </c>
      <c r="BM697" s="30">
        <v>0</v>
      </c>
      <c r="BN697" s="30">
        <v>0</v>
      </c>
      <c r="BO697" s="30">
        <v>0</v>
      </c>
      <c r="BP697" s="30">
        <v>0</v>
      </c>
      <c r="BQ697" s="30">
        <v>0</v>
      </c>
      <c r="BR697" s="30">
        <v>0</v>
      </c>
      <c r="BS697" s="30">
        <v>0</v>
      </c>
      <c r="BT697" s="30">
        <v>0</v>
      </c>
      <c r="BU697" s="30">
        <v>0</v>
      </c>
      <c r="BV697" s="30">
        <v>0</v>
      </c>
      <c r="BW697" s="30">
        <v>0</v>
      </c>
      <c r="BX697" s="30">
        <v>0</v>
      </c>
      <c r="BY697" s="30">
        <v>0</v>
      </c>
      <c r="BZ697" s="30">
        <v>0</v>
      </c>
      <c r="CA697" s="30">
        <v>0</v>
      </c>
      <c r="CB697" s="30">
        <v>0</v>
      </c>
      <c r="CC697" s="30">
        <v>0</v>
      </c>
      <c r="CD697" s="30">
        <v>0</v>
      </c>
      <c r="CE697" s="30">
        <v>0</v>
      </c>
      <c r="CF697" s="30">
        <v>0</v>
      </c>
      <c r="CG697" s="30">
        <v>0</v>
      </c>
      <c r="CH697" s="30">
        <v>0</v>
      </c>
      <c r="CI697" s="30">
        <v>0</v>
      </c>
      <c r="CJ697" s="30">
        <v>0</v>
      </c>
      <c r="CK697" s="30">
        <v>0</v>
      </c>
      <c r="CL697" s="30">
        <v>0</v>
      </c>
      <c r="CM697" s="30">
        <v>0</v>
      </c>
      <c r="CN697" s="30">
        <v>0</v>
      </c>
      <c r="CO697" s="30">
        <v>0</v>
      </c>
      <c r="CP697" s="30">
        <v>0</v>
      </c>
      <c r="CQ697" s="30">
        <v>0</v>
      </c>
      <c r="CR697" s="30">
        <v>0</v>
      </c>
      <c r="CS697" s="30">
        <v>0</v>
      </c>
      <c r="CT697" s="30">
        <v>0</v>
      </c>
      <c r="CU697" s="30">
        <v>0</v>
      </c>
      <c r="CV697" s="30">
        <v>0</v>
      </c>
      <c r="CW697" s="30">
        <v>0</v>
      </c>
      <c r="CX697" s="30">
        <v>0</v>
      </c>
      <c r="CY697" s="30">
        <v>0</v>
      </c>
      <c r="CZ697" s="30">
        <v>0</v>
      </c>
      <c r="DA697" s="30">
        <v>0</v>
      </c>
      <c r="DB697" s="30">
        <v>0</v>
      </c>
      <c r="DC697" s="30">
        <v>0</v>
      </c>
      <c r="DD697" s="30">
        <v>0</v>
      </c>
      <c r="DE697" s="30">
        <v>0</v>
      </c>
      <c r="DF697" s="30">
        <v>0</v>
      </c>
      <c r="DG697" s="16">
        <f t="shared" si="59"/>
        <v>0</v>
      </c>
      <c r="DH697" s="16">
        <f t="shared" si="60"/>
        <v>0</v>
      </c>
      <c r="DI697" s="17" t="str">
        <f t="shared" si="61"/>
        <v/>
      </c>
      <c r="DJ697" s="119" t="s">
        <v>4</v>
      </c>
      <c r="DK697" s="44" t="s">
        <v>4</v>
      </c>
    </row>
    <row r="698" spans="1:115">
      <c r="A698" s="32" t="str">
        <f t="shared" si="57"/>
        <v xml:space="preserve">Ausgrid--POLE MOUNTED ; &gt; 22 kV ;  &lt; = 60 kVA </v>
      </c>
      <c r="B698" s="32" t="str">
        <f t="shared" si="58"/>
        <v>Ausgrid</v>
      </c>
      <c r="C698" s="397"/>
      <c r="D698" s="31"/>
      <c r="E698" s="30" t="s">
        <v>209</v>
      </c>
      <c r="F698" s="19">
        <v>32.979999999999997</v>
      </c>
      <c r="G698" s="19">
        <v>11.38</v>
      </c>
      <c r="H698" s="30">
        <v>0</v>
      </c>
      <c r="I698" s="30">
        <v>0</v>
      </c>
      <c r="J698" s="30">
        <v>0</v>
      </c>
      <c r="K698" s="30">
        <v>0</v>
      </c>
      <c r="L698" s="30">
        <v>0</v>
      </c>
      <c r="M698" s="30">
        <v>0</v>
      </c>
      <c r="N698" s="30">
        <v>0</v>
      </c>
      <c r="O698" s="30">
        <v>0</v>
      </c>
      <c r="P698" s="30">
        <v>0</v>
      </c>
      <c r="Q698" s="30">
        <v>0</v>
      </c>
      <c r="R698" s="30">
        <v>0</v>
      </c>
      <c r="S698" s="30">
        <v>0</v>
      </c>
      <c r="T698" s="30">
        <v>0</v>
      </c>
      <c r="U698" s="30">
        <v>0</v>
      </c>
      <c r="V698" s="30">
        <v>0</v>
      </c>
      <c r="W698" s="30">
        <v>0</v>
      </c>
      <c r="X698" s="30">
        <v>0</v>
      </c>
      <c r="Y698" s="30">
        <v>0</v>
      </c>
      <c r="Z698" s="30">
        <v>1</v>
      </c>
      <c r="AA698" s="30">
        <v>0</v>
      </c>
      <c r="AB698" s="30">
        <v>0</v>
      </c>
      <c r="AC698" s="30">
        <v>0</v>
      </c>
      <c r="AD698" s="30">
        <v>0</v>
      </c>
      <c r="AE698" s="30">
        <v>0</v>
      </c>
      <c r="AF698" s="30">
        <v>0</v>
      </c>
      <c r="AG698" s="30">
        <v>0</v>
      </c>
      <c r="AH698" s="30">
        <v>0</v>
      </c>
      <c r="AI698" s="30">
        <v>0</v>
      </c>
      <c r="AJ698" s="30">
        <v>0</v>
      </c>
      <c r="AK698" s="30">
        <v>0</v>
      </c>
      <c r="AL698" s="30">
        <v>0</v>
      </c>
      <c r="AM698" s="30">
        <v>0</v>
      </c>
      <c r="AN698" s="30">
        <v>0</v>
      </c>
      <c r="AO698" s="30">
        <v>1</v>
      </c>
      <c r="AP698" s="30">
        <v>0</v>
      </c>
      <c r="AQ698" s="30">
        <v>0</v>
      </c>
      <c r="AR698" s="30">
        <v>1</v>
      </c>
      <c r="AS698" s="30">
        <v>0</v>
      </c>
      <c r="AT698" s="30">
        <v>0</v>
      </c>
      <c r="AU698" s="30">
        <v>0</v>
      </c>
      <c r="AV698" s="30">
        <v>0</v>
      </c>
      <c r="AW698" s="30">
        <v>0</v>
      </c>
      <c r="AX698" s="30">
        <v>0</v>
      </c>
      <c r="AY698" s="30">
        <v>0</v>
      </c>
      <c r="AZ698" s="30">
        <v>0</v>
      </c>
      <c r="BA698" s="30">
        <v>0</v>
      </c>
      <c r="BB698" s="30">
        <v>0</v>
      </c>
      <c r="BC698" s="30">
        <v>1</v>
      </c>
      <c r="BD698" s="30">
        <v>0</v>
      </c>
      <c r="BE698" s="30">
        <v>0</v>
      </c>
      <c r="BF698" s="30">
        <v>2</v>
      </c>
      <c r="BG698" s="30">
        <v>0</v>
      </c>
      <c r="BH698" s="30">
        <v>0</v>
      </c>
      <c r="BI698" s="30">
        <v>0</v>
      </c>
      <c r="BJ698" s="30">
        <v>0</v>
      </c>
      <c r="BK698" s="30">
        <v>0</v>
      </c>
      <c r="BL698" s="30">
        <v>0</v>
      </c>
      <c r="BM698" s="30">
        <v>0</v>
      </c>
      <c r="BN698" s="30">
        <v>0</v>
      </c>
      <c r="BO698" s="30">
        <v>0</v>
      </c>
      <c r="BP698" s="30">
        <v>0</v>
      </c>
      <c r="BQ698" s="30">
        <v>0</v>
      </c>
      <c r="BR698" s="30">
        <v>0</v>
      </c>
      <c r="BS698" s="30">
        <v>0</v>
      </c>
      <c r="BT698" s="30">
        <v>0</v>
      </c>
      <c r="BU698" s="30">
        <v>0</v>
      </c>
      <c r="BV698" s="30">
        <v>0</v>
      </c>
      <c r="BW698" s="30">
        <v>0</v>
      </c>
      <c r="BX698" s="30">
        <v>0</v>
      </c>
      <c r="BY698" s="30">
        <v>0</v>
      </c>
      <c r="BZ698" s="30">
        <v>0</v>
      </c>
      <c r="CA698" s="30">
        <v>0</v>
      </c>
      <c r="CB698" s="30">
        <v>0</v>
      </c>
      <c r="CC698" s="30">
        <v>0</v>
      </c>
      <c r="CD698" s="30">
        <v>0</v>
      </c>
      <c r="CE698" s="30">
        <v>0</v>
      </c>
      <c r="CF698" s="30">
        <v>0</v>
      </c>
      <c r="CG698" s="30">
        <v>0</v>
      </c>
      <c r="CH698" s="30">
        <v>0</v>
      </c>
      <c r="CI698" s="30">
        <v>0</v>
      </c>
      <c r="CJ698" s="30">
        <v>0</v>
      </c>
      <c r="CK698" s="30">
        <v>0</v>
      </c>
      <c r="CL698" s="30">
        <v>0</v>
      </c>
      <c r="CM698" s="30">
        <v>0</v>
      </c>
      <c r="CN698" s="30">
        <v>0</v>
      </c>
      <c r="CO698" s="30">
        <v>0</v>
      </c>
      <c r="CP698" s="30">
        <v>0</v>
      </c>
      <c r="CQ698" s="30">
        <v>0</v>
      </c>
      <c r="CR698" s="30">
        <v>0</v>
      </c>
      <c r="CS698" s="30">
        <v>0</v>
      </c>
      <c r="CT698" s="30">
        <v>0</v>
      </c>
      <c r="CU698" s="30">
        <v>0</v>
      </c>
      <c r="CV698" s="30">
        <v>0</v>
      </c>
      <c r="CW698" s="30">
        <v>0</v>
      </c>
      <c r="CX698" s="30">
        <v>0</v>
      </c>
      <c r="CY698" s="30">
        <v>0</v>
      </c>
      <c r="CZ698" s="30">
        <v>0</v>
      </c>
      <c r="DA698" s="30">
        <v>0</v>
      </c>
      <c r="DB698" s="30">
        <v>0</v>
      </c>
      <c r="DC698" s="30">
        <v>0</v>
      </c>
      <c r="DD698" s="30">
        <v>0</v>
      </c>
      <c r="DE698" s="30">
        <v>0</v>
      </c>
      <c r="DF698" s="30">
        <v>0</v>
      </c>
      <c r="DG698" s="16">
        <f t="shared" si="59"/>
        <v>6</v>
      </c>
      <c r="DH698" s="16">
        <f t="shared" si="60"/>
        <v>240</v>
      </c>
      <c r="DI698" s="17">
        <f t="shared" si="61"/>
        <v>40</v>
      </c>
      <c r="DJ698" s="119" t="s">
        <v>4</v>
      </c>
      <c r="DK698" s="44" t="s">
        <v>4</v>
      </c>
    </row>
    <row r="699" spans="1:115">
      <c r="A699" s="32" t="str">
        <f t="shared" si="57"/>
        <v xml:space="preserve">Ausgrid--POLE MOUNTED ; &gt; 22 kV ;  &gt; 60 kVA AND &lt; = 600 kVA </v>
      </c>
      <c r="B699" s="32" t="str">
        <f t="shared" si="58"/>
        <v>Ausgrid</v>
      </c>
      <c r="C699" s="397"/>
      <c r="D699" s="31"/>
      <c r="E699" s="30" t="s">
        <v>210</v>
      </c>
      <c r="F699" s="19">
        <v>36.51</v>
      </c>
      <c r="G699" s="19">
        <v>11.02</v>
      </c>
      <c r="H699" s="30">
        <v>0</v>
      </c>
      <c r="I699" s="30">
        <v>0</v>
      </c>
      <c r="J699" s="30">
        <v>1</v>
      </c>
      <c r="K699" s="30">
        <v>0</v>
      </c>
      <c r="L699" s="30">
        <v>0</v>
      </c>
      <c r="M699" s="30">
        <v>2</v>
      </c>
      <c r="N699" s="30">
        <v>3</v>
      </c>
      <c r="O699" s="30">
        <v>2</v>
      </c>
      <c r="P699" s="30">
        <v>0</v>
      </c>
      <c r="Q699" s="30">
        <v>1</v>
      </c>
      <c r="R699" s="30">
        <v>3</v>
      </c>
      <c r="S699" s="30">
        <v>0</v>
      </c>
      <c r="T699" s="30">
        <v>0</v>
      </c>
      <c r="U699" s="30">
        <v>2</v>
      </c>
      <c r="V699" s="30">
        <v>0</v>
      </c>
      <c r="W699" s="30">
        <v>0</v>
      </c>
      <c r="X699" s="30">
        <v>0</v>
      </c>
      <c r="Y699" s="30">
        <v>1</v>
      </c>
      <c r="Z699" s="30">
        <v>0</v>
      </c>
      <c r="AA699" s="30">
        <v>0</v>
      </c>
      <c r="AB699" s="30">
        <v>0</v>
      </c>
      <c r="AC699" s="30">
        <v>0</v>
      </c>
      <c r="AD699" s="30">
        <v>0</v>
      </c>
      <c r="AE699" s="30">
        <v>0</v>
      </c>
      <c r="AF699" s="30">
        <v>0</v>
      </c>
      <c r="AG699" s="30">
        <v>0</v>
      </c>
      <c r="AH699" s="30">
        <v>0</v>
      </c>
      <c r="AI699" s="30">
        <v>0</v>
      </c>
      <c r="AJ699" s="30">
        <v>0</v>
      </c>
      <c r="AK699" s="30">
        <v>0</v>
      </c>
      <c r="AL699" s="30">
        <v>1</v>
      </c>
      <c r="AM699" s="30">
        <v>0</v>
      </c>
      <c r="AN699" s="30">
        <v>0</v>
      </c>
      <c r="AO699" s="30">
        <v>0</v>
      </c>
      <c r="AP699" s="30">
        <v>0</v>
      </c>
      <c r="AQ699" s="30">
        <v>0</v>
      </c>
      <c r="AR699" s="30">
        <v>0</v>
      </c>
      <c r="AS699" s="30">
        <v>0</v>
      </c>
      <c r="AT699" s="30">
        <v>0</v>
      </c>
      <c r="AU699" s="30">
        <v>0</v>
      </c>
      <c r="AV699" s="30">
        <v>0</v>
      </c>
      <c r="AW699" s="30">
        <v>0</v>
      </c>
      <c r="AX699" s="30">
        <v>0</v>
      </c>
      <c r="AY699" s="30">
        <v>0</v>
      </c>
      <c r="AZ699" s="30">
        <v>0</v>
      </c>
      <c r="BA699" s="30">
        <v>0</v>
      </c>
      <c r="BB699" s="30">
        <v>0</v>
      </c>
      <c r="BC699" s="30">
        <v>0</v>
      </c>
      <c r="BD699" s="30">
        <v>0</v>
      </c>
      <c r="BE699" s="30">
        <v>0</v>
      </c>
      <c r="BF699" s="30">
        <v>0</v>
      </c>
      <c r="BG699" s="30">
        <v>0</v>
      </c>
      <c r="BH699" s="30">
        <v>0</v>
      </c>
      <c r="BI699" s="30">
        <v>0</v>
      </c>
      <c r="BJ699" s="30">
        <v>0</v>
      </c>
      <c r="BK699" s="30">
        <v>0</v>
      </c>
      <c r="BL699" s="30">
        <v>0</v>
      </c>
      <c r="BM699" s="30">
        <v>0</v>
      </c>
      <c r="BN699" s="30">
        <v>0</v>
      </c>
      <c r="BO699" s="30">
        <v>0</v>
      </c>
      <c r="BP699" s="30">
        <v>0</v>
      </c>
      <c r="BQ699" s="30">
        <v>0</v>
      </c>
      <c r="BR699" s="30">
        <v>0</v>
      </c>
      <c r="BS699" s="30">
        <v>0</v>
      </c>
      <c r="BT699" s="30">
        <v>0</v>
      </c>
      <c r="BU699" s="30">
        <v>0</v>
      </c>
      <c r="BV699" s="30">
        <v>0</v>
      </c>
      <c r="BW699" s="30">
        <v>0</v>
      </c>
      <c r="BX699" s="30">
        <v>0</v>
      </c>
      <c r="BY699" s="30">
        <v>0</v>
      </c>
      <c r="BZ699" s="30">
        <v>0</v>
      </c>
      <c r="CA699" s="30">
        <v>0</v>
      </c>
      <c r="CB699" s="30">
        <v>0</v>
      </c>
      <c r="CC699" s="30">
        <v>0</v>
      </c>
      <c r="CD699" s="30">
        <v>0</v>
      </c>
      <c r="CE699" s="30">
        <v>0</v>
      </c>
      <c r="CF699" s="30">
        <v>0</v>
      </c>
      <c r="CG699" s="30">
        <v>0</v>
      </c>
      <c r="CH699" s="30">
        <v>0</v>
      </c>
      <c r="CI699" s="30">
        <v>0</v>
      </c>
      <c r="CJ699" s="30">
        <v>0</v>
      </c>
      <c r="CK699" s="30">
        <v>0</v>
      </c>
      <c r="CL699" s="30">
        <v>0</v>
      </c>
      <c r="CM699" s="30">
        <v>0</v>
      </c>
      <c r="CN699" s="30">
        <v>0</v>
      </c>
      <c r="CO699" s="30">
        <v>0</v>
      </c>
      <c r="CP699" s="30">
        <v>0</v>
      </c>
      <c r="CQ699" s="30">
        <v>0</v>
      </c>
      <c r="CR699" s="30">
        <v>0</v>
      </c>
      <c r="CS699" s="30">
        <v>0</v>
      </c>
      <c r="CT699" s="30">
        <v>0</v>
      </c>
      <c r="CU699" s="30">
        <v>0</v>
      </c>
      <c r="CV699" s="30">
        <v>0</v>
      </c>
      <c r="CW699" s="30">
        <v>0</v>
      </c>
      <c r="CX699" s="30">
        <v>0</v>
      </c>
      <c r="CY699" s="30">
        <v>0</v>
      </c>
      <c r="CZ699" s="30">
        <v>0</v>
      </c>
      <c r="DA699" s="30">
        <v>0</v>
      </c>
      <c r="DB699" s="30">
        <v>0</v>
      </c>
      <c r="DC699" s="30">
        <v>0</v>
      </c>
      <c r="DD699" s="30">
        <v>0</v>
      </c>
      <c r="DE699" s="30">
        <v>0</v>
      </c>
      <c r="DF699" s="30">
        <v>0</v>
      </c>
      <c r="DG699" s="16">
        <f t="shared" si="59"/>
        <v>16</v>
      </c>
      <c r="DH699" s="16">
        <f t="shared" si="60"/>
        <v>172</v>
      </c>
      <c r="DI699" s="17">
        <f t="shared" si="61"/>
        <v>10.75</v>
      </c>
      <c r="DJ699" s="119" t="s">
        <v>4</v>
      </c>
      <c r="DK699" s="44" t="s">
        <v>4</v>
      </c>
    </row>
    <row r="700" spans="1:115">
      <c r="A700" s="32" t="str">
        <f t="shared" si="57"/>
        <v>Ausgrid--POLE MOUNTED ; &gt; 22 kV ;  &gt; 600 kVA</v>
      </c>
      <c r="B700" s="32" t="str">
        <f t="shared" si="58"/>
        <v>Ausgrid</v>
      </c>
      <c r="C700" s="397"/>
      <c r="D700" s="31"/>
      <c r="E700" s="30" t="s">
        <v>211</v>
      </c>
      <c r="F700" s="19">
        <v>0</v>
      </c>
      <c r="G700" s="19">
        <v>0</v>
      </c>
      <c r="H700" s="30">
        <v>0</v>
      </c>
      <c r="I700" s="30">
        <v>0</v>
      </c>
      <c r="J700" s="30">
        <v>0</v>
      </c>
      <c r="K700" s="30">
        <v>0</v>
      </c>
      <c r="L700" s="30">
        <v>0</v>
      </c>
      <c r="M700" s="30">
        <v>0</v>
      </c>
      <c r="N700" s="30">
        <v>0</v>
      </c>
      <c r="O700" s="30">
        <v>0</v>
      </c>
      <c r="P700" s="30">
        <v>0</v>
      </c>
      <c r="Q700" s="30">
        <v>0</v>
      </c>
      <c r="R700" s="30">
        <v>0</v>
      </c>
      <c r="S700" s="30">
        <v>0</v>
      </c>
      <c r="T700" s="30">
        <v>0</v>
      </c>
      <c r="U700" s="30">
        <v>0</v>
      </c>
      <c r="V700" s="30">
        <v>0</v>
      </c>
      <c r="W700" s="30">
        <v>0</v>
      </c>
      <c r="X700" s="30">
        <v>0</v>
      </c>
      <c r="Y700" s="30">
        <v>0</v>
      </c>
      <c r="Z700" s="30">
        <v>0</v>
      </c>
      <c r="AA700" s="30">
        <v>0</v>
      </c>
      <c r="AB700" s="30">
        <v>0</v>
      </c>
      <c r="AC700" s="30">
        <v>0</v>
      </c>
      <c r="AD700" s="30">
        <v>0</v>
      </c>
      <c r="AE700" s="30">
        <v>0</v>
      </c>
      <c r="AF700" s="30">
        <v>0</v>
      </c>
      <c r="AG700" s="30">
        <v>0</v>
      </c>
      <c r="AH700" s="30">
        <v>0</v>
      </c>
      <c r="AI700" s="30">
        <v>0</v>
      </c>
      <c r="AJ700" s="30">
        <v>0</v>
      </c>
      <c r="AK700" s="30">
        <v>0</v>
      </c>
      <c r="AL700" s="30">
        <v>0</v>
      </c>
      <c r="AM700" s="30">
        <v>0</v>
      </c>
      <c r="AN700" s="30">
        <v>0</v>
      </c>
      <c r="AO700" s="30">
        <v>0</v>
      </c>
      <c r="AP700" s="30">
        <v>0</v>
      </c>
      <c r="AQ700" s="30">
        <v>0</v>
      </c>
      <c r="AR700" s="30">
        <v>0</v>
      </c>
      <c r="AS700" s="30">
        <v>0</v>
      </c>
      <c r="AT700" s="30">
        <v>0</v>
      </c>
      <c r="AU700" s="30">
        <v>0</v>
      </c>
      <c r="AV700" s="30">
        <v>0</v>
      </c>
      <c r="AW700" s="30">
        <v>0</v>
      </c>
      <c r="AX700" s="30">
        <v>0</v>
      </c>
      <c r="AY700" s="30">
        <v>0</v>
      </c>
      <c r="AZ700" s="30">
        <v>0</v>
      </c>
      <c r="BA700" s="30">
        <v>0</v>
      </c>
      <c r="BB700" s="30">
        <v>0</v>
      </c>
      <c r="BC700" s="30">
        <v>0</v>
      </c>
      <c r="BD700" s="30">
        <v>0</v>
      </c>
      <c r="BE700" s="30">
        <v>0</v>
      </c>
      <c r="BF700" s="30">
        <v>0</v>
      </c>
      <c r="BG700" s="30">
        <v>0</v>
      </c>
      <c r="BH700" s="30">
        <v>0</v>
      </c>
      <c r="BI700" s="30">
        <v>0</v>
      </c>
      <c r="BJ700" s="30">
        <v>0</v>
      </c>
      <c r="BK700" s="30">
        <v>0</v>
      </c>
      <c r="BL700" s="30">
        <v>0</v>
      </c>
      <c r="BM700" s="30">
        <v>0</v>
      </c>
      <c r="BN700" s="30">
        <v>0</v>
      </c>
      <c r="BO700" s="30">
        <v>0</v>
      </c>
      <c r="BP700" s="30">
        <v>0</v>
      </c>
      <c r="BQ700" s="30">
        <v>0</v>
      </c>
      <c r="BR700" s="30">
        <v>0</v>
      </c>
      <c r="BS700" s="30">
        <v>0</v>
      </c>
      <c r="BT700" s="30">
        <v>0</v>
      </c>
      <c r="BU700" s="30">
        <v>0</v>
      </c>
      <c r="BV700" s="30">
        <v>0</v>
      </c>
      <c r="BW700" s="30">
        <v>0</v>
      </c>
      <c r="BX700" s="30">
        <v>0</v>
      </c>
      <c r="BY700" s="30">
        <v>0</v>
      </c>
      <c r="BZ700" s="30">
        <v>0</v>
      </c>
      <c r="CA700" s="30">
        <v>0</v>
      </c>
      <c r="CB700" s="30">
        <v>0</v>
      </c>
      <c r="CC700" s="30">
        <v>0</v>
      </c>
      <c r="CD700" s="30">
        <v>0</v>
      </c>
      <c r="CE700" s="30">
        <v>0</v>
      </c>
      <c r="CF700" s="30">
        <v>0</v>
      </c>
      <c r="CG700" s="30">
        <v>0</v>
      </c>
      <c r="CH700" s="30">
        <v>0</v>
      </c>
      <c r="CI700" s="30">
        <v>0</v>
      </c>
      <c r="CJ700" s="30">
        <v>0</v>
      </c>
      <c r="CK700" s="30">
        <v>0</v>
      </c>
      <c r="CL700" s="30">
        <v>0</v>
      </c>
      <c r="CM700" s="30">
        <v>0</v>
      </c>
      <c r="CN700" s="30">
        <v>0</v>
      </c>
      <c r="CO700" s="30">
        <v>0</v>
      </c>
      <c r="CP700" s="30">
        <v>0</v>
      </c>
      <c r="CQ700" s="30">
        <v>0</v>
      </c>
      <c r="CR700" s="30">
        <v>0</v>
      </c>
      <c r="CS700" s="30">
        <v>0</v>
      </c>
      <c r="CT700" s="30">
        <v>0</v>
      </c>
      <c r="CU700" s="30">
        <v>0</v>
      </c>
      <c r="CV700" s="30">
        <v>0</v>
      </c>
      <c r="CW700" s="30">
        <v>0</v>
      </c>
      <c r="CX700" s="30">
        <v>0</v>
      </c>
      <c r="CY700" s="30">
        <v>0</v>
      </c>
      <c r="CZ700" s="30">
        <v>0</v>
      </c>
      <c r="DA700" s="30">
        <v>0</v>
      </c>
      <c r="DB700" s="30">
        <v>0</v>
      </c>
      <c r="DC700" s="30">
        <v>0</v>
      </c>
      <c r="DD700" s="30">
        <v>0</v>
      </c>
      <c r="DE700" s="30">
        <v>0</v>
      </c>
      <c r="DF700" s="30">
        <v>0</v>
      </c>
      <c r="DG700" s="16">
        <f t="shared" si="59"/>
        <v>0</v>
      </c>
      <c r="DH700" s="16">
        <f t="shared" si="60"/>
        <v>0</v>
      </c>
      <c r="DI700" s="17" t="str">
        <f t="shared" si="61"/>
        <v/>
      </c>
      <c r="DJ700" s="119" t="s">
        <v>4</v>
      </c>
      <c r="DK700" s="44" t="s">
        <v>4</v>
      </c>
    </row>
    <row r="701" spans="1:115">
      <c r="A701" s="32" t="str">
        <f t="shared" si="57"/>
        <v xml:space="preserve">Ausgrid--POLE MOUNTED ; &gt; 22 kV ;  &lt; = 60 kVA </v>
      </c>
      <c r="B701" s="32" t="str">
        <f t="shared" si="58"/>
        <v>Ausgrid</v>
      </c>
      <c r="C701" s="397"/>
      <c r="D701" s="31"/>
      <c r="E701" s="30" t="s">
        <v>209</v>
      </c>
      <c r="F701" s="19"/>
      <c r="G701" s="19"/>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16">
        <f t="shared" si="59"/>
        <v>0</v>
      </c>
      <c r="DH701" s="16">
        <f t="shared" si="60"/>
        <v>0</v>
      </c>
      <c r="DI701" s="17" t="str">
        <f t="shared" si="61"/>
        <v/>
      </c>
      <c r="DJ701" s="119" t="s">
        <v>4</v>
      </c>
      <c r="DK701" s="44" t="s">
        <v>4</v>
      </c>
    </row>
    <row r="702" spans="1:115">
      <c r="A702" s="32" t="str">
        <f t="shared" si="57"/>
        <v>Ausgrid--POLE MOUNTED ; &gt; 22 kV ;  &gt; 60 kVA AND &lt; = 600 kVA</v>
      </c>
      <c r="B702" s="32" t="str">
        <f t="shared" si="58"/>
        <v>Ausgrid</v>
      </c>
      <c r="C702" s="397"/>
      <c r="D702" s="31"/>
      <c r="E702" s="30" t="s">
        <v>212</v>
      </c>
      <c r="F702" s="19"/>
      <c r="G702" s="19"/>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16">
        <f t="shared" si="59"/>
        <v>0</v>
      </c>
      <c r="DH702" s="16">
        <f t="shared" si="60"/>
        <v>0</v>
      </c>
      <c r="DI702" s="17" t="str">
        <f t="shared" si="61"/>
        <v/>
      </c>
      <c r="DJ702" s="119" t="s">
        <v>4</v>
      </c>
      <c r="DK702" s="44" t="s">
        <v>4</v>
      </c>
    </row>
    <row r="703" spans="1:115">
      <c r="A703" s="32" t="str">
        <f t="shared" si="57"/>
        <v>Ausgrid--POLE MOUNTED ; &gt; 22 kV ;  &gt;  600 kVA</v>
      </c>
      <c r="B703" s="32" t="str">
        <f t="shared" si="58"/>
        <v>Ausgrid</v>
      </c>
      <c r="C703" s="397"/>
      <c r="D703" s="31"/>
      <c r="E703" s="30" t="s">
        <v>213</v>
      </c>
      <c r="F703" s="19"/>
      <c r="G703" s="19"/>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c r="CS703" s="30"/>
      <c r="CT703" s="30"/>
      <c r="CU703" s="30"/>
      <c r="CV703" s="30"/>
      <c r="CW703" s="30"/>
      <c r="CX703" s="30"/>
      <c r="CY703" s="30"/>
      <c r="CZ703" s="30"/>
      <c r="DA703" s="30"/>
      <c r="DB703" s="30"/>
      <c r="DC703" s="30"/>
      <c r="DD703" s="30"/>
      <c r="DE703" s="30"/>
      <c r="DF703" s="30"/>
      <c r="DG703" s="16">
        <f t="shared" si="59"/>
        <v>0</v>
      </c>
      <c r="DH703" s="16">
        <f t="shared" si="60"/>
        <v>0</v>
      </c>
      <c r="DI703" s="17" t="str">
        <f t="shared" si="61"/>
        <v/>
      </c>
      <c r="DJ703" s="119" t="s">
        <v>4</v>
      </c>
      <c r="DK703" s="44" t="s">
        <v>4</v>
      </c>
    </row>
    <row r="704" spans="1:115">
      <c r="A704" s="32" t="str">
        <f t="shared" si="57"/>
        <v>Ausgrid--KIOSK MOUNTED ; &lt; = 22kV ;  &lt; = 60 kVA ; SINGLE PHASE</v>
      </c>
      <c r="B704" s="32" t="str">
        <f t="shared" si="58"/>
        <v>Ausgrid</v>
      </c>
      <c r="C704" s="397"/>
      <c r="D704" s="31"/>
      <c r="E704" s="30" t="s">
        <v>214</v>
      </c>
      <c r="F704" s="19">
        <v>36.29</v>
      </c>
      <c r="G704" s="19">
        <v>9.61</v>
      </c>
      <c r="H704" s="30">
        <v>0</v>
      </c>
      <c r="I704" s="30">
        <v>0</v>
      </c>
      <c r="J704" s="30">
        <v>0</v>
      </c>
      <c r="K704" s="30">
        <v>0</v>
      </c>
      <c r="L704" s="30">
        <v>0</v>
      </c>
      <c r="M704" s="30">
        <v>0</v>
      </c>
      <c r="N704" s="30">
        <v>0</v>
      </c>
      <c r="O704" s="30">
        <v>0</v>
      </c>
      <c r="P704" s="30">
        <v>0</v>
      </c>
      <c r="Q704" s="30">
        <v>0</v>
      </c>
      <c r="R704" s="30">
        <v>0</v>
      </c>
      <c r="S704" s="30">
        <v>0</v>
      </c>
      <c r="T704" s="30">
        <v>0</v>
      </c>
      <c r="U704" s="30">
        <v>0</v>
      </c>
      <c r="V704" s="30">
        <v>0</v>
      </c>
      <c r="W704" s="30">
        <v>1</v>
      </c>
      <c r="X704" s="30">
        <v>0</v>
      </c>
      <c r="Y704" s="30">
        <v>0</v>
      </c>
      <c r="Z704" s="30">
        <v>0</v>
      </c>
      <c r="AA704" s="30">
        <v>0</v>
      </c>
      <c r="AB704" s="30">
        <v>0</v>
      </c>
      <c r="AC704" s="30">
        <v>0</v>
      </c>
      <c r="AD704" s="30">
        <v>0</v>
      </c>
      <c r="AE704" s="30">
        <v>0</v>
      </c>
      <c r="AF704" s="30">
        <v>0</v>
      </c>
      <c r="AG704" s="30">
        <v>0</v>
      </c>
      <c r="AH704" s="30">
        <v>0</v>
      </c>
      <c r="AI704" s="30">
        <v>0</v>
      </c>
      <c r="AJ704" s="30">
        <v>0</v>
      </c>
      <c r="AK704" s="30">
        <v>0</v>
      </c>
      <c r="AL704" s="30">
        <v>0</v>
      </c>
      <c r="AM704" s="30">
        <v>0</v>
      </c>
      <c r="AN704" s="30">
        <v>0</v>
      </c>
      <c r="AO704" s="30">
        <v>0</v>
      </c>
      <c r="AP704" s="30">
        <v>0</v>
      </c>
      <c r="AQ704" s="30">
        <v>0</v>
      </c>
      <c r="AR704" s="30">
        <v>0</v>
      </c>
      <c r="AS704" s="30">
        <v>0</v>
      </c>
      <c r="AT704" s="30">
        <v>0</v>
      </c>
      <c r="AU704" s="30">
        <v>0</v>
      </c>
      <c r="AV704" s="30">
        <v>0</v>
      </c>
      <c r="AW704" s="30">
        <v>0</v>
      </c>
      <c r="AX704" s="30">
        <v>0</v>
      </c>
      <c r="AY704" s="30">
        <v>0</v>
      </c>
      <c r="AZ704" s="30">
        <v>0</v>
      </c>
      <c r="BA704" s="30">
        <v>0</v>
      </c>
      <c r="BB704" s="30">
        <v>0</v>
      </c>
      <c r="BC704" s="30">
        <v>0</v>
      </c>
      <c r="BD704" s="30">
        <v>0</v>
      </c>
      <c r="BE704" s="30">
        <v>0</v>
      </c>
      <c r="BF704" s="30">
        <v>0</v>
      </c>
      <c r="BG704" s="30">
        <v>0</v>
      </c>
      <c r="BH704" s="30">
        <v>0</v>
      </c>
      <c r="BI704" s="30">
        <v>0</v>
      </c>
      <c r="BJ704" s="30">
        <v>0</v>
      </c>
      <c r="BK704" s="30">
        <v>0</v>
      </c>
      <c r="BL704" s="30">
        <v>0</v>
      </c>
      <c r="BM704" s="30">
        <v>0</v>
      </c>
      <c r="BN704" s="30">
        <v>0</v>
      </c>
      <c r="BO704" s="30">
        <v>0</v>
      </c>
      <c r="BP704" s="30">
        <v>0</v>
      </c>
      <c r="BQ704" s="30">
        <v>0</v>
      </c>
      <c r="BR704" s="30">
        <v>0</v>
      </c>
      <c r="BS704" s="30">
        <v>0</v>
      </c>
      <c r="BT704" s="30">
        <v>0</v>
      </c>
      <c r="BU704" s="30">
        <v>0</v>
      </c>
      <c r="BV704" s="30">
        <v>0</v>
      </c>
      <c r="BW704" s="30">
        <v>0</v>
      </c>
      <c r="BX704" s="30">
        <v>0</v>
      </c>
      <c r="BY704" s="30">
        <v>0</v>
      </c>
      <c r="BZ704" s="30">
        <v>0</v>
      </c>
      <c r="CA704" s="30">
        <v>0</v>
      </c>
      <c r="CB704" s="30">
        <v>0</v>
      </c>
      <c r="CC704" s="30">
        <v>0</v>
      </c>
      <c r="CD704" s="30">
        <v>0</v>
      </c>
      <c r="CE704" s="30">
        <v>0</v>
      </c>
      <c r="CF704" s="30">
        <v>0</v>
      </c>
      <c r="CG704" s="30">
        <v>0</v>
      </c>
      <c r="CH704" s="30">
        <v>0</v>
      </c>
      <c r="CI704" s="30">
        <v>0</v>
      </c>
      <c r="CJ704" s="30">
        <v>0</v>
      </c>
      <c r="CK704" s="30">
        <v>0</v>
      </c>
      <c r="CL704" s="30">
        <v>0</v>
      </c>
      <c r="CM704" s="30">
        <v>0</v>
      </c>
      <c r="CN704" s="30">
        <v>0</v>
      </c>
      <c r="CO704" s="30">
        <v>0</v>
      </c>
      <c r="CP704" s="30">
        <v>0</v>
      </c>
      <c r="CQ704" s="30">
        <v>0</v>
      </c>
      <c r="CR704" s="30">
        <v>0</v>
      </c>
      <c r="CS704" s="30">
        <v>0</v>
      </c>
      <c r="CT704" s="30">
        <v>0</v>
      </c>
      <c r="CU704" s="30">
        <v>0</v>
      </c>
      <c r="CV704" s="30">
        <v>0</v>
      </c>
      <c r="CW704" s="30">
        <v>0</v>
      </c>
      <c r="CX704" s="30">
        <v>0</v>
      </c>
      <c r="CY704" s="30">
        <v>0</v>
      </c>
      <c r="CZ704" s="30">
        <v>0</v>
      </c>
      <c r="DA704" s="30">
        <v>0</v>
      </c>
      <c r="DB704" s="30">
        <v>0</v>
      </c>
      <c r="DC704" s="30">
        <v>0</v>
      </c>
      <c r="DD704" s="30">
        <v>0</v>
      </c>
      <c r="DE704" s="30">
        <v>0</v>
      </c>
      <c r="DF704" s="30">
        <v>0</v>
      </c>
      <c r="DG704" s="16">
        <f t="shared" si="59"/>
        <v>1</v>
      </c>
      <c r="DH704" s="16">
        <f t="shared" si="60"/>
        <v>16</v>
      </c>
      <c r="DI704" s="17">
        <f t="shared" si="61"/>
        <v>16</v>
      </c>
      <c r="DJ704" s="119" t="s">
        <v>4</v>
      </c>
      <c r="DK704" s="44" t="s">
        <v>4</v>
      </c>
    </row>
    <row r="705" spans="1:115">
      <c r="A705" s="32" t="str">
        <f t="shared" si="57"/>
        <v>Ausgrid--KIOSK MOUNTED ; &lt; = 22kV ;  &gt; 60 kVA AND &lt; = 600 kVA ; SINGLE PHASE</v>
      </c>
      <c r="B705" s="32" t="str">
        <f t="shared" si="58"/>
        <v>Ausgrid</v>
      </c>
      <c r="C705" s="397"/>
      <c r="D705" s="31"/>
      <c r="E705" s="30" t="s">
        <v>215</v>
      </c>
      <c r="F705" s="19">
        <v>36.29</v>
      </c>
      <c r="G705" s="19">
        <v>9.61</v>
      </c>
      <c r="H705" s="30">
        <v>0</v>
      </c>
      <c r="I705" s="30">
        <v>0</v>
      </c>
      <c r="J705" s="30">
        <v>0</v>
      </c>
      <c r="K705" s="30">
        <v>0</v>
      </c>
      <c r="L705" s="30">
        <v>0</v>
      </c>
      <c r="M705" s="30">
        <v>0</v>
      </c>
      <c r="N705" s="30">
        <v>0</v>
      </c>
      <c r="O705" s="30">
        <v>0</v>
      </c>
      <c r="P705" s="30">
        <v>0</v>
      </c>
      <c r="Q705" s="30">
        <v>0</v>
      </c>
      <c r="R705" s="30">
        <v>0</v>
      </c>
      <c r="S705" s="30">
        <v>0</v>
      </c>
      <c r="T705" s="30">
        <v>0</v>
      </c>
      <c r="U705" s="30">
        <v>0</v>
      </c>
      <c r="V705" s="30">
        <v>0</v>
      </c>
      <c r="W705" s="30">
        <v>0</v>
      </c>
      <c r="X705" s="30">
        <v>0</v>
      </c>
      <c r="Y705" s="30">
        <v>9</v>
      </c>
      <c r="Z705" s="30">
        <v>0</v>
      </c>
      <c r="AA705" s="30">
        <v>0</v>
      </c>
      <c r="AB705" s="30">
        <v>0</v>
      </c>
      <c r="AC705" s="30">
        <v>0</v>
      </c>
      <c r="AD705" s="30">
        <v>0</v>
      </c>
      <c r="AE705" s="30">
        <v>1</v>
      </c>
      <c r="AF705" s="30">
        <v>0</v>
      </c>
      <c r="AG705" s="30">
        <v>0</v>
      </c>
      <c r="AH705" s="30">
        <v>0</v>
      </c>
      <c r="AI705" s="30">
        <v>0</v>
      </c>
      <c r="AJ705" s="30">
        <v>0</v>
      </c>
      <c r="AK705" s="30">
        <v>1</v>
      </c>
      <c r="AL705" s="30">
        <v>1</v>
      </c>
      <c r="AM705" s="30">
        <v>1</v>
      </c>
      <c r="AN705" s="30">
        <v>0</v>
      </c>
      <c r="AO705" s="30">
        <v>0</v>
      </c>
      <c r="AP705" s="30">
        <v>0</v>
      </c>
      <c r="AQ705" s="30">
        <v>0</v>
      </c>
      <c r="AR705" s="30">
        <v>0</v>
      </c>
      <c r="AS705" s="30">
        <v>0</v>
      </c>
      <c r="AT705" s="30">
        <v>0</v>
      </c>
      <c r="AU705" s="30">
        <v>0</v>
      </c>
      <c r="AV705" s="30">
        <v>0</v>
      </c>
      <c r="AW705" s="30">
        <v>0</v>
      </c>
      <c r="AX705" s="30">
        <v>0</v>
      </c>
      <c r="AY705" s="30">
        <v>0</v>
      </c>
      <c r="AZ705" s="30">
        <v>0</v>
      </c>
      <c r="BA705" s="30">
        <v>0</v>
      </c>
      <c r="BB705" s="30">
        <v>0</v>
      </c>
      <c r="BC705" s="30">
        <v>0</v>
      </c>
      <c r="BD705" s="30">
        <v>0</v>
      </c>
      <c r="BE705" s="30">
        <v>0</v>
      </c>
      <c r="BF705" s="30">
        <v>0</v>
      </c>
      <c r="BG705" s="30">
        <v>0</v>
      </c>
      <c r="BH705" s="30">
        <v>1</v>
      </c>
      <c r="BI705" s="30">
        <v>0</v>
      </c>
      <c r="BJ705" s="30">
        <v>0</v>
      </c>
      <c r="BK705" s="30">
        <v>0</v>
      </c>
      <c r="BL705" s="30">
        <v>0</v>
      </c>
      <c r="BM705" s="30">
        <v>0</v>
      </c>
      <c r="BN705" s="30">
        <v>0</v>
      </c>
      <c r="BO705" s="30">
        <v>0</v>
      </c>
      <c r="BP705" s="30">
        <v>0</v>
      </c>
      <c r="BQ705" s="30">
        <v>0</v>
      </c>
      <c r="BR705" s="30">
        <v>0</v>
      </c>
      <c r="BS705" s="30">
        <v>0</v>
      </c>
      <c r="BT705" s="30">
        <v>0</v>
      </c>
      <c r="BU705" s="30">
        <v>0</v>
      </c>
      <c r="BV705" s="30">
        <v>0</v>
      </c>
      <c r="BW705" s="30">
        <v>0</v>
      </c>
      <c r="BX705" s="30">
        <v>0</v>
      </c>
      <c r="BY705" s="30">
        <v>0</v>
      </c>
      <c r="BZ705" s="30">
        <v>0</v>
      </c>
      <c r="CA705" s="30">
        <v>0</v>
      </c>
      <c r="CB705" s="30">
        <v>0</v>
      </c>
      <c r="CC705" s="30">
        <v>0</v>
      </c>
      <c r="CD705" s="30">
        <v>0</v>
      </c>
      <c r="CE705" s="30">
        <v>0</v>
      </c>
      <c r="CF705" s="30">
        <v>0</v>
      </c>
      <c r="CG705" s="30">
        <v>0</v>
      </c>
      <c r="CH705" s="30">
        <v>0</v>
      </c>
      <c r="CI705" s="30">
        <v>0</v>
      </c>
      <c r="CJ705" s="30">
        <v>0</v>
      </c>
      <c r="CK705" s="30">
        <v>0</v>
      </c>
      <c r="CL705" s="30">
        <v>0</v>
      </c>
      <c r="CM705" s="30">
        <v>0</v>
      </c>
      <c r="CN705" s="30">
        <v>0</v>
      </c>
      <c r="CO705" s="30">
        <v>0</v>
      </c>
      <c r="CP705" s="30">
        <v>0</v>
      </c>
      <c r="CQ705" s="30">
        <v>0</v>
      </c>
      <c r="CR705" s="30">
        <v>0</v>
      </c>
      <c r="CS705" s="30">
        <v>0</v>
      </c>
      <c r="CT705" s="30">
        <v>0</v>
      </c>
      <c r="CU705" s="30">
        <v>0</v>
      </c>
      <c r="CV705" s="30">
        <v>0</v>
      </c>
      <c r="CW705" s="30">
        <v>0</v>
      </c>
      <c r="CX705" s="30">
        <v>0</v>
      </c>
      <c r="CY705" s="30">
        <v>0</v>
      </c>
      <c r="CZ705" s="30">
        <v>0</v>
      </c>
      <c r="DA705" s="30">
        <v>0</v>
      </c>
      <c r="DB705" s="30">
        <v>0</v>
      </c>
      <c r="DC705" s="30">
        <v>0</v>
      </c>
      <c r="DD705" s="30">
        <v>0</v>
      </c>
      <c r="DE705" s="30">
        <v>0</v>
      </c>
      <c r="DF705" s="30">
        <v>0</v>
      </c>
      <c r="DG705" s="16">
        <f t="shared" si="59"/>
        <v>14</v>
      </c>
      <c r="DH705" s="16">
        <f t="shared" si="60"/>
        <v>332</v>
      </c>
      <c r="DI705" s="17">
        <f t="shared" si="61"/>
        <v>23.714285714285715</v>
      </c>
      <c r="DJ705" s="119" t="s">
        <v>4</v>
      </c>
      <c r="DK705" s="44" t="s">
        <v>4</v>
      </c>
    </row>
    <row r="706" spans="1:115">
      <c r="A706" s="32" t="str">
        <f t="shared" si="57"/>
        <v>Ausgrid--KIOSK MOUNTED ; &lt; = 22kV ;  &gt; 600 kVA ; SINGLE PHASE</v>
      </c>
      <c r="B706" s="32" t="str">
        <f t="shared" si="58"/>
        <v>Ausgrid</v>
      </c>
      <c r="C706" s="397"/>
      <c r="D706" s="31"/>
      <c r="E706" s="30" t="s">
        <v>216</v>
      </c>
      <c r="F706" s="19">
        <v>0</v>
      </c>
      <c r="G706" s="19">
        <v>0</v>
      </c>
      <c r="H706" s="30">
        <v>0</v>
      </c>
      <c r="I706" s="30">
        <v>0</v>
      </c>
      <c r="J706" s="30">
        <v>0</v>
      </c>
      <c r="K706" s="30">
        <v>0</v>
      </c>
      <c r="L706" s="30">
        <v>0</v>
      </c>
      <c r="M706" s="30">
        <v>0</v>
      </c>
      <c r="N706" s="30">
        <v>0</v>
      </c>
      <c r="O706" s="30">
        <v>0</v>
      </c>
      <c r="P706" s="30">
        <v>0</v>
      </c>
      <c r="Q706" s="30">
        <v>0</v>
      </c>
      <c r="R706" s="30">
        <v>0</v>
      </c>
      <c r="S706" s="30">
        <v>0</v>
      </c>
      <c r="T706" s="30">
        <v>0</v>
      </c>
      <c r="U706" s="30">
        <v>0</v>
      </c>
      <c r="V706" s="30">
        <v>0</v>
      </c>
      <c r="W706" s="30">
        <v>0</v>
      </c>
      <c r="X706" s="30">
        <v>0</v>
      </c>
      <c r="Y706" s="30">
        <v>0</v>
      </c>
      <c r="Z706" s="30">
        <v>0</v>
      </c>
      <c r="AA706" s="30">
        <v>0</v>
      </c>
      <c r="AB706" s="30">
        <v>0</v>
      </c>
      <c r="AC706" s="30">
        <v>0</v>
      </c>
      <c r="AD706" s="30">
        <v>0</v>
      </c>
      <c r="AE706" s="30">
        <v>0</v>
      </c>
      <c r="AF706" s="30">
        <v>0</v>
      </c>
      <c r="AG706" s="30">
        <v>0</v>
      </c>
      <c r="AH706" s="30">
        <v>0</v>
      </c>
      <c r="AI706" s="30">
        <v>0</v>
      </c>
      <c r="AJ706" s="30">
        <v>0</v>
      </c>
      <c r="AK706" s="30">
        <v>0</v>
      </c>
      <c r="AL706" s="30">
        <v>0</v>
      </c>
      <c r="AM706" s="30">
        <v>0</v>
      </c>
      <c r="AN706" s="30">
        <v>0</v>
      </c>
      <c r="AO706" s="30">
        <v>0</v>
      </c>
      <c r="AP706" s="30">
        <v>0</v>
      </c>
      <c r="AQ706" s="30">
        <v>0</v>
      </c>
      <c r="AR706" s="30">
        <v>0</v>
      </c>
      <c r="AS706" s="30">
        <v>0</v>
      </c>
      <c r="AT706" s="30">
        <v>0</v>
      </c>
      <c r="AU706" s="30">
        <v>0</v>
      </c>
      <c r="AV706" s="30">
        <v>0</v>
      </c>
      <c r="AW706" s="30">
        <v>0</v>
      </c>
      <c r="AX706" s="30">
        <v>0</v>
      </c>
      <c r="AY706" s="30">
        <v>0</v>
      </c>
      <c r="AZ706" s="30">
        <v>0</v>
      </c>
      <c r="BA706" s="30">
        <v>0</v>
      </c>
      <c r="BB706" s="30">
        <v>0</v>
      </c>
      <c r="BC706" s="30">
        <v>0</v>
      </c>
      <c r="BD706" s="30">
        <v>0</v>
      </c>
      <c r="BE706" s="30">
        <v>0</v>
      </c>
      <c r="BF706" s="30">
        <v>0</v>
      </c>
      <c r="BG706" s="30">
        <v>0</v>
      </c>
      <c r="BH706" s="30">
        <v>0</v>
      </c>
      <c r="BI706" s="30">
        <v>0</v>
      </c>
      <c r="BJ706" s="30">
        <v>0</v>
      </c>
      <c r="BK706" s="30">
        <v>0</v>
      </c>
      <c r="BL706" s="30">
        <v>0</v>
      </c>
      <c r="BM706" s="30">
        <v>0</v>
      </c>
      <c r="BN706" s="30">
        <v>0</v>
      </c>
      <c r="BO706" s="30">
        <v>0</v>
      </c>
      <c r="BP706" s="30">
        <v>0</v>
      </c>
      <c r="BQ706" s="30">
        <v>0</v>
      </c>
      <c r="BR706" s="30">
        <v>0</v>
      </c>
      <c r="BS706" s="30">
        <v>0</v>
      </c>
      <c r="BT706" s="30">
        <v>0</v>
      </c>
      <c r="BU706" s="30">
        <v>0</v>
      </c>
      <c r="BV706" s="30">
        <v>0</v>
      </c>
      <c r="BW706" s="30">
        <v>0</v>
      </c>
      <c r="BX706" s="30">
        <v>0</v>
      </c>
      <c r="BY706" s="30">
        <v>0</v>
      </c>
      <c r="BZ706" s="30">
        <v>0</v>
      </c>
      <c r="CA706" s="30">
        <v>0</v>
      </c>
      <c r="CB706" s="30">
        <v>0</v>
      </c>
      <c r="CC706" s="30">
        <v>0</v>
      </c>
      <c r="CD706" s="30">
        <v>0</v>
      </c>
      <c r="CE706" s="30">
        <v>0</v>
      </c>
      <c r="CF706" s="30">
        <v>0</v>
      </c>
      <c r="CG706" s="30">
        <v>0</v>
      </c>
      <c r="CH706" s="30">
        <v>0</v>
      </c>
      <c r="CI706" s="30">
        <v>0</v>
      </c>
      <c r="CJ706" s="30">
        <v>0</v>
      </c>
      <c r="CK706" s="30">
        <v>0</v>
      </c>
      <c r="CL706" s="30">
        <v>0</v>
      </c>
      <c r="CM706" s="30">
        <v>0</v>
      </c>
      <c r="CN706" s="30">
        <v>0</v>
      </c>
      <c r="CO706" s="30">
        <v>0</v>
      </c>
      <c r="CP706" s="30">
        <v>0</v>
      </c>
      <c r="CQ706" s="30">
        <v>0</v>
      </c>
      <c r="CR706" s="30">
        <v>0</v>
      </c>
      <c r="CS706" s="30">
        <v>0</v>
      </c>
      <c r="CT706" s="30">
        <v>0</v>
      </c>
      <c r="CU706" s="30">
        <v>0</v>
      </c>
      <c r="CV706" s="30">
        <v>0</v>
      </c>
      <c r="CW706" s="30">
        <v>0</v>
      </c>
      <c r="CX706" s="30">
        <v>0</v>
      </c>
      <c r="CY706" s="30">
        <v>0</v>
      </c>
      <c r="CZ706" s="30">
        <v>0</v>
      </c>
      <c r="DA706" s="30">
        <v>0</v>
      </c>
      <c r="DB706" s="30">
        <v>0</v>
      </c>
      <c r="DC706" s="30">
        <v>0</v>
      </c>
      <c r="DD706" s="30">
        <v>0</v>
      </c>
      <c r="DE706" s="30">
        <v>0</v>
      </c>
      <c r="DF706" s="30">
        <v>0</v>
      </c>
      <c r="DG706" s="16">
        <f t="shared" si="59"/>
        <v>0</v>
      </c>
      <c r="DH706" s="16">
        <f t="shared" si="60"/>
        <v>0</v>
      </c>
      <c r="DI706" s="17" t="str">
        <f t="shared" si="61"/>
        <v/>
      </c>
      <c r="DJ706" s="119" t="s">
        <v>4</v>
      </c>
      <c r="DK706" s="44" t="s">
        <v>4</v>
      </c>
    </row>
    <row r="707" spans="1:115">
      <c r="A707" s="32" t="str">
        <f t="shared" si="57"/>
        <v>Ausgrid--KIOSK MOUNTED ; &lt; = 22kV ;  &lt; = 60 kVA  ; MULTIPLE PHASE</v>
      </c>
      <c r="B707" s="32" t="str">
        <f t="shared" si="58"/>
        <v>Ausgrid</v>
      </c>
      <c r="C707" s="397"/>
      <c r="D707" s="31"/>
      <c r="E707" s="30" t="s">
        <v>217</v>
      </c>
      <c r="F707" s="19">
        <v>0</v>
      </c>
      <c r="G707" s="19">
        <v>0</v>
      </c>
      <c r="H707" s="30">
        <v>0</v>
      </c>
      <c r="I707" s="30">
        <v>0</v>
      </c>
      <c r="J707" s="30">
        <v>0</v>
      </c>
      <c r="K707" s="30">
        <v>0</v>
      </c>
      <c r="L707" s="30">
        <v>0</v>
      </c>
      <c r="M707" s="30">
        <v>0</v>
      </c>
      <c r="N707" s="30">
        <v>0</v>
      </c>
      <c r="O707" s="30">
        <v>0</v>
      </c>
      <c r="P707" s="30">
        <v>0</v>
      </c>
      <c r="Q707" s="30">
        <v>0</v>
      </c>
      <c r="R707" s="30">
        <v>0</v>
      </c>
      <c r="S707" s="30">
        <v>0</v>
      </c>
      <c r="T707" s="30">
        <v>0</v>
      </c>
      <c r="U707" s="30">
        <v>0</v>
      </c>
      <c r="V707" s="30">
        <v>0</v>
      </c>
      <c r="W707" s="30">
        <v>0</v>
      </c>
      <c r="X707" s="30">
        <v>0</v>
      </c>
      <c r="Y707" s="30">
        <v>0</v>
      </c>
      <c r="Z707" s="30">
        <v>0</v>
      </c>
      <c r="AA707" s="30">
        <v>0</v>
      </c>
      <c r="AB707" s="30">
        <v>0</v>
      </c>
      <c r="AC707" s="30">
        <v>0</v>
      </c>
      <c r="AD707" s="30">
        <v>0</v>
      </c>
      <c r="AE707" s="30">
        <v>0</v>
      </c>
      <c r="AF707" s="30">
        <v>0</v>
      </c>
      <c r="AG707" s="30">
        <v>0</v>
      </c>
      <c r="AH707" s="30">
        <v>0</v>
      </c>
      <c r="AI707" s="30">
        <v>0</v>
      </c>
      <c r="AJ707" s="30">
        <v>0</v>
      </c>
      <c r="AK707" s="30">
        <v>0</v>
      </c>
      <c r="AL707" s="30">
        <v>0</v>
      </c>
      <c r="AM707" s="30">
        <v>0</v>
      </c>
      <c r="AN707" s="30">
        <v>0</v>
      </c>
      <c r="AO707" s="30">
        <v>0</v>
      </c>
      <c r="AP707" s="30">
        <v>0</v>
      </c>
      <c r="AQ707" s="30">
        <v>0</v>
      </c>
      <c r="AR707" s="30">
        <v>0</v>
      </c>
      <c r="AS707" s="30">
        <v>0</v>
      </c>
      <c r="AT707" s="30">
        <v>0</v>
      </c>
      <c r="AU707" s="30">
        <v>0</v>
      </c>
      <c r="AV707" s="30">
        <v>0</v>
      </c>
      <c r="AW707" s="30">
        <v>0</v>
      </c>
      <c r="AX707" s="30">
        <v>0</v>
      </c>
      <c r="AY707" s="30">
        <v>0</v>
      </c>
      <c r="AZ707" s="30">
        <v>0</v>
      </c>
      <c r="BA707" s="30">
        <v>0</v>
      </c>
      <c r="BB707" s="30">
        <v>0</v>
      </c>
      <c r="BC707" s="30">
        <v>0</v>
      </c>
      <c r="BD707" s="30">
        <v>0</v>
      </c>
      <c r="BE707" s="30">
        <v>0</v>
      </c>
      <c r="BF707" s="30">
        <v>0</v>
      </c>
      <c r="BG707" s="30">
        <v>0</v>
      </c>
      <c r="BH707" s="30">
        <v>0</v>
      </c>
      <c r="BI707" s="30">
        <v>0</v>
      </c>
      <c r="BJ707" s="30">
        <v>0</v>
      </c>
      <c r="BK707" s="30">
        <v>0</v>
      </c>
      <c r="BL707" s="30">
        <v>0</v>
      </c>
      <c r="BM707" s="30">
        <v>0</v>
      </c>
      <c r="BN707" s="30">
        <v>0</v>
      </c>
      <c r="BO707" s="30">
        <v>0</v>
      </c>
      <c r="BP707" s="30">
        <v>0</v>
      </c>
      <c r="BQ707" s="30">
        <v>0</v>
      </c>
      <c r="BR707" s="30">
        <v>0</v>
      </c>
      <c r="BS707" s="30">
        <v>0</v>
      </c>
      <c r="BT707" s="30">
        <v>0</v>
      </c>
      <c r="BU707" s="30">
        <v>0</v>
      </c>
      <c r="BV707" s="30">
        <v>0</v>
      </c>
      <c r="BW707" s="30">
        <v>0</v>
      </c>
      <c r="BX707" s="30">
        <v>0</v>
      </c>
      <c r="BY707" s="30">
        <v>0</v>
      </c>
      <c r="BZ707" s="30">
        <v>0</v>
      </c>
      <c r="CA707" s="30">
        <v>0</v>
      </c>
      <c r="CB707" s="30">
        <v>0</v>
      </c>
      <c r="CC707" s="30">
        <v>0</v>
      </c>
      <c r="CD707" s="30">
        <v>0</v>
      </c>
      <c r="CE707" s="30">
        <v>0</v>
      </c>
      <c r="CF707" s="30">
        <v>0</v>
      </c>
      <c r="CG707" s="30">
        <v>0</v>
      </c>
      <c r="CH707" s="30">
        <v>0</v>
      </c>
      <c r="CI707" s="30">
        <v>0</v>
      </c>
      <c r="CJ707" s="30">
        <v>0</v>
      </c>
      <c r="CK707" s="30">
        <v>0</v>
      </c>
      <c r="CL707" s="30">
        <v>0</v>
      </c>
      <c r="CM707" s="30">
        <v>0</v>
      </c>
      <c r="CN707" s="30">
        <v>0</v>
      </c>
      <c r="CO707" s="30">
        <v>0</v>
      </c>
      <c r="CP707" s="30">
        <v>0</v>
      </c>
      <c r="CQ707" s="30">
        <v>0</v>
      </c>
      <c r="CR707" s="30">
        <v>0</v>
      </c>
      <c r="CS707" s="30">
        <v>0</v>
      </c>
      <c r="CT707" s="30">
        <v>0</v>
      </c>
      <c r="CU707" s="30">
        <v>0</v>
      </c>
      <c r="CV707" s="30">
        <v>0</v>
      </c>
      <c r="CW707" s="30">
        <v>0</v>
      </c>
      <c r="CX707" s="30">
        <v>0</v>
      </c>
      <c r="CY707" s="30">
        <v>0</v>
      </c>
      <c r="CZ707" s="30">
        <v>0</v>
      </c>
      <c r="DA707" s="30">
        <v>0</v>
      </c>
      <c r="DB707" s="30">
        <v>0</v>
      </c>
      <c r="DC707" s="30">
        <v>0</v>
      </c>
      <c r="DD707" s="30">
        <v>0</v>
      </c>
      <c r="DE707" s="30">
        <v>0</v>
      </c>
      <c r="DF707" s="30">
        <v>0</v>
      </c>
      <c r="DG707" s="16">
        <f t="shared" si="59"/>
        <v>0</v>
      </c>
      <c r="DH707" s="16">
        <f t="shared" si="60"/>
        <v>0</v>
      </c>
      <c r="DI707" s="17" t="str">
        <f t="shared" si="61"/>
        <v/>
      </c>
      <c r="DJ707" s="119" t="s">
        <v>4</v>
      </c>
      <c r="DK707" s="44" t="s">
        <v>4</v>
      </c>
    </row>
    <row r="708" spans="1:115">
      <c r="A708" s="32" t="str">
        <f t="shared" si="57"/>
        <v>Ausgrid--KIOSK MOUNTED ; &lt; = 22kV ;  &gt; 60 kVA AND &lt; = 600 kVA  ; MULTIPLE PHASE</v>
      </c>
      <c r="B708" s="32" t="str">
        <f t="shared" si="58"/>
        <v>Ausgrid</v>
      </c>
      <c r="C708" s="397"/>
      <c r="D708" s="31"/>
      <c r="E708" s="30" t="s">
        <v>218</v>
      </c>
      <c r="F708" s="19">
        <v>36.29</v>
      </c>
      <c r="G708" s="19">
        <v>9.61</v>
      </c>
      <c r="H708" s="30">
        <v>138</v>
      </c>
      <c r="I708" s="30">
        <v>192</v>
      </c>
      <c r="J708" s="30">
        <v>191</v>
      </c>
      <c r="K708" s="30">
        <v>162</v>
      </c>
      <c r="L708" s="30">
        <v>228</v>
      </c>
      <c r="M708" s="30">
        <v>194</v>
      </c>
      <c r="N708" s="30">
        <v>178</v>
      </c>
      <c r="O708" s="30">
        <v>208</v>
      </c>
      <c r="P708" s="30">
        <v>157</v>
      </c>
      <c r="Q708" s="30">
        <v>181</v>
      </c>
      <c r="R708" s="30">
        <v>123</v>
      </c>
      <c r="S708" s="30">
        <v>78</v>
      </c>
      <c r="T708" s="30">
        <v>112</v>
      </c>
      <c r="U708" s="30">
        <v>32</v>
      </c>
      <c r="V708" s="30">
        <v>32</v>
      </c>
      <c r="W708" s="30">
        <v>40</v>
      </c>
      <c r="X708" s="30">
        <v>36</v>
      </c>
      <c r="Y708" s="30">
        <v>88</v>
      </c>
      <c r="Z708" s="30">
        <v>242</v>
      </c>
      <c r="AA708" s="30">
        <v>490</v>
      </c>
      <c r="AB708" s="30">
        <v>206</v>
      </c>
      <c r="AC708" s="30">
        <v>124</v>
      </c>
      <c r="AD708" s="30">
        <v>93</v>
      </c>
      <c r="AE708" s="30">
        <v>62</v>
      </c>
      <c r="AF708" s="30">
        <v>125</v>
      </c>
      <c r="AG708" s="30">
        <v>95</v>
      </c>
      <c r="AH708" s="30">
        <v>178</v>
      </c>
      <c r="AI708" s="30">
        <v>107</v>
      </c>
      <c r="AJ708" s="30">
        <v>28</v>
      </c>
      <c r="AK708" s="30">
        <v>80</v>
      </c>
      <c r="AL708" s="30">
        <v>183</v>
      </c>
      <c r="AM708" s="30">
        <v>156</v>
      </c>
      <c r="AN708" s="30">
        <v>329</v>
      </c>
      <c r="AO708" s="30">
        <v>214</v>
      </c>
      <c r="AP708" s="30">
        <v>256</v>
      </c>
      <c r="AQ708" s="30">
        <v>266</v>
      </c>
      <c r="AR708" s="30">
        <v>201</v>
      </c>
      <c r="AS708" s="30">
        <v>226</v>
      </c>
      <c r="AT708" s="30">
        <v>186</v>
      </c>
      <c r="AU708" s="30">
        <v>149</v>
      </c>
      <c r="AV708" s="30">
        <v>156</v>
      </c>
      <c r="AW708" s="30">
        <v>163</v>
      </c>
      <c r="AX708" s="30">
        <v>129</v>
      </c>
      <c r="AY708" s="30">
        <v>107</v>
      </c>
      <c r="AZ708" s="30">
        <v>66</v>
      </c>
      <c r="BA708" s="30">
        <v>114</v>
      </c>
      <c r="BB708" s="30">
        <v>45</v>
      </c>
      <c r="BC708" s="30">
        <v>46</v>
      </c>
      <c r="BD708" s="30">
        <v>72</v>
      </c>
      <c r="BE708" s="30">
        <v>77</v>
      </c>
      <c r="BF708" s="30">
        <v>53</v>
      </c>
      <c r="BG708" s="30">
        <v>24</v>
      </c>
      <c r="BH708" s="30">
        <v>12</v>
      </c>
      <c r="BI708" s="30">
        <v>4</v>
      </c>
      <c r="BJ708" s="30">
        <v>4</v>
      </c>
      <c r="BK708" s="30">
        <v>0</v>
      </c>
      <c r="BL708" s="30">
        <v>1</v>
      </c>
      <c r="BM708" s="30">
        <v>0</v>
      </c>
      <c r="BN708" s="30">
        <v>0</v>
      </c>
      <c r="BO708" s="30">
        <v>0</v>
      </c>
      <c r="BP708" s="30">
        <v>6</v>
      </c>
      <c r="BQ708" s="30">
        <v>0</v>
      </c>
      <c r="BR708" s="30">
        <v>0</v>
      </c>
      <c r="BS708" s="30">
        <v>12</v>
      </c>
      <c r="BT708" s="30">
        <v>2</v>
      </c>
      <c r="BU708" s="30">
        <v>1</v>
      </c>
      <c r="BV708" s="30">
        <v>0</v>
      </c>
      <c r="BW708" s="30">
        <v>0</v>
      </c>
      <c r="BX708" s="30">
        <v>0</v>
      </c>
      <c r="BY708" s="30">
        <v>2</v>
      </c>
      <c r="BZ708" s="30">
        <v>1</v>
      </c>
      <c r="CA708" s="30">
        <v>0</v>
      </c>
      <c r="CB708" s="30">
        <v>0</v>
      </c>
      <c r="CC708" s="30">
        <v>2</v>
      </c>
      <c r="CD708" s="30">
        <v>0</v>
      </c>
      <c r="CE708" s="30">
        <v>0</v>
      </c>
      <c r="CF708" s="30">
        <v>0</v>
      </c>
      <c r="CG708" s="30">
        <v>0</v>
      </c>
      <c r="CH708" s="30">
        <v>0</v>
      </c>
      <c r="CI708" s="30">
        <v>0</v>
      </c>
      <c r="CJ708" s="30">
        <v>0</v>
      </c>
      <c r="CK708" s="30">
        <v>0</v>
      </c>
      <c r="CL708" s="30">
        <v>0</v>
      </c>
      <c r="CM708" s="30">
        <v>1</v>
      </c>
      <c r="CN708" s="30">
        <v>0</v>
      </c>
      <c r="CO708" s="30">
        <v>0</v>
      </c>
      <c r="CP708" s="30">
        <v>0</v>
      </c>
      <c r="CQ708" s="30">
        <v>0</v>
      </c>
      <c r="CR708" s="30">
        <v>0</v>
      </c>
      <c r="CS708" s="30">
        <v>0</v>
      </c>
      <c r="CT708" s="30">
        <v>0</v>
      </c>
      <c r="CU708" s="30">
        <v>0</v>
      </c>
      <c r="CV708" s="30">
        <v>0</v>
      </c>
      <c r="CW708" s="30">
        <v>0</v>
      </c>
      <c r="CX708" s="30">
        <v>0</v>
      </c>
      <c r="CY708" s="30">
        <v>0</v>
      </c>
      <c r="CZ708" s="30">
        <v>0</v>
      </c>
      <c r="DA708" s="30">
        <v>0</v>
      </c>
      <c r="DB708" s="30">
        <v>0</v>
      </c>
      <c r="DC708" s="30">
        <v>0</v>
      </c>
      <c r="DD708" s="30">
        <v>0</v>
      </c>
      <c r="DE708" s="30">
        <v>0</v>
      </c>
      <c r="DF708" s="30">
        <v>0</v>
      </c>
      <c r="DG708" s="16">
        <f t="shared" si="59"/>
        <v>7466</v>
      </c>
      <c r="DH708" s="16">
        <f t="shared" si="60"/>
        <v>186215</v>
      </c>
      <c r="DI708" s="17">
        <f t="shared" si="61"/>
        <v>24.941735869274041</v>
      </c>
      <c r="DJ708" s="119" t="s">
        <v>4</v>
      </c>
      <c r="DK708" s="44" t="s">
        <v>4</v>
      </c>
    </row>
    <row r="709" spans="1:115">
      <c r="A709" s="32" t="str">
        <f t="shared" si="57"/>
        <v>Ausgrid--KIOSK MOUNTED ; &lt; = 22kV ;  &gt; 600 kVA  ; MULTIPLE PHASE</v>
      </c>
      <c r="B709" s="32" t="str">
        <f t="shared" si="58"/>
        <v>Ausgrid</v>
      </c>
      <c r="C709" s="397"/>
      <c r="D709" s="31"/>
      <c r="E709" s="30" t="s">
        <v>219</v>
      </c>
      <c r="F709" s="19">
        <v>36.29</v>
      </c>
      <c r="G709" s="19">
        <v>9.61</v>
      </c>
      <c r="H709" s="30">
        <v>312</v>
      </c>
      <c r="I709" s="30">
        <v>328</v>
      </c>
      <c r="J709" s="30">
        <v>365</v>
      </c>
      <c r="K709" s="30">
        <v>274</v>
      </c>
      <c r="L709" s="30">
        <v>288</v>
      </c>
      <c r="M709" s="30">
        <v>285</v>
      </c>
      <c r="N709" s="30">
        <v>289</v>
      </c>
      <c r="O709" s="30">
        <v>219</v>
      </c>
      <c r="P709" s="30">
        <v>132</v>
      </c>
      <c r="Q709" s="30">
        <v>130</v>
      </c>
      <c r="R709" s="30">
        <v>126</v>
      </c>
      <c r="S709" s="30">
        <v>104</v>
      </c>
      <c r="T709" s="30">
        <v>183</v>
      </c>
      <c r="U709" s="30">
        <v>44</v>
      </c>
      <c r="V709" s="30">
        <v>24</v>
      </c>
      <c r="W709" s="30">
        <v>20</v>
      </c>
      <c r="X709" s="30">
        <v>10</v>
      </c>
      <c r="Y709" s="30">
        <v>28</v>
      </c>
      <c r="Z709" s="30">
        <v>44</v>
      </c>
      <c r="AA709" s="30">
        <v>562</v>
      </c>
      <c r="AB709" s="30">
        <v>17</v>
      </c>
      <c r="AC709" s="30">
        <v>31</v>
      </c>
      <c r="AD709" s="30">
        <v>47</v>
      </c>
      <c r="AE709" s="30">
        <v>21</v>
      </c>
      <c r="AF709" s="30">
        <v>38</v>
      </c>
      <c r="AG709" s="30">
        <v>12</v>
      </c>
      <c r="AH709" s="30">
        <v>26</v>
      </c>
      <c r="AI709" s="30">
        <v>21</v>
      </c>
      <c r="AJ709" s="30">
        <v>22</v>
      </c>
      <c r="AK709" s="30">
        <v>14</v>
      </c>
      <c r="AL709" s="30">
        <v>11</v>
      </c>
      <c r="AM709" s="30">
        <v>26</v>
      </c>
      <c r="AN709" s="30">
        <v>16</v>
      </c>
      <c r="AO709" s="30">
        <v>13</v>
      </c>
      <c r="AP709" s="30">
        <v>3</v>
      </c>
      <c r="AQ709" s="30">
        <v>4</v>
      </c>
      <c r="AR709" s="30">
        <v>1</v>
      </c>
      <c r="AS709" s="30">
        <v>5</v>
      </c>
      <c r="AT709" s="30">
        <v>10</v>
      </c>
      <c r="AU709" s="30">
        <v>5</v>
      </c>
      <c r="AV709" s="30">
        <v>1</v>
      </c>
      <c r="AW709" s="30">
        <v>2</v>
      </c>
      <c r="AX709" s="30">
        <v>0</v>
      </c>
      <c r="AY709" s="30">
        <v>2</v>
      </c>
      <c r="AZ709" s="30">
        <v>1</v>
      </c>
      <c r="BA709" s="30">
        <v>1</v>
      </c>
      <c r="BB709" s="30">
        <v>1</v>
      </c>
      <c r="BC709" s="30">
        <v>0</v>
      </c>
      <c r="BD709" s="30">
        <v>2</v>
      </c>
      <c r="BE709" s="30">
        <v>1</v>
      </c>
      <c r="BF709" s="30">
        <v>1</v>
      </c>
      <c r="BG709" s="30">
        <v>0</v>
      </c>
      <c r="BH709" s="30">
        <v>1</v>
      </c>
      <c r="BI709" s="30">
        <v>0</v>
      </c>
      <c r="BJ709" s="30">
        <v>0</v>
      </c>
      <c r="BK709" s="30">
        <v>0</v>
      </c>
      <c r="BL709" s="30">
        <v>0</v>
      </c>
      <c r="BM709" s="30">
        <v>0</v>
      </c>
      <c r="BN709" s="30">
        <v>0</v>
      </c>
      <c r="BO709" s="30">
        <v>0</v>
      </c>
      <c r="BP709" s="30">
        <v>0</v>
      </c>
      <c r="BQ709" s="30">
        <v>0</v>
      </c>
      <c r="BR709" s="30">
        <v>0</v>
      </c>
      <c r="BS709" s="30">
        <v>8</v>
      </c>
      <c r="BT709" s="30">
        <v>0</v>
      </c>
      <c r="BU709" s="30">
        <v>0</v>
      </c>
      <c r="BV709" s="30">
        <v>0</v>
      </c>
      <c r="BW709" s="30">
        <v>0</v>
      </c>
      <c r="BX709" s="30">
        <v>0</v>
      </c>
      <c r="BY709" s="30">
        <v>0</v>
      </c>
      <c r="BZ709" s="30">
        <v>0</v>
      </c>
      <c r="CA709" s="30">
        <v>0</v>
      </c>
      <c r="CB709" s="30">
        <v>0</v>
      </c>
      <c r="CC709" s="30">
        <v>0</v>
      </c>
      <c r="CD709" s="30">
        <v>0</v>
      </c>
      <c r="CE709" s="30">
        <v>0</v>
      </c>
      <c r="CF709" s="30">
        <v>0</v>
      </c>
      <c r="CG709" s="30">
        <v>0</v>
      </c>
      <c r="CH709" s="30">
        <v>0</v>
      </c>
      <c r="CI709" s="30">
        <v>0</v>
      </c>
      <c r="CJ709" s="30">
        <v>0</v>
      </c>
      <c r="CK709" s="30">
        <v>0</v>
      </c>
      <c r="CL709" s="30">
        <v>0</v>
      </c>
      <c r="CM709" s="30">
        <v>0</v>
      </c>
      <c r="CN709" s="30">
        <v>0</v>
      </c>
      <c r="CO709" s="30">
        <v>0</v>
      </c>
      <c r="CP709" s="30">
        <v>0</v>
      </c>
      <c r="CQ709" s="30">
        <v>0</v>
      </c>
      <c r="CR709" s="30">
        <v>0</v>
      </c>
      <c r="CS709" s="30">
        <v>0</v>
      </c>
      <c r="CT709" s="30">
        <v>0</v>
      </c>
      <c r="CU709" s="30">
        <v>0</v>
      </c>
      <c r="CV709" s="30">
        <v>0</v>
      </c>
      <c r="CW709" s="30">
        <v>0</v>
      </c>
      <c r="CX709" s="30">
        <v>0</v>
      </c>
      <c r="CY709" s="30">
        <v>0</v>
      </c>
      <c r="CZ709" s="30">
        <v>0</v>
      </c>
      <c r="DA709" s="30">
        <v>0</v>
      </c>
      <c r="DB709" s="30">
        <v>0</v>
      </c>
      <c r="DC709" s="30">
        <v>0</v>
      </c>
      <c r="DD709" s="30">
        <v>0</v>
      </c>
      <c r="DE709" s="30">
        <v>0</v>
      </c>
      <c r="DF709" s="30">
        <v>0</v>
      </c>
      <c r="DG709" s="16">
        <f t="shared" si="59"/>
        <v>4131</v>
      </c>
      <c r="DH709" s="16">
        <f t="shared" si="60"/>
        <v>42189</v>
      </c>
      <c r="DI709" s="17">
        <f t="shared" si="61"/>
        <v>10.21278140885984</v>
      </c>
      <c r="DJ709" s="119" t="s">
        <v>4</v>
      </c>
      <c r="DK709" s="44" t="s">
        <v>4</v>
      </c>
    </row>
    <row r="710" spans="1:115">
      <c r="A710" s="32" t="str">
        <f t="shared" si="57"/>
        <v xml:space="preserve">Ausgrid--KIOSK MOUNTED ; &gt; 22 kV ;  &lt; = 60 kVA </v>
      </c>
      <c r="B710" s="32" t="str">
        <f t="shared" si="58"/>
        <v>Ausgrid</v>
      </c>
      <c r="C710" s="397"/>
      <c r="D710" s="31"/>
      <c r="E710" s="30" t="s">
        <v>220</v>
      </c>
      <c r="F710" s="19">
        <v>0</v>
      </c>
      <c r="G710" s="19">
        <v>0</v>
      </c>
      <c r="H710" s="30">
        <v>0</v>
      </c>
      <c r="I710" s="30">
        <v>0</v>
      </c>
      <c r="J710" s="30">
        <v>0</v>
      </c>
      <c r="K710" s="30">
        <v>0</v>
      </c>
      <c r="L710" s="30">
        <v>0</v>
      </c>
      <c r="M710" s="30">
        <v>0</v>
      </c>
      <c r="N710" s="30">
        <v>0</v>
      </c>
      <c r="O710" s="30">
        <v>0</v>
      </c>
      <c r="P710" s="30">
        <v>0</v>
      </c>
      <c r="Q710" s="30">
        <v>0</v>
      </c>
      <c r="R710" s="30">
        <v>0</v>
      </c>
      <c r="S710" s="30">
        <v>0</v>
      </c>
      <c r="T710" s="30">
        <v>0</v>
      </c>
      <c r="U710" s="30">
        <v>0</v>
      </c>
      <c r="V710" s="30">
        <v>0</v>
      </c>
      <c r="W710" s="30">
        <v>0</v>
      </c>
      <c r="X710" s="30">
        <v>0</v>
      </c>
      <c r="Y710" s="30">
        <v>0</v>
      </c>
      <c r="Z710" s="30">
        <v>0</v>
      </c>
      <c r="AA710" s="30">
        <v>0</v>
      </c>
      <c r="AB710" s="30">
        <v>0</v>
      </c>
      <c r="AC710" s="30">
        <v>0</v>
      </c>
      <c r="AD710" s="30">
        <v>0</v>
      </c>
      <c r="AE710" s="30">
        <v>0</v>
      </c>
      <c r="AF710" s="30">
        <v>0</v>
      </c>
      <c r="AG710" s="30">
        <v>0</v>
      </c>
      <c r="AH710" s="30">
        <v>0</v>
      </c>
      <c r="AI710" s="30">
        <v>0</v>
      </c>
      <c r="AJ710" s="30">
        <v>0</v>
      </c>
      <c r="AK710" s="30">
        <v>0</v>
      </c>
      <c r="AL710" s="30">
        <v>0</v>
      </c>
      <c r="AM710" s="30">
        <v>0</v>
      </c>
      <c r="AN710" s="30">
        <v>0</v>
      </c>
      <c r="AO710" s="30">
        <v>0</v>
      </c>
      <c r="AP710" s="30">
        <v>0</v>
      </c>
      <c r="AQ710" s="30">
        <v>0</v>
      </c>
      <c r="AR710" s="30">
        <v>0</v>
      </c>
      <c r="AS710" s="30">
        <v>0</v>
      </c>
      <c r="AT710" s="30">
        <v>0</v>
      </c>
      <c r="AU710" s="30">
        <v>0</v>
      </c>
      <c r="AV710" s="30">
        <v>0</v>
      </c>
      <c r="AW710" s="30">
        <v>0</v>
      </c>
      <c r="AX710" s="30">
        <v>0</v>
      </c>
      <c r="AY710" s="30">
        <v>0</v>
      </c>
      <c r="AZ710" s="30">
        <v>0</v>
      </c>
      <c r="BA710" s="30">
        <v>0</v>
      </c>
      <c r="BB710" s="30">
        <v>0</v>
      </c>
      <c r="BC710" s="30">
        <v>0</v>
      </c>
      <c r="BD710" s="30">
        <v>0</v>
      </c>
      <c r="BE710" s="30">
        <v>0</v>
      </c>
      <c r="BF710" s="30">
        <v>0</v>
      </c>
      <c r="BG710" s="30">
        <v>0</v>
      </c>
      <c r="BH710" s="30">
        <v>0</v>
      </c>
      <c r="BI710" s="30">
        <v>0</v>
      </c>
      <c r="BJ710" s="30">
        <v>0</v>
      </c>
      <c r="BK710" s="30">
        <v>0</v>
      </c>
      <c r="BL710" s="30">
        <v>0</v>
      </c>
      <c r="BM710" s="30">
        <v>0</v>
      </c>
      <c r="BN710" s="30">
        <v>0</v>
      </c>
      <c r="BO710" s="30">
        <v>0</v>
      </c>
      <c r="BP710" s="30">
        <v>0</v>
      </c>
      <c r="BQ710" s="30">
        <v>0</v>
      </c>
      <c r="BR710" s="30">
        <v>0</v>
      </c>
      <c r="BS710" s="30">
        <v>0</v>
      </c>
      <c r="BT710" s="30">
        <v>0</v>
      </c>
      <c r="BU710" s="30">
        <v>0</v>
      </c>
      <c r="BV710" s="30">
        <v>0</v>
      </c>
      <c r="BW710" s="30">
        <v>0</v>
      </c>
      <c r="BX710" s="30">
        <v>0</v>
      </c>
      <c r="BY710" s="30">
        <v>0</v>
      </c>
      <c r="BZ710" s="30">
        <v>0</v>
      </c>
      <c r="CA710" s="30">
        <v>0</v>
      </c>
      <c r="CB710" s="30">
        <v>0</v>
      </c>
      <c r="CC710" s="30">
        <v>0</v>
      </c>
      <c r="CD710" s="30">
        <v>0</v>
      </c>
      <c r="CE710" s="30">
        <v>0</v>
      </c>
      <c r="CF710" s="30">
        <v>0</v>
      </c>
      <c r="CG710" s="30">
        <v>0</v>
      </c>
      <c r="CH710" s="30">
        <v>0</v>
      </c>
      <c r="CI710" s="30">
        <v>0</v>
      </c>
      <c r="CJ710" s="30">
        <v>0</v>
      </c>
      <c r="CK710" s="30">
        <v>0</v>
      </c>
      <c r="CL710" s="30">
        <v>0</v>
      </c>
      <c r="CM710" s="30">
        <v>0</v>
      </c>
      <c r="CN710" s="30">
        <v>0</v>
      </c>
      <c r="CO710" s="30">
        <v>0</v>
      </c>
      <c r="CP710" s="30">
        <v>0</v>
      </c>
      <c r="CQ710" s="30">
        <v>0</v>
      </c>
      <c r="CR710" s="30">
        <v>0</v>
      </c>
      <c r="CS710" s="30">
        <v>0</v>
      </c>
      <c r="CT710" s="30">
        <v>0</v>
      </c>
      <c r="CU710" s="30">
        <v>0</v>
      </c>
      <c r="CV710" s="30">
        <v>0</v>
      </c>
      <c r="CW710" s="30">
        <v>0</v>
      </c>
      <c r="CX710" s="30">
        <v>0</v>
      </c>
      <c r="CY710" s="30">
        <v>0</v>
      </c>
      <c r="CZ710" s="30">
        <v>0</v>
      </c>
      <c r="DA710" s="30">
        <v>0</v>
      </c>
      <c r="DB710" s="30">
        <v>0</v>
      </c>
      <c r="DC710" s="30">
        <v>0</v>
      </c>
      <c r="DD710" s="30">
        <v>0</v>
      </c>
      <c r="DE710" s="30">
        <v>0</v>
      </c>
      <c r="DF710" s="30">
        <v>0</v>
      </c>
      <c r="DG710" s="16">
        <f t="shared" si="59"/>
        <v>0</v>
      </c>
      <c r="DH710" s="16">
        <f t="shared" si="60"/>
        <v>0</v>
      </c>
      <c r="DI710" s="17" t="str">
        <f t="shared" si="61"/>
        <v/>
      </c>
      <c r="DJ710" s="119" t="s">
        <v>4</v>
      </c>
      <c r="DK710" s="44" t="s">
        <v>4</v>
      </c>
    </row>
    <row r="711" spans="1:115">
      <c r="A711" s="32" t="str">
        <f t="shared" si="57"/>
        <v xml:space="preserve">Ausgrid--KIOSK MOUNTED ; &gt; 22 kV ;  &gt; 60 kVA AND &lt; = 600 kVA </v>
      </c>
      <c r="B711" s="32" t="str">
        <f t="shared" si="58"/>
        <v>Ausgrid</v>
      </c>
      <c r="C711" s="397"/>
      <c r="D711" s="31"/>
      <c r="E711" s="30" t="s">
        <v>221</v>
      </c>
      <c r="F711" s="19">
        <v>0</v>
      </c>
      <c r="G711" s="19">
        <v>0</v>
      </c>
      <c r="H711" s="30">
        <v>0</v>
      </c>
      <c r="I711" s="30">
        <v>0</v>
      </c>
      <c r="J711" s="30">
        <v>0</v>
      </c>
      <c r="K711" s="30">
        <v>0</v>
      </c>
      <c r="L711" s="30">
        <v>0</v>
      </c>
      <c r="M711" s="30">
        <v>0</v>
      </c>
      <c r="N711" s="30">
        <v>0</v>
      </c>
      <c r="O711" s="30">
        <v>0</v>
      </c>
      <c r="P711" s="30">
        <v>0</v>
      </c>
      <c r="Q711" s="30">
        <v>0</v>
      </c>
      <c r="R711" s="30">
        <v>0</v>
      </c>
      <c r="S711" s="30">
        <v>0</v>
      </c>
      <c r="T711" s="30">
        <v>0</v>
      </c>
      <c r="U711" s="30">
        <v>0</v>
      </c>
      <c r="V711" s="30">
        <v>0</v>
      </c>
      <c r="W711" s="30">
        <v>0</v>
      </c>
      <c r="X711" s="30">
        <v>0</v>
      </c>
      <c r="Y711" s="30">
        <v>0</v>
      </c>
      <c r="Z711" s="30">
        <v>0</v>
      </c>
      <c r="AA711" s="30">
        <v>0</v>
      </c>
      <c r="AB711" s="30">
        <v>0</v>
      </c>
      <c r="AC711" s="30">
        <v>0</v>
      </c>
      <c r="AD711" s="30">
        <v>0</v>
      </c>
      <c r="AE711" s="30">
        <v>0</v>
      </c>
      <c r="AF711" s="30">
        <v>0</v>
      </c>
      <c r="AG711" s="30">
        <v>0</v>
      </c>
      <c r="AH711" s="30">
        <v>0</v>
      </c>
      <c r="AI711" s="30">
        <v>0</v>
      </c>
      <c r="AJ711" s="30">
        <v>0</v>
      </c>
      <c r="AK711" s="30">
        <v>0</v>
      </c>
      <c r="AL711" s="30">
        <v>0</v>
      </c>
      <c r="AM711" s="30">
        <v>0</v>
      </c>
      <c r="AN711" s="30">
        <v>0</v>
      </c>
      <c r="AO711" s="30">
        <v>0</v>
      </c>
      <c r="AP711" s="30">
        <v>0</v>
      </c>
      <c r="AQ711" s="30">
        <v>0</v>
      </c>
      <c r="AR711" s="30">
        <v>0</v>
      </c>
      <c r="AS711" s="30">
        <v>0</v>
      </c>
      <c r="AT711" s="30">
        <v>0</v>
      </c>
      <c r="AU711" s="30">
        <v>0</v>
      </c>
      <c r="AV711" s="30">
        <v>0</v>
      </c>
      <c r="AW711" s="30">
        <v>0</v>
      </c>
      <c r="AX711" s="30">
        <v>0</v>
      </c>
      <c r="AY711" s="30">
        <v>0</v>
      </c>
      <c r="AZ711" s="30">
        <v>0</v>
      </c>
      <c r="BA711" s="30">
        <v>0</v>
      </c>
      <c r="BB711" s="30">
        <v>0</v>
      </c>
      <c r="BC711" s="30">
        <v>0</v>
      </c>
      <c r="BD711" s="30">
        <v>0</v>
      </c>
      <c r="BE711" s="30">
        <v>0</v>
      </c>
      <c r="BF711" s="30">
        <v>0</v>
      </c>
      <c r="BG711" s="30">
        <v>0</v>
      </c>
      <c r="BH711" s="30">
        <v>0</v>
      </c>
      <c r="BI711" s="30">
        <v>0</v>
      </c>
      <c r="BJ711" s="30">
        <v>0</v>
      </c>
      <c r="BK711" s="30">
        <v>0</v>
      </c>
      <c r="BL711" s="30">
        <v>0</v>
      </c>
      <c r="BM711" s="30">
        <v>0</v>
      </c>
      <c r="BN711" s="30">
        <v>0</v>
      </c>
      <c r="BO711" s="30">
        <v>0</v>
      </c>
      <c r="BP711" s="30">
        <v>0</v>
      </c>
      <c r="BQ711" s="30">
        <v>0</v>
      </c>
      <c r="BR711" s="30">
        <v>0</v>
      </c>
      <c r="BS711" s="30">
        <v>0</v>
      </c>
      <c r="BT711" s="30">
        <v>0</v>
      </c>
      <c r="BU711" s="30">
        <v>0</v>
      </c>
      <c r="BV711" s="30">
        <v>0</v>
      </c>
      <c r="BW711" s="30">
        <v>0</v>
      </c>
      <c r="BX711" s="30">
        <v>0</v>
      </c>
      <c r="BY711" s="30">
        <v>0</v>
      </c>
      <c r="BZ711" s="30">
        <v>0</v>
      </c>
      <c r="CA711" s="30">
        <v>0</v>
      </c>
      <c r="CB711" s="30">
        <v>0</v>
      </c>
      <c r="CC711" s="30">
        <v>0</v>
      </c>
      <c r="CD711" s="30">
        <v>0</v>
      </c>
      <c r="CE711" s="30">
        <v>0</v>
      </c>
      <c r="CF711" s="30">
        <v>0</v>
      </c>
      <c r="CG711" s="30">
        <v>0</v>
      </c>
      <c r="CH711" s="30">
        <v>0</v>
      </c>
      <c r="CI711" s="30">
        <v>0</v>
      </c>
      <c r="CJ711" s="30">
        <v>0</v>
      </c>
      <c r="CK711" s="30">
        <v>0</v>
      </c>
      <c r="CL711" s="30">
        <v>0</v>
      </c>
      <c r="CM711" s="30">
        <v>0</v>
      </c>
      <c r="CN711" s="30">
        <v>0</v>
      </c>
      <c r="CO711" s="30">
        <v>0</v>
      </c>
      <c r="CP711" s="30">
        <v>0</v>
      </c>
      <c r="CQ711" s="30">
        <v>0</v>
      </c>
      <c r="CR711" s="30">
        <v>0</v>
      </c>
      <c r="CS711" s="30">
        <v>0</v>
      </c>
      <c r="CT711" s="30">
        <v>0</v>
      </c>
      <c r="CU711" s="30">
        <v>0</v>
      </c>
      <c r="CV711" s="30">
        <v>0</v>
      </c>
      <c r="CW711" s="30">
        <v>0</v>
      </c>
      <c r="CX711" s="30">
        <v>0</v>
      </c>
      <c r="CY711" s="30">
        <v>0</v>
      </c>
      <c r="CZ711" s="30">
        <v>0</v>
      </c>
      <c r="DA711" s="30">
        <v>0</v>
      </c>
      <c r="DB711" s="30">
        <v>0</v>
      </c>
      <c r="DC711" s="30">
        <v>0</v>
      </c>
      <c r="DD711" s="30">
        <v>0</v>
      </c>
      <c r="DE711" s="30">
        <v>0</v>
      </c>
      <c r="DF711" s="30">
        <v>0</v>
      </c>
      <c r="DG711" s="16">
        <f t="shared" si="59"/>
        <v>0</v>
      </c>
      <c r="DH711" s="16">
        <f t="shared" si="60"/>
        <v>0</v>
      </c>
      <c r="DI711" s="17" t="str">
        <f t="shared" si="61"/>
        <v/>
      </c>
      <c r="DJ711" s="119" t="s">
        <v>4</v>
      </c>
      <c r="DK711" s="44" t="s">
        <v>4</v>
      </c>
    </row>
    <row r="712" spans="1:115">
      <c r="A712" s="32" t="str">
        <f t="shared" si="57"/>
        <v>Ausgrid--KIOSK MOUNTED ; &gt; 22 kV ;  &gt; 600 kVA</v>
      </c>
      <c r="B712" s="32" t="str">
        <f t="shared" si="58"/>
        <v>Ausgrid</v>
      </c>
      <c r="C712" s="397"/>
      <c r="D712" s="31"/>
      <c r="E712" s="30" t="s">
        <v>222</v>
      </c>
      <c r="F712" s="19">
        <v>36.29</v>
      </c>
      <c r="G712" s="19">
        <v>9.61</v>
      </c>
      <c r="H712" s="30">
        <v>0</v>
      </c>
      <c r="I712" s="30">
        <v>1</v>
      </c>
      <c r="J712" s="30">
        <v>0</v>
      </c>
      <c r="K712" s="30">
        <v>0</v>
      </c>
      <c r="L712" s="30">
        <v>0</v>
      </c>
      <c r="M712" s="30">
        <v>0</v>
      </c>
      <c r="N712" s="30">
        <v>0</v>
      </c>
      <c r="O712" s="30">
        <v>0</v>
      </c>
      <c r="P712" s="30">
        <v>0</v>
      </c>
      <c r="Q712" s="30">
        <v>0</v>
      </c>
      <c r="R712" s="30">
        <v>0</v>
      </c>
      <c r="S712" s="30">
        <v>0</v>
      </c>
      <c r="T712" s="30">
        <v>0</v>
      </c>
      <c r="U712" s="30">
        <v>0</v>
      </c>
      <c r="V712" s="30">
        <v>0</v>
      </c>
      <c r="W712" s="30">
        <v>0</v>
      </c>
      <c r="X712" s="30">
        <v>0</v>
      </c>
      <c r="Y712" s="30">
        <v>0</v>
      </c>
      <c r="Z712" s="30">
        <v>0</v>
      </c>
      <c r="AA712" s="30">
        <v>0</v>
      </c>
      <c r="AB712" s="30">
        <v>0</v>
      </c>
      <c r="AC712" s="30">
        <v>0</v>
      </c>
      <c r="AD712" s="30">
        <v>0</v>
      </c>
      <c r="AE712" s="30">
        <v>0</v>
      </c>
      <c r="AF712" s="30">
        <v>0</v>
      </c>
      <c r="AG712" s="30">
        <v>0</v>
      </c>
      <c r="AH712" s="30">
        <v>0</v>
      </c>
      <c r="AI712" s="30">
        <v>0</v>
      </c>
      <c r="AJ712" s="30">
        <v>0</v>
      </c>
      <c r="AK712" s="30">
        <v>0</v>
      </c>
      <c r="AL712" s="30">
        <v>0</v>
      </c>
      <c r="AM712" s="30">
        <v>0</v>
      </c>
      <c r="AN712" s="30">
        <v>0</v>
      </c>
      <c r="AO712" s="30">
        <v>0</v>
      </c>
      <c r="AP712" s="30">
        <v>0</v>
      </c>
      <c r="AQ712" s="30">
        <v>0</v>
      </c>
      <c r="AR712" s="30">
        <v>0</v>
      </c>
      <c r="AS712" s="30">
        <v>0</v>
      </c>
      <c r="AT712" s="30">
        <v>0</v>
      </c>
      <c r="AU712" s="30">
        <v>0</v>
      </c>
      <c r="AV712" s="30">
        <v>0</v>
      </c>
      <c r="AW712" s="30">
        <v>0</v>
      </c>
      <c r="AX712" s="30">
        <v>0</v>
      </c>
      <c r="AY712" s="30">
        <v>0</v>
      </c>
      <c r="AZ712" s="30">
        <v>0</v>
      </c>
      <c r="BA712" s="30">
        <v>0</v>
      </c>
      <c r="BB712" s="30">
        <v>0</v>
      </c>
      <c r="BC712" s="30">
        <v>0</v>
      </c>
      <c r="BD712" s="30">
        <v>0</v>
      </c>
      <c r="BE712" s="30">
        <v>0</v>
      </c>
      <c r="BF712" s="30">
        <v>0</v>
      </c>
      <c r="BG712" s="30">
        <v>0</v>
      </c>
      <c r="BH712" s="30">
        <v>0</v>
      </c>
      <c r="BI712" s="30">
        <v>0</v>
      </c>
      <c r="BJ712" s="30">
        <v>0</v>
      </c>
      <c r="BK712" s="30">
        <v>0</v>
      </c>
      <c r="BL712" s="30">
        <v>0</v>
      </c>
      <c r="BM712" s="30">
        <v>0</v>
      </c>
      <c r="BN712" s="30">
        <v>0</v>
      </c>
      <c r="BO712" s="30">
        <v>0</v>
      </c>
      <c r="BP712" s="30">
        <v>0</v>
      </c>
      <c r="BQ712" s="30">
        <v>0</v>
      </c>
      <c r="BR712" s="30">
        <v>0</v>
      </c>
      <c r="BS712" s="30">
        <v>0</v>
      </c>
      <c r="BT712" s="30">
        <v>0</v>
      </c>
      <c r="BU712" s="30">
        <v>0</v>
      </c>
      <c r="BV712" s="30">
        <v>0</v>
      </c>
      <c r="BW712" s="30">
        <v>0</v>
      </c>
      <c r="BX712" s="30">
        <v>0</v>
      </c>
      <c r="BY712" s="30">
        <v>0</v>
      </c>
      <c r="BZ712" s="30">
        <v>0</v>
      </c>
      <c r="CA712" s="30">
        <v>0</v>
      </c>
      <c r="CB712" s="30">
        <v>0</v>
      </c>
      <c r="CC712" s="30">
        <v>0</v>
      </c>
      <c r="CD712" s="30">
        <v>0</v>
      </c>
      <c r="CE712" s="30">
        <v>0</v>
      </c>
      <c r="CF712" s="30">
        <v>0</v>
      </c>
      <c r="CG712" s="30">
        <v>0</v>
      </c>
      <c r="CH712" s="30">
        <v>0</v>
      </c>
      <c r="CI712" s="30">
        <v>0</v>
      </c>
      <c r="CJ712" s="30">
        <v>0</v>
      </c>
      <c r="CK712" s="30">
        <v>0</v>
      </c>
      <c r="CL712" s="30">
        <v>0</v>
      </c>
      <c r="CM712" s="30">
        <v>0</v>
      </c>
      <c r="CN712" s="30">
        <v>0</v>
      </c>
      <c r="CO712" s="30">
        <v>0</v>
      </c>
      <c r="CP712" s="30">
        <v>0</v>
      </c>
      <c r="CQ712" s="30">
        <v>0</v>
      </c>
      <c r="CR712" s="30">
        <v>0</v>
      </c>
      <c r="CS712" s="30">
        <v>0</v>
      </c>
      <c r="CT712" s="30">
        <v>0</v>
      </c>
      <c r="CU712" s="30">
        <v>0</v>
      </c>
      <c r="CV712" s="30">
        <v>0</v>
      </c>
      <c r="CW712" s="30">
        <v>0</v>
      </c>
      <c r="CX712" s="30">
        <v>0</v>
      </c>
      <c r="CY712" s="30">
        <v>0</v>
      </c>
      <c r="CZ712" s="30">
        <v>0</v>
      </c>
      <c r="DA712" s="30">
        <v>0</v>
      </c>
      <c r="DB712" s="30">
        <v>0</v>
      </c>
      <c r="DC712" s="30">
        <v>0</v>
      </c>
      <c r="DD712" s="30">
        <v>0</v>
      </c>
      <c r="DE712" s="30">
        <v>0</v>
      </c>
      <c r="DF712" s="30">
        <v>0</v>
      </c>
      <c r="DG712" s="16">
        <f t="shared" si="59"/>
        <v>1</v>
      </c>
      <c r="DH712" s="16">
        <f t="shared" si="60"/>
        <v>2</v>
      </c>
      <c r="DI712" s="17">
        <f t="shared" si="61"/>
        <v>2</v>
      </c>
      <c r="DJ712" s="119" t="s">
        <v>4</v>
      </c>
      <c r="DK712" s="44" t="s">
        <v>4</v>
      </c>
    </row>
    <row r="713" spans="1:115">
      <c r="A713" s="32" t="str">
        <f t="shared" si="57"/>
        <v xml:space="preserve">Ausgrid--KIOSK MOUNTED ; &gt; 22 kV ;  &lt; = 60 kVA </v>
      </c>
      <c r="B713" s="32" t="str">
        <f t="shared" si="58"/>
        <v>Ausgrid</v>
      </c>
      <c r="C713" s="397"/>
      <c r="D713" s="31"/>
      <c r="E713" s="30" t="s">
        <v>220</v>
      </c>
      <c r="F713" s="19"/>
      <c r="G713" s="19"/>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16">
        <f t="shared" si="59"/>
        <v>0</v>
      </c>
      <c r="DH713" s="16">
        <f t="shared" si="60"/>
        <v>0</v>
      </c>
      <c r="DI713" s="17" t="str">
        <f t="shared" si="61"/>
        <v/>
      </c>
      <c r="DJ713" s="119" t="s">
        <v>4</v>
      </c>
      <c r="DK713" s="44" t="s">
        <v>4</v>
      </c>
    </row>
    <row r="714" spans="1:115">
      <c r="A714" s="32" t="str">
        <f t="shared" si="57"/>
        <v>Ausgrid--KIOSK MOUNTED ; &gt; 22 kV ;  &gt; 60 kVA AND &lt; = 600 kVA</v>
      </c>
      <c r="B714" s="32" t="str">
        <f t="shared" si="58"/>
        <v>Ausgrid</v>
      </c>
      <c r="C714" s="397"/>
      <c r="D714" s="31"/>
      <c r="E714" s="30" t="s">
        <v>223</v>
      </c>
      <c r="F714" s="19"/>
      <c r="G714" s="19"/>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16">
        <f t="shared" si="59"/>
        <v>0</v>
      </c>
      <c r="DH714" s="16">
        <f t="shared" si="60"/>
        <v>0</v>
      </c>
      <c r="DI714" s="17" t="str">
        <f t="shared" si="61"/>
        <v/>
      </c>
      <c r="DJ714" s="119" t="s">
        <v>4</v>
      </c>
      <c r="DK714" s="44" t="s">
        <v>4</v>
      </c>
    </row>
    <row r="715" spans="1:115">
      <c r="A715" s="32" t="str">
        <f t="shared" si="57"/>
        <v>Ausgrid--KIOSK MOUNTED ; &gt; 22 kV ;  &gt;  600 kVA</v>
      </c>
      <c r="B715" s="32" t="str">
        <f t="shared" si="58"/>
        <v>Ausgrid</v>
      </c>
      <c r="C715" s="397"/>
      <c r="D715" s="31"/>
      <c r="E715" s="30" t="s">
        <v>224</v>
      </c>
      <c r="F715" s="19"/>
      <c r="G715" s="19"/>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16">
        <f t="shared" si="59"/>
        <v>0</v>
      </c>
      <c r="DH715" s="16">
        <f t="shared" si="60"/>
        <v>0</v>
      </c>
      <c r="DI715" s="17" t="str">
        <f t="shared" si="61"/>
        <v/>
      </c>
      <c r="DJ715" s="119" t="s">
        <v>4</v>
      </c>
      <c r="DK715" s="44" t="s">
        <v>4</v>
      </c>
    </row>
    <row r="716" spans="1:115">
      <c r="A716" s="32" t="str">
        <f t="shared" si="57"/>
        <v>Ausgrid--GROUND OUTDOOR / INDOOR CHAMBER MOUNTED ; ˂ 22 kV ;  &lt; = 60 kVA ; SINGLE PHASE</v>
      </c>
      <c r="B716" s="32" t="str">
        <f t="shared" si="58"/>
        <v>Ausgrid</v>
      </c>
      <c r="C716" s="397"/>
      <c r="D716" s="31"/>
      <c r="E716" s="30" t="s">
        <v>225</v>
      </c>
      <c r="F716" s="19">
        <v>0</v>
      </c>
      <c r="G716" s="19">
        <v>0</v>
      </c>
      <c r="H716" s="30">
        <v>0</v>
      </c>
      <c r="I716" s="30">
        <v>0</v>
      </c>
      <c r="J716" s="30">
        <v>0</v>
      </c>
      <c r="K716" s="30">
        <v>0</v>
      </c>
      <c r="L716" s="30">
        <v>0</v>
      </c>
      <c r="M716" s="30">
        <v>0</v>
      </c>
      <c r="N716" s="30">
        <v>0</v>
      </c>
      <c r="O716" s="30">
        <v>0</v>
      </c>
      <c r="P716" s="30">
        <v>0</v>
      </c>
      <c r="Q716" s="30">
        <v>0</v>
      </c>
      <c r="R716" s="30">
        <v>0</v>
      </c>
      <c r="S716" s="30">
        <v>0</v>
      </c>
      <c r="T716" s="30">
        <v>0</v>
      </c>
      <c r="U716" s="30">
        <v>0</v>
      </c>
      <c r="V716" s="30">
        <v>0</v>
      </c>
      <c r="W716" s="30">
        <v>0</v>
      </c>
      <c r="X716" s="30">
        <v>0</v>
      </c>
      <c r="Y716" s="30">
        <v>0</v>
      </c>
      <c r="Z716" s="30">
        <v>0</v>
      </c>
      <c r="AA716" s="30">
        <v>0</v>
      </c>
      <c r="AB716" s="30">
        <v>0</v>
      </c>
      <c r="AC716" s="30">
        <v>0</v>
      </c>
      <c r="AD716" s="30">
        <v>0</v>
      </c>
      <c r="AE716" s="30">
        <v>0</v>
      </c>
      <c r="AF716" s="30">
        <v>0</v>
      </c>
      <c r="AG716" s="30">
        <v>0</v>
      </c>
      <c r="AH716" s="30">
        <v>0</v>
      </c>
      <c r="AI716" s="30">
        <v>0</v>
      </c>
      <c r="AJ716" s="30">
        <v>0</v>
      </c>
      <c r="AK716" s="30">
        <v>0</v>
      </c>
      <c r="AL716" s="30">
        <v>0</v>
      </c>
      <c r="AM716" s="30">
        <v>0</v>
      </c>
      <c r="AN716" s="30">
        <v>0</v>
      </c>
      <c r="AO716" s="30">
        <v>0</v>
      </c>
      <c r="AP716" s="30">
        <v>0</v>
      </c>
      <c r="AQ716" s="30">
        <v>0</v>
      </c>
      <c r="AR716" s="30">
        <v>0</v>
      </c>
      <c r="AS716" s="30">
        <v>0</v>
      </c>
      <c r="AT716" s="30">
        <v>0</v>
      </c>
      <c r="AU716" s="30">
        <v>0</v>
      </c>
      <c r="AV716" s="30">
        <v>0</v>
      </c>
      <c r="AW716" s="30">
        <v>0</v>
      </c>
      <c r="AX716" s="30">
        <v>0</v>
      </c>
      <c r="AY716" s="30">
        <v>0</v>
      </c>
      <c r="AZ716" s="30">
        <v>0</v>
      </c>
      <c r="BA716" s="30">
        <v>0</v>
      </c>
      <c r="BB716" s="30">
        <v>0</v>
      </c>
      <c r="BC716" s="30">
        <v>0</v>
      </c>
      <c r="BD716" s="30">
        <v>0</v>
      </c>
      <c r="BE716" s="30">
        <v>0</v>
      </c>
      <c r="BF716" s="30">
        <v>0</v>
      </c>
      <c r="BG716" s="30">
        <v>0</v>
      </c>
      <c r="BH716" s="30">
        <v>0</v>
      </c>
      <c r="BI716" s="30">
        <v>0</v>
      </c>
      <c r="BJ716" s="30">
        <v>0</v>
      </c>
      <c r="BK716" s="30">
        <v>0</v>
      </c>
      <c r="BL716" s="30">
        <v>0</v>
      </c>
      <c r="BM716" s="30">
        <v>0</v>
      </c>
      <c r="BN716" s="30">
        <v>0</v>
      </c>
      <c r="BO716" s="30">
        <v>0</v>
      </c>
      <c r="BP716" s="30">
        <v>0</v>
      </c>
      <c r="BQ716" s="30">
        <v>0</v>
      </c>
      <c r="BR716" s="30">
        <v>0</v>
      </c>
      <c r="BS716" s="30">
        <v>0</v>
      </c>
      <c r="BT716" s="30">
        <v>0</v>
      </c>
      <c r="BU716" s="30">
        <v>0</v>
      </c>
      <c r="BV716" s="30">
        <v>0</v>
      </c>
      <c r="BW716" s="30">
        <v>0</v>
      </c>
      <c r="BX716" s="30">
        <v>0</v>
      </c>
      <c r="BY716" s="30">
        <v>0</v>
      </c>
      <c r="BZ716" s="30">
        <v>0</v>
      </c>
      <c r="CA716" s="30">
        <v>0</v>
      </c>
      <c r="CB716" s="30">
        <v>0</v>
      </c>
      <c r="CC716" s="30">
        <v>0</v>
      </c>
      <c r="CD716" s="30">
        <v>0</v>
      </c>
      <c r="CE716" s="30">
        <v>0</v>
      </c>
      <c r="CF716" s="30">
        <v>0</v>
      </c>
      <c r="CG716" s="30">
        <v>0</v>
      </c>
      <c r="CH716" s="30">
        <v>0</v>
      </c>
      <c r="CI716" s="30">
        <v>0</v>
      </c>
      <c r="CJ716" s="30">
        <v>0</v>
      </c>
      <c r="CK716" s="30">
        <v>0</v>
      </c>
      <c r="CL716" s="30">
        <v>0</v>
      </c>
      <c r="CM716" s="30">
        <v>0</v>
      </c>
      <c r="CN716" s="30">
        <v>0</v>
      </c>
      <c r="CO716" s="30">
        <v>0</v>
      </c>
      <c r="CP716" s="30">
        <v>0</v>
      </c>
      <c r="CQ716" s="30">
        <v>0</v>
      </c>
      <c r="CR716" s="30">
        <v>0</v>
      </c>
      <c r="CS716" s="30">
        <v>0</v>
      </c>
      <c r="CT716" s="30">
        <v>0</v>
      </c>
      <c r="CU716" s="30">
        <v>0</v>
      </c>
      <c r="CV716" s="30">
        <v>0</v>
      </c>
      <c r="CW716" s="30">
        <v>0</v>
      </c>
      <c r="CX716" s="30">
        <v>0</v>
      </c>
      <c r="CY716" s="30">
        <v>0</v>
      </c>
      <c r="CZ716" s="30">
        <v>0</v>
      </c>
      <c r="DA716" s="30">
        <v>0</v>
      </c>
      <c r="DB716" s="30">
        <v>0</v>
      </c>
      <c r="DC716" s="30">
        <v>0</v>
      </c>
      <c r="DD716" s="30">
        <v>0</v>
      </c>
      <c r="DE716" s="30">
        <v>0</v>
      </c>
      <c r="DF716" s="30">
        <v>0</v>
      </c>
      <c r="DG716" s="16">
        <f t="shared" si="59"/>
        <v>0</v>
      </c>
      <c r="DH716" s="16">
        <f t="shared" si="60"/>
        <v>0</v>
      </c>
      <c r="DI716" s="17" t="str">
        <f t="shared" si="61"/>
        <v/>
      </c>
      <c r="DJ716" s="119" t="s">
        <v>4</v>
      </c>
      <c r="DK716" s="44" t="s">
        <v>4</v>
      </c>
    </row>
    <row r="717" spans="1:115">
      <c r="A717" s="32" t="str">
        <f t="shared" si="57"/>
        <v>Ausgrid--GROUND OUTDOOR / INDOOR CHAMBER MOUNTED ; ˂  22 kV ;  &gt; 60 kVA  AND &lt; = 600 kVA ; SINGLE PHASE</v>
      </c>
      <c r="B717" s="32" t="str">
        <f t="shared" si="58"/>
        <v>Ausgrid</v>
      </c>
      <c r="C717" s="397"/>
      <c r="D717" s="31"/>
      <c r="E717" s="30" t="s">
        <v>226</v>
      </c>
      <c r="F717" s="19">
        <v>0</v>
      </c>
      <c r="G717" s="19">
        <v>0</v>
      </c>
      <c r="H717" s="30">
        <v>0</v>
      </c>
      <c r="I717" s="30">
        <v>0</v>
      </c>
      <c r="J717" s="30">
        <v>0</v>
      </c>
      <c r="K717" s="30">
        <v>0</v>
      </c>
      <c r="L717" s="30">
        <v>0</v>
      </c>
      <c r="M717" s="30">
        <v>0</v>
      </c>
      <c r="N717" s="30">
        <v>0</v>
      </c>
      <c r="O717" s="30">
        <v>0</v>
      </c>
      <c r="P717" s="30">
        <v>0</v>
      </c>
      <c r="Q717" s="30">
        <v>0</v>
      </c>
      <c r="R717" s="30">
        <v>0</v>
      </c>
      <c r="S717" s="30">
        <v>0</v>
      </c>
      <c r="T717" s="30">
        <v>0</v>
      </c>
      <c r="U717" s="30">
        <v>0</v>
      </c>
      <c r="V717" s="30">
        <v>0</v>
      </c>
      <c r="W717" s="30">
        <v>0</v>
      </c>
      <c r="X717" s="30">
        <v>0</v>
      </c>
      <c r="Y717" s="30">
        <v>0</v>
      </c>
      <c r="Z717" s="30">
        <v>0</v>
      </c>
      <c r="AA717" s="30">
        <v>0</v>
      </c>
      <c r="AB717" s="30">
        <v>0</v>
      </c>
      <c r="AC717" s="30">
        <v>0</v>
      </c>
      <c r="AD717" s="30">
        <v>0</v>
      </c>
      <c r="AE717" s="30">
        <v>0</v>
      </c>
      <c r="AF717" s="30">
        <v>0</v>
      </c>
      <c r="AG717" s="30">
        <v>0</v>
      </c>
      <c r="AH717" s="30">
        <v>0</v>
      </c>
      <c r="AI717" s="30">
        <v>0</v>
      </c>
      <c r="AJ717" s="30">
        <v>0</v>
      </c>
      <c r="AK717" s="30">
        <v>0</v>
      </c>
      <c r="AL717" s="30">
        <v>0</v>
      </c>
      <c r="AM717" s="30">
        <v>0</v>
      </c>
      <c r="AN717" s="30">
        <v>0</v>
      </c>
      <c r="AO717" s="30">
        <v>0</v>
      </c>
      <c r="AP717" s="30">
        <v>0</v>
      </c>
      <c r="AQ717" s="30">
        <v>0</v>
      </c>
      <c r="AR717" s="30">
        <v>0</v>
      </c>
      <c r="AS717" s="30">
        <v>0</v>
      </c>
      <c r="AT717" s="30">
        <v>0</v>
      </c>
      <c r="AU717" s="30">
        <v>0</v>
      </c>
      <c r="AV717" s="30">
        <v>0</v>
      </c>
      <c r="AW717" s="30">
        <v>0</v>
      </c>
      <c r="AX717" s="30">
        <v>0</v>
      </c>
      <c r="AY717" s="30">
        <v>0</v>
      </c>
      <c r="AZ717" s="30">
        <v>0</v>
      </c>
      <c r="BA717" s="30">
        <v>0</v>
      </c>
      <c r="BB717" s="30">
        <v>0</v>
      </c>
      <c r="BC717" s="30">
        <v>0</v>
      </c>
      <c r="BD717" s="30">
        <v>0</v>
      </c>
      <c r="BE717" s="30">
        <v>0</v>
      </c>
      <c r="BF717" s="30">
        <v>0</v>
      </c>
      <c r="BG717" s="30">
        <v>0</v>
      </c>
      <c r="BH717" s="30">
        <v>0</v>
      </c>
      <c r="BI717" s="30">
        <v>0</v>
      </c>
      <c r="BJ717" s="30">
        <v>0</v>
      </c>
      <c r="BK717" s="30">
        <v>0</v>
      </c>
      <c r="BL717" s="30">
        <v>0</v>
      </c>
      <c r="BM717" s="30">
        <v>0</v>
      </c>
      <c r="BN717" s="30">
        <v>0</v>
      </c>
      <c r="BO717" s="30">
        <v>0</v>
      </c>
      <c r="BP717" s="30">
        <v>0</v>
      </c>
      <c r="BQ717" s="30">
        <v>0</v>
      </c>
      <c r="BR717" s="30">
        <v>0</v>
      </c>
      <c r="BS717" s="30">
        <v>0</v>
      </c>
      <c r="BT717" s="30">
        <v>0</v>
      </c>
      <c r="BU717" s="30">
        <v>0</v>
      </c>
      <c r="BV717" s="30">
        <v>0</v>
      </c>
      <c r="BW717" s="30">
        <v>0</v>
      </c>
      <c r="BX717" s="30">
        <v>0</v>
      </c>
      <c r="BY717" s="30">
        <v>0</v>
      </c>
      <c r="BZ717" s="30">
        <v>0</v>
      </c>
      <c r="CA717" s="30">
        <v>0</v>
      </c>
      <c r="CB717" s="30">
        <v>0</v>
      </c>
      <c r="CC717" s="30">
        <v>0</v>
      </c>
      <c r="CD717" s="30">
        <v>0</v>
      </c>
      <c r="CE717" s="30">
        <v>0</v>
      </c>
      <c r="CF717" s="30">
        <v>0</v>
      </c>
      <c r="CG717" s="30">
        <v>0</v>
      </c>
      <c r="CH717" s="30">
        <v>0</v>
      </c>
      <c r="CI717" s="30">
        <v>0</v>
      </c>
      <c r="CJ717" s="30">
        <v>0</v>
      </c>
      <c r="CK717" s="30">
        <v>0</v>
      </c>
      <c r="CL717" s="30">
        <v>0</v>
      </c>
      <c r="CM717" s="30">
        <v>0</v>
      </c>
      <c r="CN717" s="30">
        <v>0</v>
      </c>
      <c r="CO717" s="30">
        <v>0</v>
      </c>
      <c r="CP717" s="30">
        <v>0</v>
      </c>
      <c r="CQ717" s="30">
        <v>0</v>
      </c>
      <c r="CR717" s="30">
        <v>0</v>
      </c>
      <c r="CS717" s="30">
        <v>0</v>
      </c>
      <c r="CT717" s="30">
        <v>0</v>
      </c>
      <c r="CU717" s="30">
        <v>0</v>
      </c>
      <c r="CV717" s="30">
        <v>0</v>
      </c>
      <c r="CW717" s="30">
        <v>0</v>
      </c>
      <c r="CX717" s="30">
        <v>0</v>
      </c>
      <c r="CY717" s="30">
        <v>0</v>
      </c>
      <c r="CZ717" s="30">
        <v>0</v>
      </c>
      <c r="DA717" s="30">
        <v>0</v>
      </c>
      <c r="DB717" s="30">
        <v>0</v>
      </c>
      <c r="DC717" s="30">
        <v>0</v>
      </c>
      <c r="DD717" s="30">
        <v>0</v>
      </c>
      <c r="DE717" s="30">
        <v>0</v>
      </c>
      <c r="DF717" s="30">
        <v>0</v>
      </c>
      <c r="DG717" s="16">
        <f t="shared" si="59"/>
        <v>0</v>
      </c>
      <c r="DH717" s="16">
        <f t="shared" si="60"/>
        <v>0</v>
      </c>
      <c r="DI717" s="17" t="str">
        <f t="shared" si="61"/>
        <v/>
      </c>
      <c r="DJ717" s="119" t="s">
        <v>4</v>
      </c>
      <c r="DK717" s="44" t="s">
        <v>4</v>
      </c>
    </row>
    <row r="718" spans="1:115">
      <c r="A718" s="32" t="str">
        <f t="shared" si="57"/>
        <v>Ausgrid--GROUND OUTDOOR / INDOOR CHAMBER MOUNTED ; ˂  22 kV ;  &gt;  600 kVA ; SINGLE PHASE</v>
      </c>
      <c r="B718" s="32" t="str">
        <f t="shared" si="58"/>
        <v>Ausgrid</v>
      </c>
      <c r="C718" s="397"/>
      <c r="D718" s="31"/>
      <c r="E718" s="30" t="s">
        <v>227</v>
      </c>
      <c r="F718" s="19">
        <v>0</v>
      </c>
      <c r="G718" s="19">
        <v>0</v>
      </c>
      <c r="H718" s="30">
        <v>0</v>
      </c>
      <c r="I718" s="30">
        <v>0</v>
      </c>
      <c r="J718" s="30">
        <v>0</v>
      </c>
      <c r="K718" s="30">
        <v>0</v>
      </c>
      <c r="L718" s="30">
        <v>0</v>
      </c>
      <c r="M718" s="30">
        <v>0</v>
      </c>
      <c r="N718" s="30">
        <v>0</v>
      </c>
      <c r="O718" s="30">
        <v>0</v>
      </c>
      <c r="P718" s="30">
        <v>0</v>
      </c>
      <c r="Q718" s="30">
        <v>0</v>
      </c>
      <c r="R718" s="30">
        <v>0</v>
      </c>
      <c r="S718" s="30">
        <v>0</v>
      </c>
      <c r="T718" s="30">
        <v>0</v>
      </c>
      <c r="U718" s="30">
        <v>0</v>
      </c>
      <c r="V718" s="30">
        <v>0</v>
      </c>
      <c r="W718" s="30">
        <v>0</v>
      </c>
      <c r="X718" s="30">
        <v>0</v>
      </c>
      <c r="Y718" s="30">
        <v>0</v>
      </c>
      <c r="Z718" s="30">
        <v>0</v>
      </c>
      <c r="AA718" s="30">
        <v>0</v>
      </c>
      <c r="AB718" s="30">
        <v>0</v>
      </c>
      <c r="AC718" s="30">
        <v>0</v>
      </c>
      <c r="AD718" s="30">
        <v>0</v>
      </c>
      <c r="AE718" s="30">
        <v>0</v>
      </c>
      <c r="AF718" s="30">
        <v>0</v>
      </c>
      <c r="AG718" s="30">
        <v>0</v>
      </c>
      <c r="AH718" s="30">
        <v>0</v>
      </c>
      <c r="AI718" s="30">
        <v>0</v>
      </c>
      <c r="AJ718" s="30">
        <v>0</v>
      </c>
      <c r="AK718" s="30">
        <v>0</v>
      </c>
      <c r="AL718" s="30">
        <v>0</v>
      </c>
      <c r="AM718" s="30">
        <v>0</v>
      </c>
      <c r="AN718" s="30">
        <v>0</v>
      </c>
      <c r="AO718" s="30">
        <v>0</v>
      </c>
      <c r="AP718" s="30">
        <v>0</v>
      </c>
      <c r="AQ718" s="30">
        <v>0</v>
      </c>
      <c r="AR718" s="30">
        <v>0</v>
      </c>
      <c r="AS718" s="30">
        <v>0</v>
      </c>
      <c r="AT718" s="30">
        <v>0</v>
      </c>
      <c r="AU718" s="30">
        <v>0</v>
      </c>
      <c r="AV718" s="30">
        <v>0</v>
      </c>
      <c r="AW718" s="30">
        <v>0</v>
      </c>
      <c r="AX718" s="30">
        <v>0</v>
      </c>
      <c r="AY718" s="30">
        <v>0</v>
      </c>
      <c r="AZ718" s="30">
        <v>0</v>
      </c>
      <c r="BA718" s="30">
        <v>0</v>
      </c>
      <c r="BB718" s="30">
        <v>0</v>
      </c>
      <c r="BC718" s="30">
        <v>0</v>
      </c>
      <c r="BD718" s="30">
        <v>0</v>
      </c>
      <c r="BE718" s="30">
        <v>0</v>
      </c>
      <c r="BF718" s="30">
        <v>0</v>
      </c>
      <c r="BG718" s="30">
        <v>0</v>
      </c>
      <c r="BH718" s="30">
        <v>0</v>
      </c>
      <c r="BI718" s="30">
        <v>0</v>
      </c>
      <c r="BJ718" s="30">
        <v>0</v>
      </c>
      <c r="BK718" s="30">
        <v>0</v>
      </c>
      <c r="BL718" s="30">
        <v>0</v>
      </c>
      <c r="BM718" s="30">
        <v>0</v>
      </c>
      <c r="BN718" s="30">
        <v>0</v>
      </c>
      <c r="BO718" s="30">
        <v>0</v>
      </c>
      <c r="BP718" s="30">
        <v>0</v>
      </c>
      <c r="BQ718" s="30">
        <v>0</v>
      </c>
      <c r="BR718" s="30">
        <v>0</v>
      </c>
      <c r="BS718" s="30">
        <v>0</v>
      </c>
      <c r="BT718" s="30">
        <v>0</v>
      </c>
      <c r="BU718" s="30">
        <v>0</v>
      </c>
      <c r="BV718" s="30">
        <v>0</v>
      </c>
      <c r="BW718" s="30">
        <v>0</v>
      </c>
      <c r="BX718" s="30">
        <v>0</v>
      </c>
      <c r="BY718" s="30">
        <v>0</v>
      </c>
      <c r="BZ718" s="30">
        <v>0</v>
      </c>
      <c r="CA718" s="30">
        <v>0</v>
      </c>
      <c r="CB718" s="30">
        <v>0</v>
      </c>
      <c r="CC718" s="30">
        <v>0</v>
      </c>
      <c r="CD718" s="30">
        <v>0</v>
      </c>
      <c r="CE718" s="30">
        <v>0</v>
      </c>
      <c r="CF718" s="30">
        <v>0</v>
      </c>
      <c r="CG718" s="30">
        <v>0</v>
      </c>
      <c r="CH718" s="30">
        <v>0</v>
      </c>
      <c r="CI718" s="30">
        <v>0</v>
      </c>
      <c r="CJ718" s="30">
        <v>0</v>
      </c>
      <c r="CK718" s="30">
        <v>0</v>
      </c>
      <c r="CL718" s="30">
        <v>0</v>
      </c>
      <c r="CM718" s="30">
        <v>0</v>
      </c>
      <c r="CN718" s="30">
        <v>0</v>
      </c>
      <c r="CO718" s="30">
        <v>0</v>
      </c>
      <c r="CP718" s="30">
        <v>0</v>
      </c>
      <c r="CQ718" s="30">
        <v>0</v>
      </c>
      <c r="CR718" s="30">
        <v>0</v>
      </c>
      <c r="CS718" s="30">
        <v>0</v>
      </c>
      <c r="CT718" s="30">
        <v>0</v>
      </c>
      <c r="CU718" s="30">
        <v>0</v>
      </c>
      <c r="CV718" s="30">
        <v>0</v>
      </c>
      <c r="CW718" s="30">
        <v>0</v>
      </c>
      <c r="CX718" s="30">
        <v>0</v>
      </c>
      <c r="CY718" s="30">
        <v>0</v>
      </c>
      <c r="CZ718" s="30">
        <v>0</v>
      </c>
      <c r="DA718" s="30">
        <v>0</v>
      </c>
      <c r="DB718" s="30">
        <v>0</v>
      </c>
      <c r="DC718" s="30">
        <v>0</v>
      </c>
      <c r="DD718" s="30">
        <v>0</v>
      </c>
      <c r="DE718" s="30">
        <v>0</v>
      </c>
      <c r="DF718" s="30">
        <v>0</v>
      </c>
      <c r="DG718" s="16">
        <f t="shared" si="59"/>
        <v>0</v>
      </c>
      <c r="DH718" s="16">
        <f t="shared" si="60"/>
        <v>0</v>
      </c>
      <c r="DI718" s="17" t="str">
        <f t="shared" si="61"/>
        <v/>
      </c>
      <c r="DJ718" s="119" t="s">
        <v>4</v>
      </c>
      <c r="DK718" s="44" t="s">
        <v>4</v>
      </c>
    </row>
    <row r="719" spans="1:115">
      <c r="A719" s="32" t="str">
        <f t="shared" si="57"/>
        <v>Ausgrid--GROUND OUTDOOR / INDOOR CHAMBER MOUNTED ; ˂  22 kV ;  &lt; = 60 kVA ; MULTIPLE PHASE</v>
      </c>
      <c r="B719" s="32" t="str">
        <f t="shared" si="58"/>
        <v>Ausgrid</v>
      </c>
      <c r="C719" s="397"/>
      <c r="D719" s="31"/>
      <c r="E719" s="30" t="s">
        <v>228</v>
      </c>
      <c r="F719" s="19">
        <v>0</v>
      </c>
      <c r="G719" s="19">
        <v>0</v>
      </c>
      <c r="H719" s="30">
        <v>0</v>
      </c>
      <c r="I719" s="30">
        <v>0</v>
      </c>
      <c r="J719" s="30">
        <v>0</v>
      </c>
      <c r="K719" s="30">
        <v>0</v>
      </c>
      <c r="L719" s="30">
        <v>0</v>
      </c>
      <c r="M719" s="30">
        <v>0</v>
      </c>
      <c r="N719" s="30">
        <v>0</v>
      </c>
      <c r="O719" s="30">
        <v>0</v>
      </c>
      <c r="P719" s="30">
        <v>0</v>
      </c>
      <c r="Q719" s="30">
        <v>0</v>
      </c>
      <c r="R719" s="30">
        <v>0</v>
      </c>
      <c r="S719" s="30">
        <v>0</v>
      </c>
      <c r="T719" s="30">
        <v>0</v>
      </c>
      <c r="U719" s="30">
        <v>0</v>
      </c>
      <c r="V719" s="30">
        <v>0</v>
      </c>
      <c r="W719" s="30">
        <v>0</v>
      </c>
      <c r="X719" s="30">
        <v>0</v>
      </c>
      <c r="Y719" s="30">
        <v>0</v>
      </c>
      <c r="Z719" s="30">
        <v>0</v>
      </c>
      <c r="AA719" s="30">
        <v>0</v>
      </c>
      <c r="AB719" s="30">
        <v>0</v>
      </c>
      <c r="AC719" s="30">
        <v>0</v>
      </c>
      <c r="AD719" s="30">
        <v>0</v>
      </c>
      <c r="AE719" s="30">
        <v>0</v>
      </c>
      <c r="AF719" s="30">
        <v>0</v>
      </c>
      <c r="AG719" s="30">
        <v>0</v>
      </c>
      <c r="AH719" s="30">
        <v>0</v>
      </c>
      <c r="AI719" s="30">
        <v>0</v>
      </c>
      <c r="AJ719" s="30">
        <v>0</v>
      </c>
      <c r="AK719" s="30">
        <v>0</v>
      </c>
      <c r="AL719" s="30">
        <v>0</v>
      </c>
      <c r="AM719" s="30">
        <v>0</v>
      </c>
      <c r="AN719" s="30">
        <v>0</v>
      </c>
      <c r="AO719" s="30">
        <v>0</v>
      </c>
      <c r="AP719" s="30">
        <v>0</v>
      </c>
      <c r="AQ719" s="30">
        <v>0</v>
      </c>
      <c r="AR719" s="30">
        <v>0</v>
      </c>
      <c r="AS719" s="30">
        <v>0</v>
      </c>
      <c r="AT719" s="30">
        <v>0</v>
      </c>
      <c r="AU719" s="30">
        <v>0</v>
      </c>
      <c r="AV719" s="30">
        <v>0</v>
      </c>
      <c r="AW719" s="30">
        <v>0</v>
      </c>
      <c r="AX719" s="30">
        <v>0</v>
      </c>
      <c r="AY719" s="30">
        <v>0</v>
      </c>
      <c r="AZ719" s="30">
        <v>0</v>
      </c>
      <c r="BA719" s="30">
        <v>0</v>
      </c>
      <c r="BB719" s="30">
        <v>0</v>
      </c>
      <c r="BC719" s="30">
        <v>0</v>
      </c>
      <c r="BD719" s="30">
        <v>0</v>
      </c>
      <c r="BE719" s="30">
        <v>0</v>
      </c>
      <c r="BF719" s="30">
        <v>0</v>
      </c>
      <c r="BG719" s="30">
        <v>0</v>
      </c>
      <c r="BH719" s="30">
        <v>0</v>
      </c>
      <c r="BI719" s="30">
        <v>0</v>
      </c>
      <c r="BJ719" s="30">
        <v>0</v>
      </c>
      <c r="BK719" s="30">
        <v>0</v>
      </c>
      <c r="BL719" s="30">
        <v>0</v>
      </c>
      <c r="BM719" s="30">
        <v>0</v>
      </c>
      <c r="BN719" s="30">
        <v>0</v>
      </c>
      <c r="BO719" s="30">
        <v>0</v>
      </c>
      <c r="BP719" s="30">
        <v>0</v>
      </c>
      <c r="BQ719" s="30">
        <v>0</v>
      </c>
      <c r="BR719" s="30">
        <v>0</v>
      </c>
      <c r="BS719" s="30">
        <v>0</v>
      </c>
      <c r="BT719" s="30">
        <v>0</v>
      </c>
      <c r="BU719" s="30">
        <v>0</v>
      </c>
      <c r="BV719" s="30">
        <v>0</v>
      </c>
      <c r="BW719" s="30">
        <v>0</v>
      </c>
      <c r="BX719" s="30">
        <v>0</v>
      </c>
      <c r="BY719" s="30">
        <v>0</v>
      </c>
      <c r="BZ719" s="30">
        <v>0</v>
      </c>
      <c r="CA719" s="30">
        <v>0</v>
      </c>
      <c r="CB719" s="30">
        <v>0</v>
      </c>
      <c r="CC719" s="30">
        <v>0</v>
      </c>
      <c r="CD719" s="30">
        <v>0</v>
      </c>
      <c r="CE719" s="30">
        <v>0</v>
      </c>
      <c r="CF719" s="30">
        <v>0</v>
      </c>
      <c r="CG719" s="30">
        <v>0</v>
      </c>
      <c r="CH719" s="30">
        <v>0</v>
      </c>
      <c r="CI719" s="30">
        <v>0</v>
      </c>
      <c r="CJ719" s="30">
        <v>0</v>
      </c>
      <c r="CK719" s="30">
        <v>0</v>
      </c>
      <c r="CL719" s="30">
        <v>0</v>
      </c>
      <c r="CM719" s="30">
        <v>0</v>
      </c>
      <c r="CN719" s="30">
        <v>0</v>
      </c>
      <c r="CO719" s="30">
        <v>0</v>
      </c>
      <c r="CP719" s="30">
        <v>0</v>
      </c>
      <c r="CQ719" s="30">
        <v>0</v>
      </c>
      <c r="CR719" s="30">
        <v>0</v>
      </c>
      <c r="CS719" s="30">
        <v>0</v>
      </c>
      <c r="CT719" s="30">
        <v>0</v>
      </c>
      <c r="CU719" s="30">
        <v>0</v>
      </c>
      <c r="CV719" s="30">
        <v>0</v>
      </c>
      <c r="CW719" s="30">
        <v>0</v>
      </c>
      <c r="CX719" s="30">
        <v>0</v>
      </c>
      <c r="CY719" s="30">
        <v>0</v>
      </c>
      <c r="CZ719" s="30">
        <v>0</v>
      </c>
      <c r="DA719" s="30">
        <v>0</v>
      </c>
      <c r="DB719" s="30">
        <v>0</v>
      </c>
      <c r="DC719" s="30">
        <v>0</v>
      </c>
      <c r="DD719" s="30">
        <v>0</v>
      </c>
      <c r="DE719" s="30">
        <v>0</v>
      </c>
      <c r="DF719" s="30">
        <v>0</v>
      </c>
      <c r="DG719" s="16">
        <f t="shared" si="59"/>
        <v>0</v>
      </c>
      <c r="DH719" s="16">
        <f t="shared" si="60"/>
        <v>0</v>
      </c>
      <c r="DI719" s="17" t="str">
        <f t="shared" si="61"/>
        <v/>
      </c>
      <c r="DJ719" s="119" t="s">
        <v>4</v>
      </c>
      <c r="DK719" s="44" t="s">
        <v>4</v>
      </c>
    </row>
    <row r="720" spans="1:115">
      <c r="A720" s="32" t="str">
        <f t="shared" si="57"/>
        <v>Ausgrid--GROUND OUTDOOR / INDOOR CHAMBER MOUNTED ; ˂  22 kV ;  &gt; 60 kVA  AND &lt; = 600 kVA ; MULTIPLE PHASE</v>
      </c>
      <c r="B720" s="32" t="str">
        <f t="shared" si="58"/>
        <v>Ausgrid</v>
      </c>
      <c r="C720" s="397"/>
      <c r="D720" s="31"/>
      <c r="E720" s="30" t="s">
        <v>229</v>
      </c>
      <c r="F720" s="19">
        <v>54.39</v>
      </c>
      <c r="G720" s="19">
        <v>11.81</v>
      </c>
      <c r="H720" s="30">
        <v>3</v>
      </c>
      <c r="I720" s="30">
        <v>4</v>
      </c>
      <c r="J720" s="30">
        <v>6</v>
      </c>
      <c r="K720" s="30">
        <v>0</v>
      </c>
      <c r="L720" s="30">
        <v>3</v>
      </c>
      <c r="M720" s="30">
        <v>2</v>
      </c>
      <c r="N720" s="30">
        <v>3</v>
      </c>
      <c r="O720" s="30">
        <v>3</v>
      </c>
      <c r="P720" s="30">
        <v>1</v>
      </c>
      <c r="Q720" s="30">
        <v>0</v>
      </c>
      <c r="R720" s="30">
        <v>0</v>
      </c>
      <c r="S720" s="30">
        <v>0</v>
      </c>
      <c r="T720" s="30">
        <v>4</v>
      </c>
      <c r="U720" s="30">
        <v>3</v>
      </c>
      <c r="V720" s="30">
        <v>0</v>
      </c>
      <c r="W720" s="30">
        <v>0</v>
      </c>
      <c r="X720" s="30">
        <v>1</v>
      </c>
      <c r="Y720" s="30">
        <v>0</v>
      </c>
      <c r="Z720" s="30">
        <v>2</v>
      </c>
      <c r="AA720" s="30">
        <v>5</v>
      </c>
      <c r="AB720" s="30">
        <v>0</v>
      </c>
      <c r="AC720" s="30">
        <v>1</v>
      </c>
      <c r="AD720" s="30">
        <v>0</v>
      </c>
      <c r="AE720" s="30">
        <v>3</v>
      </c>
      <c r="AF720" s="30">
        <v>2</v>
      </c>
      <c r="AG720" s="30">
        <v>1</v>
      </c>
      <c r="AH720" s="30">
        <v>2</v>
      </c>
      <c r="AI720" s="30">
        <v>2</v>
      </c>
      <c r="AJ720" s="30">
        <v>0</v>
      </c>
      <c r="AK720" s="30">
        <v>2</v>
      </c>
      <c r="AL720" s="30">
        <v>8</v>
      </c>
      <c r="AM720" s="30">
        <v>11</v>
      </c>
      <c r="AN720" s="30">
        <v>4</v>
      </c>
      <c r="AO720" s="30">
        <v>6</v>
      </c>
      <c r="AP720" s="30">
        <v>6</v>
      </c>
      <c r="AQ720" s="30">
        <v>3</v>
      </c>
      <c r="AR720" s="30">
        <v>9</v>
      </c>
      <c r="AS720" s="30">
        <v>10</v>
      </c>
      <c r="AT720" s="30">
        <v>5</v>
      </c>
      <c r="AU720" s="30">
        <v>12</v>
      </c>
      <c r="AV720" s="30">
        <v>48</v>
      </c>
      <c r="AW720" s="30">
        <v>49</v>
      </c>
      <c r="AX720" s="30">
        <v>40</v>
      </c>
      <c r="AY720" s="30">
        <v>29</v>
      </c>
      <c r="AZ720" s="30">
        <v>46</v>
      </c>
      <c r="BA720" s="30">
        <v>21</v>
      </c>
      <c r="BB720" s="30">
        <v>20</v>
      </c>
      <c r="BC720" s="30">
        <v>32</v>
      </c>
      <c r="BD720" s="30">
        <v>10</v>
      </c>
      <c r="BE720" s="30">
        <v>26</v>
      </c>
      <c r="BF720" s="30">
        <v>33</v>
      </c>
      <c r="BG720" s="30">
        <v>37</v>
      </c>
      <c r="BH720" s="30">
        <v>45</v>
      </c>
      <c r="BI720" s="30">
        <v>18</v>
      </c>
      <c r="BJ720" s="30">
        <v>18</v>
      </c>
      <c r="BK720" s="30">
        <v>6</v>
      </c>
      <c r="BL720" s="30">
        <v>10</v>
      </c>
      <c r="BM720" s="30">
        <v>1</v>
      </c>
      <c r="BN720" s="30">
        <v>5</v>
      </c>
      <c r="BO720" s="30">
        <v>5</v>
      </c>
      <c r="BP720" s="30">
        <v>74</v>
      </c>
      <c r="BQ720" s="30">
        <v>9</v>
      </c>
      <c r="BR720" s="30">
        <v>2</v>
      </c>
      <c r="BS720" s="30">
        <v>115</v>
      </c>
      <c r="BT720" s="30">
        <v>12</v>
      </c>
      <c r="BU720" s="30">
        <v>25</v>
      </c>
      <c r="BV720" s="30">
        <v>3</v>
      </c>
      <c r="BW720" s="30">
        <v>0</v>
      </c>
      <c r="BX720" s="30">
        <v>0</v>
      </c>
      <c r="BY720" s="30">
        <v>26</v>
      </c>
      <c r="BZ720" s="30">
        <v>12</v>
      </c>
      <c r="CA720" s="30">
        <v>1</v>
      </c>
      <c r="CB720" s="30">
        <v>2</v>
      </c>
      <c r="CC720" s="30">
        <v>1</v>
      </c>
      <c r="CD720" s="30">
        <v>0</v>
      </c>
      <c r="CE720" s="30">
        <v>16</v>
      </c>
      <c r="CF720" s="30">
        <v>1</v>
      </c>
      <c r="CG720" s="30">
        <v>0</v>
      </c>
      <c r="CH720" s="30">
        <v>0</v>
      </c>
      <c r="CI720" s="30">
        <v>0</v>
      </c>
      <c r="CJ720" s="30">
        <v>0</v>
      </c>
      <c r="CK720" s="30">
        <v>0</v>
      </c>
      <c r="CL720" s="30">
        <v>4</v>
      </c>
      <c r="CM720" s="30">
        <v>16</v>
      </c>
      <c r="CN720" s="30">
        <v>0</v>
      </c>
      <c r="CO720" s="30">
        <v>1</v>
      </c>
      <c r="CP720" s="30">
        <v>0</v>
      </c>
      <c r="CQ720" s="30">
        <v>1</v>
      </c>
      <c r="CR720" s="30">
        <v>1</v>
      </c>
      <c r="CS720" s="30">
        <v>1</v>
      </c>
      <c r="CT720" s="30">
        <v>0</v>
      </c>
      <c r="CU720" s="30">
        <v>0</v>
      </c>
      <c r="CV720" s="30">
        <v>0</v>
      </c>
      <c r="CW720" s="30">
        <v>0</v>
      </c>
      <c r="CX720" s="30">
        <v>0</v>
      </c>
      <c r="CY720" s="30">
        <v>0</v>
      </c>
      <c r="CZ720" s="30">
        <v>0</v>
      </c>
      <c r="DA720" s="30">
        <v>0</v>
      </c>
      <c r="DB720" s="30">
        <v>0</v>
      </c>
      <c r="DC720" s="30">
        <v>0</v>
      </c>
      <c r="DD720" s="30">
        <v>0</v>
      </c>
      <c r="DE720" s="30">
        <v>0</v>
      </c>
      <c r="DF720" s="30">
        <v>0</v>
      </c>
      <c r="DG720" s="16">
        <f t="shared" si="59"/>
        <v>949</v>
      </c>
      <c r="DH720" s="16">
        <f t="shared" si="60"/>
        <v>48653</v>
      </c>
      <c r="DI720" s="17">
        <f t="shared" si="61"/>
        <v>51.267650158061116</v>
      </c>
      <c r="DJ720" s="119" t="s">
        <v>4</v>
      </c>
      <c r="DK720" s="44" t="s">
        <v>4</v>
      </c>
    </row>
    <row r="721" spans="1:115">
      <c r="A721" s="32" t="str">
        <f t="shared" si="57"/>
        <v>Ausgrid--GROUND OUTDOOR / INDOOR CHAMBER MOUNTED ; ˂  22 kV ;  &gt;  600 kVA ; MULTIPLE PHASE</v>
      </c>
      <c r="B721" s="32" t="str">
        <f t="shared" si="58"/>
        <v>Ausgrid</v>
      </c>
      <c r="C721" s="397"/>
      <c r="D721" s="31"/>
      <c r="E721" s="30" t="s">
        <v>230</v>
      </c>
      <c r="F721" s="19">
        <v>36.630000000000003</v>
      </c>
      <c r="G721" s="19">
        <v>12</v>
      </c>
      <c r="H721" s="30">
        <v>82</v>
      </c>
      <c r="I721" s="30">
        <v>69</v>
      </c>
      <c r="J721" s="30">
        <v>84</v>
      </c>
      <c r="K721" s="30">
        <v>87</v>
      </c>
      <c r="L721" s="30">
        <v>54</v>
      </c>
      <c r="M721" s="30">
        <v>76</v>
      </c>
      <c r="N721" s="30">
        <v>67</v>
      </c>
      <c r="O721" s="30">
        <v>63</v>
      </c>
      <c r="P721" s="30">
        <v>53</v>
      </c>
      <c r="Q721" s="30">
        <v>56</v>
      </c>
      <c r="R721" s="30">
        <v>42</v>
      </c>
      <c r="S721" s="30">
        <v>13</v>
      </c>
      <c r="T721" s="30">
        <v>45</v>
      </c>
      <c r="U721" s="30">
        <v>9</v>
      </c>
      <c r="V721" s="30">
        <v>18</v>
      </c>
      <c r="W721" s="30">
        <v>42</v>
      </c>
      <c r="X721" s="30">
        <v>20</v>
      </c>
      <c r="Y721" s="30">
        <v>33</v>
      </c>
      <c r="Z721" s="30">
        <v>138</v>
      </c>
      <c r="AA721" s="30">
        <v>564</v>
      </c>
      <c r="AB721" s="30">
        <v>48</v>
      </c>
      <c r="AC721" s="30">
        <v>95</v>
      </c>
      <c r="AD721" s="30">
        <v>97</v>
      </c>
      <c r="AE721" s="30">
        <v>167</v>
      </c>
      <c r="AF721" s="30">
        <v>116</v>
      </c>
      <c r="AG721" s="30">
        <v>140</v>
      </c>
      <c r="AH721" s="30">
        <v>116</v>
      </c>
      <c r="AI721" s="30">
        <v>51</v>
      </c>
      <c r="AJ721" s="30">
        <v>40</v>
      </c>
      <c r="AK721" s="30">
        <v>38</v>
      </c>
      <c r="AL721" s="30">
        <v>67</v>
      </c>
      <c r="AM721" s="30">
        <v>52</v>
      </c>
      <c r="AN721" s="30">
        <v>78</v>
      </c>
      <c r="AO721" s="30">
        <v>46</v>
      </c>
      <c r="AP721" s="30">
        <v>32</v>
      </c>
      <c r="AQ721" s="30">
        <v>23</v>
      </c>
      <c r="AR721" s="30">
        <v>18</v>
      </c>
      <c r="AS721" s="30">
        <v>43</v>
      </c>
      <c r="AT721" s="30">
        <v>15</v>
      </c>
      <c r="AU721" s="30">
        <v>45</v>
      </c>
      <c r="AV721" s="30">
        <v>126</v>
      </c>
      <c r="AW721" s="30">
        <v>203</v>
      </c>
      <c r="AX721" s="30">
        <v>103</v>
      </c>
      <c r="AY721" s="30">
        <v>106</v>
      </c>
      <c r="AZ721" s="30">
        <v>34</v>
      </c>
      <c r="BA721" s="30">
        <v>59</v>
      </c>
      <c r="BB721" s="30">
        <v>67</v>
      </c>
      <c r="BC721" s="30">
        <v>56</v>
      </c>
      <c r="BD721" s="30">
        <v>77</v>
      </c>
      <c r="BE721" s="30">
        <v>96</v>
      </c>
      <c r="BF721" s="30">
        <v>28</v>
      </c>
      <c r="BG721" s="30">
        <v>32</v>
      </c>
      <c r="BH721" s="30">
        <v>25</v>
      </c>
      <c r="BI721" s="30">
        <v>6</v>
      </c>
      <c r="BJ721" s="30">
        <v>4</v>
      </c>
      <c r="BK721" s="30">
        <v>0</v>
      </c>
      <c r="BL721" s="30">
        <v>0</v>
      </c>
      <c r="BM721" s="30">
        <v>0</v>
      </c>
      <c r="BN721" s="30">
        <v>0</v>
      </c>
      <c r="BO721" s="30">
        <v>0</v>
      </c>
      <c r="BP721" s="30">
        <v>0</v>
      </c>
      <c r="BQ721" s="30">
        <v>1</v>
      </c>
      <c r="BR721" s="30">
        <v>0</v>
      </c>
      <c r="BS721" s="30">
        <v>0</v>
      </c>
      <c r="BT721" s="30">
        <v>0</v>
      </c>
      <c r="BU721" s="30">
        <v>0</v>
      </c>
      <c r="BV721" s="30">
        <v>0</v>
      </c>
      <c r="BW721" s="30">
        <v>0</v>
      </c>
      <c r="BX721" s="30">
        <v>0</v>
      </c>
      <c r="BY721" s="30">
        <v>0</v>
      </c>
      <c r="BZ721" s="30">
        <v>0</v>
      </c>
      <c r="CA721" s="30">
        <v>0</v>
      </c>
      <c r="CB721" s="30">
        <v>0</v>
      </c>
      <c r="CC721" s="30">
        <v>0</v>
      </c>
      <c r="CD721" s="30">
        <v>0</v>
      </c>
      <c r="CE721" s="30">
        <v>0</v>
      </c>
      <c r="CF721" s="30">
        <v>0</v>
      </c>
      <c r="CG721" s="30">
        <v>0</v>
      </c>
      <c r="CH721" s="30">
        <v>0</v>
      </c>
      <c r="CI721" s="30">
        <v>0</v>
      </c>
      <c r="CJ721" s="30">
        <v>0</v>
      </c>
      <c r="CK721" s="30">
        <v>0</v>
      </c>
      <c r="CL721" s="30">
        <v>0</v>
      </c>
      <c r="CM721" s="30">
        <v>0</v>
      </c>
      <c r="CN721" s="30">
        <v>0</v>
      </c>
      <c r="CO721" s="30">
        <v>0</v>
      </c>
      <c r="CP721" s="30">
        <v>0</v>
      </c>
      <c r="CQ721" s="30">
        <v>0</v>
      </c>
      <c r="CR721" s="30">
        <v>0</v>
      </c>
      <c r="CS721" s="30">
        <v>0</v>
      </c>
      <c r="CT721" s="30">
        <v>1</v>
      </c>
      <c r="CU721" s="30">
        <v>0</v>
      </c>
      <c r="CV721" s="30">
        <v>0</v>
      </c>
      <c r="CW721" s="30">
        <v>0</v>
      </c>
      <c r="CX721" s="30">
        <v>0</v>
      </c>
      <c r="CY721" s="30">
        <v>0</v>
      </c>
      <c r="CZ721" s="30">
        <v>0</v>
      </c>
      <c r="DA721" s="30">
        <v>0</v>
      </c>
      <c r="DB721" s="30">
        <v>0</v>
      </c>
      <c r="DC721" s="30">
        <v>0</v>
      </c>
      <c r="DD721" s="30">
        <v>0</v>
      </c>
      <c r="DE721" s="30">
        <v>0</v>
      </c>
      <c r="DF721" s="30">
        <v>0</v>
      </c>
      <c r="DG721" s="16">
        <f t="shared" si="59"/>
        <v>3966</v>
      </c>
      <c r="DH721" s="16">
        <f t="shared" si="60"/>
        <v>104465</v>
      </c>
      <c r="DI721" s="17">
        <f t="shared" si="61"/>
        <v>26.340141200201714</v>
      </c>
      <c r="DJ721" s="119" t="s">
        <v>4</v>
      </c>
      <c r="DK721" s="44" t="s">
        <v>4</v>
      </c>
    </row>
    <row r="722" spans="1:115">
      <c r="A722" s="32" t="str">
        <f t="shared" si="57"/>
        <v>Ausgrid--GROUND OUTDOOR / INDOOR CHAMBER MOUNTED ; &gt; = 22 kV &amp; &lt; = 33 kV ;  &lt; = 15 MVA</v>
      </c>
      <c r="B722" s="32" t="str">
        <f t="shared" si="58"/>
        <v>Ausgrid</v>
      </c>
      <c r="C722" s="397"/>
      <c r="D722" s="31"/>
      <c r="E722" s="30" t="s">
        <v>231</v>
      </c>
      <c r="F722" s="19">
        <v>45.66</v>
      </c>
      <c r="G722" s="19">
        <v>10.51</v>
      </c>
      <c r="H722" s="30">
        <v>0</v>
      </c>
      <c r="I722" s="30">
        <v>0</v>
      </c>
      <c r="J722" s="30">
        <v>0</v>
      </c>
      <c r="K722" s="30">
        <v>0</v>
      </c>
      <c r="L722" s="30">
        <v>0</v>
      </c>
      <c r="M722" s="30">
        <v>0</v>
      </c>
      <c r="N722" s="30">
        <v>0</v>
      </c>
      <c r="O722" s="30">
        <v>0</v>
      </c>
      <c r="P722" s="30">
        <v>0</v>
      </c>
      <c r="Q722" s="30">
        <v>0</v>
      </c>
      <c r="R722" s="30">
        <v>1</v>
      </c>
      <c r="S722" s="30">
        <v>0</v>
      </c>
      <c r="T722" s="30">
        <v>0</v>
      </c>
      <c r="U722" s="30">
        <v>0</v>
      </c>
      <c r="V722" s="30">
        <v>0</v>
      </c>
      <c r="W722" s="30">
        <v>0</v>
      </c>
      <c r="X722" s="30">
        <v>0</v>
      </c>
      <c r="Y722" s="30">
        <v>0</v>
      </c>
      <c r="Z722" s="30">
        <v>0</v>
      </c>
      <c r="AA722" s="30">
        <v>0</v>
      </c>
      <c r="AB722" s="30">
        <v>0</v>
      </c>
      <c r="AC722" s="30">
        <v>0</v>
      </c>
      <c r="AD722" s="30">
        <v>0</v>
      </c>
      <c r="AE722" s="30">
        <v>1</v>
      </c>
      <c r="AF722" s="30">
        <v>1</v>
      </c>
      <c r="AG722" s="30">
        <v>0</v>
      </c>
      <c r="AH722" s="30">
        <v>0</v>
      </c>
      <c r="AI722" s="30">
        <v>0</v>
      </c>
      <c r="AJ722" s="30">
        <v>1</v>
      </c>
      <c r="AK722" s="30">
        <v>0</v>
      </c>
      <c r="AL722" s="30">
        <v>0</v>
      </c>
      <c r="AM722" s="30">
        <v>0</v>
      </c>
      <c r="AN722" s="30">
        <v>0</v>
      </c>
      <c r="AO722" s="30">
        <v>0</v>
      </c>
      <c r="AP722" s="30">
        <v>0</v>
      </c>
      <c r="AQ722" s="30">
        <v>4</v>
      </c>
      <c r="AR722" s="30">
        <v>1</v>
      </c>
      <c r="AS722" s="30">
        <v>0</v>
      </c>
      <c r="AT722" s="30">
        <v>0</v>
      </c>
      <c r="AU722" s="30">
        <v>0</v>
      </c>
      <c r="AV722" s="30">
        <v>0</v>
      </c>
      <c r="AW722" s="30">
        <v>1</v>
      </c>
      <c r="AX722" s="30">
        <v>2</v>
      </c>
      <c r="AY722" s="30">
        <v>0</v>
      </c>
      <c r="AZ722" s="30">
        <v>3</v>
      </c>
      <c r="BA722" s="30">
        <v>0</v>
      </c>
      <c r="BB722" s="30">
        <v>3</v>
      </c>
      <c r="BC722" s="30">
        <v>8</v>
      </c>
      <c r="BD722" s="30">
        <v>3</v>
      </c>
      <c r="BE722" s="30">
        <v>14</v>
      </c>
      <c r="BF722" s="30">
        <v>7</v>
      </c>
      <c r="BG722" s="30">
        <v>10</v>
      </c>
      <c r="BH722" s="30">
        <v>5</v>
      </c>
      <c r="BI722" s="30">
        <v>4</v>
      </c>
      <c r="BJ722" s="30">
        <v>3</v>
      </c>
      <c r="BK722" s="30">
        <v>1</v>
      </c>
      <c r="BL722" s="30">
        <v>0</v>
      </c>
      <c r="BM722" s="30">
        <v>1</v>
      </c>
      <c r="BN722" s="30">
        <v>1</v>
      </c>
      <c r="BO722" s="30">
        <v>3</v>
      </c>
      <c r="BP722" s="30">
        <v>2</v>
      </c>
      <c r="BQ722" s="30">
        <v>0</v>
      </c>
      <c r="BR722" s="30">
        <v>1</v>
      </c>
      <c r="BS722" s="30">
        <v>0</v>
      </c>
      <c r="BT722" s="30">
        <v>0</v>
      </c>
      <c r="BU722" s="30">
        <v>1</v>
      </c>
      <c r="BV722" s="30">
        <v>0</v>
      </c>
      <c r="BW722" s="30">
        <v>1</v>
      </c>
      <c r="BX722" s="30">
        <v>0</v>
      </c>
      <c r="BY722" s="30">
        <v>0</v>
      </c>
      <c r="BZ722" s="30">
        <v>0</v>
      </c>
      <c r="CA722" s="30">
        <v>0</v>
      </c>
      <c r="CB722" s="30">
        <v>0</v>
      </c>
      <c r="CC722" s="30">
        <v>0</v>
      </c>
      <c r="CD722" s="30">
        <v>0</v>
      </c>
      <c r="CE722" s="30">
        <v>0</v>
      </c>
      <c r="CF722" s="30">
        <v>0</v>
      </c>
      <c r="CG722" s="30">
        <v>0</v>
      </c>
      <c r="CH722" s="30">
        <v>0</v>
      </c>
      <c r="CI722" s="30">
        <v>0</v>
      </c>
      <c r="CJ722" s="30">
        <v>0</v>
      </c>
      <c r="CK722" s="30">
        <v>0</v>
      </c>
      <c r="CL722" s="30">
        <v>0</v>
      </c>
      <c r="CM722" s="30">
        <v>0</v>
      </c>
      <c r="CN722" s="30">
        <v>0</v>
      </c>
      <c r="CO722" s="30">
        <v>0</v>
      </c>
      <c r="CP722" s="30">
        <v>0</v>
      </c>
      <c r="CQ722" s="30">
        <v>0</v>
      </c>
      <c r="CR722" s="30">
        <v>0</v>
      </c>
      <c r="CS722" s="30">
        <v>0</v>
      </c>
      <c r="CT722" s="30">
        <v>0</v>
      </c>
      <c r="CU722" s="30">
        <v>0</v>
      </c>
      <c r="CV722" s="30">
        <v>0</v>
      </c>
      <c r="CW722" s="30">
        <v>0</v>
      </c>
      <c r="CX722" s="30">
        <v>0</v>
      </c>
      <c r="CY722" s="30">
        <v>0</v>
      </c>
      <c r="CZ722" s="30">
        <v>0</v>
      </c>
      <c r="DA722" s="30">
        <v>0</v>
      </c>
      <c r="DB722" s="30">
        <v>0</v>
      </c>
      <c r="DC722" s="30">
        <v>0</v>
      </c>
      <c r="DD722" s="30">
        <v>0</v>
      </c>
      <c r="DE722" s="30">
        <v>0</v>
      </c>
      <c r="DF722" s="30">
        <v>0</v>
      </c>
      <c r="DG722" s="16">
        <f t="shared" si="59"/>
        <v>83</v>
      </c>
      <c r="DH722" s="16">
        <f t="shared" si="60"/>
        <v>4100</v>
      </c>
      <c r="DI722" s="17">
        <f t="shared" si="61"/>
        <v>49.397590361445786</v>
      </c>
      <c r="DJ722" s="119" t="s">
        <v>4</v>
      </c>
      <c r="DK722" s="119" t="s">
        <v>1530</v>
      </c>
    </row>
    <row r="723" spans="1:115">
      <c r="A723" s="32" t="str">
        <f t="shared" si="57"/>
        <v>Ausgrid--GROUND OUTDOOR / INDOOR CHAMBER MOUNTED ; &gt; = 22 kV &amp; &lt; = 33 kV ;  &gt; 15 MVA AND &lt; = 40 MVA</v>
      </c>
      <c r="B723" s="32" t="str">
        <f t="shared" si="58"/>
        <v>Ausgrid</v>
      </c>
      <c r="C723" s="397"/>
      <c r="D723" s="31"/>
      <c r="E723" s="30" t="s">
        <v>232</v>
      </c>
      <c r="F723" s="19">
        <v>45.66</v>
      </c>
      <c r="G723" s="19">
        <v>10.51</v>
      </c>
      <c r="H723" s="30">
        <v>0</v>
      </c>
      <c r="I723" s="30">
        <v>5</v>
      </c>
      <c r="J723" s="30">
        <v>12</v>
      </c>
      <c r="K723" s="30">
        <v>2</v>
      </c>
      <c r="L723" s="30">
        <v>5</v>
      </c>
      <c r="M723" s="30">
        <v>17</v>
      </c>
      <c r="N723" s="30">
        <v>15</v>
      </c>
      <c r="O723" s="30">
        <v>17</v>
      </c>
      <c r="P723" s="30">
        <v>11</v>
      </c>
      <c r="Q723" s="30">
        <v>6</v>
      </c>
      <c r="R723" s="30">
        <v>10</v>
      </c>
      <c r="S723" s="30">
        <v>0</v>
      </c>
      <c r="T723" s="30">
        <v>0</v>
      </c>
      <c r="U723" s="30">
        <v>12</v>
      </c>
      <c r="V723" s="30">
        <v>0</v>
      </c>
      <c r="W723" s="30">
        <v>0</v>
      </c>
      <c r="X723" s="30">
        <v>0</v>
      </c>
      <c r="Y723" s="30">
        <v>0</v>
      </c>
      <c r="Z723" s="30">
        <v>0</v>
      </c>
      <c r="AA723" s="30">
        <v>0</v>
      </c>
      <c r="AB723" s="30">
        <v>1</v>
      </c>
      <c r="AC723" s="30">
        <v>2</v>
      </c>
      <c r="AD723" s="30">
        <v>1</v>
      </c>
      <c r="AE723" s="30">
        <v>0</v>
      </c>
      <c r="AF723" s="30">
        <v>0</v>
      </c>
      <c r="AG723" s="30">
        <v>1</v>
      </c>
      <c r="AH723" s="30">
        <v>0</v>
      </c>
      <c r="AI723" s="30">
        <v>2</v>
      </c>
      <c r="AJ723" s="30">
        <v>0</v>
      </c>
      <c r="AK723" s="30">
        <v>1</v>
      </c>
      <c r="AL723" s="30">
        <v>3</v>
      </c>
      <c r="AM723" s="30">
        <v>0</v>
      </c>
      <c r="AN723" s="30">
        <v>0</v>
      </c>
      <c r="AO723" s="30">
        <v>0</v>
      </c>
      <c r="AP723" s="30">
        <v>1</v>
      </c>
      <c r="AQ723" s="30">
        <v>0</v>
      </c>
      <c r="AR723" s="30">
        <v>4</v>
      </c>
      <c r="AS723" s="30">
        <v>3</v>
      </c>
      <c r="AT723" s="30">
        <v>4</v>
      </c>
      <c r="AU723" s="30">
        <v>3</v>
      </c>
      <c r="AV723" s="30">
        <v>2</v>
      </c>
      <c r="AW723" s="30">
        <v>4</v>
      </c>
      <c r="AX723" s="30">
        <v>8</v>
      </c>
      <c r="AY723" s="30">
        <v>5</v>
      </c>
      <c r="AZ723" s="30">
        <v>3</v>
      </c>
      <c r="BA723" s="30">
        <v>10</v>
      </c>
      <c r="BB723" s="30">
        <v>5</v>
      </c>
      <c r="BC723" s="30">
        <v>5</v>
      </c>
      <c r="BD723" s="30">
        <v>5</v>
      </c>
      <c r="BE723" s="30">
        <v>11</v>
      </c>
      <c r="BF723" s="30">
        <v>11</v>
      </c>
      <c r="BG723" s="30">
        <v>3</v>
      </c>
      <c r="BH723" s="30">
        <v>0</v>
      </c>
      <c r="BI723" s="30">
        <v>4</v>
      </c>
      <c r="BJ723" s="30">
        <v>0</v>
      </c>
      <c r="BK723" s="30">
        <v>0</v>
      </c>
      <c r="BL723" s="30">
        <v>0</v>
      </c>
      <c r="BM723" s="30">
        <v>0</v>
      </c>
      <c r="BN723" s="30">
        <v>0</v>
      </c>
      <c r="BO723" s="30">
        <v>0</v>
      </c>
      <c r="BP723" s="30">
        <v>0</v>
      </c>
      <c r="BQ723" s="30">
        <v>0</v>
      </c>
      <c r="BR723" s="30">
        <v>0</v>
      </c>
      <c r="BS723" s="30">
        <v>0</v>
      </c>
      <c r="BT723" s="30">
        <v>0</v>
      </c>
      <c r="BU723" s="30">
        <v>0</v>
      </c>
      <c r="BV723" s="30">
        <v>0</v>
      </c>
      <c r="BW723" s="30">
        <v>0</v>
      </c>
      <c r="BX723" s="30">
        <v>0</v>
      </c>
      <c r="BY723" s="30">
        <v>0</v>
      </c>
      <c r="BZ723" s="30">
        <v>0</v>
      </c>
      <c r="CA723" s="30">
        <v>0</v>
      </c>
      <c r="CB723" s="30">
        <v>0</v>
      </c>
      <c r="CC723" s="30">
        <v>0</v>
      </c>
      <c r="CD723" s="30">
        <v>0</v>
      </c>
      <c r="CE723" s="30">
        <v>0</v>
      </c>
      <c r="CF723" s="30">
        <v>0</v>
      </c>
      <c r="CG723" s="30">
        <v>0</v>
      </c>
      <c r="CH723" s="30">
        <v>0</v>
      </c>
      <c r="CI723" s="30">
        <v>0</v>
      </c>
      <c r="CJ723" s="30">
        <v>0</v>
      </c>
      <c r="CK723" s="30">
        <v>0</v>
      </c>
      <c r="CL723" s="30">
        <v>0</v>
      </c>
      <c r="CM723" s="30">
        <v>0</v>
      </c>
      <c r="CN723" s="30">
        <v>0</v>
      </c>
      <c r="CO723" s="30">
        <v>0</v>
      </c>
      <c r="CP723" s="30">
        <v>0</v>
      </c>
      <c r="CQ723" s="30">
        <v>0</v>
      </c>
      <c r="CR723" s="30">
        <v>0</v>
      </c>
      <c r="CS723" s="30">
        <v>0</v>
      </c>
      <c r="CT723" s="30">
        <v>0</v>
      </c>
      <c r="CU723" s="30">
        <v>0</v>
      </c>
      <c r="CV723" s="30">
        <v>0</v>
      </c>
      <c r="CW723" s="30">
        <v>0</v>
      </c>
      <c r="CX723" s="30">
        <v>0</v>
      </c>
      <c r="CY723" s="30">
        <v>0</v>
      </c>
      <c r="CZ723" s="30">
        <v>0</v>
      </c>
      <c r="DA723" s="30">
        <v>0</v>
      </c>
      <c r="DB723" s="30">
        <v>0</v>
      </c>
      <c r="DC723" s="30">
        <v>0</v>
      </c>
      <c r="DD723" s="30">
        <v>0</v>
      </c>
      <c r="DE723" s="30">
        <v>0</v>
      </c>
      <c r="DF723" s="30">
        <v>0</v>
      </c>
      <c r="DG723" s="16">
        <f t="shared" si="59"/>
        <v>214</v>
      </c>
      <c r="DH723" s="16">
        <f t="shared" si="60"/>
        <v>5337</v>
      </c>
      <c r="DI723" s="17">
        <f t="shared" si="61"/>
        <v>24.939252336448597</v>
      </c>
      <c r="DJ723" s="119" t="s">
        <v>4</v>
      </c>
      <c r="DK723" s="119" t="s">
        <v>1530</v>
      </c>
    </row>
    <row r="724" spans="1:115">
      <c r="A724" s="32" t="str">
        <f t="shared" si="57"/>
        <v>Ausgrid--GROUND OUTDOOR / INDOOR CHAMBER MOUNTED ; &gt; = 22 kV &amp; &lt; = 33 kV ;  &gt; 40 MVA</v>
      </c>
      <c r="B724" s="32" t="str">
        <f t="shared" si="58"/>
        <v>Ausgrid</v>
      </c>
      <c r="C724" s="397"/>
      <c r="D724" s="31"/>
      <c r="E724" s="30" t="s">
        <v>233</v>
      </c>
      <c r="F724" s="19">
        <v>0</v>
      </c>
      <c r="G724" s="19">
        <v>0</v>
      </c>
      <c r="H724" s="30">
        <v>0</v>
      </c>
      <c r="I724" s="30">
        <v>0</v>
      </c>
      <c r="J724" s="30">
        <v>0</v>
      </c>
      <c r="K724" s="30">
        <v>0</v>
      </c>
      <c r="L724" s="30">
        <v>0</v>
      </c>
      <c r="M724" s="30">
        <v>0</v>
      </c>
      <c r="N724" s="30">
        <v>0</v>
      </c>
      <c r="O724" s="30">
        <v>0</v>
      </c>
      <c r="P724" s="30">
        <v>0</v>
      </c>
      <c r="Q724" s="30">
        <v>0</v>
      </c>
      <c r="R724" s="30">
        <v>0</v>
      </c>
      <c r="S724" s="30">
        <v>0</v>
      </c>
      <c r="T724" s="30">
        <v>0</v>
      </c>
      <c r="U724" s="30">
        <v>0</v>
      </c>
      <c r="V724" s="30">
        <v>0</v>
      </c>
      <c r="W724" s="30">
        <v>0</v>
      </c>
      <c r="X724" s="30">
        <v>0</v>
      </c>
      <c r="Y724" s="30">
        <v>0</v>
      </c>
      <c r="Z724" s="30">
        <v>0</v>
      </c>
      <c r="AA724" s="30">
        <v>0</v>
      </c>
      <c r="AB724" s="30">
        <v>0</v>
      </c>
      <c r="AC724" s="30">
        <v>0</v>
      </c>
      <c r="AD724" s="30">
        <v>0</v>
      </c>
      <c r="AE724" s="30">
        <v>0</v>
      </c>
      <c r="AF724" s="30">
        <v>0</v>
      </c>
      <c r="AG724" s="30">
        <v>0</v>
      </c>
      <c r="AH724" s="30">
        <v>0</v>
      </c>
      <c r="AI724" s="30">
        <v>0</v>
      </c>
      <c r="AJ724" s="30">
        <v>0</v>
      </c>
      <c r="AK724" s="30">
        <v>0</v>
      </c>
      <c r="AL724" s="30">
        <v>0</v>
      </c>
      <c r="AM724" s="30">
        <v>0</v>
      </c>
      <c r="AN724" s="30">
        <v>0</v>
      </c>
      <c r="AO724" s="30">
        <v>0</v>
      </c>
      <c r="AP724" s="30">
        <v>0</v>
      </c>
      <c r="AQ724" s="30">
        <v>0</v>
      </c>
      <c r="AR724" s="30">
        <v>0</v>
      </c>
      <c r="AS724" s="30">
        <v>0</v>
      </c>
      <c r="AT724" s="30">
        <v>0</v>
      </c>
      <c r="AU724" s="30">
        <v>0</v>
      </c>
      <c r="AV724" s="30">
        <v>0</v>
      </c>
      <c r="AW724" s="30">
        <v>0</v>
      </c>
      <c r="AX724" s="30">
        <v>0</v>
      </c>
      <c r="AY724" s="30">
        <v>0</v>
      </c>
      <c r="AZ724" s="30">
        <v>0</v>
      </c>
      <c r="BA724" s="30">
        <v>0</v>
      </c>
      <c r="BB724" s="30">
        <v>0</v>
      </c>
      <c r="BC724" s="30">
        <v>0</v>
      </c>
      <c r="BD724" s="30">
        <v>0</v>
      </c>
      <c r="BE724" s="30">
        <v>0</v>
      </c>
      <c r="BF724" s="30">
        <v>0</v>
      </c>
      <c r="BG724" s="30">
        <v>0</v>
      </c>
      <c r="BH724" s="30">
        <v>0</v>
      </c>
      <c r="BI724" s="30">
        <v>0</v>
      </c>
      <c r="BJ724" s="30">
        <v>0</v>
      </c>
      <c r="BK724" s="30">
        <v>0</v>
      </c>
      <c r="BL724" s="30">
        <v>0</v>
      </c>
      <c r="BM724" s="30">
        <v>0</v>
      </c>
      <c r="BN724" s="30">
        <v>0</v>
      </c>
      <c r="BO724" s="30">
        <v>0</v>
      </c>
      <c r="BP724" s="30">
        <v>0</v>
      </c>
      <c r="BQ724" s="30">
        <v>0</v>
      </c>
      <c r="BR724" s="30">
        <v>0</v>
      </c>
      <c r="BS724" s="30">
        <v>0</v>
      </c>
      <c r="BT724" s="30">
        <v>0</v>
      </c>
      <c r="BU724" s="30">
        <v>0</v>
      </c>
      <c r="BV724" s="30">
        <v>0</v>
      </c>
      <c r="BW724" s="30">
        <v>0</v>
      </c>
      <c r="BX724" s="30">
        <v>0</v>
      </c>
      <c r="BY724" s="30">
        <v>0</v>
      </c>
      <c r="BZ724" s="30">
        <v>0</v>
      </c>
      <c r="CA724" s="30">
        <v>0</v>
      </c>
      <c r="CB724" s="30">
        <v>0</v>
      </c>
      <c r="CC724" s="30">
        <v>0</v>
      </c>
      <c r="CD724" s="30">
        <v>0</v>
      </c>
      <c r="CE724" s="30">
        <v>0</v>
      </c>
      <c r="CF724" s="30">
        <v>0</v>
      </c>
      <c r="CG724" s="30">
        <v>0</v>
      </c>
      <c r="CH724" s="30">
        <v>0</v>
      </c>
      <c r="CI724" s="30">
        <v>0</v>
      </c>
      <c r="CJ724" s="30">
        <v>0</v>
      </c>
      <c r="CK724" s="30">
        <v>0</v>
      </c>
      <c r="CL724" s="30">
        <v>0</v>
      </c>
      <c r="CM724" s="30">
        <v>0</v>
      </c>
      <c r="CN724" s="30">
        <v>0</v>
      </c>
      <c r="CO724" s="30">
        <v>0</v>
      </c>
      <c r="CP724" s="30">
        <v>0</v>
      </c>
      <c r="CQ724" s="30">
        <v>0</v>
      </c>
      <c r="CR724" s="30">
        <v>0</v>
      </c>
      <c r="CS724" s="30">
        <v>0</v>
      </c>
      <c r="CT724" s="30">
        <v>0</v>
      </c>
      <c r="CU724" s="30">
        <v>0</v>
      </c>
      <c r="CV724" s="30">
        <v>0</v>
      </c>
      <c r="CW724" s="30">
        <v>0</v>
      </c>
      <c r="CX724" s="30">
        <v>0</v>
      </c>
      <c r="CY724" s="30">
        <v>0</v>
      </c>
      <c r="CZ724" s="30">
        <v>0</v>
      </c>
      <c r="DA724" s="30">
        <v>0</v>
      </c>
      <c r="DB724" s="30">
        <v>0</v>
      </c>
      <c r="DC724" s="30">
        <v>0</v>
      </c>
      <c r="DD724" s="30">
        <v>0</v>
      </c>
      <c r="DE724" s="30">
        <v>0</v>
      </c>
      <c r="DF724" s="30">
        <v>0</v>
      </c>
      <c r="DG724" s="16">
        <f t="shared" si="59"/>
        <v>0</v>
      </c>
      <c r="DH724" s="16">
        <f t="shared" si="60"/>
        <v>0</v>
      </c>
      <c r="DI724" s="17" t="str">
        <f t="shared" si="61"/>
        <v/>
      </c>
      <c r="DJ724" s="119" t="s">
        <v>4</v>
      </c>
      <c r="DK724" s="119" t="s">
        <v>1530</v>
      </c>
    </row>
    <row r="725" spans="1:115">
      <c r="A725" s="32" t="str">
        <f t="shared" si="57"/>
        <v>Ausgrid--GROUND OUTDOOR / INDOOR CHAMBER MOUNTED ; &gt; 33 kV &amp; &lt; = 66 kV ;  &lt; = 15 MVA</v>
      </c>
      <c r="B725" s="32" t="str">
        <f t="shared" si="58"/>
        <v>Ausgrid</v>
      </c>
      <c r="C725" s="397"/>
      <c r="D725" s="31"/>
      <c r="E725" s="30" t="s">
        <v>234</v>
      </c>
      <c r="F725" s="19">
        <v>45.66</v>
      </c>
      <c r="G725" s="19">
        <v>10.51</v>
      </c>
      <c r="H725" s="30">
        <v>0</v>
      </c>
      <c r="I725" s="30">
        <v>0</v>
      </c>
      <c r="J725" s="30">
        <v>0</v>
      </c>
      <c r="K725" s="30">
        <v>0</v>
      </c>
      <c r="L725" s="30">
        <v>0</v>
      </c>
      <c r="M725" s="30">
        <v>3</v>
      </c>
      <c r="N725" s="30">
        <v>0</v>
      </c>
      <c r="O725" s="30">
        <v>0</v>
      </c>
      <c r="P725" s="30">
        <v>0</v>
      </c>
      <c r="Q725" s="30">
        <v>0</v>
      </c>
      <c r="R725" s="30">
        <v>0</v>
      </c>
      <c r="S725" s="30">
        <v>0</v>
      </c>
      <c r="T725" s="30">
        <v>0</v>
      </c>
      <c r="U725" s="30">
        <v>0</v>
      </c>
      <c r="V725" s="30">
        <v>0</v>
      </c>
      <c r="W725" s="30">
        <v>0</v>
      </c>
      <c r="X725" s="30">
        <v>0</v>
      </c>
      <c r="Y725" s="30">
        <v>0</v>
      </c>
      <c r="Z725" s="30">
        <v>0</v>
      </c>
      <c r="AA725" s="30">
        <v>0</v>
      </c>
      <c r="AB725" s="30">
        <v>0</v>
      </c>
      <c r="AC725" s="30">
        <v>0</v>
      </c>
      <c r="AD725" s="30">
        <v>0</v>
      </c>
      <c r="AE725" s="30">
        <v>0</v>
      </c>
      <c r="AF725" s="30">
        <v>0</v>
      </c>
      <c r="AG725" s="30">
        <v>0</v>
      </c>
      <c r="AH725" s="30">
        <v>0</v>
      </c>
      <c r="AI725" s="30">
        <v>0</v>
      </c>
      <c r="AJ725" s="30">
        <v>0</v>
      </c>
      <c r="AK725" s="30">
        <v>0</v>
      </c>
      <c r="AL725" s="30">
        <v>0</v>
      </c>
      <c r="AM725" s="30">
        <v>0</v>
      </c>
      <c r="AN725" s="30">
        <v>0</v>
      </c>
      <c r="AO725" s="30">
        <v>0</v>
      </c>
      <c r="AP725" s="30">
        <v>0</v>
      </c>
      <c r="AQ725" s="30">
        <v>0</v>
      </c>
      <c r="AR725" s="30">
        <v>2</v>
      </c>
      <c r="AS725" s="30">
        <v>0</v>
      </c>
      <c r="AT725" s="30">
        <v>0</v>
      </c>
      <c r="AU725" s="30">
        <v>0</v>
      </c>
      <c r="AV725" s="30">
        <v>0</v>
      </c>
      <c r="AW725" s="30">
        <v>1</v>
      </c>
      <c r="AX725" s="30">
        <v>2</v>
      </c>
      <c r="AY725" s="30">
        <v>0</v>
      </c>
      <c r="AZ725" s="30">
        <v>0</v>
      </c>
      <c r="BA725" s="30">
        <v>0</v>
      </c>
      <c r="BB725" s="30">
        <v>2</v>
      </c>
      <c r="BC725" s="30">
        <v>0</v>
      </c>
      <c r="BD725" s="30">
        <v>0</v>
      </c>
      <c r="BE725" s="30">
        <v>1</v>
      </c>
      <c r="BF725" s="30">
        <v>0</v>
      </c>
      <c r="BG725" s="30">
        <v>0</v>
      </c>
      <c r="BH725" s="30">
        <v>1</v>
      </c>
      <c r="BI725" s="30">
        <v>0</v>
      </c>
      <c r="BJ725" s="30">
        <v>0</v>
      </c>
      <c r="BK725" s="30">
        <v>0</v>
      </c>
      <c r="BL725" s="30">
        <v>1</v>
      </c>
      <c r="BM725" s="30">
        <v>0</v>
      </c>
      <c r="BN725" s="30">
        <v>0</v>
      </c>
      <c r="BO725" s="30">
        <v>0</v>
      </c>
      <c r="BP725" s="30">
        <v>0</v>
      </c>
      <c r="BQ725" s="30">
        <v>0</v>
      </c>
      <c r="BR725" s="30">
        <v>0</v>
      </c>
      <c r="BS725" s="30">
        <v>0</v>
      </c>
      <c r="BT725" s="30">
        <v>0</v>
      </c>
      <c r="BU725" s="30">
        <v>0</v>
      </c>
      <c r="BV725" s="30">
        <v>0</v>
      </c>
      <c r="BW725" s="30">
        <v>0</v>
      </c>
      <c r="BX725" s="30">
        <v>0</v>
      </c>
      <c r="BY725" s="30">
        <v>0</v>
      </c>
      <c r="BZ725" s="30">
        <v>0</v>
      </c>
      <c r="CA725" s="30">
        <v>0</v>
      </c>
      <c r="CB725" s="30">
        <v>0</v>
      </c>
      <c r="CC725" s="30">
        <v>0</v>
      </c>
      <c r="CD725" s="30">
        <v>0</v>
      </c>
      <c r="CE725" s="30">
        <v>0</v>
      </c>
      <c r="CF725" s="30">
        <v>0</v>
      </c>
      <c r="CG725" s="30">
        <v>0</v>
      </c>
      <c r="CH725" s="30">
        <v>0</v>
      </c>
      <c r="CI725" s="30">
        <v>0</v>
      </c>
      <c r="CJ725" s="30">
        <v>0</v>
      </c>
      <c r="CK725" s="30">
        <v>0</v>
      </c>
      <c r="CL725" s="30">
        <v>0</v>
      </c>
      <c r="CM725" s="30">
        <v>0</v>
      </c>
      <c r="CN725" s="30">
        <v>0</v>
      </c>
      <c r="CO725" s="30">
        <v>0</v>
      </c>
      <c r="CP725" s="30">
        <v>0</v>
      </c>
      <c r="CQ725" s="30">
        <v>0</v>
      </c>
      <c r="CR725" s="30">
        <v>0</v>
      </c>
      <c r="CS725" s="30">
        <v>0</v>
      </c>
      <c r="CT725" s="30">
        <v>0</v>
      </c>
      <c r="CU725" s="30">
        <v>0</v>
      </c>
      <c r="CV725" s="30">
        <v>0</v>
      </c>
      <c r="CW725" s="30">
        <v>0</v>
      </c>
      <c r="CX725" s="30">
        <v>0</v>
      </c>
      <c r="CY725" s="30">
        <v>0</v>
      </c>
      <c r="CZ725" s="30">
        <v>0</v>
      </c>
      <c r="DA725" s="30">
        <v>0</v>
      </c>
      <c r="DB725" s="30">
        <v>0</v>
      </c>
      <c r="DC725" s="30">
        <v>0</v>
      </c>
      <c r="DD725" s="30">
        <v>0</v>
      </c>
      <c r="DE725" s="30">
        <v>0</v>
      </c>
      <c r="DF725" s="30">
        <v>0</v>
      </c>
      <c r="DG725" s="16">
        <f t="shared" si="59"/>
        <v>13</v>
      </c>
      <c r="DH725" s="16">
        <f t="shared" si="60"/>
        <v>474</v>
      </c>
      <c r="DI725" s="17">
        <f t="shared" si="61"/>
        <v>36.46153846153846</v>
      </c>
      <c r="DJ725" s="119" t="s">
        <v>4</v>
      </c>
      <c r="DK725" s="119" t="s">
        <v>1530</v>
      </c>
    </row>
    <row r="726" spans="1:115">
      <c r="A726" s="32" t="str">
        <f t="shared" si="57"/>
        <v>Ausgrid--GROUND OUTDOOR / INDOOR CHAMBER MOUNTED ; &gt; 33 kV &amp; &lt; = 66 kV ;  &gt; 15 MVA AND &lt; = 40 MVA</v>
      </c>
      <c r="B726" s="32" t="str">
        <f t="shared" si="58"/>
        <v>Ausgrid</v>
      </c>
      <c r="C726" s="397"/>
      <c r="D726" s="31"/>
      <c r="E726" s="30" t="s">
        <v>235</v>
      </c>
      <c r="F726" s="19">
        <v>45.66</v>
      </c>
      <c r="G726" s="19">
        <v>10.51</v>
      </c>
      <c r="H726" s="30">
        <v>4</v>
      </c>
      <c r="I726" s="30">
        <v>0</v>
      </c>
      <c r="J726" s="30">
        <v>4</v>
      </c>
      <c r="K726" s="30">
        <v>0</v>
      </c>
      <c r="L726" s="30">
        <v>2</v>
      </c>
      <c r="M726" s="30">
        <v>5</v>
      </c>
      <c r="N726" s="30">
        <v>1</v>
      </c>
      <c r="O726" s="30">
        <v>2</v>
      </c>
      <c r="P726" s="30">
        <v>4</v>
      </c>
      <c r="Q726" s="30">
        <v>1</v>
      </c>
      <c r="R726" s="30">
        <v>0</v>
      </c>
      <c r="S726" s="30">
        <v>0</v>
      </c>
      <c r="T726" s="30">
        <v>0</v>
      </c>
      <c r="U726" s="30">
        <v>0</v>
      </c>
      <c r="V726" s="30">
        <v>0</v>
      </c>
      <c r="W726" s="30">
        <v>0</v>
      </c>
      <c r="X726" s="30">
        <v>0</v>
      </c>
      <c r="Y726" s="30">
        <v>0</v>
      </c>
      <c r="Z726" s="30">
        <v>0</v>
      </c>
      <c r="AA726" s="30">
        <v>0</v>
      </c>
      <c r="AB726" s="30">
        <v>0</v>
      </c>
      <c r="AC726" s="30">
        <v>0</v>
      </c>
      <c r="AD726" s="30">
        <v>0</v>
      </c>
      <c r="AE726" s="30">
        <v>0</v>
      </c>
      <c r="AF726" s="30">
        <v>0</v>
      </c>
      <c r="AG726" s="30">
        <v>0</v>
      </c>
      <c r="AH726" s="30">
        <v>0</v>
      </c>
      <c r="AI726" s="30">
        <v>0</v>
      </c>
      <c r="AJ726" s="30">
        <v>0</v>
      </c>
      <c r="AK726" s="30">
        <v>3</v>
      </c>
      <c r="AL726" s="30">
        <v>2</v>
      </c>
      <c r="AM726" s="30">
        <v>0</v>
      </c>
      <c r="AN726" s="30">
        <v>0</v>
      </c>
      <c r="AO726" s="30">
        <v>1</v>
      </c>
      <c r="AP726" s="30">
        <v>0</v>
      </c>
      <c r="AQ726" s="30">
        <v>0</v>
      </c>
      <c r="AR726" s="30">
        <v>1</v>
      </c>
      <c r="AS726" s="30">
        <v>2</v>
      </c>
      <c r="AT726" s="30">
        <v>0</v>
      </c>
      <c r="AU726" s="30">
        <v>1</v>
      </c>
      <c r="AV726" s="30">
        <v>0</v>
      </c>
      <c r="AW726" s="30">
        <v>0</v>
      </c>
      <c r="AX726" s="30">
        <v>0</v>
      </c>
      <c r="AY726" s="30">
        <v>2</v>
      </c>
      <c r="AZ726" s="30">
        <v>1</v>
      </c>
      <c r="BA726" s="30">
        <v>0</v>
      </c>
      <c r="BB726" s="30">
        <v>0</v>
      </c>
      <c r="BC726" s="30">
        <v>1</v>
      </c>
      <c r="BD726" s="30">
        <v>0</v>
      </c>
      <c r="BE726" s="30">
        <v>0</v>
      </c>
      <c r="BF726" s="30">
        <v>1</v>
      </c>
      <c r="BG726" s="30">
        <v>0</v>
      </c>
      <c r="BH726" s="30">
        <v>0</v>
      </c>
      <c r="BI726" s="30">
        <v>0</v>
      </c>
      <c r="BJ726" s="30">
        <v>0</v>
      </c>
      <c r="BK726" s="30">
        <v>0</v>
      </c>
      <c r="BL726" s="30">
        <v>0</v>
      </c>
      <c r="BM726" s="30">
        <v>0</v>
      </c>
      <c r="BN726" s="30">
        <v>0</v>
      </c>
      <c r="BO726" s="30">
        <v>0</v>
      </c>
      <c r="BP726" s="30">
        <v>0</v>
      </c>
      <c r="BQ726" s="30">
        <v>0</v>
      </c>
      <c r="BR726" s="30">
        <v>0</v>
      </c>
      <c r="BS726" s="30">
        <v>0</v>
      </c>
      <c r="BT726" s="30">
        <v>0</v>
      </c>
      <c r="BU726" s="30">
        <v>0</v>
      </c>
      <c r="BV726" s="30">
        <v>0</v>
      </c>
      <c r="BW726" s="30">
        <v>0</v>
      </c>
      <c r="BX726" s="30">
        <v>0</v>
      </c>
      <c r="BY726" s="30">
        <v>0</v>
      </c>
      <c r="BZ726" s="30">
        <v>0</v>
      </c>
      <c r="CA726" s="30">
        <v>0</v>
      </c>
      <c r="CB726" s="30">
        <v>0</v>
      </c>
      <c r="CC726" s="30">
        <v>0</v>
      </c>
      <c r="CD726" s="30">
        <v>0</v>
      </c>
      <c r="CE726" s="30">
        <v>0</v>
      </c>
      <c r="CF726" s="30">
        <v>0</v>
      </c>
      <c r="CG726" s="30">
        <v>0</v>
      </c>
      <c r="CH726" s="30">
        <v>0</v>
      </c>
      <c r="CI726" s="30">
        <v>0</v>
      </c>
      <c r="CJ726" s="30">
        <v>0</v>
      </c>
      <c r="CK726" s="30">
        <v>0</v>
      </c>
      <c r="CL726" s="30">
        <v>0</v>
      </c>
      <c r="CM726" s="30">
        <v>0</v>
      </c>
      <c r="CN726" s="30">
        <v>0</v>
      </c>
      <c r="CO726" s="30">
        <v>0</v>
      </c>
      <c r="CP726" s="30">
        <v>0</v>
      </c>
      <c r="CQ726" s="30">
        <v>0</v>
      </c>
      <c r="CR726" s="30">
        <v>0</v>
      </c>
      <c r="CS726" s="30">
        <v>0</v>
      </c>
      <c r="CT726" s="30">
        <v>0</v>
      </c>
      <c r="CU726" s="30">
        <v>0</v>
      </c>
      <c r="CV726" s="30">
        <v>0</v>
      </c>
      <c r="CW726" s="30">
        <v>0</v>
      </c>
      <c r="CX726" s="30">
        <v>0</v>
      </c>
      <c r="CY726" s="30">
        <v>0</v>
      </c>
      <c r="CZ726" s="30">
        <v>0</v>
      </c>
      <c r="DA726" s="30">
        <v>0</v>
      </c>
      <c r="DB726" s="30">
        <v>0</v>
      </c>
      <c r="DC726" s="30">
        <v>0</v>
      </c>
      <c r="DD726" s="30">
        <v>0</v>
      </c>
      <c r="DE726" s="30">
        <v>0</v>
      </c>
      <c r="DF726" s="30">
        <v>0</v>
      </c>
      <c r="DG726" s="16">
        <f t="shared" si="59"/>
        <v>38</v>
      </c>
      <c r="DH726" s="16">
        <f t="shared" si="60"/>
        <v>696</v>
      </c>
      <c r="DI726" s="17">
        <f t="shared" si="61"/>
        <v>18.315789473684209</v>
      </c>
      <c r="DJ726" s="119" t="s">
        <v>4</v>
      </c>
      <c r="DK726" s="119" t="s">
        <v>1530</v>
      </c>
    </row>
    <row r="727" spans="1:115">
      <c r="A727" s="32" t="str">
        <f t="shared" si="57"/>
        <v>Ausgrid--GROUND OUTDOOR / INDOOR CHAMBER MOUNTED ; &gt; 33 kV &amp; &lt; = 66 kV ;  &gt; 40 MVA</v>
      </c>
      <c r="B727" s="32" t="str">
        <f t="shared" si="58"/>
        <v>Ausgrid</v>
      </c>
      <c r="C727" s="397"/>
      <c r="D727" s="31"/>
      <c r="E727" s="30" t="s">
        <v>236</v>
      </c>
      <c r="F727" s="19">
        <v>45.66</v>
      </c>
      <c r="G727" s="19">
        <v>10.51</v>
      </c>
      <c r="H727" s="30">
        <v>0</v>
      </c>
      <c r="I727" s="30">
        <v>0</v>
      </c>
      <c r="J727" s="30">
        <v>0</v>
      </c>
      <c r="K727" s="30">
        <v>0</v>
      </c>
      <c r="L727" s="30">
        <v>0</v>
      </c>
      <c r="M727" s="30">
        <v>0</v>
      </c>
      <c r="N727" s="30">
        <v>0</v>
      </c>
      <c r="O727" s="30">
        <v>0</v>
      </c>
      <c r="P727" s="30">
        <v>0</v>
      </c>
      <c r="Q727" s="30">
        <v>0</v>
      </c>
      <c r="R727" s="30">
        <v>0</v>
      </c>
      <c r="S727" s="30">
        <v>0</v>
      </c>
      <c r="T727" s="30">
        <v>0</v>
      </c>
      <c r="U727" s="30">
        <v>0</v>
      </c>
      <c r="V727" s="30">
        <v>0</v>
      </c>
      <c r="W727" s="30">
        <v>0</v>
      </c>
      <c r="X727" s="30">
        <v>0</v>
      </c>
      <c r="Y727" s="30">
        <v>0</v>
      </c>
      <c r="Z727" s="30">
        <v>0</v>
      </c>
      <c r="AA727" s="30">
        <v>0</v>
      </c>
      <c r="AB727" s="30">
        <v>0</v>
      </c>
      <c r="AC727" s="30">
        <v>0</v>
      </c>
      <c r="AD727" s="30">
        <v>0</v>
      </c>
      <c r="AE727" s="30">
        <v>0</v>
      </c>
      <c r="AF727" s="30">
        <v>0</v>
      </c>
      <c r="AG727" s="30">
        <v>0</v>
      </c>
      <c r="AH727" s="30">
        <v>0</v>
      </c>
      <c r="AI727" s="30">
        <v>0</v>
      </c>
      <c r="AJ727" s="30">
        <v>0</v>
      </c>
      <c r="AK727" s="30">
        <v>0</v>
      </c>
      <c r="AL727" s="30">
        <v>0</v>
      </c>
      <c r="AM727" s="30">
        <v>0</v>
      </c>
      <c r="AN727" s="30">
        <v>2</v>
      </c>
      <c r="AO727" s="30">
        <v>0</v>
      </c>
      <c r="AP727" s="30">
        <v>0</v>
      </c>
      <c r="AQ727" s="30">
        <v>0</v>
      </c>
      <c r="AR727" s="30">
        <v>0</v>
      </c>
      <c r="AS727" s="30">
        <v>0</v>
      </c>
      <c r="AT727" s="30">
        <v>0</v>
      </c>
      <c r="AU727" s="30">
        <v>0</v>
      </c>
      <c r="AV727" s="30">
        <v>0</v>
      </c>
      <c r="AW727" s="30">
        <v>0</v>
      </c>
      <c r="AX727" s="30">
        <v>0</v>
      </c>
      <c r="AY727" s="30">
        <v>0</v>
      </c>
      <c r="AZ727" s="30">
        <v>0</v>
      </c>
      <c r="BA727" s="30">
        <v>0</v>
      </c>
      <c r="BB727" s="30">
        <v>0</v>
      </c>
      <c r="BC727" s="30">
        <v>0</v>
      </c>
      <c r="BD727" s="30">
        <v>0</v>
      </c>
      <c r="BE727" s="30">
        <v>0</v>
      </c>
      <c r="BF727" s="30">
        <v>0</v>
      </c>
      <c r="BG727" s="30">
        <v>0</v>
      </c>
      <c r="BH727" s="30">
        <v>0</v>
      </c>
      <c r="BI727" s="30">
        <v>0</v>
      </c>
      <c r="BJ727" s="30">
        <v>0</v>
      </c>
      <c r="BK727" s="30">
        <v>0</v>
      </c>
      <c r="BL727" s="30">
        <v>0</v>
      </c>
      <c r="BM727" s="30">
        <v>0</v>
      </c>
      <c r="BN727" s="30">
        <v>0</v>
      </c>
      <c r="BO727" s="30">
        <v>0</v>
      </c>
      <c r="BP727" s="30">
        <v>0</v>
      </c>
      <c r="BQ727" s="30">
        <v>0</v>
      </c>
      <c r="BR727" s="30">
        <v>0</v>
      </c>
      <c r="BS727" s="30">
        <v>0</v>
      </c>
      <c r="BT727" s="30">
        <v>0</v>
      </c>
      <c r="BU727" s="30">
        <v>0</v>
      </c>
      <c r="BV727" s="30">
        <v>0</v>
      </c>
      <c r="BW727" s="30">
        <v>0</v>
      </c>
      <c r="BX727" s="30">
        <v>0</v>
      </c>
      <c r="BY727" s="30">
        <v>0</v>
      </c>
      <c r="BZ727" s="30">
        <v>0</v>
      </c>
      <c r="CA727" s="30">
        <v>0</v>
      </c>
      <c r="CB727" s="30">
        <v>0</v>
      </c>
      <c r="CC727" s="30">
        <v>0</v>
      </c>
      <c r="CD727" s="30">
        <v>0</v>
      </c>
      <c r="CE727" s="30">
        <v>0</v>
      </c>
      <c r="CF727" s="30">
        <v>0</v>
      </c>
      <c r="CG727" s="30">
        <v>0</v>
      </c>
      <c r="CH727" s="30">
        <v>0</v>
      </c>
      <c r="CI727" s="30">
        <v>0</v>
      </c>
      <c r="CJ727" s="30">
        <v>0</v>
      </c>
      <c r="CK727" s="30">
        <v>0</v>
      </c>
      <c r="CL727" s="30">
        <v>0</v>
      </c>
      <c r="CM727" s="30">
        <v>0</v>
      </c>
      <c r="CN727" s="30">
        <v>0</v>
      </c>
      <c r="CO727" s="30">
        <v>0</v>
      </c>
      <c r="CP727" s="30">
        <v>0</v>
      </c>
      <c r="CQ727" s="30">
        <v>0</v>
      </c>
      <c r="CR727" s="30">
        <v>0</v>
      </c>
      <c r="CS727" s="30">
        <v>0</v>
      </c>
      <c r="CT727" s="30">
        <v>0</v>
      </c>
      <c r="CU727" s="30">
        <v>0</v>
      </c>
      <c r="CV727" s="30">
        <v>0</v>
      </c>
      <c r="CW727" s="30">
        <v>0</v>
      </c>
      <c r="CX727" s="30">
        <v>0</v>
      </c>
      <c r="CY727" s="30">
        <v>0</v>
      </c>
      <c r="CZ727" s="30">
        <v>0</v>
      </c>
      <c r="DA727" s="30">
        <v>0</v>
      </c>
      <c r="DB727" s="30">
        <v>0</v>
      </c>
      <c r="DC727" s="30">
        <v>0</v>
      </c>
      <c r="DD727" s="30">
        <v>0</v>
      </c>
      <c r="DE727" s="30">
        <v>0</v>
      </c>
      <c r="DF727" s="30">
        <v>0</v>
      </c>
      <c r="DG727" s="16">
        <f t="shared" si="59"/>
        <v>2</v>
      </c>
      <c r="DH727" s="16">
        <f t="shared" si="60"/>
        <v>66</v>
      </c>
      <c r="DI727" s="17">
        <f t="shared" si="61"/>
        <v>33</v>
      </c>
      <c r="DJ727" s="119" t="s">
        <v>4</v>
      </c>
      <c r="DK727" s="119" t="s">
        <v>1530</v>
      </c>
    </row>
    <row r="728" spans="1:115">
      <c r="A728" s="32" t="str">
        <f t="shared" ref="A728:A791" si="62">B728&amp;"-"&amp;D728&amp;"-"&amp;E728</f>
        <v>Ausgrid--GROUND OUTDOOR / INDOOR CHAMBER MOUNTED ; &gt; 66 kV &amp; &lt; = 132 kV ;  &lt; = 100 MVA</v>
      </c>
      <c r="B728" s="32" t="str">
        <f t="shared" ref="B728:B791" si="63">IF(C728&gt;0,C728,B727)</f>
        <v>Ausgrid</v>
      </c>
      <c r="C728" s="397"/>
      <c r="D728" s="31"/>
      <c r="E728" s="30" t="s">
        <v>237</v>
      </c>
      <c r="F728" s="19">
        <v>45.66</v>
      </c>
      <c r="G728" s="19">
        <v>10.51</v>
      </c>
      <c r="H728" s="30">
        <v>6</v>
      </c>
      <c r="I728" s="30">
        <v>15</v>
      </c>
      <c r="J728" s="30">
        <v>7</v>
      </c>
      <c r="K728" s="30">
        <v>20</v>
      </c>
      <c r="L728" s="30">
        <v>7</v>
      </c>
      <c r="M728" s="30">
        <v>10</v>
      </c>
      <c r="N728" s="30">
        <v>7</v>
      </c>
      <c r="O728" s="30">
        <v>8</v>
      </c>
      <c r="P728" s="30">
        <v>8</v>
      </c>
      <c r="Q728" s="30">
        <v>6</v>
      </c>
      <c r="R728" s="30">
        <v>4</v>
      </c>
      <c r="S728" s="30">
        <v>6</v>
      </c>
      <c r="T728" s="30">
        <v>3</v>
      </c>
      <c r="U728" s="30">
        <v>1</v>
      </c>
      <c r="V728" s="30">
        <v>4</v>
      </c>
      <c r="W728" s="30">
        <v>4</v>
      </c>
      <c r="X728" s="30">
        <v>1</v>
      </c>
      <c r="Y728" s="30">
        <v>0</v>
      </c>
      <c r="Z728" s="30">
        <v>0</v>
      </c>
      <c r="AA728" s="30">
        <v>4</v>
      </c>
      <c r="AB728" s="30">
        <v>3</v>
      </c>
      <c r="AC728" s="30">
        <v>0</v>
      </c>
      <c r="AD728" s="30">
        <v>0</v>
      </c>
      <c r="AE728" s="30">
        <v>1</v>
      </c>
      <c r="AF728" s="30">
        <v>0</v>
      </c>
      <c r="AG728" s="30">
        <v>0</v>
      </c>
      <c r="AH728" s="30">
        <v>2</v>
      </c>
      <c r="AI728" s="30">
        <v>0</v>
      </c>
      <c r="AJ728" s="30">
        <v>0</v>
      </c>
      <c r="AK728" s="30">
        <v>3</v>
      </c>
      <c r="AL728" s="30">
        <v>2</v>
      </c>
      <c r="AM728" s="30">
        <v>2</v>
      </c>
      <c r="AN728" s="30">
        <v>3</v>
      </c>
      <c r="AO728" s="30">
        <v>4</v>
      </c>
      <c r="AP728" s="30">
        <v>4</v>
      </c>
      <c r="AQ728" s="30">
        <v>2</v>
      </c>
      <c r="AR728" s="30">
        <v>1</v>
      </c>
      <c r="AS728" s="30">
        <v>0</v>
      </c>
      <c r="AT728" s="30">
        <v>3</v>
      </c>
      <c r="AU728" s="30">
        <v>3</v>
      </c>
      <c r="AV728" s="30">
        <v>7</v>
      </c>
      <c r="AW728" s="30">
        <v>4</v>
      </c>
      <c r="AX728" s="30">
        <v>1</v>
      </c>
      <c r="AY728" s="30">
        <v>2</v>
      </c>
      <c r="AZ728" s="30">
        <v>2</v>
      </c>
      <c r="BA728" s="30">
        <v>1</v>
      </c>
      <c r="BB728" s="30">
        <v>0</v>
      </c>
      <c r="BC728" s="30">
        <v>2</v>
      </c>
      <c r="BD728" s="30">
        <v>0</v>
      </c>
      <c r="BE728" s="30">
        <v>2</v>
      </c>
      <c r="BF728" s="30">
        <v>4</v>
      </c>
      <c r="BG728" s="30">
        <v>2</v>
      </c>
      <c r="BH728" s="30">
        <v>4</v>
      </c>
      <c r="BI728" s="30">
        <v>2</v>
      </c>
      <c r="BJ728" s="30">
        <v>0</v>
      </c>
      <c r="BK728" s="30">
        <v>0</v>
      </c>
      <c r="BL728" s="30">
        <v>3</v>
      </c>
      <c r="BM728" s="30">
        <v>1</v>
      </c>
      <c r="BN728" s="30">
        <v>0</v>
      </c>
      <c r="BO728" s="30">
        <v>1</v>
      </c>
      <c r="BP728" s="30">
        <v>0</v>
      </c>
      <c r="BQ728" s="30">
        <v>2</v>
      </c>
      <c r="BR728" s="30">
        <v>0</v>
      </c>
      <c r="BS728" s="30">
        <v>0</v>
      </c>
      <c r="BT728" s="30">
        <v>0</v>
      </c>
      <c r="BU728" s="30">
        <v>0</v>
      </c>
      <c r="BV728" s="30">
        <v>0</v>
      </c>
      <c r="BW728" s="30">
        <v>0</v>
      </c>
      <c r="BX728" s="30">
        <v>0</v>
      </c>
      <c r="BY728" s="30">
        <v>0</v>
      </c>
      <c r="BZ728" s="30">
        <v>0</v>
      </c>
      <c r="CA728" s="30">
        <v>0</v>
      </c>
      <c r="CB728" s="30">
        <v>0</v>
      </c>
      <c r="CC728" s="30">
        <v>0</v>
      </c>
      <c r="CD728" s="30">
        <v>0</v>
      </c>
      <c r="CE728" s="30">
        <v>0</v>
      </c>
      <c r="CF728" s="30">
        <v>0</v>
      </c>
      <c r="CG728" s="30">
        <v>0</v>
      </c>
      <c r="CH728" s="30">
        <v>0</v>
      </c>
      <c r="CI728" s="30">
        <v>0</v>
      </c>
      <c r="CJ728" s="30">
        <v>0</v>
      </c>
      <c r="CK728" s="30">
        <v>0</v>
      </c>
      <c r="CL728" s="30">
        <v>0</v>
      </c>
      <c r="CM728" s="30">
        <v>0</v>
      </c>
      <c r="CN728" s="30">
        <v>0</v>
      </c>
      <c r="CO728" s="30">
        <v>0</v>
      </c>
      <c r="CP728" s="30">
        <v>0</v>
      </c>
      <c r="CQ728" s="30">
        <v>0</v>
      </c>
      <c r="CR728" s="30">
        <v>0</v>
      </c>
      <c r="CS728" s="30">
        <v>0</v>
      </c>
      <c r="CT728" s="30">
        <v>0</v>
      </c>
      <c r="CU728" s="30">
        <v>0</v>
      </c>
      <c r="CV728" s="30">
        <v>0</v>
      </c>
      <c r="CW728" s="30">
        <v>0</v>
      </c>
      <c r="CX728" s="30">
        <v>0</v>
      </c>
      <c r="CY728" s="30">
        <v>0</v>
      </c>
      <c r="CZ728" s="30">
        <v>0</v>
      </c>
      <c r="DA728" s="30">
        <v>0</v>
      </c>
      <c r="DB728" s="30">
        <v>0</v>
      </c>
      <c r="DC728" s="30">
        <v>0</v>
      </c>
      <c r="DD728" s="30">
        <v>0</v>
      </c>
      <c r="DE728" s="30">
        <v>0</v>
      </c>
      <c r="DF728" s="30">
        <v>0</v>
      </c>
      <c r="DG728" s="16">
        <f t="shared" si="59"/>
        <v>194</v>
      </c>
      <c r="DH728" s="16">
        <f t="shared" si="60"/>
        <v>3904</v>
      </c>
      <c r="DI728" s="17">
        <f t="shared" si="61"/>
        <v>20.123711340206185</v>
      </c>
      <c r="DJ728" s="119" t="s">
        <v>4</v>
      </c>
      <c r="DK728" s="119" t="s">
        <v>1530</v>
      </c>
    </row>
    <row r="729" spans="1:115">
      <c r="A729" s="32" t="str">
        <f t="shared" si="62"/>
        <v>Ausgrid--GROUND OUTDOOR / INDOOR CHAMBER MOUNTED ; &gt; 66 kV &amp; &lt; = 132 kV ;  &gt; 100 MVA</v>
      </c>
      <c r="B729" s="32" t="str">
        <f t="shared" si="63"/>
        <v>Ausgrid</v>
      </c>
      <c r="C729" s="397"/>
      <c r="D729" s="31"/>
      <c r="E729" s="30" t="s">
        <v>238</v>
      </c>
      <c r="F729" s="19">
        <v>45.66</v>
      </c>
      <c r="G729" s="19">
        <v>10.51</v>
      </c>
      <c r="H729" s="30">
        <v>0</v>
      </c>
      <c r="I729" s="30">
        <v>0</v>
      </c>
      <c r="J729" s="30">
        <v>2</v>
      </c>
      <c r="K729" s="30">
        <v>6</v>
      </c>
      <c r="L729" s="30">
        <v>6</v>
      </c>
      <c r="M729" s="30">
        <v>0</v>
      </c>
      <c r="N729" s="30">
        <v>1</v>
      </c>
      <c r="O729" s="30">
        <v>2</v>
      </c>
      <c r="P729" s="30">
        <v>2</v>
      </c>
      <c r="Q729" s="30">
        <v>0</v>
      </c>
      <c r="R729" s="30">
        <v>0</v>
      </c>
      <c r="S729" s="30">
        <v>0</v>
      </c>
      <c r="T729" s="30">
        <v>1</v>
      </c>
      <c r="U729" s="30">
        <v>1</v>
      </c>
      <c r="V729" s="30">
        <v>1</v>
      </c>
      <c r="W729" s="30">
        <v>0</v>
      </c>
      <c r="X729" s="30">
        <v>0</v>
      </c>
      <c r="Y729" s="30">
        <v>0</v>
      </c>
      <c r="Z729" s="30">
        <v>0</v>
      </c>
      <c r="AA729" s="30">
        <v>0</v>
      </c>
      <c r="AB729" s="30">
        <v>0</v>
      </c>
      <c r="AC729" s="30">
        <v>0</v>
      </c>
      <c r="AD729" s="30">
        <v>2</v>
      </c>
      <c r="AE729" s="30">
        <v>0</v>
      </c>
      <c r="AF729" s="30">
        <v>0</v>
      </c>
      <c r="AG729" s="30">
        <v>0</v>
      </c>
      <c r="AH729" s="30">
        <v>0</v>
      </c>
      <c r="AI729" s="30">
        <v>0</v>
      </c>
      <c r="AJ729" s="30">
        <v>0</v>
      </c>
      <c r="AK729" s="30">
        <v>0</v>
      </c>
      <c r="AL729" s="30">
        <v>0</v>
      </c>
      <c r="AM729" s="30">
        <v>3</v>
      </c>
      <c r="AN729" s="30">
        <v>0</v>
      </c>
      <c r="AO729" s="30">
        <v>0</v>
      </c>
      <c r="AP729" s="30">
        <v>0</v>
      </c>
      <c r="AQ729" s="30">
        <v>3</v>
      </c>
      <c r="AR729" s="30">
        <v>0</v>
      </c>
      <c r="AS729" s="30">
        <v>0</v>
      </c>
      <c r="AT729" s="30">
        <v>0</v>
      </c>
      <c r="AU729" s="30">
        <v>0</v>
      </c>
      <c r="AV729" s="30">
        <v>0</v>
      </c>
      <c r="AW729" s="30">
        <v>1</v>
      </c>
      <c r="AX729" s="30">
        <v>3</v>
      </c>
      <c r="AY729" s="30">
        <v>0</v>
      </c>
      <c r="AZ729" s="30">
        <v>1</v>
      </c>
      <c r="BA729" s="30">
        <v>3</v>
      </c>
      <c r="BB729" s="30">
        <v>2</v>
      </c>
      <c r="BC729" s="30">
        <v>0</v>
      </c>
      <c r="BD729" s="30">
        <v>0</v>
      </c>
      <c r="BE729" s="30">
        <v>2</v>
      </c>
      <c r="BF729" s="30">
        <v>0</v>
      </c>
      <c r="BG729" s="30">
        <v>1</v>
      </c>
      <c r="BH729" s="30">
        <v>0</v>
      </c>
      <c r="BI729" s="30">
        <v>0</v>
      </c>
      <c r="BJ729" s="30">
        <v>0</v>
      </c>
      <c r="BK729" s="30">
        <v>0</v>
      </c>
      <c r="BL729" s="30">
        <v>0</v>
      </c>
      <c r="BM729" s="30">
        <v>0</v>
      </c>
      <c r="BN729" s="30">
        <v>0</v>
      </c>
      <c r="BO729" s="30">
        <v>0</v>
      </c>
      <c r="BP729" s="30">
        <v>0</v>
      </c>
      <c r="BQ729" s="30">
        <v>0</v>
      </c>
      <c r="BR729" s="30">
        <v>0</v>
      </c>
      <c r="BS729" s="30">
        <v>0</v>
      </c>
      <c r="BT729" s="30">
        <v>0</v>
      </c>
      <c r="BU729" s="30">
        <v>0</v>
      </c>
      <c r="BV729" s="30">
        <v>0</v>
      </c>
      <c r="BW729" s="30">
        <v>0</v>
      </c>
      <c r="BX729" s="30">
        <v>0</v>
      </c>
      <c r="BY729" s="30">
        <v>0</v>
      </c>
      <c r="BZ729" s="30">
        <v>0</v>
      </c>
      <c r="CA729" s="30">
        <v>0</v>
      </c>
      <c r="CB729" s="30">
        <v>0</v>
      </c>
      <c r="CC729" s="30">
        <v>0</v>
      </c>
      <c r="CD729" s="30">
        <v>0</v>
      </c>
      <c r="CE729" s="30">
        <v>0</v>
      </c>
      <c r="CF729" s="30">
        <v>0</v>
      </c>
      <c r="CG729" s="30">
        <v>0</v>
      </c>
      <c r="CH729" s="30">
        <v>0</v>
      </c>
      <c r="CI729" s="30">
        <v>0</v>
      </c>
      <c r="CJ729" s="30">
        <v>0</v>
      </c>
      <c r="CK729" s="30">
        <v>0</v>
      </c>
      <c r="CL729" s="30">
        <v>0</v>
      </c>
      <c r="CM729" s="30">
        <v>0</v>
      </c>
      <c r="CN729" s="30">
        <v>0</v>
      </c>
      <c r="CO729" s="30">
        <v>0</v>
      </c>
      <c r="CP729" s="30">
        <v>0</v>
      </c>
      <c r="CQ729" s="30">
        <v>0</v>
      </c>
      <c r="CR729" s="30">
        <v>0</v>
      </c>
      <c r="CS729" s="30">
        <v>0</v>
      </c>
      <c r="CT729" s="30">
        <v>0</v>
      </c>
      <c r="CU729" s="30">
        <v>0</v>
      </c>
      <c r="CV729" s="30">
        <v>0</v>
      </c>
      <c r="CW729" s="30">
        <v>0</v>
      </c>
      <c r="CX729" s="30">
        <v>0</v>
      </c>
      <c r="CY729" s="30">
        <v>0</v>
      </c>
      <c r="CZ729" s="30">
        <v>0</v>
      </c>
      <c r="DA729" s="30">
        <v>0</v>
      </c>
      <c r="DB729" s="30">
        <v>0</v>
      </c>
      <c r="DC729" s="30">
        <v>0</v>
      </c>
      <c r="DD729" s="30">
        <v>0</v>
      </c>
      <c r="DE729" s="30">
        <v>0</v>
      </c>
      <c r="DF729" s="30">
        <v>0</v>
      </c>
      <c r="DG729" s="16">
        <f t="shared" si="59"/>
        <v>43</v>
      </c>
      <c r="DH729" s="16">
        <f t="shared" si="60"/>
        <v>993</v>
      </c>
      <c r="DI729" s="17">
        <f t="shared" si="61"/>
        <v>23.093023255813954</v>
      </c>
      <c r="DJ729" s="119" t="s">
        <v>4</v>
      </c>
      <c r="DK729" s="119" t="s">
        <v>1530</v>
      </c>
    </row>
    <row r="730" spans="1:115">
      <c r="A730" s="32" t="str">
        <f t="shared" si="62"/>
        <v>Ausgrid--GROUND OUTDOOR / INDOOR CHAMBER MOUNTED ; &gt; 132 kV ;  &lt; = 100 MVA</v>
      </c>
      <c r="B730" s="32" t="str">
        <f t="shared" si="63"/>
        <v>Ausgrid</v>
      </c>
      <c r="C730" s="397"/>
      <c r="D730" s="31"/>
      <c r="E730" s="30" t="s">
        <v>239</v>
      </c>
      <c r="F730" s="19">
        <v>0</v>
      </c>
      <c r="G730" s="19">
        <v>0</v>
      </c>
      <c r="H730" s="30">
        <v>0</v>
      </c>
      <c r="I730" s="30">
        <v>0</v>
      </c>
      <c r="J730" s="30">
        <v>0</v>
      </c>
      <c r="K730" s="30">
        <v>0</v>
      </c>
      <c r="L730" s="30">
        <v>0</v>
      </c>
      <c r="M730" s="30">
        <v>0</v>
      </c>
      <c r="N730" s="30">
        <v>0</v>
      </c>
      <c r="O730" s="30">
        <v>0</v>
      </c>
      <c r="P730" s="30">
        <v>0</v>
      </c>
      <c r="Q730" s="30">
        <v>0</v>
      </c>
      <c r="R730" s="30">
        <v>0</v>
      </c>
      <c r="S730" s="30">
        <v>0</v>
      </c>
      <c r="T730" s="30">
        <v>0</v>
      </c>
      <c r="U730" s="30">
        <v>0</v>
      </c>
      <c r="V730" s="30">
        <v>0</v>
      </c>
      <c r="W730" s="30">
        <v>0</v>
      </c>
      <c r="X730" s="30">
        <v>0</v>
      </c>
      <c r="Y730" s="30">
        <v>0</v>
      </c>
      <c r="Z730" s="30">
        <v>0</v>
      </c>
      <c r="AA730" s="30">
        <v>0</v>
      </c>
      <c r="AB730" s="30">
        <v>0</v>
      </c>
      <c r="AC730" s="30">
        <v>0</v>
      </c>
      <c r="AD730" s="30">
        <v>0</v>
      </c>
      <c r="AE730" s="30">
        <v>0</v>
      </c>
      <c r="AF730" s="30">
        <v>0</v>
      </c>
      <c r="AG730" s="30">
        <v>0</v>
      </c>
      <c r="AH730" s="30">
        <v>0</v>
      </c>
      <c r="AI730" s="30">
        <v>0</v>
      </c>
      <c r="AJ730" s="30">
        <v>0</v>
      </c>
      <c r="AK730" s="30">
        <v>0</v>
      </c>
      <c r="AL730" s="30">
        <v>0</v>
      </c>
      <c r="AM730" s="30">
        <v>0</v>
      </c>
      <c r="AN730" s="30">
        <v>0</v>
      </c>
      <c r="AO730" s="30">
        <v>0</v>
      </c>
      <c r="AP730" s="30">
        <v>0</v>
      </c>
      <c r="AQ730" s="30">
        <v>0</v>
      </c>
      <c r="AR730" s="30">
        <v>0</v>
      </c>
      <c r="AS730" s="30">
        <v>0</v>
      </c>
      <c r="AT730" s="30">
        <v>0</v>
      </c>
      <c r="AU730" s="30">
        <v>0</v>
      </c>
      <c r="AV730" s="30">
        <v>0</v>
      </c>
      <c r="AW730" s="30">
        <v>0</v>
      </c>
      <c r="AX730" s="30">
        <v>0</v>
      </c>
      <c r="AY730" s="30">
        <v>0</v>
      </c>
      <c r="AZ730" s="30">
        <v>0</v>
      </c>
      <c r="BA730" s="30">
        <v>0</v>
      </c>
      <c r="BB730" s="30">
        <v>0</v>
      </c>
      <c r="BC730" s="30">
        <v>0</v>
      </c>
      <c r="BD730" s="30">
        <v>0</v>
      </c>
      <c r="BE730" s="30">
        <v>0</v>
      </c>
      <c r="BF730" s="30">
        <v>0</v>
      </c>
      <c r="BG730" s="30">
        <v>0</v>
      </c>
      <c r="BH730" s="30">
        <v>0</v>
      </c>
      <c r="BI730" s="30">
        <v>0</v>
      </c>
      <c r="BJ730" s="30">
        <v>0</v>
      </c>
      <c r="BK730" s="30">
        <v>0</v>
      </c>
      <c r="BL730" s="30">
        <v>0</v>
      </c>
      <c r="BM730" s="30">
        <v>0</v>
      </c>
      <c r="BN730" s="30">
        <v>0</v>
      </c>
      <c r="BO730" s="30">
        <v>0</v>
      </c>
      <c r="BP730" s="30">
        <v>0</v>
      </c>
      <c r="BQ730" s="30">
        <v>0</v>
      </c>
      <c r="BR730" s="30">
        <v>0</v>
      </c>
      <c r="BS730" s="30">
        <v>0</v>
      </c>
      <c r="BT730" s="30">
        <v>0</v>
      </c>
      <c r="BU730" s="30">
        <v>0</v>
      </c>
      <c r="BV730" s="30">
        <v>0</v>
      </c>
      <c r="BW730" s="30">
        <v>0</v>
      </c>
      <c r="BX730" s="30">
        <v>0</v>
      </c>
      <c r="BY730" s="30">
        <v>0</v>
      </c>
      <c r="BZ730" s="30">
        <v>0</v>
      </c>
      <c r="CA730" s="30">
        <v>0</v>
      </c>
      <c r="CB730" s="30">
        <v>0</v>
      </c>
      <c r="CC730" s="30">
        <v>0</v>
      </c>
      <c r="CD730" s="30">
        <v>0</v>
      </c>
      <c r="CE730" s="30">
        <v>0</v>
      </c>
      <c r="CF730" s="30">
        <v>0</v>
      </c>
      <c r="CG730" s="30">
        <v>0</v>
      </c>
      <c r="CH730" s="30">
        <v>0</v>
      </c>
      <c r="CI730" s="30">
        <v>0</v>
      </c>
      <c r="CJ730" s="30">
        <v>0</v>
      </c>
      <c r="CK730" s="30">
        <v>0</v>
      </c>
      <c r="CL730" s="30">
        <v>0</v>
      </c>
      <c r="CM730" s="30">
        <v>0</v>
      </c>
      <c r="CN730" s="30">
        <v>0</v>
      </c>
      <c r="CO730" s="30">
        <v>0</v>
      </c>
      <c r="CP730" s="30">
        <v>0</v>
      </c>
      <c r="CQ730" s="30">
        <v>0</v>
      </c>
      <c r="CR730" s="30">
        <v>0</v>
      </c>
      <c r="CS730" s="30">
        <v>0</v>
      </c>
      <c r="CT730" s="30">
        <v>0</v>
      </c>
      <c r="CU730" s="30">
        <v>0</v>
      </c>
      <c r="CV730" s="30">
        <v>0</v>
      </c>
      <c r="CW730" s="30">
        <v>0</v>
      </c>
      <c r="CX730" s="30">
        <v>0</v>
      </c>
      <c r="CY730" s="30">
        <v>0</v>
      </c>
      <c r="CZ730" s="30">
        <v>0</v>
      </c>
      <c r="DA730" s="30">
        <v>0</v>
      </c>
      <c r="DB730" s="30">
        <v>0</v>
      </c>
      <c r="DC730" s="30">
        <v>0</v>
      </c>
      <c r="DD730" s="30">
        <v>0</v>
      </c>
      <c r="DE730" s="30">
        <v>0</v>
      </c>
      <c r="DF730" s="30">
        <v>0</v>
      </c>
      <c r="DG730" s="16">
        <f t="shared" si="59"/>
        <v>0</v>
      </c>
      <c r="DH730" s="16">
        <f t="shared" si="60"/>
        <v>0</v>
      </c>
      <c r="DI730" s="17" t="str">
        <f t="shared" si="61"/>
        <v/>
      </c>
      <c r="DJ730" s="119" t="s">
        <v>4</v>
      </c>
      <c r="DK730" s="119" t="s">
        <v>1530</v>
      </c>
    </row>
    <row r="731" spans="1:115">
      <c r="A731" s="32" t="str">
        <f t="shared" si="62"/>
        <v>Ausgrid--GROUND OUTDOOR / INDOOR CHAMBER MOUNTED ; &gt; 132 kV ;  &gt; 100 MVA</v>
      </c>
      <c r="B731" s="32" t="str">
        <f t="shared" si="63"/>
        <v>Ausgrid</v>
      </c>
      <c r="C731" s="397"/>
      <c r="D731" s="31"/>
      <c r="E731" s="30" t="s">
        <v>240</v>
      </c>
      <c r="F731" s="19">
        <v>0</v>
      </c>
      <c r="G731" s="19">
        <v>0</v>
      </c>
      <c r="H731" s="30">
        <v>0</v>
      </c>
      <c r="I731" s="30">
        <v>0</v>
      </c>
      <c r="J731" s="30">
        <v>0</v>
      </c>
      <c r="K731" s="30">
        <v>0</v>
      </c>
      <c r="L731" s="30">
        <v>0</v>
      </c>
      <c r="M731" s="30">
        <v>0</v>
      </c>
      <c r="N731" s="30">
        <v>0</v>
      </c>
      <c r="O731" s="30">
        <v>0</v>
      </c>
      <c r="P731" s="30">
        <v>0</v>
      </c>
      <c r="Q731" s="30">
        <v>0</v>
      </c>
      <c r="R731" s="30">
        <v>0</v>
      </c>
      <c r="S731" s="30">
        <v>0</v>
      </c>
      <c r="T731" s="30">
        <v>0</v>
      </c>
      <c r="U731" s="30">
        <v>0</v>
      </c>
      <c r="V731" s="30">
        <v>0</v>
      </c>
      <c r="W731" s="30">
        <v>0</v>
      </c>
      <c r="X731" s="30">
        <v>0</v>
      </c>
      <c r="Y731" s="30">
        <v>0</v>
      </c>
      <c r="Z731" s="30">
        <v>0</v>
      </c>
      <c r="AA731" s="30">
        <v>0</v>
      </c>
      <c r="AB731" s="30">
        <v>0</v>
      </c>
      <c r="AC731" s="30">
        <v>0</v>
      </c>
      <c r="AD731" s="30">
        <v>0</v>
      </c>
      <c r="AE731" s="30">
        <v>0</v>
      </c>
      <c r="AF731" s="30">
        <v>0</v>
      </c>
      <c r="AG731" s="30">
        <v>0</v>
      </c>
      <c r="AH731" s="30">
        <v>0</v>
      </c>
      <c r="AI731" s="30">
        <v>0</v>
      </c>
      <c r="AJ731" s="30">
        <v>0</v>
      </c>
      <c r="AK731" s="30">
        <v>0</v>
      </c>
      <c r="AL731" s="30">
        <v>0</v>
      </c>
      <c r="AM731" s="30">
        <v>0</v>
      </c>
      <c r="AN731" s="30">
        <v>0</v>
      </c>
      <c r="AO731" s="30">
        <v>0</v>
      </c>
      <c r="AP731" s="30">
        <v>0</v>
      </c>
      <c r="AQ731" s="30">
        <v>0</v>
      </c>
      <c r="AR731" s="30">
        <v>0</v>
      </c>
      <c r="AS731" s="30">
        <v>0</v>
      </c>
      <c r="AT731" s="30">
        <v>0</v>
      </c>
      <c r="AU731" s="30">
        <v>0</v>
      </c>
      <c r="AV731" s="30">
        <v>0</v>
      </c>
      <c r="AW731" s="30">
        <v>0</v>
      </c>
      <c r="AX731" s="30">
        <v>0</v>
      </c>
      <c r="AY731" s="30">
        <v>0</v>
      </c>
      <c r="AZ731" s="30">
        <v>0</v>
      </c>
      <c r="BA731" s="30">
        <v>0</v>
      </c>
      <c r="BB731" s="30">
        <v>0</v>
      </c>
      <c r="BC731" s="30">
        <v>0</v>
      </c>
      <c r="BD731" s="30">
        <v>0</v>
      </c>
      <c r="BE731" s="30">
        <v>0</v>
      </c>
      <c r="BF731" s="30">
        <v>0</v>
      </c>
      <c r="BG731" s="30">
        <v>0</v>
      </c>
      <c r="BH731" s="30">
        <v>0</v>
      </c>
      <c r="BI731" s="30">
        <v>0</v>
      </c>
      <c r="BJ731" s="30">
        <v>0</v>
      </c>
      <c r="BK731" s="30">
        <v>0</v>
      </c>
      <c r="BL731" s="30">
        <v>0</v>
      </c>
      <c r="BM731" s="30">
        <v>0</v>
      </c>
      <c r="BN731" s="30">
        <v>0</v>
      </c>
      <c r="BO731" s="30">
        <v>0</v>
      </c>
      <c r="BP731" s="30">
        <v>0</v>
      </c>
      <c r="BQ731" s="30">
        <v>0</v>
      </c>
      <c r="BR731" s="30">
        <v>0</v>
      </c>
      <c r="BS731" s="30">
        <v>0</v>
      </c>
      <c r="BT731" s="30">
        <v>0</v>
      </c>
      <c r="BU731" s="30">
        <v>0</v>
      </c>
      <c r="BV731" s="30">
        <v>0</v>
      </c>
      <c r="BW731" s="30">
        <v>0</v>
      </c>
      <c r="BX731" s="30">
        <v>0</v>
      </c>
      <c r="BY731" s="30">
        <v>0</v>
      </c>
      <c r="BZ731" s="30">
        <v>0</v>
      </c>
      <c r="CA731" s="30">
        <v>0</v>
      </c>
      <c r="CB731" s="30">
        <v>0</v>
      </c>
      <c r="CC731" s="30">
        <v>0</v>
      </c>
      <c r="CD731" s="30">
        <v>0</v>
      </c>
      <c r="CE731" s="30">
        <v>0</v>
      </c>
      <c r="CF731" s="30">
        <v>0</v>
      </c>
      <c r="CG731" s="30">
        <v>0</v>
      </c>
      <c r="CH731" s="30">
        <v>0</v>
      </c>
      <c r="CI731" s="30">
        <v>0</v>
      </c>
      <c r="CJ731" s="30">
        <v>0</v>
      </c>
      <c r="CK731" s="30">
        <v>0</v>
      </c>
      <c r="CL731" s="30">
        <v>0</v>
      </c>
      <c r="CM731" s="30">
        <v>0</v>
      </c>
      <c r="CN731" s="30">
        <v>0</v>
      </c>
      <c r="CO731" s="30">
        <v>0</v>
      </c>
      <c r="CP731" s="30">
        <v>0</v>
      </c>
      <c r="CQ731" s="30">
        <v>0</v>
      </c>
      <c r="CR731" s="30">
        <v>0</v>
      </c>
      <c r="CS731" s="30">
        <v>0</v>
      </c>
      <c r="CT731" s="30">
        <v>0</v>
      </c>
      <c r="CU731" s="30">
        <v>0</v>
      </c>
      <c r="CV731" s="30">
        <v>0</v>
      </c>
      <c r="CW731" s="30">
        <v>0</v>
      </c>
      <c r="CX731" s="30">
        <v>0</v>
      </c>
      <c r="CY731" s="30">
        <v>0</v>
      </c>
      <c r="CZ731" s="30">
        <v>0</v>
      </c>
      <c r="DA731" s="30">
        <v>0</v>
      </c>
      <c r="DB731" s="30">
        <v>0</v>
      </c>
      <c r="DC731" s="30">
        <v>0</v>
      </c>
      <c r="DD731" s="30">
        <v>0</v>
      </c>
      <c r="DE731" s="30">
        <v>0</v>
      </c>
      <c r="DF731" s="30">
        <v>0</v>
      </c>
      <c r="DG731" s="16">
        <f t="shared" si="59"/>
        <v>0</v>
      </c>
      <c r="DH731" s="16">
        <f t="shared" si="60"/>
        <v>0</v>
      </c>
      <c r="DI731" s="17" t="str">
        <f t="shared" si="61"/>
        <v/>
      </c>
      <c r="DJ731" s="119" t="s">
        <v>4</v>
      </c>
      <c r="DK731" s="119" t="s">
        <v>1530</v>
      </c>
    </row>
    <row r="732" spans="1:115">
      <c r="A732" s="32" t="str">
        <f t="shared" si="62"/>
        <v>Ausgrid--OTHER - PLEASE ADD A ROW IF NECESSARY AND NOMINATE THE CATEGORY</v>
      </c>
      <c r="B732" s="32" t="str">
        <f t="shared" si="63"/>
        <v>Ausgrid</v>
      </c>
      <c r="C732" s="397"/>
      <c r="D732" s="31"/>
      <c r="E732" s="30" t="s">
        <v>170</v>
      </c>
      <c r="F732" s="19"/>
      <c r="G732" s="19"/>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16">
        <f t="shared" si="59"/>
        <v>0</v>
      </c>
      <c r="DH732" s="16">
        <f t="shared" si="60"/>
        <v>0</v>
      </c>
      <c r="DI732" s="17" t="str">
        <f t="shared" si="61"/>
        <v/>
      </c>
      <c r="DJ732" s="119" t="s">
        <v>4</v>
      </c>
      <c r="DK732" s="119" t="s">
        <v>1530</v>
      </c>
    </row>
    <row r="733" spans="1:115" ht="45">
      <c r="A733" s="32" t="str">
        <f t="shared" si="62"/>
        <v>Ausgrid-SWITCHGEAR BY: 
HIGHEST OPERATING VOLTAGE ; SWITCH FUNCTION-˂ = 11 kV ;  FUSE</v>
      </c>
      <c r="B733" s="32" t="str">
        <f t="shared" si="63"/>
        <v>Ausgrid</v>
      </c>
      <c r="C733" s="397"/>
      <c r="D733" s="31" t="s">
        <v>545</v>
      </c>
      <c r="E733" s="30" t="s">
        <v>246</v>
      </c>
      <c r="F733" s="19">
        <v>24.85</v>
      </c>
      <c r="G733" s="19">
        <v>15.67</v>
      </c>
      <c r="H733" s="30">
        <v>1235</v>
      </c>
      <c r="I733" s="30">
        <v>1326</v>
      </c>
      <c r="J733" s="30">
        <v>1225</v>
      </c>
      <c r="K733" s="30">
        <v>1577</v>
      </c>
      <c r="L733" s="30">
        <v>2270</v>
      </c>
      <c r="M733" s="30">
        <v>2608</v>
      </c>
      <c r="N733" s="30">
        <v>1783</v>
      </c>
      <c r="O733" s="30">
        <v>1822</v>
      </c>
      <c r="P733" s="30">
        <v>1684</v>
      </c>
      <c r="Q733" s="30">
        <v>1446</v>
      </c>
      <c r="R733" s="30">
        <v>1109</v>
      </c>
      <c r="S733" s="30">
        <v>600</v>
      </c>
      <c r="T733" s="30">
        <v>541</v>
      </c>
      <c r="U733" s="30">
        <v>641</v>
      </c>
      <c r="V733" s="30">
        <v>600</v>
      </c>
      <c r="W733" s="30">
        <v>588</v>
      </c>
      <c r="X733" s="30">
        <v>616</v>
      </c>
      <c r="Y733" s="30">
        <v>780</v>
      </c>
      <c r="Z733" s="30">
        <v>816</v>
      </c>
      <c r="AA733" s="30">
        <v>707</v>
      </c>
      <c r="AB733" s="30">
        <v>746</v>
      </c>
      <c r="AC733" s="30">
        <v>890</v>
      </c>
      <c r="AD733" s="30">
        <v>733</v>
      </c>
      <c r="AE733" s="30">
        <v>501</v>
      </c>
      <c r="AF733" s="30">
        <v>317</v>
      </c>
      <c r="AG733" s="30">
        <v>266</v>
      </c>
      <c r="AH733" s="30">
        <v>306</v>
      </c>
      <c r="AI733" s="30">
        <v>389</v>
      </c>
      <c r="AJ733" s="30">
        <v>373</v>
      </c>
      <c r="AK733" s="30">
        <v>380</v>
      </c>
      <c r="AL733" s="30">
        <v>2338</v>
      </c>
      <c r="AM733" s="30">
        <v>580</v>
      </c>
      <c r="AN733" s="30">
        <v>330</v>
      </c>
      <c r="AO733" s="30">
        <v>271</v>
      </c>
      <c r="AP733" s="30">
        <v>251</v>
      </c>
      <c r="AQ733" s="30">
        <v>241</v>
      </c>
      <c r="AR733" s="30">
        <v>274</v>
      </c>
      <c r="AS733" s="30">
        <v>251</v>
      </c>
      <c r="AT733" s="30">
        <v>283</v>
      </c>
      <c r="AU733" s="30">
        <v>246</v>
      </c>
      <c r="AV733" s="30">
        <v>259</v>
      </c>
      <c r="AW733" s="30">
        <v>286</v>
      </c>
      <c r="AX733" s="30">
        <v>343</v>
      </c>
      <c r="AY733" s="30">
        <v>283</v>
      </c>
      <c r="AZ733" s="30">
        <v>293</v>
      </c>
      <c r="BA733" s="30">
        <v>311</v>
      </c>
      <c r="BB733" s="30">
        <v>273</v>
      </c>
      <c r="BC733" s="30">
        <v>252</v>
      </c>
      <c r="BD733" s="30">
        <v>278</v>
      </c>
      <c r="BE733" s="30">
        <v>307</v>
      </c>
      <c r="BF733" s="30">
        <v>202</v>
      </c>
      <c r="BG733" s="30">
        <v>140</v>
      </c>
      <c r="BH733" s="30">
        <v>178</v>
      </c>
      <c r="BI733" s="30">
        <v>123</v>
      </c>
      <c r="BJ733" s="30">
        <v>120</v>
      </c>
      <c r="BK733" s="30">
        <v>88</v>
      </c>
      <c r="BL733" s="30">
        <v>53</v>
      </c>
      <c r="BM733" s="30">
        <v>48</v>
      </c>
      <c r="BN733" s="30">
        <v>22</v>
      </c>
      <c r="BO733" s="30">
        <v>24</v>
      </c>
      <c r="BP733" s="30">
        <v>7</v>
      </c>
      <c r="BQ733" s="30">
        <v>11</v>
      </c>
      <c r="BR733" s="30">
        <v>12</v>
      </c>
      <c r="BS733" s="30">
        <v>6</v>
      </c>
      <c r="BT733" s="30">
        <v>9</v>
      </c>
      <c r="BU733" s="30">
        <v>3</v>
      </c>
      <c r="BV733" s="30">
        <v>3</v>
      </c>
      <c r="BW733" s="30">
        <v>0</v>
      </c>
      <c r="BX733" s="30">
        <v>2</v>
      </c>
      <c r="BY733" s="30">
        <v>0</v>
      </c>
      <c r="BZ733" s="30">
        <v>0</v>
      </c>
      <c r="CA733" s="30">
        <v>2</v>
      </c>
      <c r="CB733" s="30">
        <v>0</v>
      </c>
      <c r="CC733" s="30">
        <v>1</v>
      </c>
      <c r="CD733" s="30">
        <v>7</v>
      </c>
      <c r="CE733" s="30">
        <v>0</v>
      </c>
      <c r="CF733" s="30">
        <v>0</v>
      </c>
      <c r="CG733" s="30">
        <v>0</v>
      </c>
      <c r="CH733" s="30">
        <v>0</v>
      </c>
      <c r="CI733" s="30">
        <v>0</v>
      </c>
      <c r="CJ733" s="30">
        <v>0</v>
      </c>
      <c r="CK733" s="30">
        <v>8</v>
      </c>
      <c r="CL733" s="30">
        <v>2</v>
      </c>
      <c r="CM733" s="30">
        <v>1</v>
      </c>
      <c r="CN733" s="30">
        <v>0</v>
      </c>
      <c r="CO733" s="30">
        <v>0</v>
      </c>
      <c r="CP733" s="30">
        <v>0</v>
      </c>
      <c r="CQ733" s="30">
        <v>0</v>
      </c>
      <c r="CR733" s="30">
        <v>0</v>
      </c>
      <c r="CS733" s="30">
        <v>6</v>
      </c>
      <c r="CT733" s="30">
        <v>0</v>
      </c>
      <c r="CU733" s="30">
        <v>0</v>
      </c>
      <c r="CV733" s="30">
        <v>0</v>
      </c>
      <c r="CW733" s="30">
        <v>0</v>
      </c>
      <c r="CX733" s="30">
        <v>0</v>
      </c>
      <c r="CY733" s="30">
        <v>0</v>
      </c>
      <c r="CZ733" s="30">
        <v>0</v>
      </c>
      <c r="DA733" s="30">
        <v>0</v>
      </c>
      <c r="DB733" s="30">
        <v>0</v>
      </c>
      <c r="DC733" s="30">
        <v>0</v>
      </c>
      <c r="DD733" s="30">
        <v>0</v>
      </c>
      <c r="DE733" s="30">
        <v>0</v>
      </c>
      <c r="DF733" s="30">
        <v>0</v>
      </c>
      <c r="DG733" s="16">
        <f t="shared" ref="DG733:DG791" si="64">SUM(H733:DF733)</f>
        <v>37903</v>
      </c>
      <c r="DH733" s="16">
        <f t="shared" ref="DH733:DH791" si="65">IFERROR(SUMPRODUCT(H733:DF733,$H$1:$DF$1),"")</f>
        <v>685519</v>
      </c>
      <c r="DI733" s="17">
        <f t="shared" ref="DI733:DI791" si="66">IFERROR(DH733/DG733,"")</f>
        <v>18.086140938711974</v>
      </c>
      <c r="DJ733" s="119" t="s">
        <v>2</v>
      </c>
      <c r="DK733" t="s">
        <v>2</v>
      </c>
    </row>
    <row r="734" spans="1:115">
      <c r="A734" s="32" t="str">
        <f t="shared" si="62"/>
        <v>Ausgrid--˂ = 11 kV  ; SWITCH</v>
      </c>
      <c r="B734" s="32" t="str">
        <f t="shared" si="63"/>
        <v>Ausgrid</v>
      </c>
      <c r="C734" s="397"/>
      <c r="D734" s="31"/>
      <c r="E734" s="30" t="s">
        <v>247</v>
      </c>
      <c r="F734" s="19">
        <v>29.07</v>
      </c>
      <c r="G734" s="19">
        <v>19.670000000000002</v>
      </c>
      <c r="H734" s="30">
        <v>3148</v>
      </c>
      <c r="I734" s="30">
        <v>2518</v>
      </c>
      <c r="J734" s="30">
        <v>3570</v>
      </c>
      <c r="K734" s="30">
        <v>3498</v>
      </c>
      <c r="L734" s="30">
        <v>3990</v>
      </c>
      <c r="M734" s="30">
        <v>3276</v>
      </c>
      <c r="N734" s="30">
        <v>2866</v>
      </c>
      <c r="O734" s="30">
        <v>3348</v>
      </c>
      <c r="P734" s="30">
        <v>2210</v>
      </c>
      <c r="Q734" s="30">
        <v>2461</v>
      </c>
      <c r="R734" s="30">
        <v>2114</v>
      </c>
      <c r="S734" s="30">
        <v>1543</v>
      </c>
      <c r="T734" s="30">
        <v>1262</v>
      </c>
      <c r="U734" s="30">
        <v>1531</v>
      </c>
      <c r="V734" s="30">
        <v>1274</v>
      </c>
      <c r="W734" s="30">
        <v>1158</v>
      </c>
      <c r="X734" s="30">
        <v>907</v>
      </c>
      <c r="Y734" s="30">
        <v>1101</v>
      </c>
      <c r="Z734" s="30">
        <v>981</v>
      </c>
      <c r="AA734" s="30">
        <v>1176</v>
      </c>
      <c r="AB734" s="30">
        <v>1064</v>
      </c>
      <c r="AC734" s="30">
        <v>1170</v>
      </c>
      <c r="AD734" s="30">
        <v>1289</v>
      </c>
      <c r="AE734" s="30">
        <v>1203</v>
      </c>
      <c r="AF734" s="30">
        <v>1054</v>
      </c>
      <c r="AG734" s="30">
        <v>1081</v>
      </c>
      <c r="AH734" s="30">
        <v>936</v>
      </c>
      <c r="AI734" s="30">
        <v>777</v>
      </c>
      <c r="AJ734" s="30">
        <v>824</v>
      </c>
      <c r="AK734" s="30">
        <v>799</v>
      </c>
      <c r="AL734" s="30">
        <v>1260</v>
      </c>
      <c r="AM734" s="30">
        <v>1248</v>
      </c>
      <c r="AN734" s="30">
        <v>1083</v>
      </c>
      <c r="AO734" s="30">
        <v>1109</v>
      </c>
      <c r="AP734" s="30">
        <v>1231</v>
      </c>
      <c r="AQ734" s="30">
        <v>1205</v>
      </c>
      <c r="AR734" s="30">
        <v>1370</v>
      </c>
      <c r="AS734" s="30">
        <v>1278</v>
      </c>
      <c r="AT734" s="30">
        <v>1309</v>
      </c>
      <c r="AU734" s="30">
        <v>944</v>
      </c>
      <c r="AV734" s="30">
        <v>1028</v>
      </c>
      <c r="AW734" s="30">
        <v>907</v>
      </c>
      <c r="AX734" s="30">
        <v>964</v>
      </c>
      <c r="AY734" s="30">
        <v>905</v>
      </c>
      <c r="AZ734" s="30">
        <v>877</v>
      </c>
      <c r="BA734" s="30">
        <v>705</v>
      </c>
      <c r="BB734" s="30">
        <v>685</v>
      </c>
      <c r="BC734" s="30">
        <v>683</v>
      </c>
      <c r="BD734" s="30">
        <v>754</v>
      </c>
      <c r="BE734" s="30">
        <v>824</v>
      </c>
      <c r="BF734" s="30">
        <v>752</v>
      </c>
      <c r="BG734" s="30">
        <v>410</v>
      </c>
      <c r="BH734" s="30">
        <v>383</v>
      </c>
      <c r="BI734" s="30">
        <v>194</v>
      </c>
      <c r="BJ734" s="30">
        <v>304</v>
      </c>
      <c r="BK734" s="30">
        <v>190</v>
      </c>
      <c r="BL734" s="30">
        <v>110</v>
      </c>
      <c r="BM734" s="30">
        <v>112</v>
      </c>
      <c r="BN734" s="30">
        <v>112</v>
      </c>
      <c r="BO734" s="30">
        <v>145</v>
      </c>
      <c r="BP734" s="30">
        <v>126</v>
      </c>
      <c r="BQ734" s="30">
        <v>108</v>
      </c>
      <c r="BR734" s="30">
        <v>71</v>
      </c>
      <c r="BS734" s="30">
        <v>77</v>
      </c>
      <c r="BT734" s="30">
        <v>27</v>
      </c>
      <c r="BU734" s="30">
        <v>35</v>
      </c>
      <c r="BV734" s="30">
        <v>37</v>
      </c>
      <c r="BW734" s="30">
        <v>2</v>
      </c>
      <c r="BX734" s="30">
        <v>20</v>
      </c>
      <c r="BY734" s="30">
        <v>10</v>
      </c>
      <c r="BZ734" s="30">
        <v>10</v>
      </c>
      <c r="CA734" s="30">
        <v>20</v>
      </c>
      <c r="CB734" s="30">
        <v>12</v>
      </c>
      <c r="CC734" s="30">
        <v>51</v>
      </c>
      <c r="CD734" s="30">
        <v>49</v>
      </c>
      <c r="CE734" s="30">
        <v>116</v>
      </c>
      <c r="CF734" s="30">
        <v>84</v>
      </c>
      <c r="CG734" s="30">
        <v>24</v>
      </c>
      <c r="CH734" s="30">
        <v>0</v>
      </c>
      <c r="CI734" s="30">
        <v>10</v>
      </c>
      <c r="CJ734" s="30">
        <v>4</v>
      </c>
      <c r="CK734" s="30">
        <v>43</v>
      </c>
      <c r="CL734" s="30">
        <v>55</v>
      </c>
      <c r="CM734" s="30">
        <v>18</v>
      </c>
      <c r="CN734" s="30">
        <v>33</v>
      </c>
      <c r="CO734" s="30">
        <v>35</v>
      </c>
      <c r="CP734" s="30">
        <v>29</v>
      </c>
      <c r="CQ734" s="30">
        <v>4</v>
      </c>
      <c r="CR734" s="30">
        <v>0</v>
      </c>
      <c r="CS734" s="30">
        <v>4</v>
      </c>
      <c r="CT734" s="30">
        <v>10</v>
      </c>
      <c r="CU734" s="30">
        <v>0</v>
      </c>
      <c r="CV734" s="30">
        <v>16</v>
      </c>
      <c r="CW734" s="30">
        <v>10</v>
      </c>
      <c r="CX734" s="30">
        <v>6</v>
      </c>
      <c r="CY734" s="30">
        <v>0</v>
      </c>
      <c r="CZ734" s="30">
        <v>0</v>
      </c>
      <c r="DA734" s="30">
        <v>0</v>
      </c>
      <c r="DB734" s="30">
        <v>24</v>
      </c>
      <c r="DC734" s="30">
        <v>18</v>
      </c>
      <c r="DD734" s="30">
        <v>2</v>
      </c>
      <c r="DE734" s="30">
        <v>0</v>
      </c>
      <c r="DF734" s="30">
        <v>0</v>
      </c>
      <c r="DG734" s="16">
        <f t="shared" si="64"/>
        <v>78410</v>
      </c>
      <c r="DH734" s="16">
        <f t="shared" si="65"/>
        <v>1652058</v>
      </c>
      <c r="DI734" s="17">
        <f t="shared" si="66"/>
        <v>21.069480933554395</v>
      </c>
      <c r="DJ734" s="119" t="s">
        <v>2</v>
      </c>
      <c r="DK734" s="44" t="s">
        <v>2</v>
      </c>
    </row>
    <row r="735" spans="1:115">
      <c r="A735" s="32" t="str">
        <f t="shared" si="62"/>
        <v>Ausgrid--˂ = 11 kV ;  CIRCUIT BREAKER</v>
      </c>
      <c r="B735" s="32" t="str">
        <f t="shared" si="63"/>
        <v>Ausgrid</v>
      </c>
      <c r="C735" s="397"/>
      <c r="D735" s="31"/>
      <c r="E735" s="30" t="s">
        <v>248</v>
      </c>
      <c r="F735" s="19">
        <v>50.58</v>
      </c>
      <c r="G735" s="19">
        <v>20.89</v>
      </c>
      <c r="H735" s="30">
        <v>426</v>
      </c>
      <c r="I735" s="30">
        <v>378</v>
      </c>
      <c r="J735" s="30">
        <v>417</v>
      </c>
      <c r="K735" s="30">
        <v>475</v>
      </c>
      <c r="L735" s="30">
        <v>233</v>
      </c>
      <c r="M735" s="30">
        <v>248</v>
      </c>
      <c r="N735" s="30">
        <v>262</v>
      </c>
      <c r="O735" s="30">
        <v>189</v>
      </c>
      <c r="P735" s="30">
        <v>163</v>
      </c>
      <c r="Q735" s="30">
        <v>123</v>
      </c>
      <c r="R735" s="30">
        <v>85</v>
      </c>
      <c r="S735" s="30">
        <v>209</v>
      </c>
      <c r="T735" s="30">
        <v>113</v>
      </c>
      <c r="U735" s="30">
        <v>93</v>
      </c>
      <c r="V735" s="30">
        <v>105</v>
      </c>
      <c r="W735" s="30">
        <v>108</v>
      </c>
      <c r="X735" s="30">
        <v>77</v>
      </c>
      <c r="Y735" s="30">
        <v>63</v>
      </c>
      <c r="Z735" s="30">
        <v>77</v>
      </c>
      <c r="AA735" s="30">
        <v>49</v>
      </c>
      <c r="AB735" s="30">
        <v>47</v>
      </c>
      <c r="AC735" s="30">
        <v>54</v>
      </c>
      <c r="AD735" s="30">
        <v>49</v>
      </c>
      <c r="AE735" s="30">
        <v>55</v>
      </c>
      <c r="AF735" s="30">
        <v>35</v>
      </c>
      <c r="AG735" s="30">
        <v>69</v>
      </c>
      <c r="AH735" s="30">
        <v>94</v>
      </c>
      <c r="AI735" s="30">
        <v>14</v>
      </c>
      <c r="AJ735" s="30">
        <v>85</v>
      </c>
      <c r="AK735" s="30">
        <v>43</v>
      </c>
      <c r="AL735" s="30">
        <v>85</v>
      </c>
      <c r="AM735" s="30">
        <v>50</v>
      </c>
      <c r="AN735" s="30">
        <v>45</v>
      </c>
      <c r="AO735" s="30">
        <v>65</v>
      </c>
      <c r="AP735" s="30">
        <v>60</v>
      </c>
      <c r="AQ735" s="30">
        <v>114</v>
      </c>
      <c r="AR735" s="30">
        <v>60</v>
      </c>
      <c r="AS735" s="30">
        <v>107</v>
      </c>
      <c r="AT735" s="30">
        <v>101</v>
      </c>
      <c r="AU735" s="30">
        <v>113</v>
      </c>
      <c r="AV735" s="30">
        <v>198</v>
      </c>
      <c r="AW735" s="30">
        <v>176</v>
      </c>
      <c r="AX735" s="30">
        <v>154</v>
      </c>
      <c r="AY735" s="30">
        <v>113</v>
      </c>
      <c r="AZ735" s="30">
        <v>133</v>
      </c>
      <c r="BA735" s="30">
        <v>48</v>
      </c>
      <c r="BB735" s="30">
        <v>123</v>
      </c>
      <c r="BC735" s="30">
        <v>137</v>
      </c>
      <c r="BD735" s="30">
        <v>131</v>
      </c>
      <c r="BE735" s="30">
        <v>134</v>
      </c>
      <c r="BF735" s="30">
        <v>71</v>
      </c>
      <c r="BG735" s="30">
        <v>105</v>
      </c>
      <c r="BH735" s="30">
        <v>28</v>
      </c>
      <c r="BI735" s="30">
        <v>65</v>
      </c>
      <c r="BJ735" s="30">
        <v>46</v>
      </c>
      <c r="BK735" s="30">
        <v>61</v>
      </c>
      <c r="BL735" s="30">
        <v>29</v>
      </c>
      <c r="BM735" s="30">
        <v>29</v>
      </c>
      <c r="BN735" s="30">
        <v>65</v>
      </c>
      <c r="BO735" s="30">
        <v>80</v>
      </c>
      <c r="BP735" s="30">
        <v>41</v>
      </c>
      <c r="BQ735" s="30">
        <v>45</v>
      </c>
      <c r="BR735" s="30">
        <v>61</v>
      </c>
      <c r="BS735" s="30">
        <v>40</v>
      </c>
      <c r="BT735" s="30">
        <v>12</v>
      </c>
      <c r="BU735" s="30">
        <v>7</v>
      </c>
      <c r="BV735" s="30">
        <v>26</v>
      </c>
      <c r="BW735" s="30">
        <v>29</v>
      </c>
      <c r="BX735" s="30">
        <v>19</v>
      </c>
      <c r="BY735" s="30">
        <v>4</v>
      </c>
      <c r="BZ735" s="30">
        <v>16</v>
      </c>
      <c r="CA735" s="30">
        <v>18</v>
      </c>
      <c r="CB735" s="30">
        <v>25</v>
      </c>
      <c r="CC735" s="30">
        <v>51</v>
      </c>
      <c r="CD735" s="30">
        <v>41</v>
      </c>
      <c r="CE735" s="30">
        <v>50</v>
      </c>
      <c r="CF735" s="30">
        <v>36</v>
      </c>
      <c r="CG735" s="30">
        <v>9</v>
      </c>
      <c r="CH735" s="30">
        <v>7</v>
      </c>
      <c r="CI735" s="30">
        <v>0</v>
      </c>
      <c r="CJ735" s="30">
        <v>9</v>
      </c>
      <c r="CK735" s="30">
        <v>21</v>
      </c>
      <c r="CL735" s="30">
        <v>46</v>
      </c>
      <c r="CM735" s="30">
        <v>23</v>
      </c>
      <c r="CN735" s="30">
        <v>35</v>
      </c>
      <c r="CO735" s="30">
        <v>21</v>
      </c>
      <c r="CP735" s="30">
        <v>19</v>
      </c>
      <c r="CQ735" s="30">
        <v>0</v>
      </c>
      <c r="CR735" s="30">
        <v>0</v>
      </c>
      <c r="CS735" s="30">
        <v>12</v>
      </c>
      <c r="CT735" s="30">
        <v>0</v>
      </c>
      <c r="CU735" s="30">
        <v>0</v>
      </c>
      <c r="CV735" s="30">
        <v>14</v>
      </c>
      <c r="CW735" s="30">
        <v>0</v>
      </c>
      <c r="CX735" s="30">
        <v>0</v>
      </c>
      <c r="CY735" s="30">
        <v>0</v>
      </c>
      <c r="CZ735" s="30">
        <v>0</v>
      </c>
      <c r="DA735" s="30">
        <v>0</v>
      </c>
      <c r="DB735" s="30">
        <v>24</v>
      </c>
      <c r="DC735" s="30">
        <v>9</v>
      </c>
      <c r="DD735" s="30">
        <v>0</v>
      </c>
      <c r="DE735" s="30">
        <v>0</v>
      </c>
      <c r="DF735" s="30">
        <v>0</v>
      </c>
      <c r="DG735" s="16">
        <f t="shared" si="64"/>
        <v>7934</v>
      </c>
      <c r="DH735" s="16">
        <f t="shared" si="65"/>
        <v>220518</v>
      </c>
      <c r="DI735" s="17">
        <f t="shared" si="66"/>
        <v>27.794050920090747</v>
      </c>
      <c r="DJ735" s="119" t="s">
        <v>2</v>
      </c>
      <c r="DK735" s="44" t="s">
        <v>2</v>
      </c>
    </row>
    <row r="736" spans="1:115">
      <c r="A736" s="32" t="str">
        <f t="shared" si="62"/>
        <v>Ausgrid--&gt; 11 kV &amp; &lt; = 22 kV  ; SWITCH</v>
      </c>
      <c r="B736" s="32" t="str">
        <f t="shared" si="63"/>
        <v>Ausgrid</v>
      </c>
      <c r="C736" s="397"/>
      <c r="D736" s="31"/>
      <c r="E736" s="30" t="s">
        <v>249</v>
      </c>
      <c r="F736" s="19">
        <v>39.72</v>
      </c>
      <c r="G736" s="19">
        <v>17.739999999999998</v>
      </c>
      <c r="H736" s="30">
        <v>0</v>
      </c>
      <c r="I736" s="30">
        <v>0</v>
      </c>
      <c r="J736" s="30">
        <v>0</v>
      </c>
      <c r="K736" s="30">
        <v>1</v>
      </c>
      <c r="L736" s="30">
        <v>4</v>
      </c>
      <c r="M736" s="30">
        <v>3</v>
      </c>
      <c r="N736" s="30">
        <v>1</v>
      </c>
      <c r="O736" s="30">
        <v>0</v>
      </c>
      <c r="P736" s="30">
        <v>1</v>
      </c>
      <c r="Q736" s="30">
        <v>26</v>
      </c>
      <c r="R736" s="30">
        <v>2</v>
      </c>
      <c r="S736" s="30">
        <v>1</v>
      </c>
      <c r="T736" s="30">
        <v>5</v>
      </c>
      <c r="U736" s="30">
        <v>2</v>
      </c>
      <c r="V736" s="30">
        <v>0</v>
      </c>
      <c r="W736" s="30">
        <v>0</v>
      </c>
      <c r="X736" s="30">
        <v>0</v>
      </c>
      <c r="Y736" s="30">
        <v>1</v>
      </c>
      <c r="Z736" s="30">
        <v>0</v>
      </c>
      <c r="AA736" s="30">
        <v>0</v>
      </c>
      <c r="AB736" s="30">
        <v>0</v>
      </c>
      <c r="AC736" s="30">
        <v>0</v>
      </c>
      <c r="AD736" s="30">
        <v>1</v>
      </c>
      <c r="AE736" s="30">
        <v>0</v>
      </c>
      <c r="AF736" s="30">
        <v>0</v>
      </c>
      <c r="AG736" s="30">
        <v>0</v>
      </c>
      <c r="AH736" s="30">
        <v>0</v>
      </c>
      <c r="AI736" s="30">
        <v>0</v>
      </c>
      <c r="AJ736" s="30">
        <v>0</v>
      </c>
      <c r="AK736" s="30">
        <v>0</v>
      </c>
      <c r="AL736" s="30">
        <v>0</v>
      </c>
      <c r="AM736" s="30">
        <v>0</v>
      </c>
      <c r="AN736" s="30">
        <v>0</v>
      </c>
      <c r="AO736" s="30">
        <v>1</v>
      </c>
      <c r="AP736" s="30">
        <v>0</v>
      </c>
      <c r="AQ736" s="30">
        <v>0</v>
      </c>
      <c r="AR736" s="30">
        <v>0</v>
      </c>
      <c r="AS736" s="30">
        <v>0</v>
      </c>
      <c r="AT736" s="30">
        <v>0</v>
      </c>
      <c r="AU736" s="30">
        <v>0</v>
      </c>
      <c r="AV736" s="30">
        <v>1</v>
      </c>
      <c r="AW736" s="30">
        <v>2</v>
      </c>
      <c r="AX736" s="30">
        <v>0</v>
      </c>
      <c r="AY736" s="30">
        <v>3</v>
      </c>
      <c r="AZ736" s="30">
        <v>0</v>
      </c>
      <c r="BA736" s="30">
        <v>0</v>
      </c>
      <c r="BB736" s="30">
        <v>0</v>
      </c>
      <c r="BC736" s="30">
        <v>0</v>
      </c>
      <c r="BD736" s="30">
        <v>0</v>
      </c>
      <c r="BE736" s="30">
        <v>0</v>
      </c>
      <c r="BF736" s="30">
        <v>0</v>
      </c>
      <c r="BG736" s="30">
        <v>0</v>
      </c>
      <c r="BH736" s="30">
        <v>0</v>
      </c>
      <c r="BI736" s="30">
        <v>0</v>
      </c>
      <c r="BJ736" s="30">
        <v>0</v>
      </c>
      <c r="BK736" s="30">
        <v>0</v>
      </c>
      <c r="BL736" s="30">
        <v>0</v>
      </c>
      <c r="BM736" s="30">
        <v>0</v>
      </c>
      <c r="BN736" s="30">
        <v>0</v>
      </c>
      <c r="BO736" s="30">
        <v>0</v>
      </c>
      <c r="BP736" s="30">
        <v>0</v>
      </c>
      <c r="BQ736" s="30">
        <v>0</v>
      </c>
      <c r="BR736" s="30">
        <v>0</v>
      </c>
      <c r="BS736" s="30">
        <v>0</v>
      </c>
      <c r="BT736" s="30">
        <v>0</v>
      </c>
      <c r="BU736" s="30">
        <v>0</v>
      </c>
      <c r="BV736" s="30">
        <v>0</v>
      </c>
      <c r="BW736" s="30">
        <v>0</v>
      </c>
      <c r="BX736" s="30">
        <v>0</v>
      </c>
      <c r="BY736" s="30">
        <v>0</v>
      </c>
      <c r="BZ736" s="30">
        <v>0</v>
      </c>
      <c r="CA736" s="30">
        <v>0</v>
      </c>
      <c r="CB736" s="30">
        <v>0</v>
      </c>
      <c r="CC736" s="30">
        <v>0</v>
      </c>
      <c r="CD736" s="30">
        <v>0</v>
      </c>
      <c r="CE736" s="30">
        <v>0</v>
      </c>
      <c r="CF736" s="30">
        <v>0</v>
      </c>
      <c r="CG736" s="30">
        <v>0</v>
      </c>
      <c r="CH736" s="30">
        <v>0</v>
      </c>
      <c r="CI736" s="30">
        <v>0</v>
      </c>
      <c r="CJ736" s="30">
        <v>0</v>
      </c>
      <c r="CK736" s="30">
        <v>0</v>
      </c>
      <c r="CL736" s="30">
        <v>0</v>
      </c>
      <c r="CM736" s="30">
        <v>0</v>
      </c>
      <c r="CN736" s="30">
        <v>0</v>
      </c>
      <c r="CO736" s="30">
        <v>0</v>
      </c>
      <c r="CP736" s="30">
        <v>0</v>
      </c>
      <c r="CQ736" s="30">
        <v>0</v>
      </c>
      <c r="CR736" s="30">
        <v>0</v>
      </c>
      <c r="CS736" s="30">
        <v>0</v>
      </c>
      <c r="CT736" s="30">
        <v>0</v>
      </c>
      <c r="CU736" s="30">
        <v>0</v>
      </c>
      <c r="CV736" s="30">
        <v>0</v>
      </c>
      <c r="CW736" s="30">
        <v>0</v>
      </c>
      <c r="CX736" s="30">
        <v>0</v>
      </c>
      <c r="CY736" s="30">
        <v>0</v>
      </c>
      <c r="CZ736" s="30">
        <v>0</v>
      </c>
      <c r="DA736" s="30">
        <v>0</v>
      </c>
      <c r="DB736" s="30">
        <v>0</v>
      </c>
      <c r="DC736" s="30">
        <v>0</v>
      </c>
      <c r="DD736" s="30">
        <v>0</v>
      </c>
      <c r="DE736" s="30">
        <v>0</v>
      </c>
      <c r="DF736" s="30">
        <v>0</v>
      </c>
      <c r="DG736" s="16">
        <f t="shared" si="64"/>
        <v>55</v>
      </c>
      <c r="DH736" s="16">
        <f t="shared" si="65"/>
        <v>777</v>
      </c>
      <c r="DI736" s="17">
        <f t="shared" si="66"/>
        <v>14.127272727272727</v>
      </c>
      <c r="DJ736" s="119" t="s">
        <v>2</v>
      </c>
      <c r="DK736" s="44" t="s">
        <v>2</v>
      </c>
    </row>
    <row r="737" spans="1:116">
      <c r="A737" s="32" t="str">
        <f t="shared" si="62"/>
        <v>Ausgrid--&gt; 11 kV &amp; &lt; = 22 kV  ; CIRCUIT BREAKER</v>
      </c>
      <c r="B737" s="32" t="str">
        <f t="shared" si="63"/>
        <v>Ausgrid</v>
      </c>
      <c r="C737" s="397"/>
      <c r="D737" s="31"/>
      <c r="E737" s="30" t="s">
        <v>250</v>
      </c>
      <c r="F737" s="19">
        <v>41.8</v>
      </c>
      <c r="G737" s="19">
        <v>13.87</v>
      </c>
      <c r="H737" s="30">
        <v>0</v>
      </c>
      <c r="I737" s="30">
        <v>0</v>
      </c>
      <c r="J737" s="30">
        <v>0</v>
      </c>
      <c r="K737" s="30">
        <v>0</v>
      </c>
      <c r="L737" s="30">
        <v>3</v>
      </c>
      <c r="M737" s="30">
        <v>0</v>
      </c>
      <c r="N737" s="30">
        <v>1</v>
      </c>
      <c r="O737" s="30">
        <v>1</v>
      </c>
      <c r="P737" s="30">
        <v>0</v>
      </c>
      <c r="Q737" s="30">
        <v>1</v>
      </c>
      <c r="R737" s="30">
        <v>0</v>
      </c>
      <c r="S737" s="30">
        <v>0</v>
      </c>
      <c r="T737" s="30">
        <v>0</v>
      </c>
      <c r="U737" s="30">
        <v>0</v>
      </c>
      <c r="V737" s="30">
        <v>0</v>
      </c>
      <c r="W737" s="30">
        <v>1</v>
      </c>
      <c r="X737" s="30">
        <v>0</v>
      </c>
      <c r="Y737" s="30">
        <v>0</v>
      </c>
      <c r="Z737" s="30">
        <v>0</v>
      </c>
      <c r="AA737" s="30">
        <v>0</v>
      </c>
      <c r="AB737" s="30">
        <v>0</v>
      </c>
      <c r="AC737" s="30">
        <v>0</v>
      </c>
      <c r="AD737" s="30">
        <v>0</v>
      </c>
      <c r="AE737" s="30">
        <v>0</v>
      </c>
      <c r="AF737" s="30">
        <v>0</v>
      </c>
      <c r="AG737" s="30">
        <v>0</v>
      </c>
      <c r="AH737" s="30">
        <v>0</v>
      </c>
      <c r="AI737" s="30">
        <v>0</v>
      </c>
      <c r="AJ737" s="30">
        <v>0</v>
      </c>
      <c r="AK737" s="30">
        <v>0</v>
      </c>
      <c r="AL737" s="30">
        <v>0</v>
      </c>
      <c r="AM737" s="30">
        <v>0</v>
      </c>
      <c r="AN737" s="30">
        <v>0</v>
      </c>
      <c r="AO737" s="30">
        <v>0</v>
      </c>
      <c r="AP737" s="30">
        <v>0</v>
      </c>
      <c r="AQ737" s="30">
        <v>0</v>
      </c>
      <c r="AR737" s="30">
        <v>0</v>
      </c>
      <c r="AS737" s="30">
        <v>0</v>
      </c>
      <c r="AT737" s="30">
        <v>0</v>
      </c>
      <c r="AU737" s="30">
        <v>0</v>
      </c>
      <c r="AV737" s="30">
        <v>0</v>
      </c>
      <c r="AW737" s="30">
        <v>0</v>
      </c>
      <c r="AX737" s="30">
        <v>0</v>
      </c>
      <c r="AY737" s="30">
        <v>0</v>
      </c>
      <c r="AZ737" s="30">
        <v>0</v>
      </c>
      <c r="BA737" s="30">
        <v>0</v>
      </c>
      <c r="BB737" s="30">
        <v>0</v>
      </c>
      <c r="BC737" s="30">
        <v>0</v>
      </c>
      <c r="BD737" s="30">
        <v>0</v>
      </c>
      <c r="BE737" s="30">
        <v>0</v>
      </c>
      <c r="BF737" s="30">
        <v>0</v>
      </c>
      <c r="BG737" s="30">
        <v>0</v>
      </c>
      <c r="BH737" s="30">
        <v>0</v>
      </c>
      <c r="BI737" s="30">
        <v>0</v>
      </c>
      <c r="BJ737" s="30">
        <v>0</v>
      </c>
      <c r="BK737" s="30">
        <v>0</v>
      </c>
      <c r="BL737" s="30">
        <v>0</v>
      </c>
      <c r="BM737" s="30">
        <v>0</v>
      </c>
      <c r="BN737" s="30">
        <v>0</v>
      </c>
      <c r="BO737" s="30">
        <v>0</v>
      </c>
      <c r="BP737" s="30">
        <v>0</v>
      </c>
      <c r="BQ737" s="30">
        <v>0</v>
      </c>
      <c r="BR737" s="30">
        <v>0</v>
      </c>
      <c r="BS737" s="30">
        <v>0</v>
      </c>
      <c r="BT737" s="30">
        <v>0</v>
      </c>
      <c r="BU737" s="30">
        <v>0</v>
      </c>
      <c r="BV737" s="30">
        <v>0</v>
      </c>
      <c r="BW737" s="30">
        <v>0</v>
      </c>
      <c r="BX737" s="30">
        <v>0</v>
      </c>
      <c r="BY737" s="30">
        <v>0</v>
      </c>
      <c r="BZ737" s="30">
        <v>0</v>
      </c>
      <c r="CA737" s="30">
        <v>0</v>
      </c>
      <c r="CB737" s="30">
        <v>0</v>
      </c>
      <c r="CC737" s="30">
        <v>0</v>
      </c>
      <c r="CD737" s="30">
        <v>0</v>
      </c>
      <c r="CE737" s="30">
        <v>0</v>
      </c>
      <c r="CF737" s="30">
        <v>0</v>
      </c>
      <c r="CG737" s="30">
        <v>0</v>
      </c>
      <c r="CH737" s="30">
        <v>0</v>
      </c>
      <c r="CI737" s="30">
        <v>0</v>
      </c>
      <c r="CJ737" s="30">
        <v>0</v>
      </c>
      <c r="CK737" s="30">
        <v>0</v>
      </c>
      <c r="CL737" s="30">
        <v>0</v>
      </c>
      <c r="CM737" s="30">
        <v>0</v>
      </c>
      <c r="CN737" s="30">
        <v>0</v>
      </c>
      <c r="CO737" s="30">
        <v>0</v>
      </c>
      <c r="CP737" s="30">
        <v>0</v>
      </c>
      <c r="CQ737" s="30">
        <v>0</v>
      </c>
      <c r="CR737" s="30">
        <v>0</v>
      </c>
      <c r="CS737" s="30">
        <v>0</v>
      </c>
      <c r="CT737" s="30">
        <v>0</v>
      </c>
      <c r="CU737" s="30">
        <v>0</v>
      </c>
      <c r="CV737" s="30">
        <v>0</v>
      </c>
      <c r="CW737" s="30">
        <v>0</v>
      </c>
      <c r="CX737" s="30">
        <v>0</v>
      </c>
      <c r="CY737" s="30">
        <v>0</v>
      </c>
      <c r="CZ737" s="30">
        <v>0</v>
      </c>
      <c r="DA737" s="30">
        <v>0</v>
      </c>
      <c r="DB737" s="30">
        <v>0</v>
      </c>
      <c r="DC737" s="30">
        <v>0</v>
      </c>
      <c r="DD737" s="30">
        <v>0</v>
      </c>
      <c r="DE737" s="30">
        <v>0</v>
      </c>
      <c r="DF737" s="30">
        <v>0</v>
      </c>
      <c r="DG737" s="16">
        <f t="shared" si="64"/>
        <v>7</v>
      </c>
      <c r="DH737" s="16">
        <f t="shared" si="65"/>
        <v>56</v>
      </c>
      <c r="DI737" s="17">
        <f t="shared" si="66"/>
        <v>8</v>
      </c>
      <c r="DJ737" s="119" t="s">
        <v>2</v>
      </c>
      <c r="DK737" s="44" t="s">
        <v>2</v>
      </c>
    </row>
    <row r="738" spans="1:116">
      <c r="A738" s="32" t="str">
        <f t="shared" si="62"/>
        <v>Ausgrid--&gt; 22 kV &amp; &lt; = 33 kV ; SWITCH</v>
      </c>
      <c r="B738" s="32" t="str">
        <f t="shared" si="63"/>
        <v>Ausgrid</v>
      </c>
      <c r="C738" s="397"/>
      <c r="D738" s="31"/>
      <c r="E738" s="30" t="s">
        <v>251</v>
      </c>
      <c r="F738" s="19">
        <v>39.72</v>
      </c>
      <c r="G738" s="19">
        <v>17.739999999999998</v>
      </c>
      <c r="H738" s="30">
        <v>81</v>
      </c>
      <c r="I738" s="30">
        <v>75</v>
      </c>
      <c r="J738" s="30">
        <v>41</v>
      </c>
      <c r="K738" s="30">
        <v>135</v>
      </c>
      <c r="L738" s="30">
        <v>55</v>
      </c>
      <c r="M738" s="30">
        <v>34</v>
      </c>
      <c r="N738" s="30">
        <v>53</v>
      </c>
      <c r="O738" s="30">
        <v>59</v>
      </c>
      <c r="P738" s="30">
        <v>86</v>
      </c>
      <c r="Q738" s="30">
        <v>24</v>
      </c>
      <c r="R738" s="30">
        <v>6</v>
      </c>
      <c r="S738" s="30">
        <v>0</v>
      </c>
      <c r="T738" s="30">
        <v>3</v>
      </c>
      <c r="U738" s="30">
        <v>2</v>
      </c>
      <c r="V738" s="30">
        <v>0</v>
      </c>
      <c r="W738" s="30">
        <v>0</v>
      </c>
      <c r="X738" s="30">
        <v>0</v>
      </c>
      <c r="Y738" s="30">
        <v>92</v>
      </c>
      <c r="Z738" s="30">
        <v>0</v>
      </c>
      <c r="AA738" s="30">
        <v>3</v>
      </c>
      <c r="AB738" s="30">
        <v>0</v>
      </c>
      <c r="AC738" s="30">
        <v>9</v>
      </c>
      <c r="AD738" s="30">
        <v>4</v>
      </c>
      <c r="AE738" s="30">
        <v>4</v>
      </c>
      <c r="AF738" s="30">
        <v>3</v>
      </c>
      <c r="AG738" s="30">
        <v>2</v>
      </c>
      <c r="AH738" s="30">
        <v>5</v>
      </c>
      <c r="AI738" s="30">
        <v>5</v>
      </c>
      <c r="AJ738" s="30">
        <v>0</v>
      </c>
      <c r="AK738" s="30">
        <v>0</v>
      </c>
      <c r="AL738" s="30">
        <v>1</v>
      </c>
      <c r="AM738" s="30">
        <v>8</v>
      </c>
      <c r="AN738" s="30">
        <v>1</v>
      </c>
      <c r="AO738" s="30">
        <v>1</v>
      </c>
      <c r="AP738" s="30">
        <v>47</v>
      </c>
      <c r="AQ738" s="30">
        <v>24</v>
      </c>
      <c r="AR738" s="30">
        <v>21</v>
      </c>
      <c r="AS738" s="30">
        <v>8</v>
      </c>
      <c r="AT738" s="30">
        <v>4</v>
      </c>
      <c r="AU738" s="30">
        <v>18</v>
      </c>
      <c r="AV738" s="30">
        <v>10</v>
      </c>
      <c r="AW738" s="30">
        <v>49</v>
      </c>
      <c r="AX738" s="30">
        <v>45</v>
      </c>
      <c r="AY738" s="30">
        <v>0</v>
      </c>
      <c r="AZ738" s="30">
        <v>0</v>
      </c>
      <c r="BA738" s="30">
        <v>178</v>
      </c>
      <c r="BB738" s="30">
        <v>143</v>
      </c>
      <c r="BC738" s="30">
        <v>42</v>
      </c>
      <c r="BD738" s="30">
        <v>51</v>
      </c>
      <c r="BE738" s="30">
        <v>471</v>
      </c>
      <c r="BF738" s="30">
        <v>23</v>
      </c>
      <c r="BG738" s="30">
        <v>101</v>
      </c>
      <c r="BH738" s="30">
        <v>112</v>
      </c>
      <c r="BI738" s="30">
        <v>139</v>
      </c>
      <c r="BJ738" s="30">
        <v>34</v>
      </c>
      <c r="BK738" s="30">
        <v>79</v>
      </c>
      <c r="BL738" s="30">
        <v>134</v>
      </c>
      <c r="BM738" s="30">
        <v>0</v>
      </c>
      <c r="BN738" s="30">
        <v>0</v>
      </c>
      <c r="BO738" s="30">
        <v>7</v>
      </c>
      <c r="BP738" s="30">
        <v>41</v>
      </c>
      <c r="BQ738" s="30">
        <v>87</v>
      </c>
      <c r="BR738" s="30">
        <v>2</v>
      </c>
      <c r="BS738" s="30">
        <v>0</v>
      </c>
      <c r="BT738" s="30">
        <v>0</v>
      </c>
      <c r="BU738" s="30">
        <v>0</v>
      </c>
      <c r="BV738" s="30">
        <v>0</v>
      </c>
      <c r="BW738" s="30">
        <v>0</v>
      </c>
      <c r="BX738" s="30">
        <v>0</v>
      </c>
      <c r="BY738" s="30">
        <v>0</v>
      </c>
      <c r="BZ738" s="30">
        <v>0</v>
      </c>
      <c r="CA738" s="30">
        <v>3</v>
      </c>
      <c r="CB738" s="30">
        <v>0</v>
      </c>
      <c r="CC738" s="30">
        <v>0</v>
      </c>
      <c r="CD738" s="30">
        <v>0</v>
      </c>
      <c r="CE738" s="30">
        <v>0</v>
      </c>
      <c r="CF738" s="30">
        <v>0</v>
      </c>
      <c r="CG738" s="30">
        <v>0</v>
      </c>
      <c r="CH738" s="30">
        <v>0</v>
      </c>
      <c r="CI738" s="30">
        <v>0</v>
      </c>
      <c r="CJ738" s="30">
        <v>0</v>
      </c>
      <c r="CK738" s="30">
        <v>0</v>
      </c>
      <c r="CL738" s="30">
        <v>0</v>
      </c>
      <c r="CM738" s="30">
        <v>0</v>
      </c>
      <c r="CN738" s="30">
        <v>0</v>
      </c>
      <c r="CO738" s="30">
        <v>0</v>
      </c>
      <c r="CP738" s="30">
        <v>0</v>
      </c>
      <c r="CQ738" s="30">
        <v>0</v>
      </c>
      <c r="CR738" s="30">
        <v>0</v>
      </c>
      <c r="CS738" s="30">
        <v>0</v>
      </c>
      <c r="CT738" s="30">
        <v>0</v>
      </c>
      <c r="CU738" s="30">
        <v>0</v>
      </c>
      <c r="CV738" s="30">
        <v>0</v>
      </c>
      <c r="CW738" s="30">
        <v>0</v>
      </c>
      <c r="CX738" s="30">
        <v>0</v>
      </c>
      <c r="CY738" s="30">
        <v>0</v>
      </c>
      <c r="CZ738" s="30">
        <v>0</v>
      </c>
      <c r="DA738" s="30">
        <v>0</v>
      </c>
      <c r="DB738" s="30">
        <v>0</v>
      </c>
      <c r="DC738" s="30">
        <v>0</v>
      </c>
      <c r="DD738" s="30">
        <v>0</v>
      </c>
      <c r="DE738" s="30">
        <v>0</v>
      </c>
      <c r="DF738" s="30">
        <v>0</v>
      </c>
      <c r="DG738" s="16">
        <f t="shared" si="64"/>
        <v>2665</v>
      </c>
      <c r="DH738" s="16">
        <f t="shared" si="65"/>
        <v>100520</v>
      </c>
      <c r="DI738" s="17">
        <f t="shared" si="66"/>
        <v>37.718574108818011</v>
      </c>
      <c r="DJ738" s="119" t="s">
        <v>2</v>
      </c>
      <c r="DK738" s="44" t="s">
        <v>2</v>
      </c>
    </row>
    <row r="739" spans="1:116">
      <c r="A739" s="32" t="str">
        <f t="shared" si="62"/>
        <v>Ausgrid--&gt; 22 kV &amp; &lt; = 33 kV ; CIRCUIT BREAKER</v>
      </c>
      <c r="B739" s="32" t="str">
        <f t="shared" si="63"/>
        <v>Ausgrid</v>
      </c>
      <c r="C739" s="397"/>
      <c r="D739" s="31"/>
      <c r="E739" s="30" t="s">
        <v>252</v>
      </c>
      <c r="F739" s="19">
        <v>41.8</v>
      </c>
      <c r="G739" s="19">
        <v>13.87</v>
      </c>
      <c r="H739" s="30">
        <v>61</v>
      </c>
      <c r="I739" s="30">
        <v>65</v>
      </c>
      <c r="J739" s="30">
        <v>36</v>
      </c>
      <c r="K739" s="30">
        <v>60</v>
      </c>
      <c r="L739" s="30">
        <v>22</v>
      </c>
      <c r="M739" s="30">
        <v>24</v>
      </c>
      <c r="N739" s="30">
        <v>22</v>
      </c>
      <c r="O739" s="30">
        <v>14</v>
      </c>
      <c r="P739" s="30">
        <v>24</v>
      </c>
      <c r="Q739" s="30">
        <v>17</v>
      </c>
      <c r="R739" s="30">
        <v>8</v>
      </c>
      <c r="S739" s="30">
        <v>3</v>
      </c>
      <c r="T739" s="30">
        <v>13</v>
      </c>
      <c r="U739" s="30">
        <v>28</v>
      </c>
      <c r="V739" s="30">
        <v>3</v>
      </c>
      <c r="W739" s="30">
        <v>1</v>
      </c>
      <c r="X739" s="30">
        <v>0</v>
      </c>
      <c r="Y739" s="30">
        <v>25</v>
      </c>
      <c r="Z739" s="30">
        <v>0</v>
      </c>
      <c r="AA739" s="30">
        <v>52</v>
      </c>
      <c r="AB739" s="30">
        <v>0</v>
      </c>
      <c r="AC739" s="30">
        <v>0</v>
      </c>
      <c r="AD739" s="30">
        <v>0</v>
      </c>
      <c r="AE739" s="30">
        <v>0</v>
      </c>
      <c r="AF739" s="30">
        <v>3</v>
      </c>
      <c r="AG739" s="30">
        <v>0</v>
      </c>
      <c r="AH739" s="30">
        <v>2</v>
      </c>
      <c r="AI739" s="30">
        <v>0</v>
      </c>
      <c r="AJ739" s="30">
        <v>2</v>
      </c>
      <c r="AK739" s="30">
        <v>0</v>
      </c>
      <c r="AL739" s="30">
        <v>0</v>
      </c>
      <c r="AM739" s="30">
        <v>0</v>
      </c>
      <c r="AN739" s="30">
        <v>2</v>
      </c>
      <c r="AO739" s="30">
        <v>1</v>
      </c>
      <c r="AP739" s="30">
        <v>9</v>
      </c>
      <c r="AQ739" s="30">
        <v>7</v>
      </c>
      <c r="AR739" s="30">
        <v>10</v>
      </c>
      <c r="AS739" s="30">
        <v>12</v>
      </c>
      <c r="AT739" s="30">
        <v>5</v>
      </c>
      <c r="AU739" s="30">
        <v>9</v>
      </c>
      <c r="AV739" s="30">
        <v>0</v>
      </c>
      <c r="AW739" s="30">
        <v>13</v>
      </c>
      <c r="AX739" s="30">
        <v>13</v>
      </c>
      <c r="AY739" s="30">
        <v>5</v>
      </c>
      <c r="AZ739" s="30">
        <v>16</v>
      </c>
      <c r="BA739" s="30">
        <v>27</v>
      </c>
      <c r="BB739" s="30">
        <v>24</v>
      </c>
      <c r="BC739" s="30">
        <v>8</v>
      </c>
      <c r="BD739" s="30">
        <v>7</v>
      </c>
      <c r="BE739" s="30">
        <v>81</v>
      </c>
      <c r="BF739" s="30">
        <v>5</v>
      </c>
      <c r="BG739" s="30">
        <v>30</v>
      </c>
      <c r="BH739" s="30">
        <v>37</v>
      </c>
      <c r="BI739" s="30">
        <v>42</v>
      </c>
      <c r="BJ739" s="30">
        <v>18</v>
      </c>
      <c r="BK739" s="30">
        <v>21</v>
      </c>
      <c r="BL739" s="30">
        <v>21</v>
      </c>
      <c r="BM739" s="30">
        <v>0</v>
      </c>
      <c r="BN739" s="30">
        <v>3</v>
      </c>
      <c r="BO739" s="30">
        <v>5</v>
      </c>
      <c r="BP739" s="30">
        <v>5</v>
      </c>
      <c r="BQ739" s="30">
        <v>28</v>
      </c>
      <c r="BR739" s="30">
        <v>0</v>
      </c>
      <c r="BS739" s="30">
        <v>1</v>
      </c>
      <c r="BT739" s="30">
        <v>6</v>
      </c>
      <c r="BU739" s="30">
        <v>0</v>
      </c>
      <c r="BV739" s="30">
        <v>0</v>
      </c>
      <c r="BW739" s="30">
        <v>0</v>
      </c>
      <c r="BX739" s="30">
        <v>0</v>
      </c>
      <c r="BY739" s="30">
        <v>0</v>
      </c>
      <c r="BZ739" s="30">
        <v>0</v>
      </c>
      <c r="CA739" s="30">
        <v>0</v>
      </c>
      <c r="CB739" s="30">
        <v>0</v>
      </c>
      <c r="CC739" s="30">
        <v>0</v>
      </c>
      <c r="CD739" s="30">
        <v>0</v>
      </c>
      <c r="CE739" s="30">
        <v>0</v>
      </c>
      <c r="CF739" s="30">
        <v>0</v>
      </c>
      <c r="CG739" s="30">
        <v>0</v>
      </c>
      <c r="CH739" s="30">
        <v>0</v>
      </c>
      <c r="CI739" s="30">
        <v>0</v>
      </c>
      <c r="CJ739" s="30">
        <v>0</v>
      </c>
      <c r="CK739" s="30">
        <v>0</v>
      </c>
      <c r="CL739" s="30">
        <v>0</v>
      </c>
      <c r="CM739" s="30">
        <v>0</v>
      </c>
      <c r="CN739" s="30">
        <v>0</v>
      </c>
      <c r="CO739" s="30">
        <v>0</v>
      </c>
      <c r="CP739" s="30">
        <v>0</v>
      </c>
      <c r="CQ739" s="30">
        <v>0</v>
      </c>
      <c r="CR739" s="30">
        <v>0</v>
      </c>
      <c r="CS739" s="30">
        <v>0</v>
      </c>
      <c r="CT739" s="30">
        <v>0</v>
      </c>
      <c r="CU739" s="30">
        <v>0</v>
      </c>
      <c r="CV739" s="30">
        <v>0</v>
      </c>
      <c r="CW739" s="30">
        <v>0</v>
      </c>
      <c r="CX739" s="30">
        <v>0</v>
      </c>
      <c r="CY739" s="30">
        <v>0</v>
      </c>
      <c r="CZ739" s="30">
        <v>0</v>
      </c>
      <c r="DA739" s="30">
        <v>0</v>
      </c>
      <c r="DB739" s="30">
        <v>0</v>
      </c>
      <c r="DC739" s="30">
        <v>0</v>
      </c>
      <c r="DD739" s="30">
        <v>0</v>
      </c>
      <c r="DE739" s="30">
        <v>0</v>
      </c>
      <c r="DF739" s="30">
        <v>0</v>
      </c>
      <c r="DG739" s="16">
        <f t="shared" si="64"/>
        <v>956</v>
      </c>
      <c r="DH739" s="16">
        <f t="shared" si="65"/>
        <v>27487</v>
      </c>
      <c r="DI739" s="17">
        <f t="shared" si="66"/>
        <v>28.752092050209207</v>
      </c>
      <c r="DJ739" s="119" t="s">
        <v>2</v>
      </c>
      <c r="DK739" s="44" t="s">
        <v>2</v>
      </c>
    </row>
    <row r="740" spans="1:116">
      <c r="A740" s="32" t="str">
        <f t="shared" si="62"/>
        <v>Ausgrid--&gt; 33 kV &amp; &lt; = 66 kV ; SWITCH</v>
      </c>
      <c r="B740" s="32" t="str">
        <f t="shared" si="63"/>
        <v>Ausgrid</v>
      </c>
      <c r="C740" s="397"/>
      <c r="D740" s="31"/>
      <c r="E740" s="30" t="s">
        <v>253</v>
      </c>
      <c r="F740" s="19">
        <v>30.92</v>
      </c>
      <c r="G740" s="19">
        <v>15.85</v>
      </c>
      <c r="H740" s="30">
        <v>60</v>
      </c>
      <c r="I740" s="30">
        <v>6</v>
      </c>
      <c r="J740" s="30">
        <v>29</v>
      </c>
      <c r="K740" s="30">
        <v>43</v>
      </c>
      <c r="L740" s="30">
        <v>5</v>
      </c>
      <c r="M740" s="30">
        <v>29</v>
      </c>
      <c r="N740" s="30">
        <v>13</v>
      </c>
      <c r="O740" s="30">
        <v>9</v>
      </c>
      <c r="P740" s="30">
        <v>18</v>
      </c>
      <c r="Q740" s="30">
        <v>4</v>
      </c>
      <c r="R740" s="30">
        <v>2</v>
      </c>
      <c r="S740" s="30">
        <v>7</v>
      </c>
      <c r="T740" s="30">
        <v>3</v>
      </c>
      <c r="U740" s="30">
        <v>15</v>
      </c>
      <c r="V740" s="30">
        <v>1</v>
      </c>
      <c r="W740" s="30">
        <v>0</v>
      </c>
      <c r="X740" s="30">
        <v>0</v>
      </c>
      <c r="Y740" s="30">
        <v>0</v>
      </c>
      <c r="Z740" s="30">
        <v>0</v>
      </c>
      <c r="AA740" s="30">
        <v>0</v>
      </c>
      <c r="AB740" s="30">
        <v>0</v>
      </c>
      <c r="AC740" s="30">
        <v>0</v>
      </c>
      <c r="AD740" s="30">
        <v>0</v>
      </c>
      <c r="AE740" s="30">
        <v>5</v>
      </c>
      <c r="AF740" s="30">
        <v>0</v>
      </c>
      <c r="AG740" s="30">
        <v>0</v>
      </c>
      <c r="AH740" s="30">
        <v>0</v>
      </c>
      <c r="AI740" s="30">
        <v>10</v>
      </c>
      <c r="AJ740" s="30">
        <v>7</v>
      </c>
      <c r="AK740" s="30">
        <v>9</v>
      </c>
      <c r="AL740" s="30">
        <v>44</v>
      </c>
      <c r="AM740" s="30">
        <v>13</v>
      </c>
      <c r="AN740" s="30">
        <v>0</v>
      </c>
      <c r="AO740" s="30">
        <v>8</v>
      </c>
      <c r="AP740" s="30">
        <v>0</v>
      </c>
      <c r="AQ740" s="30">
        <v>46</v>
      </c>
      <c r="AR740" s="30">
        <v>0</v>
      </c>
      <c r="AS740" s="30">
        <v>3</v>
      </c>
      <c r="AT740" s="30">
        <v>0</v>
      </c>
      <c r="AU740" s="30">
        <v>9</v>
      </c>
      <c r="AV740" s="30">
        <v>0</v>
      </c>
      <c r="AW740" s="30">
        <v>2</v>
      </c>
      <c r="AX740" s="30">
        <v>0</v>
      </c>
      <c r="AY740" s="30">
        <v>11</v>
      </c>
      <c r="AZ740" s="30">
        <v>3</v>
      </c>
      <c r="BA740" s="30">
        <v>0</v>
      </c>
      <c r="BB740" s="30">
        <v>0</v>
      </c>
      <c r="BC740" s="30">
        <v>10</v>
      </c>
      <c r="BD740" s="30">
        <v>0</v>
      </c>
      <c r="BE740" s="30">
        <v>3</v>
      </c>
      <c r="BF740" s="30">
        <v>0</v>
      </c>
      <c r="BG740" s="30">
        <v>1</v>
      </c>
      <c r="BH740" s="30">
        <v>0</v>
      </c>
      <c r="BI740" s="30">
        <v>0</v>
      </c>
      <c r="BJ740" s="30">
        <v>0</v>
      </c>
      <c r="BK740" s="30">
        <v>21</v>
      </c>
      <c r="BL740" s="30">
        <v>2</v>
      </c>
      <c r="BM740" s="30">
        <v>17</v>
      </c>
      <c r="BN740" s="30">
        <v>0</v>
      </c>
      <c r="BO740" s="30">
        <v>0</v>
      </c>
      <c r="BP740" s="30">
        <v>0</v>
      </c>
      <c r="BQ740" s="30">
        <v>0</v>
      </c>
      <c r="BR740" s="30">
        <v>0</v>
      </c>
      <c r="BS740" s="30">
        <v>0</v>
      </c>
      <c r="BT740" s="30">
        <v>0</v>
      </c>
      <c r="BU740" s="30">
        <v>0</v>
      </c>
      <c r="BV740" s="30">
        <v>0</v>
      </c>
      <c r="BW740" s="30">
        <v>0</v>
      </c>
      <c r="BX740" s="30">
        <v>0</v>
      </c>
      <c r="BY740" s="30">
        <v>0</v>
      </c>
      <c r="BZ740" s="30">
        <v>0</v>
      </c>
      <c r="CA740" s="30">
        <v>0</v>
      </c>
      <c r="CB740" s="30">
        <v>0</v>
      </c>
      <c r="CC740" s="30">
        <v>0</v>
      </c>
      <c r="CD740" s="30">
        <v>0</v>
      </c>
      <c r="CE740" s="30">
        <v>0</v>
      </c>
      <c r="CF740" s="30">
        <v>0</v>
      </c>
      <c r="CG740" s="30">
        <v>0</v>
      </c>
      <c r="CH740" s="30">
        <v>0</v>
      </c>
      <c r="CI740" s="30">
        <v>0</v>
      </c>
      <c r="CJ740" s="30">
        <v>0</v>
      </c>
      <c r="CK740" s="30">
        <v>0</v>
      </c>
      <c r="CL740" s="30">
        <v>0</v>
      </c>
      <c r="CM740" s="30">
        <v>0</v>
      </c>
      <c r="CN740" s="30">
        <v>0</v>
      </c>
      <c r="CO740" s="30">
        <v>0</v>
      </c>
      <c r="CP740" s="30">
        <v>0</v>
      </c>
      <c r="CQ740" s="30">
        <v>0</v>
      </c>
      <c r="CR740" s="30">
        <v>0</v>
      </c>
      <c r="CS740" s="30">
        <v>0</v>
      </c>
      <c r="CT740" s="30">
        <v>0</v>
      </c>
      <c r="CU740" s="30">
        <v>0</v>
      </c>
      <c r="CV740" s="30">
        <v>0</v>
      </c>
      <c r="CW740" s="30">
        <v>0</v>
      </c>
      <c r="CX740" s="30">
        <v>0</v>
      </c>
      <c r="CY740" s="30">
        <v>0</v>
      </c>
      <c r="CZ740" s="30">
        <v>0</v>
      </c>
      <c r="DA740" s="30">
        <v>0</v>
      </c>
      <c r="DB740" s="30">
        <v>0</v>
      </c>
      <c r="DC740" s="30">
        <v>0</v>
      </c>
      <c r="DD740" s="30">
        <v>0</v>
      </c>
      <c r="DE740" s="30">
        <v>0</v>
      </c>
      <c r="DF740" s="30">
        <v>0</v>
      </c>
      <c r="DG740" s="16">
        <f t="shared" si="64"/>
        <v>468</v>
      </c>
      <c r="DH740" s="16">
        <f t="shared" si="65"/>
        <v>9981</v>
      </c>
      <c r="DI740" s="17">
        <f t="shared" si="66"/>
        <v>21.326923076923077</v>
      </c>
      <c r="DJ740" s="119" t="s">
        <v>2</v>
      </c>
      <c r="DK740" s="44" t="s">
        <v>2</v>
      </c>
    </row>
    <row r="741" spans="1:116">
      <c r="A741" s="32" t="str">
        <f t="shared" si="62"/>
        <v>Ausgrid--&gt; 33 kV &amp; &lt; = 66 kV ; CIRCUIT BREAKER</v>
      </c>
      <c r="B741" s="32" t="str">
        <f t="shared" si="63"/>
        <v>Ausgrid</v>
      </c>
      <c r="C741" s="397"/>
      <c r="D741" s="31"/>
      <c r="E741" s="30" t="s">
        <v>254</v>
      </c>
      <c r="F741" s="19">
        <v>31.78</v>
      </c>
      <c r="G741" s="19">
        <v>9.7200000000000006</v>
      </c>
      <c r="H741" s="30">
        <v>20</v>
      </c>
      <c r="I741" s="30">
        <v>9</v>
      </c>
      <c r="J741" s="30">
        <v>19</v>
      </c>
      <c r="K741" s="30">
        <v>18</v>
      </c>
      <c r="L741" s="30">
        <v>2</v>
      </c>
      <c r="M741" s="30">
        <v>12</v>
      </c>
      <c r="N741" s="30">
        <v>2</v>
      </c>
      <c r="O741" s="30">
        <v>6</v>
      </c>
      <c r="P741" s="30">
        <v>8</v>
      </c>
      <c r="Q741" s="30">
        <v>5</v>
      </c>
      <c r="R741" s="30">
        <v>2</v>
      </c>
      <c r="S741" s="30">
        <v>10</v>
      </c>
      <c r="T741" s="30">
        <v>3</v>
      </c>
      <c r="U741" s="30">
        <v>0</v>
      </c>
      <c r="V741" s="30">
        <v>0</v>
      </c>
      <c r="W741" s="30">
        <v>0</v>
      </c>
      <c r="X741" s="30">
        <v>0</v>
      </c>
      <c r="Y741" s="30">
        <v>0</v>
      </c>
      <c r="Z741" s="30">
        <v>0</v>
      </c>
      <c r="AA741" s="30">
        <v>0</v>
      </c>
      <c r="AB741" s="30">
        <v>0</v>
      </c>
      <c r="AC741" s="30">
        <v>1</v>
      </c>
      <c r="AD741" s="30">
        <v>0</v>
      </c>
      <c r="AE741" s="30">
        <v>1</v>
      </c>
      <c r="AF741" s="30">
        <v>0</v>
      </c>
      <c r="AG741" s="30">
        <v>0</v>
      </c>
      <c r="AH741" s="30">
        <v>1</v>
      </c>
      <c r="AI741" s="30">
        <v>0</v>
      </c>
      <c r="AJ741" s="30">
        <v>0</v>
      </c>
      <c r="AK741" s="30">
        <v>3</v>
      </c>
      <c r="AL741" s="30">
        <v>5</v>
      </c>
      <c r="AM741" s="30">
        <v>3</v>
      </c>
      <c r="AN741" s="30">
        <v>1</v>
      </c>
      <c r="AO741" s="30">
        <v>1</v>
      </c>
      <c r="AP741" s="30">
        <v>0</v>
      </c>
      <c r="AQ741" s="30">
        <v>3</v>
      </c>
      <c r="AR741" s="30">
        <v>0</v>
      </c>
      <c r="AS741" s="30">
        <v>0</v>
      </c>
      <c r="AT741" s="30">
        <v>0</v>
      </c>
      <c r="AU741" s="30">
        <v>0</v>
      </c>
      <c r="AV741" s="30">
        <v>0</v>
      </c>
      <c r="AW741" s="30">
        <v>0</v>
      </c>
      <c r="AX741" s="30">
        <v>0</v>
      </c>
      <c r="AY741" s="30">
        <v>0</v>
      </c>
      <c r="AZ741" s="30">
        <v>0</v>
      </c>
      <c r="BA741" s="30">
        <v>0</v>
      </c>
      <c r="BB741" s="30">
        <v>0</v>
      </c>
      <c r="BC741" s="30">
        <v>0</v>
      </c>
      <c r="BD741" s="30">
        <v>0</v>
      </c>
      <c r="BE741" s="30">
        <v>0</v>
      </c>
      <c r="BF741" s="30">
        <v>0</v>
      </c>
      <c r="BG741" s="30">
        <v>0</v>
      </c>
      <c r="BH741" s="30">
        <v>0</v>
      </c>
      <c r="BI741" s="30">
        <v>0</v>
      </c>
      <c r="BJ741" s="30">
        <v>0</v>
      </c>
      <c r="BK741" s="30">
        <v>0</v>
      </c>
      <c r="BL741" s="30">
        <v>0</v>
      </c>
      <c r="BM741" s="30">
        <v>2</v>
      </c>
      <c r="BN741" s="30">
        <v>0</v>
      </c>
      <c r="BO741" s="30">
        <v>0</v>
      </c>
      <c r="BP741" s="30">
        <v>0</v>
      </c>
      <c r="BQ741" s="30">
        <v>0</v>
      </c>
      <c r="BR741" s="30">
        <v>0</v>
      </c>
      <c r="BS741" s="30">
        <v>0</v>
      </c>
      <c r="BT741" s="30">
        <v>0</v>
      </c>
      <c r="BU741" s="30">
        <v>0</v>
      </c>
      <c r="BV741" s="30">
        <v>0</v>
      </c>
      <c r="BW741" s="30">
        <v>0</v>
      </c>
      <c r="BX741" s="30">
        <v>0</v>
      </c>
      <c r="BY741" s="30">
        <v>0</v>
      </c>
      <c r="BZ741" s="30">
        <v>0</v>
      </c>
      <c r="CA741" s="30">
        <v>0</v>
      </c>
      <c r="CB741" s="30">
        <v>0</v>
      </c>
      <c r="CC741" s="30">
        <v>0</v>
      </c>
      <c r="CD741" s="30">
        <v>0</v>
      </c>
      <c r="CE741" s="30">
        <v>0</v>
      </c>
      <c r="CF741" s="30">
        <v>0</v>
      </c>
      <c r="CG741" s="30">
        <v>0</v>
      </c>
      <c r="CH741" s="30">
        <v>0</v>
      </c>
      <c r="CI741" s="30">
        <v>0</v>
      </c>
      <c r="CJ741" s="30">
        <v>0</v>
      </c>
      <c r="CK741" s="30">
        <v>0</v>
      </c>
      <c r="CL741" s="30">
        <v>0</v>
      </c>
      <c r="CM741" s="30">
        <v>0</v>
      </c>
      <c r="CN741" s="30">
        <v>0</v>
      </c>
      <c r="CO741" s="30">
        <v>0</v>
      </c>
      <c r="CP741" s="30">
        <v>0</v>
      </c>
      <c r="CQ741" s="30">
        <v>0</v>
      </c>
      <c r="CR741" s="30">
        <v>0</v>
      </c>
      <c r="CS741" s="30">
        <v>0</v>
      </c>
      <c r="CT741" s="30">
        <v>0</v>
      </c>
      <c r="CU741" s="30">
        <v>0</v>
      </c>
      <c r="CV741" s="30">
        <v>0</v>
      </c>
      <c r="CW741" s="30">
        <v>0</v>
      </c>
      <c r="CX741" s="30">
        <v>0</v>
      </c>
      <c r="CY741" s="30">
        <v>0</v>
      </c>
      <c r="CZ741" s="30">
        <v>0</v>
      </c>
      <c r="DA741" s="30">
        <v>0</v>
      </c>
      <c r="DB741" s="30">
        <v>0</v>
      </c>
      <c r="DC741" s="30">
        <v>0</v>
      </c>
      <c r="DD741" s="30">
        <v>0</v>
      </c>
      <c r="DE741" s="30">
        <v>0</v>
      </c>
      <c r="DF741" s="30">
        <v>0</v>
      </c>
      <c r="DG741" s="16">
        <f t="shared" si="64"/>
        <v>137</v>
      </c>
      <c r="DH741" s="16">
        <f t="shared" si="65"/>
        <v>1319</v>
      </c>
      <c r="DI741" s="17">
        <f t="shared" si="66"/>
        <v>9.6277372262773717</v>
      </c>
      <c r="DJ741" s="119" t="s">
        <v>2</v>
      </c>
      <c r="DK741" s="44" t="s">
        <v>2</v>
      </c>
    </row>
    <row r="742" spans="1:116">
      <c r="A742" s="32" t="str">
        <f t="shared" si="62"/>
        <v>Ausgrid--&gt; 66 kV &amp; &lt; = 132 kV ; SWITCH</v>
      </c>
      <c r="B742" s="32" t="str">
        <f t="shared" si="63"/>
        <v>Ausgrid</v>
      </c>
      <c r="C742" s="397"/>
      <c r="D742" s="31"/>
      <c r="E742" s="30" t="s">
        <v>255</v>
      </c>
      <c r="F742" s="19">
        <v>43.14</v>
      </c>
      <c r="G742" s="19">
        <v>11.8</v>
      </c>
      <c r="H742" s="30">
        <v>176</v>
      </c>
      <c r="I742" s="30">
        <v>155</v>
      </c>
      <c r="J742" s="30">
        <v>201</v>
      </c>
      <c r="K742" s="30">
        <v>192</v>
      </c>
      <c r="L742" s="30">
        <v>39</v>
      </c>
      <c r="M742" s="30">
        <v>26</v>
      </c>
      <c r="N742" s="30">
        <v>82</v>
      </c>
      <c r="O742" s="30">
        <v>79</v>
      </c>
      <c r="P742" s="30">
        <v>46</v>
      </c>
      <c r="Q742" s="30">
        <v>45</v>
      </c>
      <c r="R742" s="30">
        <v>41</v>
      </c>
      <c r="S742" s="30">
        <v>46</v>
      </c>
      <c r="T742" s="30">
        <v>57</v>
      </c>
      <c r="U742" s="30">
        <v>0</v>
      </c>
      <c r="V742" s="30">
        <v>10</v>
      </c>
      <c r="W742" s="30">
        <v>25</v>
      </c>
      <c r="X742" s="30">
        <v>0</v>
      </c>
      <c r="Y742" s="30">
        <v>26</v>
      </c>
      <c r="Z742" s="30">
        <v>19</v>
      </c>
      <c r="AA742" s="30">
        <v>22</v>
      </c>
      <c r="AB742" s="30">
        <v>0</v>
      </c>
      <c r="AC742" s="30">
        <v>0</v>
      </c>
      <c r="AD742" s="30">
        <v>0</v>
      </c>
      <c r="AE742" s="30">
        <v>0</v>
      </c>
      <c r="AF742" s="30">
        <v>0</v>
      </c>
      <c r="AG742" s="30">
        <v>0</v>
      </c>
      <c r="AH742" s="30">
        <v>25</v>
      </c>
      <c r="AI742" s="30">
        <v>0</v>
      </c>
      <c r="AJ742" s="30">
        <v>0</v>
      </c>
      <c r="AK742" s="30">
        <v>6</v>
      </c>
      <c r="AL742" s="30">
        <v>41</v>
      </c>
      <c r="AM742" s="30">
        <v>28</v>
      </c>
      <c r="AN742" s="30">
        <v>0</v>
      </c>
      <c r="AO742" s="30">
        <v>28</v>
      </c>
      <c r="AP742" s="30">
        <v>34</v>
      </c>
      <c r="AQ742" s="30">
        <v>43</v>
      </c>
      <c r="AR742" s="30">
        <v>9</v>
      </c>
      <c r="AS742" s="30">
        <v>9</v>
      </c>
      <c r="AT742" s="30">
        <v>12</v>
      </c>
      <c r="AU742" s="30">
        <v>4</v>
      </c>
      <c r="AV742" s="30">
        <v>34</v>
      </c>
      <c r="AW742" s="30">
        <v>11</v>
      </c>
      <c r="AX742" s="30">
        <v>15</v>
      </c>
      <c r="AY742" s="30">
        <v>24</v>
      </c>
      <c r="AZ742" s="30">
        <v>3</v>
      </c>
      <c r="BA742" s="30">
        <v>53</v>
      </c>
      <c r="BB742" s="30">
        <v>35</v>
      </c>
      <c r="BC742" s="30">
        <v>2</v>
      </c>
      <c r="BD742" s="30">
        <v>6</v>
      </c>
      <c r="BE742" s="30">
        <v>101</v>
      </c>
      <c r="BF742" s="30">
        <v>14</v>
      </c>
      <c r="BG742" s="30">
        <v>4</v>
      </c>
      <c r="BH742" s="30">
        <v>15</v>
      </c>
      <c r="BI742" s="30">
        <v>99</v>
      </c>
      <c r="BJ742" s="30">
        <v>4</v>
      </c>
      <c r="BK742" s="30">
        <v>23</v>
      </c>
      <c r="BL742" s="30">
        <v>0</v>
      </c>
      <c r="BM742" s="30">
        <v>23</v>
      </c>
      <c r="BN742" s="30">
        <v>27</v>
      </c>
      <c r="BO742" s="30">
        <v>3</v>
      </c>
      <c r="BP742" s="30">
        <v>0</v>
      </c>
      <c r="BQ742" s="30">
        <v>32</v>
      </c>
      <c r="BR742" s="30">
        <v>0</v>
      </c>
      <c r="BS742" s="30">
        <v>9</v>
      </c>
      <c r="BT742" s="30">
        <v>0</v>
      </c>
      <c r="BU742" s="30">
        <v>0</v>
      </c>
      <c r="BV742" s="30">
        <v>0</v>
      </c>
      <c r="BW742" s="30">
        <v>0</v>
      </c>
      <c r="BX742" s="30">
        <v>0</v>
      </c>
      <c r="BY742" s="30">
        <v>0</v>
      </c>
      <c r="BZ742" s="30">
        <v>0</v>
      </c>
      <c r="CA742" s="30">
        <v>0</v>
      </c>
      <c r="CB742" s="30">
        <v>0</v>
      </c>
      <c r="CC742" s="30">
        <v>0</v>
      </c>
      <c r="CD742" s="30">
        <v>0</v>
      </c>
      <c r="CE742" s="30">
        <v>0</v>
      </c>
      <c r="CF742" s="30">
        <v>0</v>
      </c>
      <c r="CG742" s="30">
        <v>0</v>
      </c>
      <c r="CH742" s="30">
        <v>0</v>
      </c>
      <c r="CI742" s="30">
        <v>0</v>
      </c>
      <c r="CJ742" s="30">
        <v>0</v>
      </c>
      <c r="CK742" s="30">
        <v>0</v>
      </c>
      <c r="CL742" s="30">
        <v>0</v>
      </c>
      <c r="CM742" s="30">
        <v>0</v>
      </c>
      <c r="CN742" s="30">
        <v>0</v>
      </c>
      <c r="CO742" s="30">
        <v>0</v>
      </c>
      <c r="CP742" s="30">
        <v>0</v>
      </c>
      <c r="CQ742" s="30">
        <v>0</v>
      </c>
      <c r="CR742" s="30">
        <v>0</v>
      </c>
      <c r="CS742" s="30">
        <v>0</v>
      </c>
      <c r="CT742" s="30">
        <v>0</v>
      </c>
      <c r="CU742" s="30">
        <v>0</v>
      </c>
      <c r="CV742" s="30">
        <v>0</v>
      </c>
      <c r="CW742" s="30">
        <v>0</v>
      </c>
      <c r="CX742" s="30">
        <v>0</v>
      </c>
      <c r="CY742" s="30">
        <v>0</v>
      </c>
      <c r="CZ742" s="30">
        <v>0</v>
      </c>
      <c r="DA742" s="30">
        <v>0</v>
      </c>
      <c r="DB742" s="30">
        <v>0</v>
      </c>
      <c r="DC742" s="30">
        <v>0</v>
      </c>
      <c r="DD742" s="30">
        <v>0</v>
      </c>
      <c r="DE742" s="30">
        <v>0</v>
      </c>
      <c r="DF742" s="30">
        <v>0</v>
      </c>
      <c r="DG742" s="16">
        <f t="shared" si="64"/>
        <v>2063</v>
      </c>
      <c r="DH742" s="16">
        <f t="shared" si="65"/>
        <v>43309</v>
      </c>
      <c r="DI742" s="17">
        <f t="shared" si="66"/>
        <v>20.99321376635967</v>
      </c>
      <c r="DJ742" s="119" t="s">
        <v>2</v>
      </c>
      <c r="DK742" s="44" t="s">
        <v>2</v>
      </c>
    </row>
    <row r="743" spans="1:116">
      <c r="A743" s="32" t="str">
        <f t="shared" si="62"/>
        <v>Ausgrid--&gt; 66 kV &amp; &lt; = 132 kV  ; CIRCUIT BREAKER</v>
      </c>
      <c r="B743" s="32" t="str">
        <f t="shared" si="63"/>
        <v>Ausgrid</v>
      </c>
      <c r="C743" s="397"/>
      <c r="D743" s="31"/>
      <c r="E743" s="30" t="s">
        <v>256</v>
      </c>
      <c r="F743" s="19">
        <v>32.630000000000003</v>
      </c>
      <c r="G743" s="19">
        <v>15.39</v>
      </c>
      <c r="H743" s="30">
        <v>39</v>
      </c>
      <c r="I743" s="30">
        <v>38</v>
      </c>
      <c r="J743" s="30">
        <v>45</v>
      </c>
      <c r="K743" s="30">
        <v>64</v>
      </c>
      <c r="L743" s="30">
        <v>31</v>
      </c>
      <c r="M743" s="30">
        <v>36</v>
      </c>
      <c r="N743" s="30">
        <v>40</v>
      </c>
      <c r="O743" s="30">
        <v>31</v>
      </c>
      <c r="P743" s="30">
        <v>15</v>
      </c>
      <c r="Q743" s="30">
        <v>12</v>
      </c>
      <c r="R743" s="30">
        <v>22</v>
      </c>
      <c r="S743" s="30">
        <v>9</v>
      </c>
      <c r="T743" s="30">
        <v>18</v>
      </c>
      <c r="U743" s="30">
        <v>6</v>
      </c>
      <c r="V743" s="30">
        <v>10</v>
      </c>
      <c r="W743" s="30">
        <v>7</v>
      </c>
      <c r="X743" s="30">
        <v>3</v>
      </c>
      <c r="Y743" s="30">
        <v>9</v>
      </c>
      <c r="Z743" s="30">
        <v>4</v>
      </c>
      <c r="AA743" s="30">
        <v>0</v>
      </c>
      <c r="AB743" s="30">
        <v>0</v>
      </c>
      <c r="AC743" s="30">
        <v>0</v>
      </c>
      <c r="AD743" s="30">
        <v>0</v>
      </c>
      <c r="AE743" s="30">
        <v>0</v>
      </c>
      <c r="AF743" s="30">
        <v>0</v>
      </c>
      <c r="AG743" s="30">
        <v>0</v>
      </c>
      <c r="AH743" s="30">
        <v>0</v>
      </c>
      <c r="AI743" s="30">
        <v>0</v>
      </c>
      <c r="AJ743" s="30">
        <v>0</v>
      </c>
      <c r="AK743" s="30">
        <v>1</v>
      </c>
      <c r="AL743" s="30">
        <v>10</v>
      </c>
      <c r="AM743" s="30">
        <v>0</v>
      </c>
      <c r="AN743" s="30">
        <v>0</v>
      </c>
      <c r="AO743" s="30">
        <v>2</v>
      </c>
      <c r="AP743" s="30">
        <v>2</v>
      </c>
      <c r="AQ743" s="30">
        <v>10</v>
      </c>
      <c r="AR743" s="30">
        <v>0</v>
      </c>
      <c r="AS743" s="30">
        <v>0</v>
      </c>
      <c r="AT743" s="30">
        <v>0</v>
      </c>
      <c r="AU743" s="30">
        <v>0</v>
      </c>
      <c r="AV743" s="30">
        <v>3</v>
      </c>
      <c r="AW743" s="30">
        <v>1</v>
      </c>
      <c r="AX743" s="30">
        <v>0</v>
      </c>
      <c r="AY743" s="30">
        <v>1</v>
      </c>
      <c r="AZ743" s="30">
        <v>0</v>
      </c>
      <c r="BA743" s="30">
        <v>0</v>
      </c>
      <c r="BB743" s="30">
        <v>0</v>
      </c>
      <c r="BC743" s="30">
        <v>0</v>
      </c>
      <c r="BD743" s="30">
        <v>0</v>
      </c>
      <c r="BE743" s="30">
        <v>7</v>
      </c>
      <c r="BF743" s="30">
        <v>0</v>
      </c>
      <c r="BG743" s="30">
        <v>0</v>
      </c>
      <c r="BH743" s="30">
        <v>0</v>
      </c>
      <c r="BI743" s="30">
        <v>3</v>
      </c>
      <c r="BJ743" s="30">
        <v>0</v>
      </c>
      <c r="BK743" s="30">
        <v>2</v>
      </c>
      <c r="BL743" s="30">
        <v>0</v>
      </c>
      <c r="BM743" s="30">
        <v>0</v>
      </c>
      <c r="BN743" s="30">
        <v>0</v>
      </c>
      <c r="BO743" s="30">
        <v>0</v>
      </c>
      <c r="BP743" s="30">
        <v>0</v>
      </c>
      <c r="BQ743" s="30">
        <v>0</v>
      </c>
      <c r="BR743" s="30">
        <v>0</v>
      </c>
      <c r="BS743" s="30">
        <v>3</v>
      </c>
      <c r="BT743" s="30">
        <v>0</v>
      </c>
      <c r="BU743" s="30">
        <v>0</v>
      </c>
      <c r="BV743" s="30">
        <v>0</v>
      </c>
      <c r="BW743" s="30">
        <v>0</v>
      </c>
      <c r="BX743" s="30">
        <v>0</v>
      </c>
      <c r="BY743" s="30">
        <v>0</v>
      </c>
      <c r="BZ743" s="30">
        <v>0</v>
      </c>
      <c r="CA743" s="30">
        <v>0</v>
      </c>
      <c r="CB743" s="30">
        <v>0</v>
      </c>
      <c r="CC743" s="30">
        <v>0</v>
      </c>
      <c r="CD743" s="30">
        <v>0</v>
      </c>
      <c r="CE743" s="30">
        <v>0</v>
      </c>
      <c r="CF743" s="30">
        <v>0</v>
      </c>
      <c r="CG743" s="30">
        <v>0</v>
      </c>
      <c r="CH743" s="30">
        <v>0</v>
      </c>
      <c r="CI743" s="30">
        <v>0</v>
      </c>
      <c r="CJ743" s="30">
        <v>0</v>
      </c>
      <c r="CK743" s="30">
        <v>0</v>
      </c>
      <c r="CL743" s="30">
        <v>0</v>
      </c>
      <c r="CM743" s="30">
        <v>0</v>
      </c>
      <c r="CN743" s="30">
        <v>0</v>
      </c>
      <c r="CO743" s="30">
        <v>0</v>
      </c>
      <c r="CP743" s="30">
        <v>0</v>
      </c>
      <c r="CQ743" s="30">
        <v>0</v>
      </c>
      <c r="CR743" s="30">
        <v>0</v>
      </c>
      <c r="CS743" s="30">
        <v>0</v>
      </c>
      <c r="CT743" s="30">
        <v>0</v>
      </c>
      <c r="CU743" s="30">
        <v>0</v>
      </c>
      <c r="CV743" s="30">
        <v>0</v>
      </c>
      <c r="CW743" s="30">
        <v>0</v>
      </c>
      <c r="CX743" s="30">
        <v>0</v>
      </c>
      <c r="CY743" s="30">
        <v>0</v>
      </c>
      <c r="CZ743" s="30">
        <v>0</v>
      </c>
      <c r="DA743" s="30">
        <v>0</v>
      </c>
      <c r="DB743" s="30">
        <v>0</v>
      </c>
      <c r="DC743" s="30">
        <v>0</v>
      </c>
      <c r="DD743" s="30">
        <v>0</v>
      </c>
      <c r="DE743" s="30">
        <v>0</v>
      </c>
      <c r="DF743" s="30">
        <v>0</v>
      </c>
      <c r="DG743" s="16">
        <f t="shared" si="64"/>
        <v>484</v>
      </c>
      <c r="DH743" s="16">
        <f t="shared" si="65"/>
        <v>4742</v>
      </c>
      <c r="DI743" s="17">
        <f t="shared" si="66"/>
        <v>9.7975206611570247</v>
      </c>
      <c r="DJ743" s="119" t="s">
        <v>2</v>
      </c>
      <c r="DK743" s="44" t="s">
        <v>2</v>
      </c>
    </row>
    <row r="744" spans="1:116">
      <c r="A744" s="32" t="str">
        <f t="shared" si="62"/>
        <v>Ausgrid--&gt; 132 kV ; SWITCH</v>
      </c>
      <c r="B744" s="32" t="str">
        <f t="shared" si="63"/>
        <v>Ausgrid</v>
      </c>
      <c r="C744" s="397"/>
      <c r="D744" s="31"/>
      <c r="E744" s="30" t="s">
        <v>257</v>
      </c>
      <c r="F744" s="19">
        <v>0</v>
      </c>
      <c r="G744" s="19">
        <v>0</v>
      </c>
      <c r="H744" s="30">
        <v>0</v>
      </c>
      <c r="I744" s="30">
        <v>0</v>
      </c>
      <c r="J744" s="30">
        <v>0</v>
      </c>
      <c r="K744" s="30">
        <v>0</v>
      </c>
      <c r="L744" s="30">
        <v>0</v>
      </c>
      <c r="M744" s="30">
        <v>0</v>
      </c>
      <c r="N744" s="30">
        <v>0</v>
      </c>
      <c r="O744" s="30">
        <v>0</v>
      </c>
      <c r="P744" s="30">
        <v>0</v>
      </c>
      <c r="Q744" s="30">
        <v>0</v>
      </c>
      <c r="R744" s="30">
        <v>0</v>
      </c>
      <c r="S744" s="30">
        <v>0</v>
      </c>
      <c r="T744" s="30">
        <v>0</v>
      </c>
      <c r="U744" s="30">
        <v>0</v>
      </c>
      <c r="V744" s="30">
        <v>0</v>
      </c>
      <c r="W744" s="30">
        <v>0</v>
      </c>
      <c r="X744" s="30">
        <v>0</v>
      </c>
      <c r="Y744" s="30">
        <v>0</v>
      </c>
      <c r="Z744" s="30">
        <v>0</v>
      </c>
      <c r="AA744" s="30">
        <v>0</v>
      </c>
      <c r="AB744" s="30">
        <v>0</v>
      </c>
      <c r="AC744" s="30">
        <v>0</v>
      </c>
      <c r="AD744" s="30">
        <v>0</v>
      </c>
      <c r="AE744" s="30">
        <v>0</v>
      </c>
      <c r="AF744" s="30">
        <v>0</v>
      </c>
      <c r="AG744" s="30">
        <v>0</v>
      </c>
      <c r="AH744" s="30">
        <v>0</v>
      </c>
      <c r="AI744" s="30">
        <v>0</v>
      </c>
      <c r="AJ744" s="30">
        <v>0</v>
      </c>
      <c r="AK744" s="30">
        <v>0</v>
      </c>
      <c r="AL744" s="30">
        <v>0</v>
      </c>
      <c r="AM744" s="30">
        <v>0</v>
      </c>
      <c r="AN744" s="30">
        <v>0</v>
      </c>
      <c r="AO744" s="30">
        <v>0</v>
      </c>
      <c r="AP744" s="30">
        <v>0</v>
      </c>
      <c r="AQ744" s="30">
        <v>0</v>
      </c>
      <c r="AR744" s="30">
        <v>0</v>
      </c>
      <c r="AS744" s="30">
        <v>0</v>
      </c>
      <c r="AT744" s="30">
        <v>0</v>
      </c>
      <c r="AU744" s="30">
        <v>0</v>
      </c>
      <c r="AV744" s="30">
        <v>0</v>
      </c>
      <c r="AW744" s="30">
        <v>0</v>
      </c>
      <c r="AX744" s="30">
        <v>0</v>
      </c>
      <c r="AY744" s="30">
        <v>0</v>
      </c>
      <c r="AZ744" s="30">
        <v>0</v>
      </c>
      <c r="BA744" s="30">
        <v>0</v>
      </c>
      <c r="BB744" s="30">
        <v>0</v>
      </c>
      <c r="BC744" s="30">
        <v>0</v>
      </c>
      <c r="BD744" s="30">
        <v>0</v>
      </c>
      <c r="BE744" s="30">
        <v>0</v>
      </c>
      <c r="BF744" s="30">
        <v>0</v>
      </c>
      <c r="BG744" s="30">
        <v>0</v>
      </c>
      <c r="BH744" s="30">
        <v>0</v>
      </c>
      <c r="BI744" s="30">
        <v>0</v>
      </c>
      <c r="BJ744" s="30">
        <v>0</v>
      </c>
      <c r="BK744" s="30">
        <v>0</v>
      </c>
      <c r="BL744" s="30">
        <v>0</v>
      </c>
      <c r="BM744" s="30">
        <v>0</v>
      </c>
      <c r="BN744" s="30">
        <v>0</v>
      </c>
      <c r="BO744" s="30">
        <v>0</v>
      </c>
      <c r="BP744" s="30">
        <v>0</v>
      </c>
      <c r="BQ744" s="30">
        <v>0</v>
      </c>
      <c r="BR744" s="30">
        <v>0</v>
      </c>
      <c r="BS744" s="30">
        <v>0</v>
      </c>
      <c r="BT744" s="30">
        <v>0</v>
      </c>
      <c r="BU744" s="30">
        <v>0</v>
      </c>
      <c r="BV744" s="30">
        <v>0</v>
      </c>
      <c r="BW744" s="30">
        <v>0</v>
      </c>
      <c r="BX744" s="30">
        <v>0</v>
      </c>
      <c r="BY744" s="30">
        <v>0</v>
      </c>
      <c r="BZ744" s="30">
        <v>0</v>
      </c>
      <c r="CA744" s="30">
        <v>0</v>
      </c>
      <c r="CB744" s="30">
        <v>0</v>
      </c>
      <c r="CC744" s="30">
        <v>0</v>
      </c>
      <c r="CD744" s="30">
        <v>0</v>
      </c>
      <c r="CE744" s="30">
        <v>0</v>
      </c>
      <c r="CF744" s="30">
        <v>0</v>
      </c>
      <c r="CG744" s="30">
        <v>0</v>
      </c>
      <c r="CH744" s="30">
        <v>0</v>
      </c>
      <c r="CI744" s="30">
        <v>0</v>
      </c>
      <c r="CJ744" s="30">
        <v>0</v>
      </c>
      <c r="CK744" s="30">
        <v>0</v>
      </c>
      <c r="CL744" s="30">
        <v>0</v>
      </c>
      <c r="CM744" s="30">
        <v>0</v>
      </c>
      <c r="CN744" s="30">
        <v>0</v>
      </c>
      <c r="CO744" s="30">
        <v>0</v>
      </c>
      <c r="CP744" s="30">
        <v>0</v>
      </c>
      <c r="CQ744" s="30">
        <v>0</v>
      </c>
      <c r="CR744" s="30">
        <v>0</v>
      </c>
      <c r="CS744" s="30">
        <v>0</v>
      </c>
      <c r="CT744" s="30">
        <v>0</v>
      </c>
      <c r="CU744" s="30">
        <v>0</v>
      </c>
      <c r="CV744" s="30">
        <v>0</v>
      </c>
      <c r="CW744" s="30">
        <v>0</v>
      </c>
      <c r="CX744" s="30">
        <v>0</v>
      </c>
      <c r="CY744" s="30">
        <v>0</v>
      </c>
      <c r="CZ744" s="30">
        <v>0</v>
      </c>
      <c r="DA744" s="30">
        <v>0</v>
      </c>
      <c r="DB744" s="30">
        <v>0</v>
      </c>
      <c r="DC744" s="30">
        <v>0</v>
      </c>
      <c r="DD744" s="30">
        <v>0</v>
      </c>
      <c r="DE744" s="30">
        <v>0</v>
      </c>
      <c r="DF744" s="30">
        <v>0</v>
      </c>
      <c r="DG744" s="16">
        <f t="shared" si="64"/>
        <v>0</v>
      </c>
      <c r="DH744" s="16">
        <f t="shared" si="65"/>
        <v>0</v>
      </c>
      <c r="DI744" s="17" t="str">
        <f t="shared" si="66"/>
        <v/>
      </c>
      <c r="DJ744" s="119" t="s">
        <v>2</v>
      </c>
      <c r="DK744" s="44" t="s">
        <v>2</v>
      </c>
    </row>
    <row r="745" spans="1:116">
      <c r="A745" s="32" t="str">
        <f t="shared" si="62"/>
        <v>Ausgrid--&gt; 132 kV ; CIRCUIT BREAKER</v>
      </c>
      <c r="B745" s="32" t="str">
        <f t="shared" si="63"/>
        <v>Ausgrid</v>
      </c>
      <c r="C745" s="397"/>
      <c r="D745" s="31"/>
      <c r="E745" s="30" t="s">
        <v>258</v>
      </c>
      <c r="F745" s="19">
        <v>0</v>
      </c>
      <c r="G745" s="19">
        <v>0</v>
      </c>
      <c r="H745" s="30">
        <v>0</v>
      </c>
      <c r="I745" s="30">
        <v>0</v>
      </c>
      <c r="J745" s="30">
        <v>0</v>
      </c>
      <c r="K745" s="30">
        <v>0</v>
      </c>
      <c r="L745" s="30">
        <v>0</v>
      </c>
      <c r="M745" s="30">
        <v>0</v>
      </c>
      <c r="N745" s="30">
        <v>0</v>
      </c>
      <c r="O745" s="30">
        <v>0</v>
      </c>
      <c r="P745" s="30">
        <v>0</v>
      </c>
      <c r="Q745" s="30">
        <v>0</v>
      </c>
      <c r="R745" s="30">
        <v>0</v>
      </c>
      <c r="S745" s="30">
        <v>0</v>
      </c>
      <c r="T745" s="30">
        <v>0</v>
      </c>
      <c r="U745" s="30">
        <v>0</v>
      </c>
      <c r="V745" s="30">
        <v>0</v>
      </c>
      <c r="W745" s="30">
        <v>0</v>
      </c>
      <c r="X745" s="30">
        <v>0</v>
      </c>
      <c r="Y745" s="30">
        <v>0</v>
      </c>
      <c r="Z745" s="30">
        <v>0</v>
      </c>
      <c r="AA745" s="30">
        <v>0</v>
      </c>
      <c r="AB745" s="30">
        <v>0</v>
      </c>
      <c r="AC745" s="30">
        <v>0</v>
      </c>
      <c r="AD745" s="30">
        <v>0</v>
      </c>
      <c r="AE745" s="30">
        <v>0</v>
      </c>
      <c r="AF745" s="30">
        <v>0</v>
      </c>
      <c r="AG745" s="30">
        <v>0</v>
      </c>
      <c r="AH745" s="30">
        <v>0</v>
      </c>
      <c r="AI745" s="30">
        <v>0</v>
      </c>
      <c r="AJ745" s="30">
        <v>0</v>
      </c>
      <c r="AK745" s="30">
        <v>0</v>
      </c>
      <c r="AL745" s="30">
        <v>0</v>
      </c>
      <c r="AM745" s="30">
        <v>0</v>
      </c>
      <c r="AN745" s="30">
        <v>0</v>
      </c>
      <c r="AO745" s="30">
        <v>0</v>
      </c>
      <c r="AP745" s="30">
        <v>0</v>
      </c>
      <c r="AQ745" s="30">
        <v>0</v>
      </c>
      <c r="AR745" s="30">
        <v>0</v>
      </c>
      <c r="AS745" s="30">
        <v>0</v>
      </c>
      <c r="AT745" s="30">
        <v>0</v>
      </c>
      <c r="AU745" s="30">
        <v>0</v>
      </c>
      <c r="AV745" s="30">
        <v>0</v>
      </c>
      <c r="AW745" s="30">
        <v>0</v>
      </c>
      <c r="AX745" s="30">
        <v>0</v>
      </c>
      <c r="AY745" s="30">
        <v>0</v>
      </c>
      <c r="AZ745" s="30">
        <v>0</v>
      </c>
      <c r="BA745" s="30">
        <v>0</v>
      </c>
      <c r="BB745" s="30">
        <v>0</v>
      </c>
      <c r="BC745" s="30">
        <v>0</v>
      </c>
      <c r="BD745" s="30">
        <v>0</v>
      </c>
      <c r="BE745" s="30">
        <v>0</v>
      </c>
      <c r="BF745" s="30">
        <v>0</v>
      </c>
      <c r="BG745" s="30">
        <v>0</v>
      </c>
      <c r="BH745" s="30">
        <v>0</v>
      </c>
      <c r="BI745" s="30">
        <v>0</v>
      </c>
      <c r="BJ745" s="30">
        <v>0</v>
      </c>
      <c r="BK745" s="30">
        <v>0</v>
      </c>
      <c r="BL745" s="30">
        <v>0</v>
      </c>
      <c r="BM745" s="30">
        <v>0</v>
      </c>
      <c r="BN745" s="30">
        <v>0</v>
      </c>
      <c r="BO745" s="30">
        <v>0</v>
      </c>
      <c r="BP745" s="30">
        <v>0</v>
      </c>
      <c r="BQ745" s="30">
        <v>0</v>
      </c>
      <c r="BR745" s="30">
        <v>0</v>
      </c>
      <c r="BS745" s="30">
        <v>0</v>
      </c>
      <c r="BT745" s="30">
        <v>0</v>
      </c>
      <c r="BU745" s="30">
        <v>0</v>
      </c>
      <c r="BV745" s="30">
        <v>0</v>
      </c>
      <c r="BW745" s="30">
        <v>0</v>
      </c>
      <c r="BX745" s="30">
        <v>0</v>
      </c>
      <c r="BY745" s="30">
        <v>0</v>
      </c>
      <c r="BZ745" s="30">
        <v>0</v>
      </c>
      <c r="CA745" s="30">
        <v>0</v>
      </c>
      <c r="CB745" s="30">
        <v>0</v>
      </c>
      <c r="CC745" s="30">
        <v>0</v>
      </c>
      <c r="CD745" s="30">
        <v>0</v>
      </c>
      <c r="CE745" s="30">
        <v>0</v>
      </c>
      <c r="CF745" s="30">
        <v>0</v>
      </c>
      <c r="CG745" s="30">
        <v>0</v>
      </c>
      <c r="CH745" s="30">
        <v>0</v>
      </c>
      <c r="CI745" s="30">
        <v>0</v>
      </c>
      <c r="CJ745" s="30">
        <v>0</v>
      </c>
      <c r="CK745" s="30">
        <v>0</v>
      </c>
      <c r="CL745" s="30">
        <v>0</v>
      </c>
      <c r="CM745" s="30">
        <v>0</v>
      </c>
      <c r="CN745" s="30">
        <v>0</v>
      </c>
      <c r="CO745" s="30">
        <v>0</v>
      </c>
      <c r="CP745" s="30">
        <v>0</v>
      </c>
      <c r="CQ745" s="30">
        <v>0</v>
      </c>
      <c r="CR745" s="30">
        <v>0</v>
      </c>
      <c r="CS745" s="30">
        <v>0</v>
      </c>
      <c r="CT745" s="30">
        <v>0</v>
      </c>
      <c r="CU745" s="30">
        <v>0</v>
      </c>
      <c r="CV745" s="30">
        <v>0</v>
      </c>
      <c r="CW745" s="30">
        <v>0</v>
      </c>
      <c r="CX745" s="30">
        <v>0</v>
      </c>
      <c r="CY745" s="30">
        <v>0</v>
      </c>
      <c r="CZ745" s="30">
        <v>0</v>
      </c>
      <c r="DA745" s="30">
        <v>0</v>
      </c>
      <c r="DB745" s="30">
        <v>0</v>
      </c>
      <c r="DC745" s="30">
        <v>0</v>
      </c>
      <c r="DD745" s="30">
        <v>0</v>
      </c>
      <c r="DE745" s="30">
        <v>0</v>
      </c>
      <c r="DF745" s="30">
        <v>0</v>
      </c>
      <c r="DG745" s="16">
        <f t="shared" si="64"/>
        <v>0</v>
      </c>
      <c r="DH745" s="16">
        <f t="shared" si="65"/>
        <v>0</v>
      </c>
      <c r="DI745" s="17" t="str">
        <f t="shared" si="66"/>
        <v/>
      </c>
      <c r="DJ745" s="119" t="s">
        <v>2</v>
      </c>
      <c r="DK745" s="44" t="s">
        <v>2</v>
      </c>
    </row>
    <row r="746" spans="1:116">
      <c r="A746" s="32" t="str">
        <f t="shared" si="62"/>
        <v>Ausgrid--OTHER - PLEASE ADD A ROW IF NECESSARY AND NOMINATE THE CATEGORY</v>
      </c>
      <c r="B746" s="32" t="str">
        <f t="shared" si="63"/>
        <v>Ausgrid</v>
      </c>
      <c r="C746" s="397"/>
      <c r="D746" s="31"/>
      <c r="E746" s="30" t="s">
        <v>170</v>
      </c>
      <c r="F746" s="19"/>
      <c r="G746" s="19"/>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16">
        <f t="shared" si="64"/>
        <v>0</v>
      </c>
      <c r="DH746" s="16">
        <f t="shared" si="65"/>
        <v>0</v>
      </c>
      <c r="DI746" s="17" t="str">
        <f t="shared" si="66"/>
        <v/>
      </c>
      <c r="DJ746" s="119" t="s">
        <v>2</v>
      </c>
      <c r="DK746" s="44" t="s">
        <v>2</v>
      </c>
    </row>
    <row r="747" spans="1:116">
      <c r="A747" s="32" t="str">
        <f t="shared" si="62"/>
        <v>Ausgrid--&gt; 11 kV &amp; &lt; ≈ 33 kV ; FUSE &amp; FUSE SWITCH (not including enclosed type)</v>
      </c>
      <c r="B747" s="32" t="str">
        <f t="shared" si="63"/>
        <v>Ausgrid</v>
      </c>
      <c r="C747" s="397"/>
      <c r="D747" s="31"/>
      <c r="E747" s="30" t="s">
        <v>672</v>
      </c>
      <c r="F747" s="19">
        <v>18.55</v>
      </c>
      <c r="G747" s="19">
        <v>15.75</v>
      </c>
      <c r="H747" s="30">
        <v>4</v>
      </c>
      <c r="I747" s="30">
        <v>7</v>
      </c>
      <c r="J747" s="30">
        <v>3</v>
      </c>
      <c r="K747" s="30">
        <v>33</v>
      </c>
      <c r="L747" s="30">
        <v>3</v>
      </c>
      <c r="M747" s="30">
        <v>5</v>
      </c>
      <c r="N747" s="30">
        <v>1</v>
      </c>
      <c r="O747" s="30">
        <v>2</v>
      </c>
      <c r="P747" s="30">
        <v>2</v>
      </c>
      <c r="Q747" s="30">
        <v>6</v>
      </c>
      <c r="R747" s="30">
        <v>3</v>
      </c>
      <c r="S747" s="30">
        <v>1</v>
      </c>
      <c r="T747" s="30">
        <v>6</v>
      </c>
      <c r="U747" s="30">
        <v>3</v>
      </c>
      <c r="V747" s="30">
        <v>1</v>
      </c>
      <c r="W747" s="30">
        <v>2</v>
      </c>
      <c r="X747" s="30">
        <v>0</v>
      </c>
      <c r="Y747" s="30">
        <v>0</v>
      </c>
      <c r="Z747" s="30">
        <v>1</v>
      </c>
      <c r="AA747" s="30">
        <v>2</v>
      </c>
      <c r="AB747" s="30">
        <v>3</v>
      </c>
      <c r="AC747" s="30">
        <v>2</v>
      </c>
      <c r="AD747" s="30">
        <v>1</v>
      </c>
      <c r="AE747" s="30">
        <v>2</v>
      </c>
      <c r="AF747" s="30">
        <v>2</v>
      </c>
      <c r="AG747" s="30">
        <v>0</v>
      </c>
      <c r="AH747" s="30">
        <v>0</v>
      </c>
      <c r="AI747" s="30">
        <v>2</v>
      </c>
      <c r="AJ747" s="30">
        <v>0</v>
      </c>
      <c r="AK747" s="30">
        <v>2</v>
      </c>
      <c r="AL747" s="30">
        <v>2</v>
      </c>
      <c r="AM747" s="30">
        <v>2</v>
      </c>
      <c r="AN747" s="30">
        <v>0</v>
      </c>
      <c r="AO747" s="30">
        <v>2</v>
      </c>
      <c r="AP747" s="30">
        <v>0</v>
      </c>
      <c r="AQ747" s="30">
        <v>1</v>
      </c>
      <c r="AR747" s="30">
        <v>0</v>
      </c>
      <c r="AS747" s="30">
        <v>0</v>
      </c>
      <c r="AT747" s="30">
        <v>1</v>
      </c>
      <c r="AU747" s="30">
        <v>1</v>
      </c>
      <c r="AV747" s="30">
        <v>2</v>
      </c>
      <c r="AW747" s="30">
        <v>3</v>
      </c>
      <c r="AX747" s="30">
        <v>1</v>
      </c>
      <c r="AY747" s="30">
        <v>0</v>
      </c>
      <c r="AZ747" s="30">
        <v>0</v>
      </c>
      <c r="BA747" s="30">
        <v>0</v>
      </c>
      <c r="BB747" s="30">
        <v>0</v>
      </c>
      <c r="BC747" s="30">
        <v>1</v>
      </c>
      <c r="BD747" s="30">
        <v>0</v>
      </c>
      <c r="BE747" s="30">
        <v>2</v>
      </c>
      <c r="BF747" s="30">
        <v>0</v>
      </c>
      <c r="BG747" s="30">
        <v>2</v>
      </c>
      <c r="BH747" s="30">
        <v>0</v>
      </c>
      <c r="BI747" s="30">
        <v>1</v>
      </c>
      <c r="BJ747" s="30">
        <v>1</v>
      </c>
      <c r="BK747" s="30">
        <v>1</v>
      </c>
      <c r="BL747" s="30">
        <v>1</v>
      </c>
      <c r="BM747" s="30">
        <v>0</v>
      </c>
      <c r="BN747" s="30">
        <v>0</v>
      </c>
      <c r="BO747" s="30">
        <v>0</v>
      </c>
      <c r="BP747" s="30">
        <v>0</v>
      </c>
      <c r="BQ747" s="30">
        <v>0</v>
      </c>
      <c r="BR747" s="30">
        <v>0</v>
      </c>
      <c r="BS747" s="30">
        <v>0</v>
      </c>
      <c r="BT747" s="30">
        <v>0</v>
      </c>
      <c r="BU747" s="30">
        <v>0</v>
      </c>
      <c r="BV747" s="30">
        <v>0</v>
      </c>
      <c r="BW747" s="30">
        <v>0</v>
      </c>
      <c r="BX747" s="30">
        <v>0</v>
      </c>
      <c r="BY747" s="30">
        <v>0</v>
      </c>
      <c r="BZ747" s="30">
        <v>0</v>
      </c>
      <c r="CA747" s="30">
        <v>0</v>
      </c>
      <c r="CB747" s="30">
        <v>0</v>
      </c>
      <c r="CC747" s="30">
        <v>0</v>
      </c>
      <c r="CD747" s="30">
        <v>0</v>
      </c>
      <c r="CE747" s="30">
        <v>0</v>
      </c>
      <c r="CF747" s="30">
        <v>0</v>
      </c>
      <c r="CG747" s="30">
        <v>0</v>
      </c>
      <c r="CH747" s="30">
        <v>0</v>
      </c>
      <c r="CI747" s="30">
        <v>0</v>
      </c>
      <c r="CJ747" s="30">
        <v>0</v>
      </c>
      <c r="CK747" s="30">
        <v>0</v>
      </c>
      <c r="CL747" s="30">
        <v>0</v>
      </c>
      <c r="CM747" s="30">
        <v>0</v>
      </c>
      <c r="CN747" s="30">
        <v>0</v>
      </c>
      <c r="CO747" s="30">
        <v>0</v>
      </c>
      <c r="CP747" s="30">
        <v>0</v>
      </c>
      <c r="CQ747" s="30">
        <v>0</v>
      </c>
      <c r="CR747" s="30">
        <v>0</v>
      </c>
      <c r="CS747" s="30">
        <v>0</v>
      </c>
      <c r="CT747" s="30">
        <v>0</v>
      </c>
      <c r="CU747" s="30">
        <v>0</v>
      </c>
      <c r="CV747" s="30">
        <v>0</v>
      </c>
      <c r="CW747" s="30">
        <v>0</v>
      </c>
      <c r="CX747" s="30">
        <v>0</v>
      </c>
      <c r="CY747" s="30">
        <v>0</v>
      </c>
      <c r="CZ747" s="30">
        <v>0</v>
      </c>
      <c r="DA747" s="30">
        <v>0</v>
      </c>
      <c r="DB747" s="30">
        <v>0</v>
      </c>
      <c r="DC747" s="30">
        <v>0</v>
      </c>
      <c r="DD747" s="30">
        <v>0</v>
      </c>
      <c r="DE747" s="30">
        <v>0</v>
      </c>
      <c r="DF747" s="30">
        <v>0</v>
      </c>
      <c r="DG747" s="16">
        <f t="shared" si="64"/>
        <v>123</v>
      </c>
      <c r="DH747" s="16">
        <f t="shared" si="65"/>
        <v>1954</v>
      </c>
      <c r="DI747" s="17">
        <f t="shared" si="66"/>
        <v>15.886178861788618</v>
      </c>
      <c r="DJ747" s="119" t="s">
        <v>2</v>
      </c>
      <c r="DK747" s="44" t="s">
        <v>2</v>
      </c>
    </row>
    <row r="748" spans="1:116">
      <c r="A748" s="32" t="str">
        <f t="shared" si="62"/>
        <v>Ausgrid--&lt; 1 kV ; CIRCUIT BREAKER</v>
      </c>
      <c r="B748" s="32" t="str">
        <f t="shared" si="63"/>
        <v>Ausgrid</v>
      </c>
      <c r="C748" s="397"/>
      <c r="D748" s="31"/>
      <c r="E748" s="30" t="s">
        <v>670</v>
      </c>
      <c r="F748" s="19">
        <v>53.49</v>
      </c>
      <c r="G748" s="19">
        <v>24.67</v>
      </c>
      <c r="H748" s="30">
        <v>94</v>
      </c>
      <c r="I748" s="30">
        <v>65</v>
      </c>
      <c r="J748" s="30">
        <v>101</v>
      </c>
      <c r="K748" s="30">
        <v>110</v>
      </c>
      <c r="L748" s="30">
        <v>69</v>
      </c>
      <c r="M748" s="30">
        <v>84</v>
      </c>
      <c r="N748" s="30">
        <v>91</v>
      </c>
      <c r="O748" s="30">
        <v>78</v>
      </c>
      <c r="P748" s="30">
        <v>84</v>
      </c>
      <c r="Q748" s="30">
        <v>72</v>
      </c>
      <c r="R748" s="30">
        <v>66</v>
      </c>
      <c r="S748" s="30">
        <v>67</v>
      </c>
      <c r="T748" s="30">
        <v>39</v>
      </c>
      <c r="U748" s="30">
        <v>71</v>
      </c>
      <c r="V748" s="30">
        <v>57</v>
      </c>
      <c r="W748" s="30">
        <v>77</v>
      </c>
      <c r="X748" s="30">
        <v>37</v>
      </c>
      <c r="Y748" s="30">
        <v>43</v>
      </c>
      <c r="Z748" s="30">
        <v>30</v>
      </c>
      <c r="AA748" s="30">
        <v>21</v>
      </c>
      <c r="AB748" s="30">
        <v>42</v>
      </c>
      <c r="AC748" s="30">
        <v>53</v>
      </c>
      <c r="AD748" s="30">
        <v>46</v>
      </c>
      <c r="AE748" s="30">
        <v>43</v>
      </c>
      <c r="AF748" s="30">
        <v>28</v>
      </c>
      <c r="AG748" s="30">
        <v>43</v>
      </c>
      <c r="AH748" s="30">
        <v>49</v>
      </c>
      <c r="AI748" s="30">
        <v>8</v>
      </c>
      <c r="AJ748" s="30">
        <v>21</v>
      </c>
      <c r="AK748" s="30">
        <v>9</v>
      </c>
      <c r="AL748" s="30">
        <v>20</v>
      </c>
      <c r="AM748" s="30">
        <v>6</v>
      </c>
      <c r="AN748" s="30">
        <v>26</v>
      </c>
      <c r="AO748" s="30">
        <v>11</v>
      </c>
      <c r="AP748" s="30">
        <v>23</v>
      </c>
      <c r="AQ748" s="30">
        <v>30</v>
      </c>
      <c r="AR748" s="30">
        <v>24</v>
      </c>
      <c r="AS748" s="30">
        <v>39</v>
      </c>
      <c r="AT748" s="30">
        <v>36</v>
      </c>
      <c r="AU748" s="30">
        <v>50</v>
      </c>
      <c r="AV748" s="30">
        <v>45</v>
      </c>
      <c r="AW748" s="30">
        <v>55</v>
      </c>
      <c r="AX748" s="30">
        <v>47</v>
      </c>
      <c r="AY748" s="30">
        <v>28</v>
      </c>
      <c r="AZ748" s="30">
        <v>24</v>
      </c>
      <c r="BA748" s="30">
        <v>28</v>
      </c>
      <c r="BB748" s="30">
        <v>42</v>
      </c>
      <c r="BC748" s="30">
        <v>45</v>
      </c>
      <c r="BD748" s="30">
        <v>30</v>
      </c>
      <c r="BE748" s="30">
        <v>62</v>
      </c>
      <c r="BF748" s="30">
        <v>39</v>
      </c>
      <c r="BG748" s="30">
        <v>45</v>
      </c>
      <c r="BH748" s="30">
        <v>14</v>
      </c>
      <c r="BI748" s="30">
        <v>8</v>
      </c>
      <c r="BJ748" s="30">
        <v>18</v>
      </c>
      <c r="BK748" s="30">
        <v>16</v>
      </c>
      <c r="BL748" s="30">
        <v>8</v>
      </c>
      <c r="BM748" s="30">
        <v>9</v>
      </c>
      <c r="BN748" s="30">
        <v>20</v>
      </c>
      <c r="BO748" s="30">
        <v>32</v>
      </c>
      <c r="BP748" s="30">
        <v>24</v>
      </c>
      <c r="BQ748" s="30">
        <v>26</v>
      </c>
      <c r="BR748" s="30">
        <v>12</v>
      </c>
      <c r="BS748" s="30">
        <v>18</v>
      </c>
      <c r="BT748" s="30">
        <v>3</v>
      </c>
      <c r="BU748" s="30">
        <v>3</v>
      </c>
      <c r="BV748" s="30">
        <v>7</v>
      </c>
      <c r="BW748" s="30">
        <v>0</v>
      </c>
      <c r="BX748" s="30">
        <v>3</v>
      </c>
      <c r="BY748" s="30">
        <v>0</v>
      </c>
      <c r="BZ748" s="30">
        <v>5</v>
      </c>
      <c r="CA748" s="30">
        <v>4</v>
      </c>
      <c r="CB748" s="30">
        <v>10</v>
      </c>
      <c r="CC748" s="30">
        <v>15</v>
      </c>
      <c r="CD748" s="30">
        <v>17</v>
      </c>
      <c r="CE748" s="30">
        <v>27</v>
      </c>
      <c r="CF748" s="30">
        <v>27</v>
      </c>
      <c r="CG748" s="30">
        <v>8</v>
      </c>
      <c r="CH748" s="30">
        <v>2</v>
      </c>
      <c r="CI748" s="30">
        <v>0</v>
      </c>
      <c r="CJ748" s="30">
        <v>3</v>
      </c>
      <c r="CK748" s="30">
        <v>7</v>
      </c>
      <c r="CL748" s="30">
        <v>9</v>
      </c>
      <c r="CM748" s="30">
        <v>3</v>
      </c>
      <c r="CN748" s="30">
        <v>11</v>
      </c>
      <c r="CO748" s="30">
        <v>7</v>
      </c>
      <c r="CP748" s="30">
        <v>7</v>
      </c>
      <c r="CQ748" s="30">
        <v>0</v>
      </c>
      <c r="CR748" s="30">
        <v>0</v>
      </c>
      <c r="CS748" s="30">
        <v>3</v>
      </c>
      <c r="CT748" s="30">
        <v>0</v>
      </c>
      <c r="CU748" s="30">
        <v>0</v>
      </c>
      <c r="CV748" s="30">
        <v>5</v>
      </c>
      <c r="CW748" s="30">
        <v>0</v>
      </c>
      <c r="CX748" s="30">
        <v>0</v>
      </c>
      <c r="CY748" s="30">
        <v>0</v>
      </c>
      <c r="CZ748" s="30">
        <v>0</v>
      </c>
      <c r="DA748" s="30">
        <v>0</v>
      </c>
      <c r="DB748" s="30">
        <v>10</v>
      </c>
      <c r="DC748" s="30">
        <v>4</v>
      </c>
      <c r="DD748" s="30">
        <v>0</v>
      </c>
      <c r="DE748" s="30">
        <v>0</v>
      </c>
      <c r="DF748" s="30">
        <v>0</v>
      </c>
      <c r="DG748" s="16">
        <f t="shared" si="64"/>
        <v>2858</v>
      </c>
      <c r="DH748" s="16">
        <f t="shared" si="65"/>
        <v>80907</v>
      </c>
      <c r="DI748" s="17">
        <f t="shared" si="66"/>
        <v>28.308957312806157</v>
      </c>
      <c r="DJ748" s="119" t="s">
        <v>2</v>
      </c>
      <c r="DK748" s="44" t="s">
        <v>2</v>
      </c>
    </row>
    <row r="749" spans="1:116">
      <c r="A749" s="32" t="str">
        <f t="shared" si="62"/>
        <v>Ausgrid--&gt; 1 kV &amp; &lt; ≈ 11 kV ; CIRCUIT BREAKER</v>
      </c>
      <c r="B749" s="32" t="str">
        <f t="shared" si="63"/>
        <v>Ausgrid</v>
      </c>
      <c r="C749" s="397"/>
      <c r="D749" s="31"/>
      <c r="E749" s="30" t="s">
        <v>671</v>
      </c>
      <c r="F749" s="19">
        <v>48.94</v>
      </c>
      <c r="G749" s="19">
        <v>18.760000000000002</v>
      </c>
      <c r="H749" s="30">
        <v>332</v>
      </c>
      <c r="I749" s="30">
        <v>313</v>
      </c>
      <c r="J749" s="30">
        <v>316</v>
      </c>
      <c r="K749" s="30">
        <v>365</v>
      </c>
      <c r="L749" s="30">
        <v>164</v>
      </c>
      <c r="M749" s="30">
        <v>164</v>
      </c>
      <c r="N749" s="30">
        <v>171</v>
      </c>
      <c r="O749" s="30">
        <v>111</v>
      </c>
      <c r="P749" s="30">
        <v>79</v>
      </c>
      <c r="Q749" s="30">
        <v>51</v>
      </c>
      <c r="R749" s="30">
        <v>19</v>
      </c>
      <c r="S749" s="30">
        <v>142</v>
      </c>
      <c r="T749" s="30">
        <v>74</v>
      </c>
      <c r="U749" s="30">
        <v>22</v>
      </c>
      <c r="V749" s="30">
        <v>48</v>
      </c>
      <c r="W749" s="30">
        <v>31</v>
      </c>
      <c r="X749" s="30">
        <v>40</v>
      </c>
      <c r="Y749" s="30">
        <v>20</v>
      </c>
      <c r="Z749" s="30">
        <v>47</v>
      </c>
      <c r="AA749" s="30">
        <v>28</v>
      </c>
      <c r="AB749" s="30">
        <v>5</v>
      </c>
      <c r="AC749" s="30">
        <v>1</v>
      </c>
      <c r="AD749" s="30">
        <v>3</v>
      </c>
      <c r="AE749" s="30">
        <v>12</v>
      </c>
      <c r="AF749" s="30">
        <v>7</v>
      </c>
      <c r="AG749" s="30">
        <v>26</v>
      </c>
      <c r="AH749" s="30">
        <v>45</v>
      </c>
      <c r="AI749" s="30">
        <v>6</v>
      </c>
      <c r="AJ749" s="30">
        <v>64</v>
      </c>
      <c r="AK749" s="30">
        <v>34</v>
      </c>
      <c r="AL749" s="30">
        <v>65</v>
      </c>
      <c r="AM749" s="30">
        <v>44</v>
      </c>
      <c r="AN749" s="30">
        <v>19</v>
      </c>
      <c r="AO749" s="30">
        <v>54</v>
      </c>
      <c r="AP749" s="30">
        <v>37</v>
      </c>
      <c r="AQ749" s="30">
        <v>84</v>
      </c>
      <c r="AR749" s="30">
        <v>36</v>
      </c>
      <c r="AS749" s="30">
        <v>68</v>
      </c>
      <c r="AT749" s="30">
        <v>65</v>
      </c>
      <c r="AU749" s="30">
        <v>63</v>
      </c>
      <c r="AV749" s="30">
        <v>153</v>
      </c>
      <c r="AW749" s="30">
        <v>121</v>
      </c>
      <c r="AX749" s="30">
        <v>107</v>
      </c>
      <c r="AY749" s="30">
        <v>85</v>
      </c>
      <c r="AZ749" s="30">
        <v>109</v>
      </c>
      <c r="BA749" s="30">
        <v>20</v>
      </c>
      <c r="BB749" s="30">
        <v>81</v>
      </c>
      <c r="BC749" s="30">
        <v>92</v>
      </c>
      <c r="BD749" s="30">
        <v>101</v>
      </c>
      <c r="BE749" s="30">
        <v>72</v>
      </c>
      <c r="BF749" s="30">
        <v>32</v>
      </c>
      <c r="BG749" s="30">
        <v>60</v>
      </c>
      <c r="BH749" s="30">
        <v>14</v>
      </c>
      <c r="BI749" s="30">
        <v>57</v>
      </c>
      <c r="BJ749" s="30">
        <v>28</v>
      </c>
      <c r="BK749" s="30">
        <v>45</v>
      </c>
      <c r="BL749" s="30">
        <v>21</v>
      </c>
      <c r="BM749" s="30">
        <v>20</v>
      </c>
      <c r="BN749" s="30">
        <v>45</v>
      </c>
      <c r="BO749" s="30">
        <v>48</v>
      </c>
      <c r="BP749" s="30">
        <v>17</v>
      </c>
      <c r="BQ749" s="30">
        <v>19</v>
      </c>
      <c r="BR749" s="30">
        <v>49</v>
      </c>
      <c r="BS749" s="30">
        <v>22</v>
      </c>
      <c r="BT749" s="30">
        <v>9</v>
      </c>
      <c r="BU749" s="30">
        <v>4</v>
      </c>
      <c r="BV749" s="30">
        <v>19</v>
      </c>
      <c r="BW749" s="30">
        <v>29</v>
      </c>
      <c r="BX749" s="30">
        <v>16</v>
      </c>
      <c r="BY749" s="30">
        <v>4</v>
      </c>
      <c r="BZ749" s="30">
        <v>11</v>
      </c>
      <c r="CA749" s="30">
        <v>14</v>
      </c>
      <c r="CB749" s="30">
        <v>15</v>
      </c>
      <c r="CC749" s="30">
        <v>36</v>
      </c>
      <c r="CD749" s="30">
        <v>24</v>
      </c>
      <c r="CE749" s="30">
        <v>23</v>
      </c>
      <c r="CF749" s="30">
        <v>9</v>
      </c>
      <c r="CG749" s="30">
        <v>1</v>
      </c>
      <c r="CH749" s="30">
        <v>5</v>
      </c>
      <c r="CI749" s="30">
        <v>0</v>
      </c>
      <c r="CJ749" s="30">
        <v>6</v>
      </c>
      <c r="CK749" s="30">
        <v>14</v>
      </c>
      <c r="CL749" s="30">
        <v>37</v>
      </c>
      <c r="CM749" s="30">
        <v>20</v>
      </c>
      <c r="CN749" s="30">
        <v>24</v>
      </c>
      <c r="CO749" s="30">
        <v>14</v>
      </c>
      <c r="CP749" s="30">
        <v>12</v>
      </c>
      <c r="CQ749" s="30">
        <v>0</v>
      </c>
      <c r="CR749" s="30">
        <v>0</v>
      </c>
      <c r="CS749" s="30">
        <v>9</v>
      </c>
      <c r="CT749" s="30">
        <v>0</v>
      </c>
      <c r="CU749" s="30">
        <v>0</v>
      </c>
      <c r="CV749" s="30">
        <v>9</v>
      </c>
      <c r="CW749" s="30">
        <v>0</v>
      </c>
      <c r="CX749" s="30">
        <v>0</v>
      </c>
      <c r="CY749" s="30">
        <v>0</v>
      </c>
      <c r="CZ749" s="30">
        <v>0</v>
      </c>
      <c r="DA749" s="30">
        <v>0</v>
      </c>
      <c r="DB749" s="30">
        <v>14</v>
      </c>
      <c r="DC749" s="30">
        <v>5</v>
      </c>
      <c r="DD749" s="30">
        <v>0</v>
      </c>
      <c r="DE749" s="30">
        <v>0</v>
      </c>
      <c r="DF749" s="30">
        <v>0</v>
      </c>
      <c r="DG749" s="16">
        <f t="shared" si="64"/>
        <v>5076</v>
      </c>
      <c r="DH749" s="16">
        <f t="shared" si="65"/>
        <v>139611</v>
      </c>
      <c r="DI749" s="17">
        <f t="shared" si="66"/>
        <v>27.504137115839242</v>
      </c>
      <c r="DJ749" s="119" t="s">
        <v>2</v>
      </c>
      <c r="DK749" s="44" t="s">
        <v>2</v>
      </c>
    </row>
    <row r="750" spans="1:116" ht="45">
      <c r="A750" s="32" t="str">
        <f t="shared" si="62"/>
        <v>Ausgrid-PUBLIC LIGHTING BY: 
ASSET TYPE ; LIGHTING OBLIGATION-LUMINAIRES ;  MAJOR ROAD</v>
      </c>
      <c r="B750" s="32" t="str">
        <f t="shared" si="63"/>
        <v>Ausgrid</v>
      </c>
      <c r="C750" s="397"/>
      <c r="D750" s="31" t="s">
        <v>547</v>
      </c>
      <c r="E750" s="30" t="s">
        <v>262</v>
      </c>
      <c r="F750" s="19">
        <v>20.149999999999999</v>
      </c>
      <c r="G750" s="19">
        <v>16.489999999999998</v>
      </c>
      <c r="H750" s="30">
        <v>1797</v>
      </c>
      <c r="I750" s="30">
        <v>2147</v>
      </c>
      <c r="J750" s="30">
        <v>2221</v>
      </c>
      <c r="K750" s="30">
        <v>2722</v>
      </c>
      <c r="L750" s="30">
        <v>3256</v>
      </c>
      <c r="M750" s="30">
        <v>1760</v>
      </c>
      <c r="N750" s="30">
        <v>796</v>
      </c>
      <c r="O750" s="30">
        <v>392</v>
      </c>
      <c r="P750" s="30">
        <v>267</v>
      </c>
      <c r="Q750" s="30">
        <v>233</v>
      </c>
      <c r="R750" s="30">
        <v>211</v>
      </c>
      <c r="S750" s="30">
        <v>242</v>
      </c>
      <c r="T750" s="30">
        <v>411</v>
      </c>
      <c r="U750" s="30">
        <v>407</v>
      </c>
      <c r="V750" s="30">
        <v>1301</v>
      </c>
      <c r="W750" s="30">
        <v>124</v>
      </c>
      <c r="X750" s="30">
        <v>299</v>
      </c>
      <c r="Y750" s="30">
        <v>348</v>
      </c>
      <c r="Z750" s="30">
        <v>392</v>
      </c>
      <c r="AA750" s="30">
        <v>324</v>
      </c>
      <c r="AB750" s="30">
        <v>426</v>
      </c>
      <c r="AC750" s="30">
        <v>588</v>
      </c>
      <c r="AD750" s="30">
        <v>306</v>
      </c>
      <c r="AE750" s="30">
        <v>333</v>
      </c>
      <c r="AF750" s="30">
        <v>458</v>
      </c>
      <c r="AG750" s="30">
        <v>559</v>
      </c>
      <c r="AH750" s="30">
        <v>476</v>
      </c>
      <c r="AI750" s="30">
        <v>326</v>
      </c>
      <c r="AJ750" s="30">
        <v>134</v>
      </c>
      <c r="AK750" s="30">
        <v>195</v>
      </c>
      <c r="AL750" s="30">
        <v>100</v>
      </c>
      <c r="AM750" s="30">
        <v>213</v>
      </c>
      <c r="AN750" s="30">
        <v>216</v>
      </c>
      <c r="AO750" s="30">
        <v>260</v>
      </c>
      <c r="AP750" s="30">
        <v>404</v>
      </c>
      <c r="AQ750" s="30">
        <v>303</v>
      </c>
      <c r="AR750" s="30">
        <v>150</v>
      </c>
      <c r="AS750" s="30">
        <v>310</v>
      </c>
      <c r="AT750" s="30">
        <v>230</v>
      </c>
      <c r="AU750" s="30">
        <v>312</v>
      </c>
      <c r="AV750" s="30">
        <v>226</v>
      </c>
      <c r="AW750" s="30">
        <v>468</v>
      </c>
      <c r="AX750" s="30">
        <v>566</v>
      </c>
      <c r="AY750" s="30">
        <v>637</v>
      </c>
      <c r="AZ750" s="30">
        <v>1003</v>
      </c>
      <c r="BA750" s="30">
        <v>1350</v>
      </c>
      <c r="BB750" s="30">
        <v>1245</v>
      </c>
      <c r="BC750" s="30">
        <v>282</v>
      </c>
      <c r="BD750" s="30">
        <v>77</v>
      </c>
      <c r="BE750" s="30">
        <v>48</v>
      </c>
      <c r="BF750" s="30">
        <v>19</v>
      </c>
      <c r="BG750" s="30">
        <v>2</v>
      </c>
      <c r="BH750" s="30">
        <v>0</v>
      </c>
      <c r="BI750" s="30">
        <v>0</v>
      </c>
      <c r="BJ750" s="30">
        <v>0</v>
      </c>
      <c r="BK750" s="30">
        <v>0</v>
      </c>
      <c r="BL750" s="30">
        <v>0</v>
      </c>
      <c r="BM750" s="30">
        <v>0</v>
      </c>
      <c r="BN750" s="30">
        <v>0</v>
      </c>
      <c r="BO750" s="30">
        <v>0</v>
      </c>
      <c r="BP750" s="30">
        <v>0</v>
      </c>
      <c r="BQ750" s="30">
        <v>0</v>
      </c>
      <c r="BR750" s="30">
        <v>6</v>
      </c>
      <c r="BS750" s="30">
        <v>0</v>
      </c>
      <c r="BT750" s="30">
        <v>0</v>
      </c>
      <c r="BU750" s="30">
        <v>0</v>
      </c>
      <c r="BV750" s="30">
        <v>0</v>
      </c>
      <c r="BW750" s="30">
        <v>0</v>
      </c>
      <c r="BX750" s="30">
        <v>0</v>
      </c>
      <c r="BY750" s="30">
        <v>0</v>
      </c>
      <c r="BZ750" s="30">
        <v>0</v>
      </c>
      <c r="CA750" s="30">
        <v>0</v>
      </c>
      <c r="CB750" s="30">
        <v>0</v>
      </c>
      <c r="CC750" s="30">
        <v>0</v>
      </c>
      <c r="CD750" s="30">
        <v>0</v>
      </c>
      <c r="CE750" s="30">
        <v>0</v>
      </c>
      <c r="CF750" s="30">
        <v>0</v>
      </c>
      <c r="CG750" s="30">
        <v>0</v>
      </c>
      <c r="CH750" s="30">
        <v>0</v>
      </c>
      <c r="CI750" s="30">
        <v>0</v>
      </c>
      <c r="CJ750" s="30">
        <v>0</v>
      </c>
      <c r="CK750" s="30">
        <v>0</v>
      </c>
      <c r="CL750" s="30">
        <v>0</v>
      </c>
      <c r="CM750" s="30">
        <v>0</v>
      </c>
      <c r="CN750" s="30">
        <v>0</v>
      </c>
      <c r="CO750" s="30">
        <v>0</v>
      </c>
      <c r="CP750" s="30">
        <v>0</v>
      </c>
      <c r="CQ750" s="30">
        <v>0</v>
      </c>
      <c r="CR750" s="30">
        <v>0</v>
      </c>
      <c r="CS750" s="30">
        <v>0</v>
      </c>
      <c r="CT750" s="30">
        <v>0</v>
      </c>
      <c r="CU750" s="30">
        <v>0</v>
      </c>
      <c r="CV750" s="30">
        <v>0</v>
      </c>
      <c r="CW750" s="30">
        <v>0</v>
      </c>
      <c r="CX750" s="30">
        <v>0</v>
      </c>
      <c r="CY750" s="30">
        <v>0</v>
      </c>
      <c r="CZ750" s="30">
        <v>0</v>
      </c>
      <c r="DA750" s="30">
        <v>0</v>
      </c>
      <c r="DB750" s="30">
        <v>0</v>
      </c>
      <c r="DC750" s="30">
        <v>0</v>
      </c>
      <c r="DD750" s="30">
        <v>0</v>
      </c>
      <c r="DE750" s="30">
        <v>0</v>
      </c>
      <c r="DF750" s="30">
        <v>0</v>
      </c>
      <c r="DG750" s="16">
        <f t="shared" si="64"/>
        <v>31878</v>
      </c>
      <c r="DH750" s="16">
        <f t="shared" si="65"/>
        <v>579485</v>
      </c>
      <c r="DI750" s="17">
        <f t="shared" si="66"/>
        <v>18.178210678210679</v>
      </c>
      <c r="DJ750" s="119" t="s">
        <v>1323</v>
      </c>
      <c r="DK750" s="119" t="s">
        <v>1524</v>
      </c>
      <c r="DL750" s="119" t="s">
        <v>1523</v>
      </c>
    </row>
    <row r="751" spans="1:116">
      <c r="A751" s="32" t="str">
        <f t="shared" si="62"/>
        <v>Ausgrid--LUMINAIRES ;  MINOR ROAD</v>
      </c>
      <c r="B751" s="32" t="str">
        <f t="shared" si="63"/>
        <v>Ausgrid</v>
      </c>
      <c r="C751" s="397"/>
      <c r="D751" s="31"/>
      <c r="E751" s="30" t="s">
        <v>263</v>
      </c>
      <c r="F751" s="19">
        <v>16.989999999999998</v>
      </c>
      <c r="G751" s="19">
        <v>15.91</v>
      </c>
      <c r="H751" s="30">
        <v>17423</v>
      </c>
      <c r="I751" s="30">
        <v>16640</v>
      </c>
      <c r="J751" s="30">
        <v>15846</v>
      </c>
      <c r="K751" s="30">
        <v>14716</v>
      </c>
      <c r="L751" s="30">
        <v>13233</v>
      </c>
      <c r="M751" s="30">
        <v>13545</v>
      </c>
      <c r="N751" s="30">
        <v>15839</v>
      </c>
      <c r="O751" s="30">
        <v>9111</v>
      </c>
      <c r="P751" s="30">
        <v>10770</v>
      </c>
      <c r="Q751" s="30">
        <v>10330</v>
      </c>
      <c r="R751" s="30">
        <v>1975</v>
      </c>
      <c r="S751" s="30">
        <v>1906</v>
      </c>
      <c r="T751" s="30">
        <v>2221</v>
      </c>
      <c r="U751" s="30">
        <v>3105</v>
      </c>
      <c r="V751" s="30">
        <v>7161</v>
      </c>
      <c r="W751" s="30">
        <v>1283</v>
      </c>
      <c r="X751" s="30">
        <v>1664</v>
      </c>
      <c r="Y751" s="30">
        <v>2539</v>
      </c>
      <c r="Z751" s="30">
        <v>1853</v>
      </c>
      <c r="AA751" s="30">
        <v>1788</v>
      </c>
      <c r="AB751" s="30">
        <v>1632</v>
      </c>
      <c r="AC751" s="30">
        <v>1843</v>
      </c>
      <c r="AD751" s="30">
        <v>1521</v>
      </c>
      <c r="AE751" s="30">
        <v>1494</v>
      </c>
      <c r="AF751" s="30">
        <v>1288</v>
      </c>
      <c r="AG751" s="30">
        <v>1016</v>
      </c>
      <c r="AH751" s="30">
        <v>1335</v>
      </c>
      <c r="AI751" s="30">
        <v>1066</v>
      </c>
      <c r="AJ751" s="30">
        <v>690</v>
      </c>
      <c r="AK751" s="30">
        <v>721</v>
      </c>
      <c r="AL751" s="30">
        <v>654</v>
      </c>
      <c r="AM751" s="30">
        <v>811</v>
      </c>
      <c r="AN751" s="30">
        <v>1070</v>
      </c>
      <c r="AO751" s="30">
        <v>1500</v>
      </c>
      <c r="AP751" s="30">
        <v>2032</v>
      </c>
      <c r="AQ751" s="30">
        <v>1043</v>
      </c>
      <c r="AR751" s="30">
        <v>957</v>
      </c>
      <c r="AS751" s="30">
        <v>1015</v>
      </c>
      <c r="AT751" s="30">
        <v>919</v>
      </c>
      <c r="AU751" s="30">
        <v>730</v>
      </c>
      <c r="AV751" s="30">
        <v>851</v>
      </c>
      <c r="AW751" s="30">
        <v>1382</v>
      </c>
      <c r="AX751" s="30">
        <v>2104</v>
      </c>
      <c r="AY751" s="30">
        <v>2327</v>
      </c>
      <c r="AZ751" s="30">
        <v>3973</v>
      </c>
      <c r="BA751" s="30">
        <v>2323</v>
      </c>
      <c r="BB751" s="30">
        <v>2187</v>
      </c>
      <c r="BC751" s="30">
        <v>1511</v>
      </c>
      <c r="BD751" s="30">
        <v>1086</v>
      </c>
      <c r="BE751" s="30">
        <v>914</v>
      </c>
      <c r="BF751" s="30">
        <v>632</v>
      </c>
      <c r="BG751" s="30">
        <v>443</v>
      </c>
      <c r="BH751" s="30">
        <v>66</v>
      </c>
      <c r="BI751" s="30">
        <v>21</v>
      </c>
      <c r="BJ751" s="30">
        <v>18</v>
      </c>
      <c r="BK751" s="30">
        <v>25</v>
      </c>
      <c r="BL751" s="30">
        <v>4</v>
      </c>
      <c r="BM751" s="30">
        <v>1</v>
      </c>
      <c r="BN751" s="30">
        <v>0</v>
      </c>
      <c r="BO751" s="30">
        <v>2</v>
      </c>
      <c r="BP751" s="30">
        <v>0</v>
      </c>
      <c r="BQ751" s="30">
        <v>1</v>
      </c>
      <c r="BR751" s="30">
        <v>33</v>
      </c>
      <c r="BS751" s="30">
        <v>0</v>
      </c>
      <c r="BT751" s="30">
        <v>1</v>
      </c>
      <c r="BU751" s="30">
        <v>1</v>
      </c>
      <c r="BV751" s="30">
        <v>0</v>
      </c>
      <c r="BW751" s="30">
        <v>0</v>
      </c>
      <c r="BX751" s="30">
        <v>0</v>
      </c>
      <c r="BY751" s="30">
        <v>0</v>
      </c>
      <c r="BZ751" s="30">
        <v>0</v>
      </c>
      <c r="CA751" s="30">
        <v>0</v>
      </c>
      <c r="CB751" s="30">
        <v>0</v>
      </c>
      <c r="CC751" s="30">
        <v>0</v>
      </c>
      <c r="CD751" s="30">
        <v>7</v>
      </c>
      <c r="CE751" s="30">
        <v>0</v>
      </c>
      <c r="CF751" s="30">
        <v>1</v>
      </c>
      <c r="CG751" s="30">
        <v>0</v>
      </c>
      <c r="CH751" s="30">
        <v>0</v>
      </c>
      <c r="CI751" s="30">
        <v>0</v>
      </c>
      <c r="CJ751" s="30">
        <v>0</v>
      </c>
      <c r="CK751" s="30">
        <v>0</v>
      </c>
      <c r="CL751" s="30">
        <v>0</v>
      </c>
      <c r="CM751" s="30">
        <v>1</v>
      </c>
      <c r="CN751" s="30">
        <v>0</v>
      </c>
      <c r="CO751" s="30">
        <v>0</v>
      </c>
      <c r="CP751" s="30">
        <v>0</v>
      </c>
      <c r="CQ751" s="30">
        <v>0</v>
      </c>
      <c r="CR751" s="30">
        <v>0</v>
      </c>
      <c r="CS751" s="30">
        <v>0</v>
      </c>
      <c r="CT751" s="30">
        <v>0</v>
      </c>
      <c r="CU751" s="30">
        <v>0</v>
      </c>
      <c r="CV751" s="30">
        <v>0</v>
      </c>
      <c r="CW751" s="30">
        <v>0</v>
      </c>
      <c r="CX751" s="30">
        <v>0</v>
      </c>
      <c r="CY751" s="30">
        <v>0</v>
      </c>
      <c r="CZ751" s="30">
        <v>0</v>
      </c>
      <c r="DA751" s="30">
        <v>0</v>
      </c>
      <c r="DB751" s="30">
        <v>0</v>
      </c>
      <c r="DC751" s="30">
        <v>0</v>
      </c>
      <c r="DD751" s="30">
        <v>0</v>
      </c>
      <c r="DE751" s="30">
        <v>0</v>
      </c>
      <c r="DF751" s="30">
        <v>0</v>
      </c>
      <c r="DG751" s="16">
        <f t="shared" si="64"/>
        <v>206200</v>
      </c>
      <c r="DH751" s="16">
        <f t="shared" si="65"/>
        <v>2681724</v>
      </c>
      <c r="DI751" s="17">
        <f t="shared" si="66"/>
        <v>13.00545101842871</v>
      </c>
      <c r="DJ751" s="119" t="s">
        <v>1323</v>
      </c>
      <c r="DK751" s="119" t="s">
        <v>1524</v>
      </c>
      <c r="DL751" s="119" t="s">
        <v>1523</v>
      </c>
    </row>
    <row r="752" spans="1:116">
      <c r="A752" s="32" t="str">
        <f t="shared" si="62"/>
        <v>Ausgrid--BRACKETS ; MAJOR ROAD</v>
      </c>
      <c r="B752" s="32" t="str">
        <f t="shared" si="63"/>
        <v>Ausgrid</v>
      </c>
      <c r="C752" s="397"/>
      <c r="D752" s="31"/>
      <c r="E752" s="30" t="s">
        <v>264</v>
      </c>
      <c r="F752" s="19">
        <v>31.2</v>
      </c>
      <c r="G752" s="19">
        <v>14.18</v>
      </c>
      <c r="H752" s="30">
        <v>366</v>
      </c>
      <c r="I752" s="30">
        <v>757</v>
      </c>
      <c r="J752" s="30">
        <v>698</v>
      </c>
      <c r="K752" s="30">
        <v>913</v>
      </c>
      <c r="L752" s="30">
        <v>1314</v>
      </c>
      <c r="M752" s="30">
        <v>816</v>
      </c>
      <c r="N752" s="30">
        <v>521</v>
      </c>
      <c r="O752" s="30">
        <v>1047</v>
      </c>
      <c r="P752" s="30">
        <v>243</v>
      </c>
      <c r="Q752" s="30">
        <v>174</v>
      </c>
      <c r="R752" s="30">
        <v>172</v>
      </c>
      <c r="S752" s="30">
        <v>166</v>
      </c>
      <c r="T752" s="30">
        <v>257</v>
      </c>
      <c r="U752" s="30">
        <v>288</v>
      </c>
      <c r="V752" s="30">
        <v>1825</v>
      </c>
      <c r="W752" s="30">
        <v>147</v>
      </c>
      <c r="X752" s="30">
        <v>329</v>
      </c>
      <c r="Y752" s="30">
        <v>417</v>
      </c>
      <c r="Z752" s="30">
        <v>454</v>
      </c>
      <c r="AA752" s="30">
        <v>407</v>
      </c>
      <c r="AB752" s="30">
        <v>516</v>
      </c>
      <c r="AC752" s="30">
        <v>1095</v>
      </c>
      <c r="AD752" s="30">
        <v>390</v>
      </c>
      <c r="AE752" s="30">
        <v>401</v>
      </c>
      <c r="AF752" s="30">
        <v>662</v>
      </c>
      <c r="AG752" s="30">
        <v>662</v>
      </c>
      <c r="AH752" s="30">
        <v>554</v>
      </c>
      <c r="AI752" s="30">
        <v>457</v>
      </c>
      <c r="AJ752" s="30">
        <v>203</v>
      </c>
      <c r="AK752" s="30">
        <v>275</v>
      </c>
      <c r="AL752" s="30">
        <v>199</v>
      </c>
      <c r="AM752" s="30">
        <v>395</v>
      </c>
      <c r="AN752" s="30">
        <v>408</v>
      </c>
      <c r="AO752" s="30">
        <v>512</v>
      </c>
      <c r="AP752" s="30">
        <v>730</v>
      </c>
      <c r="AQ752" s="30">
        <v>669</v>
      </c>
      <c r="AR752" s="30">
        <v>392</v>
      </c>
      <c r="AS752" s="30">
        <v>729</v>
      </c>
      <c r="AT752" s="30">
        <v>576</v>
      </c>
      <c r="AU752" s="30">
        <v>700</v>
      </c>
      <c r="AV752" s="30">
        <v>476</v>
      </c>
      <c r="AW752" s="30">
        <v>894</v>
      </c>
      <c r="AX752" s="30">
        <v>954</v>
      </c>
      <c r="AY752" s="30">
        <v>1172</v>
      </c>
      <c r="AZ752" s="30">
        <v>1548</v>
      </c>
      <c r="BA752" s="30">
        <v>1945</v>
      </c>
      <c r="BB752" s="30">
        <v>1899</v>
      </c>
      <c r="BC752" s="30">
        <v>607</v>
      </c>
      <c r="BD752" s="30">
        <v>186</v>
      </c>
      <c r="BE752" s="30">
        <v>102</v>
      </c>
      <c r="BF752" s="30">
        <v>36</v>
      </c>
      <c r="BG752" s="30">
        <v>11</v>
      </c>
      <c r="BH752" s="30">
        <v>5</v>
      </c>
      <c r="BI752" s="30">
        <v>4</v>
      </c>
      <c r="BJ752" s="30">
        <v>0</v>
      </c>
      <c r="BK752" s="30">
        <v>0</v>
      </c>
      <c r="BL752" s="30">
        <v>0</v>
      </c>
      <c r="BM752" s="30">
        <v>0</v>
      </c>
      <c r="BN752" s="30">
        <v>0</v>
      </c>
      <c r="BO752" s="30">
        <v>0</v>
      </c>
      <c r="BP752" s="30">
        <v>0</v>
      </c>
      <c r="BQ752" s="30">
        <v>0</v>
      </c>
      <c r="BR752" s="30">
        <v>15</v>
      </c>
      <c r="BS752" s="30">
        <v>0</v>
      </c>
      <c r="BT752" s="30">
        <v>1</v>
      </c>
      <c r="BU752" s="30">
        <v>0</v>
      </c>
      <c r="BV752" s="30">
        <v>1</v>
      </c>
      <c r="BW752" s="30">
        <v>0</v>
      </c>
      <c r="BX752" s="30">
        <v>0</v>
      </c>
      <c r="BY752" s="30">
        <v>0</v>
      </c>
      <c r="BZ752" s="30">
        <v>0</v>
      </c>
      <c r="CA752" s="30">
        <v>0</v>
      </c>
      <c r="CB752" s="30">
        <v>0</v>
      </c>
      <c r="CC752" s="30">
        <v>0</v>
      </c>
      <c r="CD752" s="30">
        <v>0</v>
      </c>
      <c r="CE752" s="30">
        <v>0</v>
      </c>
      <c r="CF752" s="30">
        <v>0</v>
      </c>
      <c r="CG752" s="30">
        <v>0</v>
      </c>
      <c r="CH752" s="30">
        <v>0</v>
      </c>
      <c r="CI752" s="30">
        <v>0</v>
      </c>
      <c r="CJ752" s="30">
        <v>0</v>
      </c>
      <c r="CK752" s="30">
        <v>0</v>
      </c>
      <c r="CL752" s="30">
        <v>0</v>
      </c>
      <c r="CM752" s="30">
        <v>0</v>
      </c>
      <c r="CN752" s="30">
        <v>0</v>
      </c>
      <c r="CO752" s="30">
        <v>0</v>
      </c>
      <c r="CP752" s="30">
        <v>0</v>
      </c>
      <c r="CQ752" s="30">
        <v>0</v>
      </c>
      <c r="CR752" s="30">
        <v>0</v>
      </c>
      <c r="CS752" s="30">
        <v>0</v>
      </c>
      <c r="CT752" s="30">
        <v>0</v>
      </c>
      <c r="CU752" s="30">
        <v>0</v>
      </c>
      <c r="CV752" s="30">
        <v>0</v>
      </c>
      <c r="CW752" s="30">
        <v>0</v>
      </c>
      <c r="CX752" s="30">
        <v>0</v>
      </c>
      <c r="CY752" s="30">
        <v>0</v>
      </c>
      <c r="CZ752" s="30">
        <v>0</v>
      </c>
      <c r="DA752" s="30">
        <v>0</v>
      </c>
      <c r="DB752" s="30">
        <v>0</v>
      </c>
      <c r="DC752" s="30">
        <v>0</v>
      </c>
      <c r="DD752" s="30">
        <v>0</v>
      </c>
      <c r="DE752" s="30">
        <v>0</v>
      </c>
      <c r="DF752" s="30">
        <v>0</v>
      </c>
      <c r="DG752" s="16">
        <f t="shared" si="64"/>
        <v>31692</v>
      </c>
      <c r="DH752" s="16">
        <f t="shared" si="65"/>
        <v>872402</v>
      </c>
      <c r="DI752" s="17">
        <f t="shared" si="66"/>
        <v>27.527514830241071</v>
      </c>
      <c r="DJ752" s="119" t="s">
        <v>1323</v>
      </c>
      <c r="DK752" s="119" t="s">
        <v>1525</v>
      </c>
    </row>
    <row r="753" spans="1:116">
      <c r="A753" s="32" t="str">
        <f t="shared" si="62"/>
        <v>Ausgrid--BRACKETS ; MINOR ROAD</v>
      </c>
      <c r="B753" s="32" t="str">
        <f t="shared" si="63"/>
        <v>Ausgrid</v>
      </c>
      <c r="C753" s="397"/>
      <c r="D753" s="31"/>
      <c r="E753" s="30" t="s">
        <v>265</v>
      </c>
      <c r="F753" s="19">
        <v>26.97</v>
      </c>
      <c r="G753" s="19">
        <v>16.059999999999999</v>
      </c>
      <c r="H753" s="30">
        <v>4178</v>
      </c>
      <c r="I753" s="30">
        <v>5805</v>
      </c>
      <c r="J753" s="30">
        <v>6138</v>
      </c>
      <c r="K753" s="30">
        <v>6502</v>
      </c>
      <c r="L753" s="30">
        <v>8755</v>
      </c>
      <c r="M753" s="30">
        <v>8848</v>
      </c>
      <c r="N753" s="30">
        <v>8788</v>
      </c>
      <c r="O753" s="30">
        <v>6428</v>
      </c>
      <c r="P753" s="30">
        <v>6851</v>
      </c>
      <c r="Q753" s="30">
        <v>7954</v>
      </c>
      <c r="R753" s="30">
        <v>1368</v>
      </c>
      <c r="S753" s="30">
        <v>1206</v>
      </c>
      <c r="T753" s="30">
        <v>1547</v>
      </c>
      <c r="U753" s="30">
        <v>2123</v>
      </c>
      <c r="V753" s="30">
        <v>12469</v>
      </c>
      <c r="W753" s="30">
        <v>1967</v>
      </c>
      <c r="X753" s="30">
        <v>2709</v>
      </c>
      <c r="Y753" s="30">
        <v>3809</v>
      </c>
      <c r="Z753" s="30">
        <v>2938</v>
      </c>
      <c r="AA753" s="30">
        <v>2868</v>
      </c>
      <c r="AB753" s="30">
        <v>2986</v>
      </c>
      <c r="AC753" s="30">
        <v>5265</v>
      </c>
      <c r="AD753" s="30">
        <v>2645</v>
      </c>
      <c r="AE753" s="30">
        <v>2873</v>
      </c>
      <c r="AF753" s="30">
        <v>2253</v>
      </c>
      <c r="AG753" s="30">
        <v>2075</v>
      </c>
      <c r="AH753" s="30">
        <v>2781</v>
      </c>
      <c r="AI753" s="30">
        <v>2811</v>
      </c>
      <c r="AJ753" s="30">
        <v>1741</v>
      </c>
      <c r="AK753" s="30">
        <v>1414</v>
      </c>
      <c r="AL753" s="30">
        <v>1649</v>
      </c>
      <c r="AM753" s="30">
        <v>1967</v>
      </c>
      <c r="AN753" s="30">
        <v>2417</v>
      </c>
      <c r="AO753" s="30">
        <v>3697</v>
      </c>
      <c r="AP753" s="30">
        <v>4836</v>
      </c>
      <c r="AQ753" s="30">
        <v>2756</v>
      </c>
      <c r="AR753" s="30">
        <v>2347</v>
      </c>
      <c r="AS753" s="30">
        <v>2730</v>
      </c>
      <c r="AT753" s="30">
        <v>2876</v>
      </c>
      <c r="AU753" s="30">
        <v>1777</v>
      </c>
      <c r="AV753" s="30">
        <v>2047</v>
      </c>
      <c r="AW753" s="30">
        <v>2922</v>
      </c>
      <c r="AX753" s="30">
        <v>3776</v>
      </c>
      <c r="AY753" s="30">
        <v>4277</v>
      </c>
      <c r="AZ753" s="30">
        <v>7410</v>
      </c>
      <c r="BA753" s="30">
        <v>4386</v>
      </c>
      <c r="BB753" s="30">
        <v>4730</v>
      </c>
      <c r="BC753" s="30">
        <v>3410</v>
      </c>
      <c r="BD753" s="30">
        <v>2750</v>
      </c>
      <c r="BE753" s="30">
        <v>3756</v>
      </c>
      <c r="BF753" s="30">
        <v>1562</v>
      </c>
      <c r="BG753" s="30">
        <v>1058</v>
      </c>
      <c r="BH753" s="30">
        <v>135</v>
      </c>
      <c r="BI753" s="30">
        <v>49</v>
      </c>
      <c r="BJ753" s="30">
        <v>27</v>
      </c>
      <c r="BK753" s="30">
        <v>31</v>
      </c>
      <c r="BL753" s="30">
        <v>4</v>
      </c>
      <c r="BM753" s="30">
        <v>7</v>
      </c>
      <c r="BN753" s="30">
        <v>1</v>
      </c>
      <c r="BO753" s="30">
        <v>4</v>
      </c>
      <c r="BP753" s="30">
        <v>1</v>
      </c>
      <c r="BQ753" s="30">
        <v>2</v>
      </c>
      <c r="BR753" s="30">
        <v>81</v>
      </c>
      <c r="BS753" s="30">
        <v>3</v>
      </c>
      <c r="BT753" s="30">
        <v>2</v>
      </c>
      <c r="BU753" s="30">
        <v>2</v>
      </c>
      <c r="BV753" s="30">
        <v>2</v>
      </c>
      <c r="BW753" s="30">
        <v>1</v>
      </c>
      <c r="BX753" s="30">
        <v>1</v>
      </c>
      <c r="BY753" s="30">
        <v>2</v>
      </c>
      <c r="BZ753" s="30">
        <v>1</v>
      </c>
      <c r="CA753" s="30">
        <v>0</v>
      </c>
      <c r="CB753" s="30">
        <v>1</v>
      </c>
      <c r="CC753" s="30">
        <v>1</v>
      </c>
      <c r="CD753" s="30">
        <v>8</v>
      </c>
      <c r="CE753" s="30">
        <v>0</v>
      </c>
      <c r="CF753" s="30">
        <v>2</v>
      </c>
      <c r="CG753" s="30">
        <v>1</v>
      </c>
      <c r="CH753" s="30">
        <v>0</v>
      </c>
      <c r="CI753" s="30">
        <v>1</v>
      </c>
      <c r="CJ753" s="30">
        <v>1</v>
      </c>
      <c r="CK753" s="30">
        <v>0</v>
      </c>
      <c r="CL753" s="30">
        <v>0</v>
      </c>
      <c r="CM753" s="30">
        <v>0</v>
      </c>
      <c r="CN753" s="30">
        <v>0</v>
      </c>
      <c r="CO753" s="30">
        <v>1</v>
      </c>
      <c r="CP753" s="30">
        <v>0</v>
      </c>
      <c r="CQ753" s="30">
        <v>0</v>
      </c>
      <c r="CR753" s="30">
        <v>0</v>
      </c>
      <c r="CS753" s="30">
        <v>0</v>
      </c>
      <c r="CT753" s="30">
        <v>0</v>
      </c>
      <c r="CU753" s="30">
        <v>0</v>
      </c>
      <c r="CV753" s="30">
        <v>0</v>
      </c>
      <c r="CW753" s="30">
        <v>0</v>
      </c>
      <c r="CX753" s="30">
        <v>0</v>
      </c>
      <c r="CY753" s="30">
        <v>0</v>
      </c>
      <c r="CZ753" s="30">
        <v>0</v>
      </c>
      <c r="DA753" s="30">
        <v>0</v>
      </c>
      <c r="DB753" s="30">
        <v>0</v>
      </c>
      <c r="DC753" s="30">
        <v>0</v>
      </c>
      <c r="DD753" s="30">
        <v>1</v>
      </c>
      <c r="DE753" s="30">
        <v>0</v>
      </c>
      <c r="DF753" s="30">
        <v>0</v>
      </c>
      <c r="DG753" s="16">
        <f t="shared" si="64"/>
        <v>199604</v>
      </c>
      <c r="DH753" s="16">
        <f t="shared" si="65"/>
        <v>4521129</v>
      </c>
      <c r="DI753" s="17">
        <f t="shared" si="66"/>
        <v>22.650492976092664</v>
      </c>
      <c r="DJ753" s="119" t="s">
        <v>1323</v>
      </c>
      <c r="DK753" s="119" t="s">
        <v>1525</v>
      </c>
    </row>
    <row r="754" spans="1:116">
      <c r="A754" s="32" t="str">
        <f t="shared" si="62"/>
        <v>Ausgrid--LAMPS ; MAJOR ROAD</v>
      </c>
      <c r="B754" s="32" t="str">
        <f t="shared" si="63"/>
        <v>Ausgrid</v>
      </c>
      <c r="C754" s="397"/>
      <c r="D754" s="31"/>
      <c r="E754" s="30" t="s">
        <v>266</v>
      </c>
      <c r="F754" s="19">
        <v>2.27</v>
      </c>
      <c r="G754" s="19">
        <v>0.69</v>
      </c>
      <c r="H754" s="30">
        <v>15191</v>
      </c>
      <c r="I754" s="30">
        <v>6858</v>
      </c>
      <c r="J754" s="30">
        <v>733</v>
      </c>
      <c r="K754" s="30">
        <v>527</v>
      </c>
      <c r="L754" s="30">
        <v>145</v>
      </c>
      <c r="M754" s="30">
        <v>51</v>
      </c>
      <c r="N754" s="30">
        <v>31</v>
      </c>
      <c r="O754" s="30">
        <v>17</v>
      </c>
      <c r="P754" s="30">
        <v>17</v>
      </c>
      <c r="Q754" s="30">
        <v>26</v>
      </c>
      <c r="R754" s="30">
        <v>20</v>
      </c>
      <c r="S754" s="30">
        <v>12</v>
      </c>
      <c r="T754" s="30">
        <v>25</v>
      </c>
      <c r="U754" s="30">
        <v>38</v>
      </c>
      <c r="V754" s="30">
        <v>215</v>
      </c>
      <c r="W754" s="30">
        <v>14</v>
      </c>
      <c r="X754" s="30">
        <v>19</v>
      </c>
      <c r="Y754" s="30">
        <v>26</v>
      </c>
      <c r="Z754" s="30">
        <v>13</v>
      </c>
      <c r="AA754" s="30">
        <v>17</v>
      </c>
      <c r="AB754" s="30">
        <v>20</v>
      </c>
      <c r="AC754" s="30">
        <v>16</v>
      </c>
      <c r="AD754" s="30">
        <v>13</v>
      </c>
      <c r="AE754" s="30">
        <v>13</v>
      </c>
      <c r="AF754" s="30">
        <v>18</v>
      </c>
      <c r="AG754" s="30">
        <v>10</v>
      </c>
      <c r="AH754" s="30">
        <v>14</v>
      </c>
      <c r="AI754" s="30">
        <v>12</v>
      </c>
      <c r="AJ754" s="30">
        <v>2</v>
      </c>
      <c r="AK754" s="30">
        <v>2</v>
      </c>
      <c r="AL754" s="30">
        <v>5</v>
      </c>
      <c r="AM754" s="30">
        <v>10</v>
      </c>
      <c r="AN754" s="30">
        <v>10</v>
      </c>
      <c r="AO754" s="30">
        <v>10</v>
      </c>
      <c r="AP754" s="30">
        <v>24</v>
      </c>
      <c r="AQ754" s="30">
        <v>14</v>
      </c>
      <c r="AR754" s="30">
        <v>7</v>
      </c>
      <c r="AS754" s="30">
        <v>5</v>
      </c>
      <c r="AT754" s="30">
        <v>8</v>
      </c>
      <c r="AU754" s="30">
        <v>25</v>
      </c>
      <c r="AV754" s="30">
        <v>8</v>
      </c>
      <c r="AW754" s="30">
        <v>21</v>
      </c>
      <c r="AX754" s="30">
        <v>20</v>
      </c>
      <c r="AY754" s="30">
        <v>49</v>
      </c>
      <c r="AZ754" s="30">
        <v>46</v>
      </c>
      <c r="BA754" s="30">
        <v>122</v>
      </c>
      <c r="BB754" s="30">
        <v>101</v>
      </c>
      <c r="BC754" s="30">
        <v>27</v>
      </c>
      <c r="BD754" s="30">
        <v>6</v>
      </c>
      <c r="BE754" s="30">
        <v>2</v>
      </c>
      <c r="BF754" s="30">
        <v>0</v>
      </c>
      <c r="BG754" s="30">
        <v>0</v>
      </c>
      <c r="BH754" s="30">
        <v>0</v>
      </c>
      <c r="BI754" s="30">
        <v>0</v>
      </c>
      <c r="BJ754" s="30">
        <v>0</v>
      </c>
      <c r="BK754" s="30">
        <v>0</v>
      </c>
      <c r="BL754" s="30">
        <v>0</v>
      </c>
      <c r="BM754" s="30">
        <v>0</v>
      </c>
      <c r="BN754" s="30">
        <v>0</v>
      </c>
      <c r="BO754" s="30">
        <v>0</v>
      </c>
      <c r="BP754" s="30">
        <v>0</v>
      </c>
      <c r="BQ754" s="30">
        <v>0</v>
      </c>
      <c r="BR754" s="30">
        <v>1</v>
      </c>
      <c r="BS754" s="30">
        <v>0</v>
      </c>
      <c r="BT754" s="30">
        <v>0</v>
      </c>
      <c r="BU754" s="30">
        <v>0</v>
      </c>
      <c r="BV754" s="30">
        <v>0</v>
      </c>
      <c r="BW754" s="30">
        <v>0</v>
      </c>
      <c r="BX754" s="30">
        <v>0</v>
      </c>
      <c r="BY754" s="30">
        <v>0</v>
      </c>
      <c r="BZ754" s="30">
        <v>0</v>
      </c>
      <c r="CA754" s="30">
        <v>0</v>
      </c>
      <c r="CB754" s="30">
        <v>0</v>
      </c>
      <c r="CC754" s="30">
        <v>0</v>
      </c>
      <c r="CD754" s="30">
        <v>0</v>
      </c>
      <c r="CE754" s="30">
        <v>0</v>
      </c>
      <c r="CF754" s="30">
        <v>0</v>
      </c>
      <c r="CG754" s="30">
        <v>0</v>
      </c>
      <c r="CH754" s="30">
        <v>0</v>
      </c>
      <c r="CI754" s="30">
        <v>0</v>
      </c>
      <c r="CJ754" s="30">
        <v>0</v>
      </c>
      <c r="CK754" s="30">
        <v>0</v>
      </c>
      <c r="CL754" s="30">
        <v>0</v>
      </c>
      <c r="CM754" s="30">
        <v>0</v>
      </c>
      <c r="CN754" s="30">
        <v>0</v>
      </c>
      <c r="CO754" s="30">
        <v>0</v>
      </c>
      <c r="CP754" s="30">
        <v>0</v>
      </c>
      <c r="CQ754" s="30">
        <v>0</v>
      </c>
      <c r="CR754" s="30">
        <v>0</v>
      </c>
      <c r="CS754" s="30">
        <v>0</v>
      </c>
      <c r="CT754" s="30">
        <v>0</v>
      </c>
      <c r="CU754" s="30">
        <v>0</v>
      </c>
      <c r="CV754" s="30">
        <v>0</v>
      </c>
      <c r="CW754" s="30">
        <v>0</v>
      </c>
      <c r="CX754" s="30">
        <v>0</v>
      </c>
      <c r="CY754" s="30">
        <v>0</v>
      </c>
      <c r="CZ754" s="30">
        <v>0</v>
      </c>
      <c r="DA754" s="30">
        <v>0</v>
      </c>
      <c r="DB754" s="30">
        <v>0</v>
      </c>
      <c r="DC754" s="30">
        <v>0</v>
      </c>
      <c r="DD754" s="30">
        <v>0</v>
      </c>
      <c r="DE754" s="30">
        <v>0</v>
      </c>
      <c r="DF754" s="30">
        <v>0</v>
      </c>
      <c r="DG754" s="16">
        <f t="shared" si="64"/>
        <v>24636</v>
      </c>
      <c r="DH754" s="16">
        <f t="shared" si="65"/>
        <v>66642</v>
      </c>
      <c r="DI754" s="17">
        <f t="shared" si="66"/>
        <v>2.7050657574281538</v>
      </c>
      <c r="DJ754" s="119" t="s">
        <v>1323</v>
      </c>
      <c r="DK754" s="119" t="s">
        <v>1525</v>
      </c>
    </row>
    <row r="755" spans="1:116">
      <c r="A755" s="32" t="str">
        <f t="shared" si="62"/>
        <v>Ausgrid--LAMPS ; MINOR ROAD</v>
      </c>
      <c r="B755" s="32" t="str">
        <f t="shared" si="63"/>
        <v>Ausgrid</v>
      </c>
      <c r="C755" s="397"/>
      <c r="D755" s="31"/>
      <c r="E755" s="30" t="s">
        <v>267</v>
      </c>
      <c r="F755" s="19">
        <v>2.09</v>
      </c>
      <c r="G755" s="19">
        <v>0.79</v>
      </c>
      <c r="H755" s="30">
        <v>106285</v>
      </c>
      <c r="I755" s="30">
        <v>59628</v>
      </c>
      <c r="J755" s="30">
        <v>4474</v>
      </c>
      <c r="K755" s="30">
        <v>2500</v>
      </c>
      <c r="L755" s="30">
        <v>452</v>
      </c>
      <c r="M755" s="30">
        <v>374</v>
      </c>
      <c r="N755" s="30">
        <v>300</v>
      </c>
      <c r="O755" s="30">
        <v>245</v>
      </c>
      <c r="P755" s="30">
        <v>203</v>
      </c>
      <c r="Q755" s="30">
        <v>206</v>
      </c>
      <c r="R755" s="30">
        <v>87</v>
      </c>
      <c r="S755" s="30">
        <v>83</v>
      </c>
      <c r="T755" s="30">
        <v>89</v>
      </c>
      <c r="U755" s="30">
        <v>136</v>
      </c>
      <c r="V755" s="30">
        <v>415</v>
      </c>
      <c r="W755" s="30">
        <v>57</v>
      </c>
      <c r="X755" s="30">
        <v>107</v>
      </c>
      <c r="Y755" s="30">
        <v>194</v>
      </c>
      <c r="Z755" s="30">
        <v>40</v>
      </c>
      <c r="AA755" s="30">
        <v>83</v>
      </c>
      <c r="AB755" s="30">
        <v>60</v>
      </c>
      <c r="AC755" s="30">
        <v>63</v>
      </c>
      <c r="AD755" s="30">
        <v>32</v>
      </c>
      <c r="AE755" s="30">
        <v>74</v>
      </c>
      <c r="AF755" s="30">
        <v>77</v>
      </c>
      <c r="AG755" s="30">
        <v>44</v>
      </c>
      <c r="AH755" s="30">
        <v>52</v>
      </c>
      <c r="AI755" s="30">
        <v>46</v>
      </c>
      <c r="AJ755" s="30">
        <v>43</v>
      </c>
      <c r="AK755" s="30">
        <v>51</v>
      </c>
      <c r="AL755" s="30">
        <v>24</v>
      </c>
      <c r="AM755" s="30">
        <v>18</v>
      </c>
      <c r="AN755" s="30">
        <v>52</v>
      </c>
      <c r="AO755" s="30">
        <v>49</v>
      </c>
      <c r="AP755" s="30">
        <v>87</v>
      </c>
      <c r="AQ755" s="30">
        <v>49</v>
      </c>
      <c r="AR755" s="30">
        <v>60</v>
      </c>
      <c r="AS755" s="30">
        <v>46</v>
      </c>
      <c r="AT755" s="30">
        <v>66</v>
      </c>
      <c r="AU755" s="30">
        <v>36</v>
      </c>
      <c r="AV755" s="30">
        <v>45</v>
      </c>
      <c r="AW755" s="30">
        <v>72</v>
      </c>
      <c r="AX755" s="30">
        <v>93</v>
      </c>
      <c r="AY755" s="30">
        <v>125</v>
      </c>
      <c r="AZ755" s="30">
        <v>338</v>
      </c>
      <c r="BA755" s="30">
        <v>185</v>
      </c>
      <c r="BB755" s="30">
        <v>79</v>
      </c>
      <c r="BC755" s="30">
        <v>77</v>
      </c>
      <c r="BD755" s="30">
        <v>45</v>
      </c>
      <c r="BE755" s="30">
        <v>33</v>
      </c>
      <c r="BF755" s="30">
        <v>21</v>
      </c>
      <c r="BG755" s="30">
        <v>22</v>
      </c>
      <c r="BH755" s="30">
        <v>2</v>
      </c>
      <c r="BI755" s="30">
        <v>0</v>
      </c>
      <c r="BJ755" s="30">
        <v>1</v>
      </c>
      <c r="BK755" s="30">
        <v>1</v>
      </c>
      <c r="BL755" s="30">
        <v>0</v>
      </c>
      <c r="BM755" s="30">
        <v>0</v>
      </c>
      <c r="BN755" s="30">
        <v>0</v>
      </c>
      <c r="BO755" s="30">
        <v>0</v>
      </c>
      <c r="BP755" s="30">
        <v>0</v>
      </c>
      <c r="BQ755" s="30">
        <v>0</v>
      </c>
      <c r="BR755" s="30">
        <v>5</v>
      </c>
      <c r="BS755" s="30">
        <v>0</v>
      </c>
      <c r="BT755" s="30">
        <v>0</v>
      </c>
      <c r="BU755" s="30">
        <v>0</v>
      </c>
      <c r="BV755" s="30">
        <v>0</v>
      </c>
      <c r="BW755" s="30">
        <v>0</v>
      </c>
      <c r="BX755" s="30">
        <v>0</v>
      </c>
      <c r="BY755" s="30">
        <v>0</v>
      </c>
      <c r="BZ755" s="30">
        <v>0</v>
      </c>
      <c r="CA755" s="30">
        <v>0</v>
      </c>
      <c r="CB755" s="30">
        <v>0</v>
      </c>
      <c r="CC755" s="30">
        <v>0</v>
      </c>
      <c r="CD755" s="30">
        <v>0</v>
      </c>
      <c r="CE755" s="30">
        <v>0</v>
      </c>
      <c r="CF755" s="30">
        <v>0</v>
      </c>
      <c r="CG755" s="30">
        <v>0</v>
      </c>
      <c r="CH755" s="30">
        <v>0</v>
      </c>
      <c r="CI755" s="30">
        <v>0</v>
      </c>
      <c r="CJ755" s="30">
        <v>0</v>
      </c>
      <c r="CK755" s="30">
        <v>0</v>
      </c>
      <c r="CL755" s="30">
        <v>0</v>
      </c>
      <c r="CM755" s="30">
        <v>4</v>
      </c>
      <c r="CN755" s="30">
        <v>0</v>
      </c>
      <c r="CO755" s="30">
        <v>0</v>
      </c>
      <c r="CP755" s="30">
        <v>0</v>
      </c>
      <c r="CQ755" s="30">
        <v>0</v>
      </c>
      <c r="CR755" s="30">
        <v>0</v>
      </c>
      <c r="CS755" s="30">
        <v>0</v>
      </c>
      <c r="CT755" s="30">
        <v>0</v>
      </c>
      <c r="CU755" s="30">
        <v>0</v>
      </c>
      <c r="CV755" s="30">
        <v>0</v>
      </c>
      <c r="CW755" s="30">
        <v>0</v>
      </c>
      <c r="CX755" s="30">
        <v>0</v>
      </c>
      <c r="CY755" s="30">
        <v>0</v>
      </c>
      <c r="CZ755" s="30">
        <v>0</v>
      </c>
      <c r="DA755" s="30">
        <v>0</v>
      </c>
      <c r="DB755" s="30">
        <v>0</v>
      </c>
      <c r="DC755" s="30">
        <v>0</v>
      </c>
      <c r="DD755" s="30">
        <v>0</v>
      </c>
      <c r="DE755" s="30">
        <v>0</v>
      </c>
      <c r="DF755" s="30">
        <v>0</v>
      </c>
      <c r="DG755" s="16">
        <f t="shared" si="64"/>
        <v>178135</v>
      </c>
      <c r="DH755" s="16">
        <f t="shared" si="65"/>
        <v>364920</v>
      </c>
      <c r="DI755" s="17">
        <f t="shared" si="66"/>
        <v>2.0485586774075841</v>
      </c>
      <c r="DJ755" s="119" t="s">
        <v>1323</v>
      </c>
      <c r="DK755" s="119" t="s">
        <v>1525</v>
      </c>
    </row>
    <row r="756" spans="1:116">
      <c r="A756" s="32" t="str">
        <f t="shared" si="62"/>
        <v>Ausgrid--POLES / COLUMNS ; MAJOR ROAD</v>
      </c>
      <c r="B756" s="32" t="str">
        <f t="shared" si="63"/>
        <v>Ausgrid</v>
      </c>
      <c r="C756" s="397"/>
      <c r="D756" s="31"/>
      <c r="E756" s="30" t="s">
        <v>268</v>
      </c>
      <c r="F756" s="19">
        <v>42.48</v>
      </c>
      <c r="G756" s="19">
        <v>15.28</v>
      </c>
      <c r="H756" s="30">
        <v>126</v>
      </c>
      <c r="I756" s="30">
        <v>209</v>
      </c>
      <c r="J756" s="30">
        <v>233</v>
      </c>
      <c r="K756" s="30">
        <v>319</v>
      </c>
      <c r="L756" s="30">
        <v>275</v>
      </c>
      <c r="M756" s="30">
        <v>194</v>
      </c>
      <c r="N756" s="30">
        <v>194</v>
      </c>
      <c r="O756" s="30">
        <v>153</v>
      </c>
      <c r="P756" s="30">
        <v>128</v>
      </c>
      <c r="Q756" s="30">
        <v>84</v>
      </c>
      <c r="R756" s="30">
        <v>96</v>
      </c>
      <c r="S756" s="30">
        <v>123</v>
      </c>
      <c r="T756" s="30">
        <v>70</v>
      </c>
      <c r="U756" s="30">
        <v>72</v>
      </c>
      <c r="V756" s="30">
        <v>66</v>
      </c>
      <c r="W756" s="30">
        <v>73</v>
      </c>
      <c r="X756" s="30">
        <v>80</v>
      </c>
      <c r="Y756" s="30">
        <v>97</v>
      </c>
      <c r="Z756" s="30">
        <v>46</v>
      </c>
      <c r="AA756" s="30">
        <v>97</v>
      </c>
      <c r="AB756" s="30">
        <v>114</v>
      </c>
      <c r="AC756" s="30">
        <v>66</v>
      </c>
      <c r="AD756" s="30">
        <v>123</v>
      </c>
      <c r="AE756" s="30">
        <v>138</v>
      </c>
      <c r="AF756" s="30">
        <v>80</v>
      </c>
      <c r="AG756" s="30">
        <v>238</v>
      </c>
      <c r="AH756" s="30">
        <v>205</v>
      </c>
      <c r="AI756" s="30">
        <v>218</v>
      </c>
      <c r="AJ756" s="30">
        <v>118</v>
      </c>
      <c r="AK756" s="30">
        <v>57</v>
      </c>
      <c r="AL756" s="30">
        <v>93</v>
      </c>
      <c r="AM756" s="30">
        <v>190</v>
      </c>
      <c r="AN756" s="30">
        <v>312</v>
      </c>
      <c r="AO756" s="30">
        <v>194</v>
      </c>
      <c r="AP756" s="30">
        <v>206</v>
      </c>
      <c r="AQ756" s="30">
        <v>180</v>
      </c>
      <c r="AR756" s="30">
        <v>238</v>
      </c>
      <c r="AS756" s="30">
        <v>160</v>
      </c>
      <c r="AT756" s="30">
        <v>69</v>
      </c>
      <c r="AU756" s="30">
        <v>137</v>
      </c>
      <c r="AV756" s="30">
        <v>169</v>
      </c>
      <c r="AW756" s="30">
        <v>232</v>
      </c>
      <c r="AX756" s="30">
        <v>393</v>
      </c>
      <c r="AY756" s="30">
        <v>173</v>
      </c>
      <c r="AZ756" s="30">
        <v>132</v>
      </c>
      <c r="BA756" s="30">
        <v>495</v>
      </c>
      <c r="BB756" s="30">
        <v>442</v>
      </c>
      <c r="BC756" s="30">
        <v>367</v>
      </c>
      <c r="BD756" s="30">
        <v>248</v>
      </c>
      <c r="BE756" s="30">
        <v>326</v>
      </c>
      <c r="BF756" s="30">
        <v>512</v>
      </c>
      <c r="BG756" s="30">
        <v>280</v>
      </c>
      <c r="BH756" s="30">
        <v>318</v>
      </c>
      <c r="BI756" s="30">
        <v>273</v>
      </c>
      <c r="BJ756" s="30">
        <v>182</v>
      </c>
      <c r="BK756" s="30">
        <v>171</v>
      </c>
      <c r="BL756" s="30">
        <v>72</v>
      </c>
      <c r="BM756" s="30">
        <v>29</v>
      </c>
      <c r="BN756" s="30">
        <v>184</v>
      </c>
      <c r="BO756" s="30">
        <v>103</v>
      </c>
      <c r="BP756" s="30">
        <v>144</v>
      </c>
      <c r="BQ756" s="30">
        <v>19</v>
      </c>
      <c r="BR756" s="30">
        <v>39</v>
      </c>
      <c r="BS756" s="30">
        <v>25</v>
      </c>
      <c r="BT756" s="30">
        <v>16</v>
      </c>
      <c r="BU756" s="30">
        <v>9</v>
      </c>
      <c r="BV756" s="30">
        <v>40</v>
      </c>
      <c r="BW756" s="30">
        <v>0</v>
      </c>
      <c r="BX756" s="30">
        <v>1</v>
      </c>
      <c r="BY756" s="30">
        <v>0</v>
      </c>
      <c r="BZ756" s="30">
        <v>6</v>
      </c>
      <c r="CA756" s="30">
        <v>0</v>
      </c>
      <c r="CB756" s="30">
        <v>0</v>
      </c>
      <c r="CC756" s="30">
        <v>0</v>
      </c>
      <c r="CD756" s="30">
        <v>0</v>
      </c>
      <c r="CE756" s="30">
        <v>0</v>
      </c>
      <c r="CF756" s="30">
        <v>0</v>
      </c>
      <c r="CG756" s="30">
        <v>0</v>
      </c>
      <c r="CH756" s="30">
        <v>0</v>
      </c>
      <c r="CI756" s="30">
        <v>0</v>
      </c>
      <c r="CJ756" s="30">
        <v>0</v>
      </c>
      <c r="CK756" s="30">
        <v>0</v>
      </c>
      <c r="CL756" s="30">
        <v>8</v>
      </c>
      <c r="CM756" s="30">
        <v>0</v>
      </c>
      <c r="CN756" s="30">
        <v>0</v>
      </c>
      <c r="CO756" s="30">
        <v>0</v>
      </c>
      <c r="CP756" s="30">
        <v>0</v>
      </c>
      <c r="CQ756" s="30">
        <v>0</v>
      </c>
      <c r="CR756" s="30">
        <v>0</v>
      </c>
      <c r="CS756" s="30">
        <v>0</v>
      </c>
      <c r="CT756" s="30">
        <v>0</v>
      </c>
      <c r="CU756" s="30">
        <v>0</v>
      </c>
      <c r="CV756" s="30">
        <v>0</v>
      </c>
      <c r="CW756" s="30">
        <v>0</v>
      </c>
      <c r="CX756" s="30">
        <v>0</v>
      </c>
      <c r="CY756" s="30">
        <v>0</v>
      </c>
      <c r="CZ756" s="30">
        <v>0</v>
      </c>
      <c r="DA756" s="30">
        <v>0</v>
      </c>
      <c r="DB756" s="30">
        <v>0</v>
      </c>
      <c r="DC756" s="30">
        <v>0</v>
      </c>
      <c r="DD756" s="30">
        <v>0</v>
      </c>
      <c r="DE756" s="30">
        <v>0</v>
      </c>
      <c r="DF756" s="30">
        <v>0</v>
      </c>
      <c r="DG756" s="16">
        <f t="shared" si="64"/>
        <v>11279</v>
      </c>
      <c r="DH756" s="16">
        <f t="shared" si="65"/>
        <v>390612</v>
      </c>
      <c r="DI756" s="17">
        <f t="shared" si="66"/>
        <v>34.631793598723291</v>
      </c>
      <c r="DJ756" s="119" t="s">
        <v>1323</v>
      </c>
      <c r="DK756" s="119" t="s">
        <v>1539</v>
      </c>
      <c r="DL756" s="119" t="s">
        <v>1522</v>
      </c>
    </row>
    <row r="757" spans="1:116">
      <c r="A757" s="32" t="str">
        <f t="shared" si="62"/>
        <v>Ausgrid--POLES / COLUMNS ; MINOR ROAD</v>
      </c>
      <c r="B757" s="32" t="str">
        <f t="shared" si="63"/>
        <v>Ausgrid</v>
      </c>
      <c r="C757" s="397"/>
      <c r="D757" s="31"/>
      <c r="E757" s="30" t="s">
        <v>269</v>
      </c>
      <c r="F757" s="19">
        <v>31.63</v>
      </c>
      <c r="G757" s="19">
        <v>15.23</v>
      </c>
      <c r="H757" s="30">
        <v>1830</v>
      </c>
      <c r="I757" s="30">
        <v>2108</v>
      </c>
      <c r="J757" s="30">
        <v>1512</v>
      </c>
      <c r="K757" s="30">
        <v>1338</v>
      </c>
      <c r="L757" s="30">
        <v>1458</v>
      </c>
      <c r="M757" s="30">
        <v>1200</v>
      </c>
      <c r="N757" s="30">
        <v>965</v>
      </c>
      <c r="O757" s="30">
        <v>1170</v>
      </c>
      <c r="P757" s="30">
        <v>1345</v>
      </c>
      <c r="Q757" s="30">
        <v>1194</v>
      </c>
      <c r="R757" s="30">
        <v>805</v>
      </c>
      <c r="S757" s="30">
        <v>669</v>
      </c>
      <c r="T757" s="30">
        <v>626</v>
      </c>
      <c r="U757" s="30">
        <v>866</v>
      </c>
      <c r="V757" s="30">
        <v>403</v>
      </c>
      <c r="W757" s="30">
        <v>679</v>
      </c>
      <c r="X757" s="30">
        <v>298</v>
      </c>
      <c r="Y757" s="30">
        <v>486</v>
      </c>
      <c r="Z757" s="30">
        <v>559</v>
      </c>
      <c r="AA757" s="30">
        <v>420</v>
      </c>
      <c r="AB757" s="30">
        <v>416</v>
      </c>
      <c r="AC757" s="30">
        <v>315</v>
      </c>
      <c r="AD757" s="30">
        <v>417</v>
      </c>
      <c r="AE757" s="30">
        <v>447</v>
      </c>
      <c r="AF757" s="30">
        <v>344</v>
      </c>
      <c r="AG757" s="30">
        <v>473</v>
      </c>
      <c r="AH757" s="30">
        <v>337</v>
      </c>
      <c r="AI757" s="30">
        <v>512</v>
      </c>
      <c r="AJ757" s="30">
        <v>311</v>
      </c>
      <c r="AK757" s="30">
        <v>430</v>
      </c>
      <c r="AL757" s="30">
        <v>782</v>
      </c>
      <c r="AM757" s="30">
        <v>657</v>
      </c>
      <c r="AN757" s="30">
        <v>993</v>
      </c>
      <c r="AO757" s="30">
        <v>966</v>
      </c>
      <c r="AP757" s="30">
        <v>681</v>
      </c>
      <c r="AQ757" s="30">
        <v>542</v>
      </c>
      <c r="AR757" s="30">
        <v>845</v>
      </c>
      <c r="AS757" s="30">
        <v>726</v>
      </c>
      <c r="AT757" s="30">
        <v>338</v>
      </c>
      <c r="AU757" s="30">
        <v>511</v>
      </c>
      <c r="AV757" s="30">
        <v>329</v>
      </c>
      <c r="AW757" s="30">
        <v>632</v>
      </c>
      <c r="AX757" s="30">
        <v>466</v>
      </c>
      <c r="AY757" s="30">
        <v>737</v>
      </c>
      <c r="AZ757" s="30">
        <v>512</v>
      </c>
      <c r="BA757" s="30">
        <v>843</v>
      </c>
      <c r="BB757" s="30">
        <v>1200</v>
      </c>
      <c r="BC757" s="30">
        <v>1259</v>
      </c>
      <c r="BD757" s="30">
        <v>1106</v>
      </c>
      <c r="BE757" s="30">
        <v>1055</v>
      </c>
      <c r="BF757" s="30">
        <v>1311</v>
      </c>
      <c r="BG757" s="30">
        <v>693</v>
      </c>
      <c r="BH757" s="30">
        <v>1423</v>
      </c>
      <c r="BI757" s="30">
        <v>804</v>
      </c>
      <c r="BJ757" s="30">
        <v>559</v>
      </c>
      <c r="BK757" s="30">
        <v>1413</v>
      </c>
      <c r="BL757" s="30">
        <v>323</v>
      </c>
      <c r="BM757" s="30">
        <v>277</v>
      </c>
      <c r="BN757" s="30">
        <v>938</v>
      </c>
      <c r="BO757" s="30">
        <v>66</v>
      </c>
      <c r="BP757" s="30">
        <v>307</v>
      </c>
      <c r="BQ757" s="30">
        <v>275</v>
      </c>
      <c r="BR757" s="30">
        <v>160</v>
      </c>
      <c r="BS757" s="30">
        <v>101</v>
      </c>
      <c r="BT757" s="30">
        <v>56</v>
      </c>
      <c r="BU757" s="30">
        <v>196</v>
      </c>
      <c r="BV757" s="30">
        <v>65</v>
      </c>
      <c r="BW757" s="30">
        <v>0</v>
      </c>
      <c r="BX757" s="30">
        <v>1</v>
      </c>
      <c r="BY757" s="30">
        <v>0</v>
      </c>
      <c r="BZ757" s="30">
        <v>45</v>
      </c>
      <c r="CA757" s="30">
        <v>0</v>
      </c>
      <c r="CB757" s="30">
        <v>0</v>
      </c>
      <c r="CC757" s="30">
        <v>0</v>
      </c>
      <c r="CD757" s="30">
        <v>0</v>
      </c>
      <c r="CE757" s="30">
        <v>0</v>
      </c>
      <c r="CF757" s="30">
        <v>0</v>
      </c>
      <c r="CG757" s="30">
        <v>0</v>
      </c>
      <c r="CH757" s="30">
        <v>0</v>
      </c>
      <c r="CI757" s="30">
        <v>0</v>
      </c>
      <c r="CJ757" s="30">
        <v>0</v>
      </c>
      <c r="CK757" s="30">
        <v>0</v>
      </c>
      <c r="CL757" s="30">
        <v>11</v>
      </c>
      <c r="CM757" s="30">
        <v>0</v>
      </c>
      <c r="CN757" s="30">
        <v>0</v>
      </c>
      <c r="CO757" s="30">
        <v>0</v>
      </c>
      <c r="CP757" s="30">
        <v>0</v>
      </c>
      <c r="CQ757" s="30">
        <v>0</v>
      </c>
      <c r="CR757" s="30">
        <v>0</v>
      </c>
      <c r="CS757" s="30">
        <v>0</v>
      </c>
      <c r="CT757" s="30">
        <v>0</v>
      </c>
      <c r="CU757" s="30">
        <v>0</v>
      </c>
      <c r="CV757" s="30">
        <v>0</v>
      </c>
      <c r="CW757" s="30">
        <v>0</v>
      </c>
      <c r="CX757" s="30">
        <v>0</v>
      </c>
      <c r="CY757" s="30">
        <v>0</v>
      </c>
      <c r="CZ757" s="30">
        <v>0</v>
      </c>
      <c r="DA757" s="30">
        <v>0</v>
      </c>
      <c r="DB757" s="30">
        <v>0</v>
      </c>
      <c r="DC757" s="30">
        <v>0</v>
      </c>
      <c r="DD757" s="30">
        <v>0</v>
      </c>
      <c r="DE757" s="30">
        <v>0</v>
      </c>
      <c r="DF757" s="30">
        <v>0</v>
      </c>
      <c r="DG757" s="16">
        <f t="shared" si="64"/>
        <v>48137</v>
      </c>
      <c r="DH757" s="16">
        <f t="shared" si="65"/>
        <v>1387317</v>
      </c>
      <c r="DI757" s="17">
        <f t="shared" si="66"/>
        <v>28.820179903192969</v>
      </c>
      <c r="DJ757" s="119" t="s">
        <v>1323</v>
      </c>
      <c r="DK757" s="119" t="s">
        <v>1539</v>
      </c>
      <c r="DL757" s="119" t="s">
        <v>1522</v>
      </c>
    </row>
    <row r="758" spans="1:116">
      <c r="A758" s="32" t="str">
        <f t="shared" si="62"/>
        <v>Ausgrid--OTHER - PLEASE ADD A ROW IF NECESSARY AND NOMINATE THE CATEGORY</v>
      </c>
      <c r="B758" s="32" t="str">
        <f t="shared" si="63"/>
        <v>Ausgrid</v>
      </c>
      <c r="C758" s="397"/>
      <c r="D758" s="31"/>
      <c r="E758" s="30" t="s">
        <v>170</v>
      </c>
      <c r="F758" s="19"/>
      <c r="G758" s="19"/>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16">
        <f t="shared" si="64"/>
        <v>0</v>
      </c>
      <c r="DH758" s="16">
        <f t="shared" si="65"/>
        <v>0</v>
      </c>
      <c r="DI758" s="17" t="str">
        <f t="shared" si="66"/>
        <v/>
      </c>
      <c r="DJ758" s="119" t="s">
        <v>1323</v>
      </c>
      <c r="DK758" s="119" t="s">
        <v>1525</v>
      </c>
    </row>
    <row r="759" spans="1:116" ht="45">
      <c r="A759" s="32" t="str">
        <f t="shared" si="62"/>
        <v>Ausgrid-SCADA, NETWORK CONTROL AND PROTECTION SYSTEMS BY: 
FUNCTION-FIELD DEVICES</v>
      </c>
      <c r="B759" s="32" t="str">
        <f t="shared" si="63"/>
        <v>Ausgrid</v>
      </c>
      <c r="C759" s="397"/>
      <c r="D759" s="31" t="s">
        <v>548</v>
      </c>
      <c r="E759" s="30" t="s">
        <v>272</v>
      </c>
      <c r="F759" s="19">
        <v>48.3</v>
      </c>
      <c r="G759" s="19">
        <v>14.021986099999999</v>
      </c>
      <c r="H759" s="30">
        <v>776</v>
      </c>
      <c r="I759" s="30">
        <v>1084</v>
      </c>
      <c r="J759" s="30">
        <v>829</v>
      </c>
      <c r="K759" s="30">
        <v>2168</v>
      </c>
      <c r="L759" s="30">
        <v>1904</v>
      </c>
      <c r="M759" s="30">
        <v>354</v>
      </c>
      <c r="N759" s="30">
        <v>722</v>
      </c>
      <c r="O759" s="30">
        <v>317</v>
      </c>
      <c r="P759" s="30">
        <v>938</v>
      </c>
      <c r="Q759" s="30">
        <v>908</v>
      </c>
      <c r="R759" s="30">
        <v>343</v>
      </c>
      <c r="S759" s="30">
        <v>986</v>
      </c>
      <c r="T759" s="30">
        <v>1316</v>
      </c>
      <c r="U759" s="30">
        <v>483</v>
      </c>
      <c r="V759" s="30">
        <v>673</v>
      </c>
      <c r="W759" s="30">
        <v>589</v>
      </c>
      <c r="X759" s="30">
        <v>727</v>
      </c>
      <c r="Y759" s="30">
        <v>865</v>
      </c>
      <c r="Z759" s="30">
        <v>254</v>
      </c>
      <c r="AA759" s="30">
        <v>956</v>
      </c>
      <c r="AB759" s="30">
        <v>203</v>
      </c>
      <c r="AC759" s="30">
        <v>406</v>
      </c>
      <c r="AD759" s="30">
        <v>551</v>
      </c>
      <c r="AE759" s="30">
        <v>489</v>
      </c>
      <c r="AF759" s="30">
        <v>636</v>
      </c>
      <c r="AG759" s="30">
        <v>315</v>
      </c>
      <c r="AH759" s="30">
        <v>721</v>
      </c>
      <c r="AI759" s="30">
        <v>335</v>
      </c>
      <c r="AJ759" s="30">
        <v>396</v>
      </c>
      <c r="AK759" s="30">
        <v>453</v>
      </c>
      <c r="AL759" s="30">
        <v>1124</v>
      </c>
      <c r="AM759" s="30">
        <v>490</v>
      </c>
      <c r="AN759" s="30">
        <v>394</v>
      </c>
      <c r="AO759" s="30">
        <v>505</v>
      </c>
      <c r="AP759" s="30">
        <v>816</v>
      </c>
      <c r="AQ759" s="30">
        <v>1212</v>
      </c>
      <c r="AR759" s="30">
        <v>1229</v>
      </c>
      <c r="AS759" s="30">
        <v>1871</v>
      </c>
      <c r="AT759" s="30">
        <v>1077</v>
      </c>
      <c r="AU759" s="30">
        <v>536</v>
      </c>
      <c r="AV759" s="30">
        <v>1192</v>
      </c>
      <c r="AW759" s="30">
        <v>1762</v>
      </c>
      <c r="AX759" s="30">
        <v>974</v>
      </c>
      <c r="AY759" s="30">
        <v>1049</v>
      </c>
      <c r="AZ759" s="30">
        <v>2550</v>
      </c>
      <c r="BA759" s="30">
        <v>1198</v>
      </c>
      <c r="BB759" s="30">
        <v>1221</v>
      </c>
      <c r="BC759" s="30">
        <v>1693</v>
      </c>
      <c r="BD759" s="30">
        <v>980</v>
      </c>
      <c r="BE759" s="30">
        <v>2779</v>
      </c>
      <c r="BF759" s="30">
        <v>1111</v>
      </c>
      <c r="BG759" s="30">
        <v>1033</v>
      </c>
      <c r="BH759" s="30">
        <v>781</v>
      </c>
      <c r="BI759" s="30">
        <v>1375</v>
      </c>
      <c r="BJ759" s="30">
        <v>1010</v>
      </c>
      <c r="BK759" s="30">
        <v>1410</v>
      </c>
      <c r="BL759" s="30">
        <v>733</v>
      </c>
      <c r="BM759" s="30">
        <v>131</v>
      </c>
      <c r="BN759" s="30">
        <v>1044</v>
      </c>
      <c r="BO759" s="30">
        <v>281</v>
      </c>
      <c r="BP759" s="30">
        <v>628</v>
      </c>
      <c r="BQ759" s="30">
        <v>748</v>
      </c>
      <c r="BR759" s="30">
        <v>509</v>
      </c>
      <c r="BS759" s="30">
        <v>76</v>
      </c>
      <c r="BT759" s="30">
        <v>134</v>
      </c>
      <c r="BU759" s="30">
        <v>38</v>
      </c>
      <c r="BV759" s="30">
        <v>210</v>
      </c>
      <c r="BW759" s="30">
        <v>238</v>
      </c>
      <c r="BX759" s="30">
        <v>4</v>
      </c>
      <c r="BY759" s="30">
        <v>26</v>
      </c>
      <c r="BZ759" s="30">
        <v>13</v>
      </c>
      <c r="CA759" s="30">
        <v>19</v>
      </c>
      <c r="CB759" s="30">
        <v>147</v>
      </c>
      <c r="CC759" s="30">
        <v>158</v>
      </c>
      <c r="CD759" s="30">
        <v>57</v>
      </c>
      <c r="CE759" s="30">
        <v>54</v>
      </c>
      <c r="CF759" s="30">
        <v>338</v>
      </c>
      <c r="CG759" s="30">
        <v>55</v>
      </c>
      <c r="CH759" s="30">
        <v>7</v>
      </c>
      <c r="CI759" s="30">
        <v>0</v>
      </c>
      <c r="CJ759" s="30">
        <v>14</v>
      </c>
      <c r="CK759" s="30">
        <v>10</v>
      </c>
      <c r="CL759" s="30">
        <v>153</v>
      </c>
      <c r="CM759" s="30">
        <v>212</v>
      </c>
      <c r="CN759" s="30">
        <v>226</v>
      </c>
      <c r="CO759" s="30">
        <v>37</v>
      </c>
      <c r="CP759" s="30">
        <v>34</v>
      </c>
      <c r="CQ759" s="30">
        <v>22</v>
      </c>
      <c r="CR759" s="30">
        <v>0</v>
      </c>
      <c r="CS759" s="30">
        <v>6</v>
      </c>
      <c r="CT759" s="30">
        <v>130</v>
      </c>
      <c r="CU759" s="30">
        <v>3</v>
      </c>
      <c r="CV759" s="30">
        <v>5</v>
      </c>
      <c r="CW759" s="30">
        <v>13</v>
      </c>
      <c r="CX759" s="30">
        <v>0</v>
      </c>
      <c r="CY759" s="30">
        <v>0</v>
      </c>
      <c r="CZ759" s="30">
        <v>0</v>
      </c>
      <c r="DA759" s="30">
        <v>0</v>
      </c>
      <c r="DB759" s="30">
        <v>0</v>
      </c>
      <c r="DC759" s="30">
        <v>192</v>
      </c>
      <c r="DD759" s="30">
        <v>0</v>
      </c>
      <c r="DE759" s="30">
        <v>0</v>
      </c>
      <c r="DF759" s="30">
        <v>0</v>
      </c>
      <c r="DG759" s="16">
        <f t="shared" si="64"/>
        <v>59774</v>
      </c>
      <c r="DH759" s="16">
        <f t="shared" si="65"/>
        <v>2127428</v>
      </c>
      <c r="DI759" s="17">
        <f t="shared" si="66"/>
        <v>35.591193495499716</v>
      </c>
      <c r="DJ759" s="119" t="s">
        <v>659</v>
      </c>
      <c r="DK759" t="s">
        <v>659</v>
      </c>
    </row>
    <row r="760" spans="1:116">
      <c r="A760" s="32" t="str">
        <f t="shared" si="62"/>
        <v>Ausgrid--LOCAL NETWORK WIRING ASSETS</v>
      </c>
      <c r="B760" s="32" t="str">
        <f t="shared" si="63"/>
        <v>Ausgrid</v>
      </c>
      <c r="C760" s="397"/>
      <c r="D760" s="31"/>
      <c r="E760" s="30" t="s">
        <v>273</v>
      </c>
      <c r="F760" s="19">
        <v>50</v>
      </c>
      <c r="G760" s="19">
        <v>15</v>
      </c>
      <c r="H760" s="30">
        <v>252.04023530000001</v>
      </c>
      <c r="I760" s="30">
        <v>237.61624599999999</v>
      </c>
      <c r="J760" s="30">
        <v>239.89371800000001</v>
      </c>
      <c r="K760" s="30">
        <v>277.09242740000002</v>
      </c>
      <c r="L760" s="30">
        <v>124.501803</v>
      </c>
      <c r="M760" s="30">
        <v>124.501803</v>
      </c>
      <c r="N760" s="30">
        <v>129.8159043</v>
      </c>
      <c r="O760" s="30">
        <v>84.266464220000003</v>
      </c>
      <c r="P760" s="30">
        <v>59.973429490000001</v>
      </c>
      <c r="Q760" s="30">
        <v>38.717024100000003</v>
      </c>
      <c r="R760" s="30">
        <v>14.423989369999999</v>
      </c>
      <c r="S760" s="30">
        <v>107.8003416</v>
      </c>
      <c r="T760" s="30">
        <v>56.177642820000003</v>
      </c>
      <c r="U760" s="30">
        <v>16.701461380000001</v>
      </c>
      <c r="V760" s="30">
        <v>36.4395521</v>
      </c>
      <c r="W760" s="30">
        <v>23.533877400000002</v>
      </c>
      <c r="X760" s="30">
        <v>30.366293410000001</v>
      </c>
      <c r="Y760" s="30">
        <v>15.183146710000001</v>
      </c>
      <c r="Z760" s="30">
        <v>35.680394759999999</v>
      </c>
      <c r="AA760" s="30">
        <v>21.256405390000001</v>
      </c>
      <c r="AB760" s="30">
        <v>3.7957866770000002</v>
      </c>
      <c r="AC760" s="30">
        <v>0.75915733500000004</v>
      </c>
      <c r="AD760" s="30">
        <v>2.277472006</v>
      </c>
      <c r="AE760" s="30">
        <v>9.109888024</v>
      </c>
      <c r="AF760" s="30">
        <v>5.3141013480000003</v>
      </c>
      <c r="AG760" s="30">
        <v>19.738090719999999</v>
      </c>
      <c r="AH760" s="30">
        <v>34.162080090000003</v>
      </c>
      <c r="AI760" s="30">
        <v>4.554944012</v>
      </c>
      <c r="AJ760" s="30">
        <v>48.586069459999997</v>
      </c>
      <c r="AK760" s="30">
        <v>25.811349400000001</v>
      </c>
      <c r="AL760" s="30">
        <v>49.345226799999999</v>
      </c>
      <c r="AM760" s="30">
        <v>33.402922760000003</v>
      </c>
      <c r="AN760" s="30">
        <v>14.423989369999999</v>
      </c>
      <c r="AO760" s="30">
        <v>40.99449611</v>
      </c>
      <c r="AP760" s="30">
        <v>28.088821410000001</v>
      </c>
      <c r="AQ760" s="30">
        <v>63.76921617</v>
      </c>
      <c r="AR760" s="30">
        <v>27.32966407</v>
      </c>
      <c r="AS760" s="30">
        <v>51.622698800000002</v>
      </c>
      <c r="AT760" s="30">
        <v>49.345226799999999</v>
      </c>
      <c r="AU760" s="30">
        <v>47.826912129999997</v>
      </c>
      <c r="AV760" s="30">
        <v>116.1510723</v>
      </c>
      <c r="AW760" s="30">
        <v>91.858037580000001</v>
      </c>
      <c r="AX760" s="30">
        <v>81.229834879999999</v>
      </c>
      <c r="AY760" s="30">
        <v>64.528373509999994</v>
      </c>
      <c r="AZ760" s="30">
        <v>82.748149549999994</v>
      </c>
      <c r="BA760" s="30">
        <v>15.183146710000001</v>
      </c>
      <c r="BB760" s="30">
        <v>61.491744160000003</v>
      </c>
      <c r="BC760" s="30">
        <v>69.842474850000002</v>
      </c>
      <c r="BD760" s="30">
        <v>76.674890869999999</v>
      </c>
      <c r="BE760" s="30">
        <v>54.65932815</v>
      </c>
      <c r="BF760" s="30">
        <v>24.293034729999999</v>
      </c>
      <c r="BG760" s="30">
        <v>45.54944012</v>
      </c>
      <c r="BH760" s="30">
        <v>10.628202699999999</v>
      </c>
      <c r="BI760" s="30">
        <v>43.271968119999997</v>
      </c>
      <c r="BJ760" s="30">
        <v>21.256405390000001</v>
      </c>
      <c r="BK760" s="30">
        <v>34.162080090000003</v>
      </c>
      <c r="BL760" s="30">
        <v>15.94230404</v>
      </c>
      <c r="BM760" s="30">
        <v>15.183146710000001</v>
      </c>
      <c r="BN760" s="30">
        <v>34.162080090000003</v>
      </c>
      <c r="BO760" s="30">
        <v>36.4395521</v>
      </c>
      <c r="BP760" s="30">
        <v>12.9056747</v>
      </c>
      <c r="BQ760" s="30">
        <v>14.423989369999999</v>
      </c>
      <c r="BR760" s="30">
        <v>37.198709430000001</v>
      </c>
      <c r="BS760" s="30">
        <v>16.701461380000001</v>
      </c>
      <c r="BT760" s="30">
        <v>6.832416018</v>
      </c>
      <c r="BU760" s="30">
        <v>3.0366293409999998</v>
      </c>
      <c r="BV760" s="30">
        <v>14.423989369999999</v>
      </c>
      <c r="BW760" s="30">
        <v>22.015562729999999</v>
      </c>
      <c r="BX760" s="30">
        <v>12.14651737</v>
      </c>
      <c r="BY760" s="30">
        <v>3.0366293409999998</v>
      </c>
      <c r="BZ760" s="30">
        <v>8.3507306890000006</v>
      </c>
      <c r="CA760" s="30">
        <v>10.628202699999999</v>
      </c>
      <c r="CB760" s="30">
        <v>11.38736003</v>
      </c>
      <c r="CC760" s="30">
        <v>27.32966407</v>
      </c>
      <c r="CD760" s="30">
        <v>18.21977605</v>
      </c>
      <c r="CE760" s="30">
        <v>17.460618709999999</v>
      </c>
      <c r="CF760" s="30">
        <v>6.832416018</v>
      </c>
      <c r="CG760" s="30">
        <v>0.75915733500000004</v>
      </c>
      <c r="CH760" s="30">
        <v>3.7957866770000002</v>
      </c>
      <c r="CI760" s="30">
        <v>0</v>
      </c>
      <c r="CJ760" s="30">
        <v>4.554944012</v>
      </c>
      <c r="CK760" s="30">
        <v>10.628202699999999</v>
      </c>
      <c r="CL760" s="30">
        <v>28.088821410000001</v>
      </c>
      <c r="CM760" s="30">
        <v>15.183146710000001</v>
      </c>
      <c r="CN760" s="30">
        <v>18.21977605</v>
      </c>
      <c r="CO760" s="30">
        <v>10.628202699999999</v>
      </c>
      <c r="CP760" s="30">
        <v>9.109888024</v>
      </c>
      <c r="CQ760" s="30">
        <v>0</v>
      </c>
      <c r="CR760" s="30">
        <v>0</v>
      </c>
      <c r="CS760" s="30">
        <v>6.832416018</v>
      </c>
      <c r="CT760" s="30">
        <v>0</v>
      </c>
      <c r="CU760" s="30">
        <v>0</v>
      </c>
      <c r="CV760" s="30">
        <v>6.832416018</v>
      </c>
      <c r="CW760" s="30">
        <v>0</v>
      </c>
      <c r="CX760" s="30">
        <v>0</v>
      </c>
      <c r="CY760" s="30">
        <v>0</v>
      </c>
      <c r="CZ760" s="30">
        <v>0</v>
      </c>
      <c r="DA760" s="30">
        <v>0</v>
      </c>
      <c r="DB760" s="30">
        <v>10.628202699999999</v>
      </c>
      <c r="DC760" s="30">
        <v>3.7957866770000002</v>
      </c>
      <c r="DD760" s="30">
        <v>0</v>
      </c>
      <c r="DE760" s="30">
        <v>0</v>
      </c>
      <c r="DF760" s="30">
        <v>0</v>
      </c>
      <c r="DG760" s="16">
        <f t="shared" si="64"/>
        <v>3853.482634240002</v>
      </c>
      <c r="DH760" s="16">
        <f t="shared" si="65"/>
        <v>105986.714748005</v>
      </c>
      <c r="DI760" s="17">
        <f t="shared" si="66"/>
        <v>27.504137116452348</v>
      </c>
      <c r="DJ760" s="119" t="s">
        <v>659</v>
      </c>
      <c r="DK760" s="44" t="s">
        <v>659</v>
      </c>
    </row>
    <row r="761" spans="1:116">
      <c r="A761" s="32" t="str">
        <f t="shared" si="62"/>
        <v>Ausgrid--COMMUNICATIONS NETWORK ASSETS</v>
      </c>
      <c r="B761" s="32" t="str">
        <f t="shared" si="63"/>
        <v>Ausgrid</v>
      </c>
      <c r="C761" s="397"/>
      <c r="D761" s="31"/>
      <c r="E761" s="30" t="s">
        <v>274</v>
      </c>
      <c r="F761" s="19">
        <v>34.450000000000003</v>
      </c>
      <c r="G761" s="19">
        <v>10.33810182</v>
      </c>
      <c r="H761" s="30">
        <v>330</v>
      </c>
      <c r="I761" s="30">
        <v>286.7</v>
      </c>
      <c r="J761" s="30">
        <v>420.28</v>
      </c>
      <c r="K761" s="30">
        <v>478.53</v>
      </c>
      <c r="L761" s="30">
        <v>624.01</v>
      </c>
      <c r="M761" s="30">
        <v>323.08</v>
      </c>
      <c r="N761" s="30">
        <v>160.05000000000001</v>
      </c>
      <c r="O761" s="30">
        <v>199.84</v>
      </c>
      <c r="P761" s="30">
        <v>47.42</v>
      </c>
      <c r="Q761" s="30">
        <v>17</v>
      </c>
      <c r="R761" s="30">
        <v>7</v>
      </c>
      <c r="S761" s="30">
        <v>14</v>
      </c>
      <c r="T761" s="30">
        <v>12</v>
      </c>
      <c r="U761" s="30">
        <v>6</v>
      </c>
      <c r="V761" s="30">
        <v>3</v>
      </c>
      <c r="W761" s="30">
        <v>0</v>
      </c>
      <c r="X761" s="30">
        <v>0</v>
      </c>
      <c r="Y761" s="30">
        <v>65</v>
      </c>
      <c r="Z761" s="30">
        <v>91</v>
      </c>
      <c r="AA761" s="30">
        <v>61</v>
      </c>
      <c r="AB761" s="30">
        <v>61</v>
      </c>
      <c r="AC761" s="30">
        <v>77</v>
      </c>
      <c r="AD761" s="30">
        <v>80</v>
      </c>
      <c r="AE761" s="30">
        <v>47</v>
      </c>
      <c r="AF761" s="30">
        <v>68</v>
      </c>
      <c r="AG761" s="30">
        <v>41</v>
      </c>
      <c r="AH761" s="30">
        <v>91</v>
      </c>
      <c r="AI761" s="30">
        <v>44</v>
      </c>
      <c r="AJ761" s="30">
        <v>54</v>
      </c>
      <c r="AK761" s="30">
        <v>57</v>
      </c>
      <c r="AL761" s="30">
        <v>62</v>
      </c>
      <c r="AM761" s="30">
        <v>77</v>
      </c>
      <c r="AN761" s="30">
        <v>86</v>
      </c>
      <c r="AO761" s="30">
        <v>154</v>
      </c>
      <c r="AP761" s="30">
        <v>138</v>
      </c>
      <c r="AQ761" s="30">
        <v>165</v>
      </c>
      <c r="AR761" s="30">
        <v>113</v>
      </c>
      <c r="AS761" s="30">
        <v>108</v>
      </c>
      <c r="AT761" s="30">
        <v>98</v>
      </c>
      <c r="AU761" s="30">
        <v>99</v>
      </c>
      <c r="AV761" s="30">
        <v>82</v>
      </c>
      <c r="AW761" s="30">
        <v>87</v>
      </c>
      <c r="AX761" s="30">
        <v>74</v>
      </c>
      <c r="AY761" s="30">
        <v>121</v>
      </c>
      <c r="AZ761" s="30">
        <v>57</v>
      </c>
      <c r="BA761" s="30">
        <v>131</v>
      </c>
      <c r="BB761" s="30">
        <v>116</v>
      </c>
      <c r="BC761" s="30">
        <v>107</v>
      </c>
      <c r="BD761" s="30">
        <v>117</v>
      </c>
      <c r="BE761" s="30">
        <v>128</v>
      </c>
      <c r="BF761" s="30">
        <v>236</v>
      </c>
      <c r="BG761" s="30">
        <v>199</v>
      </c>
      <c r="BH761" s="30">
        <v>125</v>
      </c>
      <c r="BI761" s="30">
        <v>225</v>
      </c>
      <c r="BJ761" s="30">
        <v>174</v>
      </c>
      <c r="BK761" s="30">
        <v>193</v>
      </c>
      <c r="BL761" s="30">
        <v>119</v>
      </c>
      <c r="BM761" s="30">
        <v>188</v>
      </c>
      <c r="BN761" s="30">
        <v>271</v>
      </c>
      <c r="BO761" s="30">
        <v>33</v>
      </c>
      <c r="BP761" s="30">
        <v>12</v>
      </c>
      <c r="BQ761" s="30">
        <v>51</v>
      </c>
      <c r="BR761" s="30">
        <v>33</v>
      </c>
      <c r="BS761" s="30">
        <v>20</v>
      </c>
      <c r="BT761" s="30">
        <v>24</v>
      </c>
      <c r="BU761" s="30">
        <v>23</v>
      </c>
      <c r="BV761" s="30">
        <v>13</v>
      </c>
      <c r="BW761" s="30">
        <v>5</v>
      </c>
      <c r="BX761" s="30">
        <v>13</v>
      </c>
      <c r="BY761" s="30">
        <v>38</v>
      </c>
      <c r="BZ761" s="30">
        <v>0</v>
      </c>
      <c r="CA761" s="30">
        <v>0</v>
      </c>
      <c r="CB761" s="30">
        <v>0</v>
      </c>
      <c r="CC761" s="30">
        <v>0</v>
      </c>
      <c r="CD761" s="30">
        <v>0</v>
      </c>
      <c r="CE761" s="30">
        <v>0</v>
      </c>
      <c r="CF761" s="30">
        <v>0</v>
      </c>
      <c r="CG761" s="30">
        <v>0</v>
      </c>
      <c r="CH761" s="30">
        <v>0</v>
      </c>
      <c r="CI761" s="30">
        <v>0</v>
      </c>
      <c r="CJ761" s="30">
        <v>0</v>
      </c>
      <c r="CK761" s="30">
        <v>0</v>
      </c>
      <c r="CL761" s="30">
        <v>0</v>
      </c>
      <c r="CM761" s="30">
        <v>0</v>
      </c>
      <c r="CN761" s="30">
        <v>0</v>
      </c>
      <c r="CO761" s="30">
        <v>0</v>
      </c>
      <c r="CP761" s="30">
        <v>0</v>
      </c>
      <c r="CQ761" s="30">
        <v>0</v>
      </c>
      <c r="CR761" s="30">
        <v>0</v>
      </c>
      <c r="CS761" s="30">
        <v>0</v>
      </c>
      <c r="CT761" s="30">
        <v>0</v>
      </c>
      <c r="CU761" s="30">
        <v>0</v>
      </c>
      <c r="CV761" s="30">
        <v>0</v>
      </c>
      <c r="CW761" s="30">
        <v>0</v>
      </c>
      <c r="CX761" s="30">
        <v>0</v>
      </c>
      <c r="CY761" s="30">
        <v>0</v>
      </c>
      <c r="CZ761" s="30">
        <v>0</v>
      </c>
      <c r="DA761" s="30">
        <v>0</v>
      </c>
      <c r="DB761" s="30">
        <v>0</v>
      </c>
      <c r="DC761" s="30">
        <v>0</v>
      </c>
      <c r="DD761" s="30">
        <v>0</v>
      </c>
      <c r="DE761" s="30">
        <v>0</v>
      </c>
      <c r="DF761" s="30">
        <v>0</v>
      </c>
      <c r="DG761" s="16">
        <f t="shared" si="64"/>
        <v>7880.91</v>
      </c>
      <c r="DH761" s="16">
        <f t="shared" si="65"/>
        <v>231198.74</v>
      </c>
      <c r="DI761" s="17">
        <f t="shared" si="66"/>
        <v>29.336553773612437</v>
      </c>
      <c r="DJ761" s="119" t="s">
        <v>659</v>
      </c>
      <c r="DK761" s="44" t="s">
        <v>659</v>
      </c>
    </row>
    <row r="762" spans="1:116">
      <c r="A762" s="32" t="str">
        <f t="shared" si="62"/>
        <v>Ausgrid--MASTER STATION ASSETS</v>
      </c>
      <c r="B762" s="32" t="str">
        <f t="shared" si="63"/>
        <v>Ausgrid</v>
      </c>
      <c r="C762" s="397"/>
      <c r="D762" s="31"/>
      <c r="E762" s="30" t="s">
        <v>275</v>
      </c>
      <c r="F762" s="19">
        <v>4.99</v>
      </c>
      <c r="G762" s="19">
        <v>1.0203045690000001</v>
      </c>
      <c r="H762" s="30">
        <v>0</v>
      </c>
      <c r="I762" s="30">
        <v>0</v>
      </c>
      <c r="J762" s="30">
        <v>0</v>
      </c>
      <c r="K762" s="30">
        <v>0</v>
      </c>
      <c r="L762" s="30">
        <v>195</v>
      </c>
      <c r="M762" s="30">
        <v>0</v>
      </c>
      <c r="N762" s="30">
        <v>1</v>
      </c>
      <c r="O762" s="30">
        <v>0</v>
      </c>
      <c r="P762" s="30">
        <v>0</v>
      </c>
      <c r="Q762" s="30">
        <v>0</v>
      </c>
      <c r="R762" s="30">
        <v>0</v>
      </c>
      <c r="S762" s="30">
        <v>0</v>
      </c>
      <c r="T762" s="30">
        <v>0</v>
      </c>
      <c r="U762" s="30">
        <v>0</v>
      </c>
      <c r="V762" s="30">
        <v>0</v>
      </c>
      <c r="W762" s="30">
        <v>0</v>
      </c>
      <c r="X762" s="30">
        <v>0</v>
      </c>
      <c r="Y762" s="30">
        <v>0</v>
      </c>
      <c r="Z762" s="30">
        <v>0</v>
      </c>
      <c r="AA762" s="30">
        <v>0</v>
      </c>
      <c r="AB762" s="30">
        <v>0</v>
      </c>
      <c r="AC762" s="30">
        <v>0</v>
      </c>
      <c r="AD762" s="30">
        <v>0</v>
      </c>
      <c r="AE762" s="30">
        <v>0</v>
      </c>
      <c r="AF762" s="30">
        <v>0</v>
      </c>
      <c r="AG762" s="30">
        <v>1</v>
      </c>
      <c r="AH762" s="30">
        <v>0</v>
      </c>
      <c r="AI762" s="30">
        <v>0</v>
      </c>
      <c r="AJ762" s="30">
        <v>0</v>
      </c>
      <c r="AK762" s="30">
        <v>0</v>
      </c>
      <c r="AL762" s="30">
        <v>0</v>
      </c>
      <c r="AM762" s="30">
        <v>0</v>
      </c>
      <c r="AN762" s="30">
        <v>0</v>
      </c>
      <c r="AO762" s="30">
        <v>0</v>
      </c>
      <c r="AP762" s="30">
        <v>0</v>
      </c>
      <c r="AQ762" s="30">
        <v>0</v>
      </c>
      <c r="AR762" s="30">
        <v>0</v>
      </c>
      <c r="AS762" s="30">
        <v>0</v>
      </c>
      <c r="AT762" s="30">
        <v>0</v>
      </c>
      <c r="AU762" s="30">
        <v>0</v>
      </c>
      <c r="AV762" s="30">
        <v>0</v>
      </c>
      <c r="AW762" s="30">
        <v>0</v>
      </c>
      <c r="AX762" s="30">
        <v>0</v>
      </c>
      <c r="AY762" s="30">
        <v>0</v>
      </c>
      <c r="AZ762" s="30">
        <v>0</v>
      </c>
      <c r="BA762" s="30">
        <v>0</v>
      </c>
      <c r="BB762" s="30">
        <v>0</v>
      </c>
      <c r="BC762" s="30">
        <v>0</v>
      </c>
      <c r="BD762" s="30">
        <v>0</v>
      </c>
      <c r="BE762" s="30">
        <v>0</v>
      </c>
      <c r="BF762" s="30">
        <v>0</v>
      </c>
      <c r="BG762" s="30">
        <v>0</v>
      </c>
      <c r="BH762" s="30">
        <v>0</v>
      </c>
      <c r="BI762" s="30">
        <v>0</v>
      </c>
      <c r="BJ762" s="30">
        <v>0</v>
      </c>
      <c r="BK762" s="30">
        <v>0</v>
      </c>
      <c r="BL762" s="30">
        <v>0</v>
      </c>
      <c r="BM762" s="30">
        <v>0</v>
      </c>
      <c r="BN762" s="30">
        <v>0</v>
      </c>
      <c r="BO762" s="30">
        <v>0</v>
      </c>
      <c r="BP762" s="30">
        <v>0</v>
      </c>
      <c r="BQ762" s="30">
        <v>0</v>
      </c>
      <c r="BR762" s="30">
        <v>0</v>
      </c>
      <c r="BS762" s="30">
        <v>0</v>
      </c>
      <c r="BT762" s="30">
        <v>0</v>
      </c>
      <c r="BU762" s="30">
        <v>0</v>
      </c>
      <c r="BV762" s="30">
        <v>0</v>
      </c>
      <c r="BW762" s="30">
        <v>0</v>
      </c>
      <c r="BX762" s="30">
        <v>0</v>
      </c>
      <c r="BY762" s="30">
        <v>0</v>
      </c>
      <c r="BZ762" s="30">
        <v>0</v>
      </c>
      <c r="CA762" s="30">
        <v>0</v>
      </c>
      <c r="CB762" s="30">
        <v>0</v>
      </c>
      <c r="CC762" s="30">
        <v>0</v>
      </c>
      <c r="CD762" s="30">
        <v>0</v>
      </c>
      <c r="CE762" s="30">
        <v>0</v>
      </c>
      <c r="CF762" s="30">
        <v>0</v>
      </c>
      <c r="CG762" s="30">
        <v>0</v>
      </c>
      <c r="CH762" s="30">
        <v>0</v>
      </c>
      <c r="CI762" s="30">
        <v>0</v>
      </c>
      <c r="CJ762" s="30">
        <v>0</v>
      </c>
      <c r="CK762" s="30">
        <v>0</v>
      </c>
      <c r="CL762" s="30">
        <v>0</v>
      </c>
      <c r="CM762" s="30">
        <v>0</v>
      </c>
      <c r="CN762" s="30">
        <v>0</v>
      </c>
      <c r="CO762" s="30">
        <v>0</v>
      </c>
      <c r="CP762" s="30">
        <v>0</v>
      </c>
      <c r="CQ762" s="30">
        <v>0</v>
      </c>
      <c r="CR762" s="30">
        <v>0</v>
      </c>
      <c r="CS762" s="30">
        <v>0</v>
      </c>
      <c r="CT762" s="30">
        <v>0</v>
      </c>
      <c r="CU762" s="30">
        <v>0</v>
      </c>
      <c r="CV762" s="30">
        <v>0</v>
      </c>
      <c r="CW762" s="30">
        <v>0</v>
      </c>
      <c r="CX762" s="30">
        <v>0</v>
      </c>
      <c r="CY762" s="30">
        <v>0</v>
      </c>
      <c r="CZ762" s="30">
        <v>0</v>
      </c>
      <c r="DA762" s="30">
        <v>0</v>
      </c>
      <c r="DB762" s="30">
        <v>0</v>
      </c>
      <c r="DC762" s="30">
        <v>0</v>
      </c>
      <c r="DD762" s="30">
        <v>0</v>
      </c>
      <c r="DE762" s="30">
        <v>0</v>
      </c>
      <c r="DF762" s="30">
        <v>0</v>
      </c>
      <c r="DG762" s="16">
        <f t="shared" si="64"/>
        <v>197</v>
      </c>
      <c r="DH762" s="16">
        <f t="shared" si="65"/>
        <v>1008</v>
      </c>
      <c r="DI762" s="17">
        <f t="shared" si="66"/>
        <v>5.1167512690355332</v>
      </c>
      <c r="DJ762" s="119" t="s">
        <v>659</v>
      </c>
      <c r="DK762" s="44" t="s">
        <v>659</v>
      </c>
    </row>
    <row r="763" spans="1:116">
      <c r="A763" s="32" t="str">
        <f t="shared" si="62"/>
        <v>Ausgrid--OTHER - PLEASE ADD A ROW IF NECESSARY AND NOMINATE THE CATEGORY</v>
      </c>
      <c r="B763" s="32" t="str">
        <f t="shared" si="63"/>
        <v>Ausgrid</v>
      </c>
      <c r="C763" s="397"/>
      <c r="D763" s="31"/>
      <c r="E763" s="30" t="s">
        <v>170</v>
      </c>
      <c r="F763" s="19"/>
      <c r="G763" s="19"/>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c r="CS763" s="30"/>
      <c r="CT763" s="30"/>
      <c r="CU763" s="30"/>
      <c r="CV763" s="30"/>
      <c r="CW763" s="30"/>
      <c r="CX763" s="30"/>
      <c r="CY763" s="30"/>
      <c r="CZ763" s="30"/>
      <c r="DA763" s="30"/>
      <c r="DB763" s="30"/>
      <c r="DC763" s="30"/>
      <c r="DD763" s="30"/>
      <c r="DE763" s="30"/>
      <c r="DF763" s="30"/>
      <c r="DG763" s="16">
        <f t="shared" si="64"/>
        <v>0</v>
      </c>
      <c r="DH763" s="16">
        <f t="shared" si="65"/>
        <v>0</v>
      </c>
      <c r="DI763" s="17" t="str">
        <f t="shared" si="66"/>
        <v/>
      </c>
      <c r="DJ763" s="119" t="s">
        <v>659</v>
      </c>
      <c r="DK763" s="44" t="s">
        <v>659</v>
      </c>
    </row>
    <row r="764" spans="1:116">
      <c r="A764" s="32" t="str">
        <f t="shared" si="62"/>
        <v>Ausgrid--FIELD DEVICES - Relays</v>
      </c>
      <c r="B764" s="32" t="str">
        <f t="shared" si="63"/>
        <v>Ausgrid</v>
      </c>
      <c r="C764" s="397"/>
      <c r="D764" s="31"/>
      <c r="E764" s="30" t="s">
        <v>699</v>
      </c>
      <c r="F764" s="19">
        <v>48.62</v>
      </c>
      <c r="G764" s="19">
        <v>14.12</v>
      </c>
      <c r="H764" s="30">
        <v>744</v>
      </c>
      <c r="I764" s="30">
        <v>1083</v>
      </c>
      <c r="J764" s="30">
        <v>828</v>
      </c>
      <c r="K764" s="30">
        <v>2165</v>
      </c>
      <c r="L764" s="30">
        <v>1895</v>
      </c>
      <c r="M764" s="30">
        <v>340</v>
      </c>
      <c r="N764" s="30">
        <v>709</v>
      </c>
      <c r="O764" s="30">
        <v>302</v>
      </c>
      <c r="P764" s="30">
        <v>925</v>
      </c>
      <c r="Q764" s="30">
        <v>889</v>
      </c>
      <c r="R764" s="30">
        <v>343</v>
      </c>
      <c r="S764" s="30">
        <v>978</v>
      </c>
      <c r="T764" s="30">
        <v>1314</v>
      </c>
      <c r="U764" s="30">
        <v>473</v>
      </c>
      <c r="V764" s="30">
        <v>658</v>
      </c>
      <c r="W764" s="30">
        <v>558</v>
      </c>
      <c r="X764" s="30">
        <v>722</v>
      </c>
      <c r="Y764" s="30">
        <v>832</v>
      </c>
      <c r="Z764" s="30">
        <v>220</v>
      </c>
      <c r="AA764" s="30">
        <v>921</v>
      </c>
      <c r="AB764" s="30">
        <v>163</v>
      </c>
      <c r="AC764" s="30">
        <v>365</v>
      </c>
      <c r="AD764" s="30">
        <v>508</v>
      </c>
      <c r="AE764" s="30">
        <v>444</v>
      </c>
      <c r="AF764" s="30">
        <v>594</v>
      </c>
      <c r="AG764" s="30">
        <v>270</v>
      </c>
      <c r="AH764" s="30">
        <v>677</v>
      </c>
      <c r="AI764" s="30">
        <v>300</v>
      </c>
      <c r="AJ764" s="30">
        <v>361</v>
      </c>
      <c r="AK764" s="30">
        <v>453</v>
      </c>
      <c r="AL764" s="30">
        <v>1124</v>
      </c>
      <c r="AM764" s="30">
        <v>490</v>
      </c>
      <c r="AN764" s="30">
        <v>394</v>
      </c>
      <c r="AO764" s="30">
        <v>505</v>
      </c>
      <c r="AP764" s="30">
        <v>816</v>
      </c>
      <c r="AQ764" s="30">
        <v>1212</v>
      </c>
      <c r="AR764" s="30">
        <v>1229</v>
      </c>
      <c r="AS764" s="30">
        <v>1871</v>
      </c>
      <c r="AT764" s="30">
        <v>1077</v>
      </c>
      <c r="AU764" s="30">
        <v>536</v>
      </c>
      <c r="AV764" s="30">
        <v>1192</v>
      </c>
      <c r="AW764" s="30">
        <v>1762</v>
      </c>
      <c r="AX764" s="30">
        <v>974</v>
      </c>
      <c r="AY764" s="30">
        <v>1049</v>
      </c>
      <c r="AZ764" s="30">
        <v>2550</v>
      </c>
      <c r="BA764" s="30">
        <v>1198</v>
      </c>
      <c r="BB764" s="30">
        <v>1221</v>
      </c>
      <c r="BC764" s="30">
        <v>1693</v>
      </c>
      <c r="BD764" s="30">
        <v>980</v>
      </c>
      <c r="BE764" s="30">
        <v>2779</v>
      </c>
      <c r="BF764" s="30">
        <v>1111</v>
      </c>
      <c r="BG764" s="30">
        <v>1033</v>
      </c>
      <c r="BH764" s="30">
        <v>781</v>
      </c>
      <c r="BI764" s="30">
        <v>1375</v>
      </c>
      <c r="BJ764" s="30">
        <v>1010</v>
      </c>
      <c r="BK764" s="30">
        <v>1410</v>
      </c>
      <c r="BL764" s="30">
        <v>733</v>
      </c>
      <c r="BM764" s="30">
        <v>131</v>
      </c>
      <c r="BN764" s="30">
        <v>1044</v>
      </c>
      <c r="BO764" s="30">
        <v>281</v>
      </c>
      <c r="BP764" s="30">
        <v>628</v>
      </c>
      <c r="BQ764" s="30">
        <v>748</v>
      </c>
      <c r="BR764" s="30">
        <v>509</v>
      </c>
      <c r="BS764" s="30">
        <v>76</v>
      </c>
      <c r="BT764" s="30">
        <v>134</v>
      </c>
      <c r="BU764" s="30">
        <v>38</v>
      </c>
      <c r="BV764" s="30">
        <v>210</v>
      </c>
      <c r="BW764" s="30">
        <v>238</v>
      </c>
      <c r="BX764" s="30">
        <v>4</v>
      </c>
      <c r="BY764" s="30">
        <v>26</v>
      </c>
      <c r="BZ764" s="30">
        <v>13</v>
      </c>
      <c r="CA764" s="30">
        <v>19</v>
      </c>
      <c r="CB764" s="30">
        <v>147</v>
      </c>
      <c r="CC764" s="30">
        <v>158</v>
      </c>
      <c r="CD764" s="30">
        <v>57</v>
      </c>
      <c r="CE764" s="30">
        <v>54</v>
      </c>
      <c r="CF764" s="30">
        <v>338</v>
      </c>
      <c r="CG764" s="30">
        <v>55</v>
      </c>
      <c r="CH764" s="30">
        <v>7</v>
      </c>
      <c r="CI764" s="30">
        <v>0</v>
      </c>
      <c r="CJ764" s="30">
        <v>14</v>
      </c>
      <c r="CK764" s="30">
        <v>10</v>
      </c>
      <c r="CL764" s="30">
        <v>153</v>
      </c>
      <c r="CM764" s="30">
        <v>212</v>
      </c>
      <c r="CN764" s="30">
        <v>226</v>
      </c>
      <c r="CO764" s="30">
        <v>37</v>
      </c>
      <c r="CP764" s="30">
        <v>34</v>
      </c>
      <c r="CQ764" s="30">
        <v>22</v>
      </c>
      <c r="CR764" s="30">
        <v>0</v>
      </c>
      <c r="CS764" s="30">
        <v>6</v>
      </c>
      <c r="CT764" s="30">
        <v>130</v>
      </c>
      <c r="CU764" s="30">
        <v>3</v>
      </c>
      <c r="CV764" s="30">
        <v>5</v>
      </c>
      <c r="CW764" s="30">
        <v>13</v>
      </c>
      <c r="CX764" s="30">
        <v>0</v>
      </c>
      <c r="CY764" s="30">
        <v>0</v>
      </c>
      <c r="CZ764" s="30">
        <v>0</v>
      </c>
      <c r="DA764" s="30">
        <v>0</v>
      </c>
      <c r="DB764" s="30">
        <v>0</v>
      </c>
      <c r="DC764" s="30">
        <v>192</v>
      </c>
      <c r="DD764" s="30">
        <v>0</v>
      </c>
      <c r="DE764" s="30">
        <v>0</v>
      </c>
      <c r="DF764" s="30">
        <v>0</v>
      </c>
      <c r="DG764" s="16">
        <f t="shared" si="64"/>
        <v>59111</v>
      </c>
      <c r="DH764" s="16">
        <f t="shared" si="65"/>
        <v>2114510</v>
      </c>
      <c r="DI764" s="17">
        <f t="shared" si="66"/>
        <v>35.771852954610814</v>
      </c>
      <c r="DJ764" s="119" t="s">
        <v>659</v>
      </c>
      <c r="DK764" s="44" t="s">
        <v>659</v>
      </c>
    </row>
    <row r="765" spans="1:116">
      <c r="A765" s="32" t="str">
        <f t="shared" si="62"/>
        <v>Ausgrid--FIELD DEVICES - RTUs</v>
      </c>
      <c r="B765" s="32" t="str">
        <f t="shared" si="63"/>
        <v>Ausgrid</v>
      </c>
      <c r="C765" s="397"/>
      <c r="D765" s="31"/>
      <c r="E765" s="30" t="s">
        <v>700</v>
      </c>
      <c r="F765" s="19">
        <v>20</v>
      </c>
      <c r="G765" s="19">
        <v>5</v>
      </c>
      <c r="H765" s="30">
        <v>32</v>
      </c>
      <c r="I765" s="30">
        <v>1</v>
      </c>
      <c r="J765" s="30">
        <v>1</v>
      </c>
      <c r="K765" s="30">
        <v>3</v>
      </c>
      <c r="L765" s="30">
        <v>9</v>
      </c>
      <c r="M765" s="30">
        <v>14</v>
      </c>
      <c r="N765" s="30">
        <v>13</v>
      </c>
      <c r="O765" s="30">
        <v>15</v>
      </c>
      <c r="P765" s="30">
        <v>13</v>
      </c>
      <c r="Q765" s="30">
        <v>19</v>
      </c>
      <c r="R765" s="30">
        <v>0</v>
      </c>
      <c r="S765" s="30">
        <v>8</v>
      </c>
      <c r="T765" s="30">
        <v>2</v>
      </c>
      <c r="U765" s="30">
        <v>10</v>
      </c>
      <c r="V765" s="30">
        <v>15</v>
      </c>
      <c r="W765" s="30">
        <v>31</v>
      </c>
      <c r="X765" s="30">
        <v>5</v>
      </c>
      <c r="Y765" s="30">
        <v>33</v>
      </c>
      <c r="Z765" s="30">
        <v>34</v>
      </c>
      <c r="AA765" s="30">
        <v>35</v>
      </c>
      <c r="AB765" s="30">
        <v>40</v>
      </c>
      <c r="AC765" s="30">
        <v>41</v>
      </c>
      <c r="AD765" s="30">
        <v>43</v>
      </c>
      <c r="AE765" s="30">
        <v>45</v>
      </c>
      <c r="AF765" s="30">
        <v>42</v>
      </c>
      <c r="AG765" s="30">
        <v>45</v>
      </c>
      <c r="AH765" s="30">
        <v>44</v>
      </c>
      <c r="AI765" s="30">
        <v>35</v>
      </c>
      <c r="AJ765" s="30">
        <v>35</v>
      </c>
      <c r="AK765" s="30">
        <v>0</v>
      </c>
      <c r="AL765" s="30">
        <v>0</v>
      </c>
      <c r="AM765" s="30">
        <v>0</v>
      </c>
      <c r="AN765" s="30">
        <v>0</v>
      </c>
      <c r="AO765" s="30">
        <v>0</v>
      </c>
      <c r="AP765" s="30">
        <v>0</v>
      </c>
      <c r="AQ765" s="30">
        <v>0</v>
      </c>
      <c r="AR765" s="30">
        <v>0</v>
      </c>
      <c r="AS765" s="30">
        <v>0</v>
      </c>
      <c r="AT765" s="30">
        <v>0</v>
      </c>
      <c r="AU765" s="30">
        <v>0</v>
      </c>
      <c r="AV765" s="30">
        <v>0</v>
      </c>
      <c r="AW765" s="30">
        <v>0</v>
      </c>
      <c r="AX765" s="30">
        <v>0</v>
      </c>
      <c r="AY765" s="30">
        <v>0</v>
      </c>
      <c r="AZ765" s="30">
        <v>0</v>
      </c>
      <c r="BA765" s="30">
        <v>0</v>
      </c>
      <c r="BB765" s="30">
        <v>0</v>
      </c>
      <c r="BC765" s="30">
        <v>0</v>
      </c>
      <c r="BD765" s="30">
        <v>0</v>
      </c>
      <c r="BE765" s="30">
        <v>0</v>
      </c>
      <c r="BF765" s="30">
        <v>0</v>
      </c>
      <c r="BG765" s="30">
        <v>0</v>
      </c>
      <c r="BH765" s="30">
        <v>0</v>
      </c>
      <c r="BI765" s="30">
        <v>0</v>
      </c>
      <c r="BJ765" s="30">
        <v>0</v>
      </c>
      <c r="BK765" s="30">
        <v>0</v>
      </c>
      <c r="BL765" s="30">
        <v>0</v>
      </c>
      <c r="BM765" s="30">
        <v>0</v>
      </c>
      <c r="BN765" s="30">
        <v>0</v>
      </c>
      <c r="BO765" s="30">
        <v>0</v>
      </c>
      <c r="BP765" s="30">
        <v>0</v>
      </c>
      <c r="BQ765" s="30">
        <v>0</v>
      </c>
      <c r="BR765" s="30">
        <v>0</v>
      </c>
      <c r="BS765" s="30">
        <v>0</v>
      </c>
      <c r="BT765" s="30">
        <v>0</v>
      </c>
      <c r="BU765" s="30">
        <v>0</v>
      </c>
      <c r="BV765" s="30">
        <v>0</v>
      </c>
      <c r="BW765" s="30">
        <v>0</v>
      </c>
      <c r="BX765" s="30">
        <v>0</v>
      </c>
      <c r="BY765" s="30">
        <v>0</v>
      </c>
      <c r="BZ765" s="30">
        <v>0</v>
      </c>
      <c r="CA765" s="30">
        <v>0</v>
      </c>
      <c r="CB765" s="30">
        <v>0</v>
      </c>
      <c r="CC765" s="30">
        <v>0</v>
      </c>
      <c r="CD765" s="30">
        <v>0</v>
      </c>
      <c r="CE765" s="30">
        <v>0</v>
      </c>
      <c r="CF765" s="30">
        <v>0</v>
      </c>
      <c r="CG765" s="30">
        <v>0</v>
      </c>
      <c r="CH765" s="30">
        <v>0</v>
      </c>
      <c r="CI765" s="30">
        <v>0</v>
      </c>
      <c r="CJ765" s="30">
        <v>0</v>
      </c>
      <c r="CK765" s="30">
        <v>0</v>
      </c>
      <c r="CL765" s="30">
        <v>0</v>
      </c>
      <c r="CM765" s="30">
        <v>0</v>
      </c>
      <c r="CN765" s="30">
        <v>0</v>
      </c>
      <c r="CO765" s="30">
        <v>0</v>
      </c>
      <c r="CP765" s="30">
        <v>0</v>
      </c>
      <c r="CQ765" s="30">
        <v>0</v>
      </c>
      <c r="CR765" s="30">
        <v>0</v>
      </c>
      <c r="CS765" s="30">
        <v>0</v>
      </c>
      <c r="CT765" s="30">
        <v>0</v>
      </c>
      <c r="CU765" s="30">
        <v>0</v>
      </c>
      <c r="CV765" s="30">
        <v>0</v>
      </c>
      <c r="CW765" s="30">
        <v>0</v>
      </c>
      <c r="CX765" s="30">
        <v>0</v>
      </c>
      <c r="CY765" s="30">
        <v>0</v>
      </c>
      <c r="CZ765" s="30">
        <v>0</v>
      </c>
      <c r="DA765" s="30">
        <v>0</v>
      </c>
      <c r="DB765" s="30">
        <v>0</v>
      </c>
      <c r="DC765" s="30">
        <v>0</v>
      </c>
      <c r="DD765" s="30">
        <v>0</v>
      </c>
      <c r="DE765" s="30">
        <v>0</v>
      </c>
      <c r="DF765" s="30">
        <v>0</v>
      </c>
      <c r="DG765" s="16">
        <f t="shared" si="64"/>
        <v>663</v>
      </c>
      <c r="DH765" s="16">
        <f t="shared" si="65"/>
        <v>12918</v>
      </c>
      <c r="DI765" s="17">
        <f t="shared" si="66"/>
        <v>19.4841628959276</v>
      </c>
      <c r="DJ765" s="119" t="s">
        <v>659</v>
      </c>
      <c r="DK765" s="44" t="s">
        <v>659</v>
      </c>
    </row>
    <row r="766" spans="1:116">
      <c r="A766" s="32" t="str">
        <f t="shared" si="62"/>
        <v>Ausgrid--COMMUNICATIONS NETWORK ASSETS - Optic Fibre</v>
      </c>
      <c r="B766" s="32" t="str">
        <f t="shared" si="63"/>
        <v>Ausgrid</v>
      </c>
      <c r="C766" s="397"/>
      <c r="D766" s="31"/>
      <c r="E766" s="30" t="s">
        <v>701</v>
      </c>
      <c r="F766" s="19">
        <v>30</v>
      </c>
      <c r="G766" s="19">
        <v>15</v>
      </c>
      <c r="H766" s="30">
        <v>163</v>
      </c>
      <c r="I766" s="30">
        <v>111.7</v>
      </c>
      <c r="J766" s="30">
        <v>259.27999999999997</v>
      </c>
      <c r="K766" s="30">
        <v>272.52999999999997</v>
      </c>
      <c r="L766" s="30">
        <v>428.01</v>
      </c>
      <c r="M766" s="30">
        <v>261.08</v>
      </c>
      <c r="N766" s="30">
        <v>122.05</v>
      </c>
      <c r="O766" s="30">
        <v>174.84</v>
      </c>
      <c r="P766" s="30">
        <v>20.420000000000002</v>
      </c>
      <c r="Q766" s="30">
        <v>0</v>
      </c>
      <c r="R766" s="30">
        <v>0</v>
      </c>
      <c r="S766" s="30">
        <v>0</v>
      </c>
      <c r="T766" s="30">
        <v>0</v>
      </c>
      <c r="U766" s="30">
        <v>0</v>
      </c>
      <c r="V766" s="30">
        <v>0</v>
      </c>
      <c r="W766" s="30">
        <v>0</v>
      </c>
      <c r="X766" s="30">
        <v>0</v>
      </c>
      <c r="Y766" s="30">
        <v>0</v>
      </c>
      <c r="Z766" s="30">
        <v>0</v>
      </c>
      <c r="AA766" s="30">
        <v>0</v>
      </c>
      <c r="AB766" s="30">
        <v>0</v>
      </c>
      <c r="AC766" s="30">
        <v>0</v>
      </c>
      <c r="AD766" s="30">
        <v>0</v>
      </c>
      <c r="AE766" s="30">
        <v>0</v>
      </c>
      <c r="AF766" s="30">
        <v>0</v>
      </c>
      <c r="AG766" s="30">
        <v>0</v>
      </c>
      <c r="AH766" s="30">
        <v>0</v>
      </c>
      <c r="AI766" s="30">
        <v>0</v>
      </c>
      <c r="AJ766" s="30">
        <v>0</v>
      </c>
      <c r="AK766" s="30">
        <v>0</v>
      </c>
      <c r="AL766" s="30">
        <v>0</v>
      </c>
      <c r="AM766" s="30">
        <v>0</v>
      </c>
      <c r="AN766" s="30">
        <v>0</v>
      </c>
      <c r="AO766" s="30">
        <v>0</v>
      </c>
      <c r="AP766" s="30">
        <v>0</v>
      </c>
      <c r="AQ766" s="30">
        <v>0</v>
      </c>
      <c r="AR766" s="30">
        <v>0</v>
      </c>
      <c r="AS766" s="30">
        <v>0</v>
      </c>
      <c r="AT766" s="30">
        <v>0</v>
      </c>
      <c r="AU766" s="30">
        <v>0</v>
      </c>
      <c r="AV766" s="30">
        <v>0</v>
      </c>
      <c r="AW766" s="30">
        <v>0</v>
      </c>
      <c r="AX766" s="30">
        <v>0</v>
      </c>
      <c r="AY766" s="30">
        <v>0</v>
      </c>
      <c r="AZ766" s="30">
        <v>0</v>
      </c>
      <c r="BA766" s="30">
        <v>0</v>
      </c>
      <c r="BB766" s="30">
        <v>0</v>
      </c>
      <c r="BC766" s="30">
        <v>0</v>
      </c>
      <c r="BD766" s="30">
        <v>0</v>
      </c>
      <c r="BE766" s="30">
        <v>0</v>
      </c>
      <c r="BF766" s="30">
        <v>0</v>
      </c>
      <c r="BG766" s="30">
        <v>0</v>
      </c>
      <c r="BH766" s="30">
        <v>0</v>
      </c>
      <c r="BI766" s="30">
        <v>0</v>
      </c>
      <c r="BJ766" s="30">
        <v>0</v>
      </c>
      <c r="BK766" s="30">
        <v>0</v>
      </c>
      <c r="BL766" s="30">
        <v>0</v>
      </c>
      <c r="BM766" s="30">
        <v>0</v>
      </c>
      <c r="BN766" s="30">
        <v>0</v>
      </c>
      <c r="BO766" s="30">
        <v>0</v>
      </c>
      <c r="BP766" s="30">
        <v>0</v>
      </c>
      <c r="BQ766" s="30">
        <v>0</v>
      </c>
      <c r="BR766" s="30">
        <v>0</v>
      </c>
      <c r="BS766" s="30">
        <v>0</v>
      </c>
      <c r="BT766" s="30">
        <v>0</v>
      </c>
      <c r="BU766" s="30">
        <v>0</v>
      </c>
      <c r="BV766" s="30">
        <v>0</v>
      </c>
      <c r="BW766" s="30">
        <v>0</v>
      </c>
      <c r="BX766" s="30">
        <v>0</v>
      </c>
      <c r="BY766" s="30">
        <v>0</v>
      </c>
      <c r="BZ766" s="30">
        <v>0</v>
      </c>
      <c r="CA766" s="30">
        <v>0</v>
      </c>
      <c r="CB766" s="30">
        <v>0</v>
      </c>
      <c r="CC766" s="30">
        <v>0</v>
      </c>
      <c r="CD766" s="30">
        <v>0</v>
      </c>
      <c r="CE766" s="30">
        <v>0</v>
      </c>
      <c r="CF766" s="30">
        <v>0</v>
      </c>
      <c r="CG766" s="30">
        <v>0</v>
      </c>
      <c r="CH766" s="30">
        <v>0</v>
      </c>
      <c r="CI766" s="30">
        <v>0</v>
      </c>
      <c r="CJ766" s="30">
        <v>0</v>
      </c>
      <c r="CK766" s="30">
        <v>0</v>
      </c>
      <c r="CL766" s="30">
        <v>0</v>
      </c>
      <c r="CM766" s="30">
        <v>0</v>
      </c>
      <c r="CN766" s="30">
        <v>0</v>
      </c>
      <c r="CO766" s="30">
        <v>0</v>
      </c>
      <c r="CP766" s="30">
        <v>0</v>
      </c>
      <c r="CQ766" s="30">
        <v>0</v>
      </c>
      <c r="CR766" s="30">
        <v>0</v>
      </c>
      <c r="CS766" s="30">
        <v>0</v>
      </c>
      <c r="CT766" s="30">
        <v>0</v>
      </c>
      <c r="CU766" s="30">
        <v>0</v>
      </c>
      <c r="CV766" s="30">
        <v>0</v>
      </c>
      <c r="CW766" s="30">
        <v>0</v>
      </c>
      <c r="CX766" s="30">
        <v>0</v>
      </c>
      <c r="CY766" s="30">
        <v>0</v>
      </c>
      <c r="CZ766" s="30">
        <v>0</v>
      </c>
      <c r="DA766" s="30">
        <v>0</v>
      </c>
      <c r="DB766" s="30">
        <v>0</v>
      </c>
      <c r="DC766" s="30">
        <v>0</v>
      </c>
      <c r="DD766" s="30">
        <v>0</v>
      </c>
      <c r="DE766" s="30">
        <v>0</v>
      </c>
      <c r="DF766" s="30">
        <v>0</v>
      </c>
      <c r="DG766" s="16">
        <f t="shared" si="64"/>
        <v>1812.9099999999999</v>
      </c>
      <c r="DH766" s="16">
        <f t="shared" si="65"/>
        <v>8397.74</v>
      </c>
      <c r="DI766" s="17">
        <f t="shared" si="66"/>
        <v>4.6321880291906385</v>
      </c>
      <c r="DJ766" s="119" t="s">
        <v>659</v>
      </c>
      <c r="DK766" s="44" t="s">
        <v>659</v>
      </c>
    </row>
    <row r="767" spans="1:116">
      <c r="A767" s="32" t="str">
        <f t="shared" si="62"/>
        <v>Ausgrid--COMMUNICATIONS NETWORK ASSETS - Copper pilot cable</v>
      </c>
      <c r="B767" s="32" t="str">
        <f t="shared" si="63"/>
        <v>Ausgrid</v>
      </c>
      <c r="C767" s="397"/>
      <c r="D767" s="31"/>
      <c r="E767" s="30" t="s">
        <v>702</v>
      </c>
      <c r="F767" s="19">
        <v>40</v>
      </c>
      <c r="G767" s="19">
        <v>10</v>
      </c>
      <c r="H767" s="30">
        <v>17</v>
      </c>
      <c r="I767" s="30">
        <v>25</v>
      </c>
      <c r="J767" s="30">
        <v>11</v>
      </c>
      <c r="K767" s="30">
        <v>56</v>
      </c>
      <c r="L767" s="30">
        <v>46</v>
      </c>
      <c r="M767" s="30">
        <v>12</v>
      </c>
      <c r="N767" s="30">
        <v>38</v>
      </c>
      <c r="O767" s="30">
        <v>25</v>
      </c>
      <c r="P767" s="30">
        <v>27</v>
      </c>
      <c r="Q767" s="30">
        <v>17</v>
      </c>
      <c r="R767" s="30">
        <v>7</v>
      </c>
      <c r="S767" s="30">
        <v>14</v>
      </c>
      <c r="T767" s="30">
        <v>12</v>
      </c>
      <c r="U767" s="30">
        <v>6</v>
      </c>
      <c r="V767" s="30">
        <v>3</v>
      </c>
      <c r="W767" s="30">
        <v>0</v>
      </c>
      <c r="X767" s="30">
        <v>0</v>
      </c>
      <c r="Y767" s="30">
        <v>65</v>
      </c>
      <c r="Z767" s="30">
        <v>91</v>
      </c>
      <c r="AA767" s="30">
        <v>61</v>
      </c>
      <c r="AB767" s="30">
        <v>61</v>
      </c>
      <c r="AC767" s="30">
        <v>77</v>
      </c>
      <c r="AD767" s="30">
        <v>80</v>
      </c>
      <c r="AE767" s="30">
        <v>47</v>
      </c>
      <c r="AF767" s="30">
        <v>68</v>
      </c>
      <c r="AG767" s="30">
        <v>41</v>
      </c>
      <c r="AH767" s="30">
        <v>91</v>
      </c>
      <c r="AI767" s="30">
        <v>44</v>
      </c>
      <c r="AJ767" s="30">
        <v>54</v>
      </c>
      <c r="AK767" s="30">
        <v>57</v>
      </c>
      <c r="AL767" s="30">
        <v>62</v>
      </c>
      <c r="AM767" s="30">
        <v>77</v>
      </c>
      <c r="AN767" s="30">
        <v>86</v>
      </c>
      <c r="AO767" s="30">
        <v>154</v>
      </c>
      <c r="AP767" s="30">
        <v>138</v>
      </c>
      <c r="AQ767" s="30">
        <v>165</v>
      </c>
      <c r="AR767" s="30">
        <v>113</v>
      </c>
      <c r="AS767" s="30">
        <v>108</v>
      </c>
      <c r="AT767" s="30">
        <v>98</v>
      </c>
      <c r="AU767" s="30">
        <v>99</v>
      </c>
      <c r="AV767" s="30">
        <v>82</v>
      </c>
      <c r="AW767" s="30">
        <v>87</v>
      </c>
      <c r="AX767" s="30">
        <v>74</v>
      </c>
      <c r="AY767" s="30">
        <v>121</v>
      </c>
      <c r="AZ767" s="30">
        <v>57</v>
      </c>
      <c r="BA767" s="30">
        <v>131</v>
      </c>
      <c r="BB767" s="30">
        <v>116</v>
      </c>
      <c r="BC767" s="30">
        <v>107</v>
      </c>
      <c r="BD767" s="30">
        <v>117</v>
      </c>
      <c r="BE767" s="30">
        <v>128</v>
      </c>
      <c r="BF767" s="30">
        <v>236</v>
      </c>
      <c r="BG767" s="30">
        <v>199</v>
      </c>
      <c r="BH767" s="30">
        <v>125</v>
      </c>
      <c r="BI767" s="30">
        <v>225</v>
      </c>
      <c r="BJ767" s="30">
        <v>174</v>
      </c>
      <c r="BK767" s="30">
        <v>193</v>
      </c>
      <c r="BL767" s="30">
        <v>119</v>
      </c>
      <c r="BM767" s="30">
        <v>188</v>
      </c>
      <c r="BN767" s="30">
        <v>271</v>
      </c>
      <c r="BO767" s="30">
        <v>33</v>
      </c>
      <c r="BP767" s="30">
        <v>12</v>
      </c>
      <c r="BQ767" s="30">
        <v>51</v>
      </c>
      <c r="BR767" s="30">
        <v>33</v>
      </c>
      <c r="BS767" s="30">
        <v>20</v>
      </c>
      <c r="BT767" s="30">
        <v>24</v>
      </c>
      <c r="BU767" s="30">
        <v>23</v>
      </c>
      <c r="BV767" s="30">
        <v>13</v>
      </c>
      <c r="BW767" s="30">
        <v>5</v>
      </c>
      <c r="BX767" s="30">
        <v>13</v>
      </c>
      <c r="BY767" s="30">
        <v>38</v>
      </c>
      <c r="BZ767" s="30">
        <v>0</v>
      </c>
      <c r="CA767" s="30">
        <v>0</v>
      </c>
      <c r="CB767" s="30">
        <v>0</v>
      </c>
      <c r="CC767" s="30">
        <v>0</v>
      </c>
      <c r="CD767" s="30">
        <v>0</v>
      </c>
      <c r="CE767" s="30">
        <v>0</v>
      </c>
      <c r="CF767" s="30">
        <v>0</v>
      </c>
      <c r="CG767" s="30">
        <v>0</v>
      </c>
      <c r="CH767" s="30">
        <v>0</v>
      </c>
      <c r="CI767" s="30">
        <v>0</v>
      </c>
      <c r="CJ767" s="30">
        <v>0</v>
      </c>
      <c r="CK767" s="30">
        <v>0</v>
      </c>
      <c r="CL767" s="30">
        <v>0</v>
      </c>
      <c r="CM767" s="30">
        <v>0</v>
      </c>
      <c r="CN767" s="30">
        <v>0</v>
      </c>
      <c r="CO767" s="30">
        <v>0</v>
      </c>
      <c r="CP767" s="30">
        <v>0</v>
      </c>
      <c r="CQ767" s="30">
        <v>0</v>
      </c>
      <c r="CR767" s="30">
        <v>0</v>
      </c>
      <c r="CS767" s="30">
        <v>0</v>
      </c>
      <c r="CT767" s="30">
        <v>0</v>
      </c>
      <c r="CU767" s="30">
        <v>0</v>
      </c>
      <c r="CV767" s="30">
        <v>0</v>
      </c>
      <c r="CW767" s="30">
        <v>0</v>
      </c>
      <c r="CX767" s="30">
        <v>0</v>
      </c>
      <c r="CY767" s="30">
        <v>0</v>
      </c>
      <c r="CZ767" s="30">
        <v>0</v>
      </c>
      <c r="DA767" s="30">
        <v>0</v>
      </c>
      <c r="DB767" s="30">
        <v>0</v>
      </c>
      <c r="DC767" s="30">
        <v>0</v>
      </c>
      <c r="DD767" s="30">
        <v>0</v>
      </c>
      <c r="DE767" s="30">
        <v>0</v>
      </c>
      <c r="DF767" s="30">
        <v>0</v>
      </c>
      <c r="DG767" s="16">
        <f t="shared" si="64"/>
        <v>5268</v>
      </c>
      <c r="DH767" s="16">
        <f t="shared" si="65"/>
        <v>220251</v>
      </c>
      <c r="DI767" s="17">
        <f t="shared" si="66"/>
        <v>41.809225512528471</v>
      </c>
      <c r="DJ767" s="119" t="s">
        <v>659</v>
      </c>
      <c r="DK767" s="44" t="s">
        <v>659</v>
      </c>
    </row>
    <row r="768" spans="1:116">
      <c r="A768" s="32" t="str">
        <f t="shared" si="62"/>
        <v>Ausgrid--COMMUNICATIONS NETWORK ASSETS - Telecommunications apparatus (bay no.s)</v>
      </c>
      <c r="B768" s="32" t="str">
        <f t="shared" si="63"/>
        <v>Ausgrid</v>
      </c>
      <c r="C768" s="397"/>
      <c r="D768" s="31"/>
      <c r="E768" s="30" t="s">
        <v>703</v>
      </c>
      <c r="F768" s="19">
        <v>8</v>
      </c>
      <c r="G768" s="19">
        <v>2</v>
      </c>
      <c r="H768" s="30">
        <v>150</v>
      </c>
      <c r="I768" s="30">
        <v>150</v>
      </c>
      <c r="J768" s="30">
        <v>150</v>
      </c>
      <c r="K768" s="30">
        <v>150</v>
      </c>
      <c r="L768" s="30">
        <v>150</v>
      </c>
      <c r="M768" s="30">
        <v>50</v>
      </c>
      <c r="N768" s="30">
        <v>0</v>
      </c>
      <c r="O768" s="30">
        <v>0</v>
      </c>
      <c r="P768" s="30">
        <v>0</v>
      </c>
      <c r="Q768" s="30">
        <v>0</v>
      </c>
      <c r="R768" s="30">
        <v>0</v>
      </c>
      <c r="S768" s="30">
        <v>0</v>
      </c>
      <c r="T768" s="30">
        <v>0</v>
      </c>
      <c r="U768" s="30">
        <v>0</v>
      </c>
      <c r="V768" s="30">
        <v>0</v>
      </c>
      <c r="W768" s="30">
        <v>0</v>
      </c>
      <c r="X768" s="30">
        <v>0</v>
      </c>
      <c r="Y768" s="30">
        <v>0</v>
      </c>
      <c r="Z768" s="30">
        <v>0</v>
      </c>
      <c r="AA768" s="30">
        <v>0</v>
      </c>
      <c r="AB768" s="30">
        <v>0</v>
      </c>
      <c r="AC768" s="30">
        <v>0</v>
      </c>
      <c r="AD768" s="30">
        <v>0</v>
      </c>
      <c r="AE768" s="30">
        <v>0</v>
      </c>
      <c r="AF768" s="30">
        <v>0</v>
      </c>
      <c r="AG768" s="30">
        <v>0</v>
      </c>
      <c r="AH768" s="30">
        <v>0</v>
      </c>
      <c r="AI768" s="30">
        <v>0</v>
      </c>
      <c r="AJ768" s="30">
        <v>0</v>
      </c>
      <c r="AK768" s="30">
        <v>0</v>
      </c>
      <c r="AL768" s="30">
        <v>0</v>
      </c>
      <c r="AM768" s="30">
        <v>0</v>
      </c>
      <c r="AN768" s="30">
        <v>0</v>
      </c>
      <c r="AO768" s="30">
        <v>0</v>
      </c>
      <c r="AP768" s="30">
        <v>0</v>
      </c>
      <c r="AQ768" s="30">
        <v>0</v>
      </c>
      <c r="AR768" s="30">
        <v>0</v>
      </c>
      <c r="AS768" s="30">
        <v>0</v>
      </c>
      <c r="AT768" s="30">
        <v>0</v>
      </c>
      <c r="AU768" s="30">
        <v>0</v>
      </c>
      <c r="AV768" s="30">
        <v>0</v>
      </c>
      <c r="AW768" s="30">
        <v>0</v>
      </c>
      <c r="AX768" s="30">
        <v>0</v>
      </c>
      <c r="AY768" s="30">
        <v>0</v>
      </c>
      <c r="AZ768" s="30">
        <v>0</v>
      </c>
      <c r="BA768" s="30">
        <v>0</v>
      </c>
      <c r="BB768" s="30">
        <v>0</v>
      </c>
      <c r="BC768" s="30">
        <v>0</v>
      </c>
      <c r="BD768" s="30">
        <v>0</v>
      </c>
      <c r="BE768" s="30">
        <v>0</v>
      </c>
      <c r="BF768" s="30">
        <v>0</v>
      </c>
      <c r="BG768" s="30">
        <v>0</v>
      </c>
      <c r="BH768" s="30">
        <v>0</v>
      </c>
      <c r="BI768" s="30">
        <v>0</v>
      </c>
      <c r="BJ768" s="30">
        <v>0</v>
      </c>
      <c r="BK768" s="30">
        <v>0</v>
      </c>
      <c r="BL768" s="30">
        <v>0</v>
      </c>
      <c r="BM768" s="30">
        <v>0</v>
      </c>
      <c r="BN768" s="30">
        <v>0</v>
      </c>
      <c r="BO768" s="30">
        <v>0</v>
      </c>
      <c r="BP768" s="30">
        <v>0</v>
      </c>
      <c r="BQ768" s="30">
        <v>0</v>
      </c>
      <c r="BR768" s="30">
        <v>0</v>
      </c>
      <c r="BS768" s="30">
        <v>0</v>
      </c>
      <c r="BT768" s="30">
        <v>0</v>
      </c>
      <c r="BU768" s="30">
        <v>0</v>
      </c>
      <c r="BV768" s="30">
        <v>0</v>
      </c>
      <c r="BW768" s="30">
        <v>0</v>
      </c>
      <c r="BX768" s="30">
        <v>0</v>
      </c>
      <c r="BY768" s="30">
        <v>0</v>
      </c>
      <c r="BZ768" s="30">
        <v>0</v>
      </c>
      <c r="CA768" s="30">
        <v>0</v>
      </c>
      <c r="CB768" s="30">
        <v>0</v>
      </c>
      <c r="CC768" s="30">
        <v>0</v>
      </c>
      <c r="CD768" s="30">
        <v>0</v>
      </c>
      <c r="CE768" s="30">
        <v>0</v>
      </c>
      <c r="CF768" s="30">
        <v>0</v>
      </c>
      <c r="CG768" s="30">
        <v>0</v>
      </c>
      <c r="CH768" s="30">
        <v>0</v>
      </c>
      <c r="CI768" s="30">
        <v>0</v>
      </c>
      <c r="CJ768" s="30">
        <v>0</v>
      </c>
      <c r="CK768" s="30">
        <v>0</v>
      </c>
      <c r="CL768" s="30">
        <v>0</v>
      </c>
      <c r="CM768" s="30">
        <v>0</v>
      </c>
      <c r="CN768" s="30">
        <v>0</v>
      </c>
      <c r="CO768" s="30">
        <v>0</v>
      </c>
      <c r="CP768" s="30">
        <v>0</v>
      </c>
      <c r="CQ768" s="30">
        <v>0</v>
      </c>
      <c r="CR768" s="30">
        <v>0</v>
      </c>
      <c r="CS768" s="30">
        <v>0</v>
      </c>
      <c r="CT768" s="30">
        <v>0</v>
      </c>
      <c r="CU768" s="30">
        <v>0</v>
      </c>
      <c r="CV768" s="30">
        <v>0</v>
      </c>
      <c r="CW768" s="30">
        <v>0</v>
      </c>
      <c r="CX768" s="30">
        <v>0</v>
      </c>
      <c r="CY768" s="30">
        <v>0</v>
      </c>
      <c r="CZ768" s="30">
        <v>0</v>
      </c>
      <c r="DA768" s="30">
        <v>0</v>
      </c>
      <c r="DB768" s="30">
        <v>0</v>
      </c>
      <c r="DC768" s="30">
        <v>0</v>
      </c>
      <c r="DD768" s="30">
        <v>0</v>
      </c>
      <c r="DE768" s="30">
        <v>0</v>
      </c>
      <c r="DF768" s="30">
        <v>0</v>
      </c>
      <c r="DG768" s="16">
        <f t="shared" si="64"/>
        <v>800</v>
      </c>
      <c r="DH768" s="16">
        <f t="shared" si="65"/>
        <v>2550</v>
      </c>
      <c r="DI768" s="17">
        <f t="shared" si="66"/>
        <v>3.1875</v>
      </c>
      <c r="DJ768" s="119" t="s">
        <v>659</v>
      </c>
      <c r="DK768" s="44" t="s">
        <v>659</v>
      </c>
    </row>
    <row r="769" spans="1:115">
      <c r="A769" s="32" t="str">
        <f t="shared" si="62"/>
        <v>Ausgrid--MASTER STATION ASSETS - Controlroom video wall</v>
      </c>
      <c r="B769" s="32" t="str">
        <f t="shared" si="63"/>
        <v>Ausgrid</v>
      </c>
      <c r="C769" s="397"/>
      <c r="D769" s="31"/>
      <c r="E769" s="30" t="s">
        <v>704</v>
      </c>
      <c r="F769" s="19">
        <v>10</v>
      </c>
      <c r="G769" s="19">
        <v>1</v>
      </c>
      <c r="H769" s="30">
        <v>0</v>
      </c>
      <c r="I769" s="30">
        <v>0</v>
      </c>
      <c r="J769" s="30">
        <v>0</v>
      </c>
      <c r="K769" s="30">
        <v>0</v>
      </c>
      <c r="L769" s="30">
        <v>1</v>
      </c>
      <c r="M769" s="30">
        <v>0</v>
      </c>
      <c r="N769" s="30">
        <v>0</v>
      </c>
      <c r="O769" s="30">
        <v>0</v>
      </c>
      <c r="P769" s="30">
        <v>0</v>
      </c>
      <c r="Q769" s="30">
        <v>0</v>
      </c>
      <c r="R769" s="30">
        <v>0</v>
      </c>
      <c r="S769" s="30">
        <v>0</v>
      </c>
      <c r="T769" s="30">
        <v>0</v>
      </c>
      <c r="U769" s="30">
        <v>0</v>
      </c>
      <c r="V769" s="30">
        <v>0</v>
      </c>
      <c r="W769" s="30">
        <v>0</v>
      </c>
      <c r="X769" s="30">
        <v>0</v>
      </c>
      <c r="Y769" s="30">
        <v>0</v>
      </c>
      <c r="Z769" s="30">
        <v>0</v>
      </c>
      <c r="AA769" s="30">
        <v>0</v>
      </c>
      <c r="AB769" s="30">
        <v>0</v>
      </c>
      <c r="AC769" s="30">
        <v>0</v>
      </c>
      <c r="AD769" s="30">
        <v>0</v>
      </c>
      <c r="AE769" s="30">
        <v>0</v>
      </c>
      <c r="AF769" s="30">
        <v>0</v>
      </c>
      <c r="AG769" s="30">
        <v>0</v>
      </c>
      <c r="AH769" s="30">
        <v>0</v>
      </c>
      <c r="AI769" s="30">
        <v>0</v>
      </c>
      <c r="AJ769" s="30">
        <v>0</v>
      </c>
      <c r="AK769" s="30">
        <v>0</v>
      </c>
      <c r="AL769" s="30">
        <v>0</v>
      </c>
      <c r="AM769" s="30">
        <v>0</v>
      </c>
      <c r="AN769" s="30">
        <v>0</v>
      </c>
      <c r="AO769" s="30">
        <v>0</v>
      </c>
      <c r="AP769" s="30">
        <v>0</v>
      </c>
      <c r="AQ769" s="30">
        <v>0</v>
      </c>
      <c r="AR769" s="30">
        <v>0</v>
      </c>
      <c r="AS769" s="30">
        <v>0</v>
      </c>
      <c r="AT769" s="30">
        <v>0</v>
      </c>
      <c r="AU769" s="30">
        <v>0</v>
      </c>
      <c r="AV769" s="30">
        <v>0</v>
      </c>
      <c r="AW769" s="30">
        <v>0</v>
      </c>
      <c r="AX769" s="30">
        <v>0</v>
      </c>
      <c r="AY769" s="30">
        <v>0</v>
      </c>
      <c r="AZ769" s="30">
        <v>0</v>
      </c>
      <c r="BA769" s="30">
        <v>0</v>
      </c>
      <c r="BB769" s="30">
        <v>0</v>
      </c>
      <c r="BC769" s="30">
        <v>0</v>
      </c>
      <c r="BD769" s="30">
        <v>0</v>
      </c>
      <c r="BE769" s="30">
        <v>0</v>
      </c>
      <c r="BF769" s="30">
        <v>0</v>
      </c>
      <c r="BG769" s="30">
        <v>0</v>
      </c>
      <c r="BH769" s="30">
        <v>0</v>
      </c>
      <c r="BI769" s="30">
        <v>0</v>
      </c>
      <c r="BJ769" s="30">
        <v>0</v>
      </c>
      <c r="BK769" s="30">
        <v>0</v>
      </c>
      <c r="BL769" s="30">
        <v>0</v>
      </c>
      <c r="BM769" s="30">
        <v>0</v>
      </c>
      <c r="BN769" s="30">
        <v>0</v>
      </c>
      <c r="BO769" s="30">
        <v>0</v>
      </c>
      <c r="BP769" s="30">
        <v>0</v>
      </c>
      <c r="BQ769" s="30">
        <v>0</v>
      </c>
      <c r="BR769" s="30">
        <v>0</v>
      </c>
      <c r="BS769" s="30">
        <v>0</v>
      </c>
      <c r="BT769" s="30">
        <v>0</v>
      </c>
      <c r="BU769" s="30">
        <v>0</v>
      </c>
      <c r="BV769" s="30">
        <v>0</v>
      </c>
      <c r="BW769" s="30">
        <v>0</v>
      </c>
      <c r="BX769" s="30">
        <v>0</v>
      </c>
      <c r="BY769" s="30">
        <v>0</v>
      </c>
      <c r="BZ769" s="30">
        <v>0</v>
      </c>
      <c r="CA769" s="30">
        <v>0</v>
      </c>
      <c r="CB769" s="30">
        <v>0</v>
      </c>
      <c r="CC769" s="30">
        <v>0</v>
      </c>
      <c r="CD769" s="30">
        <v>0</v>
      </c>
      <c r="CE769" s="30">
        <v>0</v>
      </c>
      <c r="CF769" s="30">
        <v>0</v>
      </c>
      <c r="CG769" s="30">
        <v>0</v>
      </c>
      <c r="CH769" s="30">
        <v>0</v>
      </c>
      <c r="CI769" s="30">
        <v>0</v>
      </c>
      <c r="CJ769" s="30">
        <v>0</v>
      </c>
      <c r="CK769" s="30">
        <v>0</v>
      </c>
      <c r="CL769" s="30">
        <v>0</v>
      </c>
      <c r="CM769" s="30">
        <v>0</v>
      </c>
      <c r="CN769" s="30">
        <v>0</v>
      </c>
      <c r="CO769" s="30">
        <v>0</v>
      </c>
      <c r="CP769" s="30">
        <v>0</v>
      </c>
      <c r="CQ769" s="30">
        <v>0</v>
      </c>
      <c r="CR769" s="30">
        <v>0</v>
      </c>
      <c r="CS769" s="30">
        <v>0</v>
      </c>
      <c r="CT769" s="30">
        <v>0</v>
      </c>
      <c r="CU769" s="30">
        <v>0</v>
      </c>
      <c r="CV769" s="30">
        <v>0</v>
      </c>
      <c r="CW769" s="30">
        <v>0</v>
      </c>
      <c r="CX769" s="30">
        <v>0</v>
      </c>
      <c r="CY769" s="30">
        <v>0</v>
      </c>
      <c r="CZ769" s="30">
        <v>0</v>
      </c>
      <c r="DA769" s="30">
        <v>0</v>
      </c>
      <c r="DB769" s="30">
        <v>0</v>
      </c>
      <c r="DC769" s="30">
        <v>0</v>
      </c>
      <c r="DD769" s="30">
        <v>0</v>
      </c>
      <c r="DE769" s="30">
        <v>0</v>
      </c>
      <c r="DF769" s="30">
        <v>0</v>
      </c>
      <c r="DG769" s="16">
        <f t="shared" si="64"/>
        <v>1</v>
      </c>
      <c r="DH769" s="16">
        <f t="shared" si="65"/>
        <v>5</v>
      </c>
      <c r="DI769" s="17">
        <f t="shared" si="66"/>
        <v>5</v>
      </c>
      <c r="DJ769" s="119" t="s">
        <v>659</v>
      </c>
      <c r="DK769" s="44" t="s">
        <v>659</v>
      </c>
    </row>
    <row r="770" spans="1:115">
      <c r="A770" s="32" t="str">
        <f t="shared" si="62"/>
        <v>Ausgrid--MASTER STATION ASSETS - DNMS system (complete application)</v>
      </c>
      <c r="B770" s="32" t="str">
        <f t="shared" si="63"/>
        <v>Ausgrid</v>
      </c>
      <c r="C770" s="397"/>
      <c r="D770" s="31"/>
      <c r="E770" s="30" t="s">
        <v>705</v>
      </c>
      <c r="F770" s="19">
        <v>20</v>
      </c>
      <c r="G770" s="19">
        <v>3</v>
      </c>
      <c r="H770" s="30">
        <v>0</v>
      </c>
      <c r="I770" s="30">
        <v>0</v>
      </c>
      <c r="J770" s="30">
        <v>0</v>
      </c>
      <c r="K770" s="30">
        <v>0</v>
      </c>
      <c r="L770" s="30">
        <v>0</v>
      </c>
      <c r="M770" s="30">
        <v>0</v>
      </c>
      <c r="N770" s="30">
        <v>1</v>
      </c>
      <c r="O770" s="30">
        <v>0</v>
      </c>
      <c r="P770" s="30">
        <v>0</v>
      </c>
      <c r="Q770" s="30">
        <v>0</v>
      </c>
      <c r="R770" s="30">
        <v>0</v>
      </c>
      <c r="S770" s="30">
        <v>0</v>
      </c>
      <c r="T770" s="30">
        <v>0</v>
      </c>
      <c r="U770" s="30">
        <v>0</v>
      </c>
      <c r="V770" s="30">
        <v>0</v>
      </c>
      <c r="W770" s="30">
        <v>0</v>
      </c>
      <c r="X770" s="30">
        <v>0</v>
      </c>
      <c r="Y770" s="30">
        <v>0</v>
      </c>
      <c r="Z770" s="30">
        <v>0</v>
      </c>
      <c r="AA770" s="30">
        <v>0</v>
      </c>
      <c r="AB770" s="30">
        <v>0</v>
      </c>
      <c r="AC770" s="30">
        <v>0</v>
      </c>
      <c r="AD770" s="30">
        <v>0</v>
      </c>
      <c r="AE770" s="30">
        <v>0</v>
      </c>
      <c r="AF770" s="30">
        <v>0</v>
      </c>
      <c r="AG770" s="30">
        <v>0</v>
      </c>
      <c r="AH770" s="30">
        <v>0</v>
      </c>
      <c r="AI770" s="30">
        <v>0</v>
      </c>
      <c r="AJ770" s="30">
        <v>0</v>
      </c>
      <c r="AK770" s="30">
        <v>0</v>
      </c>
      <c r="AL770" s="30">
        <v>0</v>
      </c>
      <c r="AM770" s="30">
        <v>0</v>
      </c>
      <c r="AN770" s="30">
        <v>0</v>
      </c>
      <c r="AO770" s="30">
        <v>0</v>
      </c>
      <c r="AP770" s="30">
        <v>0</v>
      </c>
      <c r="AQ770" s="30">
        <v>0</v>
      </c>
      <c r="AR770" s="30">
        <v>0</v>
      </c>
      <c r="AS770" s="30">
        <v>0</v>
      </c>
      <c r="AT770" s="30">
        <v>0</v>
      </c>
      <c r="AU770" s="30">
        <v>0</v>
      </c>
      <c r="AV770" s="30">
        <v>0</v>
      </c>
      <c r="AW770" s="30">
        <v>0</v>
      </c>
      <c r="AX770" s="30">
        <v>0</v>
      </c>
      <c r="AY770" s="30">
        <v>0</v>
      </c>
      <c r="AZ770" s="30">
        <v>0</v>
      </c>
      <c r="BA770" s="30">
        <v>0</v>
      </c>
      <c r="BB770" s="30">
        <v>0</v>
      </c>
      <c r="BC770" s="30">
        <v>0</v>
      </c>
      <c r="BD770" s="30">
        <v>0</v>
      </c>
      <c r="BE770" s="30">
        <v>0</v>
      </c>
      <c r="BF770" s="30">
        <v>0</v>
      </c>
      <c r="BG770" s="30">
        <v>0</v>
      </c>
      <c r="BH770" s="30">
        <v>0</v>
      </c>
      <c r="BI770" s="30">
        <v>0</v>
      </c>
      <c r="BJ770" s="30">
        <v>0</v>
      </c>
      <c r="BK770" s="30">
        <v>0</v>
      </c>
      <c r="BL770" s="30">
        <v>0</v>
      </c>
      <c r="BM770" s="30">
        <v>0</v>
      </c>
      <c r="BN770" s="30">
        <v>0</v>
      </c>
      <c r="BO770" s="30">
        <v>0</v>
      </c>
      <c r="BP770" s="30">
        <v>0</v>
      </c>
      <c r="BQ770" s="30">
        <v>0</v>
      </c>
      <c r="BR770" s="30">
        <v>0</v>
      </c>
      <c r="BS770" s="30">
        <v>0</v>
      </c>
      <c r="BT770" s="30">
        <v>0</v>
      </c>
      <c r="BU770" s="30">
        <v>0</v>
      </c>
      <c r="BV770" s="30">
        <v>0</v>
      </c>
      <c r="BW770" s="30">
        <v>0</v>
      </c>
      <c r="BX770" s="30">
        <v>0</v>
      </c>
      <c r="BY770" s="30">
        <v>0</v>
      </c>
      <c r="BZ770" s="30">
        <v>0</v>
      </c>
      <c r="CA770" s="30">
        <v>0</v>
      </c>
      <c r="CB770" s="30">
        <v>0</v>
      </c>
      <c r="CC770" s="30">
        <v>0</v>
      </c>
      <c r="CD770" s="30">
        <v>0</v>
      </c>
      <c r="CE770" s="30">
        <v>0</v>
      </c>
      <c r="CF770" s="30">
        <v>0</v>
      </c>
      <c r="CG770" s="30">
        <v>0</v>
      </c>
      <c r="CH770" s="30">
        <v>0</v>
      </c>
      <c r="CI770" s="30">
        <v>0</v>
      </c>
      <c r="CJ770" s="30">
        <v>0</v>
      </c>
      <c r="CK770" s="30">
        <v>0</v>
      </c>
      <c r="CL770" s="30">
        <v>0</v>
      </c>
      <c r="CM770" s="30">
        <v>0</v>
      </c>
      <c r="CN770" s="30">
        <v>0</v>
      </c>
      <c r="CO770" s="30">
        <v>0</v>
      </c>
      <c r="CP770" s="30">
        <v>0</v>
      </c>
      <c r="CQ770" s="30">
        <v>0</v>
      </c>
      <c r="CR770" s="30">
        <v>0</v>
      </c>
      <c r="CS770" s="30">
        <v>0</v>
      </c>
      <c r="CT770" s="30">
        <v>0</v>
      </c>
      <c r="CU770" s="30">
        <v>0</v>
      </c>
      <c r="CV770" s="30">
        <v>0</v>
      </c>
      <c r="CW770" s="30">
        <v>0</v>
      </c>
      <c r="CX770" s="30">
        <v>0</v>
      </c>
      <c r="CY770" s="30">
        <v>0</v>
      </c>
      <c r="CZ770" s="30">
        <v>0</v>
      </c>
      <c r="DA770" s="30">
        <v>0</v>
      </c>
      <c r="DB770" s="30">
        <v>0</v>
      </c>
      <c r="DC770" s="30">
        <v>0</v>
      </c>
      <c r="DD770" s="30">
        <v>0</v>
      </c>
      <c r="DE770" s="30">
        <v>0</v>
      </c>
      <c r="DF770" s="30">
        <v>0</v>
      </c>
      <c r="DG770" s="16">
        <f t="shared" si="64"/>
        <v>1</v>
      </c>
      <c r="DH770" s="16">
        <f t="shared" si="65"/>
        <v>7</v>
      </c>
      <c r="DI770" s="17">
        <f t="shared" si="66"/>
        <v>7</v>
      </c>
      <c r="DJ770" s="119" t="s">
        <v>659</v>
      </c>
      <c r="DK770" s="44" t="s">
        <v>659</v>
      </c>
    </row>
    <row r="771" spans="1:115">
      <c r="A771" s="32" t="str">
        <f t="shared" si="62"/>
        <v>Ausgrid--MASTER STATION ASSETS - Master station servers</v>
      </c>
      <c r="B771" s="32" t="str">
        <f t="shared" si="63"/>
        <v>Ausgrid</v>
      </c>
      <c r="C771" s="397"/>
      <c r="D771" s="31"/>
      <c r="E771" s="30" t="s">
        <v>706</v>
      </c>
      <c r="F771" s="19">
        <v>4</v>
      </c>
      <c r="G771" s="19">
        <v>1</v>
      </c>
      <c r="H771" s="30">
        <v>0</v>
      </c>
      <c r="I771" s="30">
        <v>0</v>
      </c>
      <c r="J771" s="30">
        <v>0</v>
      </c>
      <c r="K771" s="30">
        <v>0</v>
      </c>
      <c r="L771" s="30">
        <v>37</v>
      </c>
      <c r="M771" s="30">
        <v>0</v>
      </c>
      <c r="N771" s="30">
        <v>0</v>
      </c>
      <c r="O771" s="30">
        <v>0</v>
      </c>
      <c r="P771" s="30">
        <v>0</v>
      </c>
      <c r="Q771" s="30">
        <v>0</v>
      </c>
      <c r="R771" s="30">
        <v>0</v>
      </c>
      <c r="S771" s="30">
        <v>0</v>
      </c>
      <c r="T771" s="30">
        <v>0</v>
      </c>
      <c r="U771" s="30">
        <v>0</v>
      </c>
      <c r="V771" s="30">
        <v>0</v>
      </c>
      <c r="W771" s="30">
        <v>0</v>
      </c>
      <c r="X771" s="30">
        <v>0</v>
      </c>
      <c r="Y771" s="30">
        <v>0</v>
      </c>
      <c r="Z771" s="30">
        <v>0</v>
      </c>
      <c r="AA771" s="30">
        <v>0</v>
      </c>
      <c r="AB771" s="30">
        <v>0</v>
      </c>
      <c r="AC771" s="30">
        <v>0</v>
      </c>
      <c r="AD771" s="30">
        <v>0</v>
      </c>
      <c r="AE771" s="30">
        <v>0</v>
      </c>
      <c r="AF771" s="30">
        <v>0</v>
      </c>
      <c r="AG771" s="30">
        <v>0</v>
      </c>
      <c r="AH771" s="30">
        <v>0</v>
      </c>
      <c r="AI771" s="30">
        <v>0</v>
      </c>
      <c r="AJ771" s="30">
        <v>0</v>
      </c>
      <c r="AK771" s="30">
        <v>0</v>
      </c>
      <c r="AL771" s="30">
        <v>0</v>
      </c>
      <c r="AM771" s="30">
        <v>0</v>
      </c>
      <c r="AN771" s="30">
        <v>0</v>
      </c>
      <c r="AO771" s="30">
        <v>0</v>
      </c>
      <c r="AP771" s="30">
        <v>0</v>
      </c>
      <c r="AQ771" s="30">
        <v>0</v>
      </c>
      <c r="AR771" s="30">
        <v>0</v>
      </c>
      <c r="AS771" s="30">
        <v>0</v>
      </c>
      <c r="AT771" s="30">
        <v>0</v>
      </c>
      <c r="AU771" s="30">
        <v>0</v>
      </c>
      <c r="AV771" s="30">
        <v>0</v>
      </c>
      <c r="AW771" s="30">
        <v>0</v>
      </c>
      <c r="AX771" s="30">
        <v>0</v>
      </c>
      <c r="AY771" s="30">
        <v>0</v>
      </c>
      <c r="AZ771" s="30">
        <v>0</v>
      </c>
      <c r="BA771" s="30">
        <v>0</v>
      </c>
      <c r="BB771" s="30">
        <v>0</v>
      </c>
      <c r="BC771" s="30">
        <v>0</v>
      </c>
      <c r="BD771" s="30">
        <v>0</v>
      </c>
      <c r="BE771" s="30">
        <v>0</v>
      </c>
      <c r="BF771" s="30">
        <v>0</v>
      </c>
      <c r="BG771" s="30">
        <v>0</v>
      </c>
      <c r="BH771" s="30">
        <v>0</v>
      </c>
      <c r="BI771" s="30">
        <v>0</v>
      </c>
      <c r="BJ771" s="30">
        <v>0</v>
      </c>
      <c r="BK771" s="30">
        <v>0</v>
      </c>
      <c r="BL771" s="30">
        <v>0</v>
      </c>
      <c r="BM771" s="30">
        <v>0</v>
      </c>
      <c r="BN771" s="30">
        <v>0</v>
      </c>
      <c r="BO771" s="30">
        <v>0</v>
      </c>
      <c r="BP771" s="30">
        <v>0</v>
      </c>
      <c r="BQ771" s="30">
        <v>0</v>
      </c>
      <c r="BR771" s="30">
        <v>0</v>
      </c>
      <c r="BS771" s="30">
        <v>0</v>
      </c>
      <c r="BT771" s="30">
        <v>0</v>
      </c>
      <c r="BU771" s="30">
        <v>0</v>
      </c>
      <c r="BV771" s="30">
        <v>0</v>
      </c>
      <c r="BW771" s="30">
        <v>0</v>
      </c>
      <c r="BX771" s="30">
        <v>0</v>
      </c>
      <c r="BY771" s="30">
        <v>0</v>
      </c>
      <c r="BZ771" s="30">
        <v>0</v>
      </c>
      <c r="CA771" s="30">
        <v>0</v>
      </c>
      <c r="CB771" s="30">
        <v>0</v>
      </c>
      <c r="CC771" s="30">
        <v>0</v>
      </c>
      <c r="CD771" s="30">
        <v>0</v>
      </c>
      <c r="CE771" s="30">
        <v>0</v>
      </c>
      <c r="CF771" s="30">
        <v>0</v>
      </c>
      <c r="CG771" s="30">
        <v>0</v>
      </c>
      <c r="CH771" s="30">
        <v>0</v>
      </c>
      <c r="CI771" s="30">
        <v>0</v>
      </c>
      <c r="CJ771" s="30">
        <v>0</v>
      </c>
      <c r="CK771" s="30">
        <v>0</v>
      </c>
      <c r="CL771" s="30">
        <v>0</v>
      </c>
      <c r="CM771" s="30">
        <v>0</v>
      </c>
      <c r="CN771" s="30">
        <v>0</v>
      </c>
      <c r="CO771" s="30">
        <v>0</v>
      </c>
      <c r="CP771" s="30">
        <v>0</v>
      </c>
      <c r="CQ771" s="30">
        <v>0</v>
      </c>
      <c r="CR771" s="30">
        <v>0</v>
      </c>
      <c r="CS771" s="30">
        <v>0</v>
      </c>
      <c r="CT771" s="30">
        <v>0</v>
      </c>
      <c r="CU771" s="30">
        <v>0</v>
      </c>
      <c r="CV771" s="30">
        <v>0</v>
      </c>
      <c r="CW771" s="30">
        <v>0</v>
      </c>
      <c r="CX771" s="30">
        <v>0</v>
      </c>
      <c r="CY771" s="30">
        <v>0</v>
      </c>
      <c r="CZ771" s="30">
        <v>0</v>
      </c>
      <c r="DA771" s="30">
        <v>0</v>
      </c>
      <c r="DB771" s="30">
        <v>0</v>
      </c>
      <c r="DC771" s="30">
        <v>0</v>
      </c>
      <c r="DD771" s="30">
        <v>0</v>
      </c>
      <c r="DE771" s="30">
        <v>0</v>
      </c>
      <c r="DF771" s="30">
        <v>0</v>
      </c>
      <c r="DG771" s="16">
        <f t="shared" si="64"/>
        <v>37</v>
      </c>
      <c r="DH771" s="16">
        <f t="shared" si="65"/>
        <v>185</v>
      </c>
      <c r="DI771" s="17">
        <f t="shared" si="66"/>
        <v>5</v>
      </c>
      <c r="DJ771" s="119" t="s">
        <v>659</v>
      </c>
      <c r="DK771" s="44" t="s">
        <v>659</v>
      </c>
    </row>
    <row r="772" spans="1:115">
      <c r="A772" s="32" t="str">
        <f t="shared" si="62"/>
        <v>Ausgrid--MASTER STATION ASSETS - Master station DNMS workstations</v>
      </c>
      <c r="B772" s="32" t="str">
        <f t="shared" si="63"/>
        <v>Ausgrid</v>
      </c>
      <c r="C772" s="397"/>
      <c r="D772" s="31"/>
      <c r="E772" s="30" t="s">
        <v>707</v>
      </c>
      <c r="F772" s="19">
        <v>5</v>
      </c>
      <c r="G772" s="19">
        <v>1</v>
      </c>
      <c r="H772" s="30">
        <v>0</v>
      </c>
      <c r="I772" s="30">
        <v>0</v>
      </c>
      <c r="J772" s="30">
        <v>0</v>
      </c>
      <c r="K772" s="30">
        <v>0</v>
      </c>
      <c r="L772" s="30">
        <v>50</v>
      </c>
      <c r="M772" s="30">
        <v>0</v>
      </c>
      <c r="N772" s="30">
        <v>0</v>
      </c>
      <c r="O772" s="30">
        <v>0</v>
      </c>
      <c r="P772" s="30">
        <v>0</v>
      </c>
      <c r="Q772" s="30">
        <v>0</v>
      </c>
      <c r="R772" s="30">
        <v>0</v>
      </c>
      <c r="S772" s="30">
        <v>0</v>
      </c>
      <c r="T772" s="30">
        <v>0</v>
      </c>
      <c r="U772" s="30">
        <v>0</v>
      </c>
      <c r="V772" s="30">
        <v>0</v>
      </c>
      <c r="W772" s="30">
        <v>0</v>
      </c>
      <c r="X772" s="30">
        <v>0</v>
      </c>
      <c r="Y772" s="30">
        <v>0</v>
      </c>
      <c r="Z772" s="30">
        <v>0</v>
      </c>
      <c r="AA772" s="30">
        <v>0</v>
      </c>
      <c r="AB772" s="30">
        <v>0</v>
      </c>
      <c r="AC772" s="30">
        <v>0</v>
      </c>
      <c r="AD772" s="30">
        <v>0</v>
      </c>
      <c r="AE772" s="30">
        <v>0</v>
      </c>
      <c r="AF772" s="30">
        <v>0</v>
      </c>
      <c r="AG772" s="30">
        <v>0</v>
      </c>
      <c r="AH772" s="30">
        <v>0</v>
      </c>
      <c r="AI772" s="30">
        <v>0</v>
      </c>
      <c r="AJ772" s="30">
        <v>0</v>
      </c>
      <c r="AK772" s="30">
        <v>0</v>
      </c>
      <c r="AL772" s="30">
        <v>0</v>
      </c>
      <c r="AM772" s="30">
        <v>0</v>
      </c>
      <c r="AN772" s="30">
        <v>0</v>
      </c>
      <c r="AO772" s="30">
        <v>0</v>
      </c>
      <c r="AP772" s="30">
        <v>0</v>
      </c>
      <c r="AQ772" s="30">
        <v>0</v>
      </c>
      <c r="AR772" s="30">
        <v>0</v>
      </c>
      <c r="AS772" s="30">
        <v>0</v>
      </c>
      <c r="AT772" s="30">
        <v>0</v>
      </c>
      <c r="AU772" s="30">
        <v>0</v>
      </c>
      <c r="AV772" s="30">
        <v>0</v>
      </c>
      <c r="AW772" s="30">
        <v>0</v>
      </c>
      <c r="AX772" s="30">
        <v>0</v>
      </c>
      <c r="AY772" s="30">
        <v>0</v>
      </c>
      <c r="AZ772" s="30">
        <v>0</v>
      </c>
      <c r="BA772" s="30">
        <v>0</v>
      </c>
      <c r="BB772" s="30">
        <v>0</v>
      </c>
      <c r="BC772" s="30">
        <v>0</v>
      </c>
      <c r="BD772" s="30">
        <v>0</v>
      </c>
      <c r="BE772" s="30">
        <v>0</v>
      </c>
      <c r="BF772" s="30">
        <v>0</v>
      </c>
      <c r="BG772" s="30">
        <v>0</v>
      </c>
      <c r="BH772" s="30">
        <v>0</v>
      </c>
      <c r="BI772" s="30">
        <v>0</v>
      </c>
      <c r="BJ772" s="30">
        <v>0</v>
      </c>
      <c r="BK772" s="30">
        <v>0</v>
      </c>
      <c r="BL772" s="30">
        <v>0</v>
      </c>
      <c r="BM772" s="30">
        <v>0</v>
      </c>
      <c r="BN772" s="30">
        <v>0</v>
      </c>
      <c r="BO772" s="30">
        <v>0</v>
      </c>
      <c r="BP772" s="30">
        <v>0</v>
      </c>
      <c r="BQ772" s="30">
        <v>0</v>
      </c>
      <c r="BR772" s="30">
        <v>0</v>
      </c>
      <c r="BS772" s="30">
        <v>0</v>
      </c>
      <c r="BT772" s="30">
        <v>0</v>
      </c>
      <c r="BU772" s="30">
        <v>0</v>
      </c>
      <c r="BV772" s="30">
        <v>0</v>
      </c>
      <c r="BW772" s="30">
        <v>0</v>
      </c>
      <c r="BX772" s="30">
        <v>0</v>
      </c>
      <c r="BY772" s="30">
        <v>0</v>
      </c>
      <c r="BZ772" s="30">
        <v>0</v>
      </c>
      <c r="CA772" s="30">
        <v>0</v>
      </c>
      <c r="CB772" s="30">
        <v>0</v>
      </c>
      <c r="CC772" s="30">
        <v>0</v>
      </c>
      <c r="CD772" s="30">
        <v>0</v>
      </c>
      <c r="CE772" s="30">
        <v>0</v>
      </c>
      <c r="CF772" s="30">
        <v>0</v>
      </c>
      <c r="CG772" s="30">
        <v>0</v>
      </c>
      <c r="CH772" s="30">
        <v>0</v>
      </c>
      <c r="CI772" s="30">
        <v>0</v>
      </c>
      <c r="CJ772" s="30">
        <v>0</v>
      </c>
      <c r="CK772" s="30">
        <v>0</v>
      </c>
      <c r="CL772" s="30">
        <v>0</v>
      </c>
      <c r="CM772" s="30">
        <v>0</v>
      </c>
      <c r="CN772" s="30">
        <v>0</v>
      </c>
      <c r="CO772" s="30">
        <v>0</v>
      </c>
      <c r="CP772" s="30">
        <v>0</v>
      </c>
      <c r="CQ772" s="30">
        <v>0</v>
      </c>
      <c r="CR772" s="30">
        <v>0</v>
      </c>
      <c r="CS772" s="30">
        <v>0</v>
      </c>
      <c r="CT772" s="30">
        <v>0</v>
      </c>
      <c r="CU772" s="30">
        <v>0</v>
      </c>
      <c r="CV772" s="30">
        <v>0</v>
      </c>
      <c r="CW772" s="30">
        <v>0</v>
      </c>
      <c r="CX772" s="30">
        <v>0</v>
      </c>
      <c r="CY772" s="30">
        <v>0</v>
      </c>
      <c r="CZ772" s="30">
        <v>0</v>
      </c>
      <c r="DA772" s="30">
        <v>0</v>
      </c>
      <c r="DB772" s="30">
        <v>0</v>
      </c>
      <c r="DC772" s="30">
        <v>0</v>
      </c>
      <c r="DD772" s="30">
        <v>0</v>
      </c>
      <c r="DE772" s="30">
        <v>0</v>
      </c>
      <c r="DF772" s="30">
        <v>0</v>
      </c>
      <c r="DG772" s="16">
        <f t="shared" si="64"/>
        <v>50</v>
      </c>
      <c r="DH772" s="16">
        <f t="shared" si="65"/>
        <v>250</v>
      </c>
      <c r="DI772" s="17">
        <f t="shared" si="66"/>
        <v>5</v>
      </c>
      <c r="DJ772" s="119" t="s">
        <v>659</v>
      </c>
      <c r="DK772" s="44" t="s">
        <v>659</v>
      </c>
    </row>
    <row r="773" spans="1:115">
      <c r="A773" s="32" t="str">
        <f t="shared" si="62"/>
        <v>Ausgrid--MASTER STATION ASSETS - Master station 30" monitors</v>
      </c>
      <c r="B773" s="32" t="str">
        <f t="shared" si="63"/>
        <v>Ausgrid</v>
      </c>
      <c r="C773" s="397"/>
      <c r="D773" s="31"/>
      <c r="E773" s="30" t="s">
        <v>708</v>
      </c>
      <c r="F773" s="19">
        <v>5</v>
      </c>
      <c r="G773" s="19">
        <v>1</v>
      </c>
      <c r="H773" s="30">
        <v>0</v>
      </c>
      <c r="I773" s="30">
        <v>0</v>
      </c>
      <c r="J773" s="30">
        <v>0</v>
      </c>
      <c r="K773" s="30">
        <v>0</v>
      </c>
      <c r="L773" s="30">
        <v>85</v>
      </c>
      <c r="M773" s="30">
        <v>0</v>
      </c>
      <c r="N773" s="30">
        <v>0</v>
      </c>
      <c r="O773" s="30">
        <v>0</v>
      </c>
      <c r="P773" s="30">
        <v>0</v>
      </c>
      <c r="Q773" s="30">
        <v>0</v>
      </c>
      <c r="R773" s="30">
        <v>0</v>
      </c>
      <c r="S773" s="30">
        <v>0</v>
      </c>
      <c r="T773" s="30">
        <v>0</v>
      </c>
      <c r="U773" s="30">
        <v>0</v>
      </c>
      <c r="V773" s="30">
        <v>0</v>
      </c>
      <c r="W773" s="30">
        <v>0</v>
      </c>
      <c r="X773" s="30">
        <v>0</v>
      </c>
      <c r="Y773" s="30">
        <v>0</v>
      </c>
      <c r="Z773" s="30">
        <v>0</v>
      </c>
      <c r="AA773" s="30">
        <v>0</v>
      </c>
      <c r="AB773" s="30">
        <v>0</v>
      </c>
      <c r="AC773" s="30">
        <v>0</v>
      </c>
      <c r="AD773" s="30">
        <v>0</v>
      </c>
      <c r="AE773" s="30">
        <v>0</v>
      </c>
      <c r="AF773" s="30">
        <v>0</v>
      </c>
      <c r="AG773" s="30">
        <v>0</v>
      </c>
      <c r="AH773" s="30">
        <v>0</v>
      </c>
      <c r="AI773" s="30">
        <v>0</v>
      </c>
      <c r="AJ773" s="30">
        <v>0</v>
      </c>
      <c r="AK773" s="30">
        <v>0</v>
      </c>
      <c r="AL773" s="30">
        <v>0</v>
      </c>
      <c r="AM773" s="30">
        <v>0</v>
      </c>
      <c r="AN773" s="30">
        <v>0</v>
      </c>
      <c r="AO773" s="30">
        <v>0</v>
      </c>
      <c r="AP773" s="30">
        <v>0</v>
      </c>
      <c r="AQ773" s="30">
        <v>0</v>
      </c>
      <c r="AR773" s="30">
        <v>0</v>
      </c>
      <c r="AS773" s="30">
        <v>0</v>
      </c>
      <c r="AT773" s="30">
        <v>0</v>
      </c>
      <c r="AU773" s="30">
        <v>0</v>
      </c>
      <c r="AV773" s="30">
        <v>0</v>
      </c>
      <c r="AW773" s="30">
        <v>0</v>
      </c>
      <c r="AX773" s="30">
        <v>0</v>
      </c>
      <c r="AY773" s="30">
        <v>0</v>
      </c>
      <c r="AZ773" s="30">
        <v>0</v>
      </c>
      <c r="BA773" s="30">
        <v>0</v>
      </c>
      <c r="BB773" s="30">
        <v>0</v>
      </c>
      <c r="BC773" s="30">
        <v>0</v>
      </c>
      <c r="BD773" s="30">
        <v>0</v>
      </c>
      <c r="BE773" s="30">
        <v>0</v>
      </c>
      <c r="BF773" s="30">
        <v>0</v>
      </c>
      <c r="BG773" s="30">
        <v>0</v>
      </c>
      <c r="BH773" s="30">
        <v>0</v>
      </c>
      <c r="BI773" s="30">
        <v>0</v>
      </c>
      <c r="BJ773" s="30">
        <v>0</v>
      </c>
      <c r="BK773" s="30">
        <v>0</v>
      </c>
      <c r="BL773" s="30">
        <v>0</v>
      </c>
      <c r="BM773" s="30">
        <v>0</v>
      </c>
      <c r="BN773" s="30">
        <v>0</v>
      </c>
      <c r="BO773" s="30">
        <v>0</v>
      </c>
      <c r="BP773" s="30">
        <v>0</v>
      </c>
      <c r="BQ773" s="30">
        <v>0</v>
      </c>
      <c r="BR773" s="30">
        <v>0</v>
      </c>
      <c r="BS773" s="30">
        <v>0</v>
      </c>
      <c r="BT773" s="30">
        <v>0</v>
      </c>
      <c r="BU773" s="30">
        <v>0</v>
      </c>
      <c r="BV773" s="30">
        <v>0</v>
      </c>
      <c r="BW773" s="30">
        <v>0</v>
      </c>
      <c r="BX773" s="30">
        <v>0</v>
      </c>
      <c r="BY773" s="30">
        <v>0</v>
      </c>
      <c r="BZ773" s="30">
        <v>0</v>
      </c>
      <c r="CA773" s="30">
        <v>0</v>
      </c>
      <c r="CB773" s="30">
        <v>0</v>
      </c>
      <c r="CC773" s="30">
        <v>0</v>
      </c>
      <c r="CD773" s="30">
        <v>0</v>
      </c>
      <c r="CE773" s="30">
        <v>0</v>
      </c>
      <c r="CF773" s="30">
        <v>0</v>
      </c>
      <c r="CG773" s="30">
        <v>0</v>
      </c>
      <c r="CH773" s="30">
        <v>0</v>
      </c>
      <c r="CI773" s="30">
        <v>0</v>
      </c>
      <c r="CJ773" s="30">
        <v>0</v>
      </c>
      <c r="CK773" s="30">
        <v>0</v>
      </c>
      <c r="CL773" s="30">
        <v>0</v>
      </c>
      <c r="CM773" s="30">
        <v>0</v>
      </c>
      <c r="CN773" s="30">
        <v>0</v>
      </c>
      <c r="CO773" s="30">
        <v>0</v>
      </c>
      <c r="CP773" s="30">
        <v>0</v>
      </c>
      <c r="CQ773" s="30">
        <v>0</v>
      </c>
      <c r="CR773" s="30">
        <v>0</v>
      </c>
      <c r="CS773" s="30">
        <v>0</v>
      </c>
      <c r="CT773" s="30">
        <v>0</v>
      </c>
      <c r="CU773" s="30">
        <v>0</v>
      </c>
      <c r="CV773" s="30">
        <v>0</v>
      </c>
      <c r="CW773" s="30">
        <v>0</v>
      </c>
      <c r="CX773" s="30">
        <v>0</v>
      </c>
      <c r="CY773" s="30">
        <v>0</v>
      </c>
      <c r="CZ773" s="30">
        <v>0</v>
      </c>
      <c r="DA773" s="30">
        <v>0</v>
      </c>
      <c r="DB773" s="30">
        <v>0</v>
      </c>
      <c r="DC773" s="30">
        <v>0</v>
      </c>
      <c r="DD773" s="30">
        <v>0</v>
      </c>
      <c r="DE773" s="30">
        <v>0</v>
      </c>
      <c r="DF773" s="30">
        <v>0</v>
      </c>
      <c r="DG773" s="16">
        <f t="shared" si="64"/>
        <v>85</v>
      </c>
      <c r="DH773" s="16">
        <f t="shared" si="65"/>
        <v>425</v>
      </c>
      <c r="DI773" s="17">
        <f t="shared" si="66"/>
        <v>5</v>
      </c>
      <c r="DJ773" s="119" t="s">
        <v>659</v>
      </c>
      <c r="DK773" s="44" t="s">
        <v>659</v>
      </c>
    </row>
    <row r="774" spans="1:115">
      <c r="A774" s="32" t="str">
        <f t="shared" si="62"/>
        <v>Ausgrid--MASTER STATION ASSETS - Master station IP Network Cisco switches</v>
      </c>
      <c r="B774" s="32" t="str">
        <f t="shared" si="63"/>
        <v>Ausgrid</v>
      </c>
      <c r="C774" s="397"/>
      <c r="D774" s="31"/>
      <c r="E774" s="30" t="s">
        <v>709</v>
      </c>
      <c r="F774" s="19">
        <v>5</v>
      </c>
      <c r="G774" s="19">
        <v>1</v>
      </c>
      <c r="H774" s="30">
        <v>0</v>
      </c>
      <c r="I774" s="30">
        <v>0</v>
      </c>
      <c r="J774" s="30">
        <v>0</v>
      </c>
      <c r="K774" s="30">
        <v>0</v>
      </c>
      <c r="L774" s="30">
        <v>10</v>
      </c>
      <c r="M774" s="30">
        <v>0</v>
      </c>
      <c r="N774" s="30">
        <v>0</v>
      </c>
      <c r="O774" s="30">
        <v>0</v>
      </c>
      <c r="P774" s="30">
        <v>0</v>
      </c>
      <c r="Q774" s="30">
        <v>0</v>
      </c>
      <c r="R774" s="30">
        <v>0</v>
      </c>
      <c r="S774" s="30">
        <v>0</v>
      </c>
      <c r="T774" s="30">
        <v>0</v>
      </c>
      <c r="U774" s="30">
        <v>0</v>
      </c>
      <c r="V774" s="30">
        <v>0</v>
      </c>
      <c r="W774" s="30">
        <v>0</v>
      </c>
      <c r="X774" s="30">
        <v>0</v>
      </c>
      <c r="Y774" s="30">
        <v>0</v>
      </c>
      <c r="Z774" s="30">
        <v>0</v>
      </c>
      <c r="AA774" s="30">
        <v>0</v>
      </c>
      <c r="AB774" s="30">
        <v>0</v>
      </c>
      <c r="AC774" s="30">
        <v>0</v>
      </c>
      <c r="AD774" s="30">
        <v>0</v>
      </c>
      <c r="AE774" s="30">
        <v>0</v>
      </c>
      <c r="AF774" s="30">
        <v>0</v>
      </c>
      <c r="AG774" s="30">
        <v>0</v>
      </c>
      <c r="AH774" s="30">
        <v>0</v>
      </c>
      <c r="AI774" s="30">
        <v>0</v>
      </c>
      <c r="AJ774" s="30">
        <v>0</v>
      </c>
      <c r="AK774" s="30">
        <v>0</v>
      </c>
      <c r="AL774" s="30">
        <v>0</v>
      </c>
      <c r="AM774" s="30">
        <v>0</v>
      </c>
      <c r="AN774" s="30">
        <v>0</v>
      </c>
      <c r="AO774" s="30">
        <v>0</v>
      </c>
      <c r="AP774" s="30">
        <v>0</v>
      </c>
      <c r="AQ774" s="30">
        <v>0</v>
      </c>
      <c r="AR774" s="30">
        <v>0</v>
      </c>
      <c r="AS774" s="30">
        <v>0</v>
      </c>
      <c r="AT774" s="30">
        <v>0</v>
      </c>
      <c r="AU774" s="30">
        <v>0</v>
      </c>
      <c r="AV774" s="30">
        <v>0</v>
      </c>
      <c r="AW774" s="30">
        <v>0</v>
      </c>
      <c r="AX774" s="30">
        <v>0</v>
      </c>
      <c r="AY774" s="30">
        <v>0</v>
      </c>
      <c r="AZ774" s="30">
        <v>0</v>
      </c>
      <c r="BA774" s="30">
        <v>0</v>
      </c>
      <c r="BB774" s="30">
        <v>0</v>
      </c>
      <c r="BC774" s="30">
        <v>0</v>
      </c>
      <c r="BD774" s="30">
        <v>0</v>
      </c>
      <c r="BE774" s="30">
        <v>0</v>
      </c>
      <c r="BF774" s="30">
        <v>0</v>
      </c>
      <c r="BG774" s="30">
        <v>0</v>
      </c>
      <c r="BH774" s="30">
        <v>0</v>
      </c>
      <c r="BI774" s="30">
        <v>0</v>
      </c>
      <c r="BJ774" s="30">
        <v>0</v>
      </c>
      <c r="BK774" s="30">
        <v>0</v>
      </c>
      <c r="BL774" s="30">
        <v>0</v>
      </c>
      <c r="BM774" s="30">
        <v>0</v>
      </c>
      <c r="BN774" s="30">
        <v>0</v>
      </c>
      <c r="BO774" s="30">
        <v>0</v>
      </c>
      <c r="BP774" s="30">
        <v>0</v>
      </c>
      <c r="BQ774" s="30">
        <v>0</v>
      </c>
      <c r="BR774" s="30">
        <v>0</v>
      </c>
      <c r="BS774" s="30">
        <v>0</v>
      </c>
      <c r="BT774" s="30">
        <v>0</v>
      </c>
      <c r="BU774" s="30">
        <v>0</v>
      </c>
      <c r="BV774" s="30">
        <v>0</v>
      </c>
      <c r="BW774" s="30">
        <v>0</v>
      </c>
      <c r="BX774" s="30">
        <v>0</v>
      </c>
      <c r="BY774" s="30">
        <v>0</v>
      </c>
      <c r="BZ774" s="30">
        <v>0</v>
      </c>
      <c r="CA774" s="30">
        <v>0</v>
      </c>
      <c r="CB774" s="30">
        <v>0</v>
      </c>
      <c r="CC774" s="30">
        <v>0</v>
      </c>
      <c r="CD774" s="30">
        <v>0</v>
      </c>
      <c r="CE774" s="30">
        <v>0</v>
      </c>
      <c r="CF774" s="30">
        <v>0</v>
      </c>
      <c r="CG774" s="30">
        <v>0</v>
      </c>
      <c r="CH774" s="30">
        <v>0</v>
      </c>
      <c r="CI774" s="30">
        <v>0</v>
      </c>
      <c r="CJ774" s="30">
        <v>0</v>
      </c>
      <c r="CK774" s="30">
        <v>0</v>
      </c>
      <c r="CL774" s="30">
        <v>0</v>
      </c>
      <c r="CM774" s="30">
        <v>0</v>
      </c>
      <c r="CN774" s="30">
        <v>0</v>
      </c>
      <c r="CO774" s="30">
        <v>0</v>
      </c>
      <c r="CP774" s="30">
        <v>0</v>
      </c>
      <c r="CQ774" s="30">
        <v>0</v>
      </c>
      <c r="CR774" s="30">
        <v>0</v>
      </c>
      <c r="CS774" s="30">
        <v>0</v>
      </c>
      <c r="CT774" s="30">
        <v>0</v>
      </c>
      <c r="CU774" s="30">
        <v>0</v>
      </c>
      <c r="CV774" s="30">
        <v>0</v>
      </c>
      <c r="CW774" s="30">
        <v>0</v>
      </c>
      <c r="CX774" s="30">
        <v>0</v>
      </c>
      <c r="CY774" s="30">
        <v>0</v>
      </c>
      <c r="CZ774" s="30">
        <v>0</v>
      </c>
      <c r="DA774" s="30">
        <v>0</v>
      </c>
      <c r="DB774" s="30">
        <v>0</v>
      </c>
      <c r="DC774" s="30">
        <v>0</v>
      </c>
      <c r="DD774" s="30">
        <v>0</v>
      </c>
      <c r="DE774" s="30">
        <v>0</v>
      </c>
      <c r="DF774" s="30">
        <v>0</v>
      </c>
      <c r="DG774" s="16">
        <f t="shared" si="64"/>
        <v>10</v>
      </c>
      <c r="DH774" s="16">
        <f t="shared" si="65"/>
        <v>50</v>
      </c>
      <c r="DI774" s="17">
        <f t="shared" si="66"/>
        <v>5</v>
      </c>
      <c r="DJ774" s="119" t="s">
        <v>659</v>
      </c>
      <c r="DK774" s="44" t="s">
        <v>659</v>
      </c>
    </row>
    <row r="775" spans="1:115">
      <c r="A775" s="32" t="str">
        <f t="shared" si="62"/>
        <v>Ausgrid--MASTER STATION ASSETS - Master station IP Network routers</v>
      </c>
      <c r="B775" s="32" t="str">
        <f t="shared" si="63"/>
        <v>Ausgrid</v>
      </c>
      <c r="C775" s="397"/>
      <c r="D775" s="31"/>
      <c r="E775" s="30" t="s">
        <v>710</v>
      </c>
      <c r="F775" s="19">
        <v>5</v>
      </c>
      <c r="G775" s="19">
        <v>1</v>
      </c>
      <c r="H775" s="30">
        <v>0</v>
      </c>
      <c r="I775" s="30">
        <v>0</v>
      </c>
      <c r="J775" s="30">
        <v>0</v>
      </c>
      <c r="K775" s="30">
        <v>0</v>
      </c>
      <c r="L775" s="30">
        <v>8</v>
      </c>
      <c r="M775" s="30">
        <v>0</v>
      </c>
      <c r="N775" s="30">
        <v>0</v>
      </c>
      <c r="O775" s="30">
        <v>0</v>
      </c>
      <c r="P775" s="30">
        <v>0</v>
      </c>
      <c r="Q775" s="30">
        <v>0</v>
      </c>
      <c r="R775" s="30">
        <v>0</v>
      </c>
      <c r="S775" s="30">
        <v>0</v>
      </c>
      <c r="T775" s="30">
        <v>0</v>
      </c>
      <c r="U775" s="30">
        <v>0</v>
      </c>
      <c r="V775" s="30">
        <v>0</v>
      </c>
      <c r="W775" s="30">
        <v>0</v>
      </c>
      <c r="X775" s="30">
        <v>0</v>
      </c>
      <c r="Y775" s="30">
        <v>0</v>
      </c>
      <c r="Z775" s="30">
        <v>0</v>
      </c>
      <c r="AA775" s="30">
        <v>0</v>
      </c>
      <c r="AB775" s="30">
        <v>0</v>
      </c>
      <c r="AC775" s="30">
        <v>0</v>
      </c>
      <c r="AD775" s="30">
        <v>0</v>
      </c>
      <c r="AE775" s="30">
        <v>0</v>
      </c>
      <c r="AF775" s="30">
        <v>0</v>
      </c>
      <c r="AG775" s="30">
        <v>0</v>
      </c>
      <c r="AH775" s="30">
        <v>0</v>
      </c>
      <c r="AI775" s="30">
        <v>0</v>
      </c>
      <c r="AJ775" s="30">
        <v>0</v>
      </c>
      <c r="AK775" s="30">
        <v>0</v>
      </c>
      <c r="AL775" s="30">
        <v>0</v>
      </c>
      <c r="AM775" s="30">
        <v>0</v>
      </c>
      <c r="AN775" s="30">
        <v>0</v>
      </c>
      <c r="AO775" s="30">
        <v>0</v>
      </c>
      <c r="AP775" s="30">
        <v>0</v>
      </c>
      <c r="AQ775" s="30">
        <v>0</v>
      </c>
      <c r="AR775" s="30">
        <v>0</v>
      </c>
      <c r="AS775" s="30">
        <v>0</v>
      </c>
      <c r="AT775" s="30">
        <v>0</v>
      </c>
      <c r="AU775" s="30">
        <v>0</v>
      </c>
      <c r="AV775" s="30">
        <v>0</v>
      </c>
      <c r="AW775" s="30">
        <v>0</v>
      </c>
      <c r="AX775" s="30">
        <v>0</v>
      </c>
      <c r="AY775" s="30">
        <v>0</v>
      </c>
      <c r="AZ775" s="30">
        <v>0</v>
      </c>
      <c r="BA775" s="30">
        <v>0</v>
      </c>
      <c r="BB775" s="30">
        <v>0</v>
      </c>
      <c r="BC775" s="30">
        <v>0</v>
      </c>
      <c r="BD775" s="30">
        <v>0</v>
      </c>
      <c r="BE775" s="30">
        <v>0</v>
      </c>
      <c r="BF775" s="30">
        <v>0</v>
      </c>
      <c r="BG775" s="30">
        <v>0</v>
      </c>
      <c r="BH775" s="30">
        <v>0</v>
      </c>
      <c r="BI775" s="30">
        <v>0</v>
      </c>
      <c r="BJ775" s="30">
        <v>0</v>
      </c>
      <c r="BK775" s="30">
        <v>0</v>
      </c>
      <c r="BL775" s="30">
        <v>0</v>
      </c>
      <c r="BM775" s="30">
        <v>0</v>
      </c>
      <c r="BN775" s="30">
        <v>0</v>
      </c>
      <c r="BO775" s="30">
        <v>0</v>
      </c>
      <c r="BP775" s="30">
        <v>0</v>
      </c>
      <c r="BQ775" s="30">
        <v>0</v>
      </c>
      <c r="BR775" s="30">
        <v>0</v>
      </c>
      <c r="BS775" s="30">
        <v>0</v>
      </c>
      <c r="BT775" s="30">
        <v>0</v>
      </c>
      <c r="BU775" s="30">
        <v>0</v>
      </c>
      <c r="BV775" s="30">
        <v>0</v>
      </c>
      <c r="BW775" s="30">
        <v>0</v>
      </c>
      <c r="BX775" s="30">
        <v>0</v>
      </c>
      <c r="BY775" s="30">
        <v>0</v>
      </c>
      <c r="BZ775" s="30">
        <v>0</v>
      </c>
      <c r="CA775" s="30">
        <v>0</v>
      </c>
      <c r="CB775" s="30">
        <v>0</v>
      </c>
      <c r="CC775" s="30">
        <v>0</v>
      </c>
      <c r="CD775" s="30">
        <v>0</v>
      </c>
      <c r="CE775" s="30">
        <v>0</v>
      </c>
      <c r="CF775" s="30">
        <v>0</v>
      </c>
      <c r="CG775" s="30">
        <v>0</v>
      </c>
      <c r="CH775" s="30">
        <v>0</v>
      </c>
      <c r="CI775" s="30">
        <v>0</v>
      </c>
      <c r="CJ775" s="30">
        <v>0</v>
      </c>
      <c r="CK775" s="30">
        <v>0</v>
      </c>
      <c r="CL775" s="30">
        <v>0</v>
      </c>
      <c r="CM775" s="30">
        <v>0</v>
      </c>
      <c r="CN775" s="30">
        <v>0</v>
      </c>
      <c r="CO775" s="30">
        <v>0</v>
      </c>
      <c r="CP775" s="30">
        <v>0</v>
      </c>
      <c r="CQ775" s="30">
        <v>0</v>
      </c>
      <c r="CR775" s="30">
        <v>0</v>
      </c>
      <c r="CS775" s="30">
        <v>0</v>
      </c>
      <c r="CT775" s="30">
        <v>0</v>
      </c>
      <c r="CU775" s="30">
        <v>0</v>
      </c>
      <c r="CV775" s="30">
        <v>0</v>
      </c>
      <c r="CW775" s="30">
        <v>0</v>
      </c>
      <c r="CX775" s="30">
        <v>0</v>
      </c>
      <c r="CY775" s="30">
        <v>0</v>
      </c>
      <c r="CZ775" s="30">
        <v>0</v>
      </c>
      <c r="DA775" s="30">
        <v>0</v>
      </c>
      <c r="DB775" s="30">
        <v>0</v>
      </c>
      <c r="DC775" s="30">
        <v>0</v>
      </c>
      <c r="DD775" s="30">
        <v>0</v>
      </c>
      <c r="DE775" s="30">
        <v>0</v>
      </c>
      <c r="DF775" s="30">
        <v>0</v>
      </c>
      <c r="DG775" s="16">
        <f t="shared" si="64"/>
        <v>8</v>
      </c>
      <c r="DH775" s="16">
        <f t="shared" si="65"/>
        <v>40</v>
      </c>
      <c r="DI775" s="17">
        <f t="shared" si="66"/>
        <v>5</v>
      </c>
      <c r="DJ775" s="119" t="s">
        <v>659</v>
      </c>
      <c r="DK775" s="44" t="s">
        <v>659</v>
      </c>
    </row>
    <row r="776" spans="1:115">
      <c r="A776" s="32" t="str">
        <f t="shared" si="62"/>
        <v>Ausgrid--MASTER STATION ASSETS - Master station IP Network Firewalls</v>
      </c>
      <c r="B776" s="32" t="str">
        <f t="shared" si="63"/>
        <v>Ausgrid</v>
      </c>
      <c r="C776" s="397"/>
      <c r="D776" s="31"/>
      <c r="E776" s="30" t="s">
        <v>711</v>
      </c>
      <c r="F776" s="19">
        <v>5</v>
      </c>
      <c r="G776" s="19">
        <v>1</v>
      </c>
      <c r="H776" s="30">
        <v>0</v>
      </c>
      <c r="I776" s="30">
        <v>0</v>
      </c>
      <c r="J776" s="30">
        <v>0</v>
      </c>
      <c r="K776" s="30">
        <v>0</v>
      </c>
      <c r="L776" s="30">
        <v>4</v>
      </c>
      <c r="M776" s="30">
        <v>0</v>
      </c>
      <c r="N776" s="30">
        <v>0</v>
      </c>
      <c r="O776" s="30">
        <v>0</v>
      </c>
      <c r="P776" s="30">
        <v>0</v>
      </c>
      <c r="Q776" s="30">
        <v>0</v>
      </c>
      <c r="R776" s="30">
        <v>0</v>
      </c>
      <c r="S776" s="30">
        <v>0</v>
      </c>
      <c r="T776" s="30">
        <v>0</v>
      </c>
      <c r="U776" s="30">
        <v>0</v>
      </c>
      <c r="V776" s="30">
        <v>0</v>
      </c>
      <c r="W776" s="30">
        <v>0</v>
      </c>
      <c r="X776" s="30">
        <v>0</v>
      </c>
      <c r="Y776" s="30">
        <v>0</v>
      </c>
      <c r="Z776" s="30">
        <v>0</v>
      </c>
      <c r="AA776" s="30">
        <v>0</v>
      </c>
      <c r="AB776" s="30">
        <v>0</v>
      </c>
      <c r="AC776" s="30">
        <v>0</v>
      </c>
      <c r="AD776" s="30">
        <v>0</v>
      </c>
      <c r="AE776" s="30">
        <v>0</v>
      </c>
      <c r="AF776" s="30">
        <v>0</v>
      </c>
      <c r="AG776" s="30">
        <v>0</v>
      </c>
      <c r="AH776" s="30">
        <v>0</v>
      </c>
      <c r="AI776" s="30">
        <v>0</v>
      </c>
      <c r="AJ776" s="30">
        <v>0</v>
      </c>
      <c r="AK776" s="30">
        <v>0</v>
      </c>
      <c r="AL776" s="30">
        <v>0</v>
      </c>
      <c r="AM776" s="30">
        <v>0</v>
      </c>
      <c r="AN776" s="30">
        <v>0</v>
      </c>
      <c r="AO776" s="30">
        <v>0</v>
      </c>
      <c r="AP776" s="30">
        <v>0</v>
      </c>
      <c r="AQ776" s="30">
        <v>0</v>
      </c>
      <c r="AR776" s="30">
        <v>0</v>
      </c>
      <c r="AS776" s="30">
        <v>0</v>
      </c>
      <c r="AT776" s="30">
        <v>0</v>
      </c>
      <c r="AU776" s="30">
        <v>0</v>
      </c>
      <c r="AV776" s="30">
        <v>0</v>
      </c>
      <c r="AW776" s="30">
        <v>0</v>
      </c>
      <c r="AX776" s="30">
        <v>0</v>
      </c>
      <c r="AY776" s="30">
        <v>0</v>
      </c>
      <c r="AZ776" s="30">
        <v>0</v>
      </c>
      <c r="BA776" s="30">
        <v>0</v>
      </c>
      <c r="BB776" s="30">
        <v>0</v>
      </c>
      <c r="BC776" s="30">
        <v>0</v>
      </c>
      <c r="BD776" s="30">
        <v>0</v>
      </c>
      <c r="BE776" s="30">
        <v>0</v>
      </c>
      <c r="BF776" s="30">
        <v>0</v>
      </c>
      <c r="BG776" s="30">
        <v>0</v>
      </c>
      <c r="BH776" s="30">
        <v>0</v>
      </c>
      <c r="BI776" s="30">
        <v>0</v>
      </c>
      <c r="BJ776" s="30">
        <v>0</v>
      </c>
      <c r="BK776" s="30">
        <v>0</v>
      </c>
      <c r="BL776" s="30">
        <v>0</v>
      </c>
      <c r="BM776" s="30">
        <v>0</v>
      </c>
      <c r="BN776" s="30">
        <v>0</v>
      </c>
      <c r="BO776" s="30">
        <v>0</v>
      </c>
      <c r="BP776" s="30">
        <v>0</v>
      </c>
      <c r="BQ776" s="30">
        <v>0</v>
      </c>
      <c r="BR776" s="30">
        <v>0</v>
      </c>
      <c r="BS776" s="30">
        <v>0</v>
      </c>
      <c r="BT776" s="30">
        <v>0</v>
      </c>
      <c r="BU776" s="30">
        <v>0</v>
      </c>
      <c r="BV776" s="30">
        <v>0</v>
      </c>
      <c r="BW776" s="30">
        <v>0</v>
      </c>
      <c r="BX776" s="30">
        <v>0</v>
      </c>
      <c r="BY776" s="30">
        <v>0</v>
      </c>
      <c r="BZ776" s="30">
        <v>0</v>
      </c>
      <c r="CA776" s="30">
        <v>0</v>
      </c>
      <c r="CB776" s="30">
        <v>0</v>
      </c>
      <c r="CC776" s="30">
        <v>0</v>
      </c>
      <c r="CD776" s="30">
        <v>0</v>
      </c>
      <c r="CE776" s="30">
        <v>0</v>
      </c>
      <c r="CF776" s="30">
        <v>0</v>
      </c>
      <c r="CG776" s="30">
        <v>0</v>
      </c>
      <c r="CH776" s="30">
        <v>0</v>
      </c>
      <c r="CI776" s="30">
        <v>0</v>
      </c>
      <c r="CJ776" s="30">
        <v>0</v>
      </c>
      <c r="CK776" s="30">
        <v>0</v>
      </c>
      <c r="CL776" s="30">
        <v>0</v>
      </c>
      <c r="CM776" s="30">
        <v>0</v>
      </c>
      <c r="CN776" s="30">
        <v>0</v>
      </c>
      <c r="CO776" s="30">
        <v>0</v>
      </c>
      <c r="CP776" s="30">
        <v>0</v>
      </c>
      <c r="CQ776" s="30">
        <v>0</v>
      </c>
      <c r="CR776" s="30">
        <v>0</v>
      </c>
      <c r="CS776" s="30">
        <v>0</v>
      </c>
      <c r="CT776" s="30">
        <v>0</v>
      </c>
      <c r="CU776" s="30">
        <v>0</v>
      </c>
      <c r="CV776" s="30">
        <v>0</v>
      </c>
      <c r="CW776" s="30">
        <v>0</v>
      </c>
      <c r="CX776" s="30">
        <v>0</v>
      </c>
      <c r="CY776" s="30">
        <v>0</v>
      </c>
      <c r="CZ776" s="30">
        <v>0</v>
      </c>
      <c r="DA776" s="30">
        <v>0</v>
      </c>
      <c r="DB776" s="30">
        <v>0</v>
      </c>
      <c r="DC776" s="30">
        <v>0</v>
      </c>
      <c r="DD776" s="30">
        <v>0</v>
      </c>
      <c r="DE776" s="30">
        <v>0</v>
      </c>
      <c r="DF776" s="30">
        <v>0</v>
      </c>
      <c r="DG776" s="16">
        <f t="shared" si="64"/>
        <v>4</v>
      </c>
      <c r="DH776" s="16">
        <f t="shared" si="65"/>
        <v>20</v>
      </c>
      <c r="DI776" s="17">
        <f t="shared" si="66"/>
        <v>5</v>
      </c>
      <c r="DJ776" s="119" t="s">
        <v>659</v>
      </c>
      <c r="DK776" s="44" t="s">
        <v>659</v>
      </c>
    </row>
    <row r="777" spans="1:115">
      <c r="A777" s="32" t="str">
        <f t="shared" si="62"/>
        <v>Ausgrid--MASTER STATION ASSETS - L&amp;N LN2068 SCADA Master Station</v>
      </c>
      <c r="B777" s="32" t="str">
        <f t="shared" si="63"/>
        <v>Ausgrid</v>
      </c>
      <c r="C777" s="397"/>
      <c r="D777" s="31"/>
      <c r="E777" s="30" t="s">
        <v>712</v>
      </c>
      <c r="F777" s="19">
        <v>20</v>
      </c>
      <c r="G777" s="19">
        <v>3</v>
      </c>
      <c r="H777" s="30">
        <v>0</v>
      </c>
      <c r="I777" s="30">
        <v>0</v>
      </c>
      <c r="J777" s="30">
        <v>0</v>
      </c>
      <c r="K777" s="30">
        <v>0</v>
      </c>
      <c r="L777" s="30">
        <v>0</v>
      </c>
      <c r="M777" s="30">
        <v>0</v>
      </c>
      <c r="N777" s="30">
        <v>0</v>
      </c>
      <c r="O777" s="30">
        <v>0</v>
      </c>
      <c r="P777" s="30">
        <v>0</v>
      </c>
      <c r="Q777" s="30">
        <v>0</v>
      </c>
      <c r="R777" s="30">
        <v>0</v>
      </c>
      <c r="S777" s="30">
        <v>0</v>
      </c>
      <c r="T777" s="30">
        <v>0</v>
      </c>
      <c r="U777" s="30">
        <v>0</v>
      </c>
      <c r="V777" s="30">
        <v>0</v>
      </c>
      <c r="W777" s="30">
        <v>0</v>
      </c>
      <c r="X777" s="30">
        <v>0</v>
      </c>
      <c r="Y777" s="30">
        <v>0</v>
      </c>
      <c r="Z777" s="30">
        <v>0</v>
      </c>
      <c r="AA777" s="30">
        <v>0</v>
      </c>
      <c r="AB777" s="30">
        <v>0</v>
      </c>
      <c r="AC777" s="30">
        <v>0</v>
      </c>
      <c r="AD777" s="30">
        <v>0</v>
      </c>
      <c r="AE777" s="30">
        <v>0</v>
      </c>
      <c r="AF777" s="30">
        <v>0</v>
      </c>
      <c r="AG777" s="30">
        <v>1</v>
      </c>
      <c r="AH777" s="30">
        <v>0</v>
      </c>
      <c r="AI777" s="30">
        <v>0</v>
      </c>
      <c r="AJ777" s="30">
        <v>0</v>
      </c>
      <c r="AK777" s="30">
        <v>0</v>
      </c>
      <c r="AL777" s="30">
        <v>0</v>
      </c>
      <c r="AM777" s="30">
        <v>0</v>
      </c>
      <c r="AN777" s="30">
        <v>0</v>
      </c>
      <c r="AO777" s="30">
        <v>0</v>
      </c>
      <c r="AP777" s="30">
        <v>0</v>
      </c>
      <c r="AQ777" s="30">
        <v>0</v>
      </c>
      <c r="AR777" s="30">
        <v>0</v>
      </c>
      <c r="AS777" s="30">
        <v>0</v>
      </c>
      <c r="AT777" s="30">
        <v>0</v>
      </c>
      <c r="AU777" s="30">
        <v>0</v>
      </c>
      <c r="AV777" s="30">
        <v>0</v>
      </c>
      <c r="AW777" s="30">
        <v>0</v>
      </c>
      <c r="AX777" s="30">
        <v>0</v>
      </c>
      <c r="AY777" s="30">
        <v>0</v>
      </c>
      <c r="AZ777" s="30">
        <v>0</v>
      </c>
      <c r="BA777" s="30">
        <v>0</v>
      </c>
      <c r="BB777" s="30">
        <v>0</v>
      </c>
      <c r="BC777" s="30">
        <v>0</v>
      </c>
      <c r="BD777" s="30">
        <v>0</v>
      </c>
      <c r="BE777" s="30">
        <v>0</v>
      </c>
      <c r="BF777" s="30">
        <v>0</v>
      </c>
      <c r="BG777" s="30">
        <v>0</v>
      </c>
      <c r="BH777" s="30">
        <v>0</v>
      </c>
      <c r="BI777" s="30">
        <v>0</v>
      </c>
      <c r="BJ777" s="30">
        <v>0</v>
      </c>
      <c r="BK777" s="30">
        <v>0</v>
      </c>
      <c r="BL777" s="30">
        <v>0</v>
      </c>
      <c r="BM777" s="30">
        <v>0</v>
      </c>
      <c r="BN777" s="30">
        <v>0</v>
      </c>
      <c r="BO777" s="30">
        <v>0</v>
      </c>
      <c r="BP777" s="30">
        <v>0</v>
      </c>
      <c r="BQ777" s="30">
        <v>0</v>
      </c>
      <c r="BR777" s="30">
        <v>0</v>
      </c>
      <c r="BS777" s="30">
        <v>0</v>
      </c>
      <c r="BT777" s="30">
        <v>0</v>
      </c>
      <c r="BU777" s="30">
        <v>0</v>
      </c>
      <c r="BV777" s="30">
        <v>0</v>
      </c>
      <c r="BW777" s="30">
        <v>0</v>
      </c>
      <c r="BX777" s="30">
        <v>0</v>
      </c>
      <c r="BY777" s="30">
        <v>0</v>
      </c>
      <c r="BZ777" s="30">
        <v>0</v>
      </c>
      <c r="CA777" s="30">
        <v>0</v>
      </c>
      <c r="CB777" s="30">
        <v>0</v>
      </c>
      <c r="CC777" s="30">
        <v>0</v>
      </c>
      <c r="CD777" s="30">
        <v>0</v>
      </c>
      <c r="CE777" s="30">
        <v>0</v>
      </c>
      <c r="CF777" s="30">
        <v>0</v>
      </c>
      <c r="CG777" s="30">
        <v>0</v>
      </c>
      <c r="CH777" s="30">
        <v>0</v>
      </c>
      <c r="CI777" s="30">
        <v>0</v>
      </c>
      <c r="CJ777" s="30">
        <v>0</v>
      </c>
      <c r="CK777" s="30">
        <v>0</v>
      </c>
      <c r="CL777" s="30">
        <v>0</v>
      </c>
      <c r="CM777" s="30">
        <v>0</v>
      </c>
      <c r="CN777" s="30">
        <v>0</v>
      </c>
      <c r="CO777" s="30">
        <v>0</v>
      </c>
      <c r="CP777" s="30">
        <v>0</v>
      </c>
      <c r="CQ777" s="30">
        <v>0</v>
      </c>
      <c r="CR777" s="30">
        <v>0</v>
      </c>
      <c r="CS777" s="30">
        <v>0</v>
      </c>
      <c r="CT777" s="30">
        <v>0</v>
      </c>
      <c r="CU777" s="30">
        <v>0</v>
      </c>
      <c r="CV777" s="30">
        <v>0</v>
      </c>
      <c r="CW777" s="30">
        <v>0</v>
      </c>
      <c r="CX777" s="30">
        <v>0</v>
      </c>
      <c r="CY777" s="30">
        <v>0</v>
      </c>
      <c r="CZ777" s="30">
        <v>0</v>
      </c>
      <c r="DA777" s="30">
        <v>0</v>
      </c>
      <c r="DB777" s="30">
        <v>0</v>
      </c>
      <c r="DC777" s="30">
        <v>0</v>
      </c>
      <c r="DD777" s="30">
        <v>0</v>
      </c>
      <c r="DE777" s="30">
        <v>0</v>
      </c>
      <c r="DF777" s="30">
        <v>0</v>
      </c>
      <c r="DG777" s="16">
        <f t="shared" si="64"/>
        <v>1</v>
      </c>
      <c r="DH777" s="16">
        <f t="shared" si="65"/>
        <v>26</v>
      </c>
      <c r="DI777" s="17">
        <f t="shared" si="66"/>
        <v>26</v>
      </c>
      <c r="DJ777" s="119" t="s">
        <v>659</v>
      </c>
      <c r="DK777" s="44" t="s">
        <v>659</v>
      </c>
    </row>
    <row r="778" spans="1:115" ht="30">
      <c r="A778" s="32" t="str">
        <f t="shared" si="62"/>
        <v>Ausgrid-OTHER BY: 
DNSP DEFINED-PLEASE ADD A ROW IF NECESSARY AND NOMINATE THE CATEGORY</v>
      </c>
      <c r="B778" s="32" t="str">
        <f t="shared" si="63"/>
        <v>Ausgrid</v>
      </c>
      <c r="C778" s="397"/>
      <c r="D778" s="31" t="s">
        <v>567</v>
      </c>
      <c r="E778" s="30" t="s">
        <v>277</v>
      </c>
      <c r="F778" s="19"/>
      <c r="G778" s="19"/>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c r="CS778" s="30"/>
      <c r="CT778" s="30"/>
      <c r="CU778" s="30"/>
      <c r="CV778" s="30"/>
      <c r="CW778" s="30"/>
      <c r="CX778" s="30"/>
      <c r="CY778" s="30"/>
      <c r="CZ778" s="30"/>
      <c r="DA778" s="30"/>
      <c r="DB778" s="30"/>
      <c r="DC778" s="30"/>
      <c r="DD778" s="30"/>
      <c r="DE778" s="30"/>
      <c r="DF778" s="30"/>
      <c r="DG778" s="16">
        <f t="shared" si="64"/>
        <v>0</v>
      </c>
      <c r="DH778" s="16">
        <f t="shared" si="65"/>
        <v>0</v>
      </c>
      <c r="DI778" s="17" t="str">
        <f t="shared" si="66"/>
        <v/>
      </c>
      <c r="DJ778" s="119" t="s">
        <v>720</v>
      </c>
      <c r="DK778" t="s">
        <v>720</v>
      </c>
    </row>
    <row r="779" spans="1:115">
      <c r="A779" s="32" t="str">
        <f t="shared" si="62"/>
        <v xml:space="preserve">Ausgrid--DISTRIBUTION SUBSTATIONS </v>
      </c>
      <c r="B779" s="32" t="str">
        <f t="shared" si="63"/>
        <v>Ausgrid</v>
      </c>
      <c r="C779" s="397"/>
      <c r="D779" s="31"/>
      <c r="E779" s="30" t="s">
        <v>713</v>
      </c>
      <c r="F779" s="19">
        <v>32.89</v>
      </c>
      <c r="G779" s="19">
        <v>16.52</v>
      </c>
      <c r="H779" s="30">
        <v>727</v>
      </c>
      <c r="I779" s="30">
        <v>772</v>
      </c>
      <c r="J779" s="30">
        <v>814</v>
      </c>
      <c r="K779" s="30">
        <v>783</v>
      </c>
      <c r="L779" s="30">
        <v>673</v>
      </c>
      <c r="M779" s="30">
        <v>559</v>
      </c>
      <c r="N779" s="30">
        <v>523</v>
      </c>
      <c r="O779" s="30">
        <v>594</v>
      </c>
      <c r="P779" s="30">
        <v>525</v>
      </c>
      <c r="Q779" s="30">
        <v>573</v>
      </c>
      <c r="R779" s="30">
        <v>520</v>
      </c>
      <c r="S779" s="30">
        <v>485</v>
      </c>
      <c r="T779" s="30">
        <v>444</v>
      </c>
      <c r="U779" s="30">
        <v>566</v>
      </c>
      <c r="V779" s="30">
        <v>493</v>
      </c>
      <c r="W779" s="30">
        <v>504</v>
      </c>
      <c r="X779" s="30">
        <v>458</v>
      </c>
      <c r="Y779" s="30">
        <v>495</v>
      </c>
      <c r="Z779" s="30">
        <v>514</v>
      </c>
      <c r="AA779" s="30">
        <v>535</v>
      </c>
      <c r="AB779" s="30">
        <v>479</v>
      </c>
      <c r="AC779" s="30">
        <v>555</v>
      </c>
      <c r="AD779" s="30">
        <v>555</v>
      </c>
      <c r="AE779" s="30">
        <v>543</v>
      </c>
      <c r="AF779" s="30">
        <v>489</v>
      </c>
      <c r="AG779" s="30">
        <v>508</v>
      </c>
      <c r="AH779" s="30">
        <v>526</v>
      </c>
      <c r="AI779" s="30">
        <v>532</v>
      </c>
      <c r="AJ779" s="30">
        <v>469</v>
      </c>
      <c r="AK779" s="30">
        <v>474</v>
      </c>
      <c r="AL779" s="30">
        <v>1187</v>
      </c>
      <c r="AM779" s="30">
        <v>657</v>
      </c>
      <c r="AN779" s="30">
        <v>590</v>
      </c>
      <c r="AO779" s="30">
        <v>575</v>
      </c>
      <c r="AP779" s="30">
        <v>571</v>
      </c>
      <c r="AQ779" s="30">
        <v>506</v>
      </c>
      <c r="AR779" s="30">
        <v>568</v>
      </c>
      <c r="AS779" s="30">
        <v>583</v>
      </c>
      <c r="AT779" s="30">
        <v>577</v>
      </c>
      <c r="AU779" s="30">
        <v>499</v>
      </c>
      <c r="AV779" s="30">
        <v>551</v>
      </c>
      <c r="AW779" s="30">
        <v>520</v>
      </c>
      <c r="AX779" s="30">
        <v>570</v>
      </c>
      <c r="AY779" s="30">
        <v>520</v>
      </c>
      <c r="AZ779" s="30">
        <v>520</v>
      </c>
      <c r="BA779" s="30">
        <v>523</v>
      </c>
      <c r="BB779" s="30">
        <v>455</v>
      </c>
      <c r="BC779" s="30">
        <v>466</v>
      </c>
      <c r="BD779" s="30">
        <v>469</v>
      </c>
      <c r="BE779" s="30">
        <v>480</v>
      </c>
      <c r="BF779" s="30">
        <v>400</v>
      </c>
      <c r="BG779" s="30">
        <v>251</v>
      </c>
      <c r="BH779" s="30">
        <v>339</v>
      </c>
      <c r="BI779" s="30">
        <v>202</v>
      </c>
      <c r="BJ779" s="30">
        <v>239</v>
      </c>
      <c r="BK779" s="30">
        <v>148</v>
      </c>
      <c r="BL779" s="30">
        <v>110</v>
      </c>
      <c r="BM779" s="30">
        <v>119</v>
      </c>
      <c r="BN779" s="30">
        <v>74</v>
      </c>
      <c r="BO779" s="30">
        <v>53</v>
      </c>
      <c r="BP779" s="30">
        <v>39</v>
      </c>
      <c r="BQ779" s="30">
        <v>32</v>
      </c>
      <c r="BR779" s="30">
        <v>38</v>
      </c>
      <c r="BS779" s="30">
        <v>28</v>
      </c>
      <c r="BT779" s="30">
        <v>20</v>
      </c>
      <c r="BU779" s="30">
        <v>17</v>
      </c>
      <c r="BV779" s="30">
        <v>18</v>
      </c>
      <c r="BW779" s="30">
        <v>3</v>
      </c>
      <c r="BX779" s="30">
        <v>6</v>
      </c>
      <c r="BY779" s="30">
        <v>2</v>
      </c>
      <c r="BZ779" s="30">
        <v>3</v>
      </c>
      <c r="CA779" s="30">
        <v>9</v>
      </c>
      <c r="CB779" s="30">
        <v>5</v>
      </c>
      <c r="CC779" s="30">
        <v>18</v>
      </c>
      <c r="CD779" s="30">
        <v>10</v>
      </c>
      <c r="CE779" s="30">
        <v>12</v>
      </c>
      <c r="CF779" s="30">
        <v>10</v>
      </c>
      <c r="CG779" s="30">
        <v>5</v>
      </c>
      <c r="CH779" s="30">
        <v>1</v>
      </c>
      <c r="CI779" s="30">
        <v>3</v>
      </c>
      <c r="CJ779" s="30">
        <v>4</v>
      </c>
      <c r="CK779" s="30">
        <v>15</v>
      </c>
      <c r="CL779" s="30">
        <v>22</v>
      </c>
      <c r="CM779" s="30">
        <v>14</v>
      </c>
      <c r="CN779" s="30">
        <v>19</v>
      </c>
      <c r="CO779" s="30">
        <v>14</v>
      </c>
      <c r="CP779" s="30">
        <v>9</v>
      </c>
      <c r="CQ779" s="30">
        <v>4</v>
      </c>
      <c r="CR779" s="30">
        <v>0</v>
      </c>
      <c r="CS779" s="30">
        <v>6</v>
      </c>
      <c r="CT779" s="30">
        <v>2</v>
      </c>
      <c r="CU779" s="30">
        <v>2</v>
      </c>
      <c r="CV779" s="30">
        <v>3</v>
      </c>
      <c r="CW779" s="30">
        <v>2</v>
      </c>
      <c r="CX779" s="30">
        <v>1</v>
      </c>
      <c r="CY779" s="30">
        <v>0</v>
      </c>
      <c r="CZ779" s="30">
        <v>0</v>
      </c>
      <c r="DA779" s="30">
        <v>1</v>
      </c>
      <c r="DB779" s="30">
        <v>6</v>
      </c>
      <c r="DC779" s="30">
        <v>5</v>
      </c>
      <c r="DD779" s="30">
        <v>1</v>
      </c>
      <c r="DE779" s="30">
        <v>0</v>
      </c>
      <c r="DF779" s="30">
        <v>0</v>
      </c>
      <c r="DG779" s="16">
        <f t="shared" si="64"/>
        <v>30418</v>
      </c>
      <c r="DH779" s="16">
        <f t="shared" si="65"/>
        <v>826778</v>
      </c>
      <c r="DI779" s="17">
        <f t="shared" si="66"/>
        <v>27.180550989545665</v>
      </c>
      <c r="DJ779" s="119" t="s">
        <v>720</v>
      </c>
      <c r="DK779" s="44" t="s">
        <v>720</v>
      </c>
    </row>
    <row r="780" spans="1:115">
      <c r="A780" s="32" t="str">
        <f t="shared" si="62"/>
        <v>Ausgrid--DISTRIBUTION VOLTAGE REGULATION</v>
      </c>
      <c r="B780" s="32" t="str">
        <f t="shared" si="63"/>
        <v>Ausgrid</v>
      </c>
      <c r="C780" s="397"/>
      <c r="D780" s="31"/>
      <c r="E780" s="30" t="s">
        <v>675</v>
      </c>
      <c r="F780" s="19">
        <v>22.49</v>
      </c>
      <c r="G780" s="19">
        <v>13.54</v>
      </c>
      <c r="H780" s="30">
        <v>35</v>
      </c>
      <c r="I780" s="30">
        <v>18</v>
      </c>
      <c r="J780" s="30">
        <v>11</v>
      </c>
      <c r="K780" s="30">
        <v>20</v>
      </c>
      <c r="L780" s="30">
        <v>12</v>
      </c>
      <c r="M780" s="30">
        <v>12</v>
      </c>
      <c r="N780" s="30">
        <v>8</v>
      </c>
      <c r="O780" s="30">
        <v>22</v>
      </c>
      <c r="P780" s="30">
        <v>8</v>
      </c>
      <c r="Q780" s="30">
        <v>1</v>
      </c>
      <c r="R780" s="30">
        <v>1</v>
      </c>
      <c r="S780" s="30">
        <v>1</v>
      </c>
      <c r="T780" s="30">
        <v>2</v>
      </c>
      <c r="U780" s="30">
        <v>4</v>
      </c>
      <c r="V780" s="30">
        <v>0</v>
      </c>
      <c r="W780" s="30">
        <v>0</v>
      </c>
      <c r="X780" s="30">
        <v>0</v>
      </c>
      <c r="Y780" s="30">
        <v>0</v>
      </c>
      <c r="Z780" s="30">
        <v>0</v>
      </c>
      <c r="AA780" s="30">
        <v>0</v>
      </c>
      <c r="AB780" s="30">
        <v>0</v>
      </c>
      <c r="AC780" s="30">
        <v>0</v>
      </c>
      <c r="AD780" s="30">
        <v>0</v>
      </c>
      <c r="AE780" s="30">
        <v>0</v>
      </c>
      <c r="AF780" s="30">
        <v>0</v>
      </c>
      <c r="AG780" s="30">
        <v>0</v>
      </c>
      <c r="AH780" s="30">
        <v>0</v>
      </c>
      <c r="AI780" s="30">
        <v>0</v>
      </c>
      <c r="AJ780" s="30">
        <v>0</v>
      </c>
      <c r="AK780" s="30">
        <v>0</v>
      </c>
      <c r="AL780" s="30">
        <v>0</v>
      </c>
      <c r="AM780" s="30">
        <v>0</v>
      </c>
      <c r="AN780" s="30">
        <v>0</v>
      </c>
      <c r="AO780" s="30">
        <v>0</v>
      </c>
      <c r="AP780" s="30">
        <v>0</v>
      </c>
      <c r="AQ780" s="30">
        <v>0</v>
      </c>
      <c r="AR780" s="30">
        <v>0</v>
      </c>
      <c r="AS780" s="30">
        <v>0</v>
      </c>
      <c r="AT780" s="30">
        <v>1</v>
      </c>
      <c r="AU780" s="30">
        <v>0</v>
      </c>
      <c r="AV780" s="30">
        <v>0</v>
      </c>
      <c r="AW780" s="30">
        <v>0</v>
      </c>
      <c r="AX780" s="30">
        <v>0</v>
      </c>
      <c r="AY780" s="30">
        <v>0</v>
      </c>
      <c r="AZ780" s="30">
        <v>0</v>
      </c>
      <c r="BA780" s="30">
        <v>0</v>
      </c>
      <c r="BB780" s="30">
        <v>0</v>
      </c>
      <c r="BC780" s="30">
        <v>0</v>
      </c>
      <c r="BD780" s="30">
        <v>0</v>
      </c>
      <c r="BE780" s="30">
        <v>0</v>
      </c>
      <c r="BF780" s="30">
        <v>0</v>
      </c>
      <c r="BG780" s="30">
        <v>0</v>
      </c>
      <c r="BH780" s="30">
        <v>0</v>
      </c>
      <c r="BI780" s="30">
        <v>0</v>
      </c>
      <c r="BJ780" s="30">
        <v>0</v>
      </c>
      <c r="BK780" s="30">
        <v>0</v>
      </c>
      <c r="BL780" s="30">
        <v>0</v>
      </c>
      <c r="BM780" s="30">
        <v>0</v>
      </c>
      <c r="BN780" s="30">
        <v>0</v>
      </c>
      <c r="BO780" s="30">
        <v>0</v>
      </c>
      <c r="BP780" s="30">
        <v>0</v>
      </c>
      <c r="BQ780" s="30">
        <v>0</v>
      </c>
      <c r="BR780" s="30">
        <v>0</v>
      </c>
      <c r="BS780" s="30">
        <v>0</v>
      </c>
      <c r="BT780" s="30">
        <v>0</v>
      </c>
      <c r="BU780" s="30">
        <v>1</v>
      </c>
      <c r="BV780" s="30">
        <v>0</v>
      </c>
      <c r="BW780" s="30">
        <v>0</v>
      </c>
      <c r="BX780" s="30">
        <v>0</v>
      </c>
      <c r="BY780" s="30">
        <v>0</v>
      </c>
      <c r="BZ780" s="30">
        <v>0</v>
      </c>
      <c r="CA780" s="30">
        <v>0</v>
      </c>
      <c r="CB780" s="30">
        <v>0</v>
      </c>
      <c r="CC780" s="30">
        <v>0</v>
      </c>
      <c r="CD780" s="30">
        <v>0</v>
      </c>
      <c r="CE780" s="30">
        <v>0</v>
      </c>
      <c r="CF780" s="30">
        <v>0</v>
      </c>
      <c r="CG780" s="30">
        <v>0</v>
      </c>
      <c r="CH780" s="30">
        <v>0</v>
      </c>
      <c r="CI780" s="30">
        <v>0</v>
      </c>
      <c r="CJ780" s="30">
        <v>0</v>
      </c>
      <c r="CK780" s="30">
        <v>0</v>
      </c>
      <c r="CL780" s="30">
        <v>0</v>
      </c>
      <c r="CM780" s="30">
        <v>0</v>
      </c>
      <c r="CN780" s="30">
        <v>0</v>
      </c>
      <c r="CO780" s="30">
        <v>0</v>
      </c>
      <c r="CP780" s="30">
        <v>0</v>
      </c>
      <c r="CQ780" s="30">
        <v>0</v>
      </c>
      <c r="CR780" s="30">
        <v>0</v>
      </c>
      <c r="CS780" s="30">
        <v>0</v>
      </c>
      <c r="CT780" s="30">
        <v>0</v>
      </c>
      <c r="CU780" s="30">
        <v>0</v>
      </c>
      <c r="CV780" s="30">
        <v>0</v>
      </c>
      <c r="CW780" s="30">
        <v>0</v>
      </c>
      <c r="CX780" s="30">
        <v>0</v>
      </c>
      <c r="CY780" s="30">
        <v>0</v>
      </c>
      <c r="CZ780" s="30">
        <v>0</v>
      </c>
      <c r="DA780" s="30">
        <v>0</v>
      </c>
      <c r="DB780" s="30">
        <v>0</v>
      </c>
      <c r="DC780" s="30">
        <v>0</v>
      </c>
      <c r="DD780" s="30">
        <v>0</v>
      </c>
      <c r="DE780" s="30">
        <v>0</v>
      </c>
      <c r="DF780" s="30">
        <v>0</v>
      </c>
      <c r="DG780" s="16">
        <f t="shared" si="64"/>
        <v>157</v>
      </c>
      <c r="DH780" s="16">
        <f t="shared" si="65"/>
        <v>840</v>
      </c>
      <c r="DI780" s="17">
        <f t="shared" si="66"/>
        <v>5.3503184713375793</v>
      </c>
      <c r="DJ780" s="119" t="s">
        <v>720</v>
      </c>
      <c r="DK780" s="44" t="s">
        <v>720</v>
      </c>
    </row>
    <row r="781" spans="1:115">
      <c r="A781" s="32" t="str">
        <f t="shared" si="62"/>
        <v>Ausgrid--TOWERS</v>
      </c>
      <c r="B781" s="32" t="str">
        <f t="shared" si="63"/>
        <v>Ausgrid</v>
      </c>
      <c r="C781" s="397"/>
      <c r="D781" s="31"/>
      <c r="E781" s="30" t="s">
        <v>714</v>
      </c>
      <c r="F781" s="19">
        <v>47.25</v>
      </c>
      <c r="G781" s="19">
        <v>1.64</v>
      </c>
      <c r="H781" s="30">
        <v>0</v>
      </c>
      <c r="I781" s="30">
        <v>0</v>
      </c>
      <c r="J781" s="30">
        <v>0</v>
      </c>
      <c r="K781" s="30">
        <v>2</v>
      </c>
      <c r="L781" s="30">
        <v>0</v>
      </c>
      <c r="M781" s="30">
        <v>0</v>
      </c>
      <c r="N781" s="30">
        <v>0</v>
      </c>
      <c r="O781" s="30">
        <v>1</v>
      </c>
      <c r="P781" s="30">
        <v>0</v>
      </c>
      <c r="Q781" s="30">
        <v>0</v>
      </c>
      <c r="R781" s="30">
        <v>0</v>
      </c>
      <c r="S781" s="30">
        <v>0</v>
      </c>
      <c r="T781" s="30">
        <v>0</v>
      </c>
      <c r="U781" s="30">
        <v>0</v>
      </c>
      <c r="V781" s="30">
        <v>0</v>
      </c>
      <c r="W781" s="30">
        <v>0</v>
      </c>
      <c r="X781" s="30">
        <v>2</v>
      </c>
      <c r="Y781" s="30">
        <v>1</v>
      </c>
      <c r="Z781" s="30">
        <v>0</v>
      </c>
      <c r="AA781" s="30">
        <v>0</v>
      </c>
      <c r="AB781" s="30">
        <v>0</v>
      </c>
      <c r="AC781" s="30">
        <v>1</v>
      </c>
      <c r="AD781" s="30">
        <v>0</v>
      </c>
      <c r="AE781" s="30">
        <v>0</v>
      </c>
      <c r="AF781" s="30">
        <v>0</v>
      </c>
      <c r="AG781" s="30">
        <v>5</v>
      </c>
      <c r="AH781" s="30">
        <v>0</v>
      </c>
      <c r="AI781" s="30">
        <v>0</v>
      </c>
      <c r="AJ781" s="30">
        <v>0</v>
      </c>
      <c r="AK781" s="30">
        <v>0</v>
      </c>
      <c r="AL781" s="30">
        <v>0</v>
      </c>
      <c r="AM781" s="30">
        <v>0</v>
      </c>
      <c r="AN781" s="30">
        <v>0</v>
      </c>
      <c r="AO781" s="30">
        <v>3</v>
      </c>
      <c r="AP781" s="30">
        <v>1</v>
      </c>
      <c r="AQ781" s="30">
        <v>26</v>
      </c>
      <c r="AR781" s="30">
        <v>0</v>
      </c>
      <c r="AS781" s="30">
        <v>1</v>
      </c>
      <c r="AT781" s="30">
        <v>0</v>
      </c>
      <c r="AU781" s="30">
        <v>23</v>
      </c>
      <c r="AV781" s="30">
        <v>12</v>
      </c>
      <c r="AW781" s="30">
        <v>95</v>
      </c>
      <c r="AX781" s="30">
        <v>7</v>
      </c>
      <c r="AY781" s="30">
        <v>0</v>
      </c>
      <c r="AZ781" s="30">
        <v>0</v>
      </c>
      <c r="BA781" s="30">
        <v>81</v>
      </c>
      <c r="BB781" s="30">
        <v>43</v>
      </c>
      <c r="BC781" s="30">
        <v>2</v>
      </c>
      <c r="BD781" s="30">
        <v>94</v>
      </c>
      <c r="BE781" s="30">
        <v>42</v>
      </c>
      <c r="BF781" s="30">
        <v>19</v>
      </c>
      <c r="BG781" s="30">
        <v>123</v>
      </c>
      <c r="BH781" s="30">
        <v>73</v>
      </c>
      <c r="BI781" s="30">
        <v>40</v>
      </c>
      <c r="BJ781" s="30">
        <v>38</v>
      </c>
      <c r="BK781" s="30">
        <v>4</v>
      </c>
      <c r="BL781" s="30">
        <v>0</v>
      </c>
      <c r="BM781" s="30">
        <v>0</v>
      </c>
      <c r="BN781" s="30">
        <v>0</v>
      </c>
      <c r="BO781" s="30">
        <v>0</v>
      </c>
      <c r="BP781" s="30">
        <v>0</v>
      </c>
      <c r="BQ781" s="30">
        <v>0</v>
      </c>
      <c r="BR781" s="30">
        <v>0</v>
      </c>
      <c r="BS781" s="30">
        <v>0</v>
      </c>
      <c r="BT781" s="30">
        <v>0</v>
      </c>
      <c r="BU781" s="30">
        <v>0</v>
      </c>
      <c r="BV781" s="30">
        <v>0</v>
      </c>
      <c r="BW781" s="30">
        <v>0</v>
      </c>
      <c r="BX781" s="30">
        <v>0</v>
      </c>
      <c r="BY781" s="30">
        <v>0</v>
      </c>
      <c r="BZ781" s="30">
        <v>0</v>
      </c>
      <c r="CA781" s="30">
        <v>0</v>
      </c>
      <c r="CB781" s="30">
        <v>0</v>
      </c>
      <c r="CC781" s="30">
        <v>0</v>
      </c>
      <c r="CD781" s="30">
        <v>0</v>
      </c>
      <c r="CE781" s="30">
        <v>0</v>
      </c>
      <c r="CF781" s="30">
        <v>0</v>
      </c>
      <c r="CG781" s="30">
        <v>0</v>
      </c>
      <c r="CH781" s="30">
        <v>0</v>
      </c>
      <c r="CI781" s="30">
        <v>0</v>
      </c>
      <c r="CJ781" s="30">
        <v>0</v>
      </c>
      <c r="CK781" s="30">
        <v>0</v>
      </c>
      <c r="CL781" s="30">
        <v>0</v>
      </c>
      <c r="CM781" s="30">
        <v>0</v>
      </c>
      <c r="CN781" s="30">
        <v>0</v>
      </c>
      <c r="CO781" s="30">
        <v>0</v>
      </c>
      <c r="CP781" s="30">
        <v>0</v>
      </c>
      <c r="CQ781" s="30">
        <v>0</v>
      </c>
      <c r="CR781" s="30">
        <v>0</v>
      </c>
      <c r="CS781" s="30">
        <v>0</v>
      </c>
      <c r="CT781" s="30">
        <v>0</v>
      </c>
      <c r="CU781" s="30">
        <v>0</v>
      </c>
      <c r="CV781" s="30">
        <v>0</v>
      </c>
      <c r="CW781" s="30">
        <v>0</v>
      </c>
      <c r="CX781" s="30">
        <v>0</v>
      </c>
      <c r="CY781" s="30">
        <v>0</v>
      </c>
      <c r="CZ781" s="30">
        <v>0</v>
      </c>
      <c r="DA781" s="30">
        <v>0</v>
      </c>
      <c r="DB781" s="30">
        <v>0</v>
      </c>
      <c r="DC781" s="30">
        <v>0</v>
      </c>
      <c r="DD781" s="30">
        <v>0</v>
      </c>
      <c r="DE781" s="30">
        <v>0</v>
      </c>
      <c r="DF781" s="30">
        <v>0</v>
      </c>
      <c r="DG781" s="16">
        <f t="shared" si="64"/>
        <v>739</v>
      </c>
      <c r="DH781" s="16">
        <f t="shared" si="65"/>
        <v>35291</v>
      </c>
      <c r="DI781" s="17">
        <f t="shared" si="66"/>
        <v>47.75507442489851</v>
      </c>
      <c r="DJ781" s="119" t="s">
        <v>720</v>
      </c>
      <c r="DK781" s="44" t="s">
        <v>720</v>
      </c>
    </row>
    <row r="782" spans="1:115">
      <c r="A782" s="32" t="str">
        <f t="shared" si="62"/>
        <v>Ausgrid--ZONE &amp; SUBTRANSMISION SUBSTATIONS</v>
      </c>
      <c r="B782" s="32" t="str">
        <f t="shared" si="63"/>
        <v>Ausgrid</v>
      </c>
      <c r="C782" s="397"/>
      <c r="D782" s="31"/>
      <c r="E782" s="30" t="s">
        <v>715</v>
      </c>
      <c r="F782" s="19">
        <v>40.68</v>
      </c>
      <c r="G782" s="19">
        <v>20.66</v>
      </c>
      <c r="H782" s="30">
        <v>8</v>
      </c>
      <c r="I782" s="30">
        <v>4</v>
      </c>
      <c r="J782" s="30">
        <v>7</v>
      </c>
      <c r="K782" s="30">
        <v>9</v>
      </c>
      <c r="L782" s="30">
        <v>3</v>
      </c>
      <c r="M782" s="30">
        <v>3</v>
      </c>
      <c r="N782" s="30">
        <v>3</v>
      </c>
      <c r="O782" s="30">
        <v>4</v>
      </c>
      <c r="P782" s="30">
        <v>5</v>
      </c>
      <c r="Q782" s="30">
        <v>3</v>
      </c>
      <c r="R782" s="30">
        <v>0</v>
      </c>
      <c r="S782" s="30">
        <v>3</v>
      </c>
      <c r="T782" s="30">
        <v>2</v>
      </c>
      <c r="U782" s="30">
        <v>0</v>
      </c>
      <c r="V782" s="30">
        <v>1</v>
      </c>
      <c r="W782" s="30">
        <v>1</v>
      </c>
      <c r="X782" s="30">
        <v>0</v>
      </c>
      <c r="Y782" s="30">
        <v>1</v>
      </c>
      <c r="Z782" s="30">
        <v>1</v>
      </c>
      <c r="AA782" s="30">
        <v>2</v>
      </c>
      <c r="AB782" s="30">
        <v>0</v>
      </c>
      <c r="AC782" s="30">
        <v>1</v>
      </c>
      <c r="AD782" s="30">
        <v>0</v>
      </c>
      <c r="AE782" s="30">
        <v>1</v>
      </c>
      <c r="AF782" s="30">
        <v>2</v>
      </c>
      <c r="AG782" s="30">
        <v>1</v>
      </c>
      <c r="AH782" s="30">
        <v>3</v>
      </c>
      <c r="AI782" s="30">
        <v>3</v>
      </c>
      <c r="AJ782" s="30">
        <v>2</v>
      </c>
      <c r="AK782" s="30">
        <v>1</v>
      </c>
      <c r="AL782" s="30">
        <v>3</v>
      </c>
      <c r="AM782" s="30">
        <v>4</v>
      </c>
      <c r="AN782" s="30">
        <v>0</v>
      </c>
      <c r="AO782" s="30">
        <v>2</v>
      </c>
      <c r="AP782" s="30">
        <v>3</v>
      </c>
      <c r="AQ782" s="30">
        <v>5</v>
      </c>
      <c r="AR782" s="30">
        <v>4</v>
      </c>
      <c r="AS782" s="30">
        <v>4</v>
      </c>
      <c r="AT782" s="30">
        <v>4</v>
      </c>
      <c r="AU782" s="30">
        <v>3</v>
      </c>
      <c r="AV782" s="30">
        <v>6</v>
      </c>
      <c r="AW782" s="30">
        <v>8</v>
      </c>
      <c r="AX782" s="30">
        <v>5</v>
      </c>
      <c r="AY782" s="30">
        <v>4</v>
      </c>
      <c r="AZ782" s="30">
        <v>9</v>
      </c>
      <c r="BA782" s="30">
        <v>2</v>
      </c>
      <c r="BB782" s="30">
        <v>9</v>
      </c>
      <c r="BC782" s="30">
        <v>7</v>
      </c>
      <c r="BD782" s="30">
        <v>5</v>
      </c>
      <c r="BE782" s="30">
        <v>12</v>
      </c>
      <c r="BF782" s="30">
        <v>6</v>
      </c>
      <c r="BG782" s="30">
        <v>3</v>
      </c>
      <c r="BH782" s="30">
        <v>5</v>
      </c>
      <c r="BI782" s="30">
        <v>6</v>
      </c>
      <c r="BJ782" s="30">
        <v>3</v>
      </c>
      <c r="BK782" s="30">
        <v>7</v>
      </c>
      <c r="BL782" s="30">
        <v>4</v>
      </c>
      <c r="BM782" s="30">
        <v>3</v>
      </c>
      <c r="BN782" s="30">
        <v>2</v>
      </c>
      <c r="BO782" s="30">
        <v>3</v>
      </c>
      <c r="BP782" s="30">
        <v>3</v>
      </c>
      <c r="BQ782" s="30">
        <v>1</v>
      </c>
      <c r="BR782" s="30">
        <v>2</v>
      </c>
      <c r="BS782" s="30">
        <v>0</v>
      </c>
      <c r="BT782" s="30">
        <v>1</v>
      </c>
      <c r="BU782" s="30">
        <v>1</v>
      </c>
      <c r="BV782" s="30">
        <v>2</v>
      </c>
      <c r="BW782" s="30">
        <v>1</v>
      </c>
      <c r="BX782" s="30">
        <v>0</v>
      </c>
      <c r="BY782" s="30">
        <v>0</v>
      </c>
      <c r="BZ782" s="30">
        <v>0</v>
      </c>
      <c r="CA782" s="30">
        <v>1</v>
      </c>
      <c r="CB782" s="30">
        <v>0</v>
      </c>
      <c r="CC782" s="30">
        <v>1</v>
      </c>
      <c r="CD782" s="30">
        <v>0</v>
      </c>
      <c r="CE782" s="30">
        <v>1</v>
      </c>
      <c r="CF782" s="30">
        <v>0</v>
      </c>
      <c r="CG782" s="30">
        <v>0</v>
      </c>
      <c r="CH782" s="30">
        <v>0</v>
      </c>
      <c r="CI782" s="30">
        <v>0</v>
      </c>
      <c r="CJ782" s="30">
        <v>0</v>
      </c>
      <c r="CK782" s="30">
        <v>1</v>
      </c>
      <c r="CL782" s="30">
        <v>0</v>
      </c>
      <c r="CM782" s="30">
        <v>2</v>
      </c>
      <c r="CN782" s="30">
        <v>0</v>
      </c>
      <c r="CO782" s="30">
        <v>0</v>
      </c>
      <c r="CP782" s="30">
        <v>0</v>
      </c>
      <c r="CQ782" s="30">
        <v>0</v>
      </c>
      <c r="CR782" s="30">
        <v>0</v>
      </c>
      <c r="CS782" s="30">
        <v>0</v>
      </c>
      <c r="CT782" s="30">
        <v>1</v>
      </c>
      <c r="CU782" s="30">
        <v>0</v>
      </c>
      <c r="CV782" s="30">
        <v>0</v>
      </c>
      <c r="CW782" s="30">
        <v>0</v>
      </c>
      <c r="CX782" s="30">
        <v>0</v>
      </c>
      <c r="CY782" s="30">
        <v>0</v>
      </c>
      <c r="CZ782" s="30">
        <v>0</v>
      </c>
      <c r="DA782" s="30">
        <v>0</v>
      </c>
      <c r="DB782" s="30">
        <v>0</v>
      </c>
      <c r="DC782" s="30">
        <v>1</v>
      </c>
      <c r="DD782" s="30">
        <v>0</v>
      </c>
      <c r="DE782" s="30">
        <v>0</v>
      </c>
      <c r="DF782" s="30">
        <v>0</v>
      </c>
      <c r="DG782" s="16">
        <f t="shared" si="64"/>
        <v>234</v>
      </c>
      <c r="DH782" s="16">
        <f t="shared" si="65"/>
        <v>8678</v>
      </c>
      <c r="DI782" s="17">
        <f t="shared" si="66"/>
        <v>37.085470085470085</v>
      </c>
      <c r="DJ782" s="119" t="s">
        <v>720</v>
      </c>
      <c r="DK782" s="44" t="s">
        <v>720</v>
      </c>
    </row>
    <row r="783" spans="1:115">
      <c r="A783" s="32" t="str">
        <f t="shared" si="62"/>
        <v>Ausgrid--METERS - 3 PHASE</v>
      </c>
      <c r="B783" s="32" t="str">
        <f t="shared" si="63"/>
        <v>Ausgrid</v>
      </c>
      <c r="C783" s="397"/>
      <c r="D783" s="31"/>
      <c r="E783" s="30" t="s">
        <v>716</v>
      </c>
      <c r="F783" s="19">
        <v>38.840000000000003</v>
      </c>
      <c r="G783" s="19">
        <v>24.13</v>
      </c>
      <c r="H783" s="30">
        <v>17559</v>
      </c>
      <c r="I783" s="30">
        <v>34877</v>
      </c>
      <c r="J783" s="30">
        <v>29494</v>
      </c>
      <c r="K783" s="30">
        <v>16467</v>
      </c>
      <c r="L783" s="30">
        <v>14067</v>
      </c>
      <c r="M783" s="30">
        <v>15728</v>
      </c>
      <c r="N783" s="30">
        <v>16873</v>
      </c>
      <c r="O783" s="30">
        <v>13466</v>
      </c>
      <c r="P783" s="30">
        <v>5709</v>
      </c>
      <c r="Q783" s="30">
        <v>276</v>
      </c>
      <c r="R783" s="30">
        <v>535</v>
      </c>
      <c r="S783" s="30">
        <v>552</v>
      </c>
      <c r="T783" s="30">
        <v>323</v>
      </c>
      <c r="U783" s="30">
        <v>509</v>
      </c>
      <c r="V783" s="30">
        <v>385</v>
      </c>
      <c r="W783" s="30">
        <v>544</v>
      </c>
      <c r="X783" s="30">
        <v>329</v>
      </c>
      <c r="Y783" s="30">
        <v>431</v>
      </c>
      <c r="Z783" s="30">
        <v>965</v>
      </c>
      <c r="AA783" s="30">
        <v>468</v>
      </c>
      <c r="AB783" s="30">
        <v>470</v>
      </c>
      <c r="AC783" s="30">
        <v>499</v>
      </c>
      <c r="AD783" s="30">
        <v>570</v>
      </c>
      <c r="AE783" s="30">
        <v>767</v>
      </c>
      <c r="AF783" s="30">
        <v>1324</v>
      </c>
      <c r="AG783" s="30">
        <v>1297</v>
      </c>
      <c r="AH783" s="30">
        <v>1951</v>
      </c>
      <c r="AI783" s="30">
        <v>2220</v>
      </c>
      <c r="AJ783" s="30">
        <v>2210</v>
      </c>
      <c r="AK783" s="30">
        <v>2418</v>
      </c>
      <c r="AL783" s="30">
        <v>1488</v>
      </c>
      <c r="AM783" s="30">
        <v>1814</v>
      </c>
      <c r="AN783" s="30">
        <v>2026</v>
      </c>
      <c r="AO783" s="30">
        <v>8787</v>
      </c>
      <c r="AP783" s="30">
        <v>1188</v>
      </c>
      <c r="AQ783" s="30">
        <v>1051</v>
      </c>
      <c r="AR783" s="30">
        <v>1923</v>
      </c>
      <c r="AS783" s="30">
        <v>678</v>
      </c>
      <c r="AT783" s="30">
        <v>312</v>
      </c>
      <c r="AU783" s="30">
        <v>221</v>
      </c>
      <c r="AV783" s="30">
        <v>130</v>
      </c>
      <c r="AW783" s="30">
        <v>62</v>
      </c>
      <c r="AX783" s="30">
        <v>31</v>
      </c>
      <c r="AY783" s="30">
        <v>646</v>
      </c>
      <c r="AZ783" s="30">
        <v>264</v>
      </c>
      <c r="BA783" s="30">
        <v>584</v>
      </c>
      <c r="BB783" s="30">
        <v>3116</v>
      </c>
      <c r="BC783" s="30">
        <v>8</v>
      </c>
      <c r="BD783" s="30">
        <v>666</v>
      </c>
      <c r="BE783" s="30">
        <v>1508</v>
      </c>
      <c r="BF783" s="30">
        <v>271</v>
      </c>
      <c r="BG783" s="30">
        <v>108</v>
      </c>
      <c r="BH783" s="30">
        <v>39</v>
      </c>
      <c r="BI783" s="30">
        <v>44</v>
      </c>
      <c r="BJ783" s="30">
        <v>29</v>
      </c>
      <c r="BK783" s="30">
        <v>45</v>
      </c>
      <c r="BL783" s="30">
        <v>6</v>
      </c>
      <c r="BM783" s="30">
        <v>0</v>
      </c>
      <c r="BN783" s="30">
        <v>2</v>
      </c>
      <c r="BO783" s="30">
        <v>0</v>
      </c>
      <c r="BP783" s="30">
        <v>0</v>
      </c>
      <c r="BQ783" s="30">
        <v>0</v>
      </c>
      <c r="BR783" s="30">
        <v>1</v>
      </c>
      <c r="BS783" s="30">
        <v>1</v>
      </c>
      <c r="BT783" s="30">
        <v>0</v>
      </c>
      <c r="BU783" s="30">
        <v>0</v>
      </c>
      <c r="BV783" s="30">
        <v>0</v>
      </c>
      <c r="BW783" s="30">
        <v>0</v>
      </c>
      <c r="BX783" s="30">
        <v>0</v>
      </c>
      <c r="BY783" s="30">
        <v>0</v>
      </c>
      <c r="BZ783" s="30">
        <v>0</v>
      </c>
      <c r="CA783" s="30">
        <v>0</v>
      </c>
      <c r="CB783" s="30">
        <v>0</v>
      </c>
      <c r="CC783" s="30">
        <v>0</v>
      </c>
      <c r="CD783" s="30">
        <v>0</v>
      </c>
      <c r="CE783" s="30">
        <v>0</v>
      </c>
      <c r="CF783" s="30">
        <v>1</v>
      </c>
      <c r="CG783" s="30">
        <v>0</v>
      </c>
      <c r="CH783" s="30">
        <v>0</v>
      </c>
      <c r="CI783" s="30">
        <v>0</v>
      </c>
      <c r="CJ783" s="30">
        <v>0</v>
      </c>
      <c r="CK783" s="30">
        <v>0</v>
      </c>
      <c r="CL783" s="30">
        <v>0</v>
      </c>
      <c r="CM783" s="30">
        <v>0</v>
      </c>
      <c r="CN783" s="30">
        <v>0</v>
      </c>
      <c r="CO783" s="30">
        <v>0</v>
      </c>
      <c r="CP783" s="30">
        <v>0</v>
      </c>
      <c r="CQ783" s="30">
        <v>0</v>
      </c>
      <c r="CR783" s="30">
        <v>0</v>
      </c>
      <c r="CS783" s="30">
        <v>0</v>
      </c>
      <c r="CT783" s="30">
        <v>0</v>
      </c>
      <c r="CU783" s="30">
        <v>0</v>
      </c>
      <c r="CV783" s="30">
        <v>0</v>
      </c>
      <c r="CW783" s="30">
        <v>3</v>
      </c>
      <c r="CX783" s="30">
        <v>0</v>
      </c>
      <c r="CY783" s="30">
        <v>0</v>
      </c>
      <c r="CZ783" s="30">
        <v>0</v>
      </c>
      <c r="DA783" s="30">
        <v>0</v>
      </c>
      <c r="DB783" s="30">
        <v>0</v>
      </c>
      <c r="DC783" s="30">
        <v>0</v>
      </c>
      <c r="DD783" s="30">
        <v>0</v>
      </c>
      <c r="DE783" s="30">
        <v>0</v>
      </c>
      <c r="DF783" s="30">
        <v>23</v>
      </c>
      <c r="DG783" s="16">
        <f t="shared" si="64"/>
        <v>210359</v>
      </c>
      <c r="DH783" s="16">
        <f t="shared" si="65"/>
        <v>2166106</v>
      </c>
      <c r="DI783" s="17">
        <f t="shared" si="66"/>
        <v>10.297187189518871</v>
      </c>
      <c r="DJ783" s="119" t="s">
        <v>720</v>
      </c>
      <c r="DK783" s="44" t="s">
        <v>720</v>
      </c>
    </row>
    <row r="784" spans="1:115">
      <c r="A784" s="32" t="str">
        <f t="shared" si="62"/>
        <v>Ausgrid--METERS - 1 PHASE</v>
      </c>
      <c r="B784" s="32" t="str">
        <f t="shared" si="63"/>
        <v>Ausgrid</v>
      </c>
      <c r="C784" s="397"/>
      <c r="D784" s="31"/>
      <c r="E784" s="30" t="s">
        <v>717</v>
      </c>
      <c r="F784" s="19">
        <v>59.74</v>
      </c>
      <c r="G784" s="19">
        <v>41.91</v>
      </c>
      <c r="H784" s="30">
        <v>67166</v>
      </c>
      <c r="I784" s="30">
        <v>118913</v>
      </c>
      <c r="J784" s="30">
        <v>93659</v>
      </c>
      <c r="K784" s="30">
        <v>91761</v>
      </c>
      <c r="L784" s="30">
        <v>61071</v>
      </c>
      <c r="M784" s="30">
        <v>59076</v>
      </c>
      <c r="N784" s="30">
        <v>83821</v>
      </c>
      <c r="O784" s="30">
        <v>50938</v>
      </c>
      <c r="P784" s="30">
        <v>47060</v>
      </c>
      <c r="Q784" s="30">
        <v>19371</v>
      </c>
      <c r="R784" s="30">
        <v>41061</v>
      </c>
      <c r="S784" s="30">
        <v>36598</v>
      </c>
      <c r="T784" s="30">
        <v>52546</v>
      </c>
      <c r="U784" s="30">
        <v>55642</v>
      </c>
      <c r="V784" s="30">
        <v>52726</v>
      </c>
      <c r="W784" s="30">
        <v>42969</v>
      </c>
      <c r="X784" s="30">
        <v>40726</v>
      </c>
      <c r="Y784" s="30">
        <v>43693</v>
      </c>
      <c r="Z784" s="30">
        <v>50972</v>
      </c>
      <c r="AA784" s="30">
        <v>50063</v>
      </c>
      <c r="AB784" s="30">
        <v>46895</v>
      </c>
      <c r="AC784" s="30">
        <v>45227</v>
      </c>
      <c r="AD784" s="30">
        <v>47586</v>
      </c>
      <c r="AE784" s="30">
        <v>47405</v>
      </c>
      <c r="AF784" s="30">
        <v>45343</v>
      </c>
      <c r="AG784" s="30">
        <v>42468</v>
      </c>
      <c r="AH784" s="30">
        <v>38963</v>
      </c>
      <c r="AI784" s="30">
        <v>43471</v>
      </c>
      <c r="AJ784" s="30">
        <v>41081</v>
      </c>
      <c r="AK784" s="30">
        <v>36537</v>
      </c>
      <c r="AL784" s="30">
        <v>34323</v>
      </c>
      <c r="AM784" s="30">
        <v>26097</v>
      </c>
      <c r="AN784" s="30">
        <v>30050</v>
      </c>
      <c r="AO784" s="30">
        <v>120461</v>
      </c>
      <c r="AP784" s="30">
        <v>17500</v>
      </c>
      <c r="AQ784" s="30">
        <v>14219</v>
      </c>
      <c r="AR784" s="30">
        <v>14549</v>
      </c>
      <c r="AS784" s="30">
        <v>15589</v>
      </c>
      <c r="AT784" s="30">
        <v>16777</v>
      </c>
      <c r="AU784" s="30">
        <v>23405</v>
      </c>
      <c r="AV784" s="30">
        <v>12731</v>
      </c>
      <c r="AW784" s="30">
        <v>4378</v>
      </c>
      <c r="AX784" s="30">
        <v>38296</v>
      </c>
      <c r="AY784" s="30">
        <v>22391</v>
      </c>
      <c r="AZ784" s="30">
        <v>20689</v>
      </c>
      <c r="BA784" s="30">
        <v>20443</v>
      </c>
      <c r="BB784" s="30">
        <v>18734</v>
      </c>
      <c r="BC784" s="30">
        <v>18113</v>
      </c>
      <c r="BD784" s="30">
        <v>18079</v>
      </c>
      <c r="BE784" s="30">
        <v>18924</v>
      </c>
      <c r="BF784" s="30">
        <v>17140</v>
      </c>
      <c r="BG784" s="30">
        <v>1656</v>
      </c>
      <c r="BH784" s="30">
        <v>23912</v>
      </c>
      <c r="BI784" s="30">
        <v>11999</v>
      </c>
      <c r="BJ784" s="30">
        <v>10808</v>
      </c>
      <c r="BK784" s="30">
        <v>20878</v>
      </c>
      <c r="BL784" s="30">
        <v>32</v>
      </c>
      <c r="BM784" s="30">
        <v>18147</v>
      </c>
      <c r="BN784" s="30">
        <v>102</v>
      </c>
      <c r="BO784" s="30">
        <v>52</v>
      </c>
      <c r="BP784" s="30">
        <v>60</v>
      </c>
      <c r="BQ784" s="30">
        <v>2</v>
      </c>
      <c r="BR784" s="30">
        <v>77</v>
      </c>
      <c r="BS784" s="30">
        <v>27</v>
      </c>
      <c r="BT784" s="30">
        <v>0</v>
      </c>
      <c r="BU784" s="30">
        <v>39</v>
      </c>
      <c r="BV784" s="30">
        <v>28</v>
      </c>
      <c r="BW784" s="30">
        <v>27</v>
      </c>
      <c r="BX784" s="30">
        <v>10</v>
      </c>
      <c r="BY784" s="30">
        <v>1</v>
      </c>
      <c r="BZ784" s="30">
        <v>0</v>
      </c>
      <c r="CA784" s="30">
        <v>18</v>
      </c>
      <c r="CB784" s="30">
        <v>14</v>
      </c>
      <c r="CC784" s="30">
        <v>17</v>
      </c>
      <c r="CD784" s="30">
        <v>24</v>
      </c>
      <c r="CE784" s="30">
        <v>12</v>
      </c>
      <c r="CF784" s="30">
        <v>69</v>
      </c>
      <c r="CG784" s="30">
        <v>8</v>
      </c>
      <c r="CH784" s="30">
        <v>10</v>
      </c>
      <c r="CI784" s="30">
        <v>0</v>
      </c>
      <c r="CJ784" s="30">
        <v>2</v>
      </c>
      <c r="CK784" s="30">
        <v>0</v>
      </c>
      <c r="CL784" s="30">
        <v>0</v>
      </c>
      <c r="CM784" s="30">
        <v>0</v>
      </c>
      <c r="CN784" s="30">
        <v>0</v>
      </c>
      <c r="CO784" s="30">
        <v>0</v>
      </c>
      <c r="CP784" s="30">
        <v>0</v>
      </c>
      <c r="CQ784" s="30">
        <v>0</v>
      </c>
      <c r="CR784" s="30">
        <v>0</v>
      </c>
      <c r="CS784" s="30">
        <v>0</v>
      </c>
      <c r="CT784" s="30">
        <v>0</v>
      </c>
      <c r="CU784" s="30">
        <v>0</v>
      </c>
      <c r="CV784" s="30">
        <v>0</v>
      </c>
      <c r="CW784" s="30">
        <v>0</v>
      </c>
      <c r="CX784" s="30">
        <v>0</v>
      </c>
      <c r="CY784" s="30">
        <v>0</v>
      </c>
      <c r="CZ784" s="30">
        <v>0</v>
      </c>
      <c r="DA784" s="30">
        <v>0</v>
      </c>
      <c r="DB784" s="30">
        <v>0</v>
      </c>
      <c r="DC784" s="30">
        <v>0</v>
      </c>
      <c r="DD784" s="30">
        <v>0</v>
      </c>
      <c r="DE784" s="30">
        <v>0</v>
      </c>
      <c r="DF784" s="30">
        <v>0</v>
      </c>
      <c r="DG784" s="16">
        <f t="shared" si="64"/>
        <v>2205727</v>
      </c>
      <c r="DH784" s="16">
        <f t="shared" si="65"/>
        <v>46866968</v>
      </c>
      <c r="DI784" s="17">
        <f t="shared" si="66"/>
        <v>21.247855242285198</v>
      </c>
      <c r="DJ784" s="119" t="s">
        <v>720</v>
      </c>
      <c r="DK784" s="44" t="s">
        <v>720</v>
      </c>
    </row>
    <row r="785" spans="1:117" ht="60" customHeight="1">
      <c r="A785" s="32" t="str">
        <f t="shared" si="62"/>
        <v>Ergon-POLES BY: 
HIGHEST OPERATING VOLTAGE ; MATERIAL TYPE;  STAKING (IF WOOD)-STAKING OF A WOODEN POLE</v>
      </c>
      <c r="B785" s="32" t="str">
        <f t="shared" si="63"/>
        <v>Ergon</v>
      </c>
      <c r="C785" s="386" t="s">
        <v>1147</v>
      </c>
      <c r="D785" s="31" t="s">
        <v>311</v>
      </c>
      <c r="E785" s="44" t="s">
        <v>117</v>
      </c>
      <c r="F785" s="44">
        <v>20</v>
      </c>
      <c r="G785" s="44">
        <v>4.47</v>
      </c>
      <c r="H785" s="44">
        <v>4061</v>
      </c>
      <c r="I785" s="44">
        <v>2958</v>
      </c>
      <c r="J785" s="44">
        <v>2699</v>
      </c>
      <c r="K785" s="44">
        <v>2794</v>
      </c>
      <c r="L785" s="44">
        <v>2774</v>
      </c>
      <c r="M785" s="44">
        <v>2616</v>
      </c>
      <c r="N785" s="44">
        <v>2547</v>
      </c>
      <c r="O785" s="44">
        <v>4195</v>
      </c>
      <c r="P785" s="44">
        <v>2500</v>
      </c>
      <c r="Q785" s="44">
        <v>2000</v>
      </c>
      <c r="R785" s="44">
        <v>1700</v>
      </c>
      <c r="S785" s="44">
        <v>1500</v>
      </c>
      <c r="T785" s="44">
        <v>1500</v>
      </c>
      <c r="U785" s="44">
        <v>1500</v>
      </c>
      <c r="V785" s="44">
        <v>1500</v>
      </c>
      <c r="W785" s="44">
        <v>800</v>
      </c>
      <c r="X785" s="44">
        <v>800</v>
      </c>
      <c r="Y785" s="44">
        <v>800</v>
      </c>
      <c r="Z785" s="44">
        <v>800</v>
      </c>
      <c r="AA785" s="44">
        <v>800</v>
      </c>
      <c r="AB785" s="44">
        <v>800</v>
      </c>
      <c r="AC785" s="44">
        <v>400</v>
      </c>
      <c r="AD785" s="44">
        <v>400</v>
      </c>
      <c r="AE785" s="44">
        <v>400</v>
      </c>
      <c r="AF785" s="44">
        <v>200</v>
      </c>
      <c r="AG785" s="44">
        <v>100</v>
      </c>
      <c r="AH785" s="44">
        <v>100</v>
      </c>
      <c r="AI785" s="44">
        <v>100</v>
      </c>
      <c r="AJ785" s="44">
        <v>0</v>
      </c>
      <c r="AK785" s="44">
        <v>0</v>
      </c>
      <c r="AL785" s="44">
        <v>0</v>
      </c>
      <c r="AM785" s="44">
        <v>0</v>
      </c>
      <c r="AN785" s="44">
        <v>0</v>
      </c>
      <c r="AO785" s="44">
        <v>0</v>
      </c>
      <c r="AP785" s="44">
        <v>0</v>
      </c>
      <c r="AQ785" s="44">
        <v>0</v>
      </c>
      <c r="AR785" s="44">
        <v>0</v>
      </c>
      <c r="AS785" s="44">
        <v>0</v>
      </c>
      <c r="AT785" s="44">
        <v>0</v>
      </c>
      <c r="AU785" s="44">
        <v>0</v>
      </c>
      <c r="AV785" s="44">
        <v>0</v>
      </c>
      <c r="AW785" s="44">
        <v>0</v>
      </c>
      <c r="AX785" s="44">
        <v>0</v>
      </c>
      <c r="AY785" s="44">
        <v>0</v>
      </c>
      <c r="AZ785" s="44">
        <v>0</v>
      </c>
      <c r="BA785" s="44">
        <v>0</v>
      </c>
      <c r="BB785" s="44">
        <v>0</v>
      </c>
      <c r="BC785" s="44">
        <v>0</v>
      </c>
      <c r="BD785" s="44">
        <v>0</v>
      </c>
      <c r="BE785" s="44">
        <v>0</v>
      </c>
      <c r="BF785" s="44">
        <v>0</v>
      </c>
      <c r="BG785" s="44">
        <v>0</v>
      </c>
      <c r="BH785" s="44">
        <v>0</v>
      </c>
      <c r="BI785" s="44">
        <v>0</v>
      </c>
      <c r="BJ785" s="44">
        <v>0</v>
      </c>
      <c r="BK785" s="44">
        <v>0</v>
      </c>
      <c r="BL785" s="44">
        <v>0</v>
      </c>
      <c r="BM785" s="44">
        <v>0</v>
      </c>
      <c r="BN785" s="44">
        <v>0</v>
      </c>
      <c r="BO785" s="44">
        <v>0</v>
      </c>
      <c r="BP785" s="44">
        <v>0</v>
      </c>
      <c r="BQ785" s="44">
        <v>0</v>
      </c>
      <c r="BR785" s="44">
        <v>0</v>
      </c>
      <c r="BS785" s="44">
        <v>0</v>
      </c>
      <c r="BT785" s="44">
        <v>0</v>
      </c>
      <c r="BU785" s="44">
        <v>0</v>
      </c>
      <c r="BV785" s="44">
        <v>0</v>
      </c>
      <c r="BW785" s="44">
        <v>0</v>
      </c>
      <c r="BX785" s="44">
        <v>0</v>
      </c>
      <c r="BY785" s="44">
        <v>0</v>
      </c>
      <c r="BZ785" s="44">
        <v>0</v>
      </c>
      <c r="CA785" s="44">
        <v>0</v>
      </c>
      <c r="CB785" s="44">
        <v>0</v>
      </c>
      <c r="CC785" s="44">
        <v>0</v>
      </c>
      <c r="CD785" s="44">
        <v>0</v>
      </c>
      <c r="CE785" s="44">
        <v>0</v>
      </c>
      <c r="CF785" s="44">
        <v>0</v>
      </c>
      <c r="CG785" s="44">
        <v>0</v>
      </c>
      <c r="CH785" s="44">
        <v>0</v>
      </c>
      <c r="CI785" s="44">
        <v>0</v>
      </c>
      <c r="CJ785" s="44">
        <v>0</v>
      </c>
      <c r="CK785" s="44">
        <v>0</v>
      </c>
      <c r="CL785" s="44">
        <v>0</v>
      </c>
      <c r="CM785" s="44">
        <v>0</v>
      </c>
      <c r="CN785" s="44">
        <v>0</v>
      </c>
      <c r="CO785" s="44">
        <v>0</v>
      </c>
      <c r="CP785" s="44">
        <v>0</v>
      </c>
      <c r="CQ785" s="44">
        <v>0</v>
      </c>
      <c r="CR785" s="44">
        <v>0</v>
      </c>
      <c r="CS785" s="44">
        <v>0</v>
      </c>
      <c r="CT785" s="44">
        <v>0</v>
      </c>
      <c r="CU785" s="44">
        <v>0</v>
      </c>
      <c r="CV785" s="44">
        <v>0</v>
      </c>
      <c r="CW785" s="44">
        <v>0</v>
      </c>
      <c r="CX785" s="44">
        <v>0</v>
      </c>
      <c r="CY785" s="44">
        <v>0</v>
      </c>
      <c r="CZ785" s="44">
        <v>0</v>
      </c>
      <c r="DA785" s="44">
        <v>0</v>
      </c>
      <c r="DB785" s="44">
        <v>0</v>
      </c>
      <c r="DC785" s="44">
        <v>0</v>
      </c>
      <c r="DD785" s="44">
        <v>0</v>
      </c>
      <c r="DE785" s="44">
        <v>0</v>
      </c>
      <c r="DF785" s="44">
        <v>0</v>
      </c>
      <c r="DG785" s="16">
        <f t="shared" si="64"/>
        <v>43344</v>
      </c>
      <c r="DH785" s="16">
        <f t="shared" si="65"/>
        <v>381905</v>
      </c>
      <c r="DI785" s="17">
        <f t="shared" si="66"/>
        <v>8.8110234403839058</v>
      </c>
      <c r="DJ785" s="119" t="s">
        <v>1</v>
      </c>
      <c r="DK785" t="s">
        <v>1</v>
      </c>
      <c r="DL785" s="44" t="s">
        <v>117</v>
      </c>
      <c r="DM785" s="44"/>
    </row>
    <row r="786" spans="1:117">
      <c r="A786" s="32" t="str">
        <f t="shared" si="62"/>
        <v>Ergon--˂ = 1 kV; WOOD</v>
      </c>
      <c r="B786" s="32" t="str">
        <f t="shared" si="63"/>
        <v>Ergon</v>
      </c>
      <c r="C786" s="387"/>
      <c r="D786" s="44"/>
      <c r="E786" s="44" t="s">
        <v>119</v>
      </c>
      <c r="F786" s="44">
        <v>47.5</v>
      </c>
      <c r="G786" s="44">
        <v>6.89</v>
      </c>
      <c r="H786" s="44">
        <v>66</v>
      </c>
      <c r="I786" s="44">
        <v>941</v>
      </c>
      <c r="J786" s="44">
        <v>1510</v>
      </c>
      <c r="K786" s="44">
        <v>1872</v>
      </c>
      <c r="L786" s="44">
        <v>1970</v>
      </c>
      <c r="M786" s="44">
        <v>2259</v>
      </c>
      <c r="N786" s="44">
        <v>4454</v>
      </c>
      <c r="O786" s="44">
        <v>4723</v>
      </c>
      <c r="P786" s="44">
        <v>5744</v>
      </c>
      <c r="Q786" s="44">
        <v>5763</v>
      </c>
      <c r="R786" s="44">
        <v>5018</v>
      </c>
      <c r="S786" s="44">
        <v>4994</v>
      </c>
      <c r="T786" s="44">
        <v>5062</v>
      </c>
      <c r="U786" s="44">
        <v>4459</v>
      </c>
      <c r="V786" s="44">
        <v>3998</v>
      </c>
      <c r="W786" s="44">
        <v>4492</v>
      </c>
      <c r="X786" s="44">
        <v>4568</v>
      </c>
      <c r="Y786" s="44">
        <v>5045</v>
      </c>
      <c r="Z786" s="44">
        <v>5946</v>
      </c>
      <c r="AA786" s="44">
        <v>5468</v>
      </c>
      <c r="AB786" s="44">
        <v>5321</v>
      </c>
      <c r="AC786" s="44">
        <v>5917</v>
      </c>
      <c r="AD786" s="44">
        <v>5316</v>
      </c>
      <c r="AE786" s="44">
        <v>5195</v>
      </c>
      <c r="AF786" s="44">
        <v>5142</v>
      </c>
      <c r="AG786" s="44">
        <v>3969</v>
      </c>
      <c r="AH786" s="44">
        <v>3608</v>
      </c>
      <c r="AI786" s="44">
        <v>5031</v>
      </c>
      <c r="AJ786" s="44">
        <v>5660</v>
      </c>
      <c r="AK786" s="44">
        <v>5482</v>
      </c>
      <c r="AL786" s="44">
        <v>4736</v>
      </c>
      <c r="AM786" s="44">
        <v>6248</v>
      </c>
      <c r="AN786" s="44">
        <v>5263</v>
      </c>
      <c r="AO786" s="44">
        <v>4815</v>
      </c>
      <c r="AP786" s="44">
        <v>3695</v>
      </c>
      <c r="AQ786" s="44">
        <v>4438</v>
      </c>
      <c r="AR786" s="44">
        <v>4556</v>
      </c>
      <c r="AS786" s="44">
        <v>4569</v>
      </c>
      <c r="AT786" s="44">
        <v>4219</v>
      </c>
      <c r="AU786" s="44">
        <v>4468</v>
      </c>
      <c r="AV786" s="44">
        <v>3625</v>
      </c>
      <c r="AW786" s="44">
        <v>3762</v>
      </c>
      <c r="AX786" s="44">
        <v>3860</v>
      </c>
      <c r="AY786" s="44">
        <v>4426</v>
      </c>
      <c r="AZ786" s="44">
        <v>3627</v>
      </c>
      <c r="BA786" s="44">
        <v>3244</v>
      </c>
      <c r="BB786" s="44">
        <v>2454</v>
      </c>
      <c r="BC786" s="44">
        <v>2563</v>
      </c>
      <c r="BD786" s="44">
        <v>2480</v>
      </c>
      <c r="BE786" s="44">
        <v>2112</v>
      </c>
      <c r="BF786" s="44">
        <v>3348</v>
      </c>
      <c r="BG786" s="44">
        <v>1887</v>
      </c>
      <c r="BH786" s="44">
        <v>1879</v>
      </c>
      <c r="BI786" s="44">
        <v>1969</v>
      </c>
      <c r="BJ786" s="44">
        <v>1930</v>
      </c>
      <c r="BK786" s="44">
        <v>1872</v>
      </c>
      <c r="BL786" s="44">
        <v>1870</v>
      </c>
      <c r="BM786" s="44">
        <v>1828</v>
      </c>
      <c r="BN786" s="44">
        <v>1802</v>
      </c>
      <c r="BO786" s="44">
        <v>1871</v>
      </c>
      <c r="BP786" s="44">
        <v>1922</v>
      </c>
      <c r="BQ786" s="44">
        <v>1860</v>
      </c>
      <c r="BR786" s="44">
        <v>1851</v>
      </c>
      <c r="BS786" s="44">
        <v>1872</v>
      </c>
      <c r="BT786" s="44">
        <v>1</v>
      </c>
      <c r="BU786" s="44">
        <v>0</v>
      </c>
      <c r="BV786" s="44">
        <v>8</v>
      </c>
      <c r="BW786" s="44">
        <v>0</v>
      </c>
      <c r="BX786" s="44">
        <v>0</v>
      </c>
      <c r="BY786" s="44">
        <v>0</v>
      </c>
      <c r="BZ786" s="44">
        <v>0</v>
      </c>
      <c r="CA786" s="44">
        <v>0</v>
      </c>
      <c r="CB786" s="44">
        <v>0</v>
      </c>
      <c r="CC786" s="44">
        <v>0</v>
      </c>
      <c r="CD786" s="44">
        <v>0</v>
      </c>
      <c r="CE786" s="44">
        <v>0</v>
      </c>
      <c r="CF786" s="44">
        <v>0</v>
      </c>
      <c r="CG786" s="44">
        <v>0</v>
      </c>
      <c r="CH786" s="44">
        <v>0</v>
      </c>
      <c r="CI786" s="44">
        <v>0</v>
      </c>
      <c r="CJ786" s="44">
        <v>0</v>
      </c>
      <c r="CK786" s="44">
        <v>0</v>
      </c>
      <c r="CL786" s="44">
        <v>0</v>
      </c>
      <c r="CM786" s="44">
        <v>0</v>
      </c>
      <c r="CN786" s="44">
        <v>0</v>
      </c>
      <c r="CO786" s="44">
        <v>0</v>
      </c>
      <c r="CP786" s="44">
        <v>0</v>
      </c>
      <c r="CQ786" s="44">
        <v>0</v>
      </c>
      <c r="CR786" s="44">
        <v>0</v>
      </c>
      <c r="CS786" s="44">
        <v>0</v>
      </c>
      <c r="CT786" s="44">
        <v>0</v>
      </c>
      <c r="CU786" s="44">
        <v>0</v>
      </c>
      <c r="CV786" s="44">
        <v>0</v>
      </c>
      <c r="CW786" s="44">
        <v>0</v>
      </c>
      <c r="CX786" s="44">
        <v>0</v>
      </c>
      <c r="CY786" s="44">
        <v>0</v>
      </c>
      <c r="CZ786" s="44">
        <v>0</v>
      </c>
      <c r="DA786" s="44">
        <v>0</v>
      </c>
      <c r="DB786" s="44">
        <v>0</v>
      </c>
      <c r="DC786" s="44">
        <v>0</v>
      </c>
      <c r="DD786" s="44">
        <v>0</v>
      </c>
      <c r="DE786" s="44">
        <v>0</v>
      </c>
      <c r="DF786" s="44">
        <v>0</v>
      </c>
      <c r="DG786" s="16">
        <f t="shared" si="64"/>
        <v>235923</v>
      </c>
      <c r="DH786" s="16">
        <f t="shared" si="65"/>
        <v>6959655</v>
      </c>
      <c r="DI786" s="17">
        <f t="shared" si="66"/>
        <v>29.49968845767475</v>
      </c>
      <c r="DJ786" s="119" t="s">
        <v>1</v>
      </c>
      <c r="DK786" s="44" t="s">
        <v>1</v>
      </c>
      <c r="DL786" s="44" t="s">
        <v>1328</v>
      </c>
      <c r="DM786" s="44"/>
    </row>
    <row r="787" spans="1:117">
      <c r="A787" s="32" t="str">
        <f t="shared" si="62"/>
        <v>Ergon--&gt; 1 kV &amp; &lt; = 11 kV; WOOD</v>
      </c>
      <c r="B787" s="32" t="str">
        <f t="shared" si="63"/>
        <v>Ergon</v>
      </c>
      <c r="C787" s="387"/>
      <c r="D787" s="44"/>
      <c r="E787" s="44" t="s">
        <v>121</v>
      </c>
      <c r="F787" s="44">
        <v>47.5</v>
      </c>
      <c r="G787" s="44">
        <v>6.89</v>
      </c>
      <c r="H787" s="44">
        <v>112</v>
      </c>
      <c r="I787" s="44">
        <v>2276</v>
      </c>
      <c r="J787" s="44">
        <v>2989</v>
      </c>
      <c r="K787" s="44">
        <v>2955</v>
      </c>
      <c r="L787" s="44">
        <v>3606</v>
      </c>
      <c r="M787" s="44">
        <v>5134</v>
      </c>
      <c r="N787" s="44">
        <v>7249</v>
      </c>
      <c r="O787" s="44">
        <v>6373</v>
      </c>
      <c r="P787" s="44">
        <v>5776</v>
      </c>
      <c r="Q787" s="44">
        <v>5379</v>
      </c>
      <c r="R787" s="44">
        <v>4406</v>
      </c>
      <c r="S787" s="44">
        <v>4531</v>
      </c>
      <c r="T787" s="44">
        <v>4514</v>
      </c>
      <c r="U787" s="44">
        <v>4392</v>
      </c>
      <c r="V787" s="44">
        <v>4028</v>
      </c>
      <c r="W787" s="44">
        <v>4643</v>
      </c>
      <c r="X787" s="44">
        <v>4971</v>
      </c>
      <c r="Y787" s="44">
        <v>5410</v>
      </c>
      <c r="Z787" s="44">
        <v>7070</v>
      </c>
      <c r="AA787" s="44">
        <v>5802</v>
      </c>
      <c r="AB787" s="44">
        <v>5318</v>
      </c>
      <c r="AC787" s="44">
        <v>5589</v>
      </c>
      <c r="AD787" s="44">
        <v>5251</v>
      </c>
      <c r="AE787" s="44">
        <v>5015</v>
      </c>
      <c r="AF787" s="44">
        <v>4395</v>
      </c>
      <c r="AG787" s="44">
        <v>3206</v>
      </c>
      <c r="AH787" s="44">
        <v>4035</v>
      </c>
      <c r="AI787" s="44">
        <v>5131</v>
      </c>
      <c r="AJ787" s="44">
        <v>6166</v>
      </c>
      <c r="AK787" s="44">
        <v>6169</v>
      </c>
      <c r="AL787" s="44">
        <v>5176</v>
      </c>
      <c r="AM787" s="44">
        <v>7547</v>
      </c>
      <c r="AN787" s="44">
        <v>6086</v>
      </c>
      <c r="AO787" s="44">
        <v>6080</v>
      </c>
      <c r="AP787" s="44">
        <v>3897</v>
      </c>
      <c r="AQ787" s="44">
        <v>4579</v>
      </c>
      <c r="AR787" s="44">
        <v>4378</v>
      </c>
      <c r="AS787" s="44">
        <v>4095</v>
      </c>
      <c r="AT787" s="44">
        <v>3625</v>
      </c>
      <c r="AU787" s="44">
        <v>4119</v>
      </c>
      <c r="AV787" s="44">
        <v>2566</v>
      </c>
      <c r="AW787" s="44">
        <v>3270</v>
      </c>
      <c r="AX787" s="44">
        <v>3661</v>
      </c>
      <c r="AY787" s="44">
        <v>4380</v>
      </c>
      <c r="AZ787" s="44">
        <v>3930</v>
      </c>
      <c r="BA787" s="44">
        <v>3728</v>
      </c>
      <c r="BB787" s="44">
        <v>3117</v>
      </c>
      <c r="BC787" s="44">
        <v>2891</v>
      </c>
      <c r="BD787" s="44">
        <v>3551</v>
      </c>
      <c r="BE787" s="44">
        <v>3884</v>
      </c>
      <c r="BF787" s="44">
        <v>4305</v>
      </c>
      <c r="BG787" s="44">
        <v>2490</v>
      </c>
      <c r="BH787" s="44">
        <v>2406</v>
      </c>
      <c r="BI787" s="44">
        <v>2487</v>
      </c>
      <c r="BJ787" s="44">
        <v>2390</v>
      </c>
      <c r="BK787" s="44">
        <v>2386</v>
      </c>
      <c r="BL787" s="44">
        <v>2371</v>
      </c>
      <c r="BM787" s="44">
        <v>2425</v>
      </c>
      <c r="BN787" s="44">
        <v>2431</v>
      </c>
      <c r="BO787" s="44">
        <v>2362</v>
      </c>
      <c r="BP787" s="44">
        <v>2360</v>
      </c>
      <c r="BQ787" s="44">
        <v>2386</v>
      </c>
      <c r="BR787" s="44">
        <v>2419</v>
      </c>
      <c r="BS787" s="44">
        <v>2382</v>
      </c>
      <c r="BT787" s="44">
        <v>0</v>
      </c>
      <c r="BU787" s="44">
        <v>0</v>
      </c>
      <c r="BV787" s="44">
        <v>6</v>
      </c>
      <c r="BW787" s="44">
        <v>0</v>
      </c>
      <c r="BX787" s="44">
        <v>0</v>
      </c>
      <c r="BY787" s="44">
        <v>0</v>
      </c>
      <c r="BZ787" s="44">
        <v>0</v>
      </c>
      <c r="CA787" s="44">
        <v>0</v>
      </c>
      <c r="CB787" s="44">
        <v>0</v>
      </c>
      <c r="CC787" s="44">
        <v>0</v>
      </c>
      <c r="CD787" s="44">
        <v>0</v>
      </c>
      <c r="CE787" s="44">
        <v>0</v>
      </c>
      <c r="CF787" s="44">
        <v>0</v>
      </c>
      <c r="CG787" s="44">
        <v>0</v>
      </c>
      <c r="CH787" s="44">
        <v>0</v>
      </c>
      <c r="CI787" s="44">
        <v>0</v>
      </c>
      <c r="CJ787" s="44">
        <v>0</v>
      </c>
      <c r="CK787" s="44">
        <v>0</v>
      </c>
      <c r="CL787" s="44">
        <v>0</v>
      </c>
      <c r="CM787" s="44">
        <v>0</v>
      </c>
      <c r="CN787" s="44">
        <v>0</v>
      </c>
      <c r="CO787" s="44">
        <v>0</v>
      </c>
      <c r="CP787" s="44">
        <v>0</v>
      </c>
      <c r="CQ787" s="44">
        <v>0</v>
      </c>
      <c r="CR787" s="44">
        <v>0</v>
      </c>
      <c r="CS787" s="44">
        <v>0</v>
      </c>
      <c r="CT787" s="44">
        <v>0</v>
      </c>
      <c r="CU787" s="44">
        <v>0</v>
      </c>
      <c r="CV787" s="44">
        <v>0</v>
      </c>
      <c r="CW787" s="44">
        <v>0</v>
      </c>
      <c r="CX787" s="44">
        <v>0</v>
      </c>
      <c r="CY787" s="44">
        <v>0</v>
      </c>
      <c r="CZ787" s="44">
        <v>0</v>
      </c>
      <c r="DA787" s="44">
        <v>0</v>
      </c>
      <c r="DB787" s="44">
        <v>0</v>
      </c>
      <c r="DC787" s="44">
        <v>0</v>
      </c>
      <c r="DD787" s="44">
        <v>0</v>
      </c>
      <c r="DE787" s="44">
        <v>0</v>
      </c>
      <c r="DF787" s="44">
        <v>0</v>
      </c>
      <c r="DG787" s="16">
        <f t="shared" si="64"/>
        <v>262057</v>
      </c>
      <c r="DH787" s="16">
        <f t="shared" si="65"/>
        <v>7720239</v>
      </c>
      <c r="DI787" s="17">
        <f t="shared" si="66"/>
        <v>29.460151799036087</v>
      </c>
      <c r="DJ787" s="119" t="s">
        <v>1</v>
      </c>
      <c r="DK787" s="44" t="s">
        <v>1</v>
      </c>
      <c r="DL787" s="44" t="s">
        <v>1328</v>
      </c>
      <c r="DM787" s="44"/>
    </row>
    <row r="788" spans="1:117">
      <c r="A788" s="32" t="str">
        <f t="shared" si="62"/>
        <v>Ergon--˃ 11 kV &amp; &lt; = 22 kV; WOOD</v>
      </c>
      <c r="B788" s="32" t="str">
        <f t="shared" si="63"/>
        <v>Ergon</v>
      </c>
      <c r="C788" s="387"/>
      <c r="D788" s="44"/>
      <c r="E788" s="44" t="s">
        <v>123</v>
      </c>
      <c r="F788" s="44">
        <v>47.5</v>
      </c>
      <c r="G788" s="44">
        <v>6.89</v>
      </c>
      <c r="H788" s="44">
        <v>195</v>
      </c>
      <c r="I788" s="44">
        <v>1690</v>
      </c>
      <c r="J788" s="44">
        <v>2546</v>
      </c>
      <c r="K788" s="44">
        <v>2073</v>
      </c>
      <c r="L788" s="44">
        <v>3198</v>
      </c>
      <c r="M788" s="44">
        <v>3845</v>
      </c>
      <c r="N788" s="44">
        <v>5115</v>
      </c>
      <c r="O788" s="44">
        <v>5164</v>
      </c>
      <c r="P788" s="44">
        <v>6282</v>
      </c>
      <c r="Q788" s="44">
        <v>5740</v>
      </c>
      <c r="R788" s="44">
        <v>5329</v>
      </c>
      <c r="S788" s="44">
        <v>6212</v>
      </c>
      <c r="T788" s="44">
        <v>6380</v>
      </c>
      <c r="U788" s="44">
        <v>5617</v>
      </c>
      <c r="V788" s="44">
        <v>5983</v>
      </c>
      <c r="W788" s="44">
        <v>3863</v>
      </c>
      <c r="X788" s="44">
        <v>3220</v>
      </c>
      <c r="Y788" s="44">
        <v>3424</v>
      </c>
      <c r="Z788" s="44">
        <v>4070</v>
      </c>
      <c r="AA788" s="44">
        <v>3951</v>
      </c>
      <c r="AB788" s="44">
        <v>4073</v>
      </c>
      <c r="AC788" s="44">
        <v>4125</v>
      </c>
      <c r="AD788" s="44">
        <v>5432</v>
      </c>
      <c r="AE788" s="44">
        <v>6062</v>
      </c>
      <c r="AF788" s="44">
        <v>8256</v>
      </c>
      <c r="AG788" s="44">
        <v>7215</v>
      </c>
      <c r="AH788" s="44">
        <v>10281</v>
      </c>
      <c r="AI788" s="44">
        <v>13532</v>
      </c>
      <c r="AJ788" s="44">
        <v>8838</v>
      </c>
      <c r="AK788" s="44">
        <v>9599</v>
      </c>
      <c r="AL788" s="44">
        <v>9097</v>
      </c>
      <c r="AM788" s="44">
        <v>13499</v>
      </c>
      <c r="AN788" s="44">
        <v>14589</v>
      </c>
      <c r="AO788" s="44">
        <v>8940</v>
      </c>
      <c r="AP788" s="44">
        <v>4034</v>
      </c>
      <c r="AQ788" s="44">
        <v>2777</v>
      </c>
      <c r="AR788" s="44">
        <v>4849</v>
      </c>
      <c r="AS788" s="44">
        <v>5290</v>
      </c>
      <c r="AT788" s="44">
        <v>10069</v>
      </c>
      <c r="AU788" s="44">
        <v>9092</v>
      </c>
      <c r="AV788" s="44">
        <v>3665</v>
      </c>
      <c r="AW788" s="44">
        <v>4059</v>
      </c>
      <c r="AX788" s="44">
        <v>5562</v>
      </c>
      <c r="AY788" s="44">
        <v>7288</v>
      </c>
      <c r="AZ788" s="44">
        <v>5143</v>
      </c>
      <c r="BA788" s="44">
        <v>4838</v>
      </c>
      <c r="BB788" s="44">
        <v>4037</v>
      </c>
      <c r="BC788" s="44">
        <v>4287</v>
      </c>
      <c r="BD788" s="44">
        <v>4502</v>
      </c>
      <c r="BE788" s="44">
        <v>3711</v>
      </c>
      <c r="BF788" s="44">
        <v>3477</v>
      </c>
      <c r="BG788" s="44">
        <v>1537</v>
      </c>
      <c r="BH788" s="44">
        <v>1364</v>
      </c>
      <c r="BI788" s="44">
        <v>1127</v>
      </c>
      <c r="BJ788" s="44">
        <v>1082</v>
      </c>
      <c r="BK788" s="44">
        <v>1063</v>
      </c>
      <c r="BL788" s="44">
        <v>1070</v>
      </c>
      <c r="BM788" s="44">
        <v>1055</v>
      </c>
      <c r="BN788" s="44">
        <v>1070</v>
      </c>
      <c r="BO788" s="44">
        <v>1037</v>
      </c>
      <c r="BP788" s="44">
        <v>1008</v>
      </c>
      <c r="BQ788" s="44">
        <v>1038</v>
      </c>
      <c r="BR788" s="44">
        <v>999</v>
      </c>
      <c r="BS788" s="44">
        <v>1028</v>
      </c>
      <c r="BT788" s="44">
        <v>0</v>
      </c>
      <c r="BU788" s="44">
        <v>0</v>
      </c>
      <c r="BV788" s="44">
        <v>0</v>
      </c>
      <c r="BW788" s="44">
        <v>0</v>
      </c>
      <c r="BX788" s="44">
        <v>0</v>
      </c>
      <c r="BY788" s="44">
        <v>0</v>
      </c>
      <c r="BZ788" s="44">
        <v>0</v>
      </c>
      <c r="CA788" s="44">
        <v>0</v>
      </c>
      <c r="CB788" s="44">
        <v>0</v>
      </c>
      <c r="CC788" s="44">
        <v>0</v>
      </c>
      <c r="CD788" s="44">
        <v>0</v>
      </c>
      <c r="CE788" s="44">
        <v>0</v>
      </c>
      <c r="CF788" s="44">
        <v>0</v>
      </c>
      <c r="CG788" s="44">
        <v>0</v>
      </c>
      <c r="CH788" s="44">
        <v>0</v>
      </c>
      <c r="CI788" s="44">
        <v>0</v>
      </c>
      <c r="CJ788" s="44">
        <v>0</v>
      </c>
      <c r="CK788" s="44">
        <v>0</v>
      </c>
      <c r="CL788" s="44">
        <v>0</v>
      </c>
      <c r="CM788" s="44">
        <v>0</v>
      </c>
      <c r="CN788" s="44">
        <v>0</v>
      </c>
      <c r="CO788" s="44">
        <v>0</v>
      </c>
      <c r="CP788" s="44">
        <v>0</v>
      </c>
      <c r="CQ788" s="44">
        <v>0</v>
      </c>
      <c r="CR788" s="44">
        <v>0</v>
      </c>
      <c r="CS788" s="44">
        <v>0</v>
      </c>
      <c r="CT788" s="44">
        <v>0</v>
      </c>
      <c r="CU788" s="44">
        <v>0</v>
      </c>
      <c r="CV788" s="44">
        <v>0</v>
      </c>
      <c r="CW788" s="44">
        <v>0</v>
      </c>
      <c r="CX788" s="44">
        <v>0</v>
      </c>
      <c r="CY788" s="44">
        <v>0</v>
      </c>
      <c r="CZ788" s="44">
        <v>0</v>
      </c>
      <c r="DA788" s="44">
        <v>0</v>
      </c>
      <c r="DB788" s="44">
        <v>0</v>
      </c>
      <c r="DC788" s="44">
        <v>0</v>
      </c>
      <c r="DD788" s="44">
        <v>0</v>
      </c>
      <c r="DE788" s="44">
        <v>0</v>
      </c>
      <c r="DF788" s="44">
        <v>0</v>
      </c>
      <c r="DG788" s="16">
        <f t="shared" si="64"/>
        <v>308593</v>
      </c>
      <c r="DH788" s="16">
        <f t="shared" si="65"/>
        <v>9035195</v>
      </c>
      <c r="DI788" s="17">
        <f t="shared" si="66"/>
        <v>29.278677740583877</v>
      </c>
      <c r="DJ788" s="119" t="s">
        <v>1</v>
      </c>
      <c r="DK788" s="44" t="s">
        <v>1</v>
      </c>
      <c r="DL788" s="44" t="s">
        <v>1328</v>
      </c>
      <c r="DM788" s="44"/>
    </row>
    <row r="789" spans="1:117">
      <c r="A789" s="32" t="str">
        <f t="shared" si="62"/>
        <v>Ergon--&gt; 22 kV &amp; &lt; = 66 kV; WOOD</v>
      </c>
      <c r="B789" s="32" t="str">
        <f t="shared" si="63"/>
        <v>Ergon</v>
      </c>
      <c r="C789" s="387"/>
      <c r="D789" s="44"/>
      <c r="E789" s="44" t="s">
        <v>125</v>
      </c>
      <c r="F789" s="44">
        <v>47.5</v>
      </c>
      <c r="G789" s="44">
        <v>6.89</v>
      </c>
      <c r="H789" s="44">
        <v>14</v>
      </c>
      <c r="I789" s="44">
        <v>205</v>
      </c>
      <c r="J789" s="44">
        <v>330</v>
      </c>
      <c r="K789" s="44">
        <v>256</v>
      </c>
      <c r="L789" s="44">
        <v>395</v>
      </c>
      <c r="M789" s="44">
        <v>358</v>
      </c>
      <c r="N789" s="44">
        <v>772</v>
      </c>
      <c r="O789" s="44">
        <v>765</v>
      </c>
      <c r="P789" s="44">
        <v>778</v>
      </c>
      <c r="Q789" s="44">
        <v>790</v>
      </c>
      <c r="R789" s="44">
        <v>918</v>
      </c>
      <c r="S789" s="44">
        <v>1078</v>
      </c>
      <c r="T789" s="44">
        <v>1210</v>
      </c>
      <c r="U789" s="44">
        <v>1365</v>
      </c>
      <c r="V789" s="44">
        <v>811</v>
      </c>
      <c r="W789" s="44">
        <v>918</v>
      </c>
      <c r="X789" s="44">
        <v>706</v>
      </c>
      <c r="Y789" s="44">
        <v>530</v>
      </c>
      <c r="Z789" s="44">
        <v>744</v>
      </c>
      <c r="AA789" s="44">
        <v>974</v>
      </c>
      <c r="AB789" s="44">
        <v>582</v>
      </c>
      <c r="AC789" s="44">
        <v>911</v>
      </c>
      <c r="AD789" s="44">
        <v>928</v>
      </c>
      <c r="AE789" s="44">
        <v>909</v>
      </c>
      <c r="AF789" s="44">
        <v>658</v>
      </c>
      <c r="AG789" s="44">
        <v>669</v>
      </c>
      <c r="AH789" s="44">
        <v>939</v>
      </c>
      <c r="AI789" s="44">
        <v>997</v>
      </c>
      <c r="AJ789" s="44">
        <v>964</v>
      </c>
      <c r="AK789" s="44">
        <v>1500</v>
      </c>
      <c r="AL789" s="44">
        <v>1126</v>
      </c>
      <c r="AM789" s="44">
        <v>1619</v>
      </c>
      <c r="AN789" s="44">
        <v>1027</v>
      </c>
      <c r="AO789" s="44">
        <v>876</v>
      </c>
      <c r="AP789" s="44">
        <v>630</v>
      </c>
      <c r="AQ789" s="44">
        <v>557</v>
      </c>
      <c r="AR789" s="44">
        <v>753</v>
      </c>
      <c r="AS789" s="44">
        <v>1132</v>
      </c>
      <c r="AT789" s="44">
        <v>968</v>
      </c>
      <c r="AU789" s="44">
        <v>591</v>
      </c>
      <c r="AV789" s="44">
        <v>1394</v>
      </c>
      <c r="AW789" s="44">
        <v>1176</v>
      </c>
      <c r="AX789" s="44">
        <v>548</v>
      </c>
      <c r="AY789" s="44">
        <v>1495</v>
      </c>
      <c r="AZ789" s="44">
        <v>1285</v>
      </c>
      <c r="BA789" s="44">
        <v>2011</v>
      </c>
      <c r="BB789" s="44">
        <v>2363</v>
      </c>
      <c r="BC789" s="44">
        <v>667</v>
      </c>
      <c r="BD789" s="44">
        <v>1991</v>
      </c>
      <c r="BE789" s="44">
        <v>1123</v>
      </c>
      <c r="BF789" s="44">
        <v>1769</v>
      </c>
      <c r="BG789" s="44">
        <v>274</v>
      </c>
      <c r="BH789" s="44">
        <v>531</v>
      </c>
      <c r="BI789" s="44">
        <v>276</v>
      </c>
      <c r="BJ789" s="44">
        <v>346</v>
      </c>
      <c r="BK789" s="44">
        <v>870</v>
      </c>
      <c r="BL789" s="44">
        <v>225</v>
      </c>
      <c r="BM789" s="44">
        <v>257</v>
      </c>
      <c r="BN789" s="44">
        <v>425</v>
      </c>
      <c r="BO789" s="44">
        <v>370</v>
      </c>
      <c r="BP789" s="44">
        <v>666</v>
      </c>
      <c r="BQ789" s="44">
        <v>399</v>
      </c>
      <c r="BR789" s="44">
        <v>329</v>
      </c>
      <c r="BS789" s="44">
        <v>550</v>
      </c>
      <c r="BT789" s="44">
        <v>76</v>
      </c>
      <c r="BU789" s="44">
        <v>77</v>
      </c>
      <c r="BV789" s="44">
        <v>59</v>
      </c>
      <c r="BW789" s="44">
        <v>0</v>
      </c>
      <c r="BX789" s="44">
        <v>0</v>
      </c>
      <c r="BY789" s="44">
        <v>0</v>
      </c>
      <c r="BZ789" s="44">
        <v>0</v>
      </c>
      <c r="CA789" s="44">
        <v>0</v>
      </c>
      <c r="CB789" s="44">
        <v>0</v>
      </c>
      <c r="CC789" s="44">
        <v>0</v>
      </c>
      <c r="CD789" s="44">
        <v>0</v>
      </c>
      <c r="CE789" s="44">
        <v>0</v>
      </c>
      <c r="CF789" s="44">
        <v>0</v>
      </c>
      <c r="CG789" s="44">
        <v>0</v>
      </c>
      <c r="CH789" s="44">
        <v>0</v>
      </c>
      <c r="CI789" s="44">
        <v>0</v>
      </c>
      <c r="CJ789" s="44">
        <v>0</v>
      </c>
      <c r="CK789" s="44">
        <v>0</v>
      </c>
      <c r="CL789" s="44">
        <v>0</v>
      </c>
      <c r="CM789" s="44">
        <v>0</v>
      </c>
      <c r="CN789" s="44">
        <v>0</v>
      </c>
      <c r="CO789" s="44">
        <v>0</v>
      </c>
      <c r="CP789" s="44">
        <v>0</v>
      </c>
      <c r="CQ789" s="44">
        <v>0</v>
      </c>
      <c r="CR789" s="44">
        <v>0</v>
      </c>
      <c r="CS789" s="44">
        <v>0</v>
      </c>
      <c r="CT789" s="44">
        <v>0</v>
      </c>
      <c r="CU789" s="44">
        <v>0</v>
      </c>
      <c r="CV789" s="44">
        <v>0</v>
      </c>
      <c r="CW789" s="44">
        <v>0</v>
      </c>
      <c r="CX789" s="44">
        <v>0</v>
      </c>
      <c r="CY789" s="44">
        <v>0</v>
      </c>
      <c r="CZ789" s="44">
        <v>0</v>
      </c>
      <c r="DA789" s="44">
        <v>0</v>
      </c>
      <c r="DB789" s="44">
        <v>0</v>
      </c>
      <c r="DC789" s="44">
        <v>0</v>
      </c>
      <c r="DD789" s="44">
        <v>0</v>
      </c>
      <c r="DE789" s="44">
        <v>0</v>
      </c>
      <c r="DF789" s="44">
        <v>0</v>
      </c>
      <c r="DG789" s="16">
        <f t="shared" si="64"/>
        <v>53805</v>
      </c>
      <c r="DH789" s="16">
        <f t="shared" si="65"/>
        <v>1801668</v>
      </c>
      <c r="DI789" s="17">
        <f t="shared" si="66"/>
        <v>33.485140786172288</v>
      </c>
      <c r="DJ789" s="119" t="s">
        <v>1</v>
      </c>
      <c r="DK789" s="44" t="s">
        <v>1</v>
      </c>
      <c r="DL789" s="44" t="s">
        <v>1328</v>
      </c>
      <c r="DM789" s="44"/>
    </row>
    <row r="790" spans="1:117">
      <c r="A790" s="32" t="str">
        <f t="shared" si="62"/>
        <v>Ergon--&gt; 66 kV &amp; &lt; = 132 kV; WOOD</v>
      </c>
      <c r="B790" s="32" t="str">
        <f t="shared" si="63"/>
        <v>Ergon</v>
      </c>
      <c r="C790" s="387"/>
      <c r="D790" s="44"/>
      <c r="E790" s="44" t="s">
        <v>127</v>
      </c>
      <c r="F790" s="44">
        <v>47.5</v>
      </c>
      <c r="G790" s="44">
        <v>6.89</v>
      </c>
      <c r="H790" s="44">
        <v>0</v>
      </c>
      <c r="I790" s="44">
        <v>0</v>
      </c>
      <c r="J790" s="44">
        <v>3</v>
      </c>
      <c r="K790" s="44">
        <v>37</v>
      </c>
      <c r="L790" s="44">
        <v>19</v>
      </c>
      <c r="M790" s="44">
        <v>18</v>
      </c>
      <c r="N790" s="44">
        <v>46</v>
      </c>
      <c r="O790" s="44">
        <v>26</v>
      </c>
      <c r="P790" s="44">
        <v>13</v>
      </c>
      <c r="Q790" s="44">
        <v>9</v>
      </c>
      <c r="R790" s="44">
        <v>22</v>
      </c>
      <c r="S790" s="44">
        <v>103</v>
      </c>
      <c r="T790" s="44">
        <v>44</v>
      </c>
      <c r="U790" s="44">
        <v>10</v>
      </c>
      <c r="V790" s="44">
        <v>11</v>
      </c>
      <c r="W790" s="44">
        <v>8</v>
      </c>
      <c r="X790" s="44">
        <v>9</v>
      </c>
      <c r="Y790" s="44">
        <v>7</v>
      </c>
      <c r="Z790" s="44">
        <v>7</v>
      </c>
      <c r="AA790" s="44">
        <v>7</v>
      </c>
      <c r="AB790" s="44">
        <v>143</v>
      </c>
      <c r="AC790" s="44">
        <v>13</v>
      </c>
      <c r="AD790" s="44">
        <v>12</v>
      </c>
      <c r="AE790" s="44">
        <v>7</v>
      </c>
      <c r="AF790" s="44">
        <v>7</v>
      </c>
      <c r="AG790" s="44">
        <v>7</v>
      </c>
      <c r="AH790" s="44">
        <v>17</v>
      </c>
      <c r="AI790" s="44">
        <v>8</v>
      </c>
      <c r="AJ790" s="44">
        <v>20</v>
      </c>
      <c r="AK790" s="44">
        <v>12</v>
      </c>
      <c r="AL790" s="44">
        <v>7</v>
      </c>
      <c r="AM790" s="44">
        <v>208</v>
      </c>
      <c r="AN790" s="44">
        <v>26</v>
      </c>
      <c r="AO790" s="44">
        <v>7</v>
      </c>
      <c r="AP790" s="44">
        <v>151</v>
      </c>
      <c r="AQ790" s="44">
        <v>40</v>
      </c>
      <c r="AR790" s="44">
        <v>281</v>
      </c>
      <c r="AS790" s="44">
        <v>94</v>
      </c>
      <c r="AT790" s="44">
        <v>275</v>
      </c>
      <c r="AU790" s="44">
        <v>79</v>
      </c>
      <c r="AV790" s="44">
        <v>10</v>
      </c>
      <c r="AW790" s="44">
        <v>9</v>
      </c>
      <c r="AX790" s="44">
        <v>275</v>
      </c>
      <c r="AY790" s="44">
        <v>83</v>
      </c>
      <c r="AZ790" s="44">
        <v>477</v>
      </c>
      <c r="BA790" s="44">
        <v>638</v>
      </c>
      <c r="BB790" s="44">
        <v>14</v>
      </c>
      <c r="BC790" s="44">
        <v>937</v>
      </c>
      <c r="BD790" s="44">
        <v>151</v>
      </c>
      <c r="BE790" s="44">
        <v>4</v>
      </c>
      <c r="BF790" s="44">
        <v>5</v>
      </c>
      <c r="BG790" s="44">
        <v>2</v>
      </c>
      <c r="BH790" s="44">
        <v>3</v>
      </c>
      <c r="BI790" s="44">
        <v>2</v>
      </c>
      <c r="BJ790" s="44">
        <v>2</v>
      </c>
      <c r="BK790" s="44">
        <v>241</v>
      </c>
      <c r="BL790" s="44">
        <v>2</v>
      </c>
      <c r="BM790" s="44">
        <v>2</v>
      </c>
      <c r="BN790" s="44">
        <v>2</v>
      </c>
      <c r="BO790" s="44">
        <v>1</v>
      </c>
      <c r="BP790" s="44">
        <v>1</v>
      </c>
      <c r="BQ790" s="44">
        <v>2</v>
      </c>
      <c r="BR790" s="44">
        <v>1</v>
      </c>
      <c r="BS790" s="44">
        <v>2</v>
      </c>
      <c r="BT790" s="44">
        <v>0</v>
      </c>
      <c r="BU790" s="44">
        <v>0</v>
      </c>
      <c r="BV790" s="44">
        <v>0</v>
      </c>
      <c r="BW790" s="44">
        <v>0</v>
      </c>
      <c r="BX790" s="44">
        <v>0</v>
      </c>
      <c r="BY790" s="44">
        <v>0</v>
      </c>
      <c r="BZ790" s="44">
        <v>0</v>
      </c>
      <c r="CA790" s="44">
        <v>0</v>
      </c>
      <c r="CB790" s="44">
        <v>0</v>
      </c>
      <c r="CC790" s="44">
        <v>0</v>
      </c>
      <c r="CD790" s="44">
        <v>0</v>
      </c>
      <c r="CE790" s="44">
        <v>0</v>
      </c>
      <c r="CF790" s="44">
        <v>0</v>
      </c>
      <c r="CG790" s="44">
        <v>0</v>
      </c>
      <c r="CH790" s="44">
        <v>0</v>
      </c>
      <c r="CI790" s="44">
        <v>0</v>
      </c>
      <c r="CJ790" s="44">
        <v>0</v>
      </c>
      <c r="CK790" s="44">
        <v>0</v>
      </c>
      <c r="CL790" s="44">
        <v>0</v>
      </c>
      <c r="CM790" s="44">
        <v>0</v>
      </c>
      <c r="CN790" s="44">
        <v>0</v>
      </c>
      <c r="CO790" s="44">
        <v>0</v>
      </c>
      <c r="CP790" s="44">
        <v>0</v>
      </c>
      <c r="CQ790" s="44">
        <v>0</v>
      </c>
      <c r="CR790" s="44">
        <v>0</v>
      </c>
      <c r="CS790" s="44">
        <v>0</v>
      </c>
      <c r="CT790" s="44">
        <v>0</v>
      </c>
      <c r="CU790" s="44">
        <v>0</v>
      </c>
      <c r="CV790" s="44">
        <v>0</v>
      </c>
      <c r="CW790" s="44">
        <v>0</v>
      </c>
      <c r="CX790" s="44">
        <v>0</v>
      </c>
      <c r="CY790" s="44">
        <v>0</v>
      </c>
      <c r="CZ790" s="44">
        <v>0</v>
      </c>
      <c r="DA790" s="44">
        <v>0</v>
      </c>
      <c r="DB790" s="44">
        <v>0</v>
      </c>
      <c r="DC790" s="44">
        <v>0</v>
      </c>
      <c r="DD790" s="44">
        <v>0</v>
      </c>
      <c r="DE790" s="44">
        <v>0</v>
      </c>
      <c r="DF790" s="44">
        <v>0</v>
      </c>
      <c r="DG790" s="16">
        <f t="shared" si="64"/>
        <v>4679</v>
      </c>
      <c r="DH790" s="16">
        <f t="shared" si="65"/>
        <v>187720</v>
      </c>
      <c r="DI790" s="17">
        <f t="shared" si="66"/>
        <v>40.119683693096817</v>
      </c>
      <c r="DJ790" s="119" t="s">
        <v>1</v>
      </c>
      <c r="DK790" s="44" t="s">
        <v>1</v>
      </c>
      <c r="DL790" s="44" t="s">
        <v>1328</v>
      </c>
      <c r="DM790" s="44"/>
    </row>
    <row r="791" spans="1:117">
      <c r="A791" s="32" t="str">
        <f t="shared" si="62"/>
        <v>Ergon--&gt; 132 kV; WOOD</v>
      </c>
      <c r="B791" s="32" t="str">
        <f t="shared" si="63"/>
        <v>Ergon</v>
      </c>
      <c r="C791" s="387"/>
      <c r="D791" s="44"/>
      <c r="E791" s="44" t="s">
        <v>129</v>
      </c>
      <c r="F791" s="44">
        <v>47.5</v>
      </c>
      <c r="G791" s="44">
        <v>6.89</v>
      </c>
      <c r="H791" s="44">
        <v>0</v>
      </c>
      <c r="I791" s="44">
        <v>0</v>
      </c>
      <c r="J791" s="44">
        <v>0</v>
      </c>
      <c r="K791" s="44">
        <v>0</v>
      </c>
      <c r="L791" s="44">
        <v>0</v>
      </c>
      <c r="M791" s="44">
        <v>0</v>
      </c>
      <c r="N791" s="44">
        <v>0</v>
      </c>
      <c r="O791" s="44">
        <v>0</v>
      </c>
      <c r="P791" s="44">
        <v>0</v>
      </c>
      <c r="Q791" s="44">
        <v>0</v>
      </c>
      <c r="R791" s="44">
        <v>0</v>
      </c>
      <c r="S791" s="44">
        <v>0</v>
      </c>
      <c r="T791" s="44">
        <v>0</v>
      </c>
      <c r="U791" s="44">
        <v>0</v>
      </c>
      <c r="V791" s="44">
        <v>0</v>
      </c>
      <c r="W791" s="44">
        <v>0</v>
      </c>
      <c r="X791" s="44">
        <v>0</v>
      </c>
      <c r="Y791" s="44">
        <v>0</v>
      </c>
      <c r="Z791" s="44">
        <v>0</v>
      </c>
      <c r="AA791" s="44">
        <v>0</v>
      </c>
      <c r="AB791" s="44">
        <v>0</v>
      </c>
      <c r="AC791" s="44">
        <v>0</v>
      </c>
      <c r="AD791" s="44">
        <v>0</v>
      </c>
      <c r="AE791" s="44">
        <v>0</v>
      </c>
      <c r="AF791" s="44">
        <v>0</v>
      </c>
      <c r="AG791" s="44">
        <v>0</v>
      </c>
      <c r="AH791" s="44">
        <v>0</v>
      </c>
      <c r="AI791" s="44">
        <v>0</v>
      </c>
      <c r="AJ791" s="44">
        <v>0</v>
      </c>
      <c r="AK791" s="44">
        <v>0</v>
      </c>
      <c r="AL791" s="44">
        <v>0</v>
      </c>
      <c r="AM791" s="44">
        <v>0</v>
      </c>
      <c r="AN791" s="44">
        <v>0</v>
      </c>
      <c r="AO791" s="44">
        <v>0</v>
      </c>
      <c r="AP791" s="44">
        <v>0</v>
      </c>
      <c r="AQ791" s="44">
        <v>0</v>
      </c>
      <c r="AR791" s="44">
        <v>0</v>
      </c>
      <c r="AS791" s="44">
        <v>0</v>
      </c>
      <c r="AT791" s="44">
        <v>0</v>
      </c>
      <c r="AU791" s="44">
        <v>0</v>
      </c>
      <c r="AV791" s="44">
        <v>0</v>
      </c>
      <c r="AW791" s="44">
        <v>0</v>
      </c>
      <c r="AX791" s="44">
        <v>0</v>
      </c>
      <c r="AY791" s="44">
        <v>0</v>
      </c>
      <c r="AZ791" s="44">
        <v>0</v>
      </c>
      <c r="BA791" s="44">
        <v>0</v>
      </c>
      <c r="BB791" s="44">
        <v>0</v>
      </c>
      <c r="BC791" s="44">
        <v>0</v>
      </c>
      <c r="BD791" s="44">
        <v>0</v>
      </c>
      <c r="BE791" s="44">
        <v>0</v>
      </c>
      <c r="BF791" s="44">
        <v>0</v>
      </c>
      <c r="BG791" s="44">
        <v>0</v>
      </c>
      <c r="BH791" s="44">
        <v>0</v>
      </c>
      <c r="BI791" s="44">
        <v>0</v>
      </c>
      <c r="BJ791" s="44">
        <v>0</v>
      </c>
      <c r="BK791" s="44">
        <v>0</v>
      </c>
      <c r="BL791" s="44">
        <v>0</v>
      </c>
      <c r="BM791" s="44">
        <v>0</v>
      </c>
      <c r="BN791" s="44">
        <v>0</v>
      </c>
      <c r="BO791" s="44">
        <v>0</v>
      </c>
      <c r="BP791" s="44">
        <v>0</v>
      </c>
      <c r="BQ791" s="44">
        <v>0</v>
      </c>
      <c r="BR791" s="44">
        <v>0</v>
      </c>
      <c r="BS791" s="44">
        <v>0</v>
      </c>
      <c r="BT791" s="44">
        <v>0</v>
      </c>
      <c r="BU791" s="44">
        <v>0</v>
      </c>
      <c r="BV791" s="44">
        <v>0</v>
      </c>
      <c r="BW791" s="44">
        <v>0</v>
      </c>
      <c r="BX791" s="44">
        <v>0</v>
      </c>
      <c r="BY791" s="44">
        <v>0</v>
      </c>
      <c r="BZ791" s="44">
        <v>0</v>
      </c>
      <c r="CA791" s="44">
        <v>0</v>
      </c>
      <c r="CB791" s="44">
        <v>0</v>
      </c>
      <c r="CC791" s="44">
        <v>0</v>
      </c>
      <c r="CD791" s="44">
        <v>0</v>
      </c>
      <c r="CE791" s="44">
        <v>0</v>
      </c>
      <c r="CF791" s="44">
        <v>0</v>
      </c>
      <c r="CG791" s="44">
        <v>0</v>
      </c>
      <c r="CH791" s="44">
        <v>0</v>
      </c>
      <c r="CI791" s="44">
        <v>0</v>
      </c>
      <c r="CJ791" s="44">
        <v>0</v>
      </c>
      <c r="CK791" s="44">
        <v>0</v>
      </c>
      <c r="CL791" s="44">
        <v>0</v>
      </c>
      <c r="CM791" s="44">
        <v>0</v>
      </c>
      <c r="CN791" s="44">
        <v>0</v>
      </c>
      <c r="CO791" s="44">
        <v>0</v>
      </c>
      <c r="CP791" s="44">
        <v>0</v>
      </c>
      <c r="CQ791" s="44">
        <v>0</v>
      </c>
      <c r="CR791" s="44">
        <v>0</v>
      </c>
      <c r="CS791" s="44">
        <v>0</v>
      </c>
      <c r="CT791" s="44">
        <v>0</v>
      </c>
      <c r="CU791" s="44">
        <v>0</v>
      </c>
      <c r="CV791" s="44">
        <v>0</v>
      </c>
      <c r="CW791" s="44">
        <v>0</v>
      </c>
      <c r="CX791" s="44">
        <v>0</v>
      </c>
      <c r="CY791" s="44">
        <v>0</v>
      </c>
      <c r="CZ791" s="44">
        <v>0</v>
      </c>
      <c r="DA791" s="44">
        <v>0</v>
      </c>
      <c r="DB791" s="44">
        <v>0</v>
      </c>
      <c r="DC791" s="44">
        <v>0</v>
      </c>
      <c r="DD791" s="44">
        <v>0</v>
      </c>
      <c r="DE791" s="44">
        <v>0</v>
      </c>
      <c r="DF791" s="44">
        <v>0</v>
      </c>
      <c r="DG791" s="16">
        <f t="shared" si="64"/>
        <v>0</v>
      </c>
      <c r="DH791" s="16">
        <f t="shared" si="65"/>
        <v>0</v>
      </c>
      <c r="DI791" s="17" t="str">
        <f t="shared" si="66"/>
        <v/>
      </c>
      <c r="DJ791" s="119" t="s">
        <v>1</v>
      </c>
      <c r="DK791" s="44" t="s">
        <v>1</v>
      </c>
      <c r="DL791" s="44" t="s">
        <v>1328</v>
      </c>
      <c r="DM791" s="44"/>
    </row>
    <row r="792" spans="1:117">
      <c r="A792" s="32" t="str">
        <f t="shared" ref="A792:A855" si="67">B792&amp;"-"&amp;D792&amp;"-"&amp;E792</f>
        <v>Ergon--˂ = 1 kV; CONCRETE</v>
      </c>
      <c r="B792" s="32" t="str">
        <f t="shared" ref="B792:B855" si="68">IF(C792&gt;0,C792,B791)</f>
        <v>Ergon</v>
      </c>
      <c r="C792" s="387"/>
      <c r="D792" s="44"/>
      <c r="E792" s="44" t="s">
        <v>131</v>
      </c>
      <c r="F792" s="44">
        <v>56.9</v>
      </c>
      <c r="G792" s="44">
        <v>7.54</v>
      </c>
      <c r="H792" s="44">
        <v>1</v>
      </c>
      <c r="I792" s="44">
        <v>4</v>
      </c>
      <c r="J792" s="44">
        <v>25</v>
      </c>
      <c r="K792" s="44">
        <v>74</v>
      </c>
      <c r="L792" s="44">
        <v>55</v>
      </c>
      <c r="M792" s="44">
        <v>58</v>
      </c>
      <c r="N792" s="44">
        <v>43</v>
      </c>
      <c r="O792" s="44">
        <v>64</v>
      </c>
      <c r="P792" s="44">
        <v>58</v>
      </c>
      <c r="Q792" s="44">
        <v>49</v>
      </c>
      <c r="R792" s="44">
        <v>56</v>
      </c>
      <c r="S792" s="44">
        <v>145</v>
      </c>
      <c r="T792" s="44">
        <v>104</v>
      </c>
      <c r="U792" s="44">
        <v>185</v>
      </c>
      <c r="V792" s="44">
        <v>166</v>
      </c>
      <c r="W792" s="44">
        <v>83</v>
      </c>
      <c r="X792" s="44">
        <v>110</v>
      </c>
      <c r="Y792" s="44">
        <v>90</v>
      </c>
      <c r="Z792" s="44">
        <v>216</v>
      </c>
      <c r="AA792" s="44">
        <v>168</v>
      </c>
      <c r="AB792" s="44">
        <v>97</v>
      </c>
      <c r="AC792" s="44">
        <v>208</v>
      </c>
      <c r="AD792" s="44">
        <v>54</v>
      </c>
      <c r="AE792" s="44">
        <v>106</v>
      </c>
      <c r="AF792" s="44">
        <v>221</v>
      </c>
      <c r="AG792" s="44">
        <v>252</v>
      </c>
      <c r="AH792" s="44">
        <v>63</v>
      </c>
      <c r="AI792" s="44">
        <v>90</v>
      </c>
      <c r="AJ792" s="44">
        <v>82</v>
      </c>
      <c r="AK792" s="44">
        <v>36</v>
      </c>
      <c r="AL792" s="44">
        <v>26</v>
      </c>
      <c r="AM792" s="44">
        <v>28</v>
      </c>
      <c r="AN792" s="44">
        <v>25</v>
      </c>
      <c r="AO792" s="44">
        <v>24</v>
      </c>
      <c r="AP792" s="44">
        <v>1</v>
      </c>
      <c r="AQ792" s="44">
        <v>8</v>
      </c>
      <c r="AR792" s="44">
        <v>8</v>
      </c>
      <c r="AS792" s="44">
        <v>2</v>
      </c>
      <c r="AT792" s="44">
        <v>2</v>
      </c>
      <c r="AU792" s="44">
        <v>4</v>
      </c>
      <c r="AV792" s="44">
        <v>6</v>
      </c>
      <c r="AW792" s="44">
        <v>7</v>
      </c>
      <c r="AX792" s="44">
        <v>11</v>
      </c>
      <c r="AY792" s="44">
        <v>18</v>
      </c>
      <c r="AZ792" s="44">
        <v>15</v>
      </c>
      <c r="BA792" s="44">
        <v>6</v>
      </c>
      <c r="BB792" s="44">
        <v>15</v>
      </c>
      <c r="BC792" s="44">
        <v>4</v>
      </c>
      <c r="BD792" s="44">
        <v>1</v>
      </c>
      <c r="BE792" s="44">
        <v>0</v>
      </c>
      <c r="BF792" s="44">
        <v>0</v>
      </c>
      <c r="BG792" s="44">
        <v>0</v>
      </c>
      <c r="BH792" s="44">
        <v>0</v>
      </c>
      <c r="BI792" s="44">
        <v>0</v>
      </c>
      <c r="BJ792" s="44">
        <v>4</v>
      </c>
      <c r="BK792" s="44">
        <v>0</v>
      </c>
      <c r="BL792" s="44">
        <v>0</v>
      </c>
      <c r="BM792" s="44">
        <v>0</v>
      </c>
      <c r="BN792" s="44">
        <v>0</v>
      </c>
      <c r="BO792" s="44">
        <v>0</v>
      </c>
      <c r="BP792" s="44">
        <v>0</v>
      </c>
      <c r="BQ792" s="44">
        <v>0</v>
      </c>
      <c r="BR792" s="44">
        <v>0</v>
      </c>
      <c r="BS792" s="44">
        <v>0</v>
      </c>
      <c r="BT792" s="44">
        <v>0</v>
      </c>
      <c r="BU792" s="44">
        <v>0</v>
      </c>
      <c r="BV792" s="44">
        <v>1</v>
      </c>
      <c r="BW792" s="44">
        <v>0</v>
      </c>
      <c r="BX792" s="44">
        <v>0</v>
      </c>
      <c r="BY792" s="44">
        <v>0</v>
      </c>
      <c r="BZ792" s="44">
        <v>0</v>
      </c>
      <c r="CA792" s="44">
        <v>0</v>
      </c>
      <c r="CB792" s="44">
        <v>0</v>
      </c>
      <c r="CC792" s="44">
        <v>0</v>
      </c>
      <c r="CD792" s="44">
        <v>0</v>
      </c>
      <c r="CE792" s="44">
        <v>0</v>
      </c>
      <c r="CF792" s="44">
        <v>0</v>
      </c>
      <c r="CG792" s="44">
        <v>0</v>
      </c>
      <c r="CH792" s="44">
        <v>0</v>
      </c>
      <c r="CI792" s="44">
        <v>0</v>
      </c>
      <c r="CJ792" s="44">
        <v>0</v>
      </c>
      <c r="CK792" s="44">
        <v>0</v>
      </c>
      <c r="CL792" s="44">
        <v>0</v>
      </c>
      <c r="CM792" s="44">
        <v>0</v>
      </c>
      <c r="CN792" s="44">
        <v>0</v>
      </c>
      <c r="CO792" s="44">
        <v>0</v>
      </c>
      <c r="CP792" s="44">
        <v>0</v>
      </c>
      <c r="CQ792" s="44">
        <v>0</v>
      </c>
      <c r="CR792" s="44">
        <v>0</v>
      </c>
      <c r="CS792" s="44">
        <v>0</v>
      </c>
      <c r="CT792" s="44">
        <v>0</v>
      </c>
      <c r="CU792" s="44">
        <v>0</v>
      </c>
      <c r="CV792" s="44">
        <v>0</v>
      </c>
      <c r="CW792" s="44">
        <v>0</v>
      </c>
      <c r="CX792" s="44">
        <v>0</v>
      </c>
      <c r="CY792" s="44">
        <v>0</v>
      </c>
      <c r="CZ792" s="44">
        <v>0</v>
      </c>
      <c r="DA792" s="44">
        <v>0</v>
      </c>
      <c r="DB792" s="44">
        <v>0</v>
      </c>
      <c r="DC792" s="44">
        <v>0</v>
      </c>
      <c r="DD792" s="44">
        <v>0</v>
      </c>
      <c r="DE792" s="44">
        <v>0</v>
      </c>
      <c r="DF792" s="44">
        <v>0</v>
      </c>
      <c r="DG792" s="16">
        <f t="shared" ref="DG792:DG851" si="69">SUM(H792:DF792)</f>
        <v>3179</v>
      </c>
      <c r="DH792" s="16">
        <f t="shared" ref="DH792:DH851" si="70">IFERROR(SUMPRODUCT(H792:DF792,$H$1:$DF$1),"")</f>
        <v>62318</v>
      </c>
      <c r="DI792" s="17">
        <f t="shared" ref="DI792:DI851" si="71">IFERROR(DH792/DG792,"")</f>
        <v>19.603019817552688</v>
      </c>
      <c r="DJ792" s="119" t="s">
        <v>1</v>
      </c>
      <c r="DK792" s="44" t="s">
        <v>1</v>
      </c>
      <c r="DL792" s="44" t="s">
        <v>1329</v>
      </c>
      <c r="DM792" s="44"/>
    </row>
    <row r="793" spans="1:117">
      <c r="A793" s="32" t="str">
        <f t="shared" si="67"/>
        <v>Ergon--&gt; 1 kV &amp; &lt; = 11 kV; CONCRETE</v>
      </c>
      <c r="B793" s="32" t="str">
        <f t="shared" si="68"/>
        <v>Ergon</v>
      </c>
      <c r="C793" s="387"/>
      <c r="D793" s="44"/>
      <c r="E793" s="44" t="s">
        <v>133</v>
      </c>
      <c r="F793" s="44">
        <v>56.9</v>
      </c>
      <c r="G793" s="44">
        <v>7.54</v>
      </c>
      <c r="H793" s="44">
        <v>0</v>
      </c>
      <c r="I793" s="44">
        <v>0</v>
      </c>
      <c r="J793" s="44">
        <v>2</v>
      </c>
      <c r="K793" s="44">
        <v>8</v>
      </c>
      <c r="L793" s="44">
        <v>0</v>
      </c>
      <c r="M793" s="44">
        <v>6</v>
      </c>
      <c r="N793" s="44">
        <v>47</v>
      </c>
      <c r="O793" s="44">
        <v>154</v>
      </c>
      <c r="P793" s="44">
        <v>3</v>
      </c>
      <c r="Q793" s="44">
        <v>5</v>
      </c>
      <c r="R793" s="44">
        <v>4</v>
      </c>
      <c r="S793" s="44">
        <v>7</v>
      </c>
      <c r="T793" s="44">
        <v>7</v>
      </c>
      <c r="U793" s="44">
        <v>118</v>
      </c>
      <c r="V793" s="44">
        <v>18</v>
      </c>
      <c r="W793" s="44">
        <v>237</v>
      </c>
      <c r="X793" s="44">
        <v>4</v>
      </c>
      <c r="Y793" s="44">
        <v>17</v>
      </c>
      <c r="Z793" s="44">
        <v>16</v>
      </c>
      <c r="AA793" s="44">
        <v>31</v>
      </c>
      <c r="AB793" s="44">
        <v>36</v>
      </c>
      <c r="AC793" s="44">
        <v>82</v>
      </c>
      <c r="AD793" s="44">
        <v>42</v>
      </c>
      <c r="AE793" s="44">
        <v>26</v>
      </c>
      <c r="AF793" s="44">
        <v>30</v>
      </c>
      <c r="AG793" s="44">
        <v>46</v>
      </c>
      <c r="AH793" s="44">
        <v>47</v>
      </c>
      <c r="AI793" s="44">
        <v>96</v>
      </c>
      <c r="AJ793" s="44">
        <v>136</v>
      </c>
      <c r="AK793" s="44">
        <v>19</v>
      </c>
      <c r="AL793" s="44">
        <v>19</v>
      </c>
      <c r="AM793" s="44">
        <v>3</v>
      </c>
      <c r="AN793" s="44">
        <v>0</v>
      </c>
      <c r="AO793" s="44">
        <v>4</v>
      </c>
      <c r="AP793" s="44">
        <v>3</v>
      </c>
      <c r="AQ793" s="44">
        <v>2</v>
      </c>
      <c r="AR793" s="44">
        <v>1</v>
      </c>
      <c r="AS793" s="44">
        <v>3</v>
      </c>
      <c r="AT793" s="44">
        <v>3</v>
      </c>
      <c r="AU793" s="44">
        <v>2</v>
      </c>
      <c r="AV793" s="44">
        <v>0</v>
      </c>
      <c r="AW793" s="44">
        <v>1</v>
      </c>
      <c r="AX793" s="44">
        <v>3</v>
      </c>
      <c r="AY793" s="44">
        <v>1</v>
      </c>
      <c r="AZ793" s="44">
        <v>5</v>
      </c>
      <c r="BA793" s="44">
        <v>2</v>
      </c>
      <c r="BB793" s="44">
        <v>1</v>
      </c>
      <c r="BC793" s="44">
        <v>1</v>
      </c>
      <c r="BD793" s="44">
        <v>1</v>
      </c>
      <c r="BE793" s="44">
        <v>1</v>
      </c>
      <c r="BF793" s="44">
        <v>0</v>
      </c>
      <c r="BG793" s="44">
        <v>0</v>
      </c>
      <c r="BH793" s="44">
        <v>0</v>
      </c>
      <c r="BI793" s="44">
        <v>0</v>
      </c>
      <c r="BJ793" s="44">
        <v>0</v>
      </c>
      <c r="BK793" s="44">
        <v>0</v>
      </c>
      <c r="BL793" s="44">
        <v>0</v>
      </c>
      <c r="BM793" s="44">
        <v>0</v>
      </c>
      <c r="BN793" s="44">
        <v>0</v>
      </c>
      <c r="BO793" s="44">
        <v>0</v>
      </c>
      <c r="BP793" s="44">
        <v>0</v>
      </c>
      <c r="BQ793" s="44">
        <v>0</v>
      </c>
      <c r="BR793" s="44">
        <v>0</v>
      </c>
      <c r="BS793" s="44">
        <v>0</v>
      </c>
      <c r="BT793" s="44">
        <v>0</v>
      </c>
      <c r="BU793" s="44">
        <v>0</v>
      </c>
      <c r="BV793" s="44">
        <v>0</v>
      </c>
      <c r="BW793" s="44">
        <v>0</v>
      </c>
      <c r="BX793" s="44">
        <v>0</v>
      </c>
      <c r="BY793" s="44">
        <v>0</v>
      </c>
      <c r="BZ793" s="44">
        <v>0</v>
      </c>
      <c r="CA793" s="44">
        <v>0</v>
      </c>
      <c r="CB793" s="44">
        <v>0</v>
      </c>
      <c r="CC793" s="44">
        <v>0</v>
      </c>
      <c r="CD793" s="44">
        <v>0</v>
      </c>
      <c r="CE793" s="44">
        <v>0</v>
      </c>
      <c r="CF793" s="44">
        <v>0</v>
      </c>
      <c r="CG793" s="44">
        <v>0</v>
      </c>
      <c r="CH793" s="44">
        <v>0</v>
      </c>
      <c r="CI793" s="44">
        <v>0</v>
      </c>
      <c r="CJ793" s="44">
        <v>0</v>
      </c>
      <c r="CK793" s="44">
        <v>0</v>
      </c>
      <c r="CL793" s="44">
        <v>0</v>
      </c>
      <c r="CM793" s="44">
        <v>0</v>
      </c>
      <c r="CN793" s="44">
        <v>0</v>
      </c>
      <c r="CO793" s="44">
        <v>0</v>
      </c>
      <c r="CP793" s="44">
        <v>0</v>
      </c>
      <c r="CQ793" s="44">
        <v>0</v>
      </c>
      <c r="CR793" s="44">
        <v>0</v>
      </c>
      <c r="CS793" s="44">
        <v>0</v>
      </c>
      <c r="CT793" s="44">
        <v>0</v>
      </c>
      <c r="CU793" s="44">
        <v>0</v>
      </c>
      <c r="CV793" s="44">
        <v>0</v>
      </c>
      <c r="CW793" s="44">
        <v>0</v>
      </c>
      <c r="CX793" s="44">
        <v>0</v>
      </c>
      <c r="CY793" s="44">
        <v>0</v>
      </c>
      <c r="CZ793" s="44">
        <v>0</v>
      </c>
      <c r="DA793" s="44">
        <v>0</v>
      </c>
      <c r="DB793" s="44">
        <v>0</v>
      </c>
      <c r="DC793" s="44">
        <v>0</v>
      </c>
      <c r="DD793" s="44">
        <v>0</v>
      </c>
      <c r="DE793" s="44">
        <v>0</v>
      </c>
      <c r="DF793" s="44">
        <v>0</v>
      </c>
      <c r="DG793" s="16">
        <f t="shared" si="69"/>
        <v>1300</v>
      </c>
      <c r="DH793" s="16">
        <f t="shared" si="70"/>
        <v>25582</v>
      </c>
      <c r="DI793" s="17">
        <f t="shared" si="71"/>
        <v>19.678461538461537</v>
      </c>
      <c r="DJ793" s="119" t="s">
        <v>1</v>
      </c>
      <c r="DK793" s="44" t="s">
        <v>1</v>
      </c>
      <c r="DL793" s="44" t="s">
        <v>1329</v>
      </c>
      <c r="DM793" s="44"/>
    </row>
    <row r="794" spans="1:117">
      <c r="A794" s="32" t="str">
        <f t="shared" si="67"/>
        <v>Ergon--˃ 11 kV &amp; &lt; = 22 kV; CONCRETE</v>
      </c>
      <c r="B794" s="32" t="str">
        <f t="shared" si="68"/>
        <v>Ergon</v>
      </c>
      <c r="C794" s="387"/>
      <c r="D794" s="44"/>
      <c r="E794" s="44" t="s">
        <v>153</v>
      </c>
      <c r="F794" s="44">
        <v>56.9</v>
      </c>
      <c r="G794" s="44">
        <v>7.54</v>
      </c>
      <c r="H794" s="44">
        <v>0</v>
      </c>
      <c r="I794" s="44">
        <v>1</v>
      </c>
      <c r="J794" s="44">
        <v>1</v>
      </c>
      <c r="K794" s="44">
        <v>3</v>
      </c>
      <c r="L794" s="44">
        <v>9</v>
      </c>
      <c r="M794" s="44">
        <v>3</v>
      </c>
      <c r="N794" s="44">
        <v>0</v>
      </c>
      <c r="O794" s="44">
        <v>13</v>
      </c>
      <c r="P794" s="44">
        <v>16</v>
      </c>
      <c r="Q794" s="44">
        <v>1</v>
      </c>
      <c r="R794" s="44">
        <v>0</v>
      </c>
      <c r="S794" s="44">
        <v>18</v>
      </c>
      <c r="T794" s="44">
        <v>3</v>
      </c>
      <c r="U794" s="44">
        <v>3373</v>
      </c>
      <c r="V794" s="44">
        <v>2370</v>
      </c>
      <c r="W794" s="44">
        <v>21</v>
      </c>
      <c r="X794" s="44">
        <v>12</v>
      </c>
      <c r="Y794" s="44">
        <v>54</v>
      </c>
      <c r="Z794" s="44">
        <v>204</v>
      </c>
      <c r="AA794" s="44">
        <v>154</v>
      </c>
      <c r="AB794" s="44">
        <v>123</v>
      </c>
      <c r="AC794" s="44">
        <v>187</v>
      </c>
      <c r="AD794" s="44">
        <v>216</v>
      </c>
      <c r="AE794" s="44">
        <v>280</v>
      </c>
      <c r="AF794" s="44">
        <v>740</v>
      </c>
      <c r="AG794" s="44">
        <v>116</v>
      </c>
      <c r="AH794" s="44">
        <v>29</v>
      </c>
      <c r="AI794" s="44">
        <v>66</v>
      </c>
      <c r="AJ794" s="44">
        <v>69</v>
      </c>
      <c r="AK794" s="44">
        <v>4</v>
      </c>
      <c r="AL794" s="44">
        <v>5</v>
      </c>
      <c r="AM794" s="44">
        <v>2</v>
      </c>
      <c r="AN794" s="44">
        <v>3</v>
      </c>
      <c r="AO794" s="44">
        <v>2</v>
      </c>
      <c r="AP794" s="44">
        <v>1</v>
      </c>
      <c r="AQ794" s="44">
        <v>1</v>
      </c>
      <c r="AR794" s="44">
        <v>1</v>
      </c>
      <c r="AS794" s="44">
        <v>0</v>
      </c>
      <c r="AT794" s="44">
        <v>2</v>
      </c>
      <c r="AU794" s="44">
        <v>2</v>
      </c>
      <c r="AV794" s="44">
        <v>1</v>
      </c>
      <c r="AW794" s="44">
        <v>2</v>
      </c>
      <c r="AX794" s="44">
        <v>0</v>
      </c>
      <c r="AY794" s="44">
        <v>0</v>
      </c>
      <c r="AZ794" s="44">
        <v>1</v>
      </c>
      <c r="BA794" s="44">
        <v>1</v>
      </c>
      <c r="BB794" s="44">
        <v>0</v>
      </c>
      <c r="BC794" s="44">
        <v>2</v>
      </c>
      <c r="BD794" s="44">
        <v>1</v>
      </c>
      <c r="BE794" s="44">
        <v>0</v>
      </c>
      <c r="BF794" s="44">
        <v>0</v>
      </c>
      <c r="BG794" s="44">
        <v>0</v>
      </c>
      <c r="BH794" s="44">
        <v>0</v>
      </c>
      <c r="BI794" s="44">
        <v>0</v>
      </c>
      <c r="BJ794" s="44">
        <v>0</v>
      </c>
      <c r="BK794" s="44">
        <v>0</v>
      </c>
      <c r="BL794" s="44">
        <v>0</v>
      </c>
      <c r="BM794" s="44">
        <v>0</v>
      </c>
      <c r="BN794" s="44">
        <v>0</v>
      </c>
      <c r="BO794" s="44">
        <v>0</v>
      </c>
      <c r="BP794" s="44">
        <v>0</v>
      </c>
      <c r="BQ794" s="44">
        <v>0</v>
      </c>
      <c r="BR794" s="44">
        <v>0</v>
      </c>
      <c r="BS794" s="44">
        <v>0</v>
      </c>
      <c r="BT794" s="44">
        <v>0</v>
      </c>
      <c r="BU794" s="44">
        <v>0</v>
      </c>
      <c r="BV794" s="44">
        <v>0</v>
      </c>
      <c r="BW794" s="44">
        <v>0</v>
      </c>
      <c r="BX794" s="44">
        <v>0</v>
      </c>
      <c r="BY794" s="44">
        <v>0</v>
      </c>
      <c r="BZ794" s="44">
        <v>0</v>
      </c>
      <c r="CA794" s="44">
        <v>0</v>
      </c>
      <c r="CB794" s="44">
        <v>0</v>
      </c>
      <c r="CC794" s="44">
        <v>0</v>
      </c>
      <c r="CD794" s="44">
        <v>0</v>
      </c>
      <c r="CE794" s="44">
        <v>0</v>
      </c>
      <c r="CF794" s="44">
        <v>0</v>
      </c>
      <c r="CG794" s="44">
        <v>0</v>
      </c>
      <c r="CH794" s="44">
        <v>0</v>
      </c>
      <c r="CI794" s="44">
        <v>0</v>
      </c>
      <c r="CJ794" s="44">
        <v>0</v>
      </c>
      <c r="CK794" s="44">
        <v>0</v>
      </c>
      <c r="CL794" s="44">
        <v>0</v>
      </c>
      <c r="CM794" s="44">
        <v>0</v>
      </c>
      <c r="CN794" s="44">
        <v>0</v>
      </c>
      <c r="CO794" s="44">
        <v>0</v>
      </c>
      <c r="CP794" s="44">
        <v>0</v>
      </c>
      <c r="CQ794" s="44">
        <v>0</v>
      </c>
      <c r="CR794" s="44">
        <v>0</v>
      </c>
      <c r="CS794" s="44">
        <v>0</v>
      </c>
      <c r="CT794" s="44">
        <v>0</v>
      </c>
      <c r="CU794" s="44">
        <v>0</v>
      </c>
      <c r="CV794" s="44">
        <v>0</v>
      </c>
      <c r="CW794" s="44">
        <v>0</v>
      </c>
      <c r="CX794" s="44">
        <v>0</v>
      </c>
      <c r="CY794" s="44">
        <v>0</v>
      </c>
      <c r="CZ794" s="44">
        <v>0</v>
      </c>
      <c r="DA794" s="44">
        <v>0</v>
      </c>
      <c r="DB794" s="44">
        <v>0</v>
      </c>
      <c r="DC794" s="44">
        <v>0</v>
      </c>
      <c r="DD794" s="44">
        <v>0</v>
      </c>
      <c r="DE794" s="44">
        <v>0</v>
      </c>
      <c r="DF794" s="44">
        <v>0</v>
      </c>
      <c r="DG794" s="16">
        <f t="shared" si="69"/>
        <v>8113</v>
      </c>
      <c r="DH794" s="16">
        <f t="shared" si="70"/>
        <v>137499</v>
      </c>
      <c r="DI794" s="17">
        <f t="shared" si="71"/>
        <v>16.947984715888079</v>
      </c>
      <c r="DJ794" s="119" t="s">
        <v>1</v>
      </c>
      <c r="DK794" s="44" t="s">
        <v>1</v>
      </c>
      <c r="DL794" s="44" t="s">
        <v>1329</v>
      </c>
      <c r="DM794" s="44"/>
    </row>
    <row r="795" spans="1:117">
      <c r="A795" s="32" t="str">
        <f t="shared" si="67"/>
        <v>Ergon--&gt; 22 kV &amp; &lt; = 66 kV; CONCRETE</v>
      </c>
      <c r="B795" s="32" t="str">
        <f t="shared" si="68"/>
        <v>Ergon</v>
      </c>
      <c r="C795" s="387"/>
      <c r="D795" s="44"/>
      <c r="E795" s="44" t="s">
        <v>155</v>
      </c>
      <c r="F795" s="44">
        <v>56.9</v>
      </c>
      <c r="G795" s="44">
        <v>7.54</v>
      </c>
      <c r="H795" s="44">
        <v>0</v>
      </c>
      <c r="I795" s="44">
        <v>16</v>
      </c>
      <c r="J795" s="44">
        <v>21</v>
      </c>
      <c r="K795" s="44">
        <v>30</v>
      </c>
      <c r="L795" s="44">
        <v>77</v>
      </c>
      <c r="M795" s="44">
        <v>172</v>
      </c>
      <c r="N795" s="44">
        <v>240</v>
      </c>
      <c r="O795" s="44">
        <v>249</v>
      </c>
      <c r="P795" s="44">
        <v>232</v>
      </c>
      <c r="Q795" s="44">
        <v>363</v>
      </c>
      <c r="R795" s="44">
        <v>70</v>
      </c>
      <c r="S795" s="44">
        <v>327</v>
      </c>
      <c r="T795" s="44">
        <v>197</v>
      </c>
      <c r="U795" s="44">
        <v>444</v>
      </c>
      <c r="V795" s="44">
        <v>874</v>
      </c>
      <c r="W795" s="44">
        <v>316</v>
      </c>
      <c r="X795" s="44">
        <v>943</v>
      </c>
      <c r="Y795" s="44">
        <v>250</v>
      </c>
      <c r="Z795" s="44">
        <v>436</v>
      </c>
      <c r="AA795" s="44">
        <v>129</v>
      </c>
      <c r="AB795" s="44">
        <v>105</v>
      </c>
      <c r="AC795" s="44">
        <v>47</v>
      </c>
      <c r="AD795" s="44">
        <v>148</v>
      </c>
      <c r="AE795" s="44">
        <v>1343</v>
      </c>
      <c r="AF795" s="44">
        <v>233</v>
      </c>
      <c r="AG795" s="44">
        <v>476</v>
      </c>
      <c r="AH795" s="44">
        <v>1062</v>
      </c>
      <c r="AI795" s="44">
        <v>2239</v>
      </c>
      <c r="AJ795" s="44">
        <v>1013</v>
      </c>
      <c r="AK795" s="44">
        <v>733</v>
      </c>
      <c r="AL795" s="44">
        <v>147</v>
      </c>
      <c r="AM795" s="44">
        <v>226</v>
      </c>
      <c r="AN795" s="44">
        <v>4</v>
      </c>
      <c r="AO795" s="44">
        <v>6</v>
      </c>
      <c r="AP795" s="44">
        <v>0</v>
      </c>
      <c r="AQ795" s="44">
        <v>4</v>
      </c>
      <c r="AR795" s="44">
        <v>2</v>
      </c>
      <c r="AS795" s="44">
        <v>2</v>
      </c>
      <c r="AT795" s="44">
        <v>0</v>
      </c>
      <c r="AU795" s="44">
        <v>2</v>
      </c>
      <c r="AV795" s="44">
        <v>0</v>
      </c>
      <c r="AW795" s="44">
        <v>5</v>
      </c>
      <c r="AX795" s="44">
        <v>1</v>
      </c>
      <c r="AY795" s="44">
        <v>0</v>
      </c>
      <c r="AZ795" s="44">
        <v>0</v>
      </c>
      <c r="BA795" s="44">
        <v>0</v>
      </c>
      <c r="BB795" s="44">
        <v>1</v>
      </c>
      <c r="BC795" s="44">
        <v>3</v>
      </c>
      <c r="BD795" s="44">
        <v>1</v>
      </c>
      <c r="BE795" s="44">
        <v>1</v>
      </c>
      <c r="BF795" s="44">
        <v>0</v>
      </c>
      <c r="BG795" s="44">
        <v>0</v>
      </c>
      <c r="BH795" s="44">
        <v>0</v>
      </c>
      <c r="BI795" s="44">
        <v>0</v>
      </c>
      <c r="BJ795" s="44">
        <v>0</v>
      </c>
      <c r="BK795" s="44">
        <v>0</v>
      </c>
      <c r="BL795" s="44">
        <v>0</v>
      </c>
      <c r="BM795" s="44">
        <v>0</v>
      </c>
      <c r="BN795" s="44">
        <v>0</v>
      </c>
      <c r="BO795" s="44">
        <v>0</v>
      </c>
      <c r="BP795" s="44">
        <v>0</v>
      </c>
      <c r="BQ795" s="44">
        <v>0</v>
      </c>
      <c r="BR795" s="44">
        <v>0</v>
      </c>
      <c r="BS795" s="44">
        <v>1</v>
      </c>
      <c r="BT795" s="44">
        <v>0</v>
      </c>
      <c r="BU795" s="44">
        <v>1</v>
      </c>
      <c r="BV795" s="44">
        <v>0</v>
      </c>
      <c r="BW795" s="44">
        <v>0</v>
      </c>
      <c r="BX795" s="44">
        <v>0</v>
      </c>
      <c r="BY795" s="44">
        <v>0</v>
      </c>
      <c r="BZ795" s="44">
        <v>0</v>
      </c>
      <c r="CA795" s="44">
        <v>0</v>
      </c>
      <c r="CB795" s="44">
        <v>0</v>
      </c>
      <c r="CC795" s="44">
        <v>0</v>
      </c>
      <c r="CD795" s="44">
        <v>0</v>
      </c>
      <c r="CE795" s="44">
        <v>0</v>
      </c>
      <c r="CF795" s="44">
        <v>0</v>
      </c>
      <c r="CG795" s="44">
        <v>0</v>
      </c>
      <c r="CH795" s="44">
        <v>0</v>
      </c>
      <c r="CI795" s="44">
        <v>0</v>
      </c>
      <c r="CJ795" s="44">
        <v>0</v>
      </c>
      <c r="CK795" s="44">
        <v>0</v>
      </c>
      <c r="CL795" s="44">
        <v>0</v>
      </c>
      <c r="CM795" s="44">
        <v>0</v>
      </c>
      <c r="CN795" s="44">
        <v>0</v>
      </c>
      <c r="CO795" s="44">
        <v>0</v>
      </c>
      <c r="CP795" s="44">
        <v>0</v>
      </c>
      <c r="CQ795" s="44">
        <v>0</v>
      </c>
      <c r="CR795" s="44">
        <v>0</v>
      </c>
      <c r="CS795" s="44">
        <v>0</v>
      </c>
      <c r="CT795" s="44">
        <v>0</v>
      </c>
      <c r="CU795" s="44">
        <v>0</v>
      </c>
      <c r="CV795" s="44">
        <v>0</v>
      </c>
      <c r="CW795" s="44">
        <v>0</v>
      </c>
      <c r="CX795" s="44">
        <v>0</v>
      </c>
      <c r="CY795" s="44">
        <v>0</v>
      </c>
      <c r="CZ795" s="44">
        <v>0</v>
      </c>
      <c r="DA795" s="44">
        <v>0</v>
      </c>
      <c r="DB795" s="44">
        <v>0</v>
      </c>
      <c r="DC795" s="44">
        <v>0</v>
      </c>
      <c r="DD795" s="44">
        <v>0</v>
      </c>
      <c r="DE795" s="44">
        <v>0</v>
      </c>
      <c r="DF795" s="44">
        <v>0</v>
      </c>
      <c r="DG795" s="16">
        <f t="shared" si="69"/>
        <v>13192</v>
      </c>
      <c r="DH795" s="16">
        <f t="shared" si="70"/>
        <v>287035</v>
      </c>
      <c r="DI795" s="17">
        <f t="shared" si="71"/>
        <v>21.758262583383868</v>
      </c>
      <c r="DJ795" s="119" t="s">
        <v>1</v>
      </c>
      <c r="DK795" s="44" t="s">
        <v>1</v>
      </c>
      <c r="DL795" s="44" t="s">
        <v>1329</v>
      </c>
      <c r="DM795" s="44"/>
    </row>
    <row r="796" spans="1:117">
      <c r="A796" s="32" t="str">
        <f t="shared" si="67"/>
        <v>Ergon--&gt; 66 kV &amp; &lt; = 132 kV; CONCRETE</v>
      </c>
      <c r="B796" s="32" t="str">
        <f t="shared" si="68"/>
        <v>Ergon</v>
      </c>
      <c r="C796" s="387"/>
      <c r="D796" s="44"/>
      <c r="E796" s="44" t="s">
        <v>157</v>
      </c>
      <c r="F796" s="44">
        <v>56.9</v>
      </c>
      <c r="G796" s="44">
        <v>7.54</v>
      </c>
      <c r="H796" s="44">
        <v>0</v>
      </c>
      <c r="I796" s="44">
        <v>0</v>
      </c>
      <c r="J796" s="44">
        <v>12</v>
      </c>
      <c r="K796" s="44">
        <v>33</v>
      </c>
      <c r="L796" s="44">
        <v>54</v>
      </c>
      <c r="M796" s="44">
        <v>252</v>
      </c>
      <c r="N796" s="44">
        <v>77</v>
      </c>
      <c r="O796" s="44">
        <v>141</v>
      </c>
      <c r="P796" s="44">
        <v>250</v>
      </c>
      <c r="Q796" s="44">
        <v>476</v>
      </c>
      <c r="R796" s="44">
        <v>136</v>
      </c>
      <c r="S796" s="44">
        <v>445</v>
      </c>
      <c r="T796" s="44">
        <v>9</v>
      </c>
      <c r="U796" s="44">
        <v>10</v>
      </c>
      <c r="V796" s="44">
        <v>9</v>
      </c>
      <c r="W796" s="44">
        <v>10</v>
      </c>
      <c r="X796" s="44">
        <v>9</v>
      </c>
      <c r="Y796" s="44">
        <v>36</v>
      </c>
      <c r="Z796" s="44">
        <v>82</v>
      </c>
      <c r="AA796" s="44">
        <v>38</v>
      </c>
      <c r="AB796" s="44">
        <v>11</v>
      </c>
      <c r="AC796" s="44">
        <v>23</v>
      </c>
      <c r="AD796" s="44">
        <v>13</v>
      </c>
      <c r="AE796" s="44">
        <v>292</v>
      </c>
      <c r="AF796" s="44">
        <v>15</v>
      </c>
      <c r="AG796" s="44">
        <v>29</v>
      </c>
      <c r="AH796" s="44">
        <v>892</v>
      </c>
      <c r="AI796" s="44">
        <v>10</v>
      </c>
      <c r="AJ796" s="44">
        <v>764</v>
      </c>
      <c r="AK796" s="44">
        <v>657</v>
      </c>
      <c r="AL796" s="44">
        <v>11</v>
      </c>
      <c r="AM796" s="44">
        <v>12</v>
      </c>
      <c r="AN796" s="44">
        <v>12</v>
      </c>
      <c r="AO796" s="44">
        <v>12</v>
      </c>
      <c r="AP796" s="44">
        <v>0</v>
      </c>
      <c r="AQ796" s="44">
        <v>0</v>
      </c>
      <c r="AR796" s="44">
        <v>1</v>
      </c>
      <c r="AS796" s="44">
        <v>0</v>
      </c>
      <c r="AT796" s="44">
        <v>0</v>
      </c>
      <c r="AU796" s="44">
        <v>0</v>
      </c>
      <c r="AV796" s="44">
        <v>0</v>
      </c>
      <c r="AW796" s="44">
        <v>0</v>
      </c>
      <c r="AX796" s="44">
        <v>0</v>
      </c>
      <c r="AY796" s="44">
        <v>0</v>
      </c>
      <c r="AZ796" s="44">
        <v>1</v>
      </c>
      <c r="BA796" s="44">
        <v>0</v>
      </c>
      <c r="BB796" s="44">
        <v>0</v>
      </c>
      <c r="BC796" s="44">
        <v>0</v>
      </c>
      <c r="BD796" s="44">
        <v>0</v>
      </c>
      <c r="BE796" s="44">
        <v>0</v>
      </c>
      <c r="BF796" s="44">
        <v>0</v>
      </c>
      <c r="BG796" s="44">
        <v>0</v>
      </c>
      <c r="BH796" s="44">
        <v>0</v>
      </c>
      <c r="BI796" s="44">
        <v>0</v>
      </c>
      <c r="BJ796" s="44">
        <v>0</v>
      </c>
      <c r="BK796" s="44">
        <v>3</v>
      </c>
      <c r="BL796" s="44">
        <v>0</v>
      </c>
      <c r="BM796" s="44">
        <v>0</v>
      </c>
      <c r="BN796" s="44">
        <v>0</v>
      </c>
      <c r="BO796" s="44">
        <v>0</v>
      </c>
      <c r="BP796" s="44">
        <v>0</v>
      </c>
      <c r="BQ796" s="44">
        <v>0</v>
      </c>
      <c r="BR796" s="44">
        <v>0</v>
      </c>
      <c r="BS796" s="44">
        <v>0</v>
      </c>
      <c r="BT796" s="44">
        <v>0</v>
      </c>
      <c r="BU796" s="44">
        <v>0</v>
      </c>
      <c r="BV796" s="44">
        <v>0</v>
      </c>
      <c r="BW796" s="44">
        <v>0</v>
      </c>
      <c r="BX796" s="44">
        <v>0</v>
      </c>
      <c r="BY796" s="44">
        <v>0</v>
      </c>
      <c r="BZ796" s="44">
        <v>0</v>
      </c>
      <c r="CA796" s="44">
        <v>0</v>
      </c>
      <c r="CB796" s="44">
        <v>0</v>
      </c>
      <c r="CC796" s="44">
        <v>0</v>
      </c>
      <c r="CD796" s="44">
        <v>0</v>
      </c>
      <c r="CE796" s="44">
        <v>0</v>
      </c>
      <c r="CF796" s="44">
        <v>0</v>
      </c>
      <c r="CG796" s="44">
        <v>0</v>
      </c>
      <c r="CH796" s="44">
        <v>0</v>
      </c>
      <c r="CI796" s="44">
        <v>0</v>
      </c>
      <c r="CJ796" s="44">
        <v>0</v>
      </c>
      <c r="CK796" s="44">
        <v>0</v>
      </c>
      <c r="CL796" s="44">
        <v>0</v>
      </c>
      <c r="CM796" s="44">
        <v>0</v>
      </c>
      <c r="CN796" s="44">
        <v>0</v>
      </c>
      <c r="CO796" s="44">
        <v>0</v>
      </c>
      <c r="CP796" s="44">
        <v>0</v>
      </c>
      <c r="CQ796" s="44">
        <v>0</v>
      </c>
      <c r="CR796" s="44">
        <v>0</v>
      </c>
      <c r="CS796" s="44">
        <v>0</v>
      </c>
      <c r="CT796" s="44">
        <v>0</v>
      </c>
      <c r="CU796" s="44">
        <v>0</v>
      </c>
      <c r="CV796" s="44">
        <v>0</v>
      </c>
      <c r="CW796" s="44">
        <v>0</v>
      </c>
      <c r="CX796" s="44">
        <v>0</v>
      </c>
      <c r="CY796" s="44">
        <v>0</v>
      </c>
      <c r="CZ796" s="44">
        <v>0</v>
      </c>
      <c r="DA796" s="44">
        <v>0</v>
      </c>
      <c r="DB796" s="44">
        <v>0</v>
      </c>
      <c r="DC796" s="44">
        <v>0</v>
      </c>
      <c r="DD796" s="44">
        <v>0</v>
      </c>
      <c r="DE796" s="44">
        <v>0</v>
      </c>
      <c r="DF796" s="44">
        <v>0</v>
      </c>
      <c r="DG796" s="16">
        <f t="shared" si="69"/>
        <v>4837</v>
      </c>
      <c r="DH796" s="16">
        <f t="shared" si="70"/>
        <v>98316</v>
      </c>
      <c r="DI796" s="17">
        <f t="shared" si="71"/>
        <v>20.325821790365929</v>
      </c>
      <c r="DJ796" s="119" t="s">
        <v>1</v>
      </c>
      <c r="DK796" s="44" t="s">
        <v>1</v>
      </c>
      <c r="DL796" s="44" t="s">
        <v>1329</v>
      </c>
      <c r="DM796" s="44"/>
    </row>
    <row r="797" spans="1:117">
      <c r="A797" s="32" t="str">
        <f t="shared" si="67"/>
        <v>Ergon--&gt; 132 kV; CONCRETE</v>
      </c>
      <c r="B797" s="32" t="str">
        <f t="shared" si="68"/>
        <v>Ergon</v>
      </c>
      <c r="C797" s="387"/>
      <c r="D797" s="44"/>
      <c r="E797" s="44" t="s">
        <v>159</v>
      </c>
      <c r="F797" s="44">
        <v>56.9</v>
      </c>
      <c r="G797" s="44">
        <v>7.54</v>
      </c>
      <c r="H797" s="44">
        <v>0</v>
      </c>
      <c r="I797" s="44">
        <v>0</v>
      </c>
      <c r="J797" s="44">
        <v>0</v>
      </c>
      <c r="K797" s="44">
        <v>0</v>
      </c>
      <c r="L797" s="44">
        <v>0</v>
      </c>
      <c r="M797" s="44">
        <v>0</v>
      </c>
      <c r="N797" s="44">
        <v>0</v>
      </c>
      <c r="O797" s="44">
        <v>0</v>
      </c>
      <c r="P797" s="44">
        <v>0</v>
      </c>
      <c r="Q797" s="44">
        <v>0</v>
      </c>
      <c r="R797" s="44">
        <v>0</v>
      </c>
      <c r="S797" s="44">
        <v>0</v>
      </c>
      <c r="T797" s="44">
        <v>0</v>
      </c>
      <c r="U797" s="44">
        <v>0</v>
      </c>
      <c r="V797" s="44">
        <v>0</v>
      </c>
      <c r="W797" s="44">
        <v>0</v>
      </c>
      <c r="X797" s="44">
        <v>0</v>
      </c>
      <c r="Y797" s="44">
        <v>0</v>
      </c>
      <c r="Z797" s="44">
        <v>0</v>
      </c>
      <c r="AA797" s="44">
        <v>0</v>
      </c>
      <c r="AB797" s="44">
        <v>0</v>
      </c>
      <c r="AC797" s="44">
        <v>0</v>
      </c>
      <c r="AD797" s="44">
        <v>0</v>
      </c>
      <c r="AE797" s="44">
        <v>0</v>
      </c>
      <c r="AF797" s="44">
        <v>0</v>
      </c>
      <c r="AG797" s="44">
        <v>0</v>
      </c>
      <c r="AH797" s="44">
        <v>0</v>
      </c>
      <c r="AI797" s="44">
        <v>0</v>
      </c>
      <c r="AJ797" s="44">
        <v>0</v>
      </c>
      <c r="AK797" s="44">
        <v>0</v>
      </c>
      <c r="AL797" s="44">
        <v>0</v>
      </c>
      <c r="AM797" s="44">
        <v>0</v>
      </c>
      <c r="AN797" s="44">
        <v>0</v>
      </c>
      <c r="AO797" s="44">
        <v>0</v>
      </c>
      <c r="AP797" s="44">
        <v>0</v>
      </c>
      <c r="AQ797" s="44">
        <v>0</v>
      </c>
      <c r="AR797" s="44">
        <v>0</v>
      </c>
      <c r="AS797" s="44">
        <v>0</v>
      </c>
      <c r="AT797" s="44">
        <v>0</v>
      </c>
      <c r="AU797" s="44">
        <v>0</v>
      </c>
      <c r="AV797" s="44">
        <v>0</v>
      </c>
      <c r="AW797" s="44">
        <v>0</v>
      </c>
      <c r="AX797" s="44">
        <v>0</v>
      </c>
      <c r="AY797" s="44">
        <v>0</v>
      </c>
      <c r="AZ797" s="44">
        <v>0</v>
      </c>
      <c r="BA797" s="44">
        <v>0</v>
      </c>
      <c r="BB797" s="44">
        <v>0</v>
      </c>
      <c r="BC797" s="44">
        <v>0</v>
      </c>
      <c r="BD797" s="44">
        <v>0</v>
      </c>
      <c r="BE797" s="44">
        <v>0</v>
      </c>
      <c r="BF797" s="44">
        <v>0</v>
      </c>
      <c r="BG797" s="44">
        <v>0</v>
      </c>
      <c r="BH797" s="44">
        <v>0</v>
      </c>
      <c r="BI797" s="44">
        <v>0</v>
      </c>
      <c r="BJ797" s="44">
        <v>0</v>
      </c>
      <c r="BK797" s="44">
        <v>0</v>
      </c>
      <c r="BL797" s="44">
        <v>0</v>
      </c>
      <c r="BM797" s="44">
        <v>0</v>
      </c>
      <c r="BN797" s="44">
        <v>0</v>
      </c>
      <c r="BO797" s="44">
        <v>0</v>
      </c>
      <c r="BP797" s="44">
        <v>0</v>
      </c>
      <c r="BQ797" s="44">
        <v>0</v>
      </c>
      <c r="BR797" s="44">
        <v>0</v>
      </c>
      <c r="BS797" s="44">
        <v>0</v>
      </c>
      <c r="BT797" s="44">
        <v>0</v>
      </c>
      <c r="BU797" s="44">
        <v>0</v>
      </c>
      <c r="BV797" s="44">
        <v>0</v>
      </c>
      <c r="BW797" s="44">
        <v>0</v>
      </c>
      <c r="BX797" s="44">
        <v>0</v>
      </c>
      <c r="BY797" s="44">
        <v>0</v>
      </c>
      <c r="BZ797" s="44">
        <v>0</v>
      </c>
      <c r="CA797" s="44">
        <v>0</v>
      </c>
      <c r="CB797" s="44">
        <v>0</v>
      </c>
      <c r="CC797" s="44">
        <v>0</v>
      </c>
      <c r="CD797" s="44">
        <v>0</v>
      </c>
      <c r="CE797" s="44">
        <v>0</v>
      </c>
      <c r="CF797" s="44">
        <v>0</v>
      </c>
      <c r="CG797" s="44">
        <v>0</v>
      </c>
      <c r="CH797" s="44">
        <v>0</v>
      </c>
      <c r="CI797" s="44">
        <v>0</v>
      </c>
      <c r="CJ797" s="44">
        <v>0</v>
      </c>
      <c r="CK797" s="44">
        <v>0</v>
      </c>
      <c r="CL797" s="44">
        <v>0</v>
      </c>
      <c r="CM797" s="44">
        <v>0</v>
      </c>
      <c r="CN797" s="44">
        <v>0</v>
      </c>
      <c r="CO797" s="44">
        <v>0</v>
      </c>
      <c r="CP797" s="44">
        <v>0</v>
      </c>
      <c r="CQ797" s="44">
        <v>0</v>
      </c>
      <c r="CR797" s="44">
        <v>0</v>
      </c>
      <c r="CS797" s="44">
        <v>0</v>
      </c>
      <c r="CT797" s="44">
        <v>0</v>
      </c>
      <c r="CU797" s="44">
        <v>0</v>
      </c>
      <c r="CV797" s="44">
        <v>0</v>
      </c>
      <c r="CW797" s="44">
        <v>0</v>
      </c>
      <c r="CX797" s="44">
        <v>0</v>
      </c>
      <c r="CY797" s="44">
        <v>0</v>
      </c>
      <c r="CZ797" s="44">
        <v>0</v>
      </c>
      <c r="DA797" s="44">
        <v>0</v>
      </c>
      <c r="DB797" s="44">
        <v>0</v>
      </c>
      <c r="DC797" s="44">
        <v>0</v>
      </c>
      <c r="DD797" s="44">
        <v>0</v>
      </c>
      <c r="DE797" s="44">
        <v>0</v>
      </c>
      <c r="DF797" s="44">
        <v>0</v>
      </c>
      <c r="DG797" s="16">
        <f t="shared" si="69"/>
        <v>0</v>
      </c>
      <c r="DH797" s="16">
        <f t="shared" si="70"/>
        <v>0</v>
      </c>
      <c r="DI797" s="17" t="str">
        <f t="shared" si="71"/>
        <v/>
      </c>
      <c r="DJ797" s="119" t="s">
        <v>1</v>
      </c>
      <c r="DK797" s="44" t="s">
        <v>1</v>
      </c>
      <c r="DL797" s="44" t="s">
        <v>1329</v>
      </c>
      <c r="DM797" s="44"/>
    </row>
    <row r="798" spans="1:117">
      <c r="A798" s="32" t="str">
        <f t="shared" si="67"/>
        <v>Ergon--˂ = 1 kV; STEEL</v>
      </c>
      <c r="B798" s="32" t="str">
        <f t="shared" si="68"/>
        <v>Ergon</v>
      </c>
      <c r="C798" s="387"/>
      <c r="D798" s="44"/>
      <c r="E798" s="44" t="s">
        <v>161</v>
      </c>
      <c r="F798" s="44">
        <v>57.1</v>
      </c>
      <c r="G798" s="44">
        <v>7.56</v>
      </c>
      <c r="H798" s="44">
        <v>101</v>
      </c>
      <c r="I798" s="44">
        <v>412</v>
      </c>
      <c r="J798" s="44">
        <v>2166</v>
      </c>
      <c r="K798" s="44">
        <v>2345</v>
      </c>
      <c r="L798" s="44">
        <v>3070</v>
      </c>
      <c r="M798" s="44">
        <v>5212</v>
      </c>
      <c r="N798" s="44">
        <v>4913</v>
      </c>
      <c r="O798" s="44">
        <v>5389</v>
      </c>
      <c r="P798" s="44">
        <v>3921</v>
      </c>
      <c r="Q798" s="44">
        <v>3699</v>
      </c>
      <c r="R798" s="44">
        <v>2722</v>
      </c>
      <c r="S798" s="44">
        <v>2234</v>
      </c>
      <c r="T798" s="44">
        <v>2428</v>
      </c>
      <c r="U798" s="44">
        <v>2207</v>
      </c>
      <c r="V798" s="44">
        <v>2206</v>
      </c>
      <c r="W798" s="44">
        <v>2310</v>
      </c>
      <c r="X798" s="44">
        <v>2271</v>
      </c>
      <c r="Y798" s="44">
        <v>2311</v>
      </c>
      <c r="Z798" s="44">
        <v>2004</v>
      </c>
      <c r="AA798" s="44">
        <v>1745</v>
      </c>
      <c r="AB798" s="44">
        <v>1681</v>
      </c>
      <c r="AC798" s="44">
        <v>1635</v>
      </c>
      <c r="AD798" s="44">
        <v>1562</v>
      </c>
      <c r="AE798" s="44">
        <v>1585</v>
      </c>
      <c r="AF798" s="44">
        <v>44</v>
      </c>
      <c r="AG798" s="44">
        <v>52</v>
      </c>
      <c r="AH798" s="44">
        <v>26</v>
      </c>
      <c r="AI798" s="44">
        <v>58</v>
      </c>
      <c r="AJ798" s="44">
        <v>54</v>
      </c>
      <c r="AK798" s="44">
        <v>58</v>
      </c>
      <c r="AL798" s="44">
        <v>41</v>
      </c>
      <c r="AM798" s="44">
        <v>44</v>
      </c>
      <c r="AN798" s="44">
        <v>55</v>
      </c>
      <c r="AO798" s="44">
        <v>36</v>
      </c>
      <c r="AP798" s="44">
        <v>45</v>
      </c>
      <c r="AQ798" s="44">
        <v>47</v>
      </c>
      <c r="AR798" s="44">
        <v>33</v>
      </c>
      <c r="AS798" s="44">
        <v>38</v>
      </c>
      <c r="AT798" s="44">
        <v>42</v>
      </c>
      <c r="AU798" s="44">
        <v>45</v>
      </c>
      <c r="AV798" s="44">
        <v>28</v>
      </c>
      <c r="AW798" s="44">
        <v>50</v>
      </c>
      <c r="AX798" s="44">
        <v>40</v>
      </c>
      <c r="AY798" s="44">
        <v>64</v>
      </c>
      <c r="AZ798" s="44">
        <v>48</v>
      </c>
      <c r="BA798" s="44">
        <v>52</v>
      </c>
      <c r="BB798" s="44">
        <v>19</v>
      </c>
      <c r="BC798" s="44">
        <v>24</v>
      </c>
      <c r="BD798" s="44">
        <v>19</v>
      </c>
      <c r="BE798" s="44">
        <v>20</v>
      </c>
      <c r="BF798" s="44">
        <v>14</v>
      </c>
      <c r="BG798" s="44">
        <v>5</v>
      </c>
      <c r="BH798" s="44">
        <v>0</v>
      </c>
      <c r="BI798" s="44">
        <v>0</v>
      </c>
      <c r="BJ798" s="44">
        <v>0</v>
      </c>
      <c r="BK798" s="44">
        <v>3</v>
      </c>
      <c r="BL798" s="44">
        <v>1</v>
      </c>
      <c r="BM798" s="44">
        <v>0</v>
      </c>
      <c r="BN798" s="44">
        <v>0</v>
      </c>
      <c r="BO798" s="44">
        <v>0</v>
      </c>
      <c r="BP798" s="44">
        <v>0</v>
      </c>
      <c r="BQ798" s="44">
        <v>0</v>
      </c>
      <c r="BR798" s="44">
        <v>0</v>
      </c>
      <c r="BS798" s="44">
        <v>0</v>
      </c>
      <c r="BT798" s="44">
        <v>0</v>
      </c>
      <c r="BU798" s="44">
        <v>1</v>
      </c>
      <c r="BV798" s="44">
        <v>2</v>
      </c>
      <c r="BW798" s="44">
        <v>0</v>
      </c>
      <c r="BX798" s="44">
        <v>0</v>
      </c>
      <c r="BY798" s="44">
        <v>0</v>
      </c>
      <c r="BZ798" s="44">
        <v>0</v>
      </c>
      <c r="CA798" s="44">
        <v>0</v>
      </c>
      <c r="CB798" s="44">
        <v>0</v>
      </c>
      <c r="CC798" s="44">
        <v>0</v>
      </c>
      <c r="CD798" s="44">
        <v>0</v>
      </c>
      <c r="CE798" s="44">
        <v>0</v>
      </c>
      <c r="CF798" s="44">
        <v>0</v>
      </c>
      <c r="CG798" s="44">
        <v>0</v>
      </c>
      <c r="CH798" s="44">
        <v>0</v>
      </c>
      <c r="CI798" s="44">
        <v>0</v>
      </c>
      <c r="CJ798" s="44">
        <v>0</v>
      </c>
      <c r="CK798" s="44">
        <v>0</v>
      </c>
      <c r="CL798" s="44">
        <v>0</v>
      </c>
      <c r="CM798" s="44">
        <v>0</v>
      </c>
      <c r="CN798" s="44">
        <v>0</v>
      </c>
      <c r="CO798" s="44">
        <v>0</v>
      </c>
      <c r="CP798" s="44">
        <v>0</v>
      </c>
      <c r="CQ798" s="44">
        <v>0</v>
      </c>
      <c r="CR798" s="44">
        <v>0</v>
      </c>
      <c r="CS798" s="44">
        <v>0</v>
      </c>
      <c r="CT798" s="44">
        <v>0</v>
      </c>
      <c r="CU798" s="44">
        <v>0</v>
      </c>
      <c r="CV798" s="44">
        <v>0</v>
      </c>
      <c r="CW798" s="44">
        <v>0</v>
      </c>
      <c r="CX798" s="44">
        <v>0</v>
      </c>
      <c r="CY798" s="44">
        <v>0</v>
      </c>
      <c r="CZ798" s="44">
        <v>0</v>
      </c>
      <c r="DA798" s="44">
        <v>0</v>
      </c>
      <c r="DB798" s="44">
        <v>0</v>
      </c>
      <c r="DC798" s="44">
        <v>0</v>
      </c>
      <c r="DD798" s="44">
        <v>0</v>
      </c>
      <c r="DE798" s="44">
        <v>0</v>
      </c>
      <c r="DF798" s="44">
        <v>0</v>
      </c>
      <c r="DG798" s="16">
        <f t="shared" si="69"/>
        <v>61237</v>
      </c>
      <c r="DH798" s="16">
        <f t="shared" si="70"/>
        <v>741770</v>
      </c>
      <c r="DI798" s="17">
        <f t="shared" si="71"/>
        <v>12.113101556248672</v>
      </c>
      <c r="DJ798" s="119" t="s">
        <v>1</v>
      </c>
      <c r="DK798" s="44" t="s">
        <v>1</v>
      </c>
      <c r="DL798" s="44" t="s">
        <v>1330</v>
      </c>
      <c r="DM798" s="44"/>
    </row>
    <row r="799" spans="1:117">
      <c r="A799" s="32" t="str">
        <f t="shared" si="67"/>
        <v>Ergon--&gt; 1 kV &amp; &lt; = 11 kV; STEEL</v>
      </c>
      <c r="B799" s="32" t="str">
        <f t="shared" si="68"/>
        <v>Ergon</v>
      </c>
      <c r="C799" s="387"/>
      <c r="D799" s="44"/>
      <c r="E799" s="44" t="s">
        <v>163</v>
      </c>
      <c r="F799" s="44">
        <v>57.1</v>
      </c>
      <c r="G799" s="44">
        <v>7.56</v>
      </c>
      <c r="H799" s="44">
        <v>1</v>
      </c>
      <c r="I799" s="44">
        <v>4</v>
      </c>
      <c r="J799" s="44">
        <v>25</v>
      </c>
      <c r="K799" s="44">
        <v>30</v>
      </c>
      <c r="L799" s="44">
        <v>35</v>
      </c>
      <c r="M799" s="44">
        <v>45</v>
      </c>
      <c r="N799" s="44">
        <v>70</v>
      </c>
      <c r="O799" s="44">
        <v>84</v>
      </c>
      <c r="P799" s="44">
        <v>46</v>
      </c>
      <c r="Q799" s="44">
        <v>58</v>
      </c>
      <c r="R799" s="44">
        <v>55</v>
      </c>
      <c r="S799" s="44">
        <v>25</v>
      </c>
      <c r="T799" s="44">
        <v>50</v>
      </c>
      <c r="U799" s="44">
        <v>61</v>
      </c>
      <c r="V799" s="44">
        <v>48</v>
      </c>
      <c r="W799" s="44">
        <v>64</v>
      </c>
      <c r="X799" s="44">
        <v>35</v>
      </c>
      <c r="Y799" s="44">
        <v>53</v>
      </c>
      <c r="Z799" s="44">
        <v>53</v>
      </c>
      <c r="AA799" s="44">
        <v>37</v>
      </c>
      <c r="AB799" s="44">
        <v>44</v>
      </c>
      <c r="AC799" s="44">
        <v>49</v>
      </c>
      <c r="AD799" s="44">
        <v>34</v>
      </c>
      <c r="AE799" s="44">
        <v>29</v>
      </c>
      <c r="AF799" s="44">
        <v>31</v>
      </c>
      <c r="AG799" s="44">
        <v>21</v>
      </c>
      <c r="AH799" s="44">
        <v>13</v>
      </c>
      <c r="AI799" s="44">
        <v>13</v>
      </c>
      <c r="AJ799" s="44">
        <v>16</v>
      </c>
      <c r="AK799" s="44">
        <v>10</v>
      </c>
      <c r="AL799" s="44">
        <v>8</v>
      </c>
      <c r="AM799" s="44">
        <v>19</v>
      </c>
      <c r="AN799" s="44">
        <v>17</v>
      </c>
      <c r="AO799" s="44">
        <v>19</v>
      </c>
      <c r="AP799" s="44">
        <v>7</v>
      </c>
      <c r="AQ799" s="44">
        <v>10</v>
      </c>
      <c r="AR799" s="44">
        <v>5</v>
      </c>
      <c r="AS799" s="44">
        <v>9</v>
      </c>
      <c r="AT799" s="44">
        <v>12</v>
      </c>
      <c r="AU799" s="44">
        <v>21</v>
      </c>
      <c r="AV799" s="44">
        <v>12</v>
      </c>
      <c r="AW799" s="44">
        <v>15</v>
      </c>
      <c r="AX799" s="44">
        <v>20</v>
      </c>
      <c r="AY799" s="44">
        <v>22</v>
      </c>
      <c r="AZ799" s="44">
        <v>14</v>
      </c>
      <c r="BA799" s="44">
        <v>19</v>
      </c>
      <c r="BB799" s="44">
        <v>8</v>
      </c>
      <c r="BC799" s="44">
        <v>6</v>
      </c>
      <c r="BD799" s="44">
        <v>12</v>
      </c>
      <c r="BE799" s="44">
        <v>4</v>
      </c>
      <c r="BF799" s="44">
        <v>0</v>
      </c>
      <c r="BG799" s="44">
        <v>0</v>
      </c>
      <c r="BH799" s="44">
        <v>0</v>
      </c>
      <c r="BI799" s="44">
        <v>0</v>
      </c>
      <c r="BJ799" s="44">
        <v>0</v>
      </c>
      <c r="BK799" s="44">
        <v>0</v>
      </c>
      <c r="BL799" s="44">
        <v>0</v>
      </c>
      <c r="BM799" s="44">
        <v>0</v>
      </c>
      <c r="BN799" s="44">
        <v>0</v>
      </c>
      <c r="BO799" s="44">
        <v>0</v>
      </c>
      <c r="BP799" s="44">
        <v>0</v>
      </c>
      <c r="BQ799" s="44">
        <v>0</v>
      </c>
      <c r="BR799" s="44">
        <v>0</v>
      </c>
      <c r="BS799" s="44">
        <v>0</v>
      </c>
      <c r="BT799" s="44">
        <v>0</v>
      </c>
      <c r="BU799" s="44">
        <v>0</v>
      </c>
      <c r="BV799" s="44">
        <v>0</v>
      </c>
      <c r="BW799" s="44">
        <v>0</v>
      </c>
      <c r="BX799" s="44">
        <v>0</v>
      </c>
      <c r="BY799" s="44">
        <v>0</v>
      </c>
      <c r="BZ799" s="44">
        <v>0</v>
      </c>
      <c r="CA799" s="44">
        <v>0</v>
      </c>
      <c r="CB799" s="44">
        <v>0</v>
      </c>
      <c r="CC799" s="44">
        <v>0</v>
      </c>
      <c r="CD799" s="44">
        <v>0</v>
      </c>
      <c r="CE799" s="44">
        <v>0</v>
      </c>
      <c r="CF799" s="44">
        <v>0</v>
      </c>
      <c r="CG799" s="44">
        <v>0</v>
      </c>
      <c r="CH799" s="44">
        <v>0</v>
      </c>
      <c r="CI799" s="44">
        <v>0</v>
      </c>
      <c r="CJ799" s="44">
        <v>0</v>
      </c>
      <c r="CK799" s="44">
        <v>0</v>
      </c>
      <c r="CL799" s="44">
        <v>0</v>
      </c>
      <c r="CM799" s="44">
        <v>0</v>
      </c>
      <c r="CN799" s="44">
        <v>0</v>
      </c>
      <c r="CO799" s="44">
        <v>0</v>
      </c>
      <c r="CP799" s="44">
        <v>0</v>
      </c>
      <c r="CQ799" s="44">
        <v>0</v>
      </c>
      <c r="CR799" s="44">
        <v>0</v>
      </c>
      <c r="CS799" s="44">
        <v>0</v>
      </c>
      <c r="CT799" s="44">
        <v>0</v>
      </c>
      <c r="CU799" s="44">
        <v>0</v>
      </c>
      <c r="CV799" s="44">
        <v>0</v>
      </c>
      <c r="CW799" s="44">
        <v>0</v>
      </c>
      <c r="CX799" s="44">
        <v>0</v>
      </c>
      <c r="CY799" s="44">
        <v>0</v>
      </c>
      <c r="CZ799" s="44">
        <v>0</v>
      </c>
      <c r="DA799" s="44">
        <v>0</v>
      </c>
      <c r="DB799" s="44">
        <v>0</v>
      </c>
      <c r="DC799" s="44">
        <v>0</v>
      </c>
      <c r="DD799" s="44">
        <v>0</v>
      </c>
      <c r="DE799" s="44">
        <v>0</v>
      </c>
      <c r="DF799" s="44">
        <v>0</v>
      </c>
      <c r="DG799" s="16">
        <f t="shared" si="69"/>
        <v>1398</v>
      </c>
      <c r="DH799" s="16">
        <f t="shared" si="70"/>
        <v>26943</v>
      </c>
      <c r="DI799" s="17">
        <f t="shared" si="71"/>
        <v>19.2725321888412</v>
      </c>
      <c r="DJ799" s="119" t="s">
        <v>1</v>
      </c>
      <c r="DK799" s="44" t="s">
        <v>1</v>
      </c>
      <c r="DL799" s="44" t="s">
        <v>1330</v>
      </c>
      <c r="DM799" s="44"/>
    </row>
    <row r="800" spans="1:117">
      <c r="A800" s="32" t="str">
        <f t="shared" si="67"/>
        <v>Ergon--˃ 11 kV &amp; &lt; = 22 kV; STEEL</v>
      </c>
      <c r="B800" s="32" t="str">
        <f t="shared" si="68"/>
        <v>Ergon</v>
      </c>
      <c r="C800" s="387"/>
      <c r="D800" s="44"/>
      <c r="E800" s="44" t="s">
        <v>165</v>
      </c>
      <c r="F800" s="44">
        <v>57.1</v>
      </c>
      <c r="G800" s="44">
        <v>7.56</v>
      </c>
      <c r="H800" s="44">
        <v>0</v>
      </c>
      <c r="I800" s="44">
        <v>8</v>
      </c>
      <c r="J800" s="44">
        <v>8</v>
      </c>
      <c r="K800" s="44">
        <v>8</v>
      </c>
      <c r="L800" s="44">
        <v>3</v>
      </c>
      <c r="M800" s="44">
        <v>44</v>
      </c>
      <c r="N800" s="44">
        <v>3</v>
      </c>
      <c r="O800" s="44">
        <v>1</v>
      </c>
      <c r="P800" s="44">
        <v>3</v>
      </c>
      <c r="Q800" s="44">
        <v>12</v>
      </c>
      <c r="R800" s="44">
        <v>4</v>
      </c>
      <c r="S800" s="44">
        <v>4</v>
      </c>
      <c r="T800" s="44">
        <v>3</v>
      </c>
      <c r="U800" s="44">
        <v>4</v>
      </c>
      <c r="V800" s="44">
        <v>4</v>
      </c>
      <c r="W800" s="44">
        <v>0</v>
      </c>
      <c r="X800" s="44">
        <v>7</v>
      </c>
      <c r="Y800" s="44">
        <v>6</v>
      </c>
      <c r="Z800" s="44">
        <v>2</v>
      </c>
      <c r="AA800" s="44">
        <v>2</v>
      </c>
      <c r="AB800" s="44">
        <v>1</v>
      </c>
      <c r="AC800" s="44">
        <v>1</v>
      </c>
      <c r="AD800" s="44">
        <v>0</v>
      </c>
      <c r="AE800" s="44">
        <v>6</v>
      </c>
      <c r="AF800" s="44">
        <v>4</v>
      </c>
      <c r="AG800" s="44">
        <v>6</v>
      </c>
      <c r="AH800" s="44">
        <v>2</v>
      </c>
      <c r="AI800" s="44">
        <v>2</v>
      </c>
      <c r="AJ800" s="44">
        <v>1</v>
      </c>
      <c r="AK800" s="44">
        <v>1</v>
      </c>
      <c r="AL800" s="44">
        <v>1</v>
      </c>
      <c r="AM800" s="44">
        <v>2</v>
      </c>
      <c r="AN800" s="44">
        <v>2</v>
      </c>
      <c r="AO800" s="44">
        <v>1</v>
      </c>
      <c r="AP800" s="44">
        <v>1</v>
      </c>
      <c r="AQ800" s="44">
        <v>1</v>
      </c>
      <c r="AR800" s="44">
        <v>0</v>
      </c>
      <c r="AS800" s="44">
        <v>4</v>
      </c>
      <c r="AT800" s="44">
        <v>3</v>
      </c>
      <c r="AU800" s="44">
        <v>0</v>
      </c>
      <c r="AV800" s="44">
        <v>3</v>
      </c>
      <c r="AW800" s="44">
        <v>4</v>
      </c>
      <c r="AX800" s="44">
        <v>2</v>
      </c>
      <c r="AY800" s="44">
        <v>4</v>
      </c>
      <c r="AZ800" s="44">
        <v>0</v>
      </c>
      <c r="BA800" s="44">
        <v>3</v>
      </c>
      <c r="BB800" s="44">
        <v>0</v>
      </c>
      <c r="BC800" s="44">
        <v>0</v>
      </c>
      <c r="BD800" s="44">
        <v>1</v>
      </c>
      <c r="BE800" s="44">
        <v>1</v>
      </c>
      <c r="BF800" s="44">
        <v>0</v>
      </c>
      <c r="BG800" s="44">
        <v>0</v>
      </c>
      <c r="BH800" s="44">
        <v>0</v>
      </c>
      <c r="BI800" s="44">
        <v>0</v>
      </c>
      <c r="BJ800" s="44">
        <v>0</v>
      </c>
      <c r="BK800" s="44">
        <v>0</v>
      </c>
      <c r="BL800" s="44">
        <v>0</v>
      </c>
      <c r="BM800" s="44">
        <v>0</v>
      </c>
      <c r="BN800" s="44">
        <v>0</v>
      </c>
      <c r="BO800" s="44">
        <v>0</v>
      </c>
      <c r="BP800" s="44">
        <v>0</v>
      </c>
      <c r="BQ800" s="44">
        <v>0</v>
      </c>
      <c r="BR800" s="44">
        <v>0</v>
      </c>
      <c r="BS800" s="44">
        <v>0</v>
      </c>
      <c r="BT800" s="44">
        <v>0</v>
      </c>
      <c r="BU800" s="44">
        <v>0</v>
      </c>
      <c r="BV800" s="44">
        <v>0</v>
      </c>
      <c r="BW800" s="44">
        <v>0</v>
      </c>
      <c r="BX800" s="44">
        <v>0</v>
      </c>
      <c r="BY800" s="44">
        <v>0</v>
      </c>
      <c r="BZ800" s="44">
        <v>0</v>
      </c>
      <c r="CA800" s="44">
        <v>0</v>
      </c>
      <c r="CB800" s="44">
        <v>0</v>
      </c>
      <c r="CC800" s="44">
        <v>0</v>
      </c>
      <c r="CD800" s="44">
        <v>0</v>
      </c>
      <c r="CE800" s="44">
        <v>0</v>
      </c>
      <c r="CF800" s="44">
        <v>0</v>
      </c>
      <c r="CG800" s="44">
        <v>0</v>
      </c>
      <c r="CH800" s="44">
        <v>0</v>
      </c>
      <c r="CI800" s="44">
        <v>0</v>
      </c>
      <c r="CJ800" s="44">
        <v>0</v>
      </c>
      <c r="CK800" s="44">
        <v>0</v>
      </c>
      <c r="CL800" s="44">
        <v>0</v>
      </c>
      <c r="CM800" s="44">
        <v>0</v>
      </c>
      <c r="CN800" s="44">
        <v>0</v>
      </c>
      <c r="CO800" s="44">
        <v>0</v>
      </c>
      <c r="CP800" s="44">
        <v>0</v>
      </c>
      <c r="CQ800" s="44">
        <v>0</v>
      </c>
      <c r="CR800" s="44">
        <v>0</v>
      </c>
      <c r="CS800" s="44">
        <v>0</v>
      </c>
      <c r="CT800" s="44">
        <v>0</v>
      </c>
      <c r="CU800" s="44">
        <v>0</v>
      </c>
      <c r="CV800" s="44">
        <v>0</v>
      </c>
      <c r="CW800" s="44">
        <v>0</v>
      </c>
      <c r="CX800" s="44">
        <v>0</v>
      </c>
      <c r="CY800" s="44">
        <v>0</v>
      </c>
      <c r="CZ800" s="44">
        <v>0</v>
      </c>
      <c r="DA800" s="44">
        <v>0</v>
      </c>
      <c r="DB800" s="44">
        <v>0</v>
      </c>
      <c r="DC800" s="44">
        <v>0</v>
      </c>
      <c r="DD800" s="44">
        <v>0</v>
      </c>
      <c r="DE800" s="44">
        <v>0</v>
      </c>
      <c r="DF800" s="44">
        <v>0</v>
      </c>
      <c r="DG800" s="16">
        <f t="shared" si="69"/>
        <v>183</v>
      </c>
      <c r="DH800" s="16">
        <f t="shared" si="70"/>
        <v>3016</v>
      </c>
      <c r="DI800" s="17">
        <f t="shared" si="71"/>
        <v>16.480874316939889</v>
      </c>
      <c r="DJ800" s="119" t="s">
        <v>1</v>
      </c>
      <c r="DK800" s="44" t="s">
        <v>1</v>
      </c>
      <c r="DL800" s="44" t="s">
        <v>1330</v>
      </c>
      <c r="DM800" s="44"/>
    </row>
    <row r="801" spans="1:117">
      <c r="A801" s="32" t="str">
        <f t="shared" si="67"/>
        <v>Ergon--&gt; 22 kV &amp; &lt; = 66 kV; STEEL</v>
      </c>
      <c r="B801" s="32" t="str">
        <f t="shared" si="68"/>
        <v>Ergon</v>
      </c>
      <c r="C801" s="387"/>
      <c r="D801" s="44"/>
      <c r="E801" s="44" t="s">
        <v>166</v>
      </c>
      <c r="F801" s="44">
        <v>57.1</v>
      </c>
      <c r="G801" s="44">
        <v>7.56</v>
      </c>
      <c r="H801" s="44">
        <v>0</v>
      </c>
      <c r="I801" s="44">
        <v>2</v>
      </c>
      <c r="J801" s="44">
        <v>21</v>
      </c>
      <c r="K801" s="44">
        <v>22</v>
      </c>
      <c r="L801" s="44">
        <v>19</v>
      </c>
      <c r="M801" s="44">
        <v>26</v>
      </c>
      <c r="N801" s="44">
        <v>23</v>
      </c>
      <c r="O801" s="44">
        <v>28</v>
      </c>
      <c r="P801" s="44">
        <v>30</v>
      </c>
      <c r="Q801" s="44">
        <v>54</v>
      </c>
      <c r="R801" s="44">
        <v>28</v>
      </c>
      <c r="S801" s="44">
        <v>34</v>
      </c>
      <c r="T801" s="44">
        <v>31</v>
      </c>
      <c r="U801" s="44">
        <v>39</v>
      </c>
      <c r="V801" s="44">
        <v>29</v>
      </c>
      <c r="W801" s="44">
        <v>36</v>
      </c>
      <c r="X801" s="44">
        <v>26</v>
      </c>
      <c r="Y801" s="44">
        <v>25</v>
      </c>
      <c r="Z801" s="44">
        <v>28</v>
      </c>
      <c r="AA801" s="44">
        <v>21</v>
      </c>
      <c r="AB801" s="44">
        <v>26</v>
      </c>
      <c r="AC801" s="44">
        <v>26</v>
      </c>
      <c r="AD801" s="44">
        <v>20</v>
      </c>
      <c r="AE801" s="44">
        <v>24</v>
      </c>
      <c r="AF801" s="44">
        <v>1</v>
      </c>
      <c r="AG801" s="44">
        <v>2</v>
      </c>
      <c r="AH801" s="44">
        <v>0</v>
      </c>
      <c r="AI801" s="44">
        <v>5</v>
      </c>
      <c r="AJ801" s="44">
        <v>5</v>
      </c>
      <c r="AK801" s="44">
        <v>2</v>
      </c>
      <c r="AL801" s="44">
        <v>0</v>
      </c>
      <c r="AM801" s="44">
        <v>2</v>
      </c>
      <c r="AN801" s="44">
        <v>3</v>
      </c>
      <c r="AO801" s="44">
        <v>4</v>
      </c>
      <c r="AP801" s="44">
        <v>1</v>
      </c>
      <c r="AQ801" s="44">
        <v>2</v>
      </c>
      <c r="AR801" s="44">
        <v>0</v>
      </c>
      <c r="AS801" s="44">
        <v>1</v>
      </c>
      <c r="AT801" s="44">
        <v>0</v>
      </c>
      <c r="AU801" s="44">
        <v>0</v>
      </c>
      <c r="AV801" s="44">
        <v>2</v>
      </c>
      <c r="AW801" s="44">
        <v>116</v>
      </c>
      <c r="AX801" s="44">
        <v>0</v>
      </c>
      <c r="AY801" s="44">
        <v>2</v>
      </c>
      <c r="AZ801" s="44">
        <v>73</v>
      </c>
      <c r="BA801" s="44">
        <v>4</v>
      </c>
      <c r="BB801" s="44">
        <v>1</v>
      </c>
      <c r="BC801" s="44">
        <v>0</v>
      </c>
      <c r="BD801" s="44">
        <v>0</v>
      </c>
      <c r="BE801" s="44">
        <v>2</v>
      </c>
      <c r="BF801" s="44">
        <v>0</v>
      </c>
      <c r="BG801" s="44">
        <v>0</v>
      </c>
      <c r="BH801" s="44">
        <v>0</v>
      </c>
      <c r="BI801" s="44">
        <v>0</v>
      </c>
      <c r="BJ801" s="44">
        <v>0</v>
      </c>
      <c r="BK801" s="44">
        <v>699</v>
      </c>
      <c r="BL801" s="44">
        <v>469</v>
      </c>
      <c r="BM801" s="44">
        <v>0</v>
      </c>
      <c r="BN801" s="44">
        <v>0</v>
      </c>
      <c r="BO801" s="44">
        <v>0</v>
      </c>
      <c r="BP801" s="44">
        <v>0</v>
      </c>
      <c r="BQ801" s="44">
        <v>0</v>
      </c>
      <c r="BR801" s="44">
        <v>0</v>
      </c>
      <c r="BS801" s="44">
        <v>49</v>
      </c>
      <c r="BT801" s="44">
        <v>0</v>
      </c>
      <c r="BU801" s="44">
        <v>0</v>
      </c>
      <c r="BV801" s="44">
        <v>0</v>
      </c>
      <c r="BW801" s="44">
        <v>0</v>
      </c>
      <c r="BX801" s="44">
        <v>0</v>
      </c>
      <c r="BY801" s="44">
        <v>0</v>
      </c>
      <c r="BZ801" s="44">
        <v>0</v>
      </c>
      <c r="CA801" s="44">
        <v>0</v>
      </c>
      <c r="CB801" s="44">
        <v>0</v>
      </c>
      <c r="CC801" s="44">
        <v>0</v>
      </c>
      <c r="CD801" s="44">
        <v>0</v>
      </c>
      <c r="CE801" s="44">
        <v>0</v>
      </c>
      <c r="CF801" s="44">
        <v>0</v>
      </c>
      <c r="CG801" s="44">
        <v>0</v>
      </c>
      <c r="CH801" s="44">
        <v>0</v>
      </c>
      <c r="CI801" s="44">
        <v>0</v>
      </c>
      <c r="CJ801" s="44">
        <v>0</v>
      </c>
      <c r="CK801" s="44">
        <v>0</v>
      </c>
      <c r="CL801" s="44">
        <v>0</v>
      </c>
      <c r="CM801" s="44">
        <v>0</v>
      </c>
      <c r="CN801" s="44">
        <v>0</v>
      </c>
      <c r="CO801" s="44">
        <v>0</v>
      </c>
      <c r="CP801" s="44">
        <v>0</v>
      </c>
      <c r="CQ801" s="44">
        <v>0</v>
      </c>
      <c r="CR801" s="44">
        <v>0</v>
      </c>
      <c r="CS801" s="44">
        <v>0</v>
      </c>
      <c r="CT801" s="44">
        <v>0</v>
      </c>
      <c r="CU801" s="44">
        <v>0</v>
      </c>
      <c r="CV801" s="44">
        <v>0</v>
      </c>
      <c r="CW801" s="44">
        <v>0</v>
      </c>
      <c r="CX801" s="44">
        <v>0</v>
      </c>
      <c r="CY801" s="44">
        <v>0</v>
      </c>
      <c r="CZ801" s="44">
        <v>0</v>
      </c>
      <c r="DA801" s="44">
        <v>0</v>
      </c>
      <c r="DB801" s="44">
        <v>0</v>
      </c>
      <c r="DC801" s="44">
        <v>0</v>
      </c>
      <c r="DD801" s="44">
        <v>0</v>
      </c>
      <c r="DE801" s="44">
        <v>0</v>
      </c>
      <c r="DF801" s="44">
        <v>0</v>
      </c>
      <c r="DG801" s="16">
        <f t="shared" si="69"/>
        <v>2063</v>
      </c>
      <c r="DH801" s="16">
        <f t="shared" si="70"/>
        <v>86812</v>
      </c>
      <c r="DI801" s="17">
        <f t="shared" si="71"/>
        <v>42.080465341735334</v>
      </c>
      <c r="DJ801" s="119" t="s">
        <v>1</v>
      </c>
      <c r="DK801" s="44" t="s">
        <v>1</v>
      </c>
      <c r="DL801" s="44" t="s">
        <v>1330</v>
      </c>
      <c r="DM801" s="44"/>
    </row>
    <row r="802" spans="1:117">
      <c r="A802" s="32" t="str">
        <f t="shared" si="67"/>
        <v>Ergon--&gt; 66 kV &amp; &lt; = 132 kV; STEEL</v>
      </c>
      <c r="B802" s="32" t="str">
        <f t="shared" si="68"/>
        <v>Ergon</v>
      </c>
      <c r="C802" s="387"/>
      <c r="D802" s="44"/>
      <c r="E802" s="44" t="s">
        <v>167</v>
      </c>
      <c r="F802" s="44">
        <v>57.1</v>
      </c>
      <c r="G802" s="44">
        <v>7.56</v>
      </c>
      <c r="H802" s="44">
        <v>0</v>
      </c>
      <c r="I802" s="44">
        <v>0</v>
      </c>
      <c r="J802" s="44">
        <v>0</v>
      </c>
      <c r="K802" s="44">
        <v>2</v>
      </c>
      <c r="L802" s="44">
        <v>0</v>
      </c>
      <c r="M802" s="44">
        <v>2</v>
      </c>
      <c r="N802" s="44">
        <v>0</v>
      </c>
      <c r="O802" s="44">
        <v>1</v>
      </c>
      <c r="P802" s="44">
        <v>3</v>
      </c>
      <c r="Q802" s="44">
        <v>5</v>
      </c>
      <c r="R802" s="44">
        <v>1</v>
      </c>
      <c r="S802" s="44">
        <v>4</v>
      </c>
      <c r="T802" s="44">
        <v>4</v>
      </c>
      <c r="U802" s="44">
        <v>3</v>
      </c>
      <c r="V802" s="44">
        <v>2</v>
      </c>
      <c r="W802" s="44">
        <v>3</v>
      </c>
      <c r="X802" s="44">
        <v>2</v>
      </c>
      <c r="Y802" s="44">
        <v>158</v>
      </c>
      <c r="Z802" s="44">
        <v>16</v>
      </c>
      <c r="AA802" s="44">
        <v>1</v>
      </c>
      <c r="AB802" s="44">
        <v>2</v>
      </c>
      <c r="AC802" s="44">
        <v>4</v>
      </c>
      <c r="AD802" s="44">
        <v>3</v>
      </c>
      <c r="AE802" s="44">
        <v>1</v>
      </c>
      <c r="AF802" s="44">
        <v>8</v>
      </c>
      <c r="AG802" s="44">
        <v>0</v>
      </c>
      <c r="AH802" s="44">
        <v>1</v>
      </c>
      <c r="AI802" s="44">
        <v>285</v>
      </c>
      <c r="AJ802" s="44">
        <v>0</v>
      </c>
      <c r="AK802" s="44">
        <v>0</v>
      </c>
      <c r="AL802" s="44">
        <v>24</v>
      </c>
      <c r="AM802" s="44">
        <v>200</v>
      </c>
      <c r="AN802" s="44">
        <v>0</v>
      </c>
      <c r="AO802" s="44">
        <v>2</v>
      </c>
      <c r="AP802" s="44">
        <v>0</v>
      </c>
      <c r="AQ802" s="44">
        <v>0</v>
      </c>
      <c r="AR802" s="44">
        <v>0</v>
      </c>
      <c r="AS802" s="44">
        <v>0</v>
      </c>
      <c r="AT802" s="44">
        <v>1</v>
      </c>
      <c r="AU802" s="44">
        <v>0</v>
      </c>
      <c r="AV802" s="44">
        <v>0</v>
      </c>
      <c r="AW802" s="44">
        <v>17</v>
      </c>
      <c r="AX802" s="44">
        <v>0</v>
      </c>
      <c r="AY802" s="44">
        <v>0</v>
      </c>
      <c r="AZ802" s="44">
        <v>0</v>
      </c>
      <c r="BA802" s="44">
        <v>0</v>
      </c>
      <c r="BB802" s="44">
        <v>0</v>
      </c>
      <c r="BC802" s="44">
        <v>0</v>
      </c>
      <c r="BD802" s="44">
        <v>48</v>
      </c>
      <c r="BE802" s="44">
        <v>0</v>
      </c>
      <c r="BF802" s="44">
        <v>0</v>
      </c>
      <c r="BG802" s="44">
        <v>0</v>
      </c>
      <c r="BH802" s="44">
        <v>0</v>
      </c>
      <c r="BI802" s="44">
        <v>0</v>
      </c>
      <c r="BJ802" s="44">
        <v>0</v>
      </c>
      <c r="BK802" s="44">
        <v>1</v>
      </c>
      <c r="BL802" s="44">
        <v>0</v>
      </c>
      <c r="BM802" s="44">
        <v>0</v>
      </c>
      <c r="BN802" s="44">
        <v>0</v>
      </c>
      <c r="BO802" s="44">
        <v>0</v>
      </c>
      <c r="BP802" s="44">
        <v>0</v>
      </c>
      <c r="BQ802" s="44">
        <v>0</v>
      </c>
      <c r="BR802" s="44">
        <v>0</v>
      </c>
      <c r="BS802" s="44">
        <v>0</v>
      </c>
      <c r="BT802" s="44">
        <v>0</v>
      </c>
      <c r="BU802" s="44">
        <v>0</v>
      </c>
      <c r="BV802" s="44">
        <v>0</v>
      </c>
      <c r="BW802" s="44">
        <v>0</v>
      </c>
      <c r="BX802" s="44">
        <v>0</v>
      </c>
      <c r="BY802" s="44">
        <v>0</v>
      </c>
      <c r="BZ802" s="44">
        <v>0</v>
      </c>
      <c r="CA802" s="44">
        <v>0</v>
      </c>
      <c r="CB802" s="44">
        <v>0</v>
      </c>
      <c r="CC802" s="44">
        <v>0</v>
      </c>
      <c r="CD802" s="44">
        <v>0</v>
      </c>
      <c r="CE802" s="44">
        <v>0</v>
      </c>
      <c r="CF802" s="44">
        <v>0</v>
      </c>
      <c r="CG802" s="44">
        <v>0</v>
      </c>
      <c r="CH802" s="44">
        <v>0</v>
      </c>
      <c r="CI802" s="44">
        <v>0</v>
      </c>
      <c r="CJ802" s="44">
        <v>0</v>
      </c>
      <c r="CK802" s="44">
        <v>0</v>
      </c>
      <c r="CL802" s="44">
        <v>0</v>
      </c>
      <c r="CM802" s="44">
        <v>0</v>
      </c>
      <c r="CN802" s="44">
        <v>0</v>
      </c>
      <c r="CO802" s="44">
        <v>0</v>
      </c>
      <c r="CP802" s="44">
        <v>0</v>
      </c>
      <c r="CQ802" s="44">
        <v>0</v>
      </c>
      <c r="CR802" s="44">
        <v>0</v>
      </c>
      <c r="CS802" s="44">
        <v>0</v>
      </c>
      <c r="CT802" s="44">
        <v>0</v>
      </c>
      <c r="CU802" s="44">
        <v>0</v>
      </c>
      <c r="CV802" s="44">
        <v>0</v>
      </c>
      <c r="CW802" s="44">
        <v>0</v>
      </c>
      <c r="CX802" s="44">
        <v>0</v>
      </c>
      <c r="CY802" s="44">
        <v>0</v>
      </c>
      <c r="CZ802" s="44">
        <v>0</v>
      </c>
      <c r="DA802" s="44">
        <v>0</v>
      </c>
      <c r="DB802" s="44">
        <v>0</v>
      </c>
      <c r="DC802" s="44">
        <v>0</v>
      </c>
      <c r="DD802" s="44">
        <v>0</v>
      </c>
      <c r="DE802" s="44">
        <v>0</v>
      </c>
      <c r="DF802" s="44">
        <v>0</v>
      </c>
      <c r="DG802" s="16">
        <f t="shared" si="69"/>
        <v>804</v>
      </c>
      <c r="DH802" s="16">
        <f t="shared" si="70"/>
        <v>22341</v>
      </c>
      <c r="DI802" s="17">
        <f t="shared" si="71"/>
        <v>27.78731343283582</v>
      </c>
      <c r="DJ802" s="119" t="s">
        <v>1</v>
      </c>
      <c r="DK802" s="44" t="s">
        <v>1</v>
      </c>
      <c r="DL802" s="44" t="s">
        <v>1330</v>
      </c>
      <c r="DM802" s="44"/>
    </row>
    <row r="803" spans="1:117">
      <c r="A803" s="32" t="str">
        <f t="shared" si="67"/>
        <v>Ergon--&gt; 132 kV; STEEL</v>
      </c>
      <c r="B803" s="32" t="str">
        <f t="shared" si="68"/>
        <v>Ergon</v>
      </c>
      <c r="C803" s="387"/>
      <c r="D803" s="44"/>
      <c r="E803" s="44" t="s">
        <v>168</v>
      </c>
      <c r="F803" s="44">
        <v>57.1</v>
      </c>
      <c r="G803" s="44">
        <v>7.56</v>
      </c>
      <c r="H803" s="44">
        <v>0</v>
      </c>
      <c r="I803" s="44">
        <v>0</v>
      </c>
      <c r="J803" s="44">
        <v>0</v>
      </c>
      <c r="K803" s="44">
        <v>0</v>
      </c>
      <c r="L803" s="44">
        <v>0</v>
      </c>
      <c r="M803" s="44">
        <v>0</v>
      </c>
      <c r="N803" s="44">
        <v>0</v>
      </c>
      <c r="O803" s="44">
        <v>0</v>
      </c>
      <c r="P803" s="44">
        <v>0</v>
      </c>
      <c r="Q803" s="44">
        <v>0</v>
      </c>
      <c r="R803" s="44">
        <v>0</v>
      </c>
      <c r="S803" s="44">
        <v>0</v>
      </c>
      <c r="T803" s="44">
        <v>0</v>
      </c>
      <c r="U803" s="44">
        <v>0</v>
      </c>
      <c r="V803" s="44">
        <v>0</v>
      </c>
      <c r="W803" s="44">
        <v>0</v>
      </c>
      <c r="X803" s="44">
        <v>0</v>
      </c>
      <c r="Y803" s="44">
        <v>0</v>
      </c>
      <c r="Z803" s="44">
        <v>0</v>
      </c>
      <c r="AA803" s="44">
        <v>0</v>
      </c>
      <c r="AB803" s="44">
        <v>0</v>
      </c>
      <c r="AC803" s="44">
        <v>0</v>
      </c>
      <c r="AD803" s="44">
        <v>0</v>
      </c>
      <c r="AE803" s="44">
        <v>0</v>
      </c>
      <c r="AF803" s="44">
        <v>0</v>
      </c>
      <c r="AG803" s="44">
        <v>0</v>
      </c>
      <c r="AH803" s="44">
        <v>0</v>
      </c>
      <c r="AI803" s="44">
        <v>0</v>
      </c>
      <c r="AJ803" s="44">
        <v>0</v>
      </c>
      <c r="AK803" s="44">
        <v>0</v>
      </c>
      <c r="AL803" s="44">
        <v>0</v>
      </c>
      <c r="AM803" s="44">
        <v>0</v>
      </c>
      <c r="AN803" s="44">
        <v>0</v>
      </c>
      <c r="AO803" s="44">
        <v>0</v>
      </c>
      <c r="AP803" s="44">
        <v>0</v>
      </c>
      <c r="AQ803" s="44">
        <v>0</v>
      </c>
      <c r="AR803" s="44">
        <v>0</v>
      </c>
      <c r="AS803" s="44">
        <v>0</v>
      </c>
      <c r="AT803" s="44">
        <v>0</v>
      </c>
      <c r="AU803" s="44">
        <v>0</v>
      </c>
      <c r="AV803" s="44">
        <v>0</v>
      </c>
      <c r="AW803" s="44">
        <v>0</v>
      </c>
      <c r="AX803" s="44">
        <v>0</v>
      </c>
      <c r="AY803" s="44">
        <v>0</v>
      </c>
      <c r="AZ803" s="44">
        <v>0</v>
      </c>
      <c r="BA803" s="44">
        <v>0</v>
      </c>
      <c r="BB803" s="44">
        <v>0</v>
      </c>
      <c r="BC803" s="44">
        <v>0</v>
      </c>
      <c r="BD803" s="44">
        <v>0</v>
      </c>
      <c r="BE803" s="44">
        <v>0</v>
      </c>
      <c r="BF803" s="44">
        <v>0</v>
      </c>
      <c r="BG803" s="44">
        <v>0</v>
      </c>
      <c r="BH803" s="44">
        <v>0</v>
      </c>
      <c r="BI803" s="44">
        <v>0</v>
      </c>
      <c r="BJ803" s="44">
        <v>0</v>
      </c>
      <c r="BK803" s="44">
        <v>0</v>
      </c>
      <c r="BL803" s="44">
        <v>0</v>
      </c>
      <c r="BM803" s="44">
        <v>0</v>
      </c>
      <c r="BN803" s="44">
        <v>0</v>
      </c>
      <c r="BO803" s="44">
        <v>0</v>
      </c>
      <c r="BP803" s="44">
        <v>0</v>
      </c>
      <c r="BQ803" s="44">
        <v>0</v>
      </c>
      <c r="BR803" s="44">
        <v>0</v>
      </c>
      <c r="BS803" s="44">
        <v>0</v>
      </c>
      <c r="BT803" s="44">
        <v>0</v>
      </c>
      <c r="BU803" s="44">
        <v>0</v>
      </c>
      <c r="BV803" s="44">
        <v>0</v>
      </c>
      <c r="BW803" s="44">
        <v>0</v>
      </c>
      <c r="BX803" s="44">
        <v>0</v>
      </c>
      <c r="BY803" s="44">
        <v>0</v>
      </c>
      <c r="BZ803" s="44">
        <v>0</v>
      </c>
      <c r="CA803" s="44">
        <v>0</v>
      </c>
      <c r="CB803" s="44">
        <v>0</v>
      </c>
      <c r="CC803" s="44">
        <v>0</v>
      </c>
      <c r="CD803" s="44">
        <v>0</v>
      </c>
      <c r="CE803" s="44">
        <v>0</v>
      </c>
      <c r="CF803" s="44">
        <v>0</v>
      </c>
      <c r="CG803" s="44">
        <v>0</v>
      </c>
      <c r="CH803" s="44">
        <v>0</v>
      </c>
      <c r="CI803" s="44">
        <v>0</v>
      </c>
      <c r="CJ803" s="44">
        <v>0</v>
      </c>
      <c r="CK803" s="44">
        <v>0</v>
      </c>
      <c r="CL803" s="44">
        <v>0</v>
      </c>
      <c r="CM803" s="44">
        <v>0</v>
      </c>
      <c r="CN803" s="44">
        <v>0</v>
      </c>
      <c r="CO803" s="44">
        <v>0</v>
      </c>
      <c r="CP803" s="44">
        <v>0</v>
      </c>
      <c r="CQ803" s="44">
        <v>0</v>
      </c>
      <c r="CR803" s="44">
        <v>0</v>
      </c>
      <c r="CS803" s="44">
        <v>0</v>
      </c>
      <c r="CT803" s="44">
        <v>0</v>
      </c>
      <c r="CU803" s="44">
        <v>0</v>
      </c>
      <c r="CV803" s="44">
        <v>0</v>
      </c>
      <c r="CW803" s="44">
        <v>0</v>
      </c>
      <c r="CX803" s="44">
        <v>0</v>
      </c>
      <c r="CY803" s="44">
        <v>0</v>
      </c>
      <c r="CZ803" s="44">
        <v>0</v>
      </c>
      <c r="DA803" s="44">
        <v>0</v>
      </c>
      <c r="DB803" s="44">
        <v>0</v>
      </c>
      <c r="DC803" s="44">
        <v>0</v>
      </c>
      <c r="DD803" s="44">
        <v>0</v>
      </c>
      <c r="DE803" s="44">
        <v>0</v>
      </c>
      <c r="DF803" s="44">
        <v>0</v>
      </c>
      <c r="DG803" s="16">
        <f t="shared" si="69"/>
        <v>0</v>
      </c>
      <c r="DH803" s="16">
        <f t="shared" si="70"/>
        <v>0</v>
      </c>
      <c r="DI803" s="17" t="str">
        <f t="shared" si="71"/>
        <v/>
      </c>
      <c r="DJ803" s="119" t="s">
        <v>1</v>
      </c>
      <c r="DK803" s="44" t="s">
        <v>1</v>
      </c>
      <c r="DL803" s="44" t="s">
        <v>1330</v>
      </c>
      <c r="DM803" s="44"/>
    </row>
    <row r="804" spans="1:117">
      <c r="A804" s="32" t="str">
        <f t="shared" si="67"/>
        <v>Ergon--OTHER - PLEASE ADD A ROW IF NECESSARY AND NOMINATE THE CATEGORY</v>
      </c>
      <c r="B804" s="32" t="str">
        <f t="shared" si="68"/>
        <v>Ergon</v>
      </c>
      <c r="C804" s="387"/>
      <c r="D804" s="44"/>
      <c r="E804" s="44" t="s">
        <v>170</v>
      </c>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c r="BI804" s="44"/>
      <c r="BJ804" s="44"/>
      <c r="BK804" s="44"/>
      <c r="BL804" s="44"/>
      <c r="BM804" s="44"/>
      <c r="BN804" s="44"/>
      <c r="BO804" s="44"/>
      <c r="BP804" s="44"/>
      <c r="BQ804" s="44"/>
      <c r="BR804" s="44"/>
      <c r="BS804" s="44"/>
      <c r="BT804" s="44"/>
      <c r="BU804" s="44"/>
      <c r="BV804" s="44"/>
      <c r="BW804" s="44"/>
      <c r="BX804" s="44"/>
      <c r="BY804" s="44"/>
      <c r="BZ804" s="44"/>
      <c r="CA804" s="44"/>
      <c r="CB804" s="44"/>
      <c r="CC804" s="44"/>
      <c r="CD804" s="44"/>
      <c r="CE804" s="44"/>
      <c r="CF804" s="44"/>
      <c r="CG804" s="44"/>
      <c r="CH804" s="44"/>
      <c r="CI804" s="44"/>
      <c r="CJ804" s="44"/>
      <c r="CK804" s="44"/>
      <c r="CL804" s="44"/>
      <c r="CM804" s="44"/>
      <c r="CN804" s="44"/>
      <c r="CO804" s="44"/>
      <c r="CP804" s="44"/>
      <c r="CQ804" s="44"/>
      <c r="CR804" s="44"/>
      <c r="CS804" s="44"/>
      <c r="CT804" s="44"/>
      <c r="CU804" s="44"/>
      <c r="CV804" s="44"/>
      <c r="CW804" s="44"/>
      <c r="CX804" s="44"/>
      <c r="CY804" s="44"/>
      <c r="CZ804" s="44"/>
      <c r="DA804" s="44"/>
      <c r="DB804" s="44"/>
      <c r="DC804" s="44"/>
      <c r="DD804" s="44"/>
      <c r="DE804" s="44"/>
      <c r="DF804" s="44"/>
      <c r="DG804" s="16">
        <f t="shared" si="69"/>
        <v>0</v>
      </c>
      <c r="DH804" s="16">
        <f t="shared" si="70"/>
        <v>0</v>
      </c>
      <c r="DI804" s="17" t="str">
        <f t="shared" si="71"/>
        <v/>
      </c>
      <c r="DJ804" s="119" t="s">
        <v>1</v>
      </c>
      <c r="DK804" s="44" t="s">
        <v>1</v>
      </c>
      <c r="DL804" s="44" t="s">
        <v>720</v>
      </c>
      <c r="DM804" s="44"/>
    </row>
    <row r="805" spans="1:117" ht="45">
      <c r="A805" s="32" t="str">
        <f t="shared" si="67"/>
        <v>Ergon-OVERHEAD CONDUCTORS BY: 
HIGHEST OPERATING VOLTAGE; NUMBER OF PHASES (AT HV)-˂ = 1 kV</v>
      </c>
      <c r="B805" s="32" t="str">
        <f t="shared" si="68"/>
        <v>Ergon</v>
      </c>
      <c r="C805" s="387"/>
      <c r="D805" s="31" t="s">
        <v>538</v>
      </c>
      <c r="E805" s="44" t="s">
        <v>171</v>
      </c>
      <c r="F805" s="44">
        <v>53.9</v>
      </c>
      <c r="G805" s="44">
        <v>7.34</v>
      </c>
      <c r="H805" s="44">
        <v>109.1323793</v>
      </c>
      <c r="I805" s="44">
        <v>254.6080561</v>
      </c>
      <c r="J805" s="44">
        <v>239.93100029999999</v>
      </c>
      <c r="K805" s="44">
        <v>254.0777156</v>
      </c>
      <c r="L805" s="44">
        <v>323.6160438</v>
      </c>
      <c r="M805" s="44">
        <v>302.63118029999998</v>
      </c>
      <c r="N805" s="44">
        <v>368.39855940000001</v>
      </c>
      <c r="O805" s="44">
        <v>319.55813430000001</v>
      </c>
      <c r="P805" s="44">
        <v>276.04887359999998</v>
      </c>
      <c r="Q805" s="44">
        <v>150.8562948</v>
      </c>
      <c r="R805" s="44">
        <v>140.98215429999999</v>
      </c>
      <c r="S805" s="44">
        <v>171.14336639999999</v>
      </c>
      <c r="T805" s="44">
        <v>181.84032060000001</v>
      </c>
      <c r="U805" s="44">
        <v>190.6187276</v>
      </c>
      <c r="V805" s="44">
        <v>186.2321551</v>
      </c>
      <c r="W805" s="44">
        <v>200.28741049999999</v>
      </c>
      <c r="X805" s="44">
        <v>206.2199066</v>
      </c>
      <c r="Y805" s="44">
        <v>218.74875549999999</v>
      </c>
      <c r="Z805" s="44">
        <v>298.77538040000002</v>
      </c>
      <c r="AA805" s="44">
        <v>289.29157309999999</v>
      </c>
      <c r="AB805" s="44">
        <v>276.60588189999999</v>
      </c>
      <c r="AC805" s="44">
        <v>337.71509909999997</v>
      </c>
      <c r="AD805" s="44">
        <v>330.07622409999999</v>
      </c>
      <c r="AE805" s="44">
        <v>376.79261020000001</v>
      </c>
      <c r="AF805" s="44">
        <v>378.17405159999998</v>
      </c>
      <c r="AG805" s="44">
        <v>269.95147889999998</v>
      </c>
      <c r="AH805" s="44">
        <v>268.9628065</v>
      </c>
      <c r="AI805" s="44">
        <v>380.02742899999998</v>
      </c>
      <c r="AJ805" s="44">
        <v>475.5321682</v>
      </c>
      <c r="AK805" s="44">
        <v>466.76843439999999</v>
      </c>
      <c r="AL805" s="44">
        <v>401.29814010000001</v>
      </c>
      <c r="AM805" s="44">
        <v>531.84980780000001</v>
      </c>
      <c r="AN805" s="44">
        <v>525.56252029999996</v>
      </c>
      <c r="AO805" s="44">
        <v>463.55609140000001</v>
      </c>
      <c r="AP805" s="44">
        <v>336.34469510000002</v>
      </c>
      <c r="AQ805" s="44">
        <v>425.95510059999998</v>
      </c>
      <c r="AR805" s="44">
        <v>484.85807899999998</v>
      </c>
      <c r="AS805" s="44">
        <v>467.44574249999999</v>
      </c>
      <c r="AT805" s="44">
        <v>448.94106069999998</v>
      </c>
      <c r="AU805" s="44">
        <v>488.40028719999998</v>
      </c>
      <c r="AV805" s="44">
        <v>430.561308</v>
      </c>
      <c r="AW805" s="44">
        <v>476.26555710000002</v>
      </c>
      <c r="AX805" s="44">
        <v>450.97791389999998</v>
      </c>
      <c r="AY805" s="44">
        <v>536.65742950000003</v>
      </c>
      <c r="AZ805" s="44">
        <v>471.48013609999998</v>
      </c>
      <c r="BA805" s="44">
        <v>461.6624966</v>
      </c>
      <c r="BB805" s="44">
        <v>368.25525069999998</v>
      </c>
      <c r="BC805" s="44">
        <v>356.79610719999999</v>
      </c>
      <c r="BD805" s="44">
        <v>392.36311760000001</v>
      </c>
      <c r="BE805" s="44">
        <v>332.29287729999999</v>
      </c>
      <c r="BF805" s="44">
        <v>419.44608829999999</v>
      </c>
      <c r="BG805" s="44">
        <v>250.0733141</v>
      </c>
      <c r="BH805" s="44">
        <v>288.7307237</v>
      </c>
      <c r="BI805" s="44">
        <v>284.50658199999998</v>
      </c>
      <c r="BJ805" s="44">
        <v>305.13967539999999</v>
      </c>
      <c r="BK805" s="44">
        <v>309.09990790000001</v>
      </c>
      <c r="BL805" s="44">
        <v>331.0370418</v>
      </c>
      <c r="BM805" s="44">
        <v>333.9431439</v>
      </c>
      <c r="BN805" s="44">
        <v>364.03261759999998</v>
      </c>
      <c r="BO805" s="44">
        <v>373.36791929999998</v>
      </c>
      <c r="BP805" s="44">
        <v>398.5115596</v>
      </c>
      <c r="BQ805" s="44">
        <v>431.98828209999999</v>
      </c>
      <c r="BR805" s="44">
        <v>449.52753560000002</v>
      </c>
      <c r="BS805" s="44">
        <v>577.95324029999995</v>
      </c>
      <c r="BT805" s="44">
        <v>1.295996787</v>
      </c>
      <c r="BU805" s="44">
        <v>0.131507448</v>
      </c>
      <c r="BV805" s="44">
        <v>14.00688527</v>
      </c>
      <c r="BW805" s="44">
        <v>0</v>
      </c>
      <c r="BX805" s="44">
        <v>0</v>
      </c>
      <c r="BY805" s="44">
        <v>0</v>
      </c>
      <c r="BZ805" s="44">
        <v>0</v>
      </c>
      <c r="CA805" s="44">
        <v>0</v>
      </c>
      <c r="CB805" s="44">
        <v>0</v>
      </c>
      <c r="CC805" s="44">
        <v>0</v>
      </c>
      <c r="CD805" s="44">
        <v>0</v>
      </c>
      <c r="CE805" s="44">
        <v>0</v>
      </c>
      <c r="CF805" s="44">
        <v>0</v>
      </c>
      <c r="CG805" s="44">
        <v>0</v>
      </c>
      <c r="CH805" s="44">
        <v>0</v>
      </c>
      <c r="CI805" s="44">
        <v>0</v>
      </c>
      <c r="CJ805" s="44">
        <v>0</v>
      </c>
      <c r="CK805" s="44">
        <v>0</v>
      </c>
      <c r="CL805" s="44">
        <v>0</v>
      </c>
      <c r="CM805" s="44">
        <v>0</v>
      </c>
      <c r="CN805" s="44">
        <v>0</v>
      </c>
      <c r="CO805" s="44">
        <v>0</v>
      </c>
      <c r="CP805" s="44">
        <v>0</v>
      </c>
      <c r="CQ805" s="44">
        <v>0</v>
      </c>
      <c r="CR805" s="44">
        <v>0</v>
      </c>
      <c r="CS805" s="44">
        <v>0</v>
      </c>
      <c r="CT805" s="44">
        <v>0</v>
      </c>
      <c r="CU805" s="44">
        <v>0</v>
      </c>
      <c r="CV805" s="44">
        <v>0</v>
      </c>
      <c r="CW805" s="44">
        <v>0</v>
      </c>
      <c r="CX805" s="44">
        <v>0</v>
      </c>
      <c r="CY805" s="44">
        <v>0</v>
      </c>
      <c r="CZ805" s="44">
        <v>0</v>
      </c>
      <c r="DA805" s="44">
        <v>0</v>
      </c>
      <c r="DB805" s="44">
        <v>0</v>
      </c>
      <c r="DC805" s="44">
        <v>0</v>
      </c>
      <c r="DD805" s="44">
        <v>0</v>
      </c>
      <c r="DE805" s="44">
        <v>0</v>
      </c>
      <c r="DF805" s="44">
        <v>0</v>
      </c>
      <c r="DG805" s="16">
        <f t="shared" si="69"/>
        <v>22227.919911304991</v>
      </c>
      <c r="DH805" s="16">
        <f t="shared" si="70"/>
        <v>795011.58387601294</v>
      </c>
      <c r="DI805" s="17">
        <f t="shared" si="71"/>
        <v>35.766350924796825</v>
      </c>
      <c r="DJ805" s="119" t="s">
        <v>718</v>
      </c>
      <c r="DK805" t="s">
        <v>718</v>
      </c>
    </row>
    <row r="806" spans="1:117">
      <c r="A806" s="32" t="str">
        <f t="shared" si="67"/>
        <v>Ergon--&gt; 1 kV &amp; &lt; = 11 kV</v>
      </c>
      <c r="B806" s="32" t="str">
        <f t="shared" si="68"/>
        <v>Ergon</v>
      </c>
      <c r="C806" s="387"/>
      <c r="D806" s="44"/>
      <c r="E806" s="44" t="s">
        <v>172</v>
      </c>
      <c r="F806" s="44">
        <v>53.9</v>
      </c>
      <c r="G806" s="44">
        <v>7.34</v>
      </c>
      <c r="H806" s="44">
        <v>185.3127246</v>
      </c>
      <c r="I806" s="44">
        <v>511.70464099999998</v>
      </c>
      <c r="J806" s="44">
        <v>448.77711110000001</v>
      </c>
      <c r="K806" s="44">
        <v>431.73881940000001</v>
      </c>
      <c r="L806" s="44">
        <v>619.47223750000001</v>
      </c>
      <c r="M806" s="44">
        <v>523.12230079999995</v>
      </c>
      <c r="N806" s="44">
        <v>656.47997940000005</v>
      </c>
      <c r="O806" s="44">
        <v>416.17267170000002</v>
      </c>
      <c r="P806" s="44">
        <v>283.7147483</v>
      </c>
      <c r="Q806" s="44">
        <v>126.2484178</v>
      </c>
      <c r="R806" s="44">
        <v>100.93523709999999</v>
      </c>
      <c r="S806" s="44">
        <v>141.08201450000001</v>
      </c>
      <c r="T806" s="44">
        <v>204.33914999999999</v>
      </c>
      <c r="U806" s="44">
        <v>233.18241509999999</v>
      </c>
      <c r="V806" s="44">
        <v>213.81136119999999</v>
      </c>
      <c r="W806" s="44">
        <v>282.55003160000001</v>
      </c>
      <c r="X806" s="44">
        <v>316.14893160000003</v>
      </c>
      <c r="Y806" s="44">
        <v>377.22233920000002</v>
      </c>
      <c r="Z806" s="44">
        <v>611.82162719999997</v>
      </c>
      <c r="AA806" s="44">
        <v>448.47635359999998</v>
      </c>
      <c r="AB806" s="44">
        <v>459.48496690000002</v>
      </c>
      <c r="AC806" s="44">
        <v>546.96102819999999</v>
      </c>
      <c r="AD806" s="44">
        <v>520.1910024</v>
      </c>
      <c r="AE806" s="44">
        <v>494.83244430000002</v>
      </c>
      <c r="AF806" s="44">
        <v>449.31087550000001</v>
      </c>
      <c r="AG806" s="44">
        <v>269.46554159999999</v>
      </c>
      <c r="AH806" s="44">
        <v>345.961275</v>
      </c>
      <c r="AI806" s="44">
        <v>502.10118139999997</v>
      </c>
      <c r="AJ806" s="44">
        <v>627.24590420000004</v>
      </c>
      <c r="AK806" s="44">
        <v>635.62933339999995</v>
      </c>
      <c r="AL806" s="44">
        <v>565.12133300000005</v>
      </c>
      <c r="AM806" s="44">
        <v>910.91895150000005</v>
      </c>
      <c r="AN806" s="44">
        <v>837.16339630000004</v>
      </c>
      <c r="AO806" s="44">
        <v>916.88051970000004</v>
      </c>
      <c r="AP806" s="44">
        <v>483.32029490000002</v>
      </c>
      <c r="AQ806" s="44">
        <v>545.91491180000003</v>
      </c>
      <c r="AR806" s="44">
        <v>605.33751870000003</v>
      </c>
      <c r="AS806" s="44">
        <v>614.30254360000004</v>
      </c>
      <c r="AT806" s="44">
        <v>508.5250327</v>
      </c>
      <c r="AU806" s="44">
        <v>666.72394789999998</v>
      </c>
      <c r="AV806" s="44">
        <v>367.5559839</v>
      </c>
      <c r="AW806" s="44">
        <v>524.18144189999998</v>
      </c>
      <c r="AX806" s="44">
        <v>636.11835099999996</v>
      </c>
      <c r="AY806" s="44">
        <v>791.43534269999998</v>
      </c>
      <c r="AZ806" s="44">
        <v>691.83587120000004</v>
      </c>
      <c r="BA806" s="44">
        <v>738.61026709999999</v>
      </c>
      <c r="BB806" s="44">
        <v>791.47436440000001</v>
      </c>
      <c r="BC806" s="44">
        <v>677.94904929999996</v>
      </c>
      <c r="BD806" s="44">
        <v>1045.265991</v>
      </c>
      <c r="BE806" s="44">
        <v>1107.791369</v>
      </c>
      <c r="BF806" s="44">
        <v>735.39941380000005</v>
      </c>
      <c r="BG806" s="44">
        <v>328.02241889999999</v>
      </c>
      <c r="BH806" s="44">
        <v>357.9489231</v>
      </c>
      <c r="BI806" s="44">
        <v>422.81749680000001</v>
      </c>
      <c r="BJ806" s="44">
        <v>460.42095890000002</v>
      </c>
      <c r="BK806" s="44">
        <v>531.04950959999996</v>
      </c>
      <c r="BL806" s="44">
        <v>508.56382730000001</v>
      </c>
      <c r="BM806" s="44">
        <v>586.6087794</v>
      </c>
      <c r="BN806" s="44">
        <v>670.29497830000003</v>
      </c>
      <c r="BO806" s="44">
        <v>730.25453219999997</v>
      </c>
      <c r="BP806" s="44">
        <v>844.32948940000006</v>
      </c>
      <c r="BQ806" s="44">
        <v>944.93841799999996</v>
      </c>
      <c r="BR806" s="44">
        <v>1039.287988</v>
      </c>
      <c r="BS806" s="44">
        <v>1993.9162160000001</v>
      </c>
      <c r="BT806" s="44">
        <v>0.369431646</v>
      </c>
      <c r="BU806" s="44">
        <v>19.025192319999999</v>
      </c>
      <c r="BV806" s="44">
        <v>6.4367366300000004</v>
      </c>
      <c r="BW806" s="44">
        <v>0</v>
      </c>
      <c r="BX806" s="44">
        <v>0</v>
      </c>
      <c r="BY806" s="44">
        <v>0</v>
      </c>
      <c r="BZ806" s="44">
        <v>0</v>
      </c>
      <c r="CA806" s="44">
        <v>0</v>
      </c>
      <c r="CB806" s="44">
        <v>0</v>
      </c>
      <c r="CC806" s="44">
        <v>0</v>
      </c>
      <c r="CD806" s="44">
        <v>0</v>
      </c>
      <c r="CE806" s="44">
        <v>0</v>
      </c>
      <c r="CF806" s="44">
        <v>0</v>
      </c>
      <c r="CG806" s="44">
        <v>0</v>
      </c>
      <c r="CH806" s="44">
        <v>0</v>
      </c>
      <c r="CI806" s="44">
        <v>0</v>
      </c>
      <c r="CJ806" s="44">
        <v>0</v>
      </c>
      <c r="CK806" s="44">
        <v>0</v>
      </c>
      <c r="CL806" s="44">
        <v>0</v>
      </c>
      <c r="CM806" s="44">
        <v>0</v>
      </c>
      <c r="CN806" s="44">
        <v>0</v>
      </c>
      <c r="CO806" s="44">
        <v>0</v>
      </c>
      <c r="CP806" s="44">
        <v>0</v>
      </c>
      <c r="CQ806" s="44">
        <v>0</v>
      </c>
      <c r="CR806" s="44">
        <v>0</v>
      </c>
      <c r="CS806" s="44">
        <v>0</v>
      </c>
      <c r="CT806" s="44">
        <v>0</v>
      </c>
      <c r="CU806" s="44">
        <v>0</v>
      </c>
      <c r="CV806" s="44">
        <v>0</v>
      </c>
      <c r="CW806" s="44">
        <v>0</v>
      </c>
      <c r="CX806" s="44">
        <v>0</v>
      </c>
      <c r="CY806" s="44">
        <v>0</v>
      </c>
      <c r="CZ806" s="44">
        <v>0</v>
      </c>
      <c r="DA806" s="44">
        <v>0</v>
      </c>
      <c r="DB806" s="44">
        <v>0</v>
      </c>
      <c r="DC806" s="44">
        <v>0</v>
      </c>
      <c r="DD806" s="44">
        <v>0</v>
      </c>
      <c r="DE806" s="44">
        <v>0</v>
      </c>
      <c r="DF806" s="44">
        <v>0</v>
      </c>
      <c r="DG806" s="16">
        <f t="shared" si="69"/>
        <v>36189.607457495993</v>
      </c>
      <c r="DH806" s="16">
        <f t="shared" si="70"/>
        <v>1373577.8951306201</v>
      </c>
      <c r="DI806" s="17">
        <f t="shared" si="71"/>
        <v>37.955037139981727</v>
      </c>
      <c r="DJ806" s="119" t="s">
        <v>718</v>
      </c>
      <c r="DK806" s="44" t="s">
        <v>718</v>
      </c>
    </row>
    <row r="807" spans="1:117">
      <c r="A807" s="32" t="str">
        <f t="shared" si="67"/>
        <v>Ergon--˃ 11 kV &amp; &lt; = 22 kV  ; SWER</v>
      </c>
      <c r="B807" s="32" t="str">
        <f t="shared" si="68"/>
        <v>Ergon</v>
      </c>
      <c r="C807" s="387"/>
      <c r="D807" s="44"/>
      <c r="E807" s="44" t="s">
        <v>177</v>
      </c>
      <c r="F807" s="44">
        <v>52</v>
      </c>
      <c r="G807" s="44">
        <v>7.21</v>
      </c>
      <c r="H807" s="44">
        <v>75.247955399999995</v>
      </c>
      <c r="I807" s="44">
        <v>228.9119249</v>
      </c>
      <c r="J807" s="44">
        <v>184.26727539999999</v>
      </c>
      <c r="K807" s="44">
        <v>167.2262423</v>
      </c>
      <c r="L807" s="44">
        <v>201.8139295</v>
      </c>
      <c r="M807" s="44">
        <v>201.0375665</v>
      </c>
      <c r="N807" s="44">
        <v>271.58583720000001</v>
      </c>
      <c r="O807" s="44">
        <v>251.204351</v>
      </c>
      <c r="P807" s="44">
        <v>222.37445930000001</v>
      </c>
      <c r="Q807" s="44">
        <v>47.782027059999997</v>
      </c>
      <c r="R807" s="44">
        <v>125.93949619999999</v>
      </c>
      <c r="S807" s="44">
        <v>226.76895049999999</v>
      </c>
      <c r="T807" s="44">
        <v>215.0465667</v>
      </c>
      <c r="U807" s="44">
        <v>1068.2366730000001</v>
      </c>
      <c r="V807" s="44">
        <v>1901.07</v>
      </c>
      <c r="W807" s="44">
        <v>193.49781870000001</v>
      </c>
      <c r="X807" s="44">
        <v>214.5045609</v>
      </c>
      <c r="Y807" s="44">
        <v>208.9702527</v>
      </c>
      <c r="Z807" s="44">
        <v>266.1479124</v>
      </c>
      <c r="AA807" s="44">
        <v>365.97794099999999</v>
      </c>
      <c r="AB807" s="44">
        <v>366.52568359999998</v>
      </c>
      <c r="AC807" s="44">
        <v>643.03852410000002</v>
      </c>
      <c r="AD807" s="44">
        <v>649.03506719999996</v>
      </c>
      <c r="AE807" s="44">
        <v>710.81198259999996</v>
      </c>
      <c r="AF807" s="44">
        <v>1381.152018</v>
      </c>
      <c r="AG807" s="44">
        <v>1168.1529330000001</v>
      </c>
      <c r="AH807" s="44">
        <v>1529.0103369999999</v>
      </c>
      <c r="AI807" s="44">
        <v>3334.3831719999998</v>
      </c>
      <c r="AJ807" s="44">
        <v>2251.579745</v>
      </c>
      <c r="AK807" s="44">
        <v>1954.7300990000001</v>
      </c>
      <c r="AL807" s="44">
        <v>2438.2854550000002</v>
      </c>
      <c r="AM807" s="44">
        <v>3987.755173</v>
      </c>
      <c r="AN807" s="44">
        <v>5079.8557709999995</v>
      </c>
      <c r="AO807" s="44">
        <v>3003.046261</v>
      </c>
      <c r="AP807" s="44">
        <v>1048.9271670000001</v>
      </c>
      <c r="AQ807" s="44">
        <v>684.24883790000001</v>
      </c>
      <c r="AR807" s="44">
        <v>802.98926080000001</v>
      </c>
      <c r="AS807" s="44">
        <v>1333.7549469999999</v>
      </c>
      <c r="AT807" s="44">
        <v>2065.838706</v>
      </c>
      <c r="AU807" s="44">
        <v>2847.2664129999998</v>
      </c>
      <c r="AV807" s="44">
        <v>1186.745901</v>
      </c>
      <c r="AW807" s="44">
        <v>1109.1239720000001</v>
      </c>
      <c r="AX807" s="44">
        <v>1608.565075</v>
      </c>
      <c r="AY807" s="44">
        <v>2233.5699850000001</v>
      </c>
      <c r="AZ807" s="44">
        <v>1580.8702519999999</v>
      </c>
      <c r="BA807" s="44">
        <v>1239.566652</v>
      </c>
      <c r="BB807" s="44">
        <v>1494.880011</v>
      </c>
      <c r="BC807" s="44">
        <v>1298.1250399999999</v>
      </c>
      <c r="BD807" s="44">
        <v>1627.513211</v>
      </c>
      <c r="BE807" s="44">
        <v>1566.3865820000001</v>
      </c>
      <c r="BF807" s="44">
        <v>1878.651558</v>
      </c>
      <c r="BG807" s="44">
        <v>277.52620680000001</v>
      </c>
      <c r="BH807" s="44">
        <v>183.28713680000001</v>
      </c>
      <c r="BI807" s="44">
        <v>206.4753092</v>
      </c>
      <c r="BJ807" s="44">
        <v>217.02619770000001</v>
      </c>
      <c r="BK807" s="44">
        <v>266.74181920000001</v>
      </c>
      <c r="BL807" s="44">
        <v>254.685609</v>
      </c>
      <c r="BM807" s="44">
        <v>320.1469725</v>
      </c>
      <c r="BN807" s="44">
        <v>353.14708789999997</v>
      </c>
      <c r="BO807" s="44">
        <v>359.16288969999999</v>
      </c>
      <c r="BP807" s="44">
        <v>429.6185893</v>
      </c>
      <c r="BQ807" s="44">
        <v>386.83276590000003</v>
      </c>
      <c r="BR807" s="44">
        <v>435.13418969999998</v>
      </c>
      <c r="BS807" s="44">
        <v>981.27052279999998</v>
      </c>
      <c r="BT807" s="44">
        <v>0</v>
      </c>
      <c r="BU807" s="44">
        <v>0</v>
      </c>
      <c r="BV807" s="44">
        <v>0</v>
      </c>
      <c r="BW807" s="44">
        <v>0</v>
      </c>
      <c r="BX807" s="44">
        <v>0</v>
      </c>
      <c r="BY807" s="44">
        <v>0</v>
      </c>
      <c r="BZ807" s="44">
        <v>0</v>
      </c>
      <c r="CA807" s="44">
        <v>0</v>
      </c>
      <c r="CB807" s="44">
        <v>0</v>
      </c>
      <c r="CC807" s="44">
        <v>0</v>
      </c>
      <c r="CD807" s="44">
        <v>0</v>
      </c>
      <c r="CE807" s="44">
        <v>0</v>
      </c>
      <c r="CF807" s="44">
        <v>0</v>
      </c>
      <c r="CG807" s="44">
        <v>0</v>
      </c>
      <c r="CH807" s="44">
        <v>0</v>
      </c>
      <c r="CI807" s="44">
        <v>0</v>
      </c>
      <c r="CJ807" s="44">
        <v>0</v>
      </c>
      <c r="CK807" s="44">
        <v>0</v>
      </c>
      <c r="CL807" s="44">
        <v>0</v>
      </c>
      <c r="CM807" s="44">
        <v>0</v>
      </c>
      <c r="CN807" s="44">
        <v>0</v>
      </c>
      <c r="CO807" s="44">
        <v>0</v>
      </c>
      <c r="CP807" s="44">
        <v>0</v>
      </c>
      <c r="CQ807" s="44">
        <v>0</v>
      </c>
      <c r="CR807" s="44">
        <v>0</v>
      </c>
      <c r="CS807" s="44">
        <v>0</v>
      </c>
      <c r="CT807" s="44">
        <v>0</v>
      </c>
      <c r="CU807" s="44">
        <v>0</v>
      </c>
      <c r="CV807" s="44">
        <v>0</v>
      </c>
      <c r="CW807" s="44">
        <v>0</v>
      </c>
      <c r="CX807" s="44">
        <v>0</v>
      </c>
      <c r="CY807" s="44">
        <v>0</v>
      </c>
      <c r="CZ807" s="44">
        <v>0</v>
      </c>
      <c r="DA807" s="44">
        <v>0</v>
      </c>
      <c r="DB807" s="44">
        <v>0</v>
      </c>
      <c r="DC807" s="44">
        <v>0</v>
      </c>
      <c r="DD807" s="44">
        <v>0</v>
      </c>
      <c r="DE807" s="44">
        <v>0</v>
      </c>
      <c r="DF807" s="44">
        <v>0</v>
      </c>
      <c r="DG807" s="16">
        <f t="shared" si="69"/>
        <v>65413.052829359993</v>
      </c>
      <c r="DH807" s="16">
        <f t="shared" si="70"/>
        <v>2325398.3625555988</v>
      </c>
      <c r="DI807" s="17">
        <f t="shared" si="71"/>
        <v>35.549454764353499</v>
      </c>
      <c r="DJ807" s="119" t="s">
        <v>718</v>
      </c>
      <c r="DK807" s="44" t="s">
        <v>718</v>
      </c>
    </row>
    <row r="808" spans="1:117">
      <c r="A808" s="32" t="str">
        <f t="shared" si="67"/>
        <v>Ergon--˃ 11 kV &amp; &lt; = 22 kV ; SINGLE-PHASE</v>
      </c>
      <c r="B808" s="32" t="str">
        <f t="shared" si="68"/>
        <v>Ergon</v>
      </c>
      <c r="C808" s="387"/>
      <c r="D808" s="44"/>
      <c r="E808" s="44" t="s">
        <v>178</v>
      </c>
      <c r="F808" s="44">
        <v>53.9</v>
      </c>
      <c r="G808" s="44">
        <v>7.34</v>
      </c>
      <c r="H808" s="44">
        <v>23.87202954</v>
      </c>
      <c r="I808" s="44">
        <v>98.72733144</v>
      </c>
      <c r="J808" s="44">
        <v>49.986914810000002</v>
      </c>
      <c r="K808" s="44">
        <v>42.160944960000002</v>
      </c>
      <c r="L808" s="44">
        <v>30.11651337</v>
      </c>
      <c r="M808" s="44">
        <v>40.510155279999999</v>
      </c>
      <c r="N808" s="44">
        <v>62.276341860000002</v>
      </c>
      <c r="O808" s="44">
        <v>57.5865948</v>
      </c>
      <c r="P808" s="44">
        <v>29.245244209999999</v>
      </c>
      <c r="Q808" s="44">
        <v>16.912941050000001</v>
      </c>
      <c r="R808" s="44">
        <v>12.07263186</v>
      </c>
      <c r="S808" s="44">
        <v>15.74421274</v>
      </c>
      <c r="T808" s="44">
        <v>13.82696572</v>
      </c>
      <c r="U808" s="44">
        <v>19.963724859999999</v>
      </c>
      <c r="V808" s="44">
        <v>20.24132642</v>
      </c>
      <c r="W808" s="44">
        <v>44.683635359999997</v>
      </c>
      <c r="X808" s="44">
        <v>22.9235486</v>
      </c>
      <c r="Y808" s="44">
        <v>21.150439219999999</v>
      </c>
      <c r="Z808" s="44">
        <v>58.8277255</v>
      </c>
      <c r="AA808" s="44">
        <v>55.185000160000001</v>
      </c>
      <c r="AB808" s="44">
        <v>31.80186917</v>
      </c>
      <c r="AC808" s="44">
        <v>38.403751210000003</v>
      </c>
      <c r="AD808" s="44">
        <v>40.058513120000001</v>
      </c>
      <c r="AE808" s="44">
        <v>50.074765159999998</v>
      </c>
      <c r="AF808" s="44">
        <v>91.199124679999997</v>
      </c>
      <c r="AG808" s="44">
        <v>44.006818889999998</v>
      </c>
      <c r="AH808" s="44">
        <v>43.659810620000002</v>
      </c>
      <c r="AI808" s="44">
        <v>91.870138769999997</v>
      </c>
      <c r="AJ808" s="44">
        <v>73.182565629999999</v>
      </c>
      <c r="AK808" s="44">
        <v>68.224272470000002</v>
      </c>
      <c r="AL808" s="44">
        <v>62.485853259999999</v>
      </c>
      <c r="AM808" s="44">
        <v>93.724911219999996</v>
      </c>
      <c r="AN808" s="44">
        <v>112.3656874</v>
      </c>
      <c r="AO808" s="44">
        <v>92.071608280000007</v>
      </c>
      <c r="AP808" s="44">
        <v>57.352249569999998</v>
      </c>
      <c r="AQ808" s="44">
        <v>49.705317639999997</v>
      </c>
      <c r="AR808" s="44">
        <v>42.145342059999997</v>
      </c>
      <c r="AS808" s="44">
        <v>35.046419720000003</v>
      </c>
      <c r="AT808" s="44">
        <v>48.325829229999997</v>
      </c>
      <c r="AU808" s="44">
        <v>54.737338469999997</v>
      </c>
      <c r="AV808" s="44">
        <v>76.92485551</v>
      </c>
      <c r="AW808" s="44">
        <v>33.979895370000001</v>
      </c>
      <c r="AX808" s="44">
        <v>94.275358170000004</v>
      </c>
      <c r="AY808" s="44">
        <v>70.02450503</v>
      </c>
      <c r="AZ808" s="44">
        <v>50.242884220000001</v>
      </c>
      <c r="BA808" s="44">
        <v>53.92942188</v>
      </c>
      <c r="BB808" s="44">
        <v>58.17265613</v>
      </c>
      <c r="BC808" s="44">
        <v>50.359965279999997</v>
      </c>
      <c r="BD808" s="44">
        <v>54.774432269999998</v>
      </c>
      <c r="BE808" s="44">
        <v>35.858344180000003</v>
      </c>
      <c r="BF808" s="44">
        <v>31.935553689999999</v>
      </c>
      <c r="BG808" s="44">
        <v>8.5965634210000008</v>
      </c>
      <c r="BH808" s="44">
        <v>12.062818399999999</v>
      </c>
      <c r="BI808" s="44">
        <v>13.86739818</v>
      </c>
      <c r="BJ808" s="44">
        <v>7.6671652400000001</v>
      </c>
      <c r="BK808" s="44">
        <v>15.07355954</v>
      </c>
      <c r="BL808" s="44">
        <v>21.69699683</v>
      </c>
      <c r="BM808" s="44">
        <v>16.734158539999999</v>
      </c>
      <c r="BN808" s="44">
        <v>23.924118709999998</v>
      </c>
      <c r="BO808" s="44">
        <v>32.345862959999998</v>
      </c>
      <c r="BP808" s="44">
        <v>15.55871331</v>
      </c>
      <c r="BQ808" s="44">
        <v>25.356080930000001</v>
      </c>
      <c r="BR808" s="44">
        <v>23.738149320000002</v>
      </c>
      <c r="BS808" s="44">
        <v>41.48937377</v>
      </c>
      <c r="BT808" s="44">
        <v>0</v>
      </c>
      <c r="BU808" s="44">
        <v>0</v>
      </c>
      <c r="BV808" s="44">
        <v>0</v>
      </c>
      <c r="BW808" s="44">
        <v>0</v>
      </c>
      <c r="BX808" s="44">
        <v>0</v>
      </c>
      <c r="BY808" s="44">
        <v>0</v>
      </c>
      <c r="BZ808" s="44">
        <v>0</v>
      </c>
      <c r="CA808" s="44">
        <v>0</v>
      </c>
      <c r="CB808" s="44">
        <v>0</v>
      </c>
      <c r="CC808" s="44">
        <v>0</v>
      </c>
      <c r="CD808" s="44">
        <v>0</v>
      </c>
      <c r="CE808" s="44">
        <v>0</v>
      </c>
      <c r="CF808" s="44">
        <v>0</v>
      </c>
      <c r="CG808" s="44">
        <v>0</v>
      </c>
      <c r="CH808" s="44">
        <v>0</v>
      </c>
      <c r="CI808" s="44">
        <v>0</v>
      </c>
      <c r="CJ808" s="44">
        <v>0</v>
      </c>
      <c r="CK808" s="44">
        <v>0</v>
      </c>
      <c r="CL808" s="44">
        <v>0</v>
      </c>
      <c r="CM808" s="44">
        <v>0</v>
      </c>
      <c r="CN808" s="44">
        <v>0</v>
      </c>
      <c r="CO808" s="44">
        <v>0</v>
      </c>
      <c r="CP808" s="44">
        <v>0</v>
      </c>
      <c r="CQ808" s="44">
        <v>0</v>
      </c>
      <c r="CR808" s="44">
        <v>0</v>
      </c>
      <c r="CS808" s="44">
        <v>0</v>
      </c>
      <c r="CT808" s="44">
        <v>0</v>
      </c>
      <c r="CU808" s="44">
        <v>0</v>
      </c>
      <c r="CV808" s="44">
        <v>0</v>
      </c>
      <c r="CW808" s="44">
        <v>0</v>
      </c>
      <c r="CX808" s="44">
        <v>0</v>
      </c>
      <c r="CY808" s="44">
        <v>0</v>
      </c>
      <c r="CZ808" s="44">
        <v>0</v>
      </c>
      <c r="DA808" s="44">
        <v>0</v>
      </c>
      <c r="DB808" s="44">
        <v>0</v>
      </c>
      <c r="DC808" s="44">
        <v>0</v>
      </c>
      <c r="DD808" s="44">
        <v>0</v>
      </c>
      <c r="DE808" s="44">
        <v>0</v>
      </c>
      <c r="DF808" s="44">
        <v>0</v>
      </c>
      <c r="DG808" s="16">
        <f t="shared" si="69"/>
        <v>2825.0452392110001</v>
      </c>
      <c r="DH808" s="16">
        <f t="shared" si="70"/>
        <v>87618.163647262016</v>
      </c>
      <c r="DI808" s="17">
        <f t="shared" si="71"/>
        <v>31.014782500167211</v>
      </c>
      <c r="DJ808" s="119" t="s">
        <v>718</v>
      </c>
      <c r="DK808" s="44" t="s">
        <v>718</v>
      </c>
    </row>
    <row r="809" spans="1:117">
      <c r="A809" s="32" t="str">
        <f t="shared" si="67"/>
        <v>Ergon--˃ 11 kV &amp; &lt; = 22 kV ; MULTIPLE-PHASE</v>
      </c>
      <c r="B809" s="32" t="str">
        <f t="shared" si="68"/>
        <v>Ergon</v>
      </c>
      <c r="C809" s="387"/>
      <c r="D809" s="44"/>
      <c r="E809" s="44" t="s">
        <v>179</v>
      </c>
      <c r="F809" s="44">
        <v>53.9</v>
      </c>
      <c r="G809" s="44">
        <v>7.34</v>
      </c>
      <c r="H809" s="44">
        <v>38.922665010000003</v>
      </c>
      <c r="I809" s="44">
        <v>208.984295</v>
      </c>
      <c r="J809" s="44">
        <v>142.44058570000001</v>
      </c>
      <c r="K809" s="44">
        <v>147.50134510000001</v>
      </c>
      <c r="L809" s="44">
        <v>156.71569700000001</v>
      </c>
      <c r="M809" s="44">
        <v>135.53538459999999</v>
      </c>
      <c r="N809" s="44">
        <v>138.2764885</v>
      </c>
      <c r="O809" s="44">
        <v>133.3173798</v>
      </c>
      <c r="P809" s="44">
        <v>78.984274970000001</v>
      </c>
      <c r="Q809" s="44">
        <v>25.91234193</v>
      </c>
      <c r="R809" s="44">
        <v>64.426136240000005</v>
      </c>
      <c r="S809" s="44">
        <v>44.397038899999998</v>
      </c>
      <c r="T809" s="44">
        <v>74.453764100000001</v>
      </c>
      <c r="U809" s="44">
        <v>141.87928650000001</v>
      </c>
      <c r="V809" s="44">
        <v>102.9787614</v>
      </c>
      <c r="W809" s="44">
        <v>72.419598320000006</v>
      </c>
      <c r="X809" s="44">
        <v>81.905536380000001</v>
      </c>
      <c r="Y809" s="44">
        <v>46.552469940000002</v>
      </c>
      <c r="Z809" s="44">
        <v>156.363527</v>
      </c>
      <c r="AA809" s="44">
        <v>129.61806150000001</v>
      </c>
      <c r="AB809" s="44">
        <v>134.59821049999999</v>
      </c>
      <c r="AC809" s="44">
        <v>118.7369391</v>
      </c>
      <c r="AD809" s="44">
        <v>238.38406370000001</v>
      </c>
      <c r="AE809" s="44">
        <v>186.59756920000001</v>
      </c>
      <c r="AF809" s="44">
        <v>398.57665040000001</v>
      </c>
      <c r="AG809" s="44">
        <v>279.2035406</v>
      </c>
      <c r="AH809" s="44">
        <v>243.83668610000001</v>
      </c>
      <c r="AI809" s="44">
        <v>332.64819010000002</v>
      </c>
      <c r="AJ809" s="44">
        <v>253.9078695</v>
      </c>
      <c r="AK809" s="44">
        <v>223.57197640000001</v>
      </c>
      <c r="AL809" s="44">
        <v>187.9165423</v>
      </c>
      <c r="AM809" s="44">
        <v>283.16626289999999</v>
      </c>
      <c r="AN809" s="44">
        <v>397.87745849999999</v>
      </c>
      <c r="AO809" s="44">
        <v>294.07159489999998</v>
      </c>
      <c r="AP809" s="44">
        <v>176.32933779999999</v>
      </c>
      <c r="AQ809" s="44">
        <v>174.83989750000001</v>
      </c>
      <c r="AR809" s="44">
        <v>148.6749063</v>
      </c>
      <c r="AS809" s="44">
        <v>158.57613699999999</v>
      </c>
      <c r="AT809" s="44">
        <v>191.2342591</v>
      </c>
      <c r="AU809" s="44">
        <v>291.21082890000002</v>
      </c>
      <c r="AV809" s="44">
        <v>187.23656159999999</v>
      </c>
      <c r="AW809" s="44">
        <v>246.1964949</v>
      </c>
      <c r="AX809" s="44">
        <v>301.86548929999998</v>
      </c>
      <c r="AY809" s="44">
        <v>299.47472349999998</v>
      </c>
      <c r="AZ809" s="44">
        <v>375.57961870000003</v>
      </c>
      <c r="BA809" s="44">
        <v>382.47063969999999</v>
      </c>
      <c r="BB809" s="44">
        <v>342.98938520000002</v>
      </c>
      <c r="BC809" s="44">
        <v>337.76867320000002</v>
      </c>
      <c r="BD809" s="44">
        <v>424.79080540000001</v>
      </c>
      <c r="BE809" s="44">
        <v>254.7348154</v>
      </c>
      <c r="BF809" s="44">
        <v>235.28282659999999</v>
      </c>
      <c r="BG809" s="44">
        <v>113.65046700000001</v>
      </c>
      <c r="BH809" s="44">
        <v>105.61062630000001</v>
      </c>
      <c r="BI809" s="44">
        <v>91.464169249999998</v>
      </c>
      <c r="BJ809" s="44">
        <v>79.313075519999998</v>
      </c>
      <c r="BK809" s="44">
        <v>108.8240866</v>
      </c>
      <c r="BL809" s="44">
        <v>114.2831661</v>
      </c>
      <c r="BM809" s="44">
        <v>120.57682079999999</v>
      </c>
      <c r="BN809" s="44">
        <v>127.1911312</v>
      </c>
      <c r="BO809" s="44">
        <v>165.84498289999999</v>
      </c>
      <c r="BP809" s="44">
        <v>145.90794289999999</v>
      </c>
      <c r="BQ809" s="44">
        <v>191.03456299999999</v>
      </c>
      <c r="BR809" s="44">
        <v>246.42927370000001</v>
      </c>
      <c r="BS809" s="44">
        <v>455.65674239999998</v>
      </c>
      <c r="BT809" s="44">
        <v>0</v>
      </c>
      <c r="BU809" s="44">
        <v>0</v>
      </c>
      <c r="BV809" s="44">
        <v>0</v>
      </c>
      <c r="BW809" s="44">
        <v>0</v>
      </c>
      <c r="BX809" s="44">
        <v>0</v>
      </c>
      <c r="BY809" s="44">
        <v>0</v>
      </c>
      <c r="BZ809" s="44">
        <v>0</v>
      </c>
      <c r="CA809" s="44">
        <v>0</v>
      </c>
      <c r="CB809" s="44">
        <v>0</v>
      </c>
      <c r="CC809" s="44">
        <v>0</v>
      </c>
      <c r="CD809" s="44">
        <v>0</v>
      </c>
      <c r="CE809" s="44">
        <v>0</v>
      </c>
      <c r="CF809" s="44">
        <v>0</v>
      </c>
      <c r="CG809" s="44">
        <v>0</v>
      </c>
      <c r="CH809" s="44">
        <v>0</v>
      </c>
      <c r="CI809" s="44">
        <v>0</v>
      </c>
      <c r="CJ809" s="44">
        <v>0</v>
      </c>
      <c r="CK809" s="44">
        <v>0</v>
      </c>
      <c r="CL809" s="44">
        <v>0</v>
      </c>
      <c r="CM809" s="44">
        <v>0</v>
      </c>
      <c r="CN809" s="44">
        <v>0</v>
      </c>
      <c r="CO809" s="44">
        <v>0</v>
      </c>
      <c r="CP809" s="44">
        <v>0</v>
      </c>
      <c r="CQ809" s="44">
        <v>0</v>
      </c>
      <c r="CR809" s="44">
        <v>0</v>
      </c>
      <c r="CS809" s="44">
        <v>0</v>
      </c>
      <c r="CT809" s="44">
        <v>0</v>
      </c>
      <c r="CU809" s="44">
        <v>0</v>
      </c>
      <c r="CV809" s="44">
        <v>0</v>
      </c>
      <c r="CW809" s="44">
        <v>0</v>
      </c>
      <c r="CX809" s="44">
        <v>0</v>
      </c>
      <c r="CY809" s="44">
        <v>0</v>
      </c>
      <c r="CZ809" s="44">
        <v>0</v>
      </c>
      <c r="DA809" s="44">
        <v>0</v>
      </c>
      <c r="DB809" s="44">
        <v>0</v>
      </c>
      <c r="DC809" s="44">
        <v>0</v>
      </c>
      <c r="DD809" s="44">
        <v>0</v>
      </c>
      <c r="DE809" s="44">
        <v>0</v>
      </c>
      <c r="DF809" s="44">
        <v>0</v>
      </c>
      <c r="DG809" s="16">
        <f t="shared" si="69"/>
        <v>12289.720639859996</v>
      </c>
      <c r="DH809" s="16">
        <f t="shared" si="70"/>
        <v>444324.23020398</v>
      </c>
      <c r="DI809" s="17">
        <f t="shared" si="71"/>
        <v>36.154135901419622</v>
      </c>
      <c r="DJ809" s="119" t="s">
        <v>718</v>
      </c>
      <c r="DK809" s="44" t="s">
        <v>718</v>
      </c>
    </row>
    <row r="810" spans="1:117">
      <c r="A810" s="32" t="str">
        <f t="shared" si="67"/>
        <v>Ergon--&gt; 22 kV &amp; &lt; = 66 kV</v>
      </c>
      <c r="B810" s="32" t="str">
        <f t="shared" si="68"/>
        <v>Ergon</v>
      </c>
      <c r="C810" s="387"/>
      <c r="D810" s="44"/>
      <c r="E810" s="44" t="s">
        <v>174</v>
      </c>
      <c r="F810" s="44">
        <v>55.4</v>
      </c>
      <c r="G810" s="44">
        <v>7.45</v>
      </c>
      <c r="H810" s="44">
        <v>19.907217429999999</v>
      </c>
      <c r="I810" s="44">
        <v>85.16624788</v>
      </c>
      <c r="J810" s="44">
        <v>143.06175759999999</v>
      </c>
      <c r="K810" s="44">
        <v>148.9498802</v>
      </c>
      <c r="L810" s="44">
        <v>114.4552024</v>
      </c>
      <c r="M810" s="44">
        <v>65.076478600000002</v>
      </c>
      <c r="N810" s="44">
        <v>188.2748177</v>
      </c>
      <c r="O810" s="44">
        <v>132.74991560000001</v>
      </c>
      <c r="P810" s="44">
        <v>40.160417420000002</v>
      </c>
      <c r="Q810" s="44">
        <v>32.695404969999998</v>
      </c>
      <c r="R810" s="44">
        <v>38.391694479999998</v>
      </c>
      <c r="S810" s="44">
        <v>78.800286220000004</v>
      </c>
      <c r="T810" s="44">
        <v>65.429987209999993</v>
      </c>
      <c r="U810" s="44">
        <v>120.7890646</v>
      </c>
      <c r="V810" s="44">
        <v>392.5519127</v>
      </c>
      <c r="W810" s="44">
        <v>73.223092269999995</v>
      </c>
      <c r="X810" s="44">
        <v>291.62830600000001</v>
      </c>
      <c r="Y810" s="44">
        <v>41.53844608</v>
      </c>
      <c r="Z810" s="44">
        <v>170.2602119</v>
      </c>
      <c r="AA810" s="44">
        <v>102.9268744</v>
      </c>
      <c r="AB810" s="44">
        <v>33.473421639999998</v>
      </c>
      <c r="AC810" s="44">
        <v>207.19104519999999</v>
      </c>
      <c r="AD810" s="44">
        <v>68.088940370000003</v>
      </c>
      <c r="AE810" s="44">
        <v>536.66963840000005</v>
      </c>
      <c r="AF810" s="44">
        <v>229.88503180000001</v>
      </c>
      <c r="AG810" s="44">
        <v>49.843139049999998</v>
      </c>
      <c r="AH810" s="44">
        <v>216.29125780000001</v>
      </c>
      <c r="AI810" s="44">
        <v>627.42170750000002</v>
      </c>
      <c r="AJ810" s="44">
        <v>217.7591644</v>
      </c>
      <c r="AK810" s="44">
        <v>506.86283500000002</v>
      </c>
      <c r="AL810" s="44">
        <v>110.2059654</v>
      </c>
      <c r="AM810" s="44">
        <v>291.15711570000002</v>
      </c>
      <c r="AN810" s="44">
        <v>204.3581705</v>
      </c>
      <c r="AO810" s="44">
        <v>141.0906076</v>
      </c>
      <c r="AP810" s="44">
        <v>143.2519781</v>
      </c>
      <c r="AQ810" s="44">
        <v>94.700321610000003</v>
      </c>
      <c r="AR810" s="44">
        <v>161.89461510000001</v>
      </c>
      <c r="AS810" s="44">
        <v>86.116584320000001</v>
      </c>
      <c r="AT810" s="44">
        <v>103.2239412</v>
      </c>
      <c r="AU810" s="44">
        <v>97.300705480000005</v>
      </c>
      <c r="AV810" s="44">
        <v>171.30326350000001</v>
      </c>
      <c r="AW810" s="44">
        <v>267.43213600000001</v>
      </c>
      <c r="AX810" s="44">
        <v>80.420750900000002</v>
      </c>
      <c r="AY810" s="44">
        <v>276.9940153</v>
      </c>
      <c r="AZ810" s="44">
        <v>241.8244991</v>
      </c>
      <c r="BA810" s="44">
        <v>391.05616220000002</v>
      </c>
      <c r="BB810" s="44">
        <v>402.60159179999999</v>
      </c>
      <c r="BC810" s="44">
        <v>250.91499859999999</v>
      </c>
      <c r="BD810" s="44">
        <v>439.25694170000003</v>
      </c>
      <c r="BE810" s="44">
        <v>353.76773530000003</v>
      </c>
      <c r="BF810" s="44">
        <v>500.65686460000001</v>
      </c>
      <c r="BG810" s="44">
        <v>70.67840941</v>
      </c>
      <c r="BH810" s="44">
        <v>81.007622549999994</v>
      </c>
      <c r="BI810" s="44">
        <v>74.225005839999994</v>
      </c>
      <c r="BJ810" s="44">
        <v>81.388798739999999</v>
      </c>
      <c r="BK810" s="44">
        <v>379.69687879999998</v>
      </c>
      <c r="BL810" s="44">
        <v>169.47444609999999</v>
      </c>
      <c r="BM810" s="44">
        <v>60.88405521</v>
      </c>
      <c r="BN810" s="44">
        <v>103.8969596</v>
      </c>
      <c r="BO810" s="44">
        <v>122.05955419999999</v>
      </c>
      <c r="BP810" s="44">
        <v>243.71810590000001</v>
      </c>
      <c r="BQ810" s="44">
        <v>147.75092649999999</v>
      </c>
      <c r="BR810" s="44">
        <v>246.1271807</v>
      </c>
      <c r="BS810" s="44">
        <v>872.72607930000004</v>
      </c>
      <c r="BT810" s="44">
        <v>28.318990920000001</v>
      </c>
      <c r="BU810" s="44">
        <v>32.247065370000001</v>
      </c>
      <c r="BV810" s="44">
        <v>6.465789569</v>
      </c>
      <c r="BW810" s="44">
        <v>0</v>
      </c>
      <c r="BX810" s="44">
        <v>0</v>
      </c>
      <c r="BY810" s="44">
        <v>0</v>
      </c>
      <c r="BZ810" s="44">
        <v>0</v>
      </c>
      <c r="CA810" s="44">
        <v>0</v>
      </c>
      <c r="CB810" s="44">
        <v>0</v>
      </c>
      <c r="CC810" s="44">
        <v>0</v>
      </c>
      <c r="CD810" s="44">
        <v>0</v>
      </c>
      <c r="CE810" s="44">
        <v>0</v>
      </c>
      <c r="CF810" s="44">
        <v>0</v>
      </c>
      <c r="CG810" s="44">
        <v>0</v>
      </c>
      <c r="CH810" s="44">
        <v>0</v>
      </c>
      <c r="CI810" s="44">
        <v>0</v>
      </c>
      <c r="CJ810" s="44">
        <v>0</v>
      </c>
      <c r="CK810" s="44">
        <v>0</v>
      </c>
      <c r="CL810" s="44">
        <v>0</v>
      </c>
      <c r="CM810" s="44">
        <v>0</v>
      </c>
      <c r="CN810" s="44">
        <v>0</v>
      </c>
      <c r="CO810" s="44">
        <v>0</v>
      </c>
      <c r="CP810" s="44">
        <v>0</v>
      </c>
      <c r="CQ810" s="44">
        <v>0</v>
      </c>
      <c r="CR810" s="44">
        <v>0</v>
      </c>
      <c r="CS810" s="44">
        <v>0</v>
      </c>
      <c r="CT810" s="44">
        <v>0</v>
      </c>
      <c r="CU810" s="44">
        <v>0</v>
      </c>
      <c r="CV810" s="44">
        <v>0</v>
      </c>
      <c r="CW810" s="44">
        <v>0</v>
      </c>
      <c r="CX810" s="44">
        <v>0</v>
      </c>
      <c r="CY810" s="44">
        <v>0</v>
      </c>
      <c r="CZ810" s="44">
        <v>0</v>
      </c>
      <c r="DA810" s="44">
        <v>0</v>
      </c>
      <c r="DB810" s="44">
        <v>0</v>
      </c>
      <c r="DC810" s="44">
        <v>0</v>
      </c>
      <c r="DD810" s="44">
        <v>0</v>
      </c>
      <c r="DE810" s="44">
        <v>0</v>
      </c>
      <c r="DF810" s="44">
        <v>0</v>
      </c>
      <c r="DG810" s="16">
        <f t="shared" si="69"/>
        <v>12569.718229538996</v>
      </c>
      <c r="DH810" s="16">
        <f t="shared" si="70"/>
        <v>471405.96576000308</v>
      </c>
      <c r="DI810" s="17">
        <f t="shared" si="71"/>
        <v>37.503304143460682</v>
      </c>
      <c r="DJ810" s="119" t="s">
        <v>718</v>
      </c>
      <c r="DK810" s="44" t="s">
        <v>718</v>
      </c>
    </row>
    <row r="811" spans="1:117">
      <c r="A811" s="32" t="str">
        <f t="shared" si="67"/>
        <v>Ergon--&gt; 66 kV &amp; &lt; = 132 kV</v>
      </c>
      <c r="B811" s="32" t="str">
        <f t="shared" si="68"/>
        <v>Ergon</v>
      </c>
      <c r="C811" s="387"/>
      <c r="D811" s="44"/>
      <c r="E811" s="44" t="s">
        <v>175</v>
      </c>
      <c r="F811" s="44">
        <v>54</v>
      </c>
      <c r="G811" s="44">
        <v>7.35</v>
      </c>
      <c r="H811" s="44">
        <v>3.9104144970000001</v>
      </c>
      <c r="I811" s="44">
        <v>0.39774773699999999</v>
      </c>
      <c r="J811" s="44">
        <v>87.51230674</v>
      </c>
      <c r="K811" s="44">
        <v>63.162129610000001</v>
      </c>
      <c r="L811" s="44">
        <v>5.7107251799999998</v>
      </c>
      <c r="M811" s="44">
        <v>178.9711652</v>
      </c>
      <c r="N811" s="44">
        <v>113.3368104</v>
      </c>
      <c r="O811" s="44">
        <v>2.296675161</v>
      </c>
      <c r="P811" s="44">
        <v>0.133146141</v>
      </c>
      <c r="Q811" s="44">
        <v>1.8793153999999999E-2</v>
      </c>
      <c r="R811" s="44">
        <v>10.19715309</v>
      </c>
      <c r="S811" s="44">
        <v>183.23212889999999</v>
      </c>
      <c r="T811" s="44">
        <v>3.4418696980000001</v>
      </c>
      <c r="U811" s="44">
        <v>0</v>
      </c>
      <c r="V811" s="44">
        <v>0</v>
      </c>
      <c r="W811" s="44">
        <v>0</v>
      </c>
      <c r="X811" s="44">
        <v>0</v>
      </c>
      <c r="Y811" s="44">
        <v>171.17891789999999</v>
      </c>
      <c r="Z811" s="44">
        <v>0</v>
      </c>
      <c r="AA811" s="44">
        <v>28.500850509999999</v>
      </c>
      <c r="AB811" s="44">
        <v>0</v>
      </c>
      <c r="AC811" s="44">
        <v>6.2334872130000001</v>
      </c>
      <c r="AD811" s="44">
        <v>0.438217623</v>
      </c>
      <c r="AE811" s="44">
        <v>96.882840090000002</v>
      </c>
      <c r="AF811" s="44">
        <v>11.53940362</v>
      </c>
      <c r="AG811" s="44">
        <v>0</v>
      </c>
      <c r="AH811" s="44">
        <v>225.42301789999999</v>
      </c>
      <c r="AI811" s="44">
        <v>305.01121899999998</v>
      </c>
      <c r="AJ811" s="44">
        <v>246.8274893</v>
      </c>
      <c r="AK811" s="44">
        <v>0</v>
      </c>
      <c r="AL811" s="44">
        <v>10.50448473</v>
      </c>
      <c r="AM811" s="44">
        <v>96.628966250000005</v>
      </c>
      <c r="AN811" s="44">
        <v>33.398388769999997</v>
      </c>
      <c r="AO811" s="44">
        <v>337.22911360000001</v>
      </c>
      <c r="AP811" s="44">
        <v>6.5067230000000004E-2</v>
      </c>
      <c r="AQ811" s="44">
        <v>4.9570895259999999</v>
      </c>
      <c r="AR811" s="44">
        <v>4.9521964369999996</v>
      </c>
      <c r="AS811" s="44">
        <v>56.69167856</v>
      </c>
      <c r="AT811" s="44">
        <v>8.529734522</v>
      </c>
      <c r="AU811" s="44">
        <v>6.6573586200000001</v>
      </c>
      <c r="AV811" s="44">
        <v>28.189086289999999</v>
      </c>
      <c r="AW811" s="44">
        <v>5.6993295929999999</v>
      </c>
      <c r="AX811" s="44">
        <v>72.794136089999995</v>
      </c>
      <c r="AY811" s="44">
        <v>0.86305751799999997</v>
      </c>
      <c r="AZ811" s="44">
        <v>4.036597575</v>
      </c>
      <c r="BA811" s="44">
        <v>52.398796879999999</v>
      </c>
      <c r="BB811" s="44">
        <v>0</v>
      </c>
      <c r="BC811" s="44">
        <v>80.482413480000005</v>
      </c>
      <c r="BD811" s="44">
        <v>236.41722010000001</v>
      </c>
      <c r="BE811" s="44">
        <v>43.279623809999997</v>
      </c>
      <c r="BF811" s="44">
        <v>2.1006200000000001E-3</v>
      </c>
      <c r="BG811" s="44">
        <v>2.1010080000000001E-3</v>
      </c>
      <c r="BH811" s="44">
        <v>41.99451775</v>
      </c>
      <c r="BI811" s="44">
        <v>0</v>
      </c>
      <c r="BJ811" s="44">
        <v>0</v>
      </c>
      <c r="BK811" s="44">
        <v>71.816675919999994</v>
      </c>
      <c r="BL811" s="44">
        <v>15.26315952</v>
      </c>
      <c r="BM811" s="44">
        <v>0</v>
      </c>
      <c r="BN811" s="44">
        <v>0</v>
      </c>
      <c r="BO811" s="44">
        <v>0</v>
      </c>
      <c r="BP811" s="44">
        <v>0</v>
      </c>
      <c r="BQ811" s="44">
        <v>3.2936010000000002E-3</v>
      </c>
      <c r="BR811" s="44">
        <v>0</v>
      </c>
      <c r="BS811" s="44">
        <v>91.226064989999998</v>
      </c>
      <c r="BT811" s="44">
        <v>0</v>
      </c>
      <c r="BU811" s="44">
        <v>0</v>
      </c>
      <c r="BV811" s="44">
        <v>0</v>
      </c>
      <c r="BW811" s="44">
        <v>0</v>
      </c>
      <c r="BX811" s="44">
        <v>0</v>
      </c>
      <c r="BY811" s="44">
        <v>0</v>
      </c>
      <c r="BZ811" s="44">
        <v>0</v>
      </c>
      <c r="CA811" s="44">
        <v>0</v>
      </c>
      <c r="CB811" s="44">
        <v>0</v>
      </c>
      <c r="CC811" s="44">
        <v>0</v>
      </c>
      <c r="CD811" s="44">
        <v>0</v>
      </c>
      <c r="CE811" s="44">
        <v>0</v>
      </c>
      <c r="CF811" s="44">
        <v>0</v>
      </c>
      <c r="CG811" s="44">
        <v>0</v>
      </c>
      <c r="CH811" s="44">
        <v>0</v>
      </c>
      <c r="CI811" s="44">
        <v>0</v>
      </c>
      <c r="CJ811" s="44">
        <v>0</v>
      </c>
      <c r="CK811" s="44">
        <v>0</v>
      </c>
      <c r="CL811" s="44">
        <v>0</v>
      </c>
      <c r="CM811" s="44">
        <v>0</v>
      </c>
      <c r="CN811" s="44">
        <v>0</v>
      </c>
      <c r="CO811" s="44">
        <v>0</v>
      </c>
      <c r="CP811" s="44">
        <v>0</v>
      </c>
      <c r="CQ811" s="44">
        <v>0</v>
      </c>
      <c r="CR811" s="44">
        <v>0</v>
      </c>
      <c r="CS811" s="44">
        <v>0</v>
      </c>
      <c r="CT811" s="44">
        <v>0</v>
      </c>
      <c r="CU811" s="44">
        <v>0</v>
      </c>
      <c r="CV811" s="44">
        <v>0</v>
      </c>
      <c r="CW811" s="44">
        <v>0</v>
      </c>
      <c r="CX811" s="44">
        <v>0</v>
      </c>
      <c r="CY811" s="44">
        <v>0</v>
      </c>
      <c r="CZ811" s="44">
        <v>0</v>
      </c>
      <c r="DA811" s="44">
        <v>0</v>
      </c>
      <c r="DB811" s="44">
        <v>0</v>
      </c>
      <c r="DC811" s="44">
        <v>0</v>
      </c>
      <c r="DD811" s="44">
        <v>0</v>
      </c>
      <c r="DE811" s="44">
        <v>0</v>
      </c>
      <c r="DF811" s="44">
        <v>0</v>
      </c>
      <c r="DG811" s="16">
        <f t="shared" si="69"/>
        <v>3048.4387616540007</v>
      </c>
      <c r="DH811" s="16">
        <f t="shared" si="70"/>
        <v>89814.002661420978</v>
      </c>
      <c r="DI811" s="17">
        <f t="shared" si="71"/>
        <v>29.462295188993831</v>
      </c>
      <c r="DJ811" s="119" t="s">
        <v>718</v>
      </c>
      <c r="DK811" s="44" t="s">
        <v>718</v>
      </c>
    </row>
    <row r="812" spans="1:117">
      <c r="A812" s="32" t="str">
        <f t="shared" si="67"/>
        <v>Ergon--&gt; 132 kV</v>
      </c>
      <c r="B812" s="32" t="str">
        <f t="shared" si="68"/>
        <v>Ergon</v>
      </c>
      <c r="C812" s="387"/>
      <c r="D812" s="44"/>
      <c r="E812" s="44" t="s">
        <v>176</v>
      </c>
      <c r="F812" s="44">
        <v>54</v>
      </c>
      <c r="G812" s="44">
        <v>7.35</v>
      </c>
      <c r="H812" s="44">
        <v>0</v>
      </c>
      <c r="I812" s="44">
        <v>0</v>
      </c>
      <c r="J812" s="44">
        <v>0</v>
      </c>
      <c r="K812" s="44">
        <v>0</v>
      </c>
      <c r="L812" s="44">
        <v>0</v>
      </c>
      <c r="M812" s="44">
        <v>0</v>
      </c>
      <c r="N812" s="44">
        <v>0</v>
      </c>
      <c r="O812" s="44">
        <v>0</v>
      </c>
      <c r="P812" s="44">
        <v>0</v>
      </c>
      <c r="Q812" s="44">
        <v>0</v>
      </c>
      <c r="R812" s="44">
        <v>0</v>
      </c>
      <c r="S812" s="44">
        <v>0</v>
      </c>
      <c r="T812" s="44">
        <v>0</v>
      </c>
      <c r="U812" s="44">
        <v>0</v>
      </c>
      <c r="V812" s="44">
        <v>0</v>
      </c>
      <c r="W812" s="44">
        <v>0</v>
      </c>
      <c r="X812" s="44">
        <v>0</v>
      </c>
      <c r="Y812" s="44">
        <v>0</v>
      </c>
      <c r="Z812" s="44">
        <v>0</v>
      </c>
      <c r="AA812" s="44">
        <v>0</v>
      </c>
      <c r="AB812" s="44">
        <v>0</v>
      </c>
      <c r="AC812" s="44">
        <v>0</v>
      </c>
      <c r="AD812" s="44">
        <v>0</v>
      </c>
      <c r="AE812" s="44">
        <v>0</v>
      </c>
      <c r="AF812" s="44">
        <v>0</v>
      </c>
      <c r="AG812" s="44">
        <v>0</v>
      </c>
      <c r="AH812" s="44">
        <v>0</v>
      </c>
      <c r="AI812" s="44">
        <v>0</v>
      </c>
      <c r="AJ812" s="44">
        <v>0</v>
      </c>
      <c r="AK812" s="44">
        <v>0</v>
      </c>
      <c r="AL812" s="44">
        <v>0</v>
      </c>
      <c r="AM812" s="44">
        <v>0</v>
      </c>
      <c r="AN812" s="44">
        <v>0</v>
      </c>
      <c r="AO812" s="44">
        <v>0</v>
      </c>
      <c r="AP812" s="44">
        <v>0</v>
      </c>
      <c r="AQ812" s="44">
        <v>0</v>
      </c>
      <c r="AR812" s="44">
        <v>0</v>
      </c>
      <c r="AS812" s="44">
        <v>0</v>
      </c>
      <c r="AT812" s="44">
        <v>0</v>
      </c>
      <c r="AU812" s="44">
        <v>0</v>
      </c>
      <c r="AV812" s="44">
        <v>0</v>
      </c>
      <c r="AW812" s="44">
        <v>0</v>
      </c>
      <c r="AX812" s="44">
        <v>0</v>
      </c>
      <c r="AY812" s="44">
        <v>0</v>
      </c>
      <c r="AZ812" s="44">
        <v>0</v>
      </c>
      <c r="BA812" s="44">
        <v>0</v>
      </c>
      <c r="BB812" s="44">
        <v>0</v>
      </c>
      <c r="BC812" s="44">
        <v>0</v>
      </c>
      <c r="BD812" s="44">
        <v>0</v>
      </c>
      <c r="BE812" s="44">
        <v>0</v>
      </c>
      <c r="BF812" s="44">
        <v>0</v>
      </c>
      <c r="BG812" s="44">
        <v>0</v>
      </c>
      <c r="BH812" s="44">
        <v>0</v>
      </c>
      <c r="BI812" s="44">
        <v>0</v>
      </c>
      <c r="BJ812" s="44">
        <v>0</v>
      </c>
      <c r="BK812" s="44">
        <v>0</v>
      </c>
      <c r="BL812" s="44">
        <v>0</v>
      </c>
      <c r="BM812" s="44">
        <v>0</v>
      </c>
      <c r="BN812" s="44">
        <v>0</v>
      </c>
      <c r="BO812" s="44">
        <v>0</v>
      </c>
      <c r="BP812" s="44">
        <v>0</v>
      </c>
      <c r="BQ812" s="44">
        <v>0</v>
      </c>
      <c r="BR812" s="44">
        <v>0</v>
      </c>
      <c r="BS812" s="44">
        <v>0</v>
      </c>
      <c r="BT812" s="44">
        <v>0</v>
      </c>
      <c r="BU812" s="44">
        <v>0</v>
      </c>
      <c r="BV812" s="44">
        <v>0</v>
      </c>
      <c r="BW812" s="44">
        <v>0</v>
      </c>
      <c r="BX812" s="44">
        <v>0</v>
      </c>
      <c r="BY812" s="44">
        <v>0</v>
      </c>
      <c r="BZ812" s="44">
        <v>0</v>
      </c>
      <c r="CA812" s="44">
        <v>0</v>
      </c>
      <c r="CB812" s="44">
        <v>0</v>
      </c>
      <c r="CC812" s="44">
        <v>0</v>
      </c>
      <c r="CD812" s="44">
        <v>0</v>
      </c>
      <c r="CE812" s="44">
        <v>0</v>
      </c>
      <c r="CF812" s="44">
        <v>0</v>
      </c>
      <c r="CG812" s="44">
        <v>0</v>
      </c>
      <c r="CH812" s="44">
        <v>0</v>
      </c>
      <c r="CI812" s="44">
        <v>0</v>
      </c>
      <c r="CJ812" s="44">
        <v>0</v>
      </c>
      <c r="CK812" s="44">
        <v>0</v>
      </c>
      <c r="CL812" s="44">
        <v>0</v>
      </c>
      <c r="CM812" s="44">
        <v>0</v>
      </c>
      <c r="CN812" s="44">
        <v>0</v>
      </c>
      <c r="CO812" s="44">
        <v>0</v>
      </c>
      <c r="CP812" s="44">
        <v>0</v>
      </c>
      <c r="CQ812" s="44">
        <v>0</v>
      </c>
      <c r="CR812" s="44">
        <v>0</v>
      </c>
      <c r="CS812" s="44">
        <v>0</v>
      </c>
      <c r="CT812" s="44">
        <v>0</v>
      </c>
      <c r="CU812" s="44">
        <v>0</v>
      </c>
      <c r="CV812" s="44">
        <v>0</v>
      </c>
      <c r="CW812" s="44">
        <v>0</v>
      </c>
      <c r="CX812" s="44">
        <v>0</v>
      </c>
      <c r="CY812" s="44">
        <v>0</v>
      </c>
      <c r="CZ812" s="44">
        <v>0</v>
      </c>
      <c r="DA812" s="44">
        <v>0</v>
      </c>
      <c r="DB812" s="44">
        <v>0</v>
      </c>
      <c r="DC812" s="44">
        <v>0</v>
      </c>
      <c r="DD812" s="44">
        <v>0</v>
      </c>
      <c r="DE812" s="44">
        <v>0</v>
      </c>
      <c r="DF812" s="44">
        <v>0</v>
      </c>
      <c r="DG812" s="16">
        <f t="shared" si="69"/>
        <v>0</v>
      </c>
      <c r="DH812" s="16">
        <f t="shared" si="70"/>
        <v>0</v>
      </c>
      <c r="DI812" s="17" t="str">
        <f t="shared" si="71"/>
        <v/>
      </c>
      <c r="DJ812" s="119" t="s">
        <v>718</v>
      </c>
      <c r="DK812" s="44" t="s">
        <v>718</v>
      </c>
    </row>
    <row r="813" spans="1:117">
      <c r="A813" s="32" t="str">
        <f t="shared" si="67"/>
        <v>Ergon--OTHER - PLEASE ADD A ROW IF NECESSARY AND NOMINATE THE CATEGORY</v>
      </c>
      <c r="B813" s="32" t="str">
        <f t="shared" si="68"/>
        <v>Ergon</v>
      </c>
      <c r="C813" s="387"/>
      <c r="D813" s="44"/>
      <c r="E813" s="44" t="s">
        <v>170</v>
      </c>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c r="BL813" s="44"/>
      <c r="BM813" s="44"/>
      <c r="BN813" s="44"/>
      <c r="BO813" s="44"/>
      <c r="BP813" s="44"/>
      <c r="BQ813" s="44"/>
      <c r="BR813" s="44"/>
      <c r="BS813" s="44"/>
      <c r="BT813" s="44"/>
      <c r="BU813" s="44"/>
      <c r="BV813" s="44"/>
      <c r="BW813" s="44"/>
      <c r="BX813" s="44"/>
      <c r="BY813" s="44"/>
      <c r="BZ813" s="44"/>
      <c r="CA813" s="44"/>
      <c r="CB813" s="44"/>
      <c r="CC813" s="44"/>
      <c r="CD813" s="44"/>
      <c r="CE813" s="44"/>
      <c r="CF813" s="44"/>
      <c r="CG813" s="44"/>
      <c r="CH813" s="44"/>
      <c r="CI813" s="44"/>
      <c r="CJ813" s="44"/>
      <c r="CK813" s="44"/>
      <c r="CL813" s="44"/>
      <c r="CM813" s="44"/>
      <c r="CN813" s="44"/>
      <c r="CO813" s="44"/>
      <c r="CP813" s="44"/>
      <c r="CQ813" s="44"/>
      <c r="CR813" s="44"/>
      <c r="CS813" s="44"/>
      <c r="CT813" s="44"/>
      <c r="CU813" s="44"/>
      <c r="CV813" s="44"/>
      <c r="CW813" s="44"/>
      <c r="CX813" s="44"/>
      <c r="CY813" s="44"/>
      <c r="CZ813" s="44"/>
      <c r="DA813" s="44"/>
      <c r="DB813" s="44"/>
      <c r="DC813" s="44"/>
      <c r="DD813" s="44"/>
      <c r="DE813" s="44"/>
      <c r="DF813" s="44"/>
      <c r="DG813" s="16">
        <f t="shared" si="69"/>
        <v>0</v>
      </c>
      <c r="DH813" s="16">
        <f t="shared" si="70"/>
        <v>0</v>
      </c>
      <c r="DI813" s="17" t="str">
        <f t="shared" si="71"/>
        <v/>
      </c>
      <c r="DJ813" s="119" t="s">
        <v>718</v>
      </c>
      <c r="DK813" s="44" t="s">
        <v>718</v>
      </c>
    </row>
    <row r="814" spans="1:117" ht="30">
      <c r="A814" s="32" t="str">
        <f t="shared" si="67"/>
        <v>Ergon-UNDERGROUND CABLES BY: 
HIGHEST OPERATING VOLTAGE-˂ = 1 kV</v>
      </c>
      <c r="B814" s="32" t="str">
        <f t="shared" si="68"/>
        <v>Ergon</v>
      </c>
      <c r="C814" s="387"/>
      <c r="D814" s="31" t="s">
        <v>539</v>
      </c>
      <c r="E814" s="44" t="s">
        <v>171</v>
      </c>
      <c r="F814" s="44">
        <v>43.2</v>
      </c>
      <c r="G814" s="44">
        <v>6.57</v>
      </c>
      <c r="H814" s="44">
        <v>51.520021819999997</v>
      </c>
      <c r="I814" s="44">
        <v>337.83259980000003</v>
      </c>
      <c r="J814" s="44">
        <v>399.69172780000002</v>
      </c>
      <c r="K814" s="44">
        <v>622.4576151</v>
      </c>
      <c r="L814" s="44">
        <v>1369.6852650000001</v>
      </c>
      <c r="M814" s="44">
        <v>1524.931214</v>
      </c>
      <c r="N814" s="44">
        <v>705.41010270000004</v>
      </c>
      <c r="O814" s="44">
        <v>278.42709630000002</v>
      </c>
      <c r="P814" s="44">
        <v>385.37676829999998</v>
      </c>
      <c r="Q814" s="44">
        <v>97.348734230000005</v>
      </c>
      <c r="R814" s="44">
        <v>19.330492230000001</v>
      </c>
      <c r="S814" s="44">
        <v>14.50858846</v>
      </c>
      <c r="T814" s="44">
        <v>4.7547912090000004</v>
      </c>
      <c r="U814" s="44">
        <v>6.8782152559999998</v>
      </c>
      <c r="V814" s="44">
        <v>3.5057925029999999</v>
      </c>
      <c r="W814" s="44">
        <v>2.3881848460000001</v>
      </c>
      <c r="X814" s="44">
        <v>3.9272019149999999</v>
      </c>
      <c r="Y814" s="44">
        <v>6.7207070999999993E-2</v>
      </c>
      <c r="Z814" s="44">
        <v>3.619160205</v>
      </c>
      <c r="AA814" s="44">
        <v>11.89918713</v>
      </c>
      <c r="AB814" s="44">
        <v>8.7699219399999997</v>
      </c>
      <c r="AC814" s="44">
        <v>1.856715289</v>
      </c>
      <c r="AD814" s="44">
        <v>5.9424199450000001</v>
      </c>
      <c r="AE814" s="44">
        <v>0</v>
      </c>
      <c r="AF814" s="44">
        <v>1.322772748</v>
      </c>
      <c r="AG814" s="44">
        <v>0.59509476900000002</v>
      </c>
      <c r="AH814" s="44">
        <v>0.118096348</v>
      </c>
      <c r="AI814" s="44">
        <v>0.78808732299999995</v>
      </c>
      <c r="AJ814" s="44">
        <v>0</v>
      </c>
      <c r="AK814" s="44">
        <v>0.65932722499999996</v>
      </c>
      <c r="AL814" s="44">
        <v>0.21768101300000001</v>
      </c>
      <c r="AM814" s="44">
        <v>0</v>
      </c>
      <c r="AN814" s="44">
        <v>0.28024179799999999</v>
      </c>
      <c r="AO814" s="44">
        <v>0.15549506599999999</v>
      </c>
      <c r="AP814" s="44">
        <v>0</v>
      </c>
      <c r="AQ814" s="44">
        <v>0</v>
      </c>
      <c r="AR814" s="44">
        <v>4.7339855E-2</v>
      </c>
      <c r="AS814" s="44">
        <v>0</v>
      </c>
      <c r="AT814" s="44">
        <v>0</v>
      </c>
      <c r="AU814" s="44">
        <v>0</v>
      </c>
      <c r="AV814" s="44">
        <v>0</v>
      </c>
      <c r="AW814" s="44">
        <v>0</v>
      </c>
      <c r="AX814" s="44">
        <v>0</v>
      </c>
      <c r="AY814" s="44">
        <v>0.48399102500000002</v>
      </c>
      <c r="AZ814" s="44">
        <v>0</v>
      </c>
      <c r="BA814" s="44">
        <v>0</v>
      </c>
      <c r="BB814" s="44">
        <v>0</v>
      </c>
      <c r="BC814" s="44">
        <v>0</v>
      </c>
      <c r="BD814" s="44">
        <v>0</v>
      </c>
      <c r="BE814" s="44">
        <v>0</v>
      </c>
      <c r="BF814" s="44">
        <v>0</v>
      </c>
      <c r="BG814" s="44">
        <v>0.83550913000000004</v>
      </c>
      <c r="BH814" s="44">
        <v>0</v>
      </c>
      <c r="BI814" s="44">
        <v>0</v>
      </c>
      <c r="BJ814" s="44">
        <v>0</v>
      </c>
      <c r="BK814" s="44">
        <v>0</v>
      </c>
      <c r="BL814" s="44">
        <v>0</v>
      </c>
      <c r="BM814" s="44">
        <v>0</v>
      </c>
      <c r="BN814" s="44">
        <v>0</v>
      </c>
      <c r="BO814" s="44">
        <v>0</v>
      </c>
      <c r="BP814" s="44">
        <v>0</v>
      </c>
      <c r="BQ814" s="44">
        <v>0</v>
      </c>
      <c r="BR814" s="44">
        <v>0</v>
      </c>
      <c r="BS814" s="44">
        <v>0</v>
      </c>
      <c r="BT814" s="44">
        <v>0</v>
      </c>
      <c r="BU814" s="44">
        <v>0</v>
      </c>
      <c r="BV814" s="44">
        <v>0</v>
      </c>
      <c r="BW814" s="44">
        <v>0</v>
      </c>
      <c r="BX814" s="44">
        <v>0</v>
      </c>
      <c r="BY814" s="44">
        <v>0</v>
      </c>
      <c r="BZ814" s="44">
        <v>0</v>
      </c>
      <c r="CA814" s="44">
        <v>0</v>
      </c>
      <c r="CB814" s="44">
        <v>0</v>
      </c>
      <c r="CC814" s="44">
        <v>0</v>
      </c>
      <c r="CD814" s="44">
        <v>0</v>
      </c>
      <c r="CE814" s="44">
        <v>0</v>
      </c>
      <c r="CF814" s="44">
        <v>0</v>
      </c>
      <c r="CG814" s="44">
        <v>0</v>
      </c>
      <c r="CH814" s="44">
        <v>0</v>
      </c>
      <c r="CI814" s="44">
        <v>0</v>
      </c>
      <c r="CJ814" s="44">
        <v>0</v>
      </c>
      <c r="CK814" s="44">
        <v>0</v>
      </c>
      <c r="CL814" s="44">
        <v>0</v>
      </c>
      <c r="CM814" s="44">
        <v>0</v>
      </c>
      <c r="CN814" s="44">
        <v>0</v>
      </c>
      <c r="CO814" s="44">
        <v>0</v>
      </c>
      <c r="CP814" s="44">
        <v>0</v>
      </c>
      <c r="CQ814" s="44">
        <v>0</v>
      </c>
      <c r="CR814" s="44">
        <v>0</v>
      </c>
      <c r="CS814" s="44">
        <v>0</v>
      </c>
      <c r="CT814" s="44">
        <v>0</v>
      </c>
      <c r="CU814" s="44">
        <v>0</v>
      </c>
      <c r="CV814" s="44">
        <v>0</v>
      </c>
      <c r="CW814" s="44">
        <v>0</v>
      </c>
      <c r="CX814" s="44">
        <v>0</v>
      </c>
      <c r="CY814" s="44">
        <v>0</v>
      </c>
      <c r="CZ814" s="44">
        <v>0</v>
      </c>
      <c r="DA814" s="44">
        <v>0</v>
      </c>
      <c r="DB814" s="44">
        <v>0</v>
      </c>
      <c r="DC814" s="44">
        <v>0</v>
      </c>
      <c r="DD814" s="44">
        <v>0</v>
      </c>
      <c r="DE814" s="44">
        <v>0</v>
      </c>
      <c r="DF814" s="44">
        <v>0</v>
      </c>
      <c r="DG814" s="16">
        <f t="shared" si="69"/>
        <v>5865.6326593490021</v>
      </c>
      <c r="DH814" s="16">
        <f t="shared" si="70"/>
        <v>33574.678766473015</v>
      </c>
      <c r="DI814" s="17">
        <f t="shared" si="71"/>
        <v>5.7239654639742312</v>
      </c>
      <c r="DJ814" s="119" t="s">
        <v>572</v>
      </c>
      <c r="DK814" t="s">
        <v>572</v>
      </c>
    </row>
    <row r="815" spans="1:117">
      <c r="A815" s="32" t="str">
        <f t="shared" si="67"/>
        <v>Ergon--&gt; 1 kV &amp; &lt; = 11 kV</v>
      </c>
      <c r="B815" s="32" t="str">
        <f t="shared" si="68"/>
        <v>Ergon</v>
      </c>
      <c r="C815" s="387"/>
      <c r="D815" s="44"/>
      <c r="E815" s="44" t="s">
        <v>172</v>
      </c>
      <c r="F815" s="44">
        <v>43.2</v>
      </c>
      <c r="G815" s="44">
        <v>6.57</v>
      </c>
      <c r="H815" s="44">
        <v>13.505293760000001</v>
      </c>
      <c r="I815" s="44">
        <v>66.758139139999997</v>
      </c>
      <c r="J815" s="44">
        <v>111.1715195</v>
      </c>
      <c r="K815" s="44">
        <v>150.50755050000001</v>
      </c>
      <c r="L815" s="44">
        <v>185.68290250000001</v>
      </c>
      <c r="M815" s="44">
        <v>179.79078559999999</v>
      </c>
      <c r="N815" s="44">
        <v>97.664994660000005</v>
      </c>
      <c r="O815" s="44">
        <v>55.401728329999997</v>
      </c>
      <c r="P815" s="44">
        <v>69.130198899999996</v>
      </c>
      <c r="Q815" s="44">
        <v>46.506336330000003</v>
      </c>
      <c r="R815" s="44">
        <v>52.823537999999999</v>
      </c>
      <c r="S815" s="44">
        <v>49.193826199999997</v>
      </c>
      <c r="T815" s="44">
        <v>17.520293989999999</v>
      </c>
      <c r="U815" s="44">
        <v>29.817889690000001</v>
      </c>
      <c r="V815" s="44">
        <v>107.9674539</v>
      </c>
      <c r="W815" s="44">
        <v>22.231615260000002</v>
      </c>
      <c r="X815" s="44">
        <v>18.99353816</v>
      </c>
      <c r="Y815" s="44">
        <v>11.642598789999999</v>
      </c>
      <c r="Z815" s="44">
        <v>16.934304210000001</v>
      </c>
      <c r="AA815" s="44">
        <v>22.03620677</v>
      </c>
      <c r="AB815" s="44">
        <v>18.570201220000001</v>
      </c>
      <c r="AC815" s="44">
        <v>20.978829990000001</v>
      </c>
      <c r="AD815" s="44">
        <v>16.408298739999999</v>
      </c>
      <c r="AE815" s="44">
        <v>10.384205100000001</v>
      </c>
      <c r="AF815" s="44">
        <v>6.6412433149999996</v>
      </c>
      <c r="AG815" s="44">
        <v>4.0273917240000001</v>
      </c>
      <c r="AH815" s="44">
        <v>5.9770736519999996</v>
      </c>
      <c r="AI815" s="44">
        <v>23.545011980000002</v>
      </c>
      <c r="AJ815" s="44">
        <v>17.702121259999998</v>
      </c>
      <c r="AK815" s="44">
        <v>9.2148470929999995</v>
      </c>
      <c r="AL815" s="44">
        <v>6.162358341</v>
      </c>
      <c r="AM815" s="44">
        <v>10.816902519999999</v>
      </c>
      <c r="AN815" s="44">
        <v>15.27732529</v>
      </c>
      <c r="AO815" s="44">
        <v>7.0529136320000001</v>
      </c>
      <c r="AP815" s="44">
        <v>3.2105477549999999</v>
      </c>
      <c r="AQ815" s="44">
        <v>6.1586052870000003</v>
      </c>
      <c r="AR815" s="44">
        <v>2.5838820409999999</v>
      </c>
      <c r="AS815" s="44">
        <v>4.7988283169999999</v>
      </c>
      <c r="AT815" s="44">
        <v>29.770966999999999</v>
      </c>
      <c r="AU815" s="44">
        <v>1.0468327449999999</v>
      </c>
      <c r="AV815" s="44">
        <v>1.126946698</v>
      </c>
      <c r="AW815" s="44">
        <v>2.9422549340000002</v>
      </c>
      <c r="AX815" s="44">
        <v>2.6681010359999999</v>
      </c>
      <c r="AY815" s="44">
        <v>3.0015784079999999</v>
      </c>
      <c r="AZ815" s="44">
        <v>2.7900387520000001</v>
      </c>
      <c r="BA815" s="44">
        <v>0.76692952400000003</v>
      </c>
      <c r="BB815" s="44">
        <v>0.536371284</v>
      </c>
      <c r="BC815" s="44">
        <v>0.55447209799999997</v>
      </c>
      <c r="BD815" s="44">
        <v>3.3283049729999998</v>
      </c>
      <c r="BE815" s="44">
        <v>0.35077047700000002</v>
      </c>
      <c r="BF815" s="44">
        <v>0.43225206100000002</v>
      </c>
      <c r="BG815" s="44">
        <v>0</v>
      </c>
      <c r="BH815" s="44">
        <v>0</v>
      </c>
      <c r="BI815" s="44">
        <v>0.34556725100000002</v>
      </c>
      <c r="BJ815" s="44">
        <v>0</v>
      </c>
      <c r="BK815" s="44">
        <v>0.31929239599999998</v>
      </c>
      <c r="BL815" s="44">
        <v>0.34128635200000002</v>
      </c>
      <c r="BM815" s="44">
        <v>0</v>
      </c>
      <c r="BN815" s="44">
        <v>1.323622885</v>
      </c>
      <c r="BO815" s="44">
        <v>0</v>
      </c>
      <c r="BP815" s="44">
        <v>0</v>
      </c>
      <c r="BQ815" s="44">
        <v>0</v>
      </c>
      <c r="BR815" s="44">
        <v>0</v>
      </c>
      <c r="BS815" s="44">
        <v>0</v>
      </c>
      <c r="BT815" s="44">
        <v>0</v>
      </c>
      <c r="BU815" s="44">
        <v>0</v>
      </c>
      <c r="BV815" s="44">
        <v>0</v>
      </c>
      <c r="BW815" s="44">
        <v>1.9081332999999999E-2</v>
      </c>
      <c r="BX815" s="44">
        <v>0</v>
      </c>
      <c r="BY815" s="44">
        <v>0</v>
      </c>
      <c r="BZ815" s="44">
        <v>0</v>
      </c>
      <c r="CA815" s="44">
        <v>0</v>
      </c>
      <c r="CB815" s="44">
        <v>0</v>
      </c>
      <c r="CC815" s="44">
        <v>0</v>
      </c>
      <c r="CD815" s="44">
        <v>0</v>
      </c>
      <c r="CE815" s="44">
        <v>0</v>
      </c>
      <c r="CF815" s="44">
        <v>0</v>
      </c>
      <c r="CG815" s="44">
        <v>0.36563190000000001</v>
      </c>
      <c r="CH815" s="44">
        <v>0</v>
      </c>
      <c r="CI815" s="44">
        <v>0</v>
      </c>
      <c r="CJ815" s="44">
        <v>0</v>
      </c>
      <c r="CK815" s="44">
        <v>0</v>
      </c>
      <c r="CL815" s="44">
        <v>0</v>
      </c>
      <c r="CM815" s="44">
        <v>0</v>
      </c>
      <c r="CN815" s="44">
        <v>0</v>
      </c>
      <c r="CO815" s="44">
        <v>0</v>
      </c>
      <c r="CP815" s="44">
        <v>0</v>
      </c>
      <c r="CQ815" s="44">
        <v>0</v>
      </c>
      <c r="CR815" s="44">
        <v>0</v>
      </c>
      <c r="CS815" s="44">
        <v>0</v>
      </c>
      <c r="CT815" s="44">
        <v>0</v>
      </c>
      <c r="CU815" s="44">
        <v>0</v>
      </c>
      <c r="CV815" s="44">
        <v>0</v>
      </c>
      <c r="CW815" s="44">
        <v>0</v>
      </c>
      <c r="CX815" s="44">
        <v>0</v>
      </c>
      <c r="CY815" s="44">
        <v>0</v>
      </c>
      <c r="CZ815" s="44">
        <v>0</v>
      </c>
      <c r="DA815" s="44">
        <v>0</v>
      </c>
      <c r="DB815" s="44">
        <v>0</v>
      </c>
      <c r="DC815" s="44">
        <v>0</v>
      </c>
      <c r="DD815" s="44">
        <v>0</v>
      </c>
      <c r="DE815" s="44">
        <v>0</v>
      </c>
      <c r="DF815" s="44">
        <v>0</v>
      </c>
      <c r="DG815" s="16">
        <f t="shared" si="69"/>
        <v>1566.8216035539997</v>
      </c>
      <c r="DH815" s="16">
        <f t="shared" si="70"/>
        <v>17841.801938334993</v>
      </c>
      <c r="DI815" s="17">
        <f t="shared" si="71"/>
        <v>11.387258062988588</v>
      </c>
      <c r="DJ815" s="119" t="s">
        <v>572</v>
      </c>
      <c r="DK815" s="44" t="s">
        <v>572</v>
      </c>
    </row>
    <row r="816" spans="1:117">
      <c r="A816" s="32" t="str">
        <f t="shared" si="67"/>
        <v>Ergon--&gt; 11 kV &amp; &lt; = 22 kV</v>
      </c>
      <c r="B816" s="32" t="str">
        <f t="shared" si="68"/>
        <v>Ergon</v>
      </c>
      <c r="C816" s="387"/>
      <c r="D816" s="44"/>
      <c r="E816" s="44" t="s">
        <v>181</v>
      </c>
      <c r="F816" s="44">
        <v>43.2</v>
      </c>
      <c r="G816" s="44">
        <v>6.57</v>
      </c>
      <c r="H816" s="44">
        <v>1.796758155</v>
      </c>
      <c r="I816" s="44">
        <v>17.23985966</v>
      </c>
      <c r="J816" s="44">
        <v>23.80643031</v>
      </c>
      <c r="K816" s="44">
        <v>38.889210149999997</v>
      </c>
      <c r="L816" s="44">
        <v>79.580319189999997</v>
      </c>
      <c r="M816" s="44">
        <v>106.3103095</v>
      </c>
      <c r="N816" s="44">
        <v>38.399078119999999</v>
      </c>
      <c r="O816" s="44">
        <v>21.78468775</v>
      </c>
      <c r="P816" s="44">
        <v>21.907240730000002</v>
      </c>
      <c r="Q816" s="44">
        <v>12.94083161</v>
      </c>
      <c r="R816" s="44">
        <v>5.1793309010000002</v>
      </c>
      <c r="S816" s="44">
        <v>10.69149</v>
      </c>
      <c r="T816" s="44">
        <v>5.5138107889999999</v>
      </c>
      <c r="U816" s="44">
        <v>18.266090420000001</v>
      </c>
      <c r="V816" s="44">
        <v>14.96763273</v>
      </c>
      <c r="W816" s="44">
        <v>11.86270201</v>
      </c>
      <c r="X816" s="44">
        <v>10.466331800000001</v>
      </c>
      <c r="Y816" s="44">
        <v>18.620956469999999</v>
      </c>
      <c r="Z816" s="44">
        <v>17.198482160000001</v>
      </c>
      <c r="AA816" s="44">
        <v>12.593191839999999</v>
      </c>
      <c r="AB816" s="44">
        <v>7.9036450179999997</v>
      </c>
      <c r="AC816" s="44">
        <v>18.445407060000001</v>
      </c>
      <c r="AD816" s="44">
        <v>3.602422174</v>
      </c>
      <c r="AE816" s="44">
        <v>11.23134784</v>
      </c>
      <c r="AF816" s="44">
        <v>15.83948917</v>
      </c>
      <c r="AG816" s="44">
        <v>5.0369953809999997</v>
      </c>
      <c r="AH816" s="44">
        <v>11.008769409999999</v>
      </c>
      <c r="AI816" s="44">
        <v>3.340963108</v>
      </c>
      <c r="AJ816" s="44">
        <v>52.424324679999998</v>
      </c>
      <c r="AK816" s="44">
        <v>5.3743701469999996</v>
      </c>
      <c r="AL816" s="44">
        <v>3.3811981360000001</v>
      </c>
      <c r="AM816" s="44">
        <v>6.0503833560000002</v>
      </c>
      <c r="AN816" s="44">
        <v>3.920003178</v>
      </c>
      <c r="AO816" s="44">
        <v>12.967816940000001</v>
      </c>
      <c r="AP816" s="44">
        <v>1.7043003240000001</v>
      </c>
      <c r="AQ816" s="44">
        <v>0</v>
      </c>
      <c r="AR816" s="44">
        <v>0.22140085000000001</v>
      </c>
      <c r="AS816" s="44">
        <v>7.2882817000000003E-2</v>
      </c>
      <c r="AT816" s="44">
        <v>4.4291281229999999</v>
      </c>
      <c r="AU816" s="44">
        <v>0.14261241899999999</v>
      </c>
      <c r="AV816" s="44">
        <v>0.33165754400000003</v>
      </c>
      <c r="AW816" s="44">
        <v>0.35664752199999999</v>
      </c>
      <c r="AX816" s="44">
        <v>1.458197486</v>
      </c>
      <c r="AY816" s="44">
        <v>1.7899074150000001</v>
      </c>
      <c r="AZ816" s="44">
        <v>1.9706201489999999</v>
      </c>
      <c r="BA816" s="44">
        <v>0.30909170800000002</v>
      </c>
      <c r="BB816" s="44">
        <v>0.140531033</v>
      </c>
      <c r="BC816" s="44">
        <v>0</v>
      </c>
      <c r="BD816" s="44">
        <v>2.284058699</v>
      </c>
      <c r="BE816" s="44">
        <v>0.18892356299999999</v>
      </c>
      <c r="BF816" s="44">
        <v>0.15029840799999999</v>
      </c>
      <c r="BG816" s="44">
        <v>0</v>
      </c>
      <c r="BH816" s="44">
        <v>0.19291863000000001</v>
      </c>
      <c r="BI816" s="44">
        <v>0</v>
      </c>
      <c r="BJ816" s="44">
        <v>0.17819827099999999</v>
      </c>
      <c r="BK816" s="44">
        <v>0</v>
      </c>
      <c r="BL816" s="44">
        <v>0</v>
      </c>
      <c r="BM816" s="44">
        <v>0</v>
      </c>
      <c r="BN816" s="44">
        <v>0.87986774400000001</v>
      </c>
      <c r="BO816" s="44">
        <v>0</v>
      </c>
      <c r="BP816" s="44">
        <v>0</v>
      </c>
      <c r="BQ816" s="44">
        <v>0</v>
      </c>
      <c r="BR816" s="44">
        <v>0</v>
      </c>
      <c r="BS816" s="44">
        <v>0</v>
      </c>
      <c r="BT816" s="44">
        <v>0</v>
      </c>
      <c r="BU816" s="44">
        <v>0</v>
      </c>
      <c r="BV816" s="44">
        <v>0</v>
      </c>
      <c r="BW816" s="44">
        <v>0</v>
      </c>
      <c r="BX816" s="44">
        <v>0</v>
      </c>
      <c r="BY816" s="44">
        <v>0</v>
      </c>
      <c r="BZ816" s="44">
        <v>0</v>
      </c>
      <c r="CA816" s="44">
        <v>0</v>
      </c>
      <c r="CB816" s="44">
        <v>0</v>
      </c>
      <c r="CC816" s="44">
        <v>0</v>
      </c>
      <c r="CD816" s="44">
        <v>0</v>
      </c>
      <c r="CE816" s="44">
        <v>0</v>
      </c>
      <c r="CF816" s="44">
        <v>0</v>
      </c>
      <c r="CG816" s="44">
        <v>0</v>
      </c>
      <c r="CH816" s="44">
        <v>0</v>
      </c>
      <c r="CI816" s="44">
        <v>0</v>
      </c>
      <c r="CJ816" s="44">
        <v>0</v>
      </c>
      <c r="CK816" s="44">
        <v>0</v>
      </c>
      <c r="CL816" s="44">
        <v>0</v>
      </c>
      <c r="CM816" s="44">
        <v>0</v>
      </c>
      <c r="CN816" s="44">
        <v>0</v>
      </c>
      <c r="CO816" s="44">
        <v>0</v>
      </c>
      <c r="CP816" s="44">
        <v>0</v>
      </c>
      <c r="CQ816" s="44">
        <v>0</v>
      </c>
      <c r="CR816" s="44">
        <v>0</v>
      </c>
      <c r="CS816" s="44">
        <v>0</v>
      </c>
      <c r="CT816" s="44">
        <v>0</v>
      </c>
      <c r="CU816" s="44">
        <v>0</v>
      </c>
      <c r="CV816" s="44">
        <v>0</v>
      </c>
      <c r="CW816" s="44">
        <v>0</v>
      </c>
      <c r="CX816" s="44">
        <v>0</v>
      </c>
      <c r="CY816" s="44">
        <v>0</v>
      </c>
      <c r="CZ816" s="44">
        <v>0</v>
      </c>
      <c r="DA816" s="44">
        <v>0</v>
      </c>
      <c r="DB816" s="44">
        <v>0</v>
      </c>
      <c r="DC816" s="44">
        <v>0</v>
      </c>
      <c r="DD816" s="44">
        <v>0</v>
      </c>
      <c r="DE816" s="44">
        <v>0</v>
      </c>
      <c r="DF816" s="44">
        <v>0</v>
      </c>
      <c r="DG816" s="16">
        <f t="shared" si="69"/>
        <v>665.34312259800015</v>
      </c>
      <c r="DH816" s="16">
        <f t="shared" si="70"/>
        <v>9209.0988202080007</v>
      </c>
      <c r="DI816" s="17">
        <f t="shared" si="71"/>
        <v>13.841127243111419</v>
      </c>
      <c r="DJ816" s="119" t="s">
        <v>572</v>
      </c>
      <c r="DK816" s="44" t="s">
        <v>572</v>
      </c>
    </row>
    <row r="817" spans="1:115">
      <c r="A817" s="32" t="str">
        <f t="shared" si="67"/>
        <v>Ergon--&gt; 22 kV &amp; &lt; = 33 kV</v>
      </c>
      <c r="B817" s="32" t="str">
        <f t="shared" si="68"/>
        <v>Ergon</v>
      </c>
      <c r="C817" s="387"/>
      <c r="D817" s="44"/>
      <c r="E817" s="44" t="s">
        <v>182</v>
      </c>
      <c r="F817" s="44">
        <v>43.2</v>
      </c>
      <c r="G817" s="44">
        <v>6.57</v>
      </c>
      <c r="H817" s="44">
        <v>0.321069092</v>
      </c>
      <c r="I817" s="44">
        <v>2.5733138699999998</v>
      </c>
      <c r="J817" s="44">
        <v>7.3727940419999998</v>
      </c>
      <c r="K817" s="44">
        <v>6.1912333799999999</v>
      </c>
      <c r="L817" s="44">
        <v>6.0701676310000003</v>
      </c>
      <c r="M817" s="44">
        <v>0.84014858699999995</v>
      </c>
      <c r="N817" s="44">
        <v>1.350331859</v>
      </c>
      <c r="O817" s="44">
        <v>0.42997091599999998</v>
      </c>
      <c r="P817" s="44">
        <v>6.4424086330000003</v>
      </c>
      <c r="Q817" s="44">
        <v>1.5061105619999999</v>
      </c>
      <c r="R817" s="44">
        <v>0.26628141500000002</v>
      </c>
      <c r="S817" s="44">
        <v>2.4706895699999998</v>
      </c>
      <c r="T817" s="44">
        <v>0</v>
      </c>
      <c r="U817" s="44">
        <v>0</v>
      </c>
      <c r="V817" s="44">
        <v>0.32168507099999999</v>
      </c>
      <c r="W817" s="44">
        <v>0.195520585</v>
      </c>
      <c r="X817" s="44">
        <v>0.346312228</v>
      </c>
      <c r="Y817" s="44">
        <v>0</v>
      </c>
      <c r="Z817" s="44">
        <v>8.2487359999999996E-3</v>
      </c>
      <c r="AA817" s="44">
        <v>0.13703827900000001</v>
      </c>
      <c r="AB817" s="44">
        <v>0</v>
      </c>
      <c r="AC817" s="44">
        <v>6.3097506999999997E-2</v>
      </c>
      <c r="AD817" s="44">
        <v>0.26241913700000002</v>
      </c>
      <c r="AE817" s="44">
        <v>6.0370266999999998E-2</v>
      </c>
      <c r="AF817" s="44">
        <v>0.67937015000000001</v>
      </c>
      <c r="AG817" s="44">
        <v>4.3946067999999998E-2</v>
      </c>
      <c r="AH817" s="44">
        <v>0.131227133</v>
      </c>
      <c r="AI817" s="44">
        <v>8.9264288999999997E-2</v>
      </c>
      <c r="AJ817" s="44">
        <v>0.66840635000000004</v>
      </c>
      <c r="AK817" s="44">
        <v>0</v>
      </c>
      <c r="AL817" s="44">
        <v>0.300799174</v>
      </c>
      <c r="AM817" s="44">
        <v>1.2495911689999999</v>
      </c>
      <c r="AN817" s="44">
        <v>0.25522249200000002</v>
      </c>
      <c r="AO817" s="44">
        <v>0</v>
      </c>
      <c r="AP817" s="44">
        <v>0</v>
      </c>
      <c r="AQ817" s="44">
        <v>0</v>
      </c>
      <c r="AR817" s="44">
        <v>0</v>
      </c>
      <c r="AS817" s="44">
        <v>0</v>
      </c>
      <c r="AT817" s="44">
        <v>6.1695294240000003</v>
      </c>
      <c r="AU817" s="44">
        <v>1.4516743839999999</v>
      </c>
      <c r="AV817" s="44">
        <v>0.31533208800000001</v>
      </c>
      <c r="AW817" s="44">
        <v>0</v>
      </c>
      <c r="AX817" s="44">
        <v>0.51342300799999996</v>
      </c>
      <c r="AY817" s="44">
        <v>0</v>
      </c>
      <c r="AZ817" s="44">
        <v>0</v>
      </c>
      <c r="BA817" s="44">
        <v>9.4375167999999995E-2</v>
      </c>
      <c r="BB817" s="44">
        <v>0.36501588499999998</v>
      </c>
      <c r="BC817" s="44">
        <v>0</v>
      </c>
      <c r="BD817" s="44">
        <v>1.698520662</v>
      </c>
      <c r="BE817" s="44">
        <v>0</v>
      </c>
      <c r="BF817" s="44">
        <v>0</v>
      </c>
      <c r="BG817" s="44">
        <v>0</v>
      </c>
      <c r="BH817" s="44">
        <v>0</v>
      </c>
      <c r="BI817" s="44">
        <v>0</v>
      </c>
      <c r="BJ817" s="44">
        <v>0</v>
      </c>
      <c r="BK817" s="44">
        <v>0</v>
      </c>
      <c r="BL817" s="44">
        <v>0</v>
      </c>
      <c r="BM817" s="44">
        <v>0</v>
      </c>
      <c r="BN817" s="44">
        <v>0</v>
      </c>
      <c r="BO817" s="44">
        <v>0</v>
      </c>
      <c r="BP817" s="44">
        <v>0</v>
      </c>
      <c r="BQ817" s="44">
        <v>0</v>
      </c>
      <c r="BR817" s="44">
        <v>0</v>
      </c>
      <c r="BS817" s="44">
        <v>0</v>
      </c>
      <c r="BT817" s="44">
        <v>0</v>
      </c>
      <c r="BU817" s="44">
        <v>0</v>
      </c>
      <c r="BV817" s="44">
        <v>0</v>
      </c>
      <c r="BW817" s="44">
        <v>0</v>
      </c>
      <c r="BX817" s="44">
        <v>0</v>
      </c>
      <c r="BY817" s="44">
        <v>0</v>
      </c>
      <c r="BZ817" s="44">
        <v>0</v>
      </c>
      <c r="CA817" s="44">
        <v>0</v>
      </c>
      <c r="CB817" s="44">
        <v>0</v>
      </c>
      <c r="CC817" s="44">
        <v>0</v>
      </c>
      <c r="CD817" s="44">
        <v>0</v>
      </c>
      <c r="CE817" s="44">
        <v>0</v>
      </c>
      <c r="CF817" s="44">
        <v>0</v>
      </c>
      <c r="CG817" s="44">
        <v>0</v>
      </c>
      <c r="CH817" s="44">
        <v>0</v>
      </c>
      <c r="CI817" s="44">
        <v>0</v>
      </c>
      <c r="CJ817" s="44">
        <v>0</v>
      </c>
      <c r="CK817" s="44">
        <v>0</v>
      </c>
      <c r="CL817" s="44">
        <v>0</v>
      </c>
      <c r="CM817" s="44">
        <v>0</v>
      </c>
      <c r="CN817" s="44">
        <v>0</v>
      </c>
      <c r="CO817" s="44">
        <v>0</v>
      </c>
      <c r="CP817" s="44">
        <v>0</v>
      </c>
      <c r="CQ817" s="44">
        <v>0</v>
      </c>
      <c r="CR817" s="44">
        <v>0</v>
      </c>
      <c r="CS817" s="44">
        <v>0</v>
      </c>
      <c r="CT817" s="44">
        <v>0</v>
      </c>
      <c r="CU817" s="44">
        <v>0</v>
      </c>
      <c r="CV817" s="44">
        <v>0</v>
      </c>
      <c r="CW817" s="44">
        <v>0</v>
      </c>
      <c r="CX817" s="44">
        <v>0</v>
      </c>
      <c r="CY817" s="44">
        <v>0</v>
      </c>
      <c r="CZ817" s="44">
        <v>0</v>
      </c>
      <c r="DA817" s="44">
        <v>0</v>
      </c>
      <c r="DB817" s="44">
        <v>0</v>
      </c>
      <c r="DC817" s="44">
        <v>0</v>
      </c>
      <c r="DD817" s="44">
        <v>0</v>
      </c>
      <c r="DE817" s="44">
        <v>0</v>
      </c>
      <c r="DF817" s="44">
        <v>0</v>
      </c>
      <c r="DG817" s="16">
        <f t="shared" si="69"/>
        <v>51.254908810999993</v>
      </c>
      <c r="DH817" s="16">
        <f t="shared" si="70"/>
        <v>771.56220979399984</v>
      </c>
      <c r="DI817" s="17">
        <f t="shared" si="71"/>
        <v>15.053430543386552</v>
      </c>
      <c r="DJ817" s="119" t="s">
        <v>572</v>
      </c>
      <c r="DK817" s="44" t="s">
        <v>572</v>
      </c>
    </row>
    <row r="818" spans="1:115">
      <c r="A818" s="32" t="str">
        <f t="shared" si="67"/>
        <v>Ergon--&gt; 33 kV &amp; &lt; = 66 kV</v>
      </c>
      <c r="B818" s="32" t="str">
        <f t="shared" si="68"/>
        <v>Ergon</v>
      </c>
      <c r="C818" s="387"/>
      <c r="D818" s="44"/>
      <c r="E818" s="44" t="s">
        <v>183</v>
      </c>
      <c r="F818" s="44">
        <v>43.2</v>
      </c>
      <c r="G818" s="44">
        <v>6.57</v>
      </c>
      <c r="H818" s="44">
        <v>0</v>
      </c>
      <c r="I818" s="44">
        <v>0</v>
      </c>
      <c r="J818" s="44">
        <v>0</v>
      </c>
      <c r="K818" s="44">
        <v>1.252002209</v>
      </c>
      <c r="L818" s="44">
        <v>9.7864406240000008</v>
      </c>
      <c r="M818" s="44">
        <v>2.7882290169999999</v>
      </c>
      <c r="N818" s="44">
        <v>0.91168738900000001</v>
      </c>
      <c r="O818" s="44">
        <v>0</v>
      </c>
      <c r="P818" s="44">
        <v>0</v>
      </c>
      <c r="Q818" s="44">
        <v>0</v>
      </c>
      <c r="R818" s="44">
        <v>0</v>
      </c>
      <c r="S818" s="44">
        <v>0</v>
      </c>
      <c r="T818" s="44">
        <v>0</v>
      </c>
      <c r="U818" s="44">
        <v>0</v>
      </c>
      <c r="V818" s="44">
        <v>2.7011364709999999</v>
      </c>
      <c r="W818" s="44">
        <v>0</v>
      </c>
      <c r="X818" s="44">
        <v>0</v>
      </c>
      <c r="Y818" s="44">
        <v>0</v>
      </c>
      <c r="Z818" s="44">
        <v>0.166764775</v>
      </c>
      <c r="AA818" s="44">
        <v>0</v>
      </c>
      <c r="AB818" s="44">
        <v>0</v>
      </c>
      <c r="AC818" s="44">
        <v>0.17210542500000001</v>
      </c>
      <c r="AD818" s="44">
        <v>0</v>
      </c>
      <c r="AE818" s="44">
        <v>0.36726540800000002</v>
      </c>
      <c r="AF818" s="44">
        <v>0</v>
      </c>
      <c r="AG818" s="44">
        <v>0.37197214299999998</v>
      </c>
      <c r="AH818" s="44">
        <v>0.31341366399999998</v>
      </c>
      <c r="AI818" s="44">
        <v>0</v>
      </c>
      <c r="AJ818" s="44">
        <v>0</v>
      </c>
      <c r="AK818" s="44">
        <v>0</v>
      </c>
      <c r="AL818" s="44">
        <v>0</v>
      </c>
      <c r="AM818" s="44">
        <v>0</v>
      </c>
      <c r="AN818" s="44">
        <v>0</v>
      </c>
      <c r="AO818" s="44">
        <v>0</v>
      </c>
      <c r="AP818" s="44">
        <v>0</v>
      </c>
      <c r="AQ818" s="44">
        <v>0</v>
      </c>
      <c r="AR818" s="44">
        <v>0</v>
      </c>
      <c r="AS818" s="44">
        <v>0</v>
      </c>
      <c r="AT818" s="44">
        <v>0</v>
      </c>
      <c r="AU818" s="44">
        <v>0</v>
      </c>
      <c r="AV818" s="44">
        <v>0</v>
      </c>
      <c r="AW818" s="44">
        <v>0.74690720600000005</v>
      </c>
      <c r="AX818" s="44">
        <v>0</v>
      </c>
      <c r="AY818" s="44">
        <v>0</v>
      </c>
      <c r="AZ818" s="44">
        <v>0</v>
      </c>
      <c r="BA818" s="44">
        <v>0</v>
      </c>
      <c r="BB818" s="44">
        <v>0</v>
      </c>
      <c r="BC818" s="44">
        <v>0</v>
      </c>
      <c r="BD818" s="44">
        <v>0</v>
      </c>
      <c r="BE818" s="44">
        <v>0</v>
      </c>
      <c r="BF818" s="44">
        <v>0</v>
      </c>
      <c r="BG818" s="44">
        <v>0</v>
      </c>
      <c r="BH818" s="44">
        <v>0</v>
      </c>
      <c r="BI818" s="44">
        <v>0</v>
      </c>
      <c r="BJ818" s="44">
        <v>0</v>
      </c>
      <c r="BK818" s="44">
        <v>0</v>
      </c>
      <c r="BL818" s="44">
        <v>0</v>
      </c>
      <c r="BM818" s="44">
        <v>0</v>
      </c>
      <c r="BN818" s="44">
        <v>0</v>
      </c>
      <c r="BO818" s="44">
        <v>0</v>
      </c>
      <c r="BP818" s="44">
        <v>0</v>
      </c>
      <c r="BQ818" s="44">
        <v>0</v>
      </c>
      <c r="BR818" s="44">
        <v>0</v>
      </c>
      <c r="BS818" s="44">
        <v>0</v>
      </c>
      <c r="BT818" s="44">
        <v>0</v>
      </c>
      <c r="BU818" s="44">
        <v>0</v>
      </c>
      <c r="BV818" s="44">
        <v>0</v>
      </c>
      <c r="BW818" s="44">
        <v>0</v>
      </c>
      <c r="BX818" s="44">
        <v>0</v>
      </c>
      <c r="BY818" s="44">
        <v>0</v>
      </c>
      <c r="BZ818" s="44">
        <v>0</v>
      </c>
      <c r="CA818" s="44">
        <v>0</v>
      </c>
      <c r="CB818" s="44">
        <v>0</v>
      </c>
      <c r="CC818" s="44">
        <v>0</v>
      </c>
      <c r="CD818" s="44">
        <v>0</v>
      </c>
      <c r="CE818" s="44">
        <v>0</v>
      </c>
      <c r="CF818" s="44">
        <v>0</v>
      </c>
      <c r="CG818" s="44">
        <v>0</v>
      </c>
      <c r="CH818" s="44">
        <v>0</v>
      </c>
      <c r="CI818" s="44">
        <v>0</v>
      </c>
      <c r="CJ818" s="44">
        <v>0</v>
      </c>
      <c r="CK818" s="44">
        <v>0</v>
      </c>
      <c r="CL818" s="44">
        <v>0</v>
      </c>
      <c r="CM818" s="44">
        <v>0</v>
      </c>
      <c r="CN818" s="44">
        <v>0</v>
      </c>
      <c r="CO818" s="44">
        <v>0</v>
      </c>
      <c r="CP818" s="44">
        <v>0</v>
      </c>
      <c r="CQ818" s="44">
        <v>0</v>
      </c>
      <c r="CR818" s="44">
        <v>0</v>
      </c>
      <c r="CS818" s="44">
        <v>0</v>
      </c>
      <c r="CT818" s="44">
        <v>0</v>
      </c>
      <c r="CU818" s="44">
        <v>0</v>
      </c>
      <c r="CV818" s="44">
        <v>0</v>
      </c>
      <c r="CW818" s="44">
        <v>0</v>
      </c>
      <c r="CX818" s="44">
        <v>0</v>
      </c>
      <c r="CY818" s="44">
        <v>0</v>
      </c>
      <c r="CZ818" s="44">
        <v>0</v>
      </c>
      <c r="DA818" s="44">
        <v>0</v>
      </c>
      <c r="DB818" s="44">
        <v>0</v>
      </c>
      <c r="DC818" s="44">
        <v>0</v>
      </c>
      <c r="DD818" s="44">
        <v>0</v>
      </c>
      <c r="DE818" s="44">
        <v>0</v>
      </c>
      <c r="DF818" s="44">
        <v>0</v>
      </c>
      <c r="DG818" s="16">
        <f t="shared" si="69"/>
        <v>19.577924331000006</v>
      </c>
      <c r="DH818" s="16">
        <f t="shared" si="70"/>
        <v>182.84121201100004</v>
      </c>
      <c r="DI818" s="17">
        <f t="shared" si="71"/>
        <v>9.3391520428693386</v>
      </c>
      <c r="DJ818" s="119" t="s">
        <v>572</v>
      </c>
      <c r="DK818" s="44" t="s">
        <v>572</v>
      </c>
    </row>
    <row r="819" spans="1:115">
      <c r="A819" s="32" t="str">
        <f t="shared" si="67"/>
        <v>Ergon--&gt; 66 kV &amp; &lt; = 132 kV</v>
      </c>
      <c r="B819" s="32" t="str">
        <f t="shared" si="68"/>
        <v>Ergon</v>
      </c>
      <c r="C819" s="387"/>
      <c r="D819" s="44"/>
      <c r="E819" s="44" t="s">
        <v>175</v>
      </c>
      <c r="F819" s="44">
        <v>43.2</v>
      </c>
      <c r="G819" s="44">
        <v>6.57</v>
      </c>
      <c r="H819" s="44">
        <v>0</v>
      </c>
      <c r="I819" s="44">
        <v>0</v>
      </c>
      <c r="J819" s="44">
        <v>0</v>
      </c>
      <c r="K819" s="44">
        <v>0</v>
      </c>
      <c r="L819" s="44">
        <v>9.1319559039999998</v>
      </c>
      <c r="M819" s="44">
        <v>4.4592774000000002E-2</v>
      </c>
      <c r="N819" s="44">
        <v>0</v>
      </c>
      <c r="O819" s="44">
        <v>0</v>
      </c>
      <c r="P819" s="44">
        <v>0</v>
      </c>
      <c r="Q819" s="44">
        <v>0</v>
      </c>
      <c r="R819" s="44">
        <v>0</v>
      </c>
      <c r="S819" s="44">
        <v>0</v>
      </c>
      <c r="T819" s="44">
        <v>0</v>
      </c>
      <c r="U819" s="44">
        <v>0</v>
      </c>
      <c r="V819" s="44">
        <v>0</v>
      </c>
      <c r="W819" s="44">
        <v>0</v>
      </c>
      <c r="X819" s="44">
        <v>0</v>
      </c>
      <c r="Y819" s="44">
        <v>0</v>
      </c>
      <c r="Z819" s="44">
        <v>0</v>
      </c>
      <c r="AA819" s="44">
        <v>0</v>
      </c>
      <c r="AB819" s="44">
        <v>0</v>
      </c>
      <c r="AC819" s="44">
        <v>0</v>
      </c>
      <c r="AD819" s="44">
        <v>0</v>
      </c>
      <c r="AE819" s="44">
        <v>0</v>
      </c>
      <c r="AF819" s="44">
        <v>0</v>
      </c>
      <c r="AG819" s="44">
        <v>0</v>
      </c>
      <c r="AH819" s="44">
        <v>0</v>
      </c>
      <c r="AI819" s="44">
        <v>0</v>
      </c>
      <c r="AJ819" s="44">
        <v>0</v>
      </c>
      <c r="AK819" s="44">
        <v>0</v>
      </c>
      <c r="AL819" s="44">
        <v>0</v>
      </c>
      <c r="AM819" s="44">
        <v>0</v>
      </c>
      <c r="AN819" s="44">
        <v>0</v>
      </c>
      <c r="AO819" s="44">
        <v>0</v>
      </c>
      <c r="AP819" s="44">
        <v>0</v>
      </c>
      <c r="AQ819" s="44">
        <v>0</v>
      </c>
      <c r="AR819" s="44">
        <v>0</v>
      </c>
      <c r="AS819" s="44">
        <v>0</v>
      </c>
      <c r="AT819" s="44">
        <v>0</v>
      </c>
      <c r="AU819" s="44">
        <v>0</v>
      </c>
      <c r="AV819" s="44">
        <v>0</v>
      </c>
      <c r="AW819" s="44">
        <v>0</v>
      </c>
      <c r="AX819" s="44">
        <v>0</v>
      </c>
      <c r="AY819" s="44">
        <v>0</v>
      </c>
      <c r="AZ819" s="44">
        <v>0</v>
      </c>
      <c r="BA819" s="44">
        <v>0</v>
      </c>
      <c r="BB819" s="44">
        <v>0</v>
      </c>
      <c r="BC819" s="44">
        <v>0</v>
      </c>
      <c r="BD819" s="44">
        <v>0</v>
      </c>
      <c r="BE819" s="44">
        <v>0</v>
      </c>
      <c r="BF819" s="44">
        <v>0</v>
      </c>
      <c r="BG819" s="44">
        <v>0</v>
      </c>
      <c r="BH819" s="44">
        <v>0</v>
      </c>
      <c r="BI819" s="44">
        <v>0</v>
      </c>
      <c r="BJ819" s="44">
        <v>0</v>
      </c>
      <c r="BK819" s="44">
        <v>0</v>
      </c>
      <c r="BL819" s="44">
        <v>0</v>
      </c>
      <c r="BM819" s="44">
        <v>0</v>
      </c>
      <c r="BN819" s="44">
        <v>0</v>
      </c>
      <c r="BO819" s="44">
        <v>0</v>
      </c>
      <c r="BP819" s="44">
        <v>0</v>
      </c>
      <c r="BQ819" s="44">
        <v>0</v>
      </c>
      <c r="BR819" s="44">
        <v>0</v>
      </c>
      <c r="BS819" s="44">
        <v>0</v>
      </c>
      <c r="BT819" s="44">
        <v>0</v>
      </c>
      <c r="BU819" s="44">
        <v>0</v>
      </c>
      <c r="BV819" s="44">
        <v>0</v>
      </c>
      <c r="BW819" s="44">
        <v>0</v>
      </c>
      <c r="BX819" s="44">
        <v>0</v>
      </c>
      <c r="BY819" s="44">
        <v>0</v>
      </c>
      <c r="BZ819" s="44">
        <v>0</v>
      </c>
      <c r="CA819" s="44">
        <v>0</v>
      </c>
      <c r="CB819" s="44">
        <v>0</v>
      </c>
      <c r="CC819" s="44">
        <v>0</v>
      </c>
      <c r="CD819" s="44">
        <v>0</v>
      </c>
      <c r="CE819" s="44">
        <v>0</v>
      </c>
      <c r="CF819" s="44">
        <v>0</v>
      </c>
      <c r="CG819" s="44">
        <v>0</v>
      </c>
      <c r="CH819" s="44">
        <v>0</v>
      </c>
      <c r="CI819" s="44">
        <v>0</v>
      </c>
      <c r="CJ819" s="44">
        <v>0</v>
      </c>
      <c r="CK819" s="44">
        <v>0</v>
      </c>
      <c r="CL819" s="44">
        <v>0</v>
      </c>
      <c r="CM819" s="44">
        <v>0</v>
      </c>
      <c r="CN819" s="44">
        <v>0</v>
      </c>
      <c r="CO819" s="44">
        <v>0</v>
      </c>
      <c r="CP819" s="44">
        <v>0</v>
      </c>
      <c r="CQ819" s="44">
        <v>0</v>
      </c>
      <c r="CR819" s="44">
        <v>0</v>
      </c>
      <c r="CS819" s="44">
        <v>0</v>
      </c>
      <c r="CT819" s="44">
        <v>0</v>
      </c>
      <c r="CU819" s="44">
        <v>0</v>
      </c>
      <c r="CV819" s="44">
        <v>0</v>
      </c>
      <c r="CW819" s="44">
        <v>0</v>
      </c>
      <c r="CX819" s="44">
        <v>0</v>
      </c>
      <c r="CY819" s="44">
        <v>0</v>
      </c>
      <c r="CZ819" s="44">
        <v>0</v>
      </c>
      <c r="DA819" s="44">
        <v>0</v>
      </c>
      <c r="DB819" s="44">
        <v>0</v>
      </c>
      <c r="DC819" s="44">
        <v>0</v>
      </c>
      <c r="DD819" s="44">
        <v>0</v>
      </c>
      <c r="DE819" s="44">
        <v>0</v>
      </c>
      <c r="DF819" s="44">
        <v>0</v>
      </c>
      <c r="DG819" s="16">
        <f t="shared" si="69"/>
        <v>9.1765486779999996</v>
      </c>
      <c r="DH819" s="16">
        <f t="shared" si="70"/>
        <v>45.927336164000003</v>
      </c>
      <c r="DI819" s="17">
        <f t="shared" si="71"/>
        <v>5.0048594276088689</v>
      </c>
      <c r="DJ819" s="119" t="s">
        <v>572</v>
      </c>
      <c r="DK819" s="44" t="s">
        <v>572</v>
      </c>
    </row>
    <row r="820" spans="1:115">
      <c r="A820" s="32" t="str">
        <f t="shared" si="67"/>
        <v>Ergon--&gt;  132 kV</v>
      </c>
      <c r="B820" s="32" t="str">
        <f t="shared" si="68"/>
        <v>Ergon</v>
      </c>
      <c r="C820" s="387"/>
      <c r="D820" s="44"/>
      <c r="E820" s="44" t="s">
        <v>184</v>
      </c>
      <c r="F820" s="44">
        <v>43.2</v>
      </c>
      <c r="G820" s="44">
        <v>6.57</v>
      </c>
      <c r="H820" s="44">
        <v>0</v>
      </c>
      <c r="I820" s="44">
        <v>0</v>
      </c>
      <c r="J820" s="44">
        <v>0</v>
      </c>
      <c r="K820" s="44">
        <v>0</v>
      </c>
      <c r="L820" s="44">
        <v>0</v>
      </c>
      <c r="M820" s="44">
        <v>0</v>
      </c>
      <c r="N820" s="44">
        <v>0</v>
      </c>
      <c r="O820" s="44">
        <v>0</v>
      </c>
      <c r="P820" s="44">
        <v>0</v>
      </c>
      <c r="Q820" s="44">
        <v>0</v>
      </c>
      <c r="R820" s="44">
        <v>0</v>
      </c>
      <c r="S820" s="44">
        <v>0</v>
      </c>
      <c r="T820" s="44">
        <v>0</v>
      </c>
      <c r="U820" s="44">
        <v>0</v>
      </c>
      <c r="V820" s="44">
        <v>0</v>
      </c>
      <c r="W820" s="44">
        <v>0</v>
      </c>
      <c r="X820" s="44">
        <v>0</v>
      </c>
      <c r="Y820" s="44">
        <v>0</v>
      </c>
      <c r="Z820" s="44">
        <v>0</v>
      </c>
      <c r="AA820" s="44">
        <v>0</v>
      </c>
      <c r="AB820" s="44">
        <v>0</v>
      </c>
      <c r="AC820" s="44">
        <v>0</v>
      </c>
      <c r="AD820" s="44">
        <v>0</v>
      </c>
      <c r="AE820" s="44">
        <v>0</v>
      </c>
      <c r="AF820" s="44">
        <v>0</v>
      </c>
      <c r="AG820" s="44">
        <v>0</v>
      </c>
      <c r="AH820" s="44">
        <v>0</v>
      </c>
      <c r="AI820" s="44">
        <v>0</v>
      </c>
      <c r="AJ820" s="44">
        <v>0</v>
      </c>
      <c r="AK820" s="44">
        <v>0</v>
      </c>
      <c r="AL820" s="44">
        <v>0</v>
      </c>
      <c r="AM820" s="44">
        <v>0</v>
      </c>
      <c r="AN820" s="44">
        <v>0</v>
      </c>
      <c r="AO820" s="44">
        <v>0</v>
      </c>
      <c r="AP820" s="44">
        <v>0</v>
      </c>
      <c r="AQ820" s="44">
        <v>0</v>
      </c>
      <c r="AR820" s="44">
        <v>0</v>
      </c>
      <c r="AS820" s="44">
        <v>0</v>
      </c>
      <c r="AT820" s="44">
        <v>0</v>
      </c>
      <c r="AU820" s="44">
        <v>0</v>
      </c>
      <c r="AV820" s="44">
        <v>0</v>
      </c>
      <c r="AW820" s="44">
        <v>0</v>
      </c>
      <c r="AX820" s="44">
        <v>0</v>
      </c>
      <c r="AY820" s="44">
        <v>0</v>
      </c>
      <c r="AZ820" s="44">
        <v>0</v>
      </c>
      <c r="BA820" s="44">
        <v>0</v>
      </c>
      <c r="BB820" s="44">
        <v>0</v>
      </c>
      <c r="BC820" s="44">
        <v>0</v>
      </c>
      <c r="BD820" s="44">
        <v>0</v>
      </c>
      <c r="BE820" s="44">
        <v>0</v>
      </c>
      <c r="BF820" s="44">
        <v>0</v>
      </c>
      <c r="BG820" s="44">
        <v>0</v>
      </c>
      <c r="BH820" s="44">
        <v>0</v>
      </c>
      <c r="BI820" s="44">
        <v>0</v>
      </c>
      <c r="BJ820" s="44">
        <v>0</v>
      </c>
      <c r="BK820" s="44">
        <v>0</v>
      </c>
      <c r="BL820" s="44">
        <v>0</v>
      </c>
      <c r="BM820" s="44">
        <v>0</v>
      </c>
      <c r="BN820" s="44">
        <v>0</v>
      </c>
      <c r="BO820" s="44">
        <v>0</v>
      </c>
      <c r="BP820" s="44">
        <v>0</v>
      </c>
      <c r="BQ820" s="44">
        <v>0</v>
      </c>
      <c r="BR820" s="44">
        <v>0</v>
      </c>
      <c r="BS820" s="44">
        <v>0</v>
      </c>
      <c r="BT820" s="44">
        <v>0</v>
      </c>
      <c r="BU820" s="44">
        <v>0</v>
      </c>
      <c r="BV820" s="44">
        <v>0</v>
      </c>
      <c r="BW820" s="44">
        <v>0</v>
      </c>
      <c r="BX820" s="44">
        <v>0</v>
      </c>
      <c r="BY820" s="44">
        <v>0</v>
      </c>
      <c r="BZ820" s="44">
        <v>0</v>
      </c>
      <c r="CA820" s="44">
        <v>0</v>
      </c>
      <c r="CB820" s="44">
        <v>0</v>
      </c>
      <c r="CC820" s="44">
        <v>0</v>
      </c>
      <c r="CD820" s="44">
        <v>0</v>
      </c>
      <c r="CE820" s="44">
        <v>0</v>
      </c>
      <c r="CF820" s="44">
        <v>0</v>
      </c>
      <c r="CG820" s="44">
        <v>0</v>
      </c>
      <c r="CH820" s="44">
        <v>0</v>
      </c>
      <c r="CI820" s="44">
        <v>0</v>
      </c>
      <c r="CJ820" s="44">
        <v>0</v>
      </c>
      <c r="CK820" s="44">
        <v>0</v>
      </c>
      <c r="CL820" s="44">
        <v>0</v>
      </c>
      <c r="CM820" s="44">
        <v>0</v>
      </c>
      <c r="CN820" s="44">
        <v>0</v>
      </c>
      <c r="CO820" s="44">
        <v>0</v>
      </c>
      <c r="CP820" s="44">
        <v>0</v>
      </c>
      <c r="CQ820" s="44">
        <v>0</v>
      </c>
      <c r="CR820" s="44">
        <v>0</v>
      </c>
      <c r="CS820" s="44">
        <v>0</v>
      </c>
      <c r="CT820" s="44">
        <v>0</v>
      </c>
      <c r="CU820" s="44">
        <v>0</v>
      </c>
      <c r="CV820" s="44">
        <v>0</v>
      </c>
      <c r="CW820" s="44">
        <v>0</v>
      </c>
      <c r="CX820" s="44">
        <v>0</v>
      </c>
      <c r="CY820" s="44">
        <v>0</v>
      </c>
      <c r="CZ820" s="44">
        <v>0</v>
      </c>
      <c r="DA820" s="44">
        <v>0</v>
      </c>
      <c r="DB820" s="44">
        <v>0</v>
      </c>
      <c r="DC820" s="44">
        <v>0</v>
      </c>
      <c r="DD820" s="44">
        <v>0</v>
      </c>
      <c r="DE820" s="44">
        <v>0</v>
      </c>
      <c r="DF820" s="44">
        <v>0</v>
      </c>
      <c r="DG820" s="16">
        <f t="shared" si="69"/>
        <v>0</v>
      </c>
      <c r="DH820" s="16">
        <f t="shared" si="70"/>
        <v>0</v>
      </c>
      <c r="DI820" s="17" t="str">
        <f t="shared" si="71"/>
        <v/>
      </c>
      <c r="DJ820" s="119" t="s">
        <v>572</v>
      </c>
      <c r="DK820" s="44" t="s">
        <v>572</v>
      </c>
    </row>
    <row r="821" spans="1:115">
      <c r="A821" s="32" t="str">
        <f t="shared" si="67"/>
        <v>Ergon--OTHER - PLEASE ADD A ROW IF NECESSARY AND NOMINATE THE CATEGORY</v>
      </c>
      <c r="B821" s="32" t="str">
        <f t="shared" si="68"/>
        <v>Ergon</v>
      </c>
      <c r="C821" s="387"/>
      <c r="D821" s="44"/>
      <c r="E821" s="44" t="s">
        <v>170</v>
      </c>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c r="BL821" s="44"/>
      <c r="BM821" s="44"/>
      <c r="BN821" s="44"/>
      <c r="BO821" s="44"/>
      <c r="BP821" s="44"/>
      <c r="BQ821" s="44"/>
      <c r="BR821" s="44"/>
      <c r="BS821" s="44"/>
      <c r="BT821" s="44"/>
      <c r="BU821" s="44"/>
      <c r="BV821" s="44"/>
      <c r="BW821" s="44"/>
      <c r="BX821" s="44"/>
      <c r="BY821" s="44"/>
      <c r="BZ821" s="44"/>
      <c r="CA821" s="44"/>
      <c r="CB821" s="44"/>
      <c r="CC821" s="44"/>
      <c r="CD821" s="44"/>
      <c r="CE821" s="44"/>
      <c r="CF821" s="44"/>
      <c r="CG821" s="44"/>
      <c r="CH821" s="44"/>
      <c r="CI821" s="44"/>
      <c r="CJ821" s="44"/>
      <c r="CK821" s="44"/>
      <c r="CL821" s="44"/>
      <c r="CM821" s="44"/>
      <c r="CN821" s="44"/>
      <c r="CO821" s="44"/>
      <c r="CP821" s="44"/>
      <c r="CQ821" s="44"/>
      <c r="CR821" s="44"/>
      <c r="CS821" s="44"/>
      <c r="CT821" s="44"/>
      <c r="CU821" s="44"/>
      <c r="CV821" s="44"/>
      <c r="CW821" s="44"/>
      <c r="CX821" s="44"/>
      <c r="CY821" s="44"/>
      <c r="CZ821" s="44"/>
      <c r="DA821" s="44"/>
      <c r="DB821" s="44"/>
      <c r="DC821" s="44"/>
      <c r="DD821" s="44"/>
      <c r="DE821" s="44"/>
      <c r="DF821" s="44"/>
      <c r="DG821" s="16">
        <f t="shared" si="69"/>
        <v>0</v>
      </c>
      <c r="DH821" s="16">
        <f t="shared" si="70"/>
        <v>0</v>
      </c>
      <c r="DI821" s="17" t="str">
        <f t="shared" si="71"/>
        <v/>
      </c>
      <c r="DJ821" s="119" t="s">
        <v>572</v>
      </c>
      <c r="DK821" s="44" t="s">
        <v>572</v>
      </c>
    </row>
    <row r="822" spans="1:115" ht="60">
      <c r="A822" s="32" t="str">
        <f t="shared" si="67"/>
        <v xml:space="preserve">Ergon-SERVICE LINES BY: 
CONNECTION VOLTAGE; CUSTOMER TYPE; CONNECTION COMPLEXITY -˂ = 11 kV ; RESIDENTIAL ; SIMPLE TYPE </v>
      </c>
      <c r="B822" s="32" t="str">
        <f t="shared" si="68"/>
        <v>Ergon</v>
      </c>
      <c r="C822" s="387"/>
      <c r="D822" s="31" t="s">
        <v>541</v>
      </c>
      <c r="E822" s="44" t="s">
        <v>186</v>
      </c>
      <c r="F822" s="44">
        <v>36</v>
      </c>
      <c r="G822" s="44">
        <v>6</v>
      </c>
      <c r="H822" s="44">
        <v>624.78396650000002</v>
      </c>
      <c r="I822" s="44">
        <v>2820.6266449999998</v>
      </c>
      <c r="J822" s="44">
        <v>2891.395055</v>
      </c>
      <c r="K822" s="44">
        <v>3173.4577199999999</v>
      </c>
      <c r="L822" s="44">
        <v>3482.8167709999998</v>
      </c>
      <c r="M822" s="44">
        <v>4358.3231059999998</v>
      </c>
      <c r="N822" s="44">
        <v>6822.0747659999997</v>
      </c>
      <c r="O822" s="44">
        <v>7638.944418</v>
      </c>
      <c r="P822" s="44">
        <v>8502.3190259999992</v>
      </c>
      <c r="Q822" s="44">
        <v>8828.8646910000007</v>
      </c>
      <c r="R822" s="44">
        <v>7087.9617939999998</v>
      </c>
      <c r="S822" s="44">
        <v>7389.2330270000002</v>
      </c>
      <c r="T822" s="44">
        <v>6961.5896329999996</v>
      </c>
      <c r="U822" s="44">
        <v>6501.5949650000002</v>
      </c>
      <c r="V822" s="44">
        <v>5937.4696359999998</v>
      </c>
      <c r="W822" s="44">
        <v>6503.6169190000001</v>
      </c>
      <c r="X822" s="44">
        <v>6226.6091409999999</v>
      </c>
      <c r="Y822" s="44">
        <v>7113.236226</v>
      </c>
      <c r="Z822" s="44">
        <v>8099.9500630000002</v>
      </c>
      <c r="AA822" s="44">
        <v>7338.6841629999999</v>
      </c>
      <c r="AB822" s="44">
        <v>7396.3098680000003</v>
      </c>
      <c r="AC822" s="44">
        <v>8824.8207820000007</v>
      </c>
      <c r="AD822" s="44">
        <v>8052.434131</v>
      </c>
      <c r="AE822" s="44">
        <v>7747.1189889999996</v>
      </c>
      <c r="AF822" s="44">
        <v>7174.9058409999998</v>
      </c>
      <c r="AG822" s="44">
        <v>5934.4367039999997</v>
      </c>
      <c r="AH822" s="44">
        <v>5324.8173969999998</v>
      </c>
      <c r="AI822" s="44">
        <v>8015.0279710000004</v>
      </c>
      <c r="AJ822" s="44">
        <v>10266.474399999999</v>
      </c>
      <c r="AK822" s="44">
        <v>9757.9528219999993</v>
      </c>
      <c r="AL822" s="44">
        <v>8090.8512680000003</v>
      </c>
      <c r="AM822" s="44">
        <v>11669.710880000001</v>
      </c>
      <c r="AN822" s="44">
        <v>9631.580661</v>
      </c>
      <c r="AO822" s="44">
        <v>8311.2443170000006</v>
      </c>
      <c r="AP822" s="44">
        <v>6284.2348469999997</v>
      </c>
      <c r="AQ822" s="44">
        <v>7937.1827190000004</v>
      </c>
      <c r="AR822" s="44">
        <v>8957.2588070000002</v>
      </c>
      <c r="AS822" s="44">
        <v>8805.6122130000003</v>
      </c>
      <c r="AT822" s="44">
        <v>8825.8317590000006</v>
      </c>
      <c r="AU822" s="44">
        <v>9680.1075710000005</v>
      </c>
      <c r="AV822" s="44">
        <v>8004.9181980000003</v>
      </c>
      <c r="AW822" s="44">
        <v>8025.1377439999997</v>
      </c>
      <c r="AX822" s="44">
        <v>8235.4210210000001</v>
      </c>
      <c r="AY822" s="44">
        <v>8886.4903969999996</v>
      </c>
      <c r="AZ822" s="44">
        <v>7742.0641020000003</v>
      </c>
      <c r="BA822" s="44">
        <v>6559.2206699999997</v>
      </c>
      <c r="BB822" s="44">
        <v>4954.7997079999996</v>
      </c>
      <c r="BC822" s="44">
        <v>4909.30573</v>
      </c>
      <c r="BD822" s="44">
        <v>4291.5986050000001</v>
      </c>
      <c r="BE822" s="44">
        <v>3216.9297430000001</v>
      </c>
      <c r="BF822" s="44">
        <v>3145.1503550000002</v>
      </c>
      <c r="BG822" s="44">
        <v>1039.284656</v>
      </c>
      <c r="BH822" s="44">
        <v>1027.1529290000001</v>
      </c>
      <c r="BI822" s="44">
        <v>965.48331389999998</v>
      </c>
      <c r="BJ822" s="44">
        <v>971.54917760000001</v>
      </c>
      <c r="BK822" s="44">
        <v>865.39656190000005</v>
      </c>
      <c r="BL822" s="44">
        <v>923.02226759999996</v>
      </c>
      <c r="BM822" s="44">
        <v>884.60513049999997</v>
      </c>
      <c r="BN822" s="44">
        <v>838.1001751</v>
      </c>
      <c r="BO822" s="44">
        <v>967.50526839999998</v>
      </c>
      <c r="BP822" s="44">
        <v>877.52828939999995</v>
      </c>
      <c r="BQ822" s="44">
        <v>868.42949380000005</v>
      </c>
      <c r="BR822" s="44">
        <v>838.1001751</v>
      </c>
      <c r="BS822" s="44">
        <v>845.17701609999995</v>
      </c>
      <c r="BT822" s="44">
        <v>9.0987956279999995</v>
      </c>
      <c r="BU822" s="44">
        <v>1.010977292</v>
      </c>
      <c r="BV822" s="44">
        <v>97.053820029999997</v>
      </c>
      <c r="BW822" s="44">
        <v>0</v>
      </c>
      <c r="BX822" s="44">
        <v>0</v>
      </c>
      <c r="BY822" s="44">
        <v>0</v>
      </c>
      <c r="BZ822" s="44">
        <v>0</v>
      </c>
      <c r="CA822" s="44">
        <v>0</v>
      </c>
      <c r="CB822" s="44">
        <v>0</v>
      </c>
      <c r="CC822" s="44">
        <v>0</v>
      </c>
      <c r="CD822" s="44">
        <v>0</v>
      </c>
      <c r="CE822" s="44">
        <v>0</v>
      </c>
      <c r="CF822" s="44">
        <v>0</v>
      </c>
      <c r="CG822" s="44">
        <v>0</v>
      </c>
      <c r="CH822" s="44">
        <v>0</v>
      </c>
      <c r="CI822" s="44">
        <v>0</v>
      </c>
      <c r="CJ822" s="44">
        <v>0</v>
      </c>
      <c r="CK822" s="44">
        <v>0</v>
      </c>
      <c r="CL822" s="44">
        <v>0</v>
      </c>
      <c r="CM822" s="44">
        <v>0</v>
      </c>
      <c r="CN822" s="44">
        <v>0</v>
      </c>
      <c r="CO822" s="44">
        <v>0</v>
      </c>
      <c r="CP822" s="44">
        <v>0</v>
      </c>
      <c r="CQ822" s="44">
        <v>0</v>
      </c>
      <c r="CR822" s="44">
        <v>0</v>
      </c>
      <c r="CS822" s="44">
        <v>0</v>
      </c>
      <c r="CT822" s="44">
        <v>0</v>
      </c>
      <c r="CU822" s="44">
        <v>0</v>
      </c>
      <c r="CV822" s="44">
        <v>0</v>
      </c>
      <c r="CW822" s="44">
        <v>0</v>
      </c>
      <c r="CX822" s="44">
        <v>0</v>
      </c>
      <c r="CY822" s="44">
        <v>0</v>
      </c>
      <c r="CZ822" s="44">
        <v>0</v>
      </c>
      <c r="DA822" s="44">
        <v>0</v>
      </c>
      <c r="DB822" s="44">
        <v>0</v>
      </c>
      <c r="DC822" s="44">
        <v>0</v>
      </c>
      <c r="DD822" s="44">
        <v>0</v>
      </c>
      <c r="DE822" s="44">
        <v>0</v>
      </c>
      <c r="DF822" s="44">
        <v>0</v>
      </c>
      <c r="DG822" s="16">
        <f t="shared" si="69"/>
        <v>364980.99999884987</v>
      </c>
      <c r="DH822" s="16">
        <f t="shared" si="70"/>
        <v>10317371.040908406</v>
      </c>
      <c r="DI822" s="17">
        <f t="shared" si="71"/>
        <v>28.268241472681915</v>
      </c>
      <c r="DJ822" s="119" t="s">
        <v>719</v>
      </c>
      <c r="DK822" t="s">
        <v>719</v>
      </c>
    </row>
    <row r="823" spans="1:115">
      <c r="A823" s="32" t="str">
        <f t="shared" si="67"/>
        <v xml:space="preserve">Ergon--˂ = 11 kV ; COMMERCIAL &amp; INDUSTRIAL ; SIMPLE TYPE </v>
      </c>
      <c r="B823" s="32" t="str">
        <f t="shared" si="68"/>
        <v>Ergon</v>
      </c>
      <c r="C823" s="387"/>
      <c r="D823" s="44"/>
      <c r="E823" s="44" t="s">
        <v>187</v>
      </c>
      <c r="F823" s="44">
        <v>36</v>
      </c>
      <c r="G823" s="44">
        <v>6</v>
      </c>
      <c r="H823" s="44">
        <v>86.04273379</v>
      </c>
      <c r="I823" s="44">
        <v>335.97638910000001</v>
      </c>
      <c r="J823" s="44">
        <v>354.41411779999999</v>
      </c>
      <c r="K823" s="44">
        <v>486.55117319999999</v>
      </c>
      <c r="L823" s="44">
        <v>577.71549830000004</v>
      </c>
      <c r="M823" s="44">
        <v>824.57619880000004</v>
      </c>
      <c r="N823" s="44">
        <v>1242.498049</v>
      </c>
      <c r="O823" s="44">
        <v>1043.7803060000001</v>
      </c>
      <c r="P823" s="44">
        <v>1105.2394019999999</v>
      </c>
      <c r="Q823" s="44">
        <v>995.63734820000002</v>
      </c>
      <c r="R823" s="44">
        <v>991.54007509999997</v>
      </c>
      <c r="S823" s="44">
        <v>1041.7316699999999</v>
      </c>
      <c r="T823" s="44">
        <v>1002.807576</v>
      </c>
      <c r="U823" s="44">
        <v>952.61598130000004</v>
      </c>
      <c r="V823" s="44">
        <v>866.57324749999998</v>
      </c>
      <c r="W823" s="44">
        <v>943.39711690000001</v>
      </c>
      <c r="X823" s="44">
        <v>909.59461439999995</v>
      </c>
      <c r="Y823" s="44">
        <v>1092.9475829999999</v>
      </c>
      <c r="Z823" s="44">
        <v>1295.762598</v>
      </c>
      <c r="AA823" s="44">
        <v>970.02939170000002</v>
      </c>
      <c r="AB823" s="44">
        <v>876.81643010000005</v>
      </c>
      <c r="AC823" s="44">
        <v>952.61598130000004</v>
      </c>
      <c r="AD823" s="44">
        <v>858.37870139999995</v>
      </c>
      <c r="AE823" s="44">
        <v>922.91075169999999</v>
      </c>
      <c r="AF823" s="44">
        <v>931.10529780000002</v>
      </c>
      <c r="AG823" s="44">
        <v>700.63368939999998</v>
      </c>
      <c r="AH823" s="44">
        <v>831.74642670000003</v>
      </c>
      <c r="AI823" s="44">
        <v>994.61302990000002</v>
      </c>
      <c r="AJ823" s="44">
        <v>1187.184863</v>
      </c>
      <c r="AK823" s="44">
        <v>1080.6557640000001</v>
      </c>
      <c r="AL823" s="44">
        <v>825.60051710000005</v>
      </c>
      <c r="AM823" s="44">
        <v>1022.269623</v>
      </c>
      <c r="AN823" s="44">
        <v>1021.245305</v>
      </c>
      <c r="AO823" s="44">
        <v>947.49438999999995</v>
      </c>
      <c r="AP823" s="44">
        <v>678.09868770000003</v>
      </c>
      <c r="AQ823" s="44">
        <v>871.69483879999996</v>
      </c>
      <c r="AR823" s="44">
        <v>791.79801450000002</v>
      </c>
      <c r="AS823" s="44">
        <v>720.09573639999996</v>
      </c>
      <c r="AT823" s="44">
        <v>647.36914000000002</v>
      </c>
      <c r="AU823" s="44">
        <v>657.61232259999997</v>
      </c>
      <c r="AV823" s="44">
        <v>648.39345820000005</v>
      </c>
      <c r="AW823" s="44">
        <v>671.95277820000001</v>
      </c>
      <c r="AX823" s="44">
        <v>703.70664420000003</v>
      </c>
      <c r="AY823" s="44">
        <v>785.65210500000001</v>
      </c>
      <c r="AZ823" s="44">
        <v>775.40892240000005</v>
      </c>
      <c r="BA823" s="44">
        <v>648.39345820000005</v>
      </c>
      <c r="BB823" s="44">
        <v>503.96458360000003</v>
      </c>
      <c r="BC823" s="44">
        <v>480.40526369999998</v>
      </c>
      <c r="BD823" s="44">
        <v>422.01912290000001</v>
      </c>
      <c r="BE823" s="44">
        <v>360.5600273</v>
      </c>
      <c r="BF823" s="44">
        <v>305.24684130000003</v>
      </c>
      <c r="BG823" s="44">
        <v>95.261598129999996</v>
      </c>
      <c r="BH823" s="44">
        <v>80.921142489999994</v>
      </c>
      <c r="BI823" s="44">
        <v>82.969779009999996</v>
      </c>
      <c r="BJ823" s="44">
        <v>74.775232939999995</v>
      </c>
      <c r="BK823" s="44">
        <v>67.605005120000001</v>
      </c>
      <c r="BL823" s="44">
        <v>70.677959900000005</v>
      </c>
      <c r="BM823" s="44">
        <v>87.067052050000001</v>
      </c>
      <c r="BN823" s="44">
        <v>63.507732079999997</v>
      </c>
      <c r="BO823" s="44">
        <v>82.969779009999996</v>
      </c>
      <c r="BP823" s="44">
        <v>87.067052050000001</v>
      </c>
      <c r="BQ823" s="44">
        <v>111.65069029999999</v>
      </c>
      <c r="BR823" s="44">
        <v>59.41045905</v>
      </c>
      <c r="BS823" s="44">
        <v>80.921142489999994</v>
      </c>
      <c r="BT823" s="44">
        <v>2.048636519</v>
      </c>
      <c r="BU823" s="44">
        <v>0</v>
      </c>
      <c r="BV823" s="44">
        <v>3.0729547780000002</v>
      </c>
      <c r="BW823" s="44">
        <v>0</v>
      </c>
      <c r="BX823" s="44">
        <v>0</v>
      </c>
      <c r="BY823" s="44">
        <v>0</v>
      </c>
      <c r="BZ823" s="44">
        <v>0</v>
      </c>
      <c r="CA823" s="44">
        <v>0</v>
      </c>
      <c r="CB823" s="44">
        <v>0</v>
      </c>
      <c r="CC823" s="44">
        <v>0</v>
      </c>
      <c r="CD823" s="44">
        <v>0</v>
      </c>
      <c r="CE823" s="44">
        <v>0</v>
      </c>
      <c r="CF823" s="44">
        <v>0</v>
      </c>
      <c r="CG823" s="44">
        <v>0</v>
      </c>
      <c r="CH823" s="44">
        <v>0</v>
      </c>
      <c r="CI823" s="44">
        <v>0</v>
      </c>
      <c r="CJ823" s="44">
        <v>0</v>
      </c>
      <c r="CK823" s="44">
        <v>0</v>
      </c>
      <c r="CL823" s="44">
        <v>0</v>
      </c>
      <c r="CM823" s="44">
        <v>0</v>
      </c>
      <c r="CN823" s="44">
        <v>0</v>
      </c>
      <c r="CO823" s="44">
        <v>0</v>
      </c>
      <c r="CP823" s="44">
        <v>0</v>
      </c>
      <c r="CQ823" s="44">
        <v>0</v>
      </c>
      <c r="CR823" s="44">
        <v>0</v>
      </c>
      <c r="CS823" s="44">
        <v>0</v>
      </c>
      <c r="CT823" s="44">
        <v>0</v>
      </c>
      <c r="CU823" s="44">
        <v>0</v>
      </c>
      <c r="CV823" s="44">
        <v>0</v>
      </c>
      <c r="CW823" s="44">
        <v>0</v>
      </c>
      <c r="CX823" s="44">
        <v>0</v>
      </c>
      <c r="CY823" s="44">
        <v>0</v>
      </c>
      <c r="CZ823" s="44">
        <v>0</v>
      </c>
      <c r="DA823" s="44">
        <v>0</v>
      </c>
      <c r="DB823" s="44">
        <v>0</v>
      </c>
      <c r="DC823" s="44">
        <v>0</v>
      </c>
      <c r="DD823" s="44">
        <v>0</v>
      </c>
      <c r="DE823" s="44">
        <v>0</v>
      </c>
      <c r="DF823" s="44">
        <v>0</v>
      </c>
      <c r="DG823" s="16">
        <f t="shared" si="69"/>
        <v>41995.000001406996</v>
      </c>
      <c r="DH823" s="16">
        <f t="shared" si="70"/>
        <v>1079338.4904526209</v>
      </c>
      <c r="DI823" s="17">
        <f t="shared" si="71"/>
        <v>25.701595199820428</v>
      </c>
      <c r="DJ823" s="119" t="s">
        <v>719</v>
      </c>
      <c r="DK823" s="44" t="s">
        <v>719</v>
      </c>
    </row>
    <row r="824" spans="1:115">
      <c r="A824" s="32" t="str">
        <f t="shared" si="67"/>
        <v xml:space="preserve">Ergon--˂ = 11 kV ; RESIDENTIAL ; COMPLEX TYPE </v>
      </c>
      <c r="B824" s="32" t="str">
        <f t="shared" si="68"/>
        <v>Ergon</v>
      </c>
      <c r="C824" s="387"/>
      <c r="D824" s="44"/>
      <c r="E824" s="44" t="s">
        <v>188</v>
      </c>
      <c r="F824" s="44">
        <v>36</v>
      </c>
      <c r="G824" s="44">
        <v>6</v>
      </c>
      <c r="H824" s="44">
        <v>0</v>
      </c>
      <c r="I824" s="44">
        <v>0</v>
      </c>
      <c r="J824" s="44">
        <v>0</v>
      </c>
      <c r="K824" s="44">
        <v>0</v>
      </c>
      <c r="L824" s="44">
        <v>0</v>
      </c>
      <c r="M824" s="44">
        <v>0</v>
      </c>
      <c r="N824" s="44">
        <v>0</v>
      </c>
      <c r="O824" s="44">
        <v>0</v>
      </c>
      <c r="P824" s="44">
        <v>0</v>
      </c>
      <c r="Q824" s="44">
        <v>0</v>
      </c>
      <c r="R824" s="44">
        <v>0</v>
      </c>
      <c r="S824" s="44">
        <v>0</v>
      </c>
      <c r="T824" s="44">
        <v>0</v>
      </c>
      <c r="U824" s="44">
        <v>0</v>
      </c>
      <c r="V824" s="44">
        <v>0</v>
      </c>
      <c r="W824" s="44">
        <v>0</v>
      </c>
      <c r="X824" s="44">
        <v>0</v>
      </c>
      <c r="Y824" s="44">
        <v>0</v>
      </c>
      <c r="Z824" s="44">
        <v>0</v>
      </c>
      <c r="AA824" s="44">
        <v>0</v>
      </c>
      <c r="AB824" s="44">
        <v>0</v>
      </c>
      <c r="AC824" s="44">
        <v>0</v>
      </c>
      <c r="AD824" s="44">
        <v>0</v>
      </c>
      <c r="AE824" s="44">
        <v>0</v>
      </c>
      <c r="AF824" s="44">
        <v>0</v>
      </c>
      <c r="AG824" s="44">
        <v>0</v>
      </c>
      <c r="AH824" s="44">
        <v>0</v>
      </c>
      <c r="AI824" s="44">
        <v>0</v>
      </c>
      <c r="AJ824" s="44">
        <v>0</v>
      </c>
      <c r="AK824" s="44">
        <v>0</v>
      </c>
      <c r="AL824" s="44">
        <v>0</v>
      </c>
      <c r="AM824" s="44">
        <v>0</v>
      </c>
      <c r="AN824" s="44">
        <v>0</v>
      </c>
      <c r="AO824" s="44">
        <v>0</v>
      </c>
      <c r="AP824" s="44">
        <v>0</v>
      </c>
      <c r="AQ824" s="44">
        <v>0</v>
      </c>
      <c r="AR824" s="44">
        <v>0</v>
      </c>
      <c r="AS824" s="44">
        <v>0</v>
      </c>
      <c r="AT824" s="44">
        <v>0</v>
      </c>
      <c r="AU824" s="44">
        <v>0</v>
      </c>
      <c r="AV824" s="44">
        <v>0</v>
      </c>
      <c r="AW824" s="44">
        <v>0</v>
      </c>
      <c r="AX824" s="44">
        <v>0</v>
      </c>
      <c r="AY824" s="44">
        <v>0</v>
      </c>
      <c r="AZ824" s="44">
        <v>0</v>
      </c>
      <c r="BA824" s="44">
        <v>0</v>
      </c>
      <c r="BB824" s="44">
        <v>0</v>
      </c>
      <c r="BC824" s="44">
        <v>0</v>
      </c>
      <c r="BD824" s="44">
        <v>0</v>
      </c>
      <c r="BE824" s="44">
        <v>0</v>
      </c>
      <c r="BF824" s="44">
        <v>0</v>
      </c>
      <c r="BG824" s="44">
        <v>0</v>
      </c>
      <c r="BH824" s="44">
        <v>0</v>
      </c>
      <c r="BI824" s="44">
        <v>0</v>
      </c>
      <c r="BJ824" s="44">
        <v>0</v>
      </c>
      <c r="BK824" s="44">
        <v>0</v>
      </c>
      <c r="BL824" s="44">
        <v>0</v>
      </c>
      <c r="BM824" s="44">
        <v>0</v>
      </c>
      <c r="BN824" s="44">
        <v>0</v>
      </c>
      <c r="BO824" s="44">
        <v>0</v>
      </c>
      <c r="BP824" s="44">
        <v>0</v>
      </c>
      <c r="BQ824" s="44">
        <v>0</v>
      </c>
      <c r="BR824" s="44">
        <v>0</v>
      </c>
      <c r="BS824" s="44">
        <v>0</v>
      </c>
      <c r="BT824" s="44">
        <v>0</v>
      </c>
      <c r="BU824" s="44">
        <v>0</v>
      </c>
      <c r="BV824" s="44">
        <v>0</v>
      </c>
      <c r="BW824" s="44">
        <v>0</v>
      </c>
      <c r="BX824" s="44">
        <v>0</v>
      </c>
      <c r="BY824" s="44">
        <v>0</v>
      </c>
      <c r="BZ824" s="44">
        <v>0</v>
      </c>
      <c r="CA824" s="44">
        <v>0</v>
      </c>
      <c r="CB824" s="44">
        <v>0</v>
      </c>
      <c r="CC824" s="44">
        <v>0</v>
      </c>
      <c r="CD824" s="44">
        <v>0</v>
      </c>
      <c r="CE824" s="44">
        <v>0</v>
      </c>
      <c r="CF824" s="44">
        <v>0</v>
      </c>
      <c r="CG824" s="44">
        <v>0</v>
      </c>
      <c r="CH824" s="44">
        <v>0</v>
      </c>
      <c r="CI824" s="44">
        <v>0</v>
      </c>
      <c r="CJ824" s="44">
        <v>0</v>
      </c>
      <c r="CK824" s="44">
        <v>0</v>
      </c>
      <c r="CL824" s="44">
        <v>0</v>
      </c>
      <c r="CM824" s="44">
        <v>0</v>
      </c>
      <c r="CN824" s="44">
        <v>0</v>
      </c>
      <c r="CO824" s="44">
        <v>0</v>
      </c>
      <c r="CP824" s="44">
        <v>0</v>
      </c>
      <c r="CQ824" s="44">
        <v>0</v>
      </c>
      <c r="CR824" s="44">
        <v>0</v>
      </c>
      <c r="CS824" s="44">
        <v>0</v>
      </c>
      <c r="CT824" s="44">
        <v>0</v>
      </c>
      <c r="CU824" s="44">
        <v>0</v>
      </c>
      <c r="CV824" s="44">
        <v>0</v>
      </c>
      <c r="CW824" s="44">
        <v>0</v>
      </c>
      <c r="CX824" s="44">
        <v>0</v>
      </c>
      <c r="CY824" s="44">
        <v>0</v>
      </c>
      <c r="CZ824" s="44">
        <v>0</v>
      </c>
      <c r="DA824" s="44">
        <v>0</v>
      </c>
      <c r="DB824" s="44">
        <v>0</v>
      </c>
      <c r="DC824" s="44">
        <v>0</v>
      </c>
      <c r="DD824" s="44">
        <v>0</v>
      </c>
      <c r="DE824" s="44">
        <v>0</v>
      </c>
      <c r="DF824" s="44">
        <v>0</v>
      </c>
      <c r="DG824" s="16">
        <f t="shared" si="69"/>
        <v>0</v>
      </c>
      <c r="DH824" s="16">
        <f t="shared" si="70"/>
        <v>0</v>
      </c>
      <c r="DI824" s="17" t="str">
        <f t="shared" si="71"/>
        <v/>
      </c>
      <c r="DJ824" s="119" t="s">
        <v>719</v>
      </c>
      <c r="DK824" s="44" t="s">
        <v>719</v>
      </c>
    </row>
    <row r="825" spans="1:115">
      <c r="A825" s="32" t="str">
        <f t="shared" si="67"/>
        <v xml:space="preserve">Ergon--˂ = 11 kV ; COMMERCIAL &amp; INDUSTRIAL ; COMPLEX TYPE </v>
      </c>
      <c r="B825" s="32" t="str">
        <f t="shared" si="68"/>
        <v>Ergon</v>
      </c>
      <c r="C825" s="387"/>
      <c r="D825" s="44"/>
      <c r="E825" s="44" t="s">
        <v>189</v>
      </c>
      <c r="F825" s="44">
        <v>36</v>
      </c>
      <c r="G825" s="44">
        <v>6</v>
      </c>
      <c r="H825" s="44">
        <v>0</v>
      </c>
      <c r="I825" s="44">
        <v>0</v>
      </c>
      <c r="J825" s="44">
        <v>0</v>
      </c>
      <c r="K825" s="44">
        <v>0</v>
      </c>
      <c r="L825" s="44">
        <v>0</v>
      </c>
      <c r="M825" s="44">
        <v>0</v>
      </c>
      <c r="N825" s="44">
        <v>0</v>
      </c>
      <c r="O825" s="44">
        <v>0</v>
      </c>
      <c r="P825" s="44">
        <v>0</v>
      </c>
      <c r="Q825" s="44">
        <v>0</v>
      </c>
      <c r="R825" s="44">
        <v>0</v>
      </c>
      <c r="S825" s="44">
        <v>0</v>
      </c>
      <c r="T825" s="44">
        <v>0</v>
      </c>
      <c r="U825" s="44">
        <v>0</v>
      </c>
      <c r="V825" s="44">
        <v>0</v>
      </c>
      <c r="W825" s="44">
        <v>0</v>
      </c>
      <c r="X825" s="44">
        <v>0</v>
      </c>
      <c r="Y825" s="44">
        <v>0</v>
      </c>
      <c r="Z825" s="44">
        <v>0</v>
      </c>
      <c r="AA825" s="44">
        <v>0</v>
      </c>
      <c r="AB825" s="44">
        <v>0</v>
      </c>
      <c r="AC825" s="44">
        <v>0</v>
      </c>
      <c r="AD825" s="44">
        <v>0</v>
      </c>
      <c r="AE825" s="44">
        <v>0</v>
      </c>
      <c r="AF825" s="44">
        <v>0</v>
      </c>
      <c r="AG825" s="44">
        <v>0</v>
      </c>
      <c r="AH825" s="44">
        <v>0</v>
      </c>
      <c r="AI825" s="44">
        <v>0</v>
      </c>
      <c r="AJ825" s="44">
        <v>0</v>
      </c>
      <c r="AK825" s="44">
        <v>0</v>
      </c>
      <c r="AL825" s="44">
        <v>0</v>
      </c>
      <c r="AM825" s="44">
        <v>0</v>
      </c>
      <c r="AN825" s="44">
        <v>0</v>
      </c>
      <c r="AO825" s="44">
        <v>0</v>
      </c>
      <c r="AP825" s="44">
        <v>0</v>
      </c>
      <c r="AQ825" s="44">
        <v>0</v>
      </c>
      <c r="AR825" s="44">
        <v>0</v>
      </c>
      <c r="AS825" s="44">
        <v>0</v>
      </c>
      <c r="AT825" s="44">
        <v>0</v>
      </c>
      <c r="AU825" s="44">
        <v>0</v>
      </c>
      <c r="AV825" s="44">
        <v>0</v>
      </c>
      <c r="AW825" s="44">
        <v>0</v>
      </c>
      <c r="AX825" s="44">
        <v>0</v>
      </c>
      <c r="AY825" s="44">
        <v>0</v>
      </c>
      <c r="AZ825" s="44">
        <v>0</v>
      </c>
      <c r="BA825" s="44">
        <v>0</v>
      </c>
      <c r="BB825" s="44">
        <v>0</v>
      </c>
      <c r="BC825" s="44">
        <v>0</v>
      </c>
      <c r="BD825" s="44">
        <v>0</v>
      </c>
      <c r="BE825" s="44">
        <v>0</v>
      </c>
      <c r="BF825" s="44">
        <v>0</v>
      </c>
      <c r="BG825" s="44">
        <v>0</v>
      </c>
      <c r="BH825" s="44">
        <v>0</v>
      </c>
      <c r="BI825" s="44">
        <v>0</v>
      </c>
      <c r="BJ825" s="44">
        <v>0</v>
      </c>
      <c r="BK825" s="44">
        <v>0</v>
      </c>
      <c r="BL825" s="44">
        <v>0</v>
      </c>
      <c r="BM825" s="44">
        <v>0</v>
      </c>
      <c r="BN825" s="44">
        <v>0</v>
      </c>
      <c r="BO825" s="44">
        <v>0</v>
      </c>
      <c r="BP825" s="44">
        <v>0</v>
      </c>
      <c r="BQ825" s="44">
        <v>0</v>
      </c>
      <c r="BR825" s="44">
        <v>0</v>
      </c>
      <c r="BS825" s="44">
        <v>0</v>
      </c>
      <c r="BT825" s="44">
        <v>0</v>
      </c>
      <c r="BU825" s="44">
        <v>0</v>
      </c>
      <c r="BV825" s="44">
        <v>0</v>
      </c>
      <c r="BW825" s="44">
        <v>0</v>
      </c>
      <c r="BX825" s="44">
        <v>0</v>
      </c>
      <c r="BY825" s="44">
        <v>0</v>
      </c>
      <c r="BZ825" s="44">
        <v>0</v>
      </c>
      <c r="CA825" s="44">
        <v>0</v>
      </c>
      <c r="CB825" s="44">
        <v>0</v>
      </c>
      <c r="CC825" s="44">
        <v>0</v>
      </c>
      <c r="CD825" s="44">
        <v>0</v>
      </c>
      <c r="CE825" s="44">
        <v>0</v>
      </c>
      <c r="CF825" s="44">
        <v>0</v>
      </c>
      <c r="CG825" s="44">
        <v>0</v>
      </c>
      <c r="CH825" s="44">
        <v>0</v>
      </c>
      <c r="CI825" s="44">
        <v>0</v>
      </c>
      <c r="CJ825" s="44">
        <v>0</v>
      </c>
      <c r="CK825" s="44">
        <v>0</v>
      </c>
      <c r="CL825" s="44">
        <v>0</v>
      </c>
      <c r="CM825" s="44">
        <v>0</v>
      </c>
      <c r="CN825" s="44">
        <v>0</v>
      </c>
      <c r="CO825" s="44">
        <v>0</v>
      </c>
      <c r="CP825" s="44">
        <v>0</v>
      </c>
      <c r="CQ825" s="44">
        <v>0</v>
      </c>
      <c r="CR825" s="44">
        <v>0</v>
      </c>
      <c r="CS825" s="44">
        <v>0</v>
      </c>
      <c r="CT825" s="44">
        <v>0</v>
      </c>
      <c r="CU825" s="44">
        <v>0</v>
      </c>
      <c r="CV825" s="44">
        <v>0</v>
      </c>
      <c r="CW825" s="44">
        <v>0</v>
      </c>
      <c r="CX825" s="44">
        <v>0</v>
      </c>
      <c r="CY825" s="44">
        <v>0</v>
      </c>
      <c r="CZ825" s="44">
        <v>0</v>
      </c>
      <c r="DA825" s="44">
        <v>0</v>
      </c>
      <c r="DB825" s="44">
        <v>0</v>
      </c>
      <c r="DC825" s="44">
        <v>0</v>
      </c>
      <c r="DD825" s="44">
        <v>0</v>
      </c>
      <c r="DE825" s="44">
        <v>0</v>
      </c>
      <c r="DF825" s="44">
        <v>0</v>
      </c>
      <c r="DG825" s="16">
        <f t="shared" si="69"/>
        <v>0</v>
      </c>
      <c r="DH825" s="16">
        <f t="shared" si="70"/>
        <v>0</v>
      </c>
      <c r="DI825" s="17" t="str">
        <f t="shared" si="71"/>
        <v/>
      </c>
      <c r="DJ825" s="119" t="s">
        <v>719</v>
      </c>
      <c r="DK825" s="44" t="s">
        <v>719</v>
      </c>
    </row>
    <row r="826" spans="1:115">
      <c r="A826" s="32" t="str">
        <f t="shared" si="67"/>
        <v xml:space="preserve">Ergon--˂ = 11 kV ; SUBDIVISION ; COMPLEX TYPE </v>
      </c>
      <c r="B826" s="32" t="str">
        <f t="shared" si="68"/>
        <v>Ergon</v>
      </c>
      <c r="C826" s="387"/>
      <c r="D826" s="44"/>
      <c r="E826" s="44" t="s">
        <v>190</v>
      </c>
      <c r="F826" s="44">
        <v>36</v>
      </c>
      <c r="G826" s="44">
        <v>6</v>
      </c>
      <c r="H826" s="44">
        <v>0</v>
      </c>
      <c r="I826" s="44">
        <v>0</v>
      </c>
      <c r="J826" s="44">
        <v>0</v>
      </c>
      <c r="K826" s="44">
        <v>0</v>
      </c>
      <c r="L826" s="44">
        <v>0</v>
      </c>
      <c r="M826" s="44">
        <v>0</v>
      </c>
      <c r="N826" s="44">
        <v>0</v>
      </c>
      <c r="O826" s="44">
        <v>0</v>
      </c>
      <c r="P826" s="44">
        <v>0</v>
      </c>
      <c r="Q826" s="44">
        <v>0</v>
      </c>
      <c r="R826" s="44">
        <v>0</v>
      </c>
      <c r="S826" s="44">
        <v>0</v>
      </c>
      <c r="T826" s="44">
        <v>0</v>
      </c>
      <c r="U826" s="44">
        <v>0</v>
      </c>
      <c r="V826" s="44">
        <v>0</v>
      </c>
      <c r="W826" s="44">
        <v>0</v>
      </c>
      <c r="X826" s="44">
        <v>0</v>
      </c>
      <c r="Y826" s="44">
        <v>0</v>
      </c>
      <c r="Z826" s="44">
        <v>0</v>
      </c>
      <c r="AA826" s="44">
        <v>0</v>
      </c>
      <c r="AB826" s="44">
        <v>0</v>
      </c>
      <c r="AC826" s="44">
        <v>0</v>
      </c>
      <c r="AD826" s="44">
        <v>0</v>
      </c>
      <c r="AE826" s="44">
        <v>0</v>
      </c>
      <c r="AF826" s="44">
        <v>0</v>
      </c>
      <c r="AG826" s="44">
        <v>0</v>
      </c>
      <c r="AH826" s="44">
        <v>0</v>
      </c>
      <c r="AI826" s="44">
        <v>0</v>
      </c>
      <c r="AJ826" s="44">
        <v>0</v>
      </c>
      <c r="AK826" s="44">
        <v>0</v>
      </c>
      <c r="AL826" s="44">
        <v>0</v>
      </c>
      <c r="AM826" s="44">
        <v>0</v>
      </c>
      <c r="AN826" s="44">
        <v>0</v>
      </c>
      <c r="AO826" s="44">
        <v>0</v>
      </c>
      <c r="AP826" s="44">
        <v>0</v>
      </c>
      <c r="AQ826" s="44">
        <v>0</v>
      </c>
      <c r="AR826" s="44">
        <v>0</v>
      </c>
      <c r="AS826" s="44">
        <v>0</v>
      </c>
      <c r="AT826" s="44">
        <v>0</v>
      </c>
      <c r="AU826" s="44">
        <v>0</v>
      </c>
      <c r="AV826" s="44">
        <v>0</v>
      </c>
      <c r="AW826" s="44">
        <v>0</v>
      </c>
      <c r="AX826" s="44">
        <v>0</v>
      </c>
      <c r="AY826" s="44">
        <v>0</v>
      </c>
      <c r="AZ826" s="44">
        <v>0</v>
      </c>
      <c r="BA826" s="44">
        <v>0</v>
      </c>
      <c r="BB826" s="44">
        <v>0</v>
      </c>
      <c r="BC826" s="44">
        <v>0</v>
      </c>
      <c r="BD826" s="44">
        <v>0</v>
      </c>
      <c r="BE826" s="44">
        <v>0</v>
      </c>
      <c r="BF826" s="44">
        <v>0</v>
      </c>
      <c r="BG826" s="44">
        <v>0</v>
      </c>
      <c r="BH826" s="44">
        <v>0</v>
      </c>
      <c r="BI826" s="44">
        <v>0</v>
      </c>
      <c r="BJ826" s="44">
        <v>0</v>
      </c>
      <c r="BK826" s="44">
        <v>0</v>
      </c>
      <c r="BL826" s="44">
        <v>0</v>
      </c>
      <c r="BM826" s="44">
        <v>0</v>
      </c>
      <c r="BN826" s="44">
        <v>0</v>
      </c>
      <c r="BO826" s="44">
        <v>0</v>
      </c>
      <c r="BP826" s="44">
        <v>0</v>
      </c>
      <c r="BQ826" s="44">
        <v>0</v>
      </c>
      <c r="BR826" s="44">
        <v>0</v>
      </c>
      <c r="BS826" s="44">
        <v>0</v>
      </c>
      <c r="BT826" s="44">
        <v>0</v>
      </c>
      <c r="BU826" s="44">
        <v>0</v>
      </c>
      <c r="BV826" s="44">
        <v>0</v>
      </c>
      <c r="BW826" s="44">
        <v>0</v>
      </c>
      <c r="BX826" s="44">
        <v>0</v>
      </c>
      <c r="BY826" s="44">
        <v>0</v>
      </c>
      <c r="BZ826" s="44">
        <v>0</v>
      </c>
      <c r="CA826" s="44">
        <v>0</v>
      </c>
      <c r="CB826" s="44">
        <v>0</v>
      </c>
      <c r="CC826" s="44">
        <v>0</v>
      </c>
      <c r="CD826" s="44">
        <v>0</v>
      </c>
      <c r="CE826" s="44">
        <v>0</v>
      </c>
      <c r="CF826" s="44">
        <v>0</v>
      </c>
      <c r="CG826" s="44">
        <v>0</v>
      </c>
      <c r="CH826" s="44">
        <v>0</v>
      </c>
      <c r="CI826" s="44">
        <v>0</v>
      </c>
      <c r="CJ826" s="44">
        <v>0</v>
      </c>
      <c r="CK826" s="44">
        <v>0</v>
      </c>
      <c r="CL826" s="44">
        <v>0</v>
      </c>
      <c r="CM826" s="44">
        <v>0</v>
      </c>
      <c r="CN826" s="44">
        <v>0</v>
      </c>
      <c r="CO826" s="44">
        <v>0</v>
      </c>
      <c r="CP826" s="44">
        <v>0</v>
      </c>
      <c r="CQ826" s="44">
        <v>0</v>
      </c>
      <c r="CR826" s="44">
        <v>0</v>
      </c>
      <c r="CS826" s="44">
        <v>0</v>
      </c>
      <c r="CT826" s="44">
        <v>0</v>
      </c>
      <c r="CU826" s="44">
        <v>0</v>
      </c>
      <c r="CV826" s="44">
        <v>0</v>
      </c>
      <c r="CW826" s="44">
        <v>0</v>
      </c>
      <c r="CX826" s="44">
        <v>0</v>
      </c>
      <c r="CY826" s="44">
        <v>0</v>
      </c>
      <c r="CZ826" s="44">
        <v>0</v>
      </c>
      <c r="DA826" s="44">
        <v>0</v>
      </c>
      <c r="DB826" s="44">
        <v>0</v>
      </c>
      <c r="DC826" s="44">
        <v>0</v>
      </c>
      <c r="DD826" s="44">
        <v>0</v>
      </c>
      <c r="DE826" s="44">
        <v>0</v>
      </c>
      <c r="DF826" s="44">
        <v>0</v>
      </c>
      <c r="DG826" s="16">
        <f t="shared" si="69"/>
        <v>0</v>
      </c>
      <c r="DH826" s="16">
        <f t="shared" si="70"/>
        <v>0</v>
      </c>
      <c r="DI826" s="17" t="str">
        <f t="shared" si="71"/>
        <v/>
      </c>
      <c r="DJ826" s="119" t="s">
        <v>719</v>
      </c>
      <c r="DK826" s="44" t="s">
        <v>719</v>
      </c>
    </row>
    <row r="827" spans="1:115">
      <c r="A827" s="32" t="str">
        <f t="shared" si="67"/>
        <v xml:space="preserve">Ergon--&gt; 11 kV  &amp; &lt; = 22 kV ; COMMERCIAL &amp; INDUSTRIAL  </v>
      </c>
      <c r="B827" s="32" t="str">
        <f t="shared" si="68"/>
        <v>Ergon</v>
      </c>
      <c r="C827" s="387"/>
      <c r="D827" s="44"/>
      <c r="E827" s="44" t="s">
        <v>191</v>
      </c>
      <c r="F827" s="44">
        <v>36</v>
      </c>
      <c r="G827" s="44">
        <v>6</v>
      </c>
      <c r="H827" s="44">
        <v>0</v>
      </c>
      <c r="I827" s="44">
        <v>0</v>
      </c>
      <c r="J827" s="44">
        <v>0</v>
      </c>
      <c r="K827" s="44">
        <v>0</v>
      </c>
      <c r="L827" s="44">
        <v>0</v>
      </c>
      <c r="M827" s="44">
        <v>0</v>
      </c>
      <c r="N827" s="44">
        <v>0</v>
      </c>
      <c r="O827" s="44">
        <v>0</v>
      </c>
      <c r="P827" s="44">
        <v>0</v>
      </c>
      <c r="Q827" s="44">
        <v>0</v>
      </c>
      <c r="R827" s="44">
        <v>0</v>
      </c>
      <c r="S827" s="44">
        <v>0</v>
      </c>
      <c r="T827" s="44">
        <v>0</v>
      </c>
      <c r="U827" s="44">
        <v>0</v>
      </c>
      <c r="V827" s="44">
        <v>0</v>
      </c>
      <c r="W827" s="44">
        <v>0</v>
      </c>
      <c r="X827" s="44">
        <v>0</v>
      </c>
      <c r="Y827" s="44">
        <v>0</v>
      </c>
      <c r="Z827" s="44">
        <v>0</v>
      </c>
      <c r="AA827" s="44">
        <v>0</v>
      </c>
      <c r="AB827" s="44">
        <v>0</v>
      </c>
      <c r="AC827" s="44">
        <v>0</v>
      </c>
      <c r="AD827" s="44">
        <v>0</v>
      </c>
      <c r="AE827" s="44">
        <v>0</v>
      </c>
      <c r="AF827" s="44">
        <v>0</v>
      </c>
      <c r="AG827" s="44">
        <v>0</v>
      </c>
      <c r="AH827" s="44">
        <v>0</v>
      </c>
      <c r="AI827" s="44">
        <v>0</v>
      </c>
      <c r="AJ827" s="44">
        <v>0</v>
      </c>
      <c r="AK827" s="44">
        <v>0</v>
      </c>
      <c r="AL827" s="44">
        <v>0</v>
      </c>
      <c r="AM827" s="44">
        <v>0</v>
      </c>
      <c r="AN827" s="44">
        <v>0</v>
      </c>
      <c r="AO827" s="44">
        <v>0</v>
      </c>
      <c r="AP827" s="44">
        <v>0</v>
      </c>
      <c r="AQ827" s="44">
        <v>0</v>
      </c>
      <c r="AR827" s="44">
        <v>0</v>
      </c>
      <c r="AS827" s="44">
        <v>0</v>
      </c>
      <c r="AT827" s="44">
        <v>0</v>
      </c>
      <c r="AU827" s="44">
        <v>0</v>
      </c>
      <c r="AV827" s="44">
        <v>0</v>
      </c>
      <c r="AW827" s="44">
        <v>0</v>
      </c>
      <c r="AX827" s="44">
        <v>0</v>
      </c>
      <c r="AY827" s="44">
        <v>0</v>
      </c>
      <c r="AZ827" s="44">
        <v>0</v>
      </c>
      <c r="BA827" s="44">
        <v>0</v>
      </c>
      <c r="BB827" s="44">
        <v>0</v>
      </c>
      <c r="BC827" s="44">
        <v>0</v>
      </c>
      <c r="BD827" s="44">
        <v>0</v>
      </c>
      <c r="BE827" s="44">
        <v>0</v>
      </c>
      <c r="BF827" s="44">
        <v>0</v>
      </c>
      <c r="BG827" s="44">
        <v>0</v>
      </c>
      <c r="BH827" s="44">
        <v>0</v>
      </c>
      <c r="BI827" s="44">
        <v>0</v>
      </c>
      <c r="BJ827" s="44">
        <v>0</v>
      </c>
      <c r="BK827" s="44">
        <v>0</v>
      </c>
      <c r="BL827" s="44">
        <v>0</v>
      </c>
      <c r="BM827" s="44">
        <v>0</v>
      </c>
      <c r="BN827" s="44">
        <v>0</v>
      </c>
      <c r="BO827" s="44">
        <v>0</v>
      </c>
      <c r="BP827" s="44">
        <v>0</v>
      </c>
      <c r="BQ827" s="44">
        <v>0</v>
      </c>
      <c r="BR827" s="44">
        <v>0</v>
      </c>
      <c r="BS827" s="44">
        <v>0</v>
      </c>
      <c r="BT827" s="44">
        <v>0</v>
      </c>
      <c r="BU827" s="44">
        <v>0</v>
      </c>
      <c r="BV827" s="44">
        <v>0</v>
      </c>
      <c r="BW827" s="44">
        <v>0</v>
      </c>
      <c r="BX827" s="44">
        <v>0</v>
      </c>
      <c r="BY827" s="44">
        <v>0</v>
      </c>
      <c r="BZ827" s="44">
        <v>0</v>
      </c>
      <c r="CA827" s="44">
        <v>0</v>
      </c>
      <c r="CB827" s="44">
        <v>0</v>
      </c>
      <c r="CC827" s="44">
        <v>0</v>
      </c>
      <c r="CD827" s="44">
        <v>0</v>
      </c>
      <c r="CE827" s="44">
        <v>0</v>
      </c>
      <c r="CF827" s="44">
        <v>0</v>
      </c>
      <c r="CG827" s="44">
        <v>0</v>
      </c>
      <c r="CH827" s="44">
        <v>0</v>
      </c>
      <c r="CI827" s="44">
        <v>0</v>
      </c>
      <c r="CJ827" s="44">
        <v>0</v>
      </c>
      <c r="CK827" s="44">
        <v>0</v>
      </c>
      <c r="CL827" s="44">
        <v>0</v>
      </c>
      <c r="CM827" s="44">
        <v>0</v>
      </c>
      <c r="CN827" s="44">
        <v>0</v>
      </c>
      <c r="CO827" s="44">
        <v>0</v>
      </c>
      <c r="CP827" s="44">
        <v>0</v>
      </c>
      <c r="CQ827" s="44">
        <v>0</v>
      </c>
      <c r="CR827" s="44">
        <v>0</v>
      </c>
      <c r="CS827" s="44">
        <v>0</v>
      </c>
      <c r="CT827" s="44">
        <v>0</v>
      </c>
      <c r="CU827" s="44">
        <v>0</v>
      </c>
      <c r="CV827" s="44">
        <v>0</v>
      </c>
      <c r="CW827" s="44">
        <v>0</v>
      </c>
      <c r="CX827" s="44">
        <v>0</v>
      </c>
      <c r="CY827" s="44">
        <v>0</v>
      </c>
      <c r="CZ827" s="44">
        <v>0</v>
      </c>
      <c r="DA827" s="44">
        <v>0</v>
      </c>
      <c r="DB827" s="44">
        <v>0</v>
      </c>
      <c r="DC827" s="44">
        <v>0</v>
      </c>
      <c r="DD827" s="44">
        <v>0</v>
      </c>
      <c r="DE827" s="44">
        <v>0</v>
      </c>
      <c r="DF827" s="44">
        <v>0</v>
      </c>
      <c r="DG827" s="16">
        <f t="shared" si="69"/>
        <v>0</v>
      </c>
      <c r="DH827" s="16">
        <f t="shared" si="70"/>
        <v>0</v>
      </c>
      <c r="DI827" s="17" t="str">
        <f t="shared" si="71"/>
        <v/>
      </c>
      <c r="DJ827" s="119" t="s">
        <v>719</v>
      </c>
      <c r="DK827" s="44" t="s">
        <v>719</v>
      </c>
    </row>
    <row r="828" spans="1:115">
      <c r="A828" s="32" t="str">
        <f t="shared" si="67"/>
        <v xml:space="preserve">Ergon--&gt; 11 kV  &amp; &lt; = 22 kV ; SUBDIVISION  </v>
      </c>
      <c r="B828" s="32" t="str">
        <f t="shared" si="68"/>
        <v>Ergon</v>
      </c>
      <c r="C828" s="387"/>
      <c r="D828" s="44"/>
      <c r="E828" s="44" t="s">
        <v>192</v>
      </c>
      <c r="F828" s="44">
        <v>36</v>
      </c>
      <c r="G828" s="44">
        <v>6</v>
      </c>
      <c r="H828" s="44">
        <v>0</v>
      </c>
      <c r="I828" s="44">
        <v>0</v>
      </c>
      <c r="J828" s="44">
        <v>0</v>
      </c>
      <c r="K828" s="44">
        <v>0</v>
      </c>
      <c r="L828" s="44">
        <v>0</v>
      </c>
      <c r="M828" s="44">
        <v>0</v>
      </c>
      <c r="N828" s="44">
        <v>0</v>
      </c>
      <c r="O828" s="44">
        <v>0</v>
      </c>
      <c r="P828" s="44">
        <v>0</v>
      </c>
      <c r="Q828" s="44">
        <v>0</v>
      </c>
      <c r="R828" s="44">
        <v>0</v>
      </c>
      <c r="S828" s="44">
        <v>0</v>
      </c>
      <c r="T828" s="44">
        <v>0</v>
      </c>
      <c r="U828" s="44">
        <v>0</v>
      </c>
      <c r="V828" s="44">
        <v>0</v>
      </c>
      <c r="W828" s="44">
        <v>0</v>
      </c>
      <c r="X828" s="44">
        <v>0</v>
      </c>
      <c r="Y828" s="44">
        <v>0</v>
      </c>
      <c r="Z828" s="44">
        <v>0</v>
      </c>
      <c r="AA828" s="44">
        <v>0</v>
      </c>
      <c r="AB828" s="44">
        <v>0</v>
      </c>
      <c r="AC828" s="44">
        <v>0</v>
      </c>
      <c r="AD828" s="44">
        <v>0</v>
      </c>
      <c r="AE828" s="44">
        <v>0</v>
      </c>
      <c r="AF828" s="44">
        <v>0</v>
      </c>
      <c r="AG828" s="44">
        <v>0</v>
      </c>
      <c r="AH828" s="44">
        <v>0</v>
      </c>
      <c r="AI828" s="44">
        <v>0</v>
      </c>
      <c r="AJ828" s="44">
        <v>0</v>
      </c>
      <c r="AK828" s="44">
        <v>0</v>
      </c>
      <c r="AL828" s="44">
        <v>0</v>
      </c>
      <c r="AM828" s="44">
        <v>0</v>
      </c>
      <c r="AN828" s="44">
        <v>0</v>
      </c>
      <c r="AO828" s="44">
        <v>0</v>
      </c>
      <c r="AP828" s="44">
        <v>0</v>
      </c>
      <c r="AQ828" s="44">
        <v>0</v>
      </c>
      <c r="AR828" s="44">
        <v>0</v>
      </c>
      <c r="AS828" s="44">
        <v>0</v>
      </c>
      <c r="AT828" s="44">
        <v>0</v>
      </c>
      <c r="AU828" s="44">
        <v>0</v>
      </c>
      <c r="AV828" s="44">
        <v>0</v>
      </c>
      <c r="AW828" s="44">
        <v>0</v>
      </c>
      <c r="AX828" s="44">
        <v>0</v>
      </c>
      <c r="AY828" s="44">
        <v>0</v>
      </c>
      <c r="AZ828" s="44">
        <v>0</v>
      </c>
      <c r="BA828" s="44">
        <v>0</v>
      </c>
      <c r="BB828" s="44">
        <v>0</v>
      </c>
      <c r="BC828" s="44">
        <v>0</v>
      </c>
      <c r="BD828" s="44">
        <v>0</v>
      </c>
      <c r="BE828" s="44">
        <v>0</v>
      </c>
      <c r="BF828" s="44">
        <v>0</v>
      </c>
      <c r="BG828" s="44">
        <v>0</v>
      </c>
      <c r="BH828" s="44">
        <v>0</v>
      </c>
      <c r="BI828" s="44">
        <v>0</v>
      </c>
      <c r="BJ828" s="44">
        <v>0</v>
      </c>
      <c r="BK828" s="44">
        <v>0</v>
      </c>
      <c r="BL828" s="44">
        <v>0</v>
      </c>
      <c r="BM828" s="44">
        <v>0</v>
      </c>
      <c r="BN828" s="44">
        <v>0</v>
      </c>
      <c r="BO828" s="44">
        <v>0</v>
      </c>
      <c r="BP828" s="44">
        <v>0</v>
      </c>
      <c r="BQ828" s="44">
        <v>0</v>
      </c>
      <c r="BR828" s="44">
        <v>0</v>
      </c>
      <c r="BS828" s="44">
        <v>0</v>
      </c>
      <c r="BT828" s="44">
        <v>0</v>
      </c>
      <c r="BU828" s="44">
        <v>0</v>
      </c>
      <c r="BV828" s="44">
        <v>0</v>
      </c>
      <c r="BW828" s="44">
        <v>0</v>
      </c>
      <c r="BX828" s="44">
        <v>0</v>
      </c>
      <c r="BY828" s="44">
        <v>0</v>
      </c>
      <c r="BZ828" s="44">
        <v>0</v>
      </c>
      <c r="CA828" s="44">
        <v>0</v>
      </c>
      <c r="CB828" s="44">
        <v>0</v>
      </c>
      <c r="CC828" s="44">
        <v>0</v>
      </c>
      <c r="CD828" s="44">
        <v>0</v>
      </c>
      <c r="CE828" s="44">
        <v>0</v>
      </c>
      <c r="CF828" s="44">
        <v>0</v>
      </c>
      <c r="CG828" s="44">
        <v>0</v>
      </c>
      <c r="CH828" s="44">
        <v>0</v>
      </c>
      <c r="CI828" s="44">
        <v>0</v>
      </c>
      <c r="CJ828" s="44">
        <v>0</v>
      </c>
      <c r="CK828" s="44">
        <v>0</v>
      </c>
      <c r="CL828" s="44">
        <v>0</v>
      </c>
      <c r="CM828" s="44">
        <v>0</v>
      </c>
      <c r="CN828" s="44">
        <v>0</v>
      </c>
      <c r="CO828" s="44">
        <v>0</v>
      </c>
      <c r="CP828" s="44">
        <v>0</v>
      </c>
      <c r="CQ828" s="44">
        <v>0</v>
      </c>
      <c r="CR828" s="44">
        <v>0</v>
      </c>
      <c r="CS828" s="44">
        <v>0</v>
      </c>
      <c r="CT828" s="44">
        <v>0</v>
      </c>
      <c r="CU828" s="44">
        <v>0</v>
      </c>
      <c r="CV828" s="44">
        <v>0</v>
      </c>
      <c r="CW828" s="44">
        <v>0</v>
      </c>
      <c r="CX828" s="44">
        <v>0</v>
      </c>
      <c r="CY828" s="44">
        <v>0</v>
      </c>
      <c r="CZ828" s="44">
        <v>0</v>
      </c>
      <c r="DA828" s="44">
        <v>0</v>
      </c>
      <c r="DB828" s="44">
        <v>0</v>
      </c>
      <c r="DC828" s="44">
        <v>0</v>
      </c>
      <c r="DD828" s="44">
        <v>0</v>
      </c>
      <c r="DE828" s="44">
        <v>0</v>
      </c>
      <c r="DF828" s="44">
        <v>0</v>
      </c>
      <c r="DG828" s="16">
        <f t="shared" si="69"/>
        <v>0</v>
      </c>
      <c r="DH828" s="16">
        <f t="shared" si="70"/>
        <v>0</v>
      </c>
      <c r="DI828" s="17" t="str">
        <f t="shared" si="71"/>
        <v/>
      </c>
      <c r="DJ828" s="119" t="s">
        <v>719</v>
      </c>
      <c r="DK828" s="44" t="s">
        <v>719</v>
      </c>
    </row>
    <row r="829" spans="1:115">
      <c r="A829" s="32" t="str">
        <f t="shared" si="67"/>
        <v xml:space="preserve">Ergon--&gt; 22 kV &amp; &lt; = 33 kV ; COMMERCIAL &amp; INDUSTRIAL  </v>
      </c>
      <c r="B829" s="32" t="str">
        <f t="shared" si="68"/>
        <v>Ergon</v>
      </c>
      <c r="C829" s="387"/>
      <c r="D829" s="44"/>
      <c r="E829" s="44" t="s">
        <v>193</v>
      </c>
      <c r="F829" s="44">
        <v>36</v>
      </c>
      <c r="G829" s="44">
        <v>6</v>
      </c>
      <c r="H829" s="44">
        <v>0</v>
      </c>
      <c r="I829" s="44">
        <v>0</v>
      </c>
      <c r="J829" s="44">
        <v>0</v>
      </c>
      <c r="K829" s="44">
        <v>0</v>
      </c>
      <c r="L829" s="44">
        <v>0</v>
      </c>
      <c r="M829" s="44">
        <v>0</v>
      </c>
      <c r="N829" s="44">
        <v>0</v>
      </c>
      <c r="O829" s="44">
        <v>0</v>
      </c>
      <c r="P829" s="44">
        <v>0</v>
      </c>
      <c r="Q829" s="44">
        <v>0</v>
      </c>
      <c r="R829" s="44">
        <v>0</v>
      </c>
      <c r="S829" s="44">
        <v>0</v>
      </c>
      <c r="T829" s="44">
        <v>0</v>
      </c>
      <c r="U829" s="44">
        <v>0</v>
      </c>
      <c r="V829" s="44">
        <v>0</v>
      </c>
      <c r="W829" s="44">
        <v>0</v>
      </c>
      <c r="X829" s="44">
        <v>0</v>
      </c>
      <c r="Y829" s="44">
        <v>0</v>
      </c>
      <c r="Z829" s="44">
        <v>0</v>
      </c>
      <c r="AA829" s="44">
        <v>0</v>
      </c>
      <c r="AB829" s="44">
        <v>0</v>
      </c>
      <c r="AC829" s="44">
        <v>0</v>
      </c>
      <c r="AD829" s="44">
        <v>0</v>
      </c>
      <c r="AE829" s="44">
        <v>0</v>
      </c>
      <c r="AF829" s="44">
        <v>0</v>
      </c>
      <c r="AG829" s="44">
        <v>0</v>
      </c>
      <c r="AH829" s="44">
        <v>0</v>
      </c>
      <c r="AI829" s="44">
        <v>0</v>
      </c>
      <c r="AJ829" s="44">
        <v>0</v>
      </c>
      <c r="AK829" s="44">
        <v>0</v>
      </c>
      <c r="AL829" s="44">
        <v>0</v>
      </c>
      <c r="AM829" s="44">
        <v>0</v>
      </c>
      <c r="AN829" s="44">
        <v>0</v>
      </c>
      <c r="AO829" s="44">
        <v>0</v>
      </c>
      <c r="AP829" s="44">
        <v>0</v>
      </c>
      <c r="AQ829" s="44">
        <v>0</v>
      </c>
      <c r="AR829" s="44">
        <v>0</v>
      </c>
      <c r="AS829" s="44">
        <v>0</v>
      </c>
      <c r="AT829" s="44">
        <v>0</v>
      </c>
      <c r="AU829" s="44">
        <v>0</v>
      </c>
      <c r="AV829" s="44">
        <v>0</v>
      </c>
      <c r="AW829" s="44">
        <v>0</v>
      </c>
      <c r="AX829" s="44">
        <v>0</v>
      </c>
      <c r="AY829" s="44">
        <v>0</v>
      </c>
      <c r="AZ829" s="44">
        <v>0</v>
      </c>
      <c r="BA829" s="44">
        <v>0</v>
      </c>
      <c r="BB829" s="44">
        <v>0</v>
      </c>
      <c r="BC829" s="44">
        <v>0</v>
      </c>
      <c r="BD829" s="44">
        <v>0</v>
      </c>
      <c r="BE829" s="44">
        <v>0</v>
      </c>
      <c r="BF829" s="44">
        <v>0</v>
      </c>
      <c r="BG829" s="44">
        <v>0</v>
      </c>
      <c r="BH829" s="44">
        <v>0</v>
      </c>
      <c r="BI829" s="44">
        <v>0</v>
      </c>
      <c r="BJ829" s="44">
        <v>0</v>
      </c>
      <c r="BK829" s="44">
        <v>0</v>
      </c>
      <c r="BL829" s="44">
        <v>0</v>
      </c>
      <c r="BM829" s="44">
        <v>0</v>
      </c>
      <c r="BN829" s="44">
        <v>0</v>
      </c>
      <c r="BO829" s="44">
        <v>0</v>
      </c>
      <c r="BP829" s="44">
        <v>0</v>
      </c>
      <c r="BQ829" s="44">
        <v>0</v>
      </c>
      <c r="BR829" s="44">
        <v>0</v>
      </c>
      <c r="BS829" s="44">
        <v>0</v>
      </c>
      <c r="BT829" s="44">
        <v>0</v>
      </c>
      <c r="BU829" s="44">
        <v>0</v>
      </c>
      <c r="BV829" s="44">
        <v>0</v>
      </c>
      <c r="BW829" s="44">
        <v>0</v>
      </c>
      <c r="BX829" s="44">
        <v>0</v>
      </c>
      <c r="BY829" s="44">
        <v>0</v>
      </c>
      <c r="BZ829" s="44">
        <v>0</v>
      </c>
      <c r="CA829" s="44">
        <v>0</v>
      </c>
      <c r="CB829" s="44">
        <v>0</v>
      </c>
      <c r="CC829" s="44">
        <v>0</v>
      </c>
      <c r="CD829" s="44">
        <v>0</v>
      </c>
      <c r="CE829" s="44">
        <v>0</v>
      </c>
      <c r="CF829" s="44">
        <v>0</v>
      </c>
      <c r="CG829" s="44">
        <v>0</v>
      </c>
      <c r="CH829" s="44">
        <v>0</v>
      </c>
      <c r="CI829" s="44">
        <v>0</v>
      </c>
      <c r="CJ829" s="44">
        <v>0</v>
      </c>
      <c r="CK829" s="44">
        <v>0</v>
      </c>
      <c r="CL829" s="44">
        <v>0</v>
      </c>
      <c r="CM829" s="44">
        <v>0</v>
      </c>
      <c r="CN829" s="44">
        <v>0</v>
      </c>
      <c r="CO829" s="44">
        <v>0</v>
      </c>
      <c r="CP829" s="44">
        <v>0</v>
      </c>
      <c r="CQ829" s="44">
        <v>0</v>
      </c>
      <c r="CR829" s="44">
        <v>0</v>
      </c>
      <c r="CS829" s="44">
        <v>0</v>
      </c>
      <c r="CT829" s="44">
        <v>0</v>
      </c>
      <c r="CU829" s="44">
        <v>0</v>
      </c>
      <c r="CV829" s="44">
        <v>0</v>
      </c>
      <c r="CW829" s="44">
        <v>0</v>
      </c>
      <c r="CX829" s="44">
        <v>0</v>
      </c>
      <c r="CY829" s="44">
        <v>0</v>
      </c>
      <c r="CZ829" s="44">
        <v>0</v>
      </c>
      <c r="DA829" s="44">
        <v>0</v>
      </c>
      <c r="DB829" s="44">
        <v>0</v>
      </c>
      <c r="DC829" s="44">
        <v>0</v>
      </c>
      <c r="DD829" s="44">
        <v>0</v>
      </c>
      <c r="DE829" s="44">
        <v>0</v>
      </c>
      <c r="DF829" s="44">
        <v>0</v>
      </c>
      <c r="DG829" s="16">
        <f t="shared" si="69"/>
        <v>0</v>
      </c>
      <c r="DH829" s="16">
        <f t="shared" si="70"/>
        <v>0</v>
      </c>
      <c r="DI829" s="17" t="str">
        <f t="shared" si="71"/>
        <v/>
      </c>
      <c r="DJ829" s="119" t="s">
        <v>719</v>
      </c>
      <c r="DK829" s="44" t="s">
        <v>719</v>
      </c>
    </row>
    <row r="830" spans="1:115">
      <c r="A830" s="32" t="str">
        <f t="shared" si="67"/>
        <v xml:space="preserve">Ergon--&gt; 22 kV &amp; &lt; = 33 kV ; SUBDIVISION  </v>
      </c>
      <c r="B830" s="32" t="str">
        <f t="shared" si="68"/>
        <v>Ergon</v>
      </c>
      <c r="C830" s="387"/>
      <c r="D830" s="44"/>
      <c r="E830" s="44" t="s">
        <v>194</v>
      </c>
      <c r="F830" s="44">
        <v>36</v>
      </c>
      <c r="G830" s="44">
        <v>6</v>
      </c>
      <c r="H830" s="44">
        <v>0</v>
      </c>
      <c r="I830" s="44">
        <v>0</v>
      </c>
      <c r="J830" s="44">
        <v>0</v>
      </c>
      <c r="K830" s="44">
        <v>0</v>
      </c>
      <c r="L830" s="44">
        <v>0</v>
      </c>
      <c r="M830" s="44">
        <v>0</v>
      </c>
      <c r="N830" s="44">
        <v>0</v>
      </c>
      <c r="O830" s="44">
        <v>0</v>
      </c>
      <c r="P830" s="44">
        <v>0</v>
      </c>
      <c r="Q830" s="44">
        <v>0</v>
      </c>
      <c r="R830" s="44">
        <v>0</v>
      </c>
      <c r="S830" s="44">
        <v>0</v>
      </c>
      <c r="T830" s="44">
        <v>0</v>
      </c>
      <c r="U830" s="44">
        <v>0</v>
      </c>
      <c r="V830" s="44">
        <v>0</v>
      </c>
      <c r="W830" s="44">
        <v>0</v>
      </c>
      <c r="X830" s="44">
        <v>0</v>
      </c>
      <c r="Y830" s="44">
        <v>0</v>
      </c>
      <c r="Z830" s="44">
        <v>0</v>
      </c>
      <c r="AA830" s="44">
        <v>0</v>
      </c>
      <c r="AB830" s="44">
        <v>0</v>
      </c>
      <c r="AC830" s="44">
        <v>0</v>
      </c>
      <c r="AD830" s="44">
        <v>0</v>
      </c>
      <c r="AE830" s="44">
        <v>0</v>
      </c>
      <c r="AF830" s="44">
        <v>0</v>
      </c>
      <c r="AG830" s="44">
        <v>0</v>
      </c>
      <c r="AH830" s="44">
        <v>0</v>
      </c>
      <c r="AI830" s="44">
        <v>0</v>
      </c>
      <c r="AJ830" s="44">
        <v>0</v>
      </c>
      <c r="AK830" s="44">
        <v>0</v>
      </c>
      <c r="AL830" s="44">
        <v>0</v>
      </c>
      <c r="AM830" s="44">
        <v>0</v>
      </c>
      <c r="AN830" s="44">
        <v>0</v>
      </c>
      <c r="AO830" s="44">
        <v>0</v>
      </c>
      <c r="AP830" s="44">
        <v>0</v>
      </c>
      <c r="AQ830" s="44">
        <v>0</v>
      </c>
      <c r="AR830" s="44">
        <v>0</v>
      </c>
      <c r="AS830" s="44">
        <v>0</v>
      </c>
      <c r="AT830" s="44">
        <v>0</v>
      </c>
      <c r="AU830" s="44">
        <v>0</v>
      </c>
      <c r="AV830" s="44">
        <v>0</v>
      </c>
      <c r="AW830" s="44">
        <v>0</v>
      </c>
      <c r="AX830" s="44">
        <v>0</v>
      </c>
      <c r="AY830" s="44">
        <v>0</v>
      </c>
      <c r="AZ830" s="44">
        <v>0</v>
      </c>
      <c r="BA830" s="44">
        <v>0</v>
      </c>
      <c r="BB830" s="44">
        <v>0</v>
      </c>
      <c r="BC830" s="44">
        <v>0</v>
      </c>
      <c r="BD830" s="44">
        <v>0</v>
      </c>
      <c r="BE830" s="44">
        <v>0</v>
      </c>
      <c r="BF830" s="44">
        <v>0</v>
      </c>
      <c r="BG830" s="44">
        <v>0</v>
      </c>
      <c r="BH830" s="44">
        <v>0</v>
      </c>
      <c r="BI830" s="44">
        <v>0</v>
      </c>
      <c r="BJ830" s="44">
        <v>0</v>
      </c>
      <c r="BK830" s="44">
        <v>0</v>
      </c>
      <c r="BL830" s="44">
        <v>0</v>
      </c>
      <c r="BM830" s="44">
        <v>0</v>
      </c>
      <c r="BN830" s="44">
        <v>0</v>
      </c>
      <c r="BO830" s="44">
        <v>0</v>
      </c>
      <c r="BP830" s="44">
        <v>0</v>
      </c>
      <c r="BQ830" s="44">
        <v>0</v>
      </c>
      <c r="BR830" s="44">
        <v>0</v>
      </c>
      <c r="BS830" s="44">
        <v>0</v>
      </c>
      <c r="BT830" s="44">
        <v>0</v>
      </c>
      <c r="BU830" s="44">
        <v>0</v>
      </c>
      <c r="BV830" s="44">
        <v>0</v>
      </c>
      <c r="BW830" s="44">
        <v>0</v>
      </c>
      <c r="BX830" s="44">
        <v>0</v>
      </c>
      <c r="BY830" s="44">
        <v>0</v>
      </c>
      <c r="BZ830" s="44">
        <v>0</v>
      </c>
      <c r="CA830" s="44">
        <v>0</v>
      </c>
      <c r="CB830" s="44">
        <v>0</v>
      </c>
      <c r="CC830" s="44">
        <v>0</v>
      </c>
      <c r="CD830" s="44">
        <v>0</v>
      </c>
      <c r="CE830" s="44">
        <v>0</v>
      </c>
      <c r="CF830" s="44">
        <v>0</v>
      </c>
      <c r="CG830" s="44">
        <v>0</v>
      </c>
      <c r="CH830" s="44">
        <v>0</v>
      </c>
      <c r="CI830" s="44">
        <v>0</v>
      </c>
      <c r="CJ830" s="44">
        <v>0</v>
      </c>
      <c r="CK830" s="44">
        <v>0</v>
      </c>
      <c r="CL830" s="44">
        <v>0</v>
      </c>
      <c r="CM830" s="44">
        <v>0</v>
      </c>
      <c r="CN830" s="44">
        <v>0</v>
      </c>
      <c r="CO830" s="44">
        <v>0</v>
      </c>
      <c r="CP830" s="44">
        <v>0</v>
      </c>
      <c r="CQ830" s="44">
        <v>0</v>
      </c>
      <c r="CR830" s="44">
        <v>0</v>
      </c>
      <c r="CS830" s="44">
        <v>0</v>
      </c>
      <c r="CT830" s="44">
        <v>0</v>
      </c>
      <c r="CU830" s="44">
        <v>0</v>
      </c>
      <c r="CV830" s="44">
        <v>0</v>
      </c>
      <c r="CW830" s="44">
        <v>0</v>
      </c>
      <c r="CX830" s="44">
        <v>0</v>
      </c>
      <c r="CY830" s="44">
        <v>0</v>
      </c>
      <c r="CZ830" s="44">
        <v>0</v>
      </c>
      <c r="DA830" s="44">
        <v>0</v>
      </c>
      <c r="DB830" s="44">
        <v>0</v>
      </c>
      <c r="DC830" s="44">
        <v>0</v>
      </c>
      <c r="DD830" s="44">
        <v>0</v>
      </c>
      <c r="DE830" s="44">
        <v>0</v>
      </c>
      <c r="DF830" s="44">
        <v>0</v>
      </c>
      <c r="DG830" s="16">
        <f t="shared" si="69"/>
        <v>0</v>
      </c>
      <c r="DH830" s="16">
        <f t="shared" si="70"/>
        <v>0</v>
      </c>
      <c r="DI830" s="17" t="str">
        <f t="shared" si="71"/>
        <v/>
      </c>
      <c r="DJ830" s="119" t="s">
        <v>719</v>
      </c>
      <c r="DK830" s="44" t="s">
        <v>719</v>
      </c>
    </row>
    <row r="831" spans="1:115">
      <c r="A831" s="32" t="str">
        <f t="shared" si="67"/>
        <v xml:space="preserve">Ergon--&gt; 33 kV &amp; &lt; = 66 kV ; COMMERCIAL &amp; INDUSTRIAL  </v>
      </c>
      <c r="B831" s="32" t="str">
        <f t="shared" si="68"/>
        <v>Ergon</v>
      </c>
      <c r="C831" s="387"/>
      <c r="D831" s="44"/>
      <c r="E831" s="44" t="s">
        <v>195</v>
      </c>
      <c r="F831" s="44">
        <v>36</v>
      </c>
      <c r="G831" s="44">
        <v>6</v>
      </c>
      <c r="H831" s="44">
        <v>0</v>
      </c>
      <c r="I831" s="44">
        <v>0</v>
      </c>
      <c r="J831" s="44">
        <v>0</v>
      </c>
      <c r="K831" s="44">
        <v>0</v>
      </c>
      <c r="L831" s="44">
        <v>0</v>
      </c>
      <c r="M831" s="44">
        <v>0</v>
      </c>
      <c r="N831" s="44">
        <v>0</v>
      </c>
      <c r="O831" s="44">
        <v>0</v>
      </c>
      <c r="P831" s="44">
        <v>0</v>
      </c>
      <c r="Q831" s="44">
        <v>0</v>
      </c>
      <c r="R831" s="44">
        <v>0</v>
      </c>
      <c r="S831" s="44">
        <v>0</v>
      </c>
      <c r="T831" s="44">
        <v>0</v>
      </c>
      <c r="U831" s="44">
        <v>0</v>
      </c>
      <c r="V831" s="44">
        <v>0</v>
      </c>
      <c r="W831" s="44">
        <v>0</v>
      </c>
      <c r="X831" s="44">
        <v>0</v>
      </c>
      <c r="Y831" s="44">
        <v>0</v>
      </c>
      <c r="Z831" s="44">
        <v>0</v>
      </c>
      <c r="AA831" s="44">
        <v>0</v>
      </c>
      <c r="AB831" s="44">
        <v>0</v>
      </c>
      <c r="AC831" s="44">
        <v>0</v>
      </c>
      <c r="AD831" s="44">
        <v>0</v>
      </c>
      <c r="AE831" s="44">
        <v>0</v>
      </c>
      <c r="AF831" s="44">
        <v>0</v>
      </c>
      <c r="AG831" s="44">
        <v>0</v>
      </c>
      <c r="AH831" s="44">
        <v>0</v>
      </c>
      <c r="AI831" s="44">
        <v>0</v>
      </c>
      <c r="AJ831" s="44">
        <v>0</v>
      </c>
      <c r="AK831" s="44">
        <v>0</v>
      </c>
      <c r="AL831" s="44">
        <v>0</v>
      </c>
      <c r="AM831" s="44">
        <v>0</v>
      </c>
      <c r="AN831" s="44">
        <v>0</v>
      </c>
      <c r="AO831" s="44">
        <v>0</v>
      </c>
      <c r="AP831" s="44">
        <v>0</v>
      </c>
      <c r="AQ831" s="44">
        <v>0</v>
      </c>
      <c r="AR831" s="44">
        <v>0</v>
      </c>
      <c r="AS831" s="44">
        <v>0</v>
      </c>
      <c r="AT831" s="44">
        <v>0</v>
      </c>
      <c r="AU831" s="44">
        <v>0</v>
      </c>
      <c r="AV831" s="44">
        <v>0</v>
      </c>
      <c r="AW831" s="44">
        <v>0</v>
      </c>
      <c r="AX831" s="44">
        <v>0</v>
      </c>
      <c r="AY831" s="44">
        <v>0</v>
      </c>
      <c r="AZ831" s="44">
        <v>0</v>
      </c>
      <c r="BA831" s="44">
        <v>0</v>
      </c>
      <c r="BB831" s="44">
        <v>0</v>
      </c>
      <c r="BC831" s="44">
        <v>0</v>
      </c>
      <c r="BD831" s="44">
        <v>0</v>
      </c>
      <c r="BE831" s="44">
        <v>0</v>
      </c>
      <c r="BF831" s="44">
        <v>0</v>
      </c>
      <c r="BG831" s="44">
        <v>0</v>
      </c>
      <c r="BH831" s="44">
        <v>0</v>
      </c>
      <c r="BI831" s="44">
        <v>0</v>
      </c>
      <c r="BJ831" s="44">
        <v>0</v>
      </c>
      <c r="BK831" s="44">
        <v>0</v>
      </c>
      <c r="BL831" s="44">
        <v>0</v>
      </c>
      <c r="BM831" s="44">
        <v>0</v>
      </c>
      <c r="BN831" s="44">
        <v>0</v>
      </c>
      <c r="BO831" s="44">
        <v>0</v>
      </c>
      <c r="BP831" s="44">
        <v>0</v>
      </c>
      <c r="BQ831" s="44">
        <v>0</v>
      </c>
      <c r="BR831" s="44">
        <v>0</v>
      </c>
      <c r="BS831" s="44">
        <v>0</v>
      </c>
      <c r="BT831" s="44">
        <v>0</v>
      </c>
      <c r="BU831" s="44">
        <v>0</v>
      </c>
      <c r="BV831" s="44">
        <v>0</v>
      </c>
      <c r="BW831" s="44">
        <v>0</v>
      </c>
      <c r="BX831" s="44">
        <v>0</v>
      </c>
      <c r="BY831" s="44">
        <v>0</v>
      </c>
      <c r="BZ831" s="44">
        <v>0</v>
      </c>
      <c r="CA831" s="44">
        <v>0</v>
      </c>
      <c r="CB831" s="44">
        <v>0</v>
      </c>
      <c r="CC831" s="44">
        <v>0</v>
      </c>
      <c r="CD831" s="44">
        <v>0</v>
      </c>
      <c r="CE831" s="44">
        <v>0</v>
      </c>
      <c r="CF831" s="44">
        <v>0</v>
      </c>
      <c r="CG831" s="44">
        <v>0</v>
      </c>
      <c r="CH831" s="44">
        <v>0</v>
      </c>
      <c r="CI831" s="44">
        <v>0</v>
      </c>
      <c r="CJ831" s="44">
        <v>0</v>
      </c>
      <c r="CK831" s="44">
        <v>0</v>
      </c>
      <c r="CL831" s="44">
        <v>0</v>
      </c>
      <c r="CM831" s="44">
        <v>0</v>
      </c>
      <c r="CN831" s="44">
        <v>0</v>
      </c>
      <c r="CO831" s="44">
        <v>0</v>
      </c>
      <c r="CP831" s="44">
        <v>0</v>
      </c>
      <c r="CQ831" s="44">
        <v>0</v>
      </c>
      <c r="CR831" s="44">
        <v>0</v>
      </c>
      <c r="CS831" s="44">
        <v>0</v>
      </c>
      <c r="CT831" s="44">
        <v>0</v>
      </c>
      <c r="CU831" s="44">
        <v>0</v>
      </c>
      <c r="CV831" s="44">
        <v>0</v>
      </c>
      <c r="CW831" s="44">
        <v>0</v>
      </c>
      <c r="CX831" s="44">
        <v>0</v>
      </c>
      <c r="CY831" s="44">
        <v>0</v>
      </c>
      <c r="CZ831" s="44">
        <v>0</v>
      </c>
      <c r="DA831" s="44">
        <v>0</v>
      </c>
      <c r="DB831" s="44">
        <v>0</v>
      </c>
      <c r="DC831" s="44">
        <v>0</v>
      </c>
      <c r="DD831" s="44">
        <v>0</v>
      </c>
      <c r="DE831" s="44">
        <v>0</v>
      </c>
      <c r="DF831" s="44">
        <v>0</v>
      </c>
      <c r="DG831" s="16">
        <f t="shared" si="69"/>
        <v>0</v>
      </c>
      <c r="DH831" s="16">
        <f t="shared" si="70"/>
        <v>0</v>
      </c>
      <c r="DI831" s="17" t="str">
        <f t="shared" si="71"/>
        <v/>
      </c>
      <c r="DJ831" s="119" t="s">
        <v>719</v>
      </c>
      <c r="DK831" s="44" t="s">
        <v>719</v>
      </c>
    </row>
    <row r="832" spans="1:115">
      <c r="A832" s="32" t="str">
        <f t="shared" si="67"/>
        <v xml:space="preserve">Ergon--&gt; 33 kV &amp; &lt; = 66 kV ; SUBDIVISION  </v>
      </c>
      <c r="B832" s="32" t="str">
        <f t="shared" si="68"/>
        <v>Ergon</v>
      </c>
      <c r="C832" s="387"/>
      <c r="D832" s="44"/>
      <c r="E832" s="44" t="s">
        <v>196</v>
      </c>
      <c r="F832" s="44">
        <v>36</v>
      </c>
      <c r="G832" s="44">
        <v>6</v>
      </c>
      <c r="H832" s="44">
        <v>0</v>
      </c>
      <c r="I832" s="44">
        <v>0</v>
      </c>
      <c r="J832" s="44">
        <v>0</v>
      </c>
      <c r="K832" s="44">
        <v>0</v>
      </c>
      <c r="L832" s="44">
        <v>0</v>
      </c>
      <c r="M832" s="44">
        <v>0</v>
      </c>
      <c r="N832" s="44">
        <v>0</v>
      </c>
      <c r="O832" s="44">
        <v>0</v>
      </c>
      <c r="P832" s="44">
        <v>0</v>
      </c>
      <c r="Q832" s="44">
        <v>0</v>
      </c>
      <c r="R832" s="44">
        <v>0</v>
      </c>
      <c r="S832" s="44">
        <v>0</v>
      </c>
      <c r="T832" s="44">
        <v>0</v>
      </c>
      <c r="U832" s="44">
        <v>0</v>
      </c>
      <c r="V832" s="44">
        <v>0</v>
      </c>
      <c r="W832" s="44">
        <v>0</v>
      </c>
      <c r="X832" s="44">
        <v>0</v>
      </c>
      <c r="Y832" s="44">
        <v>0</v>
      </c>
      <c r="Z832" s="44">
        <v>0</v>
      </c>
      <c r="AA832" s="44">
        <v>0</v>
      </c>
      <c r="AB832" s="44">
        <v>0</v>
      </c>
      <c r="AC832" s="44">
        <v>0</v>
      </c>
      <c r="AD832" s="44">
        <v>0</v>
      </c>
      <c r="AE832" s="44">
        <v>0</v>
      </c>
      <c r="AF832" s="44">
        <v>0</v>
      </c>
      <c r="AG832" s="44">
        <v>0</v>
      </c>
      <c r="AH832" s="44">
        <v>0</v>
      </c>
      <c r="AI832" s="44">
        <v>0</v>
      </c>
      <c r="AJ832" s="44">
        <v>0</v>
      </c>
      <c r="AK832" s="44">
        <v>0</v>
      </c>
      <c r="AL832" s="44">
        <v>0</v>
      </c>
      <c r="AM832" s="44">
        <v>0</v>
      </c>
      <c r="AN832" s="44">
        <v>0</v>
      </c>
      <c r="AO832" s="44">
        <v>0</v>
      </c>
      <c r="AP832" s="44">
        <v>0</v>
      </c>
      <c r="AQ832" s="44">
        <v>0</v>
      </c>
      <c r="AR832" s="44">
        <v>0</v>
      </c>
      <c r="AS832" s="44">
        <v>0</v>
      </c>
      <c r="AT832" s="44">
        <v>0</v>
      </c>
      <c r="AU832" s="44">
        <v>0</v>
      </c>
      <c r="AV832" s="44">
        <v>0</v>
      </c>
      <c r="AW832" s="44">
        <v>0</v>
      </c>
      <c r="AX832" s="44">
        <v>0</v>
      </c>
      <c r="AY832" s="44">
        <v>0</v>
      </c>
      <c r="AZ832" s="44">
        <v>0</v>
      </c>
      <c r="BA832" s="44">
        <v>0</v>
      </c>
      <c r="BB832" s="44">
        <v>0</v>
      </c>
      <c r="BC832" s="44">
        <v>0</v>
      </c>
      <c r="BD832" s="44">
        <v>0</v>
      </c>
      <c r="BE832" s="44">
        <v>0</v>
      </c>
      <c r="BF832" s="44">
        <v>0</v>
      </c>
      <c r="BG832" s="44">
        <v>0</v>
      </c>
      <c r="BH832" s="44">
        <v>0</v>
      </c>
      <c r="BI832" s="44">
        <v>0</v>
      </c>
      <c r="BJ832" s="44">
        <v>0</v>
      </c>
      <c r="BK832" s="44">
        <v>0</v>
      </c>
      <c r="BL832" s="44">
        <v>0</v>
      </c>
      <c r="BM832" s="44">
        <v>0</v>
      </c>
      <c r="BN832" s="44">
        <v>0</v>
      </c>
      <c r="BO832" s="44">
        <v>0</v>
      </c>
      <c r="BP832" s="44">
        <v>0</v>
      </c>
      <c r="BQ832" s="44">
        <v>0</v>
      </c>
      <c r="BR832" s="44">
        <v>0</v>
      </c>
      <c r="BS832" s="44">
        <v>0</v>
      </c>
      <c r="BT832" s="44">
        <v>0</v>
      </c>
      <c r="BU832" s="44">
        <v>0</v>
      </c>
      <c r="BV832" s="44">
        <v>0</v>
      </c>
      <c r="BW832" s="44">
        <v>0</v>
      </c>
      <c r="BX832" s="44">
        <v>0</v>
      </c>
      <c r="BY832" s="44">
        <v>0</v>
      </c>
      <c r="BZ832" s="44">
        <v>0</v>
      </c>
      <c r="CA832" s="44">
        <v>0</v>
      </c>
      <c r="CB832" s="44">
        <v>0</v>
      </c>
      <c r="CC832" s="44">
        <v>0</v>
      </c>
      <c r="CD832" s="44">
        <v>0</v>
      </c>
      <c r="CE832" s="44">
        <v>0</v>
      </c>
      <c r="CF832" s="44">
        <v>0</v>
      </c>
      <c r="CG832" s="44">
        <v>0</v>
      </c>
      <c r="CH832" s="44">
        <v>0</v>
      </c>
      <c r="CI832" s="44">
        <v>0</v>
      </c>
      <c r="CJ832" s="44">
        <v>0</v>
      </c>
      <c r="CK832" s="44">
        <v>0</v>
      </c>
      <c r="CL832" s="44">
        <v>0</v>
      </c>
      <c r="CM832" s="44">
        <v>0</v>
      </c>
      <c r="CN832" s="44">
        <v>0</v>
      </c>
      <c r="CO832" s="44">
        <v>0</v>
      </c>
      <c r="CP832" s="44">
        <v>0</v>
      </c>
      <c r="CQ832" s="44">
        <v>0</v>
      </c>
      <c r="CR832" s="44">
        <v>0</v>
      </c>
      <c r="CS832" s="44">
        <v>0</v>
      </c>
      <c r="CT832" s="44">
        <v>0</v>
      </c>
      <c r="CU832" s="44">
        <v>0</v>
      </c>
      <c r="CV832" s="44">
        <v>0</v>
      </c>
      <c r="CW832" s="44">
        <v>0</v>
      </c>
      <c r="CX832" s="44">
        <v>0</v>
      </c>
      <c r="CY832" s="44">
        <v>0</v>
      </c>
      <c r="CZ832" s="44">
        <v>0</v>
      </c>
      <c r="DA832" s="44">
        <v>0</v>
      </c>
      <c r="DB832" s="44">
        <v>0</v>
      </c>
      <c r="DC832" s="44">
        <v>0</v>
      </c>
      <c r="DD832" s="44">
        <v>0</v>
      </c>
      <c r="DE832" s="44">
        <v>0</v>
      </c>
      <c r="DF832" s="44">
        <v>0</v>
      </c>
      <c r="DG832" s="16">
        <f t="shared" si="69"/>
        <v>0</v>
      </c>
      <c r="DH832" s="16">
        <f t="shared" si="70"/>
        <v>0</v>
      </c>
      <c r="DI832" s="17" t="str">
        <f t="shared" si="71"/>
        <v/>
      </c>
      <c r="DJ832" s="119" t="s">
        <v>719</v>
      </c>
      <c r="DK832" s="44" t="s">
        <v>719</v>
      </c>
    </row>
    <row r="833" spans="1:115">
      <c r="A833" s="32" t="str">
        <f t="shared" si="67"/>
        <v xml:space="preserve">Ergon--&gt; 66 kV &amp; &lt; = 132 kV ; COMMERCIAL &amp; INDUSTRIAL  </v>
      </c>
      <c r="B833" s="32" t="str">
        <f t="shared" si="68"/>
        <v>Ergon</v>
      </c>
      <c r="C833" s="387"/>
      <c r="D833" s="44"/>
      <c r="E833" s="44" t="s">
        <v>197</v>
      </c>
      <c r="F833" s="44">
        <v>36</v>
      </c>
      <c r="G833" s="44">
        <v>6</v>
      </c>
      <c r="H833" s="44">
        <v>0</v>
      </c>
      <c r="I833" s="44">
        <v>0</v>
      </c>
      <c r="J833" s="44">
        <v>0</v>
      </c>
      <c r="K833" s="44">
        <v>0</v>
      </c>
      <c r="L833" s="44">
        <v>0</v>
      </c>
      <c r="M833" s="44">
        <v>0</v>
      </c>
      <c r="N833" s="44">
        <v>0</v>
      </c>
      <c r="O833" s="44">
        <v>0</v>
      </c>
      <c r="P833" s="44">
        <v>0</v>
      </c>
      <c r="Q833" s="44">
        <v>0</v>
      </c>
      <c r="R833" s="44">
        <v>0</v>
      </c>
      <c r="S833" s="44">
        <v>0</v>
      </c>
      <c r="T833" s="44">
        <v>0</v>
      </c>
      <c r="U833" s="44">
        <v>0</v>
      </c>
      <c r="V833" s="44">
        <v>0</v>
      </c>
      <c r="W833" s="44">
        <v>0</v>
      </c>
      <c r="X833" s="44">
        <v>0</v>
      </c>
      <c r="Y833" s="44">
        <v>0</v>
      </c>
      <c r="Z833" s="44">
        <v>0</v>
      </c>
      <c r="AA833" s="44">
        <v>0</v>
      </c>
      <c r="AB833" s="44">
        <v>0</v>
      </c>
      <c r="AC833" s="44">
        <v>0</v>
      </c>
      <c r="AD833" s="44">
        <v>0</v>
      </c>
      <c r="AE833" s="44">
        <v>0</v>
      </c>
      <c r="AF833" s="44">
        <v>0</v>
      </c>
      <c r="AG833" s="44">
        <v>0</v>
      </c>
      <c r="AH833" s="44">
        <v>0</v>
      </c>
      <c r="AI833" s="44">
        <v>0</v>
      </c>
      <c r="AJ833" s="44">
        <v>0</v>
      </c>
      <c r="AK833" s="44">
        <v>0</v>
      </c>
      <c r="AL833" s="44">
        <v>0</v>
      </c>
      <c r="AM833" s="44">
        <v>0</v>
      </c>
      <c r="AN833" s="44">
        <v>0</v>
      </c>
      <c r="AO833" s="44">
        <v>0</v>
      </c>
      <c r="AP833" s="44">
        <v>0</v>
      </c>
      <c r="AQ833" s="44">
        <v>0</v>
      </c>
      <c r="AR833" s="44">
        <v>0</v>
      </c>
      <c r="AS833" s="44">
        <v>0</v>
      </c>
      <c r="AT833" s="44">
        <v>0</v>
      </c>
      <c r="AU833" s="44">
        <v>0</v>
      </c>
      <c r="AV833" s="44">
        <v>0</v>
      </c>
      <c r="AW833" s="44">
        <v>0</v>
      </c>
      <c r="AX833" s="44">
        <v>0</v>
      </c>
      <c r="AY833" s="44">
        <v>0</v>
      </c>
      <c r="AZ833" s="44">
        <v>0</v>
      </c>
      <c r="BA833" s="44">
        <v>0</v>
      </c>
      <c r="BB833" s="44">
        <v>0</v>
      </c>
      <c r="BC833" s="44">
        <v>0</v>
      </c>
      <c r="BD833" s="44">
        <v>0</v>
      </c>
      <c r="BE833" s="44">
        <v>0</v>
      </c>
      <c r="BF833" s="44">
        <v>0</v>
      </c>
      <c r="BG833" s="44">
        <v>0</v>
      </c>
      <c r="BH833" s="44">
        <v>0</v>
      </c>
      <c r="BI833" s="44">
        <v>0</v>
      </c>
      <c r="BJ833" s="44">
        <v>0</v>
      </c>
      <c r="BK833" s="44">
        <v>0</v>
      </c>
      <c r="BL833" s="44">
        <v>0</v>
      </c>
      <c r="BM833" s="44">
        <v>0</v>
      </c>
      <c r="BN833" s="44">
        <v>0</v>
      </c>
      <c r="BO833" s="44">
        <v>0</v>
      </c>
      <c r="BP833" s="44">
        <v>0</v>
      </c>
      <c r="BQ833" s="44">
        <v>0</v>
      </c>
      <c r="BR833" s="44">
        <v>0</v>
      </c>
      <c r="BS833" s="44">
        <v>0</v>
      </c>
      <c r="BT833" s="44">
        <v>0</v>
      </c>
      <c r="BU833" s="44">
        <v>0</v>
      </c>
      <c r="BV833" s="44">
        <v>0</v>
      </c>
      <c r="BW833" s="44">
        <v>0</v>
      </c>
      <c r="BX833" s="44">
        <v>0</v>
      </c>
      <c r="BY833" s="44">
        <v>0</v>
      </c>
      <c r="BZ833" s="44">
        <v>0</v>
      </c>
      <c r="CA833" s="44">
        <v>0</v>
      </c>
      <c r="CB833" s="44">
        <v>0</v>
      </c>
      <c r="CC833" s="44">
        <v>0</v>
      </c>
      <c r="CD833" s="44">
        <v>0</v>
      </c>
      <c r="CE833" s="44">
        <v>0</v>
      </c>
      <c r="CF833" s="44">
        <v>0</v>
      </c>
      <c r="CG833" s="44">
        <v>0</v>
      </c>
      <c r="CH833" s="44">
        <v>0</v>
      </c>
      <c r="CI833" s="44">
        <v>0</v>
      </c>
      <c r="CJ833" s="44">
        <v>0</v>
      </c>
      <c r="CK833" s="44">
        <v>0</v>
      </c>
      <c r="CL833" s="44">
        <v>0</v>
      </c>
      <c r="CM833" s="44">
        <v>0</v>
      </c>
      <c r="CN833" s="44">
        <v>0</v>
      </c>
      <c r="CO833" s="44">
        <v>0</v>
      </c>
      <c r="CP833" s="44">
        <v>0</v>
      </c>
      <c r="CQ833" s="44">
        <v>0</v>
      </c>
      <c r="CR833" s="44">
        <v>0</v>
      </c>
      <c r="CS833" s="44">
        <v>0</v>
      </c>
      <c r="CT833" s="44">
        <v>0</v>
      </c>
      <c r="CU833" s="44">
        <v>0</v>
      </c>
      <c r="CV833" s="44">
        <v>0</v>
      </c>
      <c r="CW833" s="44">
        <v>0</v>
      </c>
      <c r="CX833" s="44">
        <v>0</v>
      </c>
      <c r="CY833" s="44">
        <v>0</v>
      </c>
      <c r="CZ833" s="44">
        <v>0</v>
      </c>
      <c r="DA833" s="44">
        <v>0</v>
      </c>
      <c r="DB833" s="44">
        <v>0</v>
      </c>
      <c r="DC833" s="44">
        <v>0</v>
      </c>
      <c r="DD833" s="44">
        <v>0</v>
      </c>
      <c r="DE833" s="44">
        <v>0</v>
      </c>
      <c r="DF833" s="44">
        <v>0</v>
      </c>
      <c r="DG833" s="16">
        <f t="shared" si="69"/>
        <v>0</v>
      </c>
      <c r="DH833" s="16">
        <f t="shared" si="70"/>
        <v>0</v>
      </c>
      <c r="DI833" s="17" t="str">
        <f t="shared" si="71"/>
        <v/>
      </c>
      <c r="DJ833" s="119" t="s">
        <v>719</v>
      </c>
      <c r="DK833" s="44" t="s">
        <v>719</v>
      </c>
    </row>
    <row r="834" spans="1:115">
      <c r="A834" s="32" t="str">
        <f t="shared" si="67"/>
        <v xml:space="preserve">Ergon--&gt; 66 kV &amp; &lt; = 132 kV ; SUBDIVISION  </v>
      </c>
      <c r="B834" s="32" t="str">
        <f t="shared" si="68"/>
        <v>Ergon</v>
      </c>
      <c r="C834" s="387"/>
      <c r="D834" s="44"/>
      <c r="E834" s="44" t="s">
        <v>198</v>
      </c>
      <c r="F834" s="44">
        <v>36</v>
      </c>
      <c r="G834" s="44">
        <v>6</v>
      </c>
      <c r="H834" s="44">
        <v>0</v>
      </c>
      <c r="I834" s="44">
        <v>0</v>
      </c>
      <c r="J834" s="44">
        <v>0</v>
      </c>
      <c r="K834" s="44">
        <v>0</v>
      </c>
      <c r="L834" s="44">
        <v>0</v>
      </c>
      <c r="M834" s="44">
        <v>0</v>
      </c>
      <c r="N834" s="44">
        <v>0</v>
      </c>
      <c r="O834" s="44">
        <v>0</v>
      </c>
      <c r="P834" s="44">
        <v>0</v>
      </c>
      <c r="Q834" s="44">
        <v>0</v>
      </c>
      <c r="R834" s="44">
        <v>0</v>
      </c>
      <c r="S834" s="44">
        <v>0</v>
      </c>
      <c r="T834" s="44">
        <v>0</v>
      </c>
      <c r="U834" s="44">
        <v>0</v>
      </c>
      <c r="V834" s="44">
        <v>0</v>
      </c>
      <c r="W834" s="44">
        <v>0</v>
      </c>
      <c r="X834" s="44">
        <v>0</v>
      </c>
      <c r="Y834" s="44">
        <v>0</v>
      </c>
      <c r="Z834" s="44">
        <v>0</v>
      </c>
      <c r="AA834" s="44">
        <v>0</v>
      </c>
      <c r="AB834" s="44">
        <v>0</v>
      </c>
      <c r="AC834" s="44">
        <v>0</v>
      </c>
      <c r="AD834" s="44">
        <v>0</v>
      </c>
      <c r="AE834" s="44">
        <v>0</v>
      </c>
      <c r="AF834" s="44">
        <v>0</v>
      </c>
      <c r="AG834" s="44">
        <v>0</v>
      </c>
      <c r="AH834" s="44">
        <v>0</v>
      </c>
      <c r="AI834" s="44">
        <v>0</v>
      </c>
      <c r="AJ834" s="44">
        <v>0</v>
      </c>
      <c r="AK834" s="44">
        <v>0</v>
      </c>
      <c r="AL834" s="44">
        <v>0</v>
      </c>
      <c r="AM834" s="44">
        <v>0</v>
      </c>
      <c r="AN834" s="44">
        <v>0</v>
      </c>
      <c r="AO834" s="44">
        <v>0</v>
      </c>
      <c r="AP834" s="44">
        <v>0</v>
      </c>
      <c r="AQ834" s="44">
        <v>0</v>
      </c>
      <c r="AR834" s="44">
        <v>0</v>
      </c>
      <c r="AS834" s="44">
        <v>0</v>
      </c>
      <c r="AT834" s="44">
        <v>0</v>
      </c>
      <c r="AU834" s="44">
        <v>0</v>
      </c>
      <c r="AV834" s="44">
        <v>0</v>
      </c>
      <c r="AW834" s="44">
        <v>0</v>
      </c>
      <c r="AX834" s="44">
        <v>0</v>
      </c>
      <c r="AY834" s="44">
        <v>0</v>
      </c>
      <c r="AZ834" s="44">
        <v>0</v>
      </c>
      <c r="BA834" s="44">
        <v>0</v>
      </c>
      <c r="BB834" s="44">
        <v>0</v>
      </c>
      <c r="BC834" s="44">
        <v>0</v>
      </c>
      <c r="BD834" s="44">
        <v>0</v>
      </c>
      <c r="BE834" s="44">
        <v>0</v>
      </c>
      <c r="BF834" s="44">
        <v>0</v>
      </c>
      <c r="BG834" s="44">
        <v>0</v>
      </c>
      <c r="BH834" s="44">
        <v>0</v>
      </c>
      <c r="BI834" s="44">
        <v>0</v>
      </c>
      <c r="BJ834" s="44">
        <v>0</v>
      </c>
      <c r="BK834" s="44">
        <v>0</v>
      </c>
      <c r="BL834" s="44">
        <v>0</v>
      </c>
      <c r="BM834" s="44">
        <v>0</v>
      </c>
      <c r="BN834" s="44">
        <v>0</v>
      </c>
      <c r="BO834" s="44">
        <v>0</v>
      </c>
      <c r="BP834" s="44">
        <v>0</v>
      </c>
      <c r="BQ834" s="44">
        <v>0</v>
      </c>
      <c r="BR834" s="44">
        <v>0</v>
      </c>
      <c r="BS834" s="44">
        <v>0</v>
      </c>
      <c r="BT834" s="44">
        <v>0</v>
      </c>
      <c r="BU834" s="44">
        <v>0</v>
      </c>
      <c r="BV834" s="44">
        <v>0</v>
      </c>
      <c r="BW834" s="44">
        <v>0</v>
      </c>
      <c r="BX834" s="44">
        <v>0</v>
      </c>
      <c r="BY834" s="44">
        <v>0</v>
      </c>
      <c r="BZ834" s="44">
        <v>0</v>
      </c>
      <c r="CA834" s="44">
        <v>0</v>
      </c>
      <c r="CB834" s="44">
        <v>0</v>
      </c>
      <c r="CC834" s="44">
        <v>0</v>
      </c>
      <c r="CD834" s="44">
        <v>0</v>
      </c>
      <c r="CE834" s="44">
        <v>0</v>
      </c>
      <c r="CF834" s="44">
        <v>0</v>
      </c>
      <c r="CG834" s="44">
        <v>0</v>
      </c>
      <c r="CH834" s="44">
        <v>0</v>
      </c>
      <c r="CI834" s="44">
        <v>0</v>
      </c>
      <c r="CJ834" s="44">
        <v>0</v>
      </c>
      <c r="CK834" s="44">
        <v>0</v>
      </c>
      <c r="CL834" s="44">
        <v>0</v>
      </c>
      <c r="CM834" s="44">
        <v>0</v>
      </c>
      <c r="CN834" s="44">
        <v>0</v>
      </c>
      <c r="CO834" s="44">
        <v>0</v>
      </c>
      <c r="CP834" s="44">
        <v>0</v>
      </c>
      <c r="CQ834" s="44">
        <v>0</v>
      </c>
      <c r="CR834" s="44">
        <v>0</v>
      </c>
      <c r="CS834" s="44">
        <v>0</v>
      </c>
      <c r="CT834" s="44">
        <v>0</v>
      </c>
      <c r="CU834" s="44">
        <v>0</v>
      </c>
      <c r="CV834" s="44">
        <v>0</v>
      </c>
      <c r="CW834" s="44">
        <v>0</v>
      </c>
      <c r="CX834" s="44">
        <v>0</v>
      </c>
      <c r="CY834" s="44">
        <v>0</v>
      </c>
      <c r="CZ834" s="44">
        <v>0</v>
      </c>
      <c r="DA834" s="44">
        <v>0</v>
      </c>
      <c r="DB834" s="44">
        <v>0</v>
      </c>
      <c r="DC834" s="44">
        <v>0</v>
      </c>
      <c r="DD834" s="44">
        <v>0</v>
      </c>
      <c r="DE834" s="44">
        <v>0</v>
      </c>
      <c r="DF834" s="44">
        <v>0</v>
      </c>
      <c r="DG834" s="16">
        <f t="shared" si="69"/>
        <v>0</v>
      </c>
      <c r="DH834" s="16">
        <f t="shared" si="70"/>
        <v>0</v>
      </c>
      <c r="DI834" s="17" t="str">
        <f t="shared" si="71"/>
        <v/>
      </c>
      <c r="DJ834" s="119" t="s">
        <v>719</v>
      </c>
      <c r="DK834" s="44" t="s">
        <v>719</v>
      </c>
    </row>
    <row r="835" spans="1:115">
      <c r="A835" s="32" t="str">
        <f t="shared" si="67"/>
        <v xml:space="preserve">Ergon--&gt; 132 kV ; COMMERCIAL &amp; INDUSTRIAL  </v>
      </c>
      <c r="B835" s="32" t="str">
        <f t="shared" si="68"/>
        <v>Ergon</v>
      </c>
      <c r="C835" s="387"/>
      <c r="D835" s="44"/>
      <c r="E835" s="44" t="s">
        <v>199</v>
      </c>
      <c r="F835" s="44">
        <v>36</v>
      </c>
      <c r="G835" s="44">
        <v>6</v>
      </c>
      <c r="H835" s="44">
        <v>0</v>
      </c>
      <c r="I835" s="44">
        <v>0</v>
      </c>
      <c r="J835" s="44">
        <v>0</v>
      </c>
      <c r="K835" s="44">
        <v>0</v>
      </c>
      <c r="L835" s="44">
        <v>0</v>
      </c>
      <c r="M835" s="44">
        <v>0</v>
      </c>
      <c r="N835" s="44">
        <v>0</v>
      </c>
      <c r="O835" s="44">
        <v>0</v>
      </c>
      <c r="P835" s="44">
        <v>0</v>
      </c>
      <c r="Q835" s="44">
        <v>0</v>
      </c>
      <c r="R835" s="44">
        <v>0</v>
      </c>
      <c r="S835" s="44">
        <v>0</v>
      </c>
      <c r="T835" s="44">
        <v>0</v>
      </c>
      <c r="U835" s="44">
        <v>0</v>
      </c>
      <c r="V835" s="44">
        <v>0</v>
      </c>
      <c r="W835" s="44">
        <v>0</v>
      </c>
      <c r="X835" s="44">
        <v>0</v>
      </c>
      <c r="Y835" s="44">
        <v>0</v>
      </c>
      <c r="Z835" s="44">
        <v>0</v>
      </c>
      <c r="AA835" s="44">
        <v>0</v>
      </c>
      <c r="AB835" s="44">
        <v>0</v>
      </c>
      <c r="AC835" s="44">
        <v>0</v>
      </c>
      <c r="AD835" s="44">
        <v>0</v>
      </c>
      <c r="AE835" s="44">
        <v>0</v>
      </c>
      <c r="AF835" s="44">
        <v>0</v>
      </c>
      <c r="AG835" s="44">
        <v>0</v>
      </c>
      <c r="AH835" s="44">
        <v>0</v>
      </c>
      <c r="AI835" s="44">
        <v>0</v>
      </c>
      <c r="AJ835" s="44">
        <v>0</v>
      </c>
      <c r="AK835" s="44">
        <v>0</v>
      </c>
      <c r="AL835" s="44">
        <v>0</v>
      </c>
      <c r="AM835" s="44">
        <v>0</v>
      </c>
      <c r="AN835" s="44">
        <v>0</v>
      </c>
      <c r="AO835" s="44">
        <v>0</v>
      </c>
      <c r="AP835" s="44">
        <v>0</v>
      </c>
      <c r="AQ835" s="44">
        <v>0</v>
      </c>
      <c r="AR835" s="44">
        <v>0</v>
      </c>
      <c r="AS835" s="44">
        <v>0</v>
      </c>
      <c r="AT835" s="44">
        <v>0</v>
      </c>
      <c r="AU835" s="44">
        <v>0</v>
      </c>
      <c r="AV835" s="44">
        <v>0</v>
      </c>
      <c r="AW835" s="44">
        <v>0</v>
      </c>
      <c r="AX835" s="44">
        <v>0</v>
      </c>
      <c r="AY835" s="44">
        <v>0</v>
      </c>
      <c r="AZ835" s="44">
        <v>0</v>
      </c>
      <c r="BA835" s="44">
        <v>0</v>
      </c>
      <c r="BB835" s="44">
        <v>0</v>
      </c>
      <c r="BC835" s="44">
        <v>0</v>
      </c>
      <c r="BD835" s="44">
        <v>0</v>
      </c>
      <c r="BE835" s="44">
        <v>0</v>
      </c>
      <c r="BF835" s="44">
        <v>0</v>
      </c>
      <c r="BG835" s="44">
        <v>0</v>
      </c>
      <c r="BH835" s="44">
        <v>0</v>
      </c>
      <c r="BI835" s="44">
        <v>0</v>
      </c>
      <c r="BJ835" s="44">
        <v>0</v>
      </c>
      <c r="BK835" s="44">
        <v>0</v>
      </c>
      <c r="BL835" s="44">
        <v>0</v>
      </c>
      <c r="BM835" s="44">
        <v>0</v>
      </c>
      <c r="BN835" s="44">
        <v>0</v>
      </c>
      <c r="BO835" s="44">
        <v>0</v>
      </c>
      <c r="BP835" s="44">
        <v>0</v>
      </c>
      <c r="BQ835" s="44">
        <v>0</v>
      </c>
      <c r="BR835" s="44">
        <v>0</v>
      </c>
      <c r="BS835" s="44">
        <v>0</v>
      </c>
      <c r="BT835" s="44">
        <v>0</v>
      </c>
      <c r="BU835" s="44">
        <v>0</v>
      </c>
      <c r="BV835" s="44">
        <v>0</v>
      </c>
      <c r="BW835" s="44">
        <v>0</v>
      </c>
      <c r="BX835" s="44">
        <v>0</v>
      </c>
      <c r="BY835" s="44">
        <v>0</v>
      </c>
      <c r="BZ835" s="44">
        <v>0</v>
      </c>
      <c r="CA835" s="44">
        <v>0</v>
      </c>
      <c r="CB835" s="44">
        <v>0</v>
      </c>
      <c r="CC835" s="44">
        <v>0</v>
      </c>
      <c r="CD835" s="44">
        <v>0</v>
      </c>
      <c r="CE835" s="44">
        <v>0</v>
      </c>
      <c r="CF835" s="44">
        <v>0</v>
      </c>
      <c r="CG835" s="44">
        <v>0</v>
      </c>
      <c r="CH835" s="44">
        <v>0</v>
      </c>
      <c r="CI835" s="44">
        <v>0</v>
      </c>
      <c r="CJ835" s="44">
        <v>0</v>
      </c>
      <c r="CK835" s="44">
        <v>0</v>
      </c>
      <c r="CL835" s="44">
        <v>0</v>
      </c>
      <c r="CM835" s="44">
        <v>0</v>
      </c>
      <c r="CN835" s="44">
        <v>0</v>
      </c>
      <c r="CO835" s="44">
        <v>0</v>
      </c>
      <c r="CP835" s="44">
        <v>0</v>
      </c>
      <c r="CQ835" s="44">
        <v>0</v>
      </c>
      <c r="CR835" s="44">
        <v>0</v>
      </c>
      <c r="CS835" s="44">
        <v>0</v>
      </c>
      <c r="CT835" s="44">
        <v>0</v>
      </c>
      <c r="CU835" s="44">
        <v>0</v>
      </c>
      <c r="CV835" s="44">
        <v>0</v>
      </c>
      <c r="CW835" s="44">
        <v>0</v>
      </c>
      <c r="CX835" s="44">
        <v>0</v>
      </c>
      <c r="CY835" s="44">
        <v>0</v>
      </c>
      <c r="CZ835" s="44">
        <v>0</v>
      </c>
      <c r="DA835" s="44">
        <v>0</v>
      </c>
      <c r="DB835" s="44">
        <v>0</v>
      </c>
      <c r="DC835" s="44">
        <v>0</v>
      </c>
      <c r="DD835" s="44">
        <v>0</v>
      </c>
      <c r="DE835" s="44">
        <v>0</v>
      </c>
      <c r="DF835" s="44">
        <v>0</v>
      </c>
      <c r="DG835" s="16">
        <f t="shared" si="69"/>
        <v>0</v>
      </c>
      <c r="DH835" s="16">
        <f t="shared" si="70"/>
        <v>0</v>
      </c>
      <c r="DI835" s="17" t="str">
        <f t="shared" si="71"/>
        <v/>
      </c>
      <c r="DJ835" s="119" t="s">
        <v>719</v>
      </c>
      <c r="DK835" s="44" t="s">
        <v>719</v>
      </c>
    </row>
    <row r="836" spans="1:115">
      <c r="A836" s="32" t="str">
        <f t="shared" si="67"/>
        <v xml:space="preserve">Ergon--&gt; 132 kV ; SUBDIVISION  </v>
      </c>
      <c r="B836" s="32" t="str">
        <f t="shared" si="68"/>
        <v>Ergon</v>
      </c>
      <c r="C836" s="387"/>
      <c r="D836" s="44"/>
      <c r="E836" s="44" t="s">
        <v>200</v>
      </c>
      <c r="F836" s="44">
        <v>36</v>
      </c>
      <c r="G836" s="44">
        <v>6</v>
      </c>
      <c r="H836" s="44">
        <v>0</v>
      </c>
      <c r="I836" s="44">
        <v>0</v>
      </c>
      <c r="J836" s="44">
        <v>0</v>
      </c>
      <c r="K836" s="44">
        <v>0</v>
      </c>
      <c r="L836" s="44">
        <v>0</v>
      </c>
      <c r="M836" s="44">
        <v>0</v>
      </c>
      <c r="N836" s="44">
        <v>0</v>
      </c>
      <c r="O836" s="44">
        <v>0</v>
      </c>
      <c r="P836" s="44">
        <v>0</v>
      </c>
      <c r="Q836" s="44">
        <v>0</v>
      </c>
      <c r="R836" s="44">
        <v>0</v>
      </c>
      <c r="S836" s="44">
        <v>0</v>
      </c>
      <c r="T836" s="44">
        <v>0</v>
      </c>
      <c r="U836" s="44">
        <v>0</v>
      </c>
      <c r="V836" s="44">
        <v>0</v>
      </c>
      <c r="W836" s="44">
        <v>0</v>
      </c>
      <c r="X836" s="44">
        <v>0</v>
      </c>
      <c r="Y836" s="44">
        <v>0</v>
      </c>
      <c r="Z836" s="44">
        <v>0</v>
      </c>
      <c r="AA836" s="44">
        <v>0</v>
      </c>
      <c r="AB836" s="44">
        <v>0</v>
      </c>
      <c r="AC836" s="44">
        <v>0</v>
      </c>
      <c r="AD836" s="44">
        <v>0</v>
      </c>
      <c r="AE836" s="44">
        <v>0</v>
      </c>
      <c r="AF836" s="44">
        <v>0</v>
      </c>
      <c r="AG836" s="44">
        <v>0</v>
      </c>
      <c r="AH836" s="44">
        <v>0</v>
      </c>
      <c r="AI836" s="44">
        <v>0</v>
      </c>
      <c r="AJ836" s="44">
        <v>0</v>
      </c>
      <c r="AK836" s="44">
        <v>0</v>
      </c>
      <c r="AL836" s="44">
        <v>0</v>
      </c>
      <c r="AM836" s="44">
        <v>0</v>
      </c>
      <c r="AN836" s="44">
        <v>0</v>
      </c>
      <c r="AO836" s="44">
        <v>0</v>
      </c>
      <c r="AP836" s="44">
        <v>0</v>
      </c>
      <c r="AQ836" s="44">
        <v>0</v>
      </c>
      <c r="AR836" s="44">
        <v>0</v>
      </c>
      <c r="AS836" s="44">
        <v>0</v>
      </c>
      <c r="AT836" s="44">
        <v>0</v>
      </c>
      <c r="AU836" s="44">
        <v>0</v>
      </c>
      <c r="AV836" s="44">
        <v>0</v>
      </c>
      <c r="AW836" s="44">
        <v>0</v>
      </c>
      <c r="AX836" s="44">
        <v>0</v>
      </c>
      <c r="AY836" s="44">
        <v>0</v>
      </c>
      <c r="AZ836" s="44">
        <v>0</v>
      </c>
      <c r="BA836" s="44">
        <v>0</v>
      </c>
      <c r="BB836" s="44">
        <v>0</v>
      </c>
      <c r="BC836" s="44">
        <v>0</v>
      </c>
      <c r="BD836" s="44">
        <v>0</v>
      </c>
      <c r="BE836" s="44">
        <v>0</v>
      </c>
      <c r="BF836" s="44">
        <v>0</v>
      </c>
      <c r="BG836" s="44">
        <v>0</v>
      </c>
      <c r="BH836" s="44">
        <v>0</v>
      </c>
      <c r="BI836" s="44">
        <v>0</v>
      </c>
      <c r="BJ836" s="44">
        <v>0</v>
      </c>
      <c r="BK836" s="44">
        <v>0</v>
      </c>
      <c r="BL836" s="44">
        <v>0</v>
      </c>
      <c r="BM836" s="44">
        <v>0</v>
      </c>
      <c r="BN836" s="44">
        <v>0</v>
      </c>
      <c r="BO836" s="44">
        <v>0</v>
      </c>
      <c r="BP836" s="44">
        <v>0</v>
      </c>
      <c r="BQ836" s="44">
        <v>0</v>
      </c>
      <c r="BR836" s="44">
        <v>0</v>
      </c>
      <c r="BS836" s="44">
        <v>0</v>
      </c>
      <c r="BT836" s="44">
        <v>0</v>
      </c>
      <c r="BU836" s="44">
        <v>0</v>
      </c>
      <c r="BV836" s="44">
        <v>0</v>
      </c>
      <c r="BW836" s="44">
        <v>0</v>
      </c>
      <c r="BX836" s="44">
        <v>0</v>
      </c>
      <c r="BY836" s="44">
        <v>0</v>
      </c>
      <c r="BZ836" s="44">
        <v>0</v>
      </c>
      <c r="CA836" s="44">
        <v>0</v>
      </c>
      <c r="CB836" s="44">
        <v>0</v>
      </c>
      <c r="CC836" s="44">
        <v>0</v>
      </c>
      <c r="CD836" s="44">
        <v>0</v>
      </c>
      <c r="CE836" s="44">
        <v>0</v>
      </c>
      <c r="CF836" s="44">
        <v>0</v>
      </c>
      <c r="CG836" s="44">
        <v>0</v>
      </c>
      <c r="CH836" s="44">
        <v>0</v>
      </c>
      <c r="CI836" s="44">
        <v>0</v>
      </c>
      <c r="CJ836" s="44">
        <v>0</v>
      </c>
      <c r="CK836" s="44">
        <v>0</v>
      </c>
      <c r="CL836" s="44">
        <v>0</v>
      </c>
      <c r="CM836" s="44">
        <v>0</v>
      </c>
      <c r="CN836" s="44">
        <v>0</v>
      </c>
      <c r="CO836" s="44">
        <v>0</v>
      </c>
      <c r="CP836" s="44">
        <v>0</v>
      </c>
      <c r="CQ836" s="44">
        <v>0</v>
      </c>
      <c r="CR836" s="44">
        <v>0</v>
      </c>
      <c r="CS836" s="44">
        <v>0</v>
      </c>
      <c r="CT836" s="44">
        <v>0</v>
      </c>
      <c r="CU836" s="44">
        <v>0</v>
      </c>
      <c r="CV836" s="44">
        <v>0</v>
      </c>
      <c r="CW836" s="44">
        <v>0</v>
      </c>
      <c r="CX836" s="44">
        <v>0</v>
      </c>
      <c r="CY836" s="44">
        <v>0</v>
      </c>
      <c r="CZ836" s="44">
        <v>0</v>
      </c>
      <c r="DA836" s="44">
        <v>0</v>
      </c>
      <c r="DB836" s="44">
        <v>0</v>
      </c>
      <c r="DC836" s="44">
        <v>0</v>
      </c>
      <c r="DD836" s="44">
        <v>0</v>
      </c>
      <c r="DE836" s="44">
        <v>0</v>
      </c>
      <c r="DF836" s="44">
        <v>0</v>
      </c>
      <c r="DG836" s="16">
        <f t="shared" si="69"/>
        <v>0</v>
      </c>
      <c r="DH836" s="16">
        <f t="shared" si="70"/>
        <v>0</v>
      </c>
      <c r="DI836" s="17" t="str">
        <f t="shared" si="71"/>
        <v/>
      </c>
      <c r="DJ836" s="119" t="s">
        <v>719</v>
      </c>
      <c r="DK836" s="44" t="s">
        <v>719</v>
      </c>
    </row>
    <row r="837" spans="1:115">
      <c r="A837" s="32" t="str">
        <f t="shared" si="67"/>
        <v>Ergon--OTHER - PLEASE ADD A ROW IF NECESSARY AND NOMINATE THE CATEGORY</v>
      </c>
      <c r="B837" s="32" t="str">
        <f t="shared" si="68"/>
        <v>Ergon</v>
      </c>
      <c r="C837" s="387"/>
      <c r="D837" s="44"/>
      <c r="E837" s="44" t="s">
        <v>170</v>
      </c>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c r="BL837" s="44"/>
      <c r="BM837" s="44"/>
      <c r="BN837" s="44"/>
      <c r="BO837" s="44"/>
      <c r="BP837" s="44"/>
      <c r="BQ837" s="44"/>
      <c r="BR837" s="44"/>
      <c r="BS837" s="44"/>
      <c r="BT837" s="44"/>
      <c r="BU837" s="44"/>
      <c r="BV837" s="44"/>
      <c r="BW837" s="44"/>
      <c r="BX837" s="44"/>
      <c r="BY837" s="44"/>
      <c r="BZ837" s="44"/>
      <c r="CA837" s="44"/>
      <c r="CB837" s="44"/>
      <c r="CC837" s="44"/>
      <c r="CD837" s="44"/>
      <c r="CE837" s="44"/>
      <c r="CF837" s="44"/>
      <c r="CG837" s="44"/>
      <c r="CH837" s="44"/>
      <c r="CI837" s="44"/>
      <c r="CJ837" s="44"/>
      <c r="CK837" s="44"/>
      <c r="CL837" s="44"/>
      <c r="CM837" s="44"/>
      <c r="CN837" s="44"/>
      <c r="CO837" s="44"/>
      <c r="CP837" s="44"/>
      <c r="CQ837" s="44"/>
      <c r="CR837" s="44"/>
      <c r="CS837" s="44"/>
      <c r="CT837" s="44"/>
      <c r="CU837" s="44"/>
      <c r="CV837" s="44"/>
      <c r="CW837" s="44"/>
      <c r="CX837" s="44"/>
      <c r="CY837" s="44"/>
      <c r="CZ837" s="44"/>
      <c r="DA837" s="44"/>
      <c r="DB837" s="44"/>
      <c r="DC837" s="44"/>
      <c r="DD837" s="44"/>
      <c r="DE837" s="44"/>
      <c r="DF837" s="44"/>
      <c r="DG837" s="16">
        <f t="shared" si="69"/>
        <v>0</v>
      </c>
      <c r="DH837" s="16">
        <f t="shared" si="70"/>
        <v>0</v>
      </c>
      <c r="DI837" s="17" t="str">
        <f t="shared" si="71"/>
        <v/>
      </c>
      <c r="DJ837" s="119" t="s">
        <v>719</v>
      </c>
      <c r="DK837" s="44" t="s">
        <v>719</v>
      </c>
    </row>
    <row r="838" spans="1:115" ht="75">
      <c r="A838" s="32" t="str">
        <f t="shared" si="67"/>
        <v>Ergon-TRANSFORMERS BY: 
MOUNTING TYPE; HIGHEST OPERATING VOLTAGE ; AMPERE RATING; NUMBER OF PHASES (AT LV)-POLE MOUNTED ; &lt; = 22kV ;  &lt; = 60 kVA ; SINGLE PHASE</v>
      </c>
      <c r="B838" s="32" t="str">
        <f t="shared" si="68"/>
        <v>Ergon</v>
      </c>
      <c r="C838" s="387"/>
      <c r="D838" s="31" t="s">
        <v>544</v>
      </c>
      <c r="E838" s="44" t="s">
        <v>203</v>
      </c>
      <c r="F838" s="44">
        <v>48.6</v>
      </c>
      <c r="G838" s="44">
        <v>6.97</v>
      </c>
      <c r="H838" s="44">
        <v>759</v>
      </c>
      <c r="I838" s="44">
        <v>763</v>
      </c>
      <c r="J838" s="44">
        <v>1067</v>
      </c>
      <c r="K838" s="44">
        <v>1426</v>
      </c>
      <c r="L838" s="44">
        <v>1904</v>
      </c>
      <c r="M838" s="44">
        <v>1621</v>
      </c>
      <c r="N838" s="44">
        <v>1159</v>
      </c>
      <c r="O838" s="44">
        <v>1132</v>
      </c>
      <c r="P838" s="44">
        <v>1098</v>
      </c>
      <c r="Q838" s="44">
        <v>1065</v>
      </c>
      <c r="R838" s="44">
        <v>813</v>
      </c>
      <c r="S838" s="44">
        <v>864</v>
      </c>
      <c r="T838" s="44">
        <v>883</v>
      </c>
      <c r="U838" s="44">
        <v>830</v>
      </c>
      <c r="V838" s="44">
        <v>873</v>
      </c>
      <c r="W838" s="44">
        <v>796</v>
      </c>
      <c r="X838" s="44">
        <v>898</v>
      </c>
      <c r="Y838" s="44">
        <v>1047</v>
      </c>
      <c r="Z838" s="44">
        <v>1156</v>
      </c>
      <c r="AA838" s="44">
        <v>1051</v>
      </c>
      <c r="AB838" s="44">
        <v>998</v>
      </c>
      <c r="AC838" s="44">
        <v>1053</v>
      </c>
      <c r="AD838" s="44">
        <v>1029</v>
      </c>
      <c r="AE838" s="44">
        <v>1043</v>
      </c>
      <c r="AF838" s="44">
        <v>1043</v>
      </c>
      <c r="AG838" s="44">
        <v>861</v>
      </c>
      <c r="AH838" s="44">
        <v>1016</v>
      </c>
      <c r="AI838" s="44">
        <v>1027</v>
      </c>
      <c r="AJ838" s="44">
        <v>1106</v>
      </c>
      <c r="AK838" s="44">
        <v>1095</v>
      </c>
      <c r="AL838" s="44">
        <v>934</v>
      </c>
      <c r="AM838" s="44">
        <v>1238</v>
      </c>
      <c r="AN838" s="44">
        <v>1113</v>
      </c>
      <c r="AO838" s="44">
        <v>941</v>
      </c>
      <c r="AP838" s="44">
        <v>632</v>
      </c>
      <c r="AQ838" s="44">
        <v>542</v>
      </c>
      <c r="AR838" s="44">
        <v>587</v>
      </c>
      <c r="AS838" s="44">
        <v>491</v>
      </c>
      <c r="AT838" s="44">
        <v>568</v>
      </c>
      <c r="AU838" s="44">
        <v>707</v>
      </c>
      <c r="AV838" s="44">
        <v>458</v>
      </c>
      <c r="AW838" s="44">
        <v>517</v>
      </c>
      <c r="AX838" s="44">
        <v>496</v>
      </c>
      <c r="AY838" s="44">
        <v>545</v>
      </c>
      <c r="AZ838" s="44">
        <v>458</v>
      </c>
      <c r="BA838" s="44">
        <v>435</v>
      </c>
      <c r="BB838" s="44">
        <v>391</v>
      </c>
      <c r="BC838" s="44">
        <v>309</v>
      </c>
      <c r="BD838" s="44">
        <v>847</v>
      </c>
      <c r="BE838" s="44">
        <v>367</v>
      </c>
      <c r="BF838" s="44">
        <v>169</v>
      </c>
      <c r="BG838" s="44">
        <v>53</v>
      </c>
      <c r="BH838" s="44">
        <v>27</v>
      </c>
      <c r="BI838" s="44">
        <v>27</v>
      </c>
      <c r="BJ838" s="44">
        <v>21</v>
      </c>
      <c r="BK838" s="44">
        <v>18</v>
      </c>
      <c r="BL838" s="44">
        <v>5</v>
      </c>
      <c r="BM838" s="44">
        <v>6</v>
      </c>
      <c r="BN838" s="44">
        <v>32</v>
      </c>
      <c r="BO838" s="44">
        <v>2</v>
      </c>
      <c r="BP838" s="44">
        <v>1</v>
      </c>
      <c r="BQ838" s="44">
        <v>1</v>
      </c>
      <c r="BR838" s="44">
        <v>0</v>
      </c>
      <c r="BS838" s="44">
        <v>0</v>
      </c>
      <c r="BT838" s="44">
        <v>0</v>
      </c>
      <c r="BU838" s="44">
        <v>0</v>
      </c>
      <c r="BV838" s="44">
        <v>0</v>
      </c>
      <c r="BW838" s="44">
        <v>3</v>
      </c>
      <c r="BX838" s="44">
        <v>0</v>
      </c>
      <c r="BY838" s="44">
        <v>0</v>
      </c>
      <c r="BZ838" s="44">
        <v>0</v>
      </c>
      <c r="CA838" s="44">
        <v>0</v>
      </c>
      <c r="CB838" s="44">
        <v>0</v>
      </c>
      <c r="CC838" s="44">
        <v>0</v>
      </c>
      <c r="CD838" s="44">
        <v>0</v>
      </c>
      <c r="CE838" s="44">
        <v>0</v>
      </c>
      <c r="CF838" s="44">
        <v>0</v>
      </c>
      <c r="CG838" s="44">
        <v>0</v>
      </c>
      <c r="CH838" s="44">
        <v>0</v>
      </c>
      <c r="CI838" s="44">
        <v>0</v>
      </c>
      <c r="CJ838" s="44">
        <v>0</v>
      </c>
      <c r="CK838" s="44">
        <v>0</v>
      </c>
      <c r="CL838" s="44">
        <v>0</v>
      </c>
      <c r="CM838" s="44">
        <v>0</v>
      </c>
      <c r="CN838" s="44">
        <v>0</v>
      </c>
      <c r="CO838" s="44">
        <v>0</v>
      </c>
      <c r="CP838" s="44">
        <v>0</v>
      </c>
      <c r="CQ838" s="44">
        <v>0</v>
      </c>
      <c r="CR838" s="44">
        <v>0</v>
      </c>
      <c r="CS838" s="44">
        <v>0</v>
      </c>
      <c r="CT838" s="44">
        <v>0</v>
      </c>
      <c r="CU838" s="44">
        <v>0</v>
      </c>
      <c r="CV838" s="44">
        <v>0</v>
      </c>
      <c r="CW838" s="44">
        <v>0</v>
      </c>
      <c r="CX838" s="44">
        <v>0</v>
      </c>
      <c r="CY838" s="44">
        <v>0</v>
      </c>
      <c r="CZ838" s="44">
        <v>0</v>
      </c>
      <c r="DA838" s="44">
        <v>0</v>
      </c>
      <c r="DB838" s="44">
        <v>0</v>
      </c>
      <c r="DC838" s="44">
        <v>0</v>
      </c>
      <c r="DD838" s="44">
        <v>0</v>
      </c>
      <c r="DE838" s="44">
        <v>0</v>
      </c>
      <c r="DF838" s="44">
        <v>0</v>
      </c>
      <c r="DG838" s="16">
        <f t="shared" si="69"/>
        <v>44417</v>
      </c>
      <c r="DH838" s="16">
        <f t="shared" si="70"/>
        <v>984481</v>
      </c>
      <c r="DI838" s="17">
        <f t="shared" si="71"/>
        <v>22.164509084359594</v>
      </c>
      <c r="DJ838" s="119" t="s">
        <v>4</v>
      </c>
      <c r="DK838" t="s">
        <v>4</v>
      </c>
    </row>
    <row r="839" spans="1:115">
      <c r="A839" s="32" t="str">
        <f t="shared" si="67"/>
        <v>Ergon--POLE MOUNTED ; &lt; = 22kV ;  &gt; 60 kVA AND &lt; = 600 kVA ; SINGLE PHASE</v>
      </c>
      <c r="B839" s="32" t="str">
        <f t="shared" si="68"/>
        <v>Ergon</v>
      </c>
      <c r="C839" s="387"/>
      <c r="D839" s="44"/>
      <c r="E839" s="44" t="s">
        <v>204</v>
      </c>
      <c r="F839" s="44">
        <v>48.6</v>
      </c>
      <c r="G839" s="44">
        <v>6.97</v>
      </c>
      <c r="H839" s="44">
        <v>14</v>
      </c>
      <c r="I839" s="44">
        <v>16</v>
      </c>
      <c r="J839" s="44">
        <v>13</v>
      </c>
      <c r="K839" s="44">
        <v>19</v>
      </c>
      <c r="L839" s="44">
        <v>59</v>
      </c>
      <c r="M839" s="44">
        <v>40</v>
      </c>
      <c r="N839" s="44">
        <v>26</v>
      </c>
      <c r="O839" s="44">
        <v>13</v>
      </c>
      <c r="P839" s="44">
        <v>9</v>
      </c>
      <c r="Q839" s="44">
        <v>6</v>
      </c>
      <c r="R839" s="44">
        <v>1</v>
      </c>
      <c r="S839" s="44">
        <v>3</v>
      </c>
      <c r="T839" s="44">
        <v>3</v>
      </c>
      <c r="U839" s="44">
        <v>4</v>
      </c>
      <c r="V839" s="44">
        <v>2</v>
      </c>
      <c r="W839" s="44">
        <v>5</v>
      </c>
      <c r="X839" s="44">
        <v>2</v>
      </c>
      <c r="Y839" s="44">
        <v>0</v>
      </c>
      <c r="Z839" s="44">
        <v>3</v>
      </c>
      <c r="AA839" s="44">
        <v>2</v>
      </c>
      <c r="AB839" s="44">
        <v>1</v>
      </c>
      <c r="AC839" s="44">
        <v>4</v>
      </c>
      <c r="AD839" s="44">
        <v>1</v>
      </c>
      <c r="AE839" s="44">
        <v>0</v>
      </c>
      <c r="AF839" s="44">
        <v>0</v>
      </c>
      <c r="AG839" s="44">
        <v>0</v>
      </c>
      <c r="AH839" s="44">
        <v>1</v>
      </c>
      <c r="AI839" s="44">
        <v>3</v>
      </c>
      <c r="AJ839" s="44">
        <v>2</v>
      </c>
      <c r="AK839" s="44">
        <v>0</v>
      </c>
      <c r="AL839" s="44">
        <v>2</v>
      </c>
      <c r="AM839" s="44">
        <v>2</v>
      </c>
      <c r="AN839" s="44">
        <v>3</v>
      </c>
      <c r="AO839" s="44">
        <v>2</v>
      </c>
      <c r="AP839" s="44">
        <v>0</v>
      </c>
      <c r="AQ839" s="44">
        <v>9</v>
      </c>
      <c r="AR839" s="44">
        <v>1</v>
      </c>
      <c r="AS839" s="44">
        <v>0</v>
      </c>
      <c r="AT839" s="44">
        <v>2</v>
      </c>
      <c r="AU839" s="44">
        <v>0</v>
      </c>
      <c r="AV839" s="44">
        <v>1</v>
      </c>
      <c r="AW839" s="44">
        <v>1</v>
      </c>
      <c r="AX839" s="44">
        <v>1</v>
      </c>
      <c r="AY839" s="44">
        <v>1</v>
      </c>
      <c r="AZ839" s="44">
        <v>0</v>
      </c>
      <c r="BA839" s="44">
        <v>0</v>
      </c>
      <c r="BB839" s="44">
        <v>1</v>
      </c>
      <c r="BC839" s="44">
        <v>0</v>
      </c>
      <c r="BD839" s="44">
        <v>1</v>
      </c>
      <c r="BE839" s="44">
        <v>0</v>
      </c>
      <c r="BF839" s="44">
        <v>0</v>
      </c>
      <c r="BG839" s="44">
        <v>0</v>
      </c>
      <c r="BH839" s="44">
        <v>0</v>
      </c>
      <c r="BI839" s="44">
        <v>0</v>
      </c>
      <c r="BJ839" s="44">
        <v>0</v>
      </c>
      <c r="BK839" s="44">
        <v>0</v>
      </c>
      <c r="BL839" s="44">
        <v>0</v>
      </c>
      <c r="BM839" s="44">
        <v>0</v>
      </c>
      <c r="BN839" s="44">
        <v>0</v>
      </c>
      <c r="BO839" s="44">
        <v>0</v>
      </c>
      <c r="BP839" s="44">
        <v>0</v>
      </c>
      <c r="BQ839" s="44">
        <v>0</v>
      </c>
      <c r="BR839" s="44">
        <v>0</v>
      </c>
      <c r="BS839" s="44">
        <v>0</v>
      </c>
      <c r="BT839" s="44">
        <v>0</v>
      </c>
      <c r="BU839" s="44">
        <v>0</v>
      </c>
      <c r="BV839" s="44">
        <v>0</v>
      </c>
      <c r="BW839" s="44">
        <v>0</v>
      </c>
      <c r="BX839" s="44">
        <v>0</v>
      </c>
      <c r="BY839" s="44">
        <v>0</v>
      </c>
      <c r="BZ839" s="44">
        <v>0</v>
      </c>
      <c r="CA839" s="44">
        <v>0</v>
      </c>
      <c r="CB839" s="44">
        <v>0</v>
      </c>
      <c r="CC839" s="44">
        <v>0</v>
      </c>
      <c r="CD839" s="44">
        <v>0</v>
      </c>
      <c r="CE839" s="44">
        <v>0</v>
      </c>
      <c r="CF839" s="44">
        <v>0</v>
      </c>
      <c r="CG839" s="44">
        <v>0</v>
      </c>
      <c r="CH839" s="44">
        <v>0</v>
      </c>
      <c r="CI839" s="44">
        <v>0</v>
      </c>
      <c r="CJ839" s="44">
        <v>0</v>
      </c>
      <c r="CK839" s="44">
        <v>0</v>
      </c>
      <c r="CL839" s="44">
        <v>0</v>
      </c>
      <c r="CM839" s="44">
        <v>0</v>
      </c>
      <c r="CN839" s="44">
        <v>0</v>
      </c>
      <c r="CO839" s="44">
        <v>0</v>
      </c>
      <c r="CP839" s="44">
        <v>0</v>
      </c>
      <c r="CQ839" s="44">
        <v>0</v>
      </c>
      <c r="CR839" s="44">
        <v>0</v>
      </c>
      <c r="CS839" s="44">
        <v>0</v>
      </c>
      <c r="CT839" s="44">
        <v>0</v>
      </c>
      <c r="CU839" s="44">
        <v>0</v>
      </c>
      <c r="CV839" s="44">
        <v>0</v>
      </c>
      <c r="CW839" s="44">
        <v>0</v>
      </c>
      <c r="CX839" s="44">
        <v>0</v>
      </c>
      <c r="CY839" s="44">
        <v>0</v>
      </c>
      <c r="CZ839" s="44">
        <v>0</v>
      </c>
      <c r="DA839" s="44">
        <v>0</v>
      </c>
      <c r="DB839" s="44">
        <v>0</v>
      </c>
      <c r="DC839" s="44">
        <v>0</v>
      </c>
      <c r="DD839" s="44">
        <v>0</v>
      </c>
      <c r="DE839" s="44">
        <v>0</v>
      </c>
      <c r="DF839" s="44">
        <v>0</v>
      </c>
      <c r="DG839" s="16">
        <f t="shared" si="69"/>
        <v>279</v>
      </c>
      <c r="DH839" s="16">
        <f t="shared" si="70"/>
        <v>2805</v>
      </c>
      <c r="DI839" s="17">
        <f t="shared" si="71"/>
        <v>10.053763440860216</v>
      </c>
      <c r="DJ839" s="119" t="s">
        <v>4</v>
      </c>
      <c r="DK839" s="44" t="s">
        <v>4</v>
      </c>
    </row>
    <row r="840" spans="1:115">
      <c r="A840" s="32" t="str">
        <f t="shared" si="67"/>
        <v>Ergon--POLE MOUNTED ; &lt; = 22kV ;  &gt; 600 kVA ; SINGLE PHASE</v>
      </c>
      <c r="B840" s="32" t="str">
        <f t="shared" si="68"/>
        <v>Ergon</v>
      </c>
      <c r="C840" s="387"/>
      <c r="D840" s="44"/>
      <c r="E840" s="44" t="s">
        <v>205</v>
      </c>
      <c r="F840" s="44">
        <v>48.6</v>
      </c>
      <c r="G840" s="44">
        <v>6.97</v>
      </c>
      <c r="H840" s="44">
        <v>0</v>
      </c>
      <c r="I840" s="44">
        <v>0</v>
      </c>
      <c r="J840" s="44">
        <v>0</v>
      </c>
      <c r="K840" s="44">
        <v>0</v>
      </c>
      <c r="L840" s="44">
        <v>0</v>
      </c>
      <c r="M840" s="44">
        <v>0</v>
      </c>
      <c r="N840" s="44">
        <v>2</v>
      </c>
      <c r="O840" s="44">
        <v>0</v>
      </c>
      <c r="P840" s="44">
        <v>0</v>
      </c>
      <c r="Q840" s="44">
        <v>0</v>
      </c>
      <c r="R840" s="44">
        <v>0</v>
      </c>
      <c r="S840" s="44">
        <v>0</v>
      </c>
      <c r="T840" s="44">
        <v>0</v>
      </c>
      <c r="U840" s="44">
        <v>0</v>
      </c>
      <c r="V840" s="44">
        <v>0</v>
      </c>
      <c r="W840" s="44">
        <v>0</v>
      </c>
      <c r="X840" s="44">
        <v>0</v>
      </c>
      <c r="Y840" s="44">
        <v>0</v>
      </c>
      <c r="Z840" s="44">
        <v>0</v>
      </c>
      <c r="AA840" s="44">
        <v>0</v>
      </c>
      <c r="AB840" s="44">
        <v>0</v>
      </c>
      <c r="AC840" s="44">
        <v>0</v>
      </c>
      <c r="AD840" s="44">
        <v>0</v>
      </c>
      <c r="AE840" s="44">
        <v>0</v>
      </c>
      <c r="AF840" s="44">
        <v>0</v>
      </c>
      <c r="AG840" s="44">
        <v>0</v>
      </c>
      <c r="AH840" s="44">
        <v>0</v>
      </c>
      <c r="AI840" s="44">
        <v>0</v>
      </c>
      <c r="AJ840" s="44">
        <v>0</v>
      </c>
      <c r="AK840" s="44">
        <v>0</v>
      </c>
      <c r="AL840" s="44">
        <v>0</v>
      </c>
      <c r="AM840" s="44">
        <v>0</v>
      </c>
      <c r="AN840" s="44">
        <v>0</v>
      </c>
      <c r="AO840" s="44">
        <v>0</v>
      </c>
      <c r="AP840" s="44">
        <v>0</v>
      </c>
      <c r="AQ840" s="44">
        <v>0</v>
      </c>
      <c r="AR840" s="44">
        <v>0</v>
      </c>
      <c r="AS840" s="44">
        <v>0</v>
      </c>
      <c r="AT840" s="44">
        <v>0</v>
      </c>
      <c r="AU840" s="44">
        <v>0</v>
      </c>
      <c r="AV840" s="44">
        <v>0</v>
      </c>
      <c r="AW840" s="44">
        <v>0</v>
      </c>
      <c r="AX840" s="44">
        <v>0</v>
      </c>
      <c r="AY840" s="44">
        <v>0</v>
      </c>
      <c r="AZ840" s="44">
        <v>0</v>
      </c>
      <c r="BA840" s="44">
        <v>0</v>
      </c>
      <c r="BB840" s="44">
        <v>0</v>
      </c>
      <c r="BC840" s="44">
        <v>0</v>
      </c>
      <c r="BD840" s="44">
        <v>0</v>
      </c>
      <c r="BE840" s="44">
        <v>0</v>
      </c>
      <c r="BF840" s="44">
        <v>0</v>
      </c>
      <c r="BG840" s="44">
        <v>0</v>
      </c>
      <c r="BH840" s="44">
        <v>0</v>
      </c>
      <c r="BI840" s="44">
        <v>0</v>
      </c>
      <c r="BJ840" s="44">
        <v>0</v>
      </c>
      <c r="BK840" s="44">
        <v>0</v>
      </c>
      <c r="BL840" s="44">
        <v>0</v>
      </c>
      <c r="BM840" s="44">
        <v>0</v>
      </c>
      <c r="BN840" s="44">
        <v>0</v>
      </c>
      <c r="BO840" s="44">
        <v>0</v>
      </c>
      <c r="BP840" s="44">
        <v>0</v>
      </c>
      <c r="BQ840" s="44">
        <v>0</v>
      </c>
      <c r="BR840" s="44">
        <v>0</v>
      </c>
      <c r="BS840" s="44">
        <v>0</v>
      </c>
      <c r="BT840" s="44">
        <v>0</v>
      </c>
      <c r="BU840" s="44">
        <v>0</v>
      </c>
      <c r="BV840" s="44">
        <v>0</v>
      </c>
      <c r="BW840" s="44">
        <v>0</v>
      </c>
      <c r="BX840" s="44">
        <v>0</v>
      </c>
      <c r="BY840" s="44">
        <v>0</v>
      </c>
      <c r="BZ840" s="44">
        <v>0</v>
      </c>
      <c r="CA840" s="44">
        <v>0</v>
      </c>
      <c r="CB840" s="44">
        <v>0</v>
      </c>
      <c r="CC840" s="44">
        <v>0</v>
      </c>
      <c r="CD840" s="44">
        <v>0</v>
      </c>
      <c r="CE840" s="44">
        <v>0</v>
      </c>
      <c r="CF840" s="44">
        <v>0</v>
      </c>
      <c r="CG840" s="44">
        <v>0</v>
      </c>
      <c r="CH840" s="44">
        <v>0</v>
      </c>
      <c r="CI840" s="44">
        <v>0</v>
      </c>
      <c r="CJ840" s="44">
        <v>0</v>
      </c>
      <c r="CK840" s="44">
        <v>0</v>
      </c>
      <c r="CL840" s="44">
        <v>0</v>
      </c>
      <c r="CM840" s="44">
        <v>0</v>
      </c>
      <c r="CN840" s="44">
        <v>0</v>
      </c>
      <c r="CO840" s="44">
        <v>0</v>
      </c>
      <c r="CP840" s="44">
        <v>0</v>
      </c>
      <c r="CQ840" s="44">
        <v>0</v>
      </c>
      <c r="CR840" s="44">
        <v>0</v>
      </c>
      <c r="CS840" s="44">
        <v>0</v>
      </c>
      <c r="CT840" s="44">
        <v>0</v>
      </c>
      <c r="CU840" s="44">
        <v>0</v>
      </c>
      <c r="CV840" s="44">
        <v>0</v>
      </c>
      <c r="CW840" s="44">
        <v>0</v>
      </c>
      <c r="CX840" s="44">
        <v>0</v>
      </c>
      <c r="CY840" s="44">
        <v>0</v>
      </c>
      <c r="CZ840" s="44">
        <v>0</v>
      </c>
      <c r="DA840" s="44">
        <v>0</v>
      </c>
      <c r="DB840" s="44">
        <v>0</v>
      </c>
      <c r="DC840" s="44">
        <v>0</v>
      </c>
      <c r="DD840" s="44">
        <v>0</v>
      </c>
      <c r="DE840" s="44">
        <v>0</v>
      </c>
      <c r="DF840" s="44">
        <v>0</v>
      </c>
      <c r="DG840" s="16">
        <f t="shared" si="69"/>
        <v>2</v>
      </c>
      <c r="DH840" s="16">
        <f t="shared" si="70"/>
        <v>14</v>
      </c>
      <c r="DI840" s="17">
        <f t="shared" si="71"/>
        <v>7</v>
      </c>
      <c r="DJ840" s="119" t="s">
        <v>4</v>
      </c>
      <c r="DK840" s="44" t="s">
        <v>4</v>
      </c>
    </row>
    <row r="841" spans="1:115">
      <c r="A841" s="32" t="str">
        <f t="shared" si="67"/>
        <v>Ergon--POLE MOUNTED ; &lt; = 22kV ;  &lt; = 60 kVA  ; MULTIPLE PHASE</v>
      </c>
      <c r="B841" s="32" t="str">
        <f t="shared" si="68"/>
        <v>Ergon</v>
      </c>
      <c r="C841" s="387"/>
      <c r="D841" s="44"/>
      <c r="E841" s="44" t="s">
        <v>206</v>
      </c>
      <c r="F841" s="44">
        <v>48.6</v>
      </c>
      <c r="G841" s="44">
        <v>6.97</v>
      </c>
      <c r="H841" s="44">
        <v>278</v>
      </c>
      <c r="I841" s="44">
        <v>326</v>
      </c>
      <c r="J841" s="44">
        <v>425</v>
      </c>
      <c r="K841" s="44">
        <v>1417</v>
      </c>
      <c r="L841" s="44">
        <v>581</v>
      </c>
      <c r="M841" s="44">
        <v>518</v>
      </c>
      <c r="N841" s="44">
        <v>320</v>
      </c>
      <c r="O841" s="44">
        <v>299</v>
      </c>
      <c r="P841" s="44">
        <v>311</v>
      </c>
      <c r="Q841" s="44">
        <v>271</v>
      </c>
      <c r="R841" s="44">
        <v>268</v>
      </c>
      <c r="S841" s="44">
        <v>373</v>
      </c>
      <c r="T841" s="44">
        <v>364</v>
      </c>
      <c r="U841" s="44">
        <v>303</v>
      </c>
      <c r="V841" s="44">
        <v>284</v>
      </c>
      <c r="W841" s="44">
        <v>472</v>
      </c>
      <c r="X841" s="44">
        <v>397</v>
      </c>
      <c r="Y841" s="44">
        <v>529</v>
      </c>
      <c r="Z841" s="44">
        <v>607</v>
      </c>
      <c r="AA841" s="44">
        <v>622</v>
      </c>
      <c r="AB841" s="44">
        <v>478</v>
      </c>
      <c r="AC841" s="44">
        <v>442</v>
      </c>
      <c r="AD841" s="44">
        <v>527</v>
      </c>
      <c r="AE841" s="44">
        <v>607</v>
      </c>
      <c r="AF841" s="44">
        <v>492</v>
      </c>
      <c r="AG841" s="44">
        <v>366</v>
      </c>
      <c r="AH841" s="44">
        <v>378</v>
      </c>
      <c r="AI841" s="44">
        <v>422</v>
      </c>
      <c r="AJ841" s="44">
        <v>389</v>
      </c>
      <c r="AK841" s="44">
        <v>454</v>
      </c>
      <c r="AL841" s="44">
        <v>414</v>
      </c>
      <c r="AM841" s="44">
        <v>550</v>
      </c>
      <c r="AN841" s="44">
        <v>528</v>
      </c>
      <c r="AO841" s="44">
        <v>495</v>
      </c>
      <c r="AP841" s="44">
        <v>298</v>
      </c>
      <c r="AQ841" s="44">
        <v>351</v>
      </c>
      <c r="AR841" s="44">
        <v>300</v>
      </c>
      <c r="AS841" s="44">
        <v>221</v>
      </c>
      <c r="AT841" s="44">
        <v>211</v>
      </c>
      <c r="AU841" s="44">
        <v>187</v>
      </c>
      <c r="AV841" s="44">
        <v>166</v>
      </c>
      <c r="AW841" s="44">
        <v>230</v>
      </c>
      <c r="AX841" s="44">
        <v>170</v>
      </c>
      <c r="AY841" s="44">
        <v>211</v>
      </c>
      <c r="AZ841" s="44">
        <v>184</v>
      </c>
      <c r="BA841" s="44">
        <v>168</v>
      </c>
      <c r="BB841" s="44">
        <v>176</v>
      </c>
      <c r="BC841" s="44">
        <v>229</v>
      </c>
      <c r="BD841" s="44">
        <v>300</v>
      </c>
      <c r="BE841" s="44">
        <v>178</v>
      </c>
      <c r="BF841" s="44">
        <v>84</v>
      </c>
      <c r="BG841" s="44">
        <v>17</v>
      </c>
      <c r="BH841" s="44">
        <v>20</v>
      </c>
      <c r="BI841" s="44">
        <v>8</v>
      </c>
      <c r="BJ841" s="44">
        <v>17</v>
      </c>
      <c r="BK841" s="44">
        <v>9</v>
      </c>
      <c r="BL841" s="44">
        <v>4</v>
      </c>
      <c r="BM841" s="44">
        <v>1</v>
      </c>
      <c r="BN841" s="44">
        <v>48</v>
      </c>
      <c r="BO841" s="44">
        <v>1</v>
      </c>
      <c r="BP841" s="44">
        <v>0</v>
      </c>
      <c r="BQ841" s="44">
        <v>2</v>
      </c>
      <c r="BR841" s="44">
        <v>3</v>
      </c>
      <c r="BS841" s="44">
        <v>3</v>
      </c>
      <c r="BT841" s="44">
        <v>1</v>
      </c>
      <c r="BU841" s="44">
        <v>2</v>
      </c>
      <c r="BV841" s="44">
        <v>0</v>
      </c>
      <c r="BW841" s="44">
        <v>2</v>
      </c>
      <c r="BX841" s="44">
        <v>0</v>
      </c>
      <c r="BY841" s="44">
        <v>0</v>
      </c>
      <c r="BZ841" s="44">
        <v>0</v>
      </c>
      <c r="CA841" s="44">
        <v>2</v>
      </c>
      <c r="CB841" s="44">
        <v>0</v>
      </c>
      <c r="CC841" s="44">
        <v>0</v>
      </c>
      <c r="CD841" s="44">
        <v>0</v>
      </c>
      <c r="CE841" s="44">
        <v>0</v>
      </c>
      <c r="CF841" s="44">
        <v>0</v>
      </c>
      <c r="CG841" s="44">
        <v>0</v>
      </c>
      <c r="CH841" s="44">
        <v>0</v>
      </c>
      <c r="CI841" s="44">
        <v>0</v>
      </c>
      <c r="CJ841" s="44">
        <v>0</v>
      </c>
      <c r="CK841" s="44">
        <v>0</v>
      </c>
      <c r="CL841" s="44">
        <v>0</v>
      </c>
      <c r="CM841" s="44">
        <v>0</v>
      </c>
      <c r="CN841" s="44">
        <v>0</v>
      </c>
      <c r="CO841" s="44">
        <v>0</v>
      </c>
      <c r="CP841" s="44">
        <v>0</v>
      </c>
      <c r="CQ841" s="44">
        <v>0</v>
      </c>
      <c r="CR841" s="44">
        <v>0</v>
      </c>
      <c r="CS841" s="44">
        <v>0</v>
      </c>
      <c r="CT841" s="44">
        <v>0</v>
      </c>
      <c r="CU841" s="44">
        <v>0</v>
      </c>
      <c r="CV841" s="44">
        <v>0</v>
      </c>
      <c r="CW841" s="44">
        <v>0</v>
      </c>
      <c r="CX841" s="44">
        <v>0</v>
      </c>
      <c r="CY841" s="44">
        <v>0</v>
      </c>
      <c r="CZ841" s="44">
        <v>0</v>
      </c>
      <c r="DA841" s="44">
        <v>0</v>
      </c>
      <c r="DB841" s="44">
        <v>0</v>
      </c>
      <c r="DC841" s="44">
        <v>0</v>
      </c>
      <c r="DD841" s="44">
        <v>0</v>
      </c>
      <c r="DE841" s="44">
        <v>0</v>
      </c>
      <c r="DF841" s="44">
        <v>0</v>
      </c>
      <c r="DG841" s="16">
        <f t="shared" si="69"/>
        <v>19311</v>
      </c>
      <c r="DH841" s="16">
        <f t="shared" si="70"/>
        <v>434823</v>
      </c>
      <c r="DI841" s="17">
        <f t="shared" si="71"/>
        <v>22.516855678110922</v>
      </c>
      <c r="DJ841" s="119" t="s">
        <v>4</v>
      </c>
      <c r="DK841" s="44" t="s">
        <v>4</v>
      </c>
    </row>
    <row r="842" spans="1:115">
      <c r="A842" s="32" t="str">
        <f t="shared" si="67"/>
        <v>Ergon--POLE MOUNTED ; &lt; = 22kV ;  &gt; 60 kVA AND &lt; = 600 kVA  ; MULTIPLE PHASE</v>
      </c>
      <c r="B842" s="32" t="str">
        <f t="shared" si="68"/>
        <v>Ergon</v>
      </c>
      <c r="C842" s="387"/>
      <c r="D842" s="44"/>
      <c r="E842" s="44" t="s">
        <v>207</v>
      </c>
      <c r="F842" s="44">
        <v>48.6</v>
      </c>
      <c r="G842" s="44">
        <v>6.97</v>
      </c>
      <c r="H842" s="44">
        <v>823</v>
      </c>
      <c r="I842" s="44">
        <v>825</v>
      </c>
      <c r="J842" s="44">
        <v>892</v>
      </c>
      <c r="K842" s="44">
        <v>1496</v>
      </c>
      <c r="L842" s="44">
        <v>1751</v>
      </c>
      <c r="M842" s="44">
        <v>1528</v>
      </c>
      <c r="N842" s="44">
        <v>868</v>
      </c>
      <c r="O842" s="44">
        <v>789</v>
      </c>
      <c r="P842" s="44">
        <v>696</v>
      </c>
      <c r="Q842" s="44">
        <v>564</v>
      </c>
      <c r="R842" s="44">
        <v>472</v>
      </c>
      <c r="S842" s="44">
        <v>492</v>
      </c>
      <c r="T842" s="44">
        <v>440</v>
      </c>
      <c r="U842" s="44">
        <v>467</v>
      </c>
      <c r="V842" s="44">
        <v>423</v>
      </c>
      <c r="W842" s="44">
        <v>505</v>
      </c>
      <c r="X842" s="44">
        <v>509</v>
      </c>
      <c r="Y842" s="44">
        <v>502</v>
      </c>
      <c r="Z842" s="44">
        <v>565</v>
      </c>
      <c r="AA842" s="44">
        <v>501</v>
      </c>
      <c r="AB842" s="44">
        <v>333</v>
      </c>
      <c r="AC842" s="44">
        <v>369</v>
      </c>
      <c r="AD842" s="44">
        <v>369</v>
      </c>
      <c r="AE842" s="44">
        <v>408</v>
      </c>
      <c r="AF842" s="44">
        <v>320</v>
      </c>
      <c r="AG842" s="44">
        <v>285</v>
      </c>
      <c r="AH842" s="44">
        <v>253</v>
      </c>
      <c r="AI842" s="44">
        <v>333</v>
      </c>
      <c r="AJ842" s="44">
        <v>388</v>
      </c>
      <c r="AK842" s="44">
        <v>323</v>
      </c>
      <c r="AL842" s="44">
        <v>296</v>
      </c>
      <c r="AM842" s="44">
        <v>424</v>
      </c>
      <c r="AN842" s="44">
        <v>435</v>
      </c>
      <c r="AO842" s="44">
        <v>376</v>
      </c>
      <c r="AP842" s="44">
        <v>221</v>
      </c>
      <c r="AQ842" s="44">
        <v>238</v>
      </c>
      <c r="AR842" s="44">
        <v>267</v>
      </c>
      <c r="AS842" s="44">
        <v>223</v>
      </c>
      <c r="AT842" s="44">
        <v>229</v>
      </c>
      <c r="AU842" s="44">
        <v>220</v>
      </c>
      <c r="AV842" s="44">
        <v>160</v>
      </c>
      <c r="AW842" s="44">
        <v>171</v>
      </c>
      <c r="AX842" s="44">
        <v>154</v>
      </c>
      <c r="AY842" s="44">
        <v>165</v>
      </c>
      <c r="AZ842" s="44">
        <v>165</v>
      </c>
      <c r="BA842" s="44">
        <v>140</v>
      </c>
      <c r="BB842" s="44">
        <v>115</v>
      </c>
      <c r="BC842" s="44">
        <v>144</v>
      </c>
      <c r="BD842" s="44">
        <v>304</v>
      </c>
      <c r="BE842" s="44">
        <v>81</v>
      </c>
      <c r="BF842" s="44">
        <v>49</v>
      </c>
      <c r="BG842" s="44">
        <v>10</v>
      </c>
      <c r="BH842" s="44">
        <v>10</v>
      </c>
      <c r="BI842" s="44">
        <v>24</v>
      </c>
      <c r="BJ842" s="44">
        <v>11</v>
      </c>
      <c r="BK842" s="44">
        <v>19</v>
      </c>
      <c r="BL842" s="44">
        <v>7</v>
      </c>
      <c r="BM842" s="44">
        <v>4</v>
      </c>
      <c r="BN842" s="44">
        <v>126</v>
      </c>
      <c r="BO842" s="44">
        <v>3</v>
      </c>
      <c r="BP842" s="44">
        <v>4</v>
      </c>
      <c r="BQ842" s="44">
        <v>5</v>
      </c>
      <c r="BR842" s="44">
        <v>3</v>
      </c>
      <c r="BS842" s="44">
        <v>1</v>
      </c>
      <c r="BT842" s="44">
        <v>5</v>
      </c>
      <c r="BU842" s="44">
        <v>1</v>
      </c>
      <c r="BV842" s="44">
        <v>2</v>
      </c>
      <c r="BW842" s="44">
        <v>13</v>
      </c>
      <c r="BX842" s="44">
        <v>0</v>
      </c>
      <c r="BY842" s="44">
        <v>0</v>
      </c>
      <c r="BZ842" s="44">
        <v>1</v>
      </c>
      <c r="CA842" s="44">
        <v>0</v>
      </c>
      <c r="CB842" s="44">
        <v>1</v>
      </c>
      <c r="CC842" s="44">
        <v>1</v>
      </c>
      <c r="CD842" s="44">
        <v>0</v>
      </c>
      <c r="CE842" s="44">
        <v>0</v>
      </c>
      <c r="CF842" s="44">
        <v>0</v>
      </c>
      <c r="CG842" s="44">
        <v>0</v>
      </c>
      <c r="CH842" s="44">
        <v>1</v>
      </c>
      <c r="CI842" s="44">
        <v>0</v>
      </c>
      <c r="CJ842" s="44">
        <v>0</v>
      </c>
      <c r="CK842" s="44">
        <v>0</v>
      </c>
      <c r="CL842" s="44">
        <v>0</v>
      </c>
      <c r="CM842" s="44">
        <v>0</v>
      </c>
      <c r="CN842" s="44">
        <v>0</v>
      </c>
      <c r="CO842" s="44">
        <v>0</v>
      </c>
      <c r="CP842" s="44">
        <v>0</v>
      </c>
      <c r="CQ842" s="44">
        <v>0</v>
      </c>
      <c r="CR842" s="44">
        <v>0</v>
      </c>
      <c r="CS842" s="44">
        <v>0</v>
      </c>
      <c r="CT842" s="44">
        <v>0</v>
      </c>
      <c r="CU842" s="44">
        <v>0</v>
      </c>
      <c r="CV842" s="44">
        <v>0</v>
      </c>
      <c r="CW842" s="44">
        <v>0</v>
      </c>
      <c r="CX842" s="44">
        <v>0</v>
      </c>
      <c r="CY842" s="44">
        <v>0</v>
      </c>
      <c r="CZ842" s="44">
        <v>0</v>
      </c>
      <c r="DA842" s="44">
        <v>0</v>
      </c>
      <c r="DB842" s="44">
        <v>0</v>
      </c>
      <c r="DC842" s="44">
        <v>0</v>
      </c>
      <c r="DD842" s="44">
        <v>0</v>
      </c>
      <c r="DE842" s="44">
        <v>0</v>
      </c>
      <c r="DF842" s="44">
        <v>0</v>
      </c>
      <c r="DG842" s="16">
        <f t="shared" si="69"/>
        <v>23318</v>
      </c>
      <c r="DH842" s="16">
        <f t="shared" si="70"/>
        <v>407762</v>
      </c>
      <c r="DI842" s="17">
        <f t="shared" si="71"/>
        <v>17.487005746633503</v>
      </c>
      <c r="DJ842" s="119" t="s">
        <v>4</v>
      </c>
      <c r="DK842" s="44" t="s">
        <v>4</v>
      </c>
    </row>
    <row r="843" spans="1:115">
      <c r="A843" s="32" t="str">
        <f t="shared" si="67"/>
        <v>Ergon--POLE MOUNTED ; &lt; = 22kV ;  &gt; 600 kVA  ; MULTIPLE PHASE</v>
      </c>
      <c r="B843" s="32" t="str">
        <f t="shared" si="68"/>
        <v>Ergon</v>
      </c>
      <c r="C843" s="387"/>
      <c r="D843" s="44"/>
      <c r="E843" s="44" t="s">
        <v>208</v>
      </c>
      <c r="F843" s="44">
        <v>48.6</v>
      </c>
      <c r="G843" s="44">
        <v>6.97</v>
      </c>
      <c r="H843" s="44">
        <v>61</v>
      </c>
      <c r="I843" s="44">
        <v>65</v>
      </c>
      <c r="J843" s="44">
        <v>65</v>
      </c>
      <c r="K843" s="44">
        <v>81</v>
      </c>
      <c r="L843" s="44">
        <v>82</v>
      </c>
      <c r="M843" s="44">
        <v>95</v>
      </c>
      <c r="N843" s="44">
        <v>102</v>
      </c>
      <c r="O843" s="44">
        <v>81</v>
      </c>
      <c r="P843" s="44">
        <v>97</v>
      </c>
      <c r="Q843" s="44">
        <v>44</v>
      </c>
      <c r="R843" s="44">
        <v>50</v>
      </c>
      <c r="S843" s="44">
        <v>29</v>
      </c>
      <c r="T843" s="44">
        <v>28</v>
      </c>
      <c r="U843" s="44">
        <v>25</v>
      </c>
      <c r="V843" s="44">
        <v>30</v>
      </c>
      <c r="W843" s="44">
        <v>18</v>
      </c>
      <c r="X843" s="44">
        <v>16</v>
      </c>
      <c r="Y843" s="44">
        <v>12</v>
      </c>
      <c r="Z843" s="44">
        <v>11</v>
      </c>
      <c r="AA843" s="44">
        <v>5</v>
      </c>
      <c r="AB843" s="44">
        <v>5</v>
      </c>
      <c r="AC843" s="44">
        <v>5</v>
      </c>
      <c r="AD843" s="44">
        <v>6</v>
      </c>
      <c r="AE843" s="44">
        <v>3</v>
      </c>
      <c r="AF843" s="44">
        <v>6</v>
      </c>
      <c r="AG843" s="44">
        <v>10</v>
      </c>
      <c r="AH843" s="44">
        <v>6</v>
      </c>
      <c r="AI843" s="44">
        <v>5</v>
      </c>
      <c r="AJ843" s="44">
        <v>5</v>
      </c>
      <c r="AK843" s="44">
        <v>4</v>
      </c>
      <c r="AL843" s="44">
        <v>5</v>
      </c>
      <c r="AM843" s="44">
        <v>5</v>
      </c>
      <c r="AN843" s="44">
        <v>3</v>
      </c>
      <c r="AO843" s="44">
        <v>2</v>
      </c>
      <c r="AP843" s="44">
        <v>2</v>
      </c>
      <c r="AQ843" s="44">
        <v>5</v>
      </c>
      <c r="AR843" s="44">
        <v>2</v>
      </c>
      <c r="AS843" s="44">
        <v>2</v>
      </c>
      <c r="AT843" s="44">
        <v>2</v>
      </c>
      <c r="AU843" s="44">
        <v>2</v>
      </c>
      <c r="AV843" s="44">
        <v>1</v>
      </c>
      <c r="AW843" s="44">
        <v>2</v>
      </c>
      <c r="AX843" s="44">
        <v>0</v>
      </c>
      <c r="AY843" s="44">
        <v>1</v>
      </c>
      <c r="AZ843" s="44">
        <v>1</v>
      </c>
      <c r="BA843" s="44">
        <v>1</v>
      </c>
      <c r="BB843" s="44">
        <v>0</v>
      </c>
      <c r="BC843" s="44">
        <v>0</v>
      </c>
      <c r="BD843" s="44">
        <v>0</v>
      </c>
      <c r="BE843" s="44">
        <v>0</v>
      </c>
      <c r="BF843" s="44">
        <v>0</v>
      </c>
      <c r="BG843" s="44">
        <v>0</v>
      </c>
      <c r="BH843" s="44">
        <v>0</v>
      </c>
      <c r="BI843" s="44">
        <v>0</v>
      </c>
      <c r="BJ843" s="44">
        <v>0</v>
      </c>
      <c r="BK843" s="44">
        <v>0</v>
      </c>
      <c r="BL843" s="44">
        <v>0</v>
      </c>
      <c r="BM843" s="44">
        <v>0</v>
      </c>
      <c r="BN843" s="44">
        <v>0</v>
      </c>
      <c r="BO843" s="44">
        <v>0</v>
      </c>
      <c r="BP843" s="44">
        <v>0</v>
      </c>
      <c r="BQ843" s="44">
        <v>0</v>
      </c>
      <c r="BR843" s="44">
        <v>0</v>
      </c>
      <c r="BS843" s="44">
        <v>0</v>
      </c>
      <c r="BT843" s="44">
        <v>0</v>
      </c>
      <c r="BU843" s="44">
        <v>0</v>
      </c>
      <c r="BV843" s="44">
        <v>0</v>
      </c>
      <c r="BW843" s="44">
        <v>0</v>
      </c>
      <c r="BX843" s="44">
        <v>0</v>
      </c>
      <c r="BY843" s="44">
        <v>0</v>
      </c>
      <c r="BZ843" s="44">
        <v>0</v>
      </c>
      <c r="CA843" s="44">
        <v>0</v>
      </c>
      <c r="CB843" s="44">
        <v>0</v>
      </c>
      <c r="CC843" s="44">
        <v>0</v>
      </c>
      <c r="CD843" s="44">
        <v>0</v>
      </c>
      <c r="CE843" s="44">
        <v>0</v>
      </c>
      <c r="CF843" s="44">
        <v>0</v>
      </c>
      <c r="CG843" s="44">
        <v>0</v>
      </c>
      <c r="CH843" s="44">
        <v>0</v>
      </c>
      <c r="CI843" s="44">
        <v>0</v>
      </c>
      <c r="CJ843" s="44">
        <v>0</v>
      </c>
      <c r="CK843" s="44">
        <v>0</v>
      </c>
      <c r="CL843" s="44">
        <v>0</v>
      </c>
      <c r="CM843" s="44">
        <v>0</v>
      </c>
      <c r="CN843" s="44">
        <v>0</v>
      </c>
      <c r="CO843" s="44">
        <v>0</v>
      </c>
      <c r="CP843" s="44">
        <v>0</v>
      </c>
      <c r="CQ843" s="44">
        <v>0</v>
      </c>
      <c r="CR843" s="44">
        <v>0</v>
      </c>
      <c r="CS843" s="44">
        <v>0</v>
      </c>
      <c r="CT843" s="44">
        <v>0</v>
      </c>
      <c r="CU843" s="44">
        <v>0</v>
      </c>
      <c r="CV843" s="44">
        <v>0</v>
      </c>
      <c r="CW843" s="44">
        <v>0</v>
      </c>
      <c r="CX843" s="44">
        <v>0</v>
      </c>
      <c r="CY843" s="44">
        <v>0</v>
      </c>
      <c r="CZ843" s="44">
        <v>0</v>
      </c>
      <c r="DA843" s="44">
        <v>0</v>
      </c>
      <c r="DB843" s="44">
        <v>0</v>
      </c>
      <c r="DC843" s="44">
        <v>0</v>
      </c>
      <c r="DD843" s="44">
        <v>0</v>
      </c>
      <c r="DE843" s="44">
        <v>0</v>
      </c>
      <c r="DF843" s="44">
        <v>0</v>
      </c>
      <c r="DG843" s="16">
        <f t="shared" si="69"/>
        <v>1088</v>
      </c>
      <c r="DH843" s="16">
        <f t="shared" si="70"/>
        <v>10214</v>
      </c>
      <c r="DI843" s="17">
        <f t="shared" si="71"/>
        <v>9.3878676470588243</v>
      </c>
      <c r="DJ843" s="119" t="s">
        <v>4</v>
      </c>
      <c r="DK843" s="44" t="s">
        <v>4</v>
      </c>
    </row>
    <row r="844" spans="1:115">
      <c r="A844" s="32" t="str">
        <f t="shared" si="67"/>
        <v xml:space="preserve">Ergon--POLE MOUNTED ; &gt; 22 kV ;  &lt; = 60 kVA </v>
      </c>
      <c r="B844" s="32" t="str">
        <f t="shared" si="68"/>
        <v>Ergon</v>
      </c>
      <c r="C844" s="387"/>
      <c r="D844" s="44"/>
      <c r="E844" s="44" t="s">
        <v>209</v>
      </c>
      <c r="F844" s="44">
        <v>48.6</v>
      </c>
      <c r="G844" s="44">
        <v>6.97</v>
      </c>
      <c r="H844" s="44">
        <v>21</v>
      </c>
      <c r="I844" s="44">
        <v>18</v>
      </c>
      <c r="J844" s="44">
        <v>35</v>
      </c>
      <c r="K844" s="44">
        <v>90</v>
      </c>
      <c r="L844" s="44">
        <v>44</v>
      </c>
      <c r="M844" s="44">
        <v>45</v>
      </c>
      <c r="N844" s="44">
        <v>29</v>
      </c>
      <c r="O844" s="44">
        <v>11</v>
      </c>
      <c r="P844" s="44">
        <v>19</v>
      </c>
      <c r="Q844" s="44">
        <v>13</v>
      </c>
      <c r="R844" s="44">
        <v>15</v>
      </c>
      <c r="S844" s="44">
        <v>27</v>
      </c>
      <c r="T844" s="44">
        <v>39</v>
      </c>
      <c r="U844" s="44">
        <v>39</v>
      </c>
      <c r="V844" s="44">
        <v>24</v>
      </c>
      <c r="W844" s="44">
        <v>18</v>
      </c>
      <c r="X844" s="44">
        <v>25</v>
      </c>
      <c r="Y844" s="44">
        <v>31</v>
      </c>
      <c r="Z844" s="44">
        <v>27</v>
      </c>
      <c r="AA844" s="44">
        <v>30</v>
      </c>
      <c r="AB844" s="44">
        <v>39</v>
      </c>
      <c r="AC844" s="44">
        <v>21</v>
      </c>
      <c r="AD844" s="44">
        <v>20</v>
      </c>
      <c r="AE844" s="44">
        <v>35</v>
      </c>
      <c r="AF844" s="44">
        <v>33</v>
      </c>
      <c r="AG844" s="44">
        <v>32</v>
      </c>
      <c r="AH844" s="44">
        <v>29</v>
      </c>
      <c r="AI844" s="44">
        <v>24</v>
      </c>
      <c r="AJ844" s="44">
        <v>23</v>
      </c>
      <c r="AK844" s="44">
        <v>44</v>
      </c>
      <c r="AL844" s="44">
        <v>39</v>
      </c>
      <c r="AM844" s="44">
        <v>26</v>
      </c>
      <c r="AN844" s="44">
        <v>44</v>
      </c>
      <c r="AO844" s="44">
        <v>12</v>
      </c>
      <c r="AP844" s="44">
        <v>5</v>
      </c>
      <c r="AQ844" s="44">
        <v>5</v>
      </c>
      <c r="AR844" s="44">
        <v>2</v>
      </c>
      <c r="AS844" s="44">
        <v>2</v>
      </c>
      <c r="AT844" s="44">
        <v>3</v>
      </c>
      <c r="AU844" s="44">
        <v>7</v>
      </c>
      <c r="AV844" s="44">
        <v>0</v>
      </c>
      <c r="AW844" s="44">
        <v>8</v>
      </c>
      <c r="AX844" s="44">
        <v>3</v>
      </c>
      <c r="AY844" s="44">
        <v>5</v>
      </c>
      <c r="AZ844" s="44">
        <v>8</v>
      </c>
      <c r="BA844" s="44">
        <v>8</v>
      </c>
      <c r="BB844" s="44">
        <v>6</v>
      </c>
      <c r="BC844" s="44">
        <v>2</v>
      </c>
      <c r="BD844" s="44">
        <v>17</v>
      </c>
      <c r="BE844" s="44">
        <v>0</v>
      </c>
      <c r="BF844" s="44">
        <v>5</v>
      </c>
      <c r="BG844" s="44">
        <v>1</v>
      </c>
      <c r="BH844" s="44">
        <v>1</v>
      </c>
      <c r="BI844" s="44">
        <v>0</v>
      </c>
      <c r="BJ844" s="44">
        <v>0</v>
      </c>
      <c r="BK844" s="44">
        <v>0</v>
      </c>
      <c r="BL844" s="44">
        <v>0</v>
      </c>
      <c r="BM844" s="44">
        <v>0</v>
      </c>
      <c r="BN844" s="44">
        <v>0</v>
      </c>
      <c r="BO844" s="44">
        <v>0</v>
      </c>
      <c r="BP844" s="44">
        <v>0</v>
      </c>
      <c r="BQ844" s="44">
        <v>0</v>
      </c>
      <c r="BR844" s="44">
        <v>0</v>
      </c>
      <c r="BS844" s="44">
        <v>0</v>
      </c>
      <c r="BT844" s="44">
        <v>0</v>
      </c>
      <c r="BU844" s="44">
        <v>0</v>
      </c>
      <c r="BV844" s="44">
        <v>0</v>
      </c>
      <c r="BW844" s="44">
        <v>0</v>
      </c>
      <c r="BX844" s="44">
        <v>0</v>
      </c>
      <c r="BY844" s="44">
        <v>0</v>
      </c>
      <c r="BZ844" s="44">
        <v>0</v>
      </c>
      <c r="CA844" s="44">
        <v>0</v>
      </c>
      <c r="CB844" s="44">
        <v>0</v>
      </c>
      <c r="CC844" s="44">
        <v>0</v>
      </c>
      <c r="CD844" s="44">
        <v>0</v>
      </c>
      <c r="CE844" s="44">
        <v>0</v>
      </c>
      <c r="CF844" s="44">
        <v>0</v>
      </c>
      <c r="CG844" s="44">
        <v>0</v>
      </c>
      <c r="CH844" s="44">
        <v>0</v>
      </c>
      <c r="CI844" s="44">
        <v>0</v>
      </c>
      <c r="CJ844" s="44">
        <v>0</v>
      </c>
      <c r="CK844" s="44">
        <v>0</v>
      </c>
      <c r="CL844" s="44">
        <v>0</v>
      </c>
      <c r="CM844" s="44">
        <v>0</v>
      </c>
      <c r="CN844" s="44">
        <v>0</v>
      </c>
      <c r="CO844" s="44">
        <v>0</v>
      </c>
      <c r="CP844" s="44">
        <v>0</v>
      </c>
      <c r="CQ844" s="44">
        <v>0</v>
      </c>
      <c r="CR844" s="44">
        <v>0</v>
      </c>
      <c r="CS844" s="44">
        <v>0</v>
      </c>
      <c r="CT844" s="44">
        <v>0</v>
      </c>
      <c r="CU844" s="44">
        <v>0</v>
      </c>
      <c r="CV844" s="44">
        <v>0</v>
      </c>
      <c r="CW844" s="44">
        <v>0</v>
      </c>
      <c r="CX844" s="44">
        <v>0</v>
      </c>
      <c r="CY844" s="44">
        <v>0</v>
      </c>
      <c r="CZ844" s="44">
        <v>0</v>
      </c>
      <c r="DA844" s="44">
        <v>0</v>
      </c>
      <c r="DB844" s="44">
        <v>0</v>
      </c>
      <c r="DC844" s="44">
        <v>0</v>
      </c>
      <c r="DD844" s="44">
        <v>0</v>
      </c>
      <c r="DE844" s="44">
        <v>0</v>
      </c>
      <c r="DF844" s="44">
        <v>0</v>
      </c>
      <c r="DG844" s="16">
        <f t="shared" si="69"/>
        <v>1109</v>
      </c>
      <c r="DH844" s="16">
        <f t="shared" si="70"/>
        <v>21357</v>
      </c>
      <c r="DI844" s="17">
        <f t="shared" si="71"/>
        <v>19.257889990982868</v>
      </c>
      <c r="DJ844" s="119" t="s">
        <v>4</v>
      </c>
      <c r="DK844" s="44" t="s">
        <v>4</v>
      </c>
    </row>
    <row r="845" spans="1:115">
      <c r="A845" s="32" t="str">
        <f t="shared" si="67"/>
        <v xml:space="preserve">Ergon--POLE MOUNTED ; &gt; 22 kV ;  &gt; 60 kVA AND &lt; = 600 kVA </v>
      </c>
      <c r="B845" s="32" t="str">
        <f t="shared" si="68"/>
        <v>Ergon</v>
      </c>
      <c r="C845" s="387"/>
      <c r="D845" s="44"/>
      <c r="E845" s="44" t="s">
        <v>210</v>
      </c>
      <c r="F845" s="44">
        <v>48.6</v>
      </c>
      <c r="G845" s="44">
        <v>6.97</v>
      </c>
      <c r="H845" s="44">
        <v>41</v>
      </c>
      <c r="I845" s="44">
        <v>28</v>
      </c>
      <c r="J845" s="44">
        <v>27</v>
      </c>
      <c r="K845" s="44">
        <v>18</v>
      </c>
      <c r="L845" s="44">
        <v>53</v>
      </c>
      <c r="M845" s="44">
        <v>62</v>
      </c>
      <c r="N845" s="44">
        <v>61</v>
      </c>
      <c r="O845" s="44">
        <v>28</v>
      </c>
      <c r="P845" s="44">
        <v>20</v>
      </c>
      <c r="Q845" s="44">
        <v>8</v>
      </c>
      <c r="R845" s="44">
        <v>16</v>
      </c>
      <c r="S845" s="44">
        <v>17</v>
      </c>
      <c r="T845" s="44">
        <v>25</v>
      </c>
      <c r="U845" s="44">
        <v>19</v>
      </c>
      <c r="V845" s="44">
        <v>22</v>
      </c>
      <c r="W845" s="44">
        <v>7</v>
      </c>
      <c r="X845" s="44">
        <v>5</v>
      </c>
      <c r="Y845" s="44">
        <v>13</v>
      </c>
      <c r="Z845" s="44">
        <v>10</v>
      </c>
      <c r="AA845" s="44">
        <v>10</v>
      </c>
      <c r="AB845" s="44">
        <v>15</v>
      </c>
      <c r="AC845" s="44">
        <v>11</v>
      </c>
      <c r="AD845" s="44">
        <v>8</v>
      </c>
      <c r="AE845" s="44">
        <v>13</v>
      </c>
      <c r="AF845" s="44">
        <v>9</v>
      </c>
      <c r="AG845" s="44">
        <v>4</v>
      </c>
      <c r="AH845" s="44">
        <v>14</v>
      </c>
      <c r="AI845" s="44">
        <v>2</v>
      </c>
      <c r="AJ845" s="44">
        <v>3</v>
      </c>
      <c r="AK845" s="44">
        <v>10</v>
      </c>
      <c r="AL845" s="44">
        <v>10</v>
      </c>
      <c r="AM845" s="44">
        <v>12</v>
      </c>
      <c r="AN845" s="44">
        <v>12</v>
      </c>
      <c r="AO845" s="44">
        <v>3</v>
      </c>
      <c r="AP845" s="44">
        <v>1</v>
      </c>
      <c r="AQ845" s="44">
        <v>1</v>
      </c>
      <c r="AR845" s="44">
        <v>1</v>
      </c>
      <c r="AS845" s="44">
        <v>0</v>
      </c>
      <c r="AT845" s="44">
        <v>1</v>
      </c>
      <c r="AU845" s="44">
        <v>3</v>
      </c>
      <c r="AV845" s="44">
        <v>0</v>
      </c>
      <c r="AW845" s="44">
        <v>0</v>
      </c>
      <c r="AX845" s="44">
        <v>2</v>
      </c>
      <c r="AY845" s="44">
        <v>7</v>
      </c>
      <c r="AZ845" s="44">
        <v>1</v>
      </c>
      <c r="BA845" s="44">
        <v>4</v>
      </c>
      <c r="BB845" s="44">
        <v>0</v>
      </c>
      <c r="BC845" s="44">
        <v>0</v>
      </c>
      <c r="BD845" s="44">
        <v>18</v>
      </c>
      <c r="BE845" s="44">
        <v>1</v>
      </c>
      <c r="BF845" s="44">
        <v>3</v>
      </c>
      <c r="BG845" s="44">
        <v>0</v>
      </c>
      <c r="BH845" s="44">
        <v>0</v>
      </c>
      <c r="BI845" s="44">
        <v>1</v>
      </c>
      <c r="BJ845" s="44">
        <v>0</v>
      </c>
      <c r="BK845" s="44">
        <v>0</v>
      </c>
      <c r="BL845" s="44">
        <v>0</v>
      </c>
      <c r="BM845" s="44">
        <v>0</v>
      </c>
      <c r="BN845" s="44">
        <v>0</v>
      </c>
      <c r="BO845" s="44">
        <v>0</v>
      </c>
      <c r="BP845" s="44">
        <v>0</v>
      </c>
      <c r="BQ845" s="44">
        <v>0</v>
      </c>
      <c r="BR845" s="44">
        <v>0</v>
      </c>
      <c r="BS845" s="44">
        <v>0</v>
      </c>
      <c r="BT845" s="44">
        <v>0</v>
      </c>
      <c r="BU845" s="44">
        <v>0</v>
      </c>
      <c r="BV845" s="44">
        <v>0</v>
      </c>
      <c r="BW845" s="44">
        <v>0</v>
      </c>
      <c r="BX845" s="44">
        <v>0</v>
      </c>
      <c r="BY845" s="44">
        <v>0</v>
      </c>
      <c r="BZ845" s="44">
        <v>0</v>
      </c>
      <c r="CA845" s="44">
        <v>0</v>
      </c>
      <c r="CB845" s="44">
        <v>0</v>
      </c>
      <c r="CC845" s="44">
        <v>0</v>
      </c>
      <c r="CD845" s="44">
        <v>0</v>
      </c>
      <c r="CE845" s="44">
        <v>0</v>
      </c>
      <c r="CF845" s="44">
        <v>0</v>
      </c>
      <c r="CG845" s="44">
        <v>0</v>
      </c>
      <c r="CH845" s="44">
        <v>0</v>
      </c>
      <c r="CI845" s="44">
        <v>0</v>
      </c>
      <c r="CJ845" s="44">
        <v>0</v>
      </c>
      <c r="CK845" s="44">
        <v>0</v>
      </c>
      <c r="CL845" s="44">
        <v>0</v>
      </c>
      <c r="CM845" s="44">
        <v>0</v>
      </c>
      <c r="CN845" s="44">
        <v>0</v>
      </c>
      <c r="CO845" s="44">
        <v>0</v>
      </c>
      <c r="CP845" s="44">
        <v>0</v>
      </c>
      <c r="CQ845" s="44">
        <v>0</v>
      </c>
      <c r="CR845" s="44">
        <v>0</v>
      </c>
      <c r="CS845" s="44">
        <v>0</v>
      </c>
      <c r="CT845" s="44">
        <v>0</v>
      </c>
      <c r="CU845" s="44">
        <v>0</v>
      </c>
      <c r="CV845" s="44">
        <v>0</v>
      </c>
      <c r="CW845" s="44">
        <v>0</v>
      </c>
      <c r="CX845" s="44">
        <v>0</v>
      </c>
      <c r="CY845" s="44">
        <v>0</v>
      </c>
      <c r="CZ845" s="44">
        <v>0</v>
      </c>
      <c r="DA845" s="44">
        <v>0</v>
      </c>
      <c r="DB845" s="44">
        <v>0</v>
      </c>
      <c r="DC845" s="44">
        <v>0</v>
      </c>
      <c r="DD845" s="44">
        <v>0</v>
      </c>
      <c r="DE845" s="44">
        <v>0</v>
      </c>
      <c r="DF845" s="44">
        <v>0</v>
      </c>
      <c r="DG845" s="16">
        <f t="shared" si="69"/>
        <v>660</v>
      </c>
      <c r="DH845" s="16">
        <f t="shared" si="70"/>
        <v>9344</v>
      </c>
      <c r="DI845" s="17">
        <f t="shared" si="71"/>
        <v>14.157575757575758</v>
      </c>
      <c r="DJ845" s="119" t="s">
        <v>4</v>
      </c>
      <c r="DK845" s="44" t="s">
        <v>4</v>
      </c>
    </row>
    <row r="846" spans="1:115">
      <c r="A846" s="32" t="str">
        <f t="shared" si="67"/>
        <v>Ergon--POLE MOUNTED ; &gt; 22 kV ;  &gt; 600 kVA</v>
      </c>
      <c r="B846" s="32" t="str">
        <f t="shared" si="68"/>
        <v>Ergon</v>
      </c>
      <c r="C846" s="387"/>
      <c r="D846" s="44"/>
      <c r="E846" s="44" t="s">
        <v>211</v>
      </c>
      <c r="F846" s="44">
        <v>48.6</v>
      </c>
      <c r="G846" s="44">
        <v>6.97</v>
      </c>
      <c r="H846" s="44">
        <v>0</v>
      </c>
      <c r="I846" s="44">
        <v>1</v>
      </c>
      <c r="J846" s="44">
        <v>0</v>
      </c>
      <c r="K846" s="44">
        <v>0</v>
      </c>
      <c r="L846" s="44">
        <v>0</v>
      </c>
      <c r="M846" s="44">
        <v>0</v>
      </c>
      <c r="N846" s="44">
        <v>0</v>
      </c>
      <c r="O846" s="44">
        <v>0</v>
      </c>
      <c r="P846" s="44">
        <v>0</v>
      </c>
      <c r="Q846" s="44">
        <v>0</v>
      </c>
      <c r="R846" s="44">
        <v>0</v>
      </c>
      <c r="S846" s="44">
        <v>0</v>
      </c>
      <c r="T846" s="44">
        <v>0</v>
      </c>
      <c r="U846" s="44">
        <v>0</v>
      </c>
      <c r="V846" s="44">
        <v>0</v>
      </c>
      <c r="W846" s="44">
        <v>0</v>
      </c>
      <c r="X846" s="44">
        <v>0</v>
      </c>
      <c r="Y846" s="44">
        <v>0</v>
      </c>
      <c r="Z846" s="44">
        <v>0</v>
      </c>
      <c r="AA846" s="44">
        <v>0</v>
      </c>
      <c r="AB846" s="44">
        <v>0</v>
      </c>
      <c r="AC846" s="44">
        <v>0</v>
      </c>
      <c r="AD846" s="44">
        <v>0</v>
      </c>
      <c r="AE846" s="44">
        <v>0</v>
      </c>
      <c r="AF846" s="44">
        <v>0</v>
      </c>
      <c r="AG846" s="44">
        <v>0</v>
      </c>
      <c r="AH846" s="44">
        <v>0</v>
      </c>
      <c r="AI846" s="44">
        <v>0</v>
      </c>
      <c r="AJ846" s="44">
        <v>0</v>
      </c>
      <c r="AK846" s="44">
        <v>1</v>
      </c>
      <c r="AL846" s="44">
        <v>0</v>
      </c>
      <c r="AM846" s="44">
        <v>0</v>
      </c>
      <c r="AN846" s="44">
        <v>0</v>
      </c>
      <c r="AO846" s="44">
        <v>0</v>
      </c>
      <c r="AP846" s="44">
        <v>0</v>
      </c>
      <c r="AQ846" s="44">
        <v>0</v>
      </c>
      <c r="AR846" s="44">
        <v>0</v>
      </c>
      <c r="AS846" s="44">
        <v>0</v>
      </c>
      <c r="AT846" s="44">
        <v>0</v>
      </c>
      <c r="AU846" s="44">
        <v>0</v>
      </c>
      <c r="AV846" s="44">
        <v>0</v>
      </c>
      <c r="AW846" s="44">
        <v>0</v>
      </c>
      <c r="AX846" s="44">
        <v>0</v>
      </c>
      <c r="AY846" s="44">
        <v>0</v>
      </c>
      <c r="AZ846" s="44">
        <v>0</v>
      </c>
      <c r="BA846" s="44">
        <v>0</v>
      </c>
      <c r="BB846" s="44">
        <v>0</v>
      </c>
      <c r="BC846" s="44">
        <v>1</v>
      </c>
      <c r="BD846" s="44">
        <v>0</v>
      </c>
      <c r="BE846" s="44">
        <v>0</v>
      </c>
      <c r="BF846" s="44">
        <v>0</v>
      </c>
      <c r="BG846" s="44">
        <v>0</v>
      </c>
      <c r="BH846" s="44">
        <v>0</v>
      </c>
      <c r="BI846" s="44">
        <v>0</v>
      </c>
      <c r="BJ846" s="44">
        <v>0</v>
      </c>
      <c r="BK846" s="44">
        <v>0</v>
      </c>
      <c r="BL846" s="44">
        <v>0</v>
      </c>
      <c r="BM846" s="44">
        <v>0</v>
      </c>
      <c r="BN846" s="44">
        <v>0</v>
      </c>
      <c r="BO846" s="44">
        <v>0</v>
      </c>
      <c r="BP846" s="44">
        <v>0</v>
      </c>
      <c r="BQ846" s="44">
        <v>0</v>
      </c>
      <c r="BR846" s="44">
        <v>0</v>
      </c>
      <c r="BS846" s="44">
        <v>0</v>
      </c>
      <c r="BT846" s="44">
        <v>0</v>
      </c>
      <c r="BU846" s="44">
        <v>0</v>
      </c>
      <c r="BV846" s="44">
        <v>0</v>
      </c>
      <c r="BW846" s="44">
        <v>0</v>
      </c>
      <c r="BX846" s="44">
        <v>0</v>
      </c>
      <c r="BY846" s="44">
        <v>0</v>
      </c>
      <c r="BZ846" s="44">
        <v>0</v>
      </c>
      <c r="CA846" s="44">
        <v>0</v>
      </c>
      <c r="CB846" s="44">
        <v>0</v>
      </c>
      <c r="CC846" s="44">
        <v>0</v>
      </c>
      <c r="CD846" s="44">
        <v>0</v>
      </c>
      <c r="CE846" s="44">
        <v>0</v>
      </c>
      <c r="CF846" s="44">
        <v>0</v>
      </c>
      <c r="CG846" s="44">
        <v>0</v>
      </c>
      <c r="CH846" s="44">
        <v>0</v>
      </c>
      <c r="CI846" s="44">
        <v>0</v>
      </c>
      <c r="CJ846" s="44">
        <v>0</v>
      </c>
      <c r="CK846" s="44">
        <v>0</v>
      </c>
      <c r="CL846" s="44">
        <v>0</v>
      </c>
      <c r="CM846" s="44">
        <v>0</v>
      </c>
      <c r="CN846" s="44">
        <v>0</v>
      </c>
      <c r="CO846" s="44">
        <v>0</v>
      </c>
      <c r="CP846" s="44">
        <v>0</v>
      </c>
      <c r="CQ846" s="44">
        <v>0</v>
      </c>
      <c r="CR846" s="44">
        <v>0</v>
      </c>
      <c r="CS846" s="44">
        <v>0</v>
      </c>
      <c r="CT846" s="44">
        <v>0</v>
      </c>
      <c r="CU846" s="44">
        <v>0</v>
      </c>
      <c r="CV846" s="44">
        <v>0</v>
      </c>
      <c r="CW846" s="44">
        <v>0</v>
      </c>
      <c r="CX846" s="44">
        <v>0</v>
      </c>
      <c r="CY846" s="44">
        <v>0</v>
      </c>
      <c r="CZ846" s="44">
        <v>0</v>
      </c>
      <c r="DA846" s="44">
        <v>0</v>
      </c>
      <c r="DB846" s="44">
        <v>0</v>
      </c>
      <c r="DC846" s="44">
        <v>0</v>
      </c>
      <c r="DD846" s="44">
        <v>0</v>
      </c>
      <c r="DE846" s="44">
        <v>0</v>
      </c>
      <c r="DF846" s="44">
        <v>0</v>
      </c>
      <c r="DG846" s="16">
        <f t="shared" si="69"/>
        <v>3</v>
      </c>
      <c r="DH846" s="16">
        <f t="shared" si="70"/>
        <v>80</v>
      </c>
      <c r="DI846" s="17">
        <f t="shared" si="71"/>
        <v>26.666666666666668</v>
      </c>
      <c r="DJ846" s="119" t="s">
        <v>4</v>
      </c>
      <c r="DK846" s="44" t="s">
        <v>4</v>
      </c>
    </row>
    <row r="847" spans="1:115">
      <c r="A847" s="32" t="str">
        <f t="shared" si="67"/>
        <v xml:space="preserve">Ergon--POLE MOUNTED ; &gt; 22 kV ;  &lt; = 60 kVA </v>
      </c>
      <c r="B847" s="32" t="str">
        <f t="shared" si="68"/>
        <v>Ergon</v>
      </c>
      <c r="C847" s="387"/>
      <c r="D847" s="44"/>
      <c r="E847" s="44" t="s">
        <v>209</v>
      </c>
      <c r="F847" s="44">
        <v>48.6</v>
      </c>
      <c r="G847" s="44">
        <v>6.97</v>
      </c>
      <c r="H847" s="44">
        <v>0</v>
      </c>
      <c r="I847" s="44">
        <v>0</v>
      </c>
      <c r="J847" s="44">
        <v>0</v>
      </c>
      <c r="K847" s="44">
        <v>0</v>
      </c>
      <c r="L847" s="44">
        <v>0</v>
      </c>
      <c r="M847" s="44">
        <v>0</v>
      </c>
      <c r="N847" s="44">
        <v>0</v>
      </c>
      <c r="O847" s="44">
        <v>0</v>
      </c>
      <c r="P847" s="44">
        <v>0</v>
      </c>
      <c r="Q847" s="44">
        <v>0</v>
      </c>
      <c r="R847" s="44">
        <v>0</v>
      </c>
      <c r="S847" s="44">
        <v>0</v>
      </c>
      <c r="T847" s="44">
        <v>0</v>
      </c>
      <c r="U847" s="44">
        <v>0</v>
      </c>
      <c r="V847" s="44">
        <v>0</v>
      </c>
      <c r="W847" s="44">
        <v>0</v>
      </c>
      <c r="X847" s="44">
        <v>0</v>
      </c>
      <c r="Y847" s="44">
        <v>0</v>
      </c>
      <c r="Z847" s="44">
        <v>0</v>
      </c>
      <c r="AA847" s="44">
        <v>0</v>
      </c>
      <c r="AB847" s="44">
        <v>0</v>
      </c>
      <c r="AC847" s="44">
        <v>0</v>
      </c>
      <c r="AD847" s="44">
        <v>0</v>
      </c>
      <c r="AE847" s="44">
        <v>0</v>
      </c>
      <c r="AF847" s="44">
        <v>0</v>
      </c>
      <c r="AG847" s="44">
        <v>0</v>
      </c>
      <c r="AH847" s="44">
        <v>0</v>
      </c>
      <c r="AI847" s="44">
        <v>0</v>
      </c>
      <c r="AJ847" s="44">
        <v>0</v>
      </c>
      <c r="AK847" s="44">
        <v>0</v>
      </c>
      <c r="AL847" s="44">
        <v>0</v>
      </c>
      <c r="AM847" s="44">
        <v>0</v>
      </c>
      <c r="AN847" s="44">
        <v>0</v>
      </c>
      <c r="AO847" s="44">
        <v>0</v>
      </c>
      <c r="AP847" s="44">
        <v>0</v>
      </c>
      <c r="AQ847" s="44">
        <v>0</v>
      </c>
      <c r="AR847" s="44">
        <v>0</v>
      </c>
      <c r="AS847" s="44">
        <v>0</v>
      </c>
      <c r="AT847" s="44">
        <v>0</v>
      </c>
      <c r="AU847" s="44">
        <v>0</v>
      </c>
      <c r="AV847" s="44">
        <v>0</v>
      </c>
      <c r="AW847" s="44">
        <v>0</v>
      </c>
      <c r="AX847" s="44">
        <v>0</v>
      </c>
      <c r="AY847" s="44">
        <v>0</v>
      </c>
      <c r="AZ847" s="44">
        <v>0</v>
      </c>
      <c r="BA847" s="44">
        <v>0</v>
      </c>
      <c r="BB847" s="44">
        <v>0</v>
      </c>
      <c r="BC847" s="44">
        <v>0</v>
      </c>
      <c r="BD847" s="44">
        <v>0</v>
      </c>
      <c r="BE847" s="44">
        <v>0</v>
      </c>
      <c r="BF847" s="44">
        <v>0</v>
      </c>
      <c r="BG847" s="44">
        <v>0</v>
      </c>
      <c r="BH847" s="44">
        <v>0</v>
      </c>
      <c r="BI847" s="44">
        <v>0</v>
      </c>
      <c r="BJ847" s="44">
        <v>0</v>
      </c>
      <c r="BK847" s="44">
        <v>0</v>
      </c>
      <c r="BL847" s="44">
        <v>0</v>
      </c>
      <c r="BM847" s="44">
        <v>0</v>
      </c>
      <c r="BN847" s="44">
        <v>0</v>
      </c>
      <c r="BO847" s="44">
        <v>0</v>
      </c>
      <c r="BP847" s="44">
        <v>0</v>
      </c>
      <c r="BQ847" s="44">
        <v>0</v>
      </c>
      <c r="BR847" s="44">
        <v>0</v>
      </c>
      <c r="BS847" s="44">
        <v>0</v>
      </c>
      <c r="BT847" s="44">
        <v>0</v>
      </c>
      <c r="BU847" s="44">
        <v>0</v>
      </c>
      <c r="BV847" s="44">
        <v>0</v>
      </c>
      <c r="BW847" s="44">
        <v>0</v>
      </c>
      <c r="BX847" s="44">
        <v>0</v>
      </c>
      <c r="BY847" s="44">
        <v>0</v>
      </c>
      <c r="BZ847" s="44">
        <v>0</v>
      </c>
      <c r="CA847" s="44">
        <v>0</v>
      </c>
      <c r="CB847" s="44">
        <v>0</v>
      </c>
      <c r="CC847" s="44">
        <v>0</v>
      </c>
      <c r="CD847" s="44">
        <v>0</v>
      </c>
      <c r="CE847" s="44">
        <v>0</v>
      </c>
      <c r="CF847" s="44">
        <v>0</v>
      </c>
      <c r="CG847" s="44">
        <v>0</v>
      </c>
      <c r="CH847" s="44">
        <v>0</v>
      </c>
      <c r="CI847" s="44">
        <v>0</v>
      </c>
      <c r="CJ847" s="44">
        <v>0</v>
      </c>
      <c r="CK847" s="44">
        <v>0</v>
      </c>
      <c r="CL847" s="44">
        <v>0</v>
      </c>
      <c r="CM847" s="44">
        <v>0</v>
      </c>
      <c r="CN847" s="44">
        <v>0</v>
      </c>
      <c r="CO847" s="44">
        <v>0</v>
      </c>
      <c r="CP847" s="44">
        <v>0</v>
      </c>
      <c r="CQ847" s="44">
        <v>0</v>
      </c>
      <c r="CR847" s="44">
        <v>0</v>
      </c>
      <c r="CS847" s="44">
        <v>0</v>
      </c>
      <c r="CT847" s="44">
        <v>0</v>
      </c>
      <c r="CU847" s="44">
        <v>0</v>
      </c>
      <c r="CV847" s="44">
        <v>0</v>
      </c>
      <c r="CW847" s="44">
        <v>0</v>
      </c>
      <c r="CX847" s="44">
        <v>0</v>
      </c>
      <c r="CY847" s="44">
        <v>0</v>
      </c>
      <c r="CZ847" s="44">
        <v>0</v>
      </c>
      <c r="DA847" s="44">
        <v>0</v>
      </c>
      <c r="DB847" s="44">
        <v>0</v>
      </c>
      <c r="DC847" s="44">
        <v>0</v>
      </c>
      <c r="DD847" s="44">
        <v>0</v>
      </c>
      <c r="DE847" s="44">
        <v>0</v>
      </c>
      <c r="DF847" s="44">
        <v>0</v>
      </c>
      <c r="DG847" s="16">
        <f t="shared" si="69"/>
        <v>0</v>
      </c>
      <c r="DH847" s="16">
        <f t="shared" si="70"/>
        <v>0</v>
      </c>
      <c r="DI847" s="17" t="str">
        <f t="shared" si="71"/>
        <v/>
      </c>
      <c r="DJ847" s="119" t="s">
        <v>4</v>
      </c>
      <c r="DK847" s="44" t="s">
        <v>4</v>
      </c>
    </row>
    <row r="848" spans="1:115">
      <c r="A848" s="32" t="str">
        <f t="shared" si="67"/>
        <v>Ergon--POLE MOUNTED ; &gt; 22 kV ;  &gt; 60 kVA AND &lt; = 600 kVA</v>
      </c>
      <c r="B848" s="32" t="str">
        <f t="shared" si="68"/>
        <v>Ergon</v>
      </c>
      <c r="C848" s="387"/>
      <c r="D848" s="44"/>
      <c r="E848" s="44" t="s">
        <v>212</v>
      </c>
      <c r="F848" s="44">
        <v>48.6</v>
      </c>
      <c r="G848" s="44">
        <v>6.97</v>
      </c>
      <c r="H848" s="44">
        <v>0</v>
      </c>
      <c r="I848" s="44">
        <v>0</v>
      </c>
      <c r="J848" s="44">
        <v>0</v>
      </c>
      <c r="K848" s="44">
        <v>0</v>
      </c>
      <c r="L848" s="44">
        <v>0</v>
      </c>
      <c r="M848" s="44">
        <v>0</v>
      </c>
      <c r="N848" s="44">
        <v>0</v>
      </c>
      <c r="O848" s="44">
        <v>0</v>
      </c>
      <c r="P848" s="44">
        <v>0</v>
      </c>
      <c r="Q848" s="44">
        <v>0</v>
      </c>
      <c r="R848" s="44">
        <v>0</v>
      </c>
      <c r="S848" s="44">
        <v>0</v>
      </c>
      <c r="T848" s="44">
        <v>0</v>
      </c>
      <c r="U848" s="44">
        <v>0</v>
      </c>
      <c r="V848" s="44">
        <v>0</v>
      </c>
      <c r="W848" s="44">
        <v>0</v>
      </c>
      <c r="X848" s="44">
        <v>0</v>
      </c>
      <c r="Y848" s="44">
        <v>0</v>
      </c>
      <c r="Z848" s="44">
        <v>0</v>
      </c>
      <c r="AA848" s="44">
        <v>0</v>
      </c>
      <c r="AB848" s="44">
        <v>0</v>
      </c>
      <c r="AC848" s="44">
        <v>0</v>
      </c>
      <c r="AD848" s="44">
        <v>0</v>
      </c>
      <c r="AE848" s="44">
        <v>0</v>
      </c>
      <c r="AF848" s="44">
        <v>0</v>
      </c>
      <c r="AG848" s="44">
        <v>0</v>
      </c>
      <c r="AH848" s="44">
        <v>0</v>
      </c>
      <c r="AI848" s="44">
        <v>0</v>
      </c>
      <c r="AJ848" s="44">
        <v>0</v>
      </c>
      <c r="AK848" s="44">
        <v>0</v>
      </c>
      <c r="AL848" s="44">
        <v>0</v>
      </c>
      <c r="AM848" s="44">
        <v>0</v>
      </c>
      <c r="AN848" s="44">
        <v>0</v>
      </c>
      <c r="AO848" s="44">
        <v>0</v>
      </c>
      <c r="AP848" s="44">
        <v>0</v>
      </c>
      <c r="AQ848" s="44">
        <v>0</v>
      </c>
      <c r="AR848" s="44">
        <v>0</v>
      </c>
      <c r="AS848" s="44">
        <v>0</v>
      </c>
      <c r="AT848" s="44">
        <v>0</v>
      </c>
      <c r="AU848" s="44">
        <v>0</v>
      </c>
      <c r="AV848" s="44">
        <v>0</v>
      </c>
      <c r="AW848" s="44">
        <v>0</v>
      </c>
      <c r="AX848" s="44">
        <v>0</v>
      </c>
      <c r="AY848" s="44">
        <v>0</v>
      </c>
      <c r="AZ848" s="44">
        <v>0</v>
      </c>
      <c r="BA848" s="44">
        <v>0</v>
      </c>
      <c r="BB848" s="44">
        <v>0</v>
      </c>
      <c r="BC848" s="44">
        <v>0</v>
      </c>
      <c r="BD848" s="44">
        <v>0</v>
      </c>
      <c r="BE848" s="44">
        <v>0</v>
      </c>
      <c r="BF848" s="44">
        <v>0</v>
      </c>
      <c r="BG848" s="44">
        <v>0</v>
      </c>
      <c r="BH848" s="44">
        <v>0</v>
      </c>
      <c r="BI848" s="44">
        <v>0</v>
      </c>
      <c r="BJ848" s="44">
        <v>0</v>
      </c>
      <c r="BK848" s="44">
        <v>0</v>
      </c>
      <c r="BL848" s="44">
        <v>0</v>
      </c>
      <c r="BM848" s="44">
        <v>0</v>
      </c>
      <c r="BN848" s="44">
        <v>0</v>
      </c>
      <c r="BO848" s="44">
        <v>0</v>
      </c>
      <c r="BP848" s="44">
        <v>0</v>
      </c>
      <c r="BQ848" s="44">
        <v>0</v>
      </c>
      <c r="BR848" s="44">
        <v>0</v>
      </c>
      <c r="BS848" s="44">
        <v>0</v>
      </c>
      <c r="BT848" s="44">
        <v>0</v>
      </c>
      <c r="BU848" s="44">
        <v>0</v>
      </c>
      <c r="BV848" s="44">
        <v>0</v>
      </c>
      <c r="BW848" s="44">
        <v>0</v>
      </c>
      <c r="BX848" s="44">
        <v>0</v>
      </c>
      <c r="BY848" s="44">
        <v>0</v>
      </c>
      <c r="BZ848" s="44">
        <v>0</v>
      </c>
      <c r="CA848" s="44">
        <v>0</v>
      </c>
      <c r="CB848" s="44">
        <v>0</v>
      </c>
      <c r="CC848" s="44">
        <v>0</v>
      </c>
      <c r="CD848" s="44">
        <v>0</v>
      </c>
      <c r="CE848" s="44">
        <v>0</v>
      </c>
      <c r="CF848" s="44">
        <v>0</v>
      </c>
      <c r="CG848" s="44">
        <v>0</v>
      </c>
      <c r="CH848" s="44">
        <v>0</v>
      </c>
      <c r="CI848" s="44">
        <v>0</v>
      </c>
      <c r="CJ848" s="44">
        <v>0</v>
      </c>
      <c r="CK848" s="44">
        <v>0</v>
      </c>
      <c r="CL848" s="44">
        <v>0</v>
      </c>
      <c r="CM848" s="44">
        <v>0</v>
      </c>
      <c r="CN848" s="44">
        <v>0</v>
      </c>
      <c r="CO848" s="44">
        <v>0</v>
      </c>
      <c r="CP848" s="44">
        <v>0</v>
      </c>
      <c r="CQ848" s="44">
        <v>0</v>
      </c>
      <c r="CR848" s="44">
        <v>0</v>
      </c>
      <c r="CS848" s="44">
        <v>0</v>
      </c>
      <c r="CT848" s="44">
        <v>0</v>
      </c>
      <c r="CU848" s="44">
        <v>0</v>
      </c>
      <c r="CV848" s="44">
        <v>0</v>
      </c>
      <c r="CW848" s="44">
        <v>0</v>
      </c>
      <c r="CX848" s="44">
        <v>0</v>
      </c>
      <c r="CY848" s="44">
        <v>0</v>
      </c>
      <c r="CZ848" s="44">
        <v>0</v>
      </c>
      <c r="DA848" s="44">
        <v>0</v>
      </c>
      <c r="DB848" s="44">
        <v>0</v>
      </c>
      <c r="DC848" s="44">
        <v>0</v>
      </c>
      <c r="DD848" s="44">
        <v>0</v>
      </c>
      <c r="DE848" s="44">
        <v>0</v>
      </c>
      <c r="DF848" s="44">
        <v>0</v>
      </c>
      <c r="DG848" s="16">
        <f t="shared" si="69"/>
        <v>0</v>
      </c>
      <c r="DH848" s="16">
        <f t="shared" si="70"/>
        <v>0</v>
      </c>
      <c r="DI848" s="17" t="str">
        <f t="shared" si="71"/>
        <v/>
      </c>
      <c r="DJ848" s="119" t="s">
        <v>4</v>
      </c>
      <c r="DK848" s="44" t="s">
        <v>4</v>
      </c>
    </row>
    <row r="849" spans="1:115">
      <c r="A849" s="32" t="str">
        <f t="shared" si="67"/>
        <v>Ergon--POLE MOUNTED ; &gt; 22 kV ;  &gt;  600 kVA</v>
      </c>
      <c r="B849" s="32" t="str">
        <f t="shared" si="68"/>
        <v>Ergon</v>
      </c>
      <c r="C849" s="387"/>
      <c r="D849" s="44"/>
      <c r="E849" s="44" t="s">
        <v>213</v>
      </c>
      <c r="F849" s="44">
        <v>48.6</v>
      </c>
      <c r="G849" s="44">
        <v>6.97</v>
      </c>
      <c r="H849" s="44">
        <v>0</v>
      </c>
      <c r="I849" s="44">
        <v>0</v>
      </c>
      <c r="J849" s="44">
        <v>0</v>
      </c>
      <c r="K849" s="44">
        <v>0</v>
      </c>
      <c r="L849" s="44">
        <v>0</v>
      </c>
      <c r="M849" s="44">
        <v>0</v>
      </c>
      <c r="N849" s="44">
        <v>0</v>
      </c>
      <c r="O849" s="44">
        <v>0</v>
      </c>
      <c r="P849" s="44">
        <v>0</v>
      </c>
      <c r="Q849" s="44">
        <v>0</v>
      </c>
      <c r="R849" s="44">
        <v>0</v>
      </c>
      <c r="S849" s="44">
        <v>0</v>
      </c>
      <c r="T849" s="44">
        <v>0</v>
      </c>
      <c r="U849" s="44">
        <v>0</v>
      </c>
      <c r="V849" s="44">
        <v>0</v>
      </c>
      <c r="W849" s="44">
        <v>0</v>
      </c>
      <c r="X849" s="44">
        <v>0</v>
      </c>
      <c r="Y849" s="44">
        <v>0</v>
      </c>
      <c r="Z849" s="44">
        <v>0</v>
      </c>
      <c r="AA849" s="44">
        <v>0</v>
      </c>
      <c r="AB849" s="44">
        <v>0</v>
      </c>
      <c r="AC849" s="44">
        <v>0</v>
      </c>
      <c r="AD849" s="44">
        <v>0</v>
      </c>
      <c r="AE849" s="44">
        <v>0</v>
      </c>
      <c r="AF849" s="44">
        <v>0</v>
      </c>
      <c r="AG849" s="44">
        <v>0</v>
      </c>
      <c r="AH849" s="44">
        <v>0</v>
      </c>
      <c r="AI849" s="44">
        <v>0</v>
      </c>
      <c r="AJ849" s="44">
        <v>0</v>
      </c>
      <c r="AK849" s="44">
        <v>0</v>
      </c>
      <c r="AL849" s="44">
        <v>0</v>
      </c>
      <c r="AM849" s="44">
        <v>0</v>
      </c>
      <c r="AN849" s="44">
        <v>0</v>
      </c>
      <c r="AO849" s="44">
        <v>0</v>
      </c>
      <c r="AP849" s="44">
        <v>0</v>
      </c>
      <c r="AQ849" s="44">
        <v>0</v>
      </c>
      <c r="AR849" s="44">
        <v>0</v>
      </c>
      <c r="AS849" s="44">
        <v>0</v>
      </c>
      <c r="AT849" s="44">
        <v>0</v>
      </c>
      <c r="AU849" s="44">
        <v>0</v>
      </c>
      <c r="AV849" s="44">
        <v>0</v>
      </c>
      <c r="AW849" s="44">
        <v>0</v>
      </c>
      <c r="AX849" s="44">
        <v>0</v>
      </c>
      <c r="AY849" s="44">
        <v>0</v>
      </c>
      <c r="AZ849" s="44">
        <v>0</v>
      </c>
      <c r="BA849" s="44">
        <v>0</v>
      </c>
      <c r="BB849" s="44">
        <v>0</v>
      </c>
      <c r="BC849" s="44">
        <v>0</v>
      </c>
      <c r="BD849" s="44">
        <v>0</v>
      </c>
      <c r="BE849" s="44">
        <v>0</v>
      </c>
      <c r="BF849" s="44">
        <v>0</v>
      </c>
      <c r="BG849" s="44">
        <v>0</v>
      </c>
      <c r="BH849" s="44">
        <v>0</v>
      </c>
      <c r="BI849" s="44">
        <v>0</v>
      </c>
      <c r="BJ849" s="44">
        <v>0</v>
      </c>
      <c r="BK849" s="44">
        <v>0</v>
      </c>
      <c r="BL849" s="44">
        <v>0</v>
      </c>
      <c r="BM849" s="44">
        <v>0</v>
      </c>
      <c r="BN849" s="44">
        <v>0</v>
      </c>
      <c r="BO849" s="44">
        <v>0</v>
      </c>
      <c r="BP849" s="44">
        <v>0</v>
      </c>
      <c r="BQ849" s="44">
        <v>0</v>
      </c>
      <c r="BR849" s="44">
        <v>0</v>
      </c>
      <c r="BS849" s="44">
        <v>0</v>
      </c>
      <c r="BT849" s="44">
        <v>0</v>
      </c>
      <c r="BU849" s="44">
        <v>0</v>
      </c>
      <c r="BV849" s="44">
        <v>0</v>
      </c>
      <c r="BW849" s="44">
        <v>0</v>
      </c>
      <c r="BX849" s="44">
        <v>0</v>
      </c>
      <c r="BY849" s="44">
        <v>0</v>
      </c>
      <c r="BZ849" s="44">
        <v>0</v>
      </c>
      <c r="CA849" s="44">
        <v>0</v>
      </c>
      <c r="CB849" s="44">
        <v>0</v>
      </c>
      <c r="CC849" s="44">
        <v>0</v>
      </c>
      <c r="CD849" s="44">
        <v>0</v>
      </c>
      <c r="CE849" s="44">
        <v>0</v>
      </c>
      <c r="CF849" s="44">
        <v>0</v>
      </c>
      <c r="CG849" s="44">
        <v>0</v>
      </c>
      <c r="CH849" s="44">
        <v>0</v>
      </c>
      <c r="CI849" s="44">
        <v>0</v>
      </c>
      <c r="CJ849" s="44">
        <v>0</v>
      </c>
      <c r="CK849" s="44">
        <v>0</v>
      </c>
      <c r="CL849" s="44">
        <v>0</v>
      </c>
      <c r="CM849" s="44">
        <v>0</v>
      </c>
      <c r="CN849" s="44">
        <v>0</v>
      </c>
      <c r="CO849" s="44">
        <v>0</v>
      </c>
      <c r="CP849" s="44">
        <v>0</v>
      </c>
      <c r="CQ849" s="44">
        <v>0</v>
      </c>
      <c r="CR849" s="44">
        <v>0</v>
      </c>
      <c r="CS849" s="44">
        <v>0</v>
      </c>
      <c r="CT849" s="44">
        <v>0</v>
      </c>
      <c r="CU849" s="44">
        <v>0</v>
      </c>
      <c r="CV849" s="44">
        <v>0</v>
      </c>
      <c r="CW849" s="44">
        <v>0</v>
      </c>
      <c r="CX849" s="44">
        <v>0</v>
      </c>
      <c r="CY849" s="44">
        <v>0</v>
      </c>
      <c r="CZ849" s="44">
        <v>0</v>
      </c>
      <c r="DA849" s="44">
        <v>0</v>
      </c>
      <c r="DB849" s="44">
        <v>0</v>
      </c>
      <c r="DC849" s="44">
        <v>0</v>
      </c>
      <c r="DD849" s="44">
        <v>0</v>
      </c>
      <c r="DE849" s="44">
        <v>0</v>
      </c>
      <c r="DF849" s="44">
        <v>0</v>
      </c>
      <c r="DG849" s="16">
        <f t="shared" si="69"/>
        <v>0</v>
      </c>
      <c r="DH849" s="16">
        <f t="shared" si="70"/>
        <v>0</v>
      </c>
      <c r="DI849" s="17" t="str">
        <f t="shared" si="71"/>
        <v/>
      </c>
      <c r="DJ849" s="119" t="s">
        <v>4</v>
      </c>
      <c r="DK849" s="44" t="s">
        <v>4</v>
      </c>
    </row>
    <row r="850" spans="1:115">
      <c r="A850" s="32" t="str">
        <f t="shared" si="67"/>
        <v>Ergon--KIOSK MOUNTED ; &lt; = 22kV ;  &lt; = 60 kVA ; SINGLE PHASE</v>
      </c>
      <c r="B850" s="32" t="str">
        <f t="shared" si="68"/>
        <v>Ergon</v>
      </c>
      <c r="C850" s="387"/>
      <c r="D850" s="44"/>
      <c r="E850" s="44" t="s">
        <v>214</v>
      </c>
      <c r="F850" s="44">
        <v>48.6</v>
      </c>
      <c r="G850" s="44">
        <v>6.97</v>
      </c>
      <c r="H850" s="44">
        <v>1</v>
      </c>
      <c r="I850" s="44">
        <v>1</v>
      </c>
      <c r="J850" s="44">
        <v>0</v>
      </c>
      <c r="K850" s="44">
        <v>28</v>
      </c>
      <c r="L850" s="44">
        <v>1</v>
      </c>
      <c r="M850" s="44">
        <v>0</v>
      </c>
      <c r="N850" s="44">
        <v>1</v>
      </c>
      <c r="O850" s="44">
        <v>0</v>
      </c>
      <c r="P850" s="44">
        <v>0</v>
      </c>
      <c r="Q850" s="44">
        <v>0</v>
      </c>
      <c r="R850" s="44">
        <v>1</v>
      </c>
      <c r="S850" s="44">
        <v>2</v>
      </c>
      <c r="T850" s="44">
        <v>5</v>
      </c>
      <c r="U850" s="44">
        <v>2</v>
      </c>
      <c r="V850" s="44">
        <v>0</v>
      </c>
      <c r="W850" s="44">
        <v>1</v>
      </c>
      <c r="X850" s="44">
        <v>3</v>
      </c>
      <c r="Y850" s="44">
        <v>0</v>
      </c>
      <c r="Z850" s="44">
        <v>2</v>
      </c>
      <c r="AA850" s="44">
        <v>0</v>
      </c>
      <c r="AB850" s="44">
        <v>1</v>
      </c>
      <c r="AC850" s="44">
        <v>2</v>
      </c>
      <c r="AD850" s="44">
        <v>1</v>
      </c>
      <c r="AE850" s="44">
        <v>0</v>
      </c>
      <c r="AF850" s="44">
        <v>7</v>
      </c>
      <c r="AG850" s="44">
        <v>0</v>
      </c>
      <c r="AH850" s="44">
        <v>0</v>
      </c>
      <c r="AI850" s="44">
        <v>1</v>
      </c>
      <c r="AJ850" s="44">
        <v>1</v>
      </c>
      <c r="AK850" s="44">
        <v>1</v>
      </c>
      <c r="AL850" s="44">
        <v>0</v>
      </c>
      <c r="AM850" s="44">
        <v>1</v>
      </c>
      <c r="AN850" s="44">
        <v>2</v>
      </c>
      <c r="AO850" s="44">
        <v>1</v>
      </c>
      <c r="AP850" s="44">
        <v>2</v>
      </c>
      <c r="AQ850" s="44">
        <v>0</v>
      </c>
      <c r="AR850" s="44">
        <v>0</v>
      </c>
      <c r="AS850" s="44">
        <v>0</v>
      </c>
      <c r="AT850" s="44">
        <v>2</v>
      </c>
      <c r="AU850" s="44">
        <v>0</v>
      </c>
      <c r="AV850" s="44">
        <v>2</v>
      </c>
      <c r="AW850" s="44">
        <v>0</v>
      </c>
      <c r="AX850" s="44">
        <v>1</v>
      </c>
      <c r="AY850" s="44">
        <v>0</v>
      </c>
      <c r="AZ850" s="44">
        <v>0</v>
      </c>
      <c r="BA850" s="44">
        <v>1</v>
      </c>
      <c r="BB850" s="44">
        <v>1</v>
      </c>
      <c r="BC850" s="44">
        <v>0</v>
      </c>
      <c r="BD850" s="44">
        <v>1</v>
      </c>
      <c r="BE850" s="44">
        <v>0</v>
      </c>
      <c r="BF850" s="44">
        <v>0</v>
      </c>
      <c r="BG850" s="44">
        <v>0</v>
      </c>
      <c r="BH850" s="44">
        <v>0</v>
      </c>
      <c r="BI850" s="44">
        <v>0</v>
      </c>
      <c r="BJ850" s="44">
        <v>0</v>
      </c>
      <c r="BK850" s="44">
        <v>0</v>
      </c>
      <c r="BL850" s="44">
        <v>0</v>
      </c>
      <c r="BM850" s="44">
        <v>0</v>
      </c>
      <c r="BN850" s="44">
        <v>0</v>
      </c>
      <c r="BO850" s="44">
        <v>0</v>
      </c>
      <c r="BP850" s="44">
        <v>0</v>
      </c>
      <c r="BQ850" s="44">
        <v>0</v>
      </c>
      <c r="BR850" s="44">
        <v>0</v>
      </c>
      <c r="BS850" s="44">
        <v>0</v>
      </c>
      <c r="BT850" s="44">
        <v>0</v>
      </c>
      <c r="BU850" s="44">
        <v>0</v>
      </c>
      <c r="BV850" s="44">
        <v>0</v>
      </c>
      <c r="BW850" s="44">
        <v>0</v>
      </c>
      <c r="BX850" s="44">
        <v>0</v>
      </c>
      <c r="BY850" s="44">
        <v>0</v>
      </c>
      <c r="BZ850" s="44">
        <v>0</v>
      </c>
      <c r="CA850" s="44">
        <v>0</v>
      </c>
      <c r="CB850" s="44">
        <v>0</v>
      </c>
      <c r="CC850" s="44">
        <v>0</v>
      </c>
      <c r="CD850" s="44">
        <v>0</v>
      </c>
      <c r="CE850" s="44">
        <v>0</v>
      </c>
      <c r="CF850" s="44">
        <v>0</v>
      </c>
      <c r="CG850" s="44">
        <v>2</v>
      </c>
      <c r="CH850" s="44">
        <v>0</v>
      </c>
      <c r="CI850" s="44">
        <v>0</v>
      </c>
      <c r="CJ850" s="44">
        <v>0</v>
      </c>
      <c r="CK850" s="44">
        <v>0</v>
      </c>
      <c r="CL850" s="44">
        <v>0</v>
      </c>
      <c r="CM850" s="44">
        <v>0</v>
      </c>
      <c r="CN850" s="44">
        <v>0</v>
      </c>
      <c r="CO850" s="44">
        <v>0</v>
      </c>
      <c r="CP850" s="44">
        <v>0</v>
      </c>
      <c r="CQ850" s="44">
        <v>0</v>
      </c>
      <c r="CR850" s="44">
        <v>0</v>
      </c>
      <c r="CS850" s="44">
        <v>0</v>
      </c>
      <c r="CT850" s="44">
        <v>0</v>
      </c>
      <c r="CU850" s="44">
        <v>0</v>
      </c>
      <c r="CV850" s="44">
        <v>0</v>
      </c>
      <c r="CW850" s="44">
        <v>0</v>
      </c>
      <c r="CX850" s="44">
        <v>0</v>
      </c>
      <c r="CY850" s="44">
        <v>0</v>
      </c>
      <c r="CZ850" s="44">
        <v>0</v>
      </c>
      <c r="DA850" s="44">
        <v>0</v>
      </c>
      <c r="DB850" s="44">
        <v>0</v>
      </c>
      <c r="DC850" s="44">
        <v>0</v>
      </c>
      <c r="DD850" s="44">
        <v>0</v>
      </c>
      <c r="DE850" s="44">
        <v>0</v>
      </c>
      <c r="DF850" s="44">
        <v>0</v>
      </c>
      <c r="DG850" s="16">
        <f t="shared" si="69"/>
        <v>78</v>
      </c>
      <c r="DH850" s="16">
        <f t="shared" si="70"/>
        <v>1413</v>
      </c>
      <c r="DI850" s="17">
        <f t="shared" si="71"/>
        <v>18.115384615384617</v>
      </c>
      <c r="DJ850" s="119" t="s">
        <v>4</v>
      </c>
      <c r="DK850" s="44" t="s">
        <v>4</v>
      </c>
    </row>
    <row r="851" spans="1:115">
      <c r="A851" s="32" t="str">
        <f t="shared" si="67"/>
        <v>Ergon--KIOSK MOUNTED ; &lt; = 22kV ;  &gt; 60 kVA AND &lt; = 600 kVA ; SINGLE PHASE</v>
      </c>
      <c r="B851" s="32" t="str">
        <f t="shared" si="68"/>
        <v>Ergon</v>
      </c>
      <c r="C851" s="387"/>
      <c r="D851" s="44"/>
      <c r="E851" s="44" t="s">
        <v>215</v>
      </c>
      <c r="F851" s="44">
        <v>48.6</v>
      </c>
      <c r="G851" s="44">
        <v>6.97</v>
      </c>
      <c r="H851" s="44">
        <v>0</v>
      </c>
      <c r="I851" s="44">
        <v>0</v>
      </c>
      <c r="J851" s="44">
        <v>0</v>
      </c>
      <c r="K851" s="44">
        <v>0</v>
      </c>
      <c r="L851" s="44">
        <v>0</v>
      </c>
      <c r="M851" s="44">
        <v>0</v>
      </c>
      <c r="N851" s="44">
        <v>0</v>
      </c>
      <c r="O851" s="44">
        <v>0</v>
      </c>
      <c r="P851" s="44">
        <v>0</v>
      </c>
      <c r="Q851" s="44">
        <v>0</v>
      </c>
      <c r="R851" s="44">
        <v>0</v>
      </c>
      <c r="S851" s="44">
        <v>0</v>
      </c>
      <c r="T851" s="44">
        <v>0</v>
      </c>
      <c r="U851" s="44">
        <v>0</v>
      </c>
      <c r="V851" s="44">
        <v>0</v>
      </c>
      <c r="W851" s="44">
        <v>0</v>
      </c>
      <c r="X851" s="44">
        <v>0</v>
      </c>
      <c r="Y851" s="44">
        <v>0</v>
      </c>
      <c r="Z851" s="44">
        <v>0</v>
      </c>
      <c r="AA851" s="44">
        <v>0</v>
      </c>
      <c r="AB851" s="44">
        <v>0</v>
      </c>
      <c r="AC851" s="44">
        <v>0</v>
      </c>
      <c r="AD851" s="44">
        <v>0</v>
      </c>
      <c r="AE851" s="44">
        <v>0</v>
      </c>
      <c r="AF851" s="44">
        <v>0</v>
      </c>
      <c r="AG851" s="44">
        <v>0</v>
      </c>
      <c r="AH851" s="44">
        <v>0</v>
      </c>
      <c r="AI851" s="44">
        <v>0</v>
      </c>
      <c r="AJ851" s="44">
        <v>0</v>
      </c>
      <c r="AK851" s="44">
        <v>0</v>
      </c>
      <c r="AL851" s="44">
        <v>0</v>
      </c>
      <c r="AM851" s="44">
        <v>0</v>
      </c>
      <c r="AN851" s="44">
        <v>0</v>
      </c>
      <c r="AO851" s="44">
        <v>0</v>
      </c>
      <c r="AP851" s="44">
        <v>0</v>
      </c>
      <c r="AQ851" s="44">
        <v>0</v>
      </c>
      <c r="AR851" s="44">
        <v>0</v>
      </c>
      <c r="AS851" s="44">
        <v>0</v>
      </c>
      <c r="AT851" s="44">
        <v>0</v>
      </c>
      <c r="AU851" s="44">
        <v>0</v>
      </c>
      <c r="AV851" s="44">
        <v>0</v>
      </c>
      <c r="AW851" s="44">
        <v>0</v>
      </c>
      <c r="AX851" s="44">
        <v>0</v>
      </c>
      <c r="AY851" s="44">
        <v>0</v>
      </c>
      <c r="AZ851" s="44">
        <v>0</v>
      </c>
      <c r="BA851" s="44">
        <v>0</v>
      </c>
      <c r="BB851" s="44">
        <v>0</v>
      </c>
      <c r="BC851" s="44">
        <v>0</v>
      </c>
      <c r="BD851" s="44">
        <v>0</v>
      </c>
      <c r="BE851" s="44">
        <v>0</v>
      </c>
      <c r="BF851" s="44">
        <v>0</v>
      </c>
      <c r="BG851" s="44">
        <v>0</v>
      </c>
      <c r="BH851" s="44">
        <v>0</v>
      </c>
      <c r="BI851" s="44">
        <v>0</v>
      </c>
      <c r="BJ851" s="44">
        <v>0</v>
      </c>
      <c r="BK851" s="44">
        <v>0</v>
      </c>
      <c r="BL851" s="44">
        <v>0</v>
      </c>
      <c r="BM851" s="44">
        <v>0</v>
      </c>
      <c r="BN851" s="44">
        <v>0</v>
      </c>
      <c r="BO851" s="44">
        <v>0</v>
      </c>
      <c r="BP851" s="44">
        <v>0</v>
      </c>
      <c r="BQ851" s="44">
        <v>0</v>
      </c>
      <c r="BR851" s="44">
        <v>0</v>
      </c>
      <c r="BS851" s="44">
        <v>0</v>
      </c>
      <c r="BT851" s="44">
        <v>0</v>
      </c>
      <c r="BU851" s="44">
        <v>0</v>
      </c>
      <c r="BV851" s="44">
        <v>0</v>
      </c>
      <c r="BW851" s="44">
        <v>0</v>
      </c>
      <c r="BX851" s="44">
        <v>0</v>
      </c>
      <c r="BY851" s="44">
        <v>0</v>
      </c>
      <c r="BZ851" s="44">
        <v>0</v>
      </c>
      <c r="CA851" s="44">
        <v>0</v>
      </c>
      <c r="CB851" s="44">
        <v>0</v>
      </c>
      <c r="CC851" s="44">
        <v>0</v>
      </c>
      <c r="CD851" s="44">
        <v>0</v>
      </c>
      <c r="CE851" s="44">
        <v>0</v>
      </c>
      <c r="CF851" s="44">
        <v>0</v>
      </c>
      <c r="CG851" s="44">
        <v>0</v>
      </c>
      <c r="CH851" s="44">
        <v>0</v>
      </c>
      <c r="CI851" s="44">
        <v>0</v>
      </c>
      <c r="CJ851" s="44">
        <v>0</v>
      </c>
      <c r="CK851" s="44">
        <v>0</v>
      </c>
      <c r="CL851" s="44">
        <v>0</v>
      </c>
      <c r="CM851" s="44">
        <v>0</v>
      </c>
      <c r="CN851" s="44">
        <v>0</v>
      </c>
      <c r="CO851" s="44">
        <v>0</v>
      </c>
      <c r="CP851" s="44">
        <v>0</v>
      </c>
      <c r="CQ851" s="44">
        <v>0</v>
      </c>
      <c r="CR851" s="44">
        <v>0</v>
      </c>
      <c r="CS851" s="44">
        <v>0</v>
      </c>
      <c r="CT851" s="44">
        <v>0</v>
      </c>
      <c r="CU851" s="44">
        <v>0</v>
      </c>
      <c r="CV851" s="44">
        <v>0</v>
      </c>
      <c r="CW851" s="44">
        <v>0</v>
      </c>
      <c r="CX851" s="44">
        <v>0</v>
      </c>
      <c r="CY851" s="44">
        <v>0</v>
      </c>
      <c r="CZ851" s="44">
        <v>0</v>
      </c>
      <c r="DA851" s="44">
        <v>0</v>
      </c>
      <c r="DB851" s="44">
        <v>0</v>
      </c>
      <c r="DC851" s="44">
        <v>0</v>
      </c>
      <c r="DD851" s="44">
        <v>0</v>
      </c>
      <c r="DE851" s="44">
        <v>0</v>
      </c>
      <c r="DF851" s="44">
        <v>0</v>
      </c>
      <c r="DG851" s="16">
        <f t="shared" si="69"/>
        <v>0</v>
      </c>
      <c r="DH851" s="16">
        <f t="shared" si="70"/>
        <v>0</v>
      </c>
      <c r="DI851" s="17" t="str">
        <f t="shared" si="71"/>
        <v/>
      </c>
      <c r="DJ851" s="119" t="s">
        <v>4</v>
      </c>
      <c r="DK851" s="44" t="s">
        <v>4</v>
      </c>
    </row>
    <row r="852" spans="1:115">
      <c r="A852" s="32" t="str">
        <f t="shared" si="67"/>
        <v>Ergon--KIOSK MOUNTED ; &lt; = 22kV ;  &gt; 600 kVA ; SINGLE PHASE</v>
      </c>
      <c r="B852" s="32" t="str">
        <f t="shared" si="68"/>
        <v>Ergon</v>
      </c>
      <c r="C852" s="387"/>
      <c r="D852" s="44"/>
      <c r="E852" s="44" t="s">
        <v>216</v>
      </c>
      <c r="F852" s="44">
        <v>48.6</v>
      </c>
      <c r="G852" s="44">
        <v>6.97</v>
      </c>
      <c r="H852" s="44">
        <v>0</v>
      </c>
      <c r="I852" s="44">
        <v>0</v>
      </c>
      <c r="J852" s="44">
        <v>0</v>
      </c>
      <c r="K852" s="44">
        <v>0</v>
      </c>
      <c r="L852" s="44">
        <v>0</v>
      </c>
      <c r="M852" s="44">
        <v>0</v>
      </c>
      <c r="N852" s="44">
        <v>0</v>
      </c>
      <c r="O852" s="44">
        <v>0</v>
      </c>
      <c r="P852" s="44">
        <v>0</v>
      </c>
      <c r="Q852" s="44">
        <v>0</v>
      </c>
      <c r="R852" s="44">
        <v>0</v>
      </c>
      <c r="S852" s="44">
        <v>0</v>
      </c>
      <c r="T852" s="44">
        <v>0</v>
      </c>
      <c r="U852" s="44">
        <v>0</v>
      </c>
      <c r="V852" s="44">
        <v>0</v>
      </c>
      <c r="W852" s="44">
        <v>0</v>
      </c>
      <c r="X852" s="44">
        <v>0</v>
      </c>
      <c r="Y852" s="44">
        <v>0</v>
      </c>
      <c r="Z852" s="44">
        <v>0</v>
      </c>
      <c r="AA852" s="44">
        <v>0</v>
      </c>
      <c r="AB852" s="44">
        <v>0</v>
      </c>
      <c r="AC852" s="44">
        <v>0</v>
      </c>
      <c r="AD852" s="44">
        <v>0</v>
      </c>
      <c r="AE852" s="44">
        <v>0</v>
      </c>
      <c r="AF852" s="44">
        <v>0</v>
      </c>
      <c r="AG852" s="44">
        <v>0</v>
      </c>
      <c r="AH852" s="44">
        <v>0</v>
      </c>
      <c r="AI852" s="44">
        <v>0</v>
      </c>
      <c r="AJ852" s="44">
        <v>0</v>
      </c>
      <c r="AK852" s="44">
        <v>0</v>
      </c>
      <c r="AL852" s="44">
        <v>0</v>
      </c>
      <c r="AM852" s="44">
        <v>0</v>
      </c>
      <c r="AN852" s="44">
        <v>0</v>
      </c>
      <c r="AO852" s="44">
        <v>0</v>
      </c>
      <c r="AP852" s="44">
        <v>0</v>
      </c>
      <c r="AQ852" s="44">
        <v>0</v>
      </c>
      <c r="AR852" s="44">
        <v>0</v>
      </c>
      <c r="AS852" s="44">
        <v>0</v>
      </c>
      <c r="AT852" s="44">
        <v>0</v>
      </c>
      <c r="AU852" s="44">
        <v>0</v>
      </c>
      <c r="AV852" s="44">
        <v>0</v>
      </c>
      <c r="AW852" s="44">
        <v>0</v>
      </c>
      <c r="AX852" s="44">
        <v>0</v>
      </c>
      <c r="AY852" s="44">
        <v>0</v>
      </c>
      <c r="AZ852" s="44">
        <v>0</v>
      </c>
      <c r="BA852" s="44">
        <v>0</v>
      </c>
      <c r="BB852" s="44">
        <v>0</v>
      </c>
      <c r="BC852" s="44">
        <v>0</v>
      </c>
      <c r="BD852" s="44">
        <v>0</v>
      </c>
      <c r="BE852" s="44">
        <v>0</v>
      </c>
      <c r="BF852" s="44">
        <v>0</v>
      </c>
      <c r="BG852" s="44">
        <v>0</v>
      </c>
      <c r="BH852" s="44">
        <v>0</v>
      </c>
      <c r="BI852" s="44">
        <v>0</v>
      </c>
      <c r="BJ852" s="44">
        <v>0</v>
      </c>
      <c r="BK852" s="44">
        <v>0</v>
      </c>
      <c r="BL852" s="44">
        <v>0</v>
      </c>
      <c r="BM852" s="44">
        <v>0</v>
      </c>
      <c r="BN852" s="44">
        <v>0</v>
      </c>
      <c r="BO852" s="44">
        <v>0</v>
      </c>
      <c r="BP852" s="44">
        <v>0</v>
      </c>
      <c r="BQ852" s="44">
        <v>0</v>
      </c>
      <c r="BR852" s="44">
        <v>0</v>
      </c>
      <c r="BS852" s="44">
        <v>0</v>
      </c>
      <c r="BT852" s="44">
        <v>0</v>
      </c>
      <c r="BU852" s="44">
        <v>0</v>
      </c>
      <c r="BV852" s="44">
        <v>0</v>
      </c>
      <c r="BW852" s="44">
        <v>0</v>
      </c>
      <c r="BX852" s="44">
        <v>0</v>
      </c>
      <c r="BY852" s="44">
        <v>0</v>
      </c>
      <c r="BZ852" s="44">
        <v>0</v>
      </c>
      <c r="CA852" s="44">
        <v>0</v>
      </c>
      <c r="CB852" s="44">
        <v>0</v>
      </c>
      <c r="CC852" s="44">
        <v>0</v>
      </c>
      <c r="CD852" s="44">
        <v>0</v>
      </c>
      <c r="CE852" s="44">
        <v>0</v>
      </c>
      <c r="CF852" s="44">
        <v>0</v>
      </c>
      <c r="CG852" s="44">
        <v>0</v>
      </c>
      <c r="CH852" s="44">
        <v>0</v>
      </c>
      <c r="CI852" s="44">
        <v>0</v>
      </c>
      <c r="CJ852" s="44">
        <v>0</v>
      </c>
      <c r="CK852" s="44">
        <v>0</v>
      </c>
      <c r="CL852" s="44">
        <v>0</v>
      </c>
      <c r="CM852" s="44">
        <v>0</v>
      </c>
      <c r="CN852" s="44">
        <v>0</v>
      </c>
      <c r="CO852" s="44">
        <v>0</v>
      </c>
      <c r="CP852" s="44">
        <v>0</v>
      </c>
      <c r="CQ852" s="44">
        <v>0</v>
      </c>
      <c r="CR852" s="44">
        <v>0</v>
      </c>
      <c r="CS852" s="44">
        <v>0</v>
      </c>
      <c r="CT852" s="44">
        <v>0</v>
      </c>
      <c r="CU852" s="44">
        <v>0</v>
      </c>
      <c r="CV852" s="44">
        <v>0</v>
      </c>
      <c r="CW852" s="44">
        <v>0</v>
      </c>
      <c r="CX852" s="44">
        <v>0</v>
      </c>
      <c r="CY852" s="44">
        <v>0</v>
      </c>
      <c r="CZ852" s="44">
        <v>0</v>
      </c>
      <c r="DA852" s="44">
        <v>0</v>
      </c>
      <c r="DB852" s="44">
        <v>0</v>
      </c>
      <c r="DC852" s="44">
        <v>0</v>
      </c>
      <c r="DD852" s="44">
        <v>0</v>
      </c>
      <c r="DE852" s="44">
        <v>0</v>
      </c>
      <c r="DF852" s="44">
        <v>0</v>
      </c>
      <c r="DG852" s="16">
        <f t="shared" ref="DG852:DG911" si="72">SUM(H852:DF852)</f>
        <v>0</v>
      </c>
      <c r="DH852" s="16">
        <f t="shared" ref="DH852:DH911" si="73">IFERROR(SUMPRODUCT(H852:DF852,$H$1:$DF$1),"")</f>
        <v>0</v>
      </c>
      <c r="DI852" s="17" t="str">
        <f t="shared" ref="DI852:DI911" si="74">IFERROR(DH852/DG852,"")</f>
        <v/>
      </c>
      <c r="DJ852" s="119" t="s">
        <v>4</v>
      </c>
      <c r="DK852" s="44" t="s">
        <v>4</v>
      </c>
    </row>
    <row r="853" spans="1:115">
      <c r="A853" s="32" t="str">
        <f t="shared" si="67"/>
        <v>Ergon--KIOSK MOUNTED ; &lt; = 22kV ;  &lt; = 60 kVA  ; MULTIPLE PHASE</v>
      </c>
      <c r="B853" s="32" t="str">
        <f t="shared" si="68"/>
        <v>Ergon</v>
      </c>
      <c r="C853" s="387"/>
      <c r="D853" s="44"/>
      <c r="E853" s="44" t="s">
        <v>217</v>
      </c>
      <c r="F853" s="44">
        <v>48.6</v>
      </c>
      <c r="G853" s="44">
        <v>6.97</v>
      </c>
      <c r="H853" s="44">
        <v>3</v>
      </c>
      <c r="I853" s="44">
        <v>1</v>
      </c>
      <c r="J853" s="44">
        <v>0</v>
      </c>
      <c r="K853" s="44">
        <v>8</v>
      </c>
      <c r="L853" s="44">
        <v>1</v>
      </c>
      <c r="M853" s="44">
        <v>0</v>
      </c>
      <c r="N853" s="44">
        <v>1</v>
      </c>
      <c r="O853" s="44">
        <v>0</v>
      </c>
      <c r="P853" s="44">
        <v>0</v>
      </c>
      <c r="Q853" s="44">
        <v>0</v>
      </c>
      <c r="R853" s="44">
        <v>0</v>
      </c>
      <c r="S853" s="44">
        <v>1</v>
      </c>
      <c r="T853" s="44">
        <v>0</v>
      </c>
      <c r="U853" s="44">
        <v>2</v>
      </c>
      <c r="V853" s="44">
        <v>1</v>
      </c>
      <c r="W853" s="44">
        <v>1</v>
      </c>
      <c r="X853" s="44">
        <v>1</v>
      </c>
      <c r="Y853" s="44">
        <v>0</v>
      </c>
      <c r="Z853" s="44">
        <v>0</v>
      </c>
      <c r="AA853" s="44">
        <v>0</v>
      </c>
      <c r="AB853" s="44">
        <v>0</v>
      </c>
      <c r="AC853" s="44">
        <v>1</v>
      </c>
      <c r="AD853" s="44">
        <v>0</v>
      </c>
      <c r="AE853" s="44">
        <v>2</v>
      </c>
      <c r="AF853" s="44">
        <v>1</v>
      </c>
      <c r="AG853" s="44">
        <v>1</v>
      </c>
      <c r="AH853" s="44">
        <v>1</v>
      </c>
      <c r="AI853" s="44">
        <v>0</v>
      </c>
      <c r="AJ853" s="44">
        <v>0</v>
      </c>
      <c r="AK853" s="44">
        <v>0</v>
      </c>
      <c r="AL853" s="44">
        <v>1</v>
      </c>
      <c r="AM853" s="44">
        <v>0</v>
      </c>
      <c r="AN853" s="44">
        <v>1</v>
      </c>
      <c r="AO853" s="44">
        <v>0</v>
      </c>
      <c r="AP853" s="44">
        <v>0</v>
      </c>
      <c r="AQ853" s="44">
        <v>1</v>
      </c>
      <c r="AR853" s="44">
        <v>0</v>
      </c>
      <c r="AS853" s="44">
        <v>0</v>
      </c>
      <c r="AT853" s="44">
        <v>0</v>
      </c>
      <c r="AU853" s="44">
        <v>1</v>
      </c>
      <c r="AV853" s="44">
        <v>0</v>
      </c>
      <c r="AW853" s="44">
        <v>0</v>
      </c>
      <c r="AX853" s="44">
        <v>0</v>
      </c>
      <c r="AY853" s="44">
        <v>0</v>
      </c>
      <c r="AZ853" s="44">
        <v>0</v>
      </c>
      <c r="BA853" s="44">
        <v>0</v>
      </c>
      <c r="BB853" s="44">
        <v>0</v>
      </c>
      <c r="BC853" s="44">
        <v>0</v>
      </c>
      <c r="BD853" s="44">
        <v>0</v>
      </c>
      <c r="BE853" s="44">
        <v>2</v>
      </c>
      <c r="BF853" s="44">
        <v>0</v>
      </c>
      <c r="BG853" s="44">
        <v>0</v>
      </c>
      <c r="BH853" s="44">
        <v>0</v>
      </c>
      <c r="BI853" s="44">
        <v>0</v>
      </c>
      <c r="BJ853" s="44">
        <v>0</v>
      </c>
      <c r="BK853" s="44">
        <v>0</v>
      </c>
      <c r="BL853" s="44">
        <v>0</v>
      </c>
      <c r="BM853" s="44">
        <v>0</v>
      </c>
      <c r="BN853" s="44">
        <v>0</v>
      </c>
      <c r="BO853" s="44">
        <v>0</v>
      </c>
      <c r="BP853" s="44">
        <v>1</v>
      </c>
      <c r="BQ853" s="44">
        <v>0</v>
      </c>
      <c r="BR853" s="44">
        <v>0</v>
      </c>
      <c r="BS853" s="44">
        <v>0</v>
      </c>
      <c r="BT853" s="44">
        <v>0</v>
      </c>
      <c r="BU853" s="44">
        <v>0</v>
      </c>
      <c r="BV853" s="44">
        <v>0</v>
      </c>
      <c r="BW853" s="44">
        <v>1</v>
      </c>
      <c r="BX853" s="44">
        <v>0</v>
      </c>
      <c r="BY853" s="44">
        <v>0</v>
      </c>
      <c r="BZ853" s="44">
        <v>0</v>
      </c>
      <c r="CA853" s="44">
        <v>0</v>
      </c>
      <c r="CB853" s="44">
        <v>0</v>
      </c>
      <c r="CC853" s="44">
        <v>0</v>
      </c>
      <c r="CD853" s="44">
        <v>0</v>
      </c>
      <c r="CE853" s="44">
        <v>0</v>
      </c>
      <c r="CF853" s="44">
        <v>0</v>
      </c>
      <c r="CG853" s="44">
        <v>0</v>
      </c>
      <c r="CH853" s="44">
        <v>0</v>
      </c>
      <c r="CI853" s="44">
        <v>0</v>
      </c>
      <c r="CJ853" s="44">
        <v>0</v>
      </c>
      <c r="CK853" s="44">
        <v>0</v>
      </c>
      <c r="CL853" s="44">
        <v>0</v>
      </c>
      <c r="CM853" s="44">
        <v>0</v>
      </c>
      <c r="CN853" s="44">
        <v>0</v>
      </c>
      <c r="CO853" s="44">
        <v>0</v>
      </c>
      <c r="CP853" s="44">
        <v>0</v>
      </c>
      <c r="CQ853" s="44">
        <v>0</v>
      </c>
      <c r="CR853" s="44">
        <v>0</v>
      </c>
      <c r="CS853" s="44">
        <v>0</v>
      </c>
      <c r="CT853" s="44">
        <v>0</v>
      </c>
      <c r="CU853" s="44">
        <v>0</v>
      </c>
      <c r="CV853" s="44">
        <v>0</v>
      </c>
      <c r="CW853" s="44">
        <v>0</v>
      </c>
      <c r="CX853" s="44">
        <v>0</v>
      </c>
      <c r="CY853" s="44">
        <v>0</v>
      </c>
      <c r="CZ853" s="44">
        <v>0</v>
      </c>
      <c r="DA853" s="44">
        <v>0</v>
      </c>
      <c r="DB853" s="44">
        <v>0</v>
      </c>
      <c r="DC853" s="44">
        <v>0</v>
      </c>
      <c r="DD853" s="44">
        <v>0</v>
      </c>
      <c r="DE853" s="44">
        <v>0</v>
      </c>
      <c r="DF853" s="44">
        <v>0</v>
      </c>
      <c r="DG853" s="16">
        <f t="shared" si="72"/>
        <v>34</v>
      </c>
      <c r="DH853" s="16">
        <f t="shared" si="73"/>
        <v>654</v>
      </c>
      <c r="DI853" s="17">
        <f t="shared" si="74"/>
        <v>19.235294117647058</v>
      </c>
      <c r="DJ853" s="119" t="s">
        <v>4</v>
      </c>
      <c r="DK853" s="44" t="s">
        <v>4</v>
      </c>
    </row>
    <row r="854" spans="1:115">
      <c r="A854" s="32" t="str">
        <f t="shared" si="67"/>
        <v>Ergon--KIOSK MOUNTED ; &lt; = 22kV ;  &gt; 60 kVA AND &lt; = 600 kVA  ; MULTIPLE PHASE</v>
      </c>
      <c r="B854" s="32" t="str">
        <f t="shared" si="68"/>
        <v>Ergon</v>
      </c>
      <c r="C854" s="387"/>
      <c r="D854" s="44"/>
      <c r="E854" s="44" t="s">
        <v>218</v>
      </c>
      <c r="F854" s="44">
        <v>48.6</v>
      </c>
      <c r="G854" s="44">
        <v>6.97</v>
      </c>
      <c r="H854" s="44">
        <v>206</v>
      </c>
      <c r="I854" s="44">
        <v>203</v>
      </c>
      <c r="J854" s="44">
        <v>238</v>
      </c>
      <c r="K854" s="44">
        <v>273</v>
      </c>
      <c r="L854" s="44">
        <v>391</v>
      </c>
      <c r="M854" s="44">
        <v>383</v>
      </c>
      <c r="N854" s="44">
        <v>315</v>
      </c>
      <c r="O854" s="44">
        <v>348</v>
      </c>
      <c r="P854" s="44">
        <v>369</v>
      </c>
      <c r="Q854" s="44">
        <v>332</v>
      </c>
      <c r="R854" s="44">
        <v>205</v>
      </c>
      <c r="S854" s="44">
        <v>109</v>
      </c>
      <c r="T854" s="44">
        <v>73</v>
      </c>
      <c r="U854" s="44">
        <v>111</v>
      </c>
      <c r="V854" s="44">
        <v>73</v>
      </c>
      <c r="W854" s="44">
        <v>65</v>
      </c>
      <c r="X854" s="44">
        <v>62</v>
      </c>
      <c r="Y854" s="44">
        <v>73</v>
      </c>
      <c r="Z854" s="44">
        <v>94</v>
      </c>
      <c r="AA854" s="44">
        <v>105</v>
      </c>
      <c r="AB854" s="44">
        <v>87</v>
      </c>
      <c r="AC854" s="44">
        <v>70</v>
      </c>
      <c r="AD854" s="44">
        <v>59</v>
      </c>
      <c r="AE854" s="44">
        <v>63</v>
      </c>
      <c r="AF854" s="44">
        <v>54</v>
      </c>
      <c r="AG854" s="44">
        <v>32</v>
      </c>
      <c r="AH854" s="44">
        <v>24</v>
      </c>
      <c r="AI854" s="44">
        <v>24</v>
      </c>
      <c r="AJ854" s="44">
        <v>18</v>
      </c>
      <c r="AK854" s="44">
        <v>35</v>
      </c>
      <c r="AL854" s="44">
        <v>28</v>
      </c>
      <c r="AM854" s="44">
        <v>46</v>
      </c>
      <c r="AN854" s="44">
        <v>45</v>
      </c>
      <c r="AO854" s="44">
        <v>22</v>
      </c>
      <c r="AP854" s="44">
        <v>8</v>
      </c>
      <c r="AQ854" s="44">
        <v>18</v>
      </c>
      <c r="AR854" s="44">
        <v>4</v>
      </c>
      <c r="AS854" s="44">
        <v>14</v>
      </c>
      <c r="AT854" s="44">
        <v>13</v>
      </c>
      <c r="AU854" s="44">
        <v>15</v>
      </c>
      <c r="AV854" s="44">
        <v>14</v>
      </c>
      <c r="AW854" s="44">
        <v>1</v>
      </c>
      <c r="AX854" s="44">
        <v>9</v>
      </c>
      <c r="AY854" s="44">
        <v>10</v>
      </c>
      <c r="AZ854" s="44">
        <v>11</v>
      </c>
      <c r="BA854" s="44">
        <v>2</v>
      </c>
      <c r="BB854" s="44">
        <v>9</v>
      </c>
      <c r="BC854" s="44">
        <v>5</v>
      </c>
      <c r="BD854" s="44">
        <v>10</v>
      </c>
      <c r="BE854" s="44">
        <v>3</v>
      </c>
      <c r="BF854" s="44">
        <v>11</v>
      </c>
      <c r="BG854" s="44">
        <v>0</v>
      </c>
      <c r="BH854" s="44">
        <v>3</v>
      </c>
      <c r="BI854" s="44">
        <v>1</v>
      </c>
      <c r="BJ854" s="44">
        <v>0</v>
      </c>
      <c r="BK854" s="44">
        <v>0</v>
      </c>
      <c r="BL854" s="44">
        <v>2</v>
      </c>
      <c r="BM854" s="44">
        <v>0</v>
      </c>
      <c r="BN854" s="44">
        <v>2</v>
      </c>
      <c r="BO854" s="44">
        <v>0</v>
      </c>
      <c r="BP854" s="44">
        <v>0</v>
      </c>
      <c r="BQ854" s="44">
        <v>0</v>
      </c>
      <c r="BR854" s="44">
        <v>0</v>
      </c>
      <c r="BS854" s="44">
        <v>0</v>
      </c>
      <c r="BT854" s="44">
        <v>0</v>
      </c>
      <c r="BU854" s="44">
        <v>1</v>
      </c>
      <c r="BV854" s="44">
        <v>0</v>
      </c>
      <c r="BW854" s="44">
        <v>2</v>
      </c>
      <c r="BX854" s="44">
        <v>0</v>
      </c>
      <c r="BY854" s="44">
        <v>0</v>
      </c>
      <c r="BZ854" s="44">
        <v>0</v>
      </c>
      <c r="CA854" s="44">
        <v>0</v>
      </c>
      <c r="CB854" s="44">
        <v>0</v>
      </c>
      <c r="CC854" s="44">
        <v>0</v>
      </c>
      <c r="CD854" s="44">
        <v>0</v>
      </c>
      <c r="CE854" s="44">
        <v>0</v>
      </c>
      <c r="CF854" s="44">
        <v>0</v>
      </c>
      <c r="CG854" s="44">
        <v>7</v>
      </c>
      <c r="CH854" s="44">
        <v>0</v>
      </c>
      <c r="CI854" s="44">
        <v>0</v>
      </c>
      <c r="CJ854" s="44">
        <v>0</v>
      </c>
      <c r="CK854" s="44">
        <v>0</v>
      </c>
      <c r="CL854" s="44">
        <v>0</v>
      </c>
      <c r="CM854" s="44">
        <v>0</v>
      </c>
      <c r="CN854" s="44">
        <v>0</v>
      </c>
      <c r="CO854" s="44">
        <v>0</v>
      </c>
      <c r="CP854" s="44">
        <v>0</v>
      </c>
      <c r="CQ854" s="44">
        <v>0</v>
      </c>
      <c r="CR854" s="44">
        <v>1</v>
      </c>
      <c r="CS854" s="44">
        <v>0</v>
      </c>
      <c r="CT854" s="44">
        <v>0</v>
      </c>
      <c r="CU854" s="44">
        <v>0</v>
      </c>
      <c r="CV854" s="44">
        <v>0</v>
      </c>
      <c r="CW854" s="44">
        <v>0</v>
      </c>
      <c r="CX854" s="44">
        <v>0</v>
      </c>
      <c r="CY854" s="44">
        <v>0</v>
      </c>
      <c r="CZ854" s="44">
        <v>0</v>
      </c>
      <c r="DA854" s="44">
        <v>0</v>
      </c>
      <c r="DB854" s="44">
        <v>0</v>
      </c>
      <c r="DC854" s="44">
        <v>0</v>
      </c>
      <c r="DD854" s="44">
        <v>0</v>
      </c>
      <c r="DE854" s="44">
        <v>0</v>
      </c>
      <c r="DF854" s="44">
        <v>0</v>
      </c>
      <c r="DG854" s="16">
        <f t="shared" si="72"/>
        <v>4811</v>
      </c>
      <c r="DH854" s="16">
        <f t="shared" si="73"/>
        <v>56530</v>
      </c>
      <c r="DI854" s="17">
        <f t="shared" si="74"/>
        <v>11.750155892745791</v>
      </c>
      <c r="DJ854" s="119" t="s">
        <v>4</v>
      </c>
      <c r="DK854" s="44" t="s">
        <v>4</v>
      </c>
    </row>
    <row r="855" spans="1:115">
      <c r="A855" s="32" t="str">
        <f t="shared" si="67"/>
        <v>Ergon--KIOSK MOUNTED ; &lt; = 22kV ;  &gt; 600 kVA  ; MULTIPLE PHASE</v>
      </c>
      <c r="B855" s="32" t="str">
        <f t="shared" si="68"/>
        <v>Ergon</v>
      </c>
      <c r="C855" s="387"/>
      <c r="D855" s="44"/>
      <c r="E855" s="44" t="s">
        <v>219</v>
      </c>
      <c r="F855" s="44">
        <v>48.6</v>
      </c>
      <c r="G855" s="44">
        <v>6.97</v>
      </c>
      <c r="H855" s="44">
        <v>69</v>
      </c>
      <c r="I855" s="44">
        <v>75</v>
      </c>
      <c r="J855" s="44">
        <v>86</v>
      </c>
      <c r="K855" s="44">
        <v>137</v>
      </c>
      <c r="L855" s="44">
        <v>167</v>
      </c>
      <c r="M855" s="44">
        <v>144</v>
      </c>
      <c r="N855" s="44">
        <v>80</v>
      </c>
      <c r="O855" s="44">
        <v>60</v>
      </c>
      <c r="P855" s="44">
        <v>80</v>
      </c>
      <c r="Q855" s="44">
        <v>50</v>
      </c>
      <c r="R855" s="44">
        <v>57</v>
      </c>
      <c r="S855" s="44">
        <v>41</v>
      </c>
      <c r="T855" s="44">
        <v>40</v>
      </c>
      <c r="U855" s="44">
        <v>40</v>
      </c>
      <c r="V855" s="44">
        <v>28</v>
      </c>
      <c r="W855" s="44">
        <v>38</v>
      </c>
      <c r="X855" s="44">
        <v>40</v>
      </c>
      <c r="Y855" s="44">
        <v>38</v>
      </c>
      <c r="Z855" s="44">
        <v>17</v>
      </c>
      <c r="AA855" s="44">
        <v>32</v>
      </c>
      <c r="AB855" s="44">
        <v>3</v>
      </c>
      <c r="AC855" s="44">
        <v>5</v>
      </c>
      <c r="AD855" s="44">
        <v>17</v>
      </c>
      <c r="AE855" s="44">
        <v>9</v>
      </c>
      <c r="AF855" s="44">
        <v>26</v>
      </c>
      <c r="AG855" s="44">
        <v>3</v>
      </c>
      <c r="AH855" s="44">
        <v>13</v>
      </c>
      <c r="AI855" s="44">
        <v>14</v>
      </c>
      <c r="AJ855" s="44">
        <v>11</v>
      </c>
      <c r="AK855" s="44">
        <v>12</v>
      </c>
      <c r="AL855" s="44">
        <v>6</v>
      </c>
      <c r="AM855" s="44">
        <v>3</v>
      </c>
      <c r="AN855" s="44">
        <v>14</v>
      </c>
      <c r="AO855" s="44">
        <v>5</v>
      </c>
      <c r="AP855" s="44">
        <v>4</v>
      </c>
      <c r="AQ855" s="44">
        <v>11</v>
      </c>
      <c r="AR855" s="44">
        <v>9</v>
      </c>
      <c r="AS855" s="44">
        <v>3</v>
      </c>
      <c r="AT855" s="44">
        <v>2</v>
      </c>
      <c r="AU855" s="44">
        <v>0</v>
      </c>
      <c r="AV855" s="44">
        <v>2</v>
      </c>
      <c r="AW855" s="44">
        <v>1</v>
      </c>
      <c r="AX855" s="44">
        <v>3</v>
      </c>
      <c r="AY855" s="44">
        <v>2</v>
      </c>
      <c r="AZ855" s="44">
        <v>1</v>
      </c>
      <c r="BA855" s="44">
        <v>9</v>
      </c>
      <c r="BB855" s="44">
        <v>4</v>
      </c>
      <c r="BC855" s="44">
        <v>1</v>
      </c>
      <c r="BD855" s="44">
        <v>1</v>
      </c>
      <c r="BE855" s="44">
        <v>0</v>
      </c>
      <c r="BF855" s="44">
        <v>0</v>
      </c>
      <c r="BG855" s="44">
        <v>0</v>
      </c>
      <c r="BH855" s="44">
        <v>0</v>
      </c>
      <c r="BI855" s="44">
        <v>1</v>
      </c>
      <c r="BJ855" s="44">
        <v>0</v>
      </c>
      <c r="BK855" s="44">
        <v>0</v>
      </c>
      <c r="BL855" s="44">
        <v>0</v>
      </c>
      <c r="BM855" s="44">
        <v>0</v>
      </c>
      <c r="BN855" s="44">
        <v>0</v>
      </c>
      <c r="BO855" s="44">
        <v>0</v>
      </c>
      <c r="BP855" s="44">
        <v>0</v>
      </c>
      <c r="BQ855" s="44">
        <v>0</v>
      </c>
      <c r="BR855" s="44">
        <v>0</v>
      </c>
      <c r="BS855" s="44">
        <v>0</v>
      </c>
      <c r="BT855" s="44">
        <v>0</v>
      </c>
      <c r="BU855" s="44">
        <v>0</v>
      </c>
      <c r="BV855" s="44">
        <v>0</v>
      </c>
      <c r="BW855" s="44">
        <v>1</v>
      </c>
      <c r="BX855" s="44">
        <v>0</v>
      </c>
      <c r="BY855" s="44">
        <v>0</v>
      </c>
      <c r="BZ855" s="44">
        <v>0</v>
      </c>
      <c r="CA855" s="44">
        <v>0</v>
      </c>
      <c r="CB855" s="44">
        <v>0</v>
      </c>
      <c r="CC855" s="44">
        <v>0</v>
      </c>
      <c r="CD855" s="44">
        <v>0</v>
      </c>
      <c r="CE855" s="44">
        <v>0</v>
      </c>
      <c r="CF855" s="44">
        <v>0</v>
      </c>
      <c r="CG855" s="44">
        <v>1</v>
      </c>
      <c r="CH855" s="44">
        <v>0</v>
      </c>
      <c r="CI855" s="44">
        <v>0</v>
      </c>
      <c r="CJ855" s="44">
        <v>0</v>
      </c>
      <c r="CK855" s="44">
        <v>0</v>
      </c>
      <c r="CL855" s="44">
        <v>0</v>
      </c>
      <c r="CM855" s="44">
        <v>0</v>
      </c>
      <c r="CN855" s="44">
        <v>0</v>
      </c>
      <c r="CO855" s="44">
        <v>0</v>
      </c>
      <c r="CP855" s="44">
        <v>0</v>
      </c>
      <c r="CQ855" s="44">
        <v>0</v>
      </c>
      <c r="CR855" s="44">
        <v>0</v>
      </c>
      <c r="CS855" s="44">
        <v>0</v>
      </c>
      <c r="CT855" s="44">
        <v>0</v>
      </c>
      <c r="CU855" s="44">
        <v>0</v>
      </c>
      <c r="CV855" s="44">
        <v>0</v>
      </c>
      <c r="CW855" s="44">
        <v>0</v>
      </c>
      <c r="CX855" s="44">
        <v>0</v>
      </c>
      <c r="CY855" s="44">
        <v>0</v>
      </c>
      <c r="CZ855" s="44">
        <v>0</v>
      </c>
      <c r="DA855" s="44">
        <v>0</v>
      </c>
      <c r="DB855" s="44">
        <v>0</v>
      </c>
      <c r="DC855" s="44">
        <v>0</v>
      </c>
      <c r="DD855" s="44">
        <v>0</v>
      </c>
      <c r="DE855" s="44">
        <v>0</v>
      </c>
      <c r="DF855" s="44">
        <v>0</v>
      </c>
      <c r="DG855" s="16">
        <f t="shared" si="72"/>
        <v>1516</v>
      </c>
      <c r="DH855" s="16">
        <f t="shared" si="73"/>
        <v>16728</v>
      </c>
      <c r="DI855" s="17">
        <f t="shared" si="74"/>
        <v>11.034300791556728</v>
      </c>
      <c r="DJ855" s="119" t="s">
        <v>4</v>
      </c>
      <c r="DK855" s="44" t="s">
        <v>4</v>
      </c>
    </row>
    <row r="856" spans="1:115">
      <c r="A856" s="32" t="str">
        <f t="shared" ref="A856:A919" si="75">B856&amp;"-"&amp;D856&amp;"-"&amp;E856</f>
        <v xml:space="preserve">Ergon--KIOSK MOUNTED ; &gt; 22 kV ;  &lt; = 60 kVA </v>
      </c>
      <c r="B856" s="32" t="str">
        <f t="shared" ref="B856:B919" si="76">IF(C856&gt;0,C856,B855)</f>
        <v>Ergon</v>
      </c>
      <c r="C856" s="387"/>
      <c r="D856" s="44"/>
      <c r="E856" s="44" t="s">
        <v>220</v>
      </c>
      <c r="F856" s="44">
        <v>48.6</v>
      </c>
      <c r="G856" s="44">
        <v>6.97</v>
      </c>
      <c r="H856" s="44">
        <v>0</v>
      </c>
      <c r="I856" s="44">
        <v>0</v>
      </c>
      <c r="J856" s="44">
        <v>0</v>
      </c>
      <c r="K856" s="44">
        <v>3</v>
      </c>
      <c r="L856" s="44">
        <v>0</v>
      </c>
      <c r="M856" s="44">
        <v>4</v>
      </c>
      <c r="N856" s="44">
        <v>3</v>
      </c>
      <c r="O856" s="44">
        <v>0</v>
      </c>
      <c r="P856" s="44">
        <v>1</v>
      </c>
      <c r="Q856" s="44">
        <v>0</v>
      </c>
      <c r="R856" s="44">
        <v>0</v>
      </c>
      <c r="S856" s="44">
        <v>3</v>
      </c>
      <c r="T856" s="44">
        <v>1</v>
      </c>
      <c r="U856" s="44">
        <v>0</v>
      </c>
      <c r="V856" s="44">
        <v>0</v>
      </c>
      <c r="W856" s="44">
        <v>1</v>
      </c>
      <c r="X856" s="44">
        <v>0</v>
      </c>
      <c r="Y856" s="44">
        <v>0</v>
      </c>
      <c r="Z856" s="44">
        <v>0</v>
      </c>
      <c r="AA856" s="44">
        <v>0</v>
      </c>
      <c r="AB856" s="44">
        <v>0</v>
      </c>
      <c r="AC856" s="44">
        <v>1</v>
      </c>
      <c r="AD856" s="44">
        <v>0</v>
      </c>
      <c r="AE856" s="44">
        <v>0</v>
      </c>
      <c r="AF856" s="44">
        <v>0</v>
      </c>
      <c r="AG856" s="44">
        <v>0</v>
      </c>
      <c r="AH856" s="44">
        <v>1</v>
      </c>
      <c r="AI856" s="44">
        <v>0</v>
      </c>
      <c r="AJ856" s="44">
        <v>0</v>
      </c>
      <c r="AK856" s="44">
        <v>0</v>
      </c>
      <c r="AL856" s="44">
        <v>0</v>
      </c>
      <c r="AM856" s="44">
        <v>0</v>
      </c>
      <c r="AN856" s="44">
        <v>0</v>
      </c>
      <c r="AO856" s="44">
        <v>0</v>
      </c>
      <c r="AP856" s="44">
        <v>0</v>
      </c>
      <c r="AQ856" s="44">
        <v>0</v>
      </c>
      <c r="AR856" s="44">
        <v>0</v>
      </c>
      <c r="AS856" s="44">
        <v>0</v>
      </c>
      <c r="AT856" s="44">
        <v>0</v>
      </c>
      <c r="AU856" s="44">
        <v>0</v>
      </c>
      <c r="AV856" s="44">
        <v>0</v>
      </c>
      <c r="AW856" s="44">
        <v>0</v>
      </c>
      <c r="AX856" s="44">
        <v>0</v>
      </c>
      <c r="AY856" s="44">
        <v>0</v>
      </c>
      <c r="AZ856" s="44">
        <v>0</v>
      </c>
      <c r="BA856" s="44">
        <v>0</v>
      </c>
      <c r="BB856" s="44">
        <v>0</v>
      </c>
      <c r="BC856" s="44">
        <v>0</v>
      </c>
      <c r="BD856" s="44">
        <v>0</v>
      </c>
      <c r="BE856" s="44">
        <v>0</v>
      </c>
      <c r="BF856" s="44">
        <v>0</v>
      </c>
      <c r="BG856" s="44">
        <v>0</v>
      </c>
      <c r="BH856" s="44">
        <v>0</v>
      </c>
      <c r="BI856" s="44">
        <v>0</v>
      </c>
      <c r="BJ856" s="44">
        <v>0</v>
      </c>
      <c r="BK856" s="44">
        <v>0</v>
      </c>
      <c r="BL856" s="44">
        <v>0</v>
      </c>
      <c r="BM856" s="44">
        <v>0</v>
      </c>
      <c r="BN856" s="44">
        <v>0</v>
      </c>
      <c r="BO856" s="44">
        <v>0</v>
      </c>
      <c r="BP856" s="44">
        <v>0</v>
      </c>
      <c r="BQ856" s="44">
        <v>0</v>
      </c>
      <c r="BR856" s="44">
        <v>0</v>
      </c>
      <c r="BS856" s="44">
        <v>0</v>
      </c>
      <c r="BT856" s="44">
        <v>0</v>
      </c>
      <c r="BU856" s="44">
        <v>0</v>
      </c>
      <c r="BV856" s="44">
        <v>0</v>
      </c>
      <c r="BW856" s="44">
        <v>0</v>
      </c>
      <c r="BX856" s="44">
        <v>0</v>
      </c>
      <c r="BY856" s="44">
        <v>0</v>
      </c>
      <c r="BZ856" s="44">
        <v>0</v>
      </c>
      <c r="CA856" s="44">
        <v>0</v>
      </c>
      <c r="CB856" s="44">
        <v>0</v>
      </c>
      <c r="CC856" s="44">
        <v>0</v>
      </c>
      <c r="CD856" s="44">
        <v>0</v>
      </c>
      <c r="CE856" s="44">
        <v>0</v>
      </c>
      <c r="CF856" s="44">
        <v>0</v>
      </c>
      <c r="CG856" s="44">
        <v>0</v>
      </c>
      <c r="CH856" s="44">
        <v>0</v>
      </c>
      <c r="CI856" s="44">
        <v>0</v>
      </c>
      <c r="CJ856" s="44">
        <v>0</v>
      </c>
      <c r="CK856" s="44">
        <v>0</v>
      </c>
      <c r="CL856" s="44">
        <v>0</v>
      </c>
      <c r="CM856" s="44">
        <v>0</v>
      </c>
      <c r="CN856" s="44">
        <v>0</v>
      </c>
      <c r="CO856" s="44">
        <v>0</v>
      </c>
      <c r="CP856" s="44">
        <v>0</v>
      </c>
      <c r="CQ856" s="44">
        <v>0</v>
      </c>
      <c r="CR856" s="44">
        <v>0</v>
      </c>
      <c r="CS856" s="44">
        <v>0</v>
      </c>
      <c r="CT856" s="44">
        <v>0</v>
      </c>
      <c r="CU856" s="44">
        <v>0</v>
      </c>
      <c r="CV856" s="44">
        <v>0</v>
      </c>
      <c r="CW856" s="44">
        <v>0</v>
      </c>
      <c r="CX856" s="44">
        <v>0</v>
      </c>
      <c r="CY856" s="44">
        <v>0</v>
      </c>
      <c r="CZ856" s="44">
        <v>0</v>
      </c>
      <c r="DA856" s="44">
        <v>0</v>
      </c>
      <c r="DB856" s="44">
        <v>0</v>
      </c>
      <c r="DC856" s="44">
        <v>0</v>
      </c>
      <c r="DD856" s="44">
        <v>0</v>
      </c>
      <c r="DE856" s="44">
        <v>0</v>
      </c>
      <c r="DF856" s="44">
        <v>0</v>
      </c>
      <c r="DG856" s="16">
        <f t="shared" si="72"/>
        <v>18</v>
      </c>
      <c r="DH856" s="16">
        <f t="shared" si="73"/>
        <v>180</v>
      </c>
      <c r="DI856" s="17">
        <f t="shared" si="74"/>
        <v>10</v>
      </c>
      <c r="DJ856" s="119" t="s">
        <v>4</v>
      </c>
      <c r="DK856" s="44" t="s">
        <v>4</v>
      </c>
    </row>
    <row r="857" spans="1:115">
      <c r="A857" s="32" t="str">
        <f t="shared" si="75"/>
        <v xml:space="preserve">Ergon--KIOSK MOUNTED ; &gt; 22 kV ;  &gt; 60 kVA AND &lt; = 600 kVA </v>
      </c>
      <c r="B857" s="32" t="str">
        <f t="shared" si="76"/>
        <v>Ergon</v>
      </c>
      <c r="C857" s="387"/>
      <c r="D857" s="44"/>
      <c r="E857" s="44" t="s">
        <v>221</v>
      </c>
      <c r="F857" s="44">
        <v>48.6</v>
      </c>
      <c r="G857" s="44">
        <v>6.97</v>
      </c>
      <c r="H857" s="44">
        <v>2</v>
      </c>
      <c r="I857" s="44">
        <v>1</v>
      </c>
      <c r="J857" s="44">
        <v>1</v>
      </c>
      <c r="K857" s="44">
        <v>3</v>
      </c>
      <c r="L857" s="44">
        <v>2</v>
      </c>
      <c r="M857" s="44">
        <v>7</v>
      </c>
      <c r="N857" s="44">
        <v>0</v>
      </c>
      <c r="O857" s="44">
        <v>2</v>
      </c>
      <c r="P857" s="44">
        <v>1</v>
      </c>
      <c r="Q857" s="44">
        <v>0</v>
      </c>
      <c r="R857" s="44">
        <v>0</v>
      </c>
      <c r="S857" s="44">
        <v>0</v>
      </c>
      <c r="T857" s="44">
        <v>1</v>
      </c>
      <c r="U857" s="44">
        <v>0</v>
      </c>
      <c r="V857" s="44">
        <v>2</v>
      </c>
      <c r="W857" s="44">
        <v>1</v>
      </c>
      <c r="X857" s="44">
        <v>0</v>
      </c>
      <c r="Y857" s="44">
        <v>0</v>
      </c>
      <c r="Z857" s="44">
        <v>3</v>
      </c>
      <c r="AA857" s="44">
        <v>0</v>
      </c>
      <c r="AB857" s="44">
        <v>0</v>
      </c>
      <c r="AC857" s="44">
        <v>0</v>
      </c>
      <c r="AD857" s="44">
        <v>0</v>
      </c>
      <c r="AE857" s="44">
        <v>0</v>
      </c>
      <c r="AF857" s="44">
        <v>0</v>
      </c>
      <c r="AG857" s="44">
        <v>0</v>
      </c>
      <c r="AH857" s="44">
        <v>0</v>
      </c>
      <c r="AI857" s="44">
        <v>0</v>
      </c>
      <c r="AJ857" s="44">
        <v>0</v>
      </c>
      <c r="AK857" s="44">
        <v>0</v>
      </c>
      <c r="AL857" s="44">
        <v>0</v>
      </c>
      <c r="AM857" s="44">
        <v>0</v>
      </c>
      <c r="AN857" s="44">
        <v>0</v>
      </c>
      <c r="AO857" s="44">
        <v>0</v>
      </c>
      <c r="AP857" s="44">
        <v>0</v>
      </c>
      <c r="AQ857" s="44">
        <v>0</v>
      </c>
      <c r="AR857" s="44">
        <v>0</v>
      </c>
      <c r="AS857" s="44">
        <v>0</v>
      </c>
      <c r="AT857" s="44">
        <v>0</v>
      </c>
      <c r="AU857" s="44">
        <v>0</v>
      </c>
      <c r="AV857" s="44">
        <v>0</v>
      </c>
      <c r="AW857" s="44">
        <v>0</v>
      </c>
      <c r="AX857" s="44">
        <v>0</v>
      </c>
      <c r="AY857" s="44">
        <v>0</v>
      </c>
      <c r="AZ857" s="44">
        <v>0</v>
      </c>
      <c r="BA857" s="44">
        <v>0</v>
      </c>
      <c r="BB857" s="44">
        <v>0</v>
      </c>
      <c r="BC857" s="44">
        <v>0</v>
      </c>
      <c r="BD857" s="44">
        <v>0</v>
      </c>
      <c r="BE857" s="44">
        <v>0</v>
      </c>
      <c r="BF857" s="44">
        <v>0</v>
      </c>
      <c r="BG857" s="44">
        <v>0</v>
      </c>
      <c r="BH857" s="44">
        <v>0</v>
      </c>
      <c r="BI857" s="44">
        <v>0</v>
      </c>
      <c r="BJ857" s="44">
        <v>0</v>
      </c>
      <c r="BK857" s="44">
        <v>0</v>
      </c>
      <c r="BL857" s="44">
        <v>0</v>
      </c>
      <c r="BM857" s="44">
        <v>0</v>
      </c>
      <c r="BN857" s="44">
        <v>0</v>
      </c>
      <c r="BO857" s="44">
        <v>0</v>
      </c>
      <c r="BP857" s="44">
        <v>0</v>
      </c>
      <c r="BQ857" s="44">
        <v>0</v>
      </c>
      <c r="BR857" s="44">
        <v>0</v>
      </c>
      <c r="BS857" s="44">
        <v>0</v>
      </c>
      <c r="BT857" s="44">
        <v>0</v>
      </c>
      <c r="BU857" s="44">
        <v>0</v>
      </c>
      <c r="BV857" s="44">
        <v>0</v>
      </c>
      <c r="BW857" s="44">
        <v>0</v>
      </c>
      <c r="BX857" s="44">
        <v>0</v>
      </c>
      <c r="BY857" s="44">
        <v>0</v>
      </c>
      <c r="BZ857" s="44">
        <v>0</v>
      </c>
      <c r="CA857" s="44">
        <v>0</v>
      </c>
      <c r="CB857" s="44">
        <v>0</v>
      </c>
      <c r="CC857" s="44">
        <v>0</v>
      </c>
      <c r="CD857" s="44">
        <v>0</v>
      </c>
      <c r="CE857" s="44">
        <v>0</v>
      </c>
      <c r="CF857" s="44">
        <v>0</v>
      </c>
      <c r="CG857" s="44">
        <v>0</v>
      </c>
      <c r="CH857" s="44">
        <v>0</v>
      </c>
      <c r="CI857" s="44">
        <v>0</v>
      </c>
      <c r="CJ857" s="44">
        <v>0</v>
      </c>
      <c r="CK857" s="44">
        <v>0</v>
      </c>
      <c r="CL857" s="44">
        <v>0</v>
      </c>
      <c r="CM857" s="44">
        <v>0</v>
      </c>
      <c r="CN857" s="44">
        <v>0</v>
      </c>
      <c r="CO857" s="44">
        <v>0</v>
      </c>
      <c r="CP857" s="44">
        <v>0</v>
      </c>
      <c r="CQ857" s="44">
        <v>0</v>
      </c>
      <c r="CR857" s="44">
        <v>0</v>
      </c>
      <c r="CS857" s="44">
        <v>0</v>
      </c>
      <c r="CT857" s="44">
        <v>0</v>
      </c>
      <c r="CU857" s="44">
        <v>0</v>
      </c>
      <c r="CV857" s="44">
        <v>0</v>
      </c>
      <c r="CW857" s="44">
        <v>0</v>
      </c>
      <c r="CX857" s="44">
        <v>0</v>
      </c>
      <c r="CY857" s="44">
        <v>0</v>
      </c>
      <c r="CZ857" s="44">
        <v>0</v>
      </c>
      <c r="DA857" s="44">
        <v>0</v>
      </c>
      <c r="DB857" s="44">
        <v>0</v>
      </c>
      <c r="DC857" s="44">
        <v>0</v>
      </c>
      <c r="DD857" s="44">
        <v>0</v>
      </c>
      <c r="DE857" s="44">
        <v>0</v>
      </c>
      <c r="DF857" s="44">
        <v>0</v>
      </c>
      <c r="DG857" s="16">
        <f t="shared" si="72"/>
        <v>26</v>
      </c>
      <c r="DH857" s="16">
        <f t="shared" si="73"/>
        <v>212</v>
      </c>
      <c r="DI857" s="17">
        <f t="shared" si="74"/>
        <v>8.1538461538461533</v>
      </c>
      <c r="DJ857" s="119" t="s">
        <v>4</v>
      </c>
      <c r="DK857" s="44" t="s">
        <v>4</v>
      </c>
    </row>
    <row r="858" spans="1:115">
      <c r="A858" s="32" t="str">
        <f t="shared" si="75"/>
        <v>Ergon--KIOSK MOUNTED ; &gt; 22 kV ;  &gt; 600 kVA</v>
      </c>
      <c r="B858" s="32" t="str">
        <f t="shared" si="76"/>
        <v>Ergon</v>
      </c>
      <c r="C858" s="387"/>
      <c r="D858" s="44"/>
      <c r="E858" s="44" t="s">
        <v>222</v>
      </c>
      <c r="F858" s="44">
        <v>48.6</v>
      </c>
      <c r="G858" s="44">
        <v>6.97</v>
      </c>
      <c r="H858" s="44">
        <v>0</v>
      </c>
      <c r="I858" s="44">
        <v>1</v>
      </c>
      <c r="J858" s="44">
        <v>0</v>
      </c>
      <c r="K858" s="44">
        <v>9</v>
      </c>
      <c r="L858" s="44">
        <v>9</v>
      </c>
      <c r="M858" s="44">
        <v>1</v>
      </c>
      <c r="N858" s="44">
        <v>2</v>
      </c>
      <c r="O858" s="44">
        <v>0</v>
      </c>
      <c r="P858" s="44">
        <v>1</v>
      </c>
      <c r="Q858" s="44">
        <v>0</v>
      </c>
      <c r="R858" s="44">
        <v>1</v>
      </c>
      <c r="S858" s="44">
        <v>2</v>
      </c>
      <c r="T858" s="44">
        <v>1</v>
      </c>
      <c r="U858" s="44">
        <v>4</v>
      </c>
      <c r="V858" s="44">
        <v>5</v>
      </c>
      <c r="W858" s="44">
        <v>5</v>
      </c>
      <c r="X858" s="44">
        <v>2</v>
      </c>
      <c r="Y858" s="44">
        <v>0</v>
      </c>
      <c r="Z858" s="44">
        <v>1</v>
      </c>
      <c r="AA858" s="44">
        <v>0</v>
      </c>
      <c r="AB858" s="44">
        <v>0</v>
      </c>
      <c r="AC858" s="44">
        <v>0</v>
      </c>
      <c r="AD858" s="44">
        <v>4</v>
      </c>
      <c r="AE858" s="44">
        <v>1</v>
      </c>
      <c r="AF858" s="44">
        <v>0</v>
      </c>
      <c r="AG858" s="44">
        <v>0</v>
      </c>
      <c r="AH858" s="44">
        <v>0</v>
      </c>
      <c r="AI858" s="44">
        <v>0</v>
      </c>
      <c r="AJ858" s="44">
        <v>0</v>
      </c>
      <c r="AK858" s="44">
        <v>0</v>
      </c>
      <c r="AL858" s="44">
        <v>0</v>
      </c>
      <c r="AM858" s="44">
        <v>0</v>
      </c>
      <c r="AN858" s="44">
        <v>0</v>
      </c>
      <c r="AO858" s="44">
        <v>0</v>
      </c>
      <c r="AP858" s="44">
        <v>0</v>
      </c>
      <c r="AQ858" s="44">
        <v>0</v>
      </c>
      <c r="AR858" s="44">
        <v>0</v>
      </c>
      <c r="AS858" s="44">
        <v>0</v>
      </c>
      <c r="AT858" s="44">
        <v>0</v>
      </c>
      <c r="AU858" s="44">
        <v>0</v>
      </c>
      <c r="AV858" s="44">
        <v>0</v>
      </c>
      <c r="AW858" s="44">
        <v>0</v>
      </c>
      <c r="AX858" s="44">
        <v>0</v>
      </c>
      <c r="AY858" s="44">
        <v>0</v>
      </c>
      <c r="AZ858" s="44">
        <v>0</v>
      </c>
      <c r="BA858" s="44">
        <v>0</v>
      </c>
      <c r="BB858" s="44">
        <v>0</v>
      </c>
      <c r="BC858" s="44">
        <v>0</v>
      </c>
      <c r="BD858" s="44">
        <v>0</v>
      </c>
      <c r="BE858" s="44">
        <v>0</v>
      </c>
      <c r="BF858" s="44">
        <v>2</v>
      </c>
      <c r="BG858" s="44">
        <v>0</v>
      </c>
      <c r="BH858" s="44">
        <v>0</v>
      </c>
      <c r="BI858" s="44">
        <v>0</v>
      </c>
      <c r="BJ858" s="44">
        <v>0</v>
      </c>
      <c r="BK858" s="44">
        <v>0</v>
      </c>
      <c r="BL858" s="44">
        <v>0</v>
      </c>
      <c r="BM858" s="44">
        <v>0</v>
      </c>
      <c r="BN858" s="44">
        <v>0</v>
      </c>
      <c r="BO858" s="44">
        <v>0</v>
      </c>
      <c r="BP858" s="44">
        <v>0</v>
      </c>
      <c r="BQ858" s="44">
        <v>0</v>
      </c>
      <c r="BR858" s="44">
        <v>0</v>
      </c>
      <c r="BS858" s="44">
        <v>0</v>
      </c>
      <c r="BT858" s="44">
        <v>0</v>
      </c>
      <c r="BU858" s="44">
        <v>0</v>
      </c>
      <c r="BV858" s="44">
        <v>0</v>
      </c>
      <c r="BW858" s="44">
        <v>0</v>
      </c>
      <c r="BX858" s="44">
        <v>0</v>
      </c>
      <c r="BY858" s="44">
        <v>0</v>
      </c>
      <c r="BZ858" s="44">
        <v>0</v>
      </c>
      <c r="CA858" s="44">
        <v>0</v>
      </c>
      <c r="CB858" s="44">
        <v>0</v>
      </c>
      <c r="CC858" s="44">
        <v>0</v>
      </c>
      <c r="CD858" s="44">
        <v>0</v>
      </c>
      <c r="CE858" s="44">
        <v>0</v>
      </c>
      <c r="CF858" s="44">
        <v>0</v>
      </c>
      <c r="CG858" s="44">
        <v>0</v>
      </c>
      <c r="CH858" s="44">
        <v>0</v>
      </c>
      <c r="CI858" s="44">
        <v>0</v>
      </c>
      <c r="CJ858" s="44">
        <v>0</v>
      </c>
      <c r="CK858" s="44">
        <v>0</v>
      </c>
      <c r="CL858" s="44">
        <v>0</v>
      </c>
      <c r="CM858" s="44">
        <v>0</v>
      </c>
      <c r="CN858" s="44">
        <v>0</v>
      </c>
      <c r="CO858" s="44">
        <v>0</v>
      </c>
      <c r="CP858" s="44">
        <v>0</v>
      </c>
      <c r="CQ858" s="44">
        <v>0</v>
      </c>
      <c r="CR858" s="44">
        <v>0</v>
      </c>
      <c r="CS858" s="44">
        <v>0</v>
      </c>
      <c r="CT858" s="44">
        <v>0</v>
      </c>
      <c r="CU858" s="44">
        <v>0</v>
      </c>
      <c r="CV858" s="44">
        <v>0</v>
      </c>
      <c r="CW858" s="44">
        <v>0</v>
      </c>
      <c r="CX858" s="44">
        <v>0</v>
      </c>
      <c r="CY858" s="44">
        <v>0</v>
      </c>
      <c r="CZ858" s="44">
        <v>0</v>
      </c>
      <c r="DA858" s="44">
        <v>0</v>
      </c>
      <c r="DB858" s="44">
        <v>0</v>
      </c>
      <c r="DC858" s="44">
        <v>0</v>
      </c>
      <c r="DD858" s="44">
        <v>0</v>
      </c>
      <c r="DE858" s="44">
        <v>0</v>
      </c>
      <c r="DF858" s="44">
        <v>0</v>
      </c>
      <c r="DG858" s="16">
        <f t="shared" si="72"/>
        <v>51</v>
      </c>
      <c r="DH858" s="16">
        <f t="shared" si="73"/>
        <v>642</v>
      </c>
      <c r="DI858" s="17">
        <f t="shared" si="74"/>
        <v>12.588235294117647</v>
      </c>
      <c r="DJ858" s="119" t="s">
        <v>4</v>
      </c>
      <c r="DK858" s="44" t="s">
        <v>4</v>
      </c>
    </row>
    <row r="859" spans="1:115">
      <c r="A859" s="32" t="str">
        <f t="shared" si="75"/>
        <v xml:space="preserve">Ergon--KIOSK MOUNTED ; &gt; 22 kV ;  &lt; = 60 kVA </v>
      </c>
      <c r="B859" s="32" t="str">
        <f t="shared" si="76"/>
        <v>Ergon</v>
      </c>
      <c r="C859" s="387"/>
      <c r="D859" s="44"/>
      <c r="E859" s="44" t="s">
        <v>220</v>
      </c>
      <c r="F859" s="44">
        <v>48.6</v>
      </c>
      <c r="G859" s="44">
        <v>6.97</v>
      </c>
      <c r="H859" s="44">
        <v>0</v>
      </c>
      <c r="I859" s="44">
        <v>0</v>
      </c>
      <c r="J859" s="44">
        <v>0</v>
      </c>
      <c r="K859" s="44">
        <v>0</v>
      </c>
      <c r="L859" s="44">
        <v>0</v>
      </c>
      <c r="M859" s="44">
        <v>0</v>
      </c>
      <c r="N859" s="44">
        <v>0</v>
      </c>
      <c r="O859" s="44">
        <v>0</v>
      </c>
      <c r="P859" s="44">
        <v>0</v>
      </c>
      <c r="Q859" s="44">
        <v>0</v>
      </c>
      <c r="R859" s="44">
        <v>0</v>
      </c>
      <c r="S859" s="44">
        <v>0</v>
      </c>
      <c r="T859" s="44">
        <v>0</v>
      </c>
      <c r="U859" s="44">
        <v>0</v>
      </c>
      <c r="V859" s="44">
        <v>0</v>
      </c>
      <c r="W859" s="44">
        <v>0</v>
      </c>
      <c r="X859" s="44">
        <v>0</v>
      </c>
      <c r="Y859" s="44">
        <v>0</v>
      </c>
      <c r="Z859" s="44">
        <v>0</v>
      </c>
      <c r="AA859" s="44">
        <v>0</v>
      </c>
      <c r="AB859" s="44">
        <v>0</v>
      </c>
      <c r="AC859" s="44">
        <v>0</v>
      </c>
      <c r="AD859" s="44">
        <v>0</v>
      </c>
      <c r="AE859" s="44">
        <v>0</v>
      </c>
      <c r="AF859" s="44">
        <v>0</v>
      </c>
      <c r="AG859" s="44">
        <v>0</v>
      </c>
      <c r="AH859" s="44">
        <v>0</v>
      </c>
      <c r="AI859" s="44">
        <v>0</v>
      </c>
      <c r="AJ859" s="44">
        <v>0</v>
      </c>
      <c r="AK859" s="44">
        <v>0</v>
      </c>
      <c r="AL859" s="44">
        <v>0</v>
      </c>
      <c r="AM859" s="44">
        <v>0</v>
      </c>
      <c r="AN859" s="44">
        <v>0</v>
      </c>
      <c r="AO859" s="44">
        <v>0</v>
      </c>
      <c r="AP859" s="44">
        <v>0</v>
      </c>
      <c r="AQ859" s="44">
        <v>0</v>
      </c>
      <c r="AR859" s="44">
        <v>0</v>
      </c>
      <c r="AS859" s="44">
        <v>0</v>
      </c>
      <c r="AT859" s="44">
        <v>0</v>
      </c>
      <c r="AU859" s="44">
        <v>0</v>
      </c>
      <c r="AV859" s="44">
        <v>0</v>
      </c>
      <c r="AW859" s="44">
        <v>0</v>
      </c>
      <c r="AX859" s="44">
        <v>0</v>
      </c>
      <c r="AY859" s="44">
        <v>0</v>
      </c>
      <c r="AZ859" s="44">
        <v>0</v>
      </c>
      <c r="BA859" s="44">
        <v>0</v>
      </c>
      <c r="BB859" s="44">
        <v>0</v>
      </c>
      <c r="BC859" s="44">
        <v>0</v>
      </c>
      <c r="BD859" s="44">
        <v>0</v>
      </c>
      <c r="BE859" s="44">
        <v>0</v>
      </c>
      <c r="BF859" s="44">
        <v>0</v>
      </c>
      <c r="BG859" s="44">
        <v>0</v>
      </c>
      <c r="BH859" s="44">
        <v>0</v>
      </c>
      <c r="BI859" s="44">
        <v>0</v>
      </c>
      <c r="BJ859" s="44">
        <v>0</v>
      </c>
      <c r="BK859" s="44">
        <v>0</v>
      </c>
      <c r="BL859" s="44">
        <v>0</v>
      </c>
      <c r="BM859" s="44">
        <v>0</v>
      </c>
      <c r="BN859" s="44">
        <v>0</v>
      </c>
      <c r="BO859" s="44">
        <v>0</v>
      </c>
      <c r="BP859" s="44">
        <v>0</v>
      </c>
      <c r="BQ859" s="44">
        <v>0</v>
      </c>
      <c r="BR859" s="44">
        <v>0</v>
      </c>
      <c r="BS859" s="44">
        <v>0</v>
      </c>
      <c r="BT859" s="44">
        <v>0</v>
      </c>
      <c r="BU859" s="44">
        <v>0</v>
      </c>
      <c r="BV859" s="44">
        <v>0</v>
      </c>
      <c r="BW859" s="44">
        <v>0</v>
      </c>
      <c r="BX859" s="44">
        <v>0</v>
      </c>
      <c r="BY859" s="44">
        <v>0</v>
      </c>
      <c r="BZ859" s="44">
        <v>0</v>
      </c>
      <c r="CA859" s="44">
        <v>0</v>
      </c>
      <c r="CB859" s="44">
        <v>0</v>
      </c>
      <c r="CC859" s="44">
        <v>0</v>
      </c>
      <c r="CD859" s="44">
        <v>0</v>
      </c>
      <c r="CE859" s="44">
        <v>0</v>
      </c>
      <c r="CF859" s="44">
        <v>0</v>
      </c>
      <c r="CG859" s="44">
        <v>0</v>
      </c>
      <c r="CH859" s="44">
        <v>0</v>
      </c>
      <c r="CI859" s="44">
        <v>0</v>
      </c>
      <c r="CJ859" s="44">
        <v>0</v>
      </c>
      <c r="CK859" s="44">
        <v>0</v>
      </c>
      <c r="CL859" s="44">
        <v>0</v>
      </c>
      <c r="CM859" s="44">
        <v>0</v>
      </c>
      <c r="CN859" s="44">
        <v>0</v>
      </c>
      <c r="CO859" s="44">
        <v>0</v>
      </c>
      <c r="CP859" s="44">
        <v>0</v>
      </c>
      <c r="CQ859" s="44">
        <v>0</v>
      </c>
      <c r="CR859" s="44">
        <v>0</v>
      </c>
      <c r="CS859" s="44">
        <v>0</v>
      </c>
      <c r="CT859" s="44">
        <v>0</v>
      </c>
      <c r="CU859" s="44">
        <v>0</v>
      </c>
      <c r="CV859" s="44">
        <v>0</v>
      </c>
      <c r="CW859" s="44">
        <v>0</v>
      </c>
      <c r="CX859" s="44">
        <v>0</v>
      </c>
      <c r="CY859" s="44">
        <v>0</v>
      </c>
      <c r="CZ859" s="44">
        <v>0</v>
      </c>
      <c r="DA859" s="44">
        <v>0</v>
      </c>
      <c r="DB859" s="44">
        <v>0</v>
      </c>
      <c r="DC859" s="44">
        <v>0</v>
      </c>
      <c r="DD859" s="44">
        <v>0</v>
      </c>
      <c r="DE859" s="44">
        <v>0</v>
      </c>
      <c r="DF859" s="44">
        <v>0</v>
      </c>
      <c r="DG859" s="16">
        <f t="shared" si="72"/>
        <v>0</v>
      </c>
      <c r="DH859" s="16">
        <f t="shared" si="73"/>
        <v>0</v>
      </c>
      <c r="DI859" s="17" t="str">
        <f t="shared" si="74"/>
        <v/>
      </c>
      <c r="DJ859" s="119" t="s">
        <v>4</v>
      </c>
      <c r="DK859" s="44" t="s">
        <v>4</v>
      </c>
    </row>
    <row r="860" spans="1:115">
      <c r="A860" s="32" t="str">
        <f t="shared" si="75"/>
        <v>Ergon--KIOSK MOUNTED ; &gt; 22 kV ;  &gt; 60 kVA AND &lt; = 600 kVA</v>
      </c>
      <c r="B860" s="32" t="str">
        <f t="shared" si="76"/>
        <v>Ergon</v>
      </c>
      <c r="C860" s="387"/>
      <c r="D860" s="44"/>
      <c r="E860" s="44" t="s">
        <v>223</v>
      </c>
      <c r="F860" s="44">
        <v>48.6</v>
      </c>
      <c r="G860" s="44">
        <v>6.97</v>
      </c>
      <c r="H860" s="44">
        <v>0</v>
      </c>
      <c r="I860" s="44">
        <v>0</v>
      </c>
      <c r="J860" s="44">
        <v>0</v>
      </c>
      <c r="K860" s="44">
        <v>0</v>
      </c>
      <c r="L860" s="44">
        <v>0</v>
      </c>
      <c r="M860" s="44">
        <v>0</v>
      </c>
      <c r="N860" s="44">
        <v>0</v>
      </c>
      <c r="O860" s="44">
        <v>0</v>
      </c>
      <c r="P860" s="44">
        <v>0</v>
      </c>
      <c r="Q860" s="44">
        <v>0</v>
      </c>
      <c r="R860" s="44">
        <v>0</v>
      </c>
      <c r="S860" s="44">
        <v>0</v>
      </c>
      <c r="T860" s="44">
        <v>0</v>
      </c>
      <c r="U860" s="44">
        <v>0</v>
      </c>
      <c r="V860" s="44">
        <v>0</v>
      </c>
      <c r="W860" s="44">
        <v>0</v>
      </c>
      <c r="X860" s="44">
        <v>0</v>
      </c>
      <c r="Y860" s="44">
        <v>0</v>
      </c>
      <c r="Z860" s="44">
        <v>0</v>
      </c>
      <c r="AA860" s="44">
        <v>0</v>
      </c>
      <c r="AB860" s="44">
        <v>0</v>
      </c>
      <c r="AC860" s="44">
        <v>0</v>
      </c>
      <c r="AD860" s="44">
        <v>0</v>
      </c>
      <c r="AE860" s="44">
        <v>0</v>
      </c>
      <c r="AF860" s="44">
        <v>0</v>
      </c>
      <c r="AG860" s="44">
        <v>0</v>
      </c>
      <c r="AH860" s="44">
        <v>0</v>
      </c>
      <c r="AI860" s="44">
        <v>0</v>
      </c>
      <c r="AJ860" s="44">
        <v>0</v>
      </c>
      <c r="AK860" s="44">
        <v>0</v>
      </c>
      <c r="AL860" s="44">
        <v>0</v>
      </c>
      <c r="AM860" s="44">
        <v>0</v>
      </c>
      <c r="AN860" s="44">
        <v>0</v>
      </c>
      <c r="AO860" s="44">
        <v>0</v>
      </c>
      <c r="AP860" s="44">
        <v>0</v>
      </c>
      <c r="AQ860" s="44">
        <v>0</v>
      </c>
      <c r="AR860" s="44">
        <v>0</v>
      </c>
      <c r="AS860" s="44">
        <v>0</v>
      </c>
      <c r="AT860" s="44">
        <v>0</v>
      </c>
      <c r="AU860" s="44">
        <v>0</v>
      </c>
      <c r="AV860" s="44">
        <v>0</v>
      </c>
      <c r="AW860" s="44">
        <v>0</v>
      </c>
      <c r="AX860" s="44">
        <v>0</v>
      </c>
      <c r="AY860" s="44">
        <v>0</v>
      </c>
      <c r="AZ860" s="44">
        <v>0</v>
      </c>
      <c r="BA860" s="44">
        <v>0</v>
      </c>
      <c r="BB860" s="44">
        <v>0</v>
      </c>
      <c r="BC860" s="44">
        <v>0</v>
      </c>
      <c r="BD860" s="44">
        <v>0</v>
      </c>
      <c r="BE860" s="44">
        <v>0</v>
      </c>
      <c r="BF860" s="44">
        <v>0</v>
      </c>
      <c r="BG860" s="44">
        <v>0</v>
      </c>
      <c r="BH860" s="44">
        <v>0</v>
      </c>
      <c r="BI860" s="44">
        <v>0</v>
      </c>
      <c r="BJ860" s="44">
        <v>0</v>
      </c>
      <c r="BK860" s="44">
        <v>0</v>
      </c>
      <c r="BL860" s="44">
        <v>0</v>
      </c>
      <c r="BM860" s="44">
        <v>0</v>
      </c>
      <c r="BN860" s="44">
        <v>0</v>
      </c>
      <c r="BO860" s="44">
        <v>0</v>
      </c>
      <c r="BP860" s="44">
        <v>0</v>
      </c>
      <c r="BQ860" s="44">
        <v>0</v>
      </c>
      <c r="BR860" s="44">
        <v>0</v>
      </c>
      <c r="BS860" s="44">
        <v>0</v>
      </c>
      <c r="BT860" s="44">
        <v>0</v>
      </c>
      <c r="BU860" s="44">
        <v>0</v>
      </c>
      <c r="BV860" s="44">
        <v>0</v>
      </c>
      <c r="BW860" s="44">
        <v>0</v>
      </c>
      <c r="BX860" s="44">
        <v>0</v>
      </c>
      <c r="BY860" s="44">
        <v>0</v>
      </c>
      <c r="BZ860" s="44">
        <v>0</v>
      </c>
      <c r="CA860" s="44">
        <v>0</v>
      </c>
      <c r="CB860" s="44">
        <v>0</v>
      </c>
      <c r="CC860" s="44">
        <v>0</v>
      </c>
      <c r="CD860" s="44">
        <v>0</v>
      </c>
      <c r="CE860" s="44">
        <v>0</v>
      </c>
      <c r="CF860" s="44">
        <v>0</v>
      </c>
      <c r="CG860" s="44">
        <v>0</v>
      </c>
      <c r="CH860" s="44">
        <v>0</v>
      </c>
      <c r="CI860" s="44">
        <v>0</v>
      </c>
      <c r="CJ860" s="44">
        <v>0</v>
      </c>
      <c r="CK860" s="44">
        <v>0</v>
      </c>
      <c r="CL860" s="44">
        <v>0</v>
      </c>
      <c r="CM860" s="44">
        <v>0</v>
      </c>
      <c r="CN860" s="44">
        <v>0</v>
      </c>
      <c r="CO860" s="44">
        <v>0</v>
      </c>
      <c r="CP860" s="44">
        <v>0</v>
      </c>
      <c r="CQ860" s="44">
        <v>0</v>
      </c>
      <c r="CR860" s="44">
        <v>0</v>
      </c>
      <c r="CS860" s="44">
        <v>0</v>
      </c>
      <c r="CT860" s="44">
        <v>0</v>
      </c>
      <c r="CU860" s="44">
        <v>0</v>
      </c>
      <c r="CV860" s="44">
        <v>0</v>
      </c>
      <c r="CW860" s="44">
        <v>0</v>
      </c>
      <c r="CX860" s="44">
        <v>0</v>
      </c>
      <c r="CY860" s="44">
        <v>0</v>
      </c>
      <c r="CZ860" s="44">
        <v>0</v>
      </c>
      <c r="DA860" s="44">
        <v>0</v>
      </c>
      <c r="DB860" s="44">
        <v>0</v>
      </c>
      <c r="DC860" s="44">
        <v>0</v>
      </c>
      <c r="DD860" s="44">
        <v>0</v>
      </c>
      <c r="DE860" s="44">
        <v>0</v>
      </c>
      <c r="DF860" s="44">
        <v>0</v>
      </c>
      <c r="DG860" s="16">
        <f t="shared" si="72"/>
        <v>0</v>
      </c>
      <c r="DH860" s="16">
        <f t="shared" si="73"/>
        <v>0</v>
      </c>
      <c r="DI860" s="17" t="str">
        <f t="shared" si="74"/>
        <v/>
      </c>
      <c r="DJ860" s="119" t="s">
        <v>4</v>
      </c>
      <c r="DK860" s="44" t="s">
        <v>4</v>
      </c>
    </row>
    <row r="861" spans="1:115">
      <c r="A861" s="32" t="str">
        <f t="shared" si="75"/>
        <v>Ergon--KIOSK MOUNTED ; &gt; 22 kV ;  &gt;  600 kVA</v>
      </c>
      <c r="B861" s="32" t="str">
        <f t="shared" si="76"/>
        <v>Ergon</v>
      </c>
      <c r="C861" s="387"/>
      <c r="D861" s="44"/>
      <c r="E861" s="44" t="s">
        <v>224</v>
      </c>
      <c r="F861" s="44">
        <v>48.6</v>
      </c>
      <c r="G861" s="44">
        <v>6.97</v>
      </c>
      <c r="H861" s="44">
        <v>0</v>
      </c>
      <c r="I861" s="44">
        <v>0</v>
      </c>
      <c r="J861" s="44">
        <v>0</v>
      </c>
      <c r="K861" s="44">
        <v>0</v>
      </c>
      <c r="L861" s="44">
        <v>0</v>
      </c>
      <c r="M861" s="44">
        <v>0</v>
      </c>
      <c r="N861" s="44">
        <v>0</v>
      </c>
      <c r="O861" s="44">
        <v>0</v>
      </c>
      <c r="P861" s="44">
        <v>0</v>
      </c>
      <c r="Q861" s="44">
        <v>0</v>
      </c>
      <c r="R861" s="44">
        <v>0</v>
      </c>
      <c r="S861" s="44">
        <v>0</v>
      </c>
      <c r="T861" s="44">
        <v>0</v>
      </c>
      <c r="U861" s="44">
        <v>0</v>
      </c>
      <c r="V861" s="44">
        <v>0</v>
      </c>
      <c r="W861" s="44">
        <v>0</v>
      </c>
      <c r="X861" s="44">
        <v>0</v>
      </c>
      <c r="Y861" s="44">
        <v>0</v>
      </c>
      <c r="Z861" s="44">
        <v>0</v>
      </c>
      <c r="AA861" s="44">
        <v>0</v>
      </c>
      <c r="AB861" s="44">
        <v>0</v>
      </c>
      <c r="AC861" s="44">
        <v>0</v>
      </c>
      <c r="AD861" s="44">
        <v>0</v>
      </c>
      <c r="AE861" s="44">
        <v>0</v>
      </c>
      <c r="AF861" s="44">
        <v>0</v>
      </c>
      <c r="AG861" s="44">
        <v>0</v>
      </c>
      <c r="AH861" s="44">
        <v>0</v>
      </c>
      <c r="AI861" s="44">
        <v>0</v>
      </c>
      <c r="AJ861" s="44">
        <v>0</v>
      </c>
      <c r="AK861" s="44">
        <v>0</v>
      </c>
      <c r="AL861" s="44">
        <v>0</v>
      </c>
      <c r="AM861" s="44">
        <v>0</v>
      </c>
      <c r="AN861" s="44">
        <v>0</v>
      </c>
      <c r="AO861" s="44">
        <v>0</v>
      </c>
      <c r="AP861" s="44">
        <v>0</v>
      </c>
      <c r="AQ861" s="44">
        <v>0</v>
      </c>
      <c r="AR861" s="44">
        <v>0</v>
      </c>
      <c r="AS861" s="44">
        <v>0</v>
      </c>
      <c r="AT861" s="44">
        <v>0</v>
      </c>
      <c r="AU861" s="44">
        <v>0</v>
      </c>
      <c r="AV861" s="44">
        <v>0</v>
      </c>
      <c r="AW861" s="44">
        <v>0</v>
      </c>
      <c r="AX861" s="44">
        <v>0</v>
      </c>
      <c r="AY861" s="44">
        <v>0</v>
      </c>
      <c r="AZ861" s="44">
        <v>0</v>
      </c>
      <c r="BA861" s="44">
        <v>0</v>
      </c>
      <c r="BB861" s="44">
        <v>0</v>
      </c>
      <c r="BC861" s="44">
        <v>0</v>
      </c>
      <c r="BD861" s="44">
        <v>0</v>
      </c>
      <c r="BE861" s="44">
        <v>0</v>
      </c>
      <c r="BF861" s="44">
        <v>0</v>
      </c>
      <c r="BG861" s="44">
        <v>0</v>
      </c>
      <c r="BH861" s="44">
        <v>0</v>
      </c>
      <c r="BI861" s="44">
        <v>0</v>
      </c>
      <c r="BJ861" s="44">
        <v>0</v>
      </c>
      <c r="BK861" s="44">
        <v>0</v>
      </c>
      <c r="BL861" s="44">
        <v>0</v>
      </c>
      <c r="BM861" s="44">
        <v>0</v>
      </c>
      <c r="BN861" s="44">
        <v>0</v>
      </c>
      <c r="BO861" s="44">
        <v>0</v>
      </c>
      <c r="BP861" s="44">
        <v>0</v>
      </c>
      <c r="BQ861" s="44">
        <v>0</v>
      </c>
      <c r="BR861" s="44">
        <v>0</v>
      </c>
      <c r="BS861" s="44">
        <v>0</v>
      </c>
      <c r="BT861" s="44">
        <v>0</v>
      </c>
      <c r="BU861" s="44">
        <v>0</v>
      </c>
      <c r="BV861" s="44">
        <v>0</v>
      </c>
      <c r="BW861" s="44">
        <v>0</v>
      </c>
      <c r="BX861" s="44">
        <v>0</v>
      </c>
      <c r="BY861" s="44">
        <v>0</v>
      </c>
      <c r="BZ861" s="44">
        <v>0</v>
      </c>
      <c r="CA861" s="44">
        <v>0</v>
      </c>
      <c r="CB861" s="44">
        <v>0</v>
      </c>
      <c r="CC861" s="44">
        <v>0</v>
      </c>
      <c r="CD861" s="44">
        <v>0</v>
      </c>
      <c r="CE861" s="44">
        <v>0</v>
      </c>
      <c r="CF861" s="44">
        <v>0</v>
      </c>
      <c r="CG861" s="44">
        <v>0</v>
      </c>
      <c r="CH861" s="44">
        <v>0</v>
      </c>
      <c r="CI861" s="44">
        <v>0</v>
      </c>
      <c r="CJ861" s="44">
        <v>0</v>
      </c>
      <c r="CK861" s="44">
        <v>0</v>
      </c>
      <c r="CL861" s="44">
        <v>0</v>
      </c>
      <c r="CM861" s="44">
        <v>0</v>
      </c>
      <c r="CN861" s="44">
        <v>0</v>
      </c>
      <c r="CO861" s="44">
        <v>0</v>
      </c>
      <c r="CP861" s="44">
        <v>0</v>
      </c>
      <c r="CQ861" s="44">
        <v>0</v>
      </c>
      <c r="CR861" s="44">
        <v>0</v>
      </c>
      <c r="CS861" s="44">
        <v>0</v>
      </c>
      <c r="CT861" s="44">
        <v>0</v>
      </c>
      <c r="CU861" s="44">
        <v>0</v>
      </c>
      <c r="CV861" s="44">
        <v>0</v>
      </c>
      <c r="CW861" s="44">
        <v>0</v>
      </c>
      <c r="CX861" s="44">
        <v>0</v>
      </c>
      <c r="CY861" s="44">
        <v>0</v>
      </c>
      <c r="CZ861" s="44">
        <v>0</v>
      </c>
      <c r="DA861" s="44">
        <v>0</v>
      </c>
      <c r="DB861" s="44">
        <v>0</v>
      </c>
      <c r="DC861" s="44">
        <v>0</v>
      </c>
      <c r="DD861" s="44">
        <v>0</v>
      </c>
      <c r="DE861" s="44">
        <v>0</v>
      </c>
      <c r="DF861" s="44">
        <v>0</v>
      </c>
      <c r="DG861" s="16">
        <f t="shared" si="72"/>
        <v>0</v>
      </c>
      <c r="DH861" s="16">
        <f t="shared" si="73"/>
        <v>0</v>
      </c>
      <c r="DI861" s="17" t="str">
        <f t="shared" si="74"/>
        <v/>
      </c>
      <c r="DJ861" s="119" t="s">
        <v>4</v>
      </c>
      <c r="DK861" s="44" t="s">
        <v>4</v>
      </c>
    </row>
    <row r="862" spans="1:115">
      <c r="A862" s="32" t="str">
        <f t="shared" si="75"/>
        <v>Ergon--GROUND OUTDOOR / INDOOR CHAMBER MOUNTED ; ˂ 22 kV ;  &lt; = 60 kVA ; SINGLE PHASE</v>
      </c>
      <c r="B862" s="32" t="str">
        <f t="shared" si="76"/>
        <v>Ergon</v>
      </c>
      <c r="C862" s="387"/>
      <c r="D862" s="44"/>
      <c r="E862" s="44" t="s">
        <v>225</v>
      </c>
      <c r="F862" s="44">
        <v>48.6</v>
      </c>
      <c r="G862" s="44">
        <v>6.97</v>
      </c>
      <c r="H862" s="44">
        <v>1</v>
      </c>
      <c r="I862" s="44">
        <v>0</v>
      </c>
      <c r="J862" s="44">
        <v>1</v>
      </c>
      <c r="K862" s="44">
        <v>0</v>
      </c>
      <c r="L862" s="44">
        <v>0</v>
      </c>
      <c r="M862" s="44">
        <v>0</v>
      </c>
      <c r="N862" s="44">
        <v>0</v>
      </c>
      <c r="O862" s="44">
        <v>0</v>
      </c>
      <c r="P862" s="44">
        <v>0</v>
      </c>
      <c r="Q862" s="44">
        <v>0</v>
      </c>
      <c r="R862" s="44">
        <v>0</v>
      </c>
      <c r="S862" s="44">
        <v>0</v>
      </c>
      <c r="T862" s="44">
        <v>0</v>
      </c>
      <c r="U862" s="44">
        <v>0</v>
      </c>
      <c r="V862" s="44">
        <v>0</v>
      </c>
      <c r="W862" s="44">
        <v>0</v>
      </c>
      <c r="X862" s="44">
        <v>0</v>
      </c>
      <c r="Y862" s="44">
        <v>0</v>
      </c>
      <c r="Z862" s="44">
        <v>0</v>
      </c>
      <c r="AA862" s="44">
        <v>0</v>
      </c>
      <c r="AB862" s="44">
        <v>0</v>
      </c>
      <c r="AC862" s="44">
        <v>0</v>
      </c>
      <c r="AD862" s="44">
        <v>0</v>
      </c>
      <c r="AE862" s="44">
        <v>0</v>
      </c>
      <c r="AF862" s="44">
        <v>0</v>
      </c>
      <c r="AG862" s="44">
        <v>0</v>
      </c>
      <c r="AH862" s="44">
        <v>0</v>
      </c>
      <c r="AI862" s="44">
        <v>0</v>
      </c>
      <c r="AJ862" s="44">
        <v>0</v>
      </c>
      <c r="AK862" s="44">
        <v>0</v>
      </c>
      <c r="AL862" s="44">
        <v>0</v>
      </c>
      <c r="AM862" s="44">
        <v>0</v>
      </c>
      <c r="AN862" s="44">
        <v>0</v>
      </c>
      <c r="AO862" s="44">
        <v>0</v>
      </c>
      <c r="AP862" s="44">
        <v>0</v>
      </c>
      <c r="AQ862" s="44">
        <v>0</v>
      </c>
      <c r="AR862" s="44">
        <v>0</v>
      </c>
      <c r="AS862" s="44">
        <v>0</v>
      </c>
      <c r="AT862" s="44">
        <v>0</v>
      </c>
      <c r="AU862" s="44">
        <v>0</v>
      </c>
      <c r="AV862" s="44">
        <v>0</v>
      </c>
      <c r="AW862" s="44">
        <v>0</v>
      </c>
      <c r="AX862" s="44">
        <v>0</v>
      </c>
      <c r="AY862" s="44">
        <v>0</v>
      </c>
      <c r="AZ862" s="44">
        <v>0</v>
      </c>
      <c r="BA862" s="44">
        <v>0</v>
      </c>
      <c r="BB862" s="44">
        <v>0</v>
      </c>
      <c r="BC862" s="44">
        <v>0</v>
      </c>
      <c r="BD862" s="44">
        <v>0</v>
      </c>
      <c r="BE862" s="44">
        <v>0</v>
      </c>
      <c r="BF862" s="44">
        <v>0</v>
      </c>
      <c r="BG862" s="44">
        <v>0</v>
      </c>
      <c r="BH862" s="44">
        <v>0</v>
      </c>
      <c r="BI862" s="44">
        <v>0</v>
      </c>
      <c r="BJ862" s="44">
        <v>0</v>
      </c>
      <c r="BK862" s="44">
        <v>0</v>
      </c>
      <c r="BL862" s="44">
        <v>0</v>
      </c>
      <c r="BM862" s="44">
        <v>0</v>
      </c>
      <c r="BN862" s="44">
        <v>0</v>
      </c>
      <c r="BO862" s="44">
        <v>0</v>
      </c>
      <c r="BP862" s="44">
        <v>0</v>
      </c>
      <c r="BQ862" s="44">
        <v>0</v>
      </c>
      <c r="BR862" s="44">
        <v>0</v>
      </c>
      <c r="BS862" s="44">
        <v>0</v>
      </c>
      <c r="BT862" s="44">
        <v>0</v>
      </c>
      <c r="BU862" s="44">
        <v>0</v>
      </c>
      <c r="BV862" s="44">
        <v>0</v>
      </c>
      <c r="BW862" s="44">
        <v>0</v>
      </c>
      <c r="BX862" s="44">
        <v>0</v>
      </c>
      <c r="BY862" s="44">
        <v>0</v>
      </c>
      <c r="BZ862" s="44">
        <v>0</v>
      </c>
      <c r="CA862" s="44">
        <v>0</v>
      </c>
      <c r="CB862" s="44">
        <v>0</v>
      </c>
      <c r="CC862" s="44">
        <v>0</v>
      </c>
      <c r="CD862" s="44">
        <v>0</v>
      </c>
      <c r="CE862" s="44">
        <v>0</v>
      </c>
      <c r="CF862" s="44">
        <v>0</v>
      </c>
      <c r="CG862" s="44">
        <v>0</v>
      </c>
      <c r="CH862" s="44">
        <v>0</v>
      </c>
      <c r="CI862" s="44">
        <v>0</v>
      </c>
      <c r="CJ862" s="44">
        <v>0</v>
      </c>
      <c r="CK862" s="44">
        <v>0</v>
      </c>
      <c r="CL862" s="44">
        <v>0</v>
      </c>
      <c r="CM862" s="44">
        <v>0</v>
      </c>
      <c r="CN862" s="44">
        <v>0</v>
      </c>
      <c r="CO862" s="44">
        <v>0</v>
      </c>
      <c r="CP862" s="44">
        <v>0</v>
      </c>
      <c r="CQ862" s="44">
        <v>0</v>
      </c>
      <c r="CR862" s="44">
        <v>0</v>
      </c>
      <c r="CS862" s="44">
        <v>0</v>
      </c>
      <c r="CT862" s="44">
        <v>0</v>
      </c>
      <c r="CU862" s="44">
        <v>0</v>
      </c>
      <c r="CV862" s="44">
        <v>0</v>
      </c>
      <c r="CW862" s="44">
        <v>0</v>
      </c>
      <c r="CX862" s="44">
        <v>0</v>
      </c>
      <c r="CY862" s="44">
        <v>0</v>
      </c>
      <c r="CZ862" s="44">
        <v>0</v>
      </c>
      <c r="DA862" s="44">
        <v>0</v>
      </c>
      <c r="DB862" s="44">
        <v>0</v>
      </c>
      <c r="DC862" s="44">
        <v>0</v>
      </c>
      <c r="DD862" s="44">
        <v>0</v>
      </c>
      <c r="DE862" s="44">
        <v>0</v>
      </c>
      <c r="DF862" s="44">
        <v>0</v>
      </c>
      <c r="DG862" s="16">
        <f t="shared" si="72"/>
        <v>2</v>
      </c>
      <c r="DH862" s="16">
        <f t="shared" si="73"/>
        <v>4</v>
      </c>
      <c r="DI862" s="17">
        <f t="shared" si="74"/>
        <v>2</v>
      </c>
      <c r="DJ862" s="119" t="s">
        <v>4</v>
      </c>
      <c r="DK862" s="44" t="s">
        <v>4</v>
      </c>
    </row>
    <row r="863" spans="1:115">
      <c r="A863" s="32" t="str">
        <f t="shared" si="75"/>
        <v>Ergon--GROUND OUTDOOR / INDOOR CHAMBER MOUNTED ; ˂  22 kV ;  &gt; 60 kVA  AND &lt; = 600 kVA ; SINGLE PHASE</v>
      </c>
      <c r="B863" s="32" t="str">
        <f t="shared" si="76"/>
        <v>Ergon</v>
      </c>
      <c r="C863" s="387"/>
      <c r="D863" s="44"/>
      <c r="E863" s="44" t="s">
        <v>226</v>
      </c>
      <c r="F863" s="44">
        <v>48.6</v>
      </c>
      <c r="G863" s="44">
        <v>6.97</v>
      </c>
      <c r="H863" s="44">
        <v>0</v>
      </c>
      <c r="I863" s="44">
        <v>0</v>
      </c>
      <c r="J863" s="44">
        <v>0</v>
      </c>
      <c r="K863" s="44">
        <v>0</v>
      </c>
      <c r="L863" s="44">
        <v>0</v>
      </c>
      <c r="M863" s="44">
        <v>0</v>
      </c>
      <c r="N863" s="44">
        <v>0</v>
      </c>
      <c r="O863" s="44">
        <v>0</v>
      </c>
      <c r="P863" s="44">
        <v>0</v>
      </c>
      <c r="Q863" s="44">
        <v>0</v>
      </c>
      <c r="R863" s="44">
        <v>0</v>
      </c>
      <c r="S863" s="44">
        <v>0</v>
      </c>
      <c r="T863" s="44">
        <v>0</v>
      </c>
      <c r="U863" s="44">
        <v>0</v>
      </c>
      <c r="V863" s="44">
        <v>0</v>
      </c>
      <c r="W863" s="44">
        <v>0</v>
      </c>
      <c r="X863" s="44">
        <v>0</v>
      </c>
      <c r="Y863" s="44">
        <v>0</v>
      </c>
      <c r="Z863" s="44">
        <v>0</v>
      </c>
      <c r="AA863" s="44">
        <v>0</v>
      </c>
      <c r="AB863" s="44">
        <v>0</v>
      </c>
      <c r="AC863" s="44">
        <v>0</v>
      </c>
      <c r="AD863" s="44">
        <v>0</v>
      </c>
      <c r="AE863" s="44">
        <v>0</v>
      </c>
      <c r="AF863" s="44">
        <v>0</v>
      </c>
      <c r="AG863" s="44">
        <v>0</v>
      </c>
      <c r="AH863" s="44">
        <v>0</v>
      </c>
      <c r="AI863" s="44">
        <v>0</v>
      </c>
      <c r="AJ863" s="44">
        <v>0</v>
      </c>
      <c r="AK863" s="44">
        <v>0</v>
      </c>
      <c r="AL863" s="44">
        <v>0</v>
      </c>
      <c r="AM863" s="44">
        <v>0</v>
      </c>
      <c r="AN863" s="44">
        <v>0</v>
      </c>
      <c r="AO863" s="44">
        <v>0</v>
      </c>
      <c r="AP863" s="44">
        <v>0</v>
      </c>
      <c r="AQ863" s="44">
        <v>0</v>
      </c>
      <c r="AR863" s="44">
        <v>0</v>
      </c>
      <c r="AS863" s="44">
        <v>0</v>
      </c>
      <c r="AT863" s="44">
        <v>0</v>
      </c>
      <c r="AU863" s="44">
        <v>0</v>
      </c>
      <c r="AV863" s="44">
        <v>0</v>
      </c>
      <c r="AW863" s="44">
        <v>0</v>
      </c>
      <c r="AX863" s="44">
        <v>0</v>
      </c>
      <c r="AY863" s="44">
        <v>0</v>
      </c>
      <c r="AZ863" s="44">
        <v>0</v>
      </c>
      <c r="BA863" s="44">
        <v>0</v>
      </c>
      <c r="BB863" s="44">
        <v>0</v>
      </c>
      <c r="BC863" s="44">
        <v>0</v>
      </c>
      <c r="BD863" s="44">
        <v>0</v>
      </c>
      <c r="BE863" s="44">
        <v>0</v>
      </c>
      <c r="BF863" s="44">
        <v>0</v>
      </c>
      <c r="BG863" s="44">
        <v>0</v>
      </c>
      <c r="BH863" s="44">
        <v>0</v>
      </c>
      <c r="BI863" s="44">
        <v>0</v>
      </c>
      <c r="BJ863" s="44">
        <v>0</v>
      </c>
      <c r="BK863" s="44">
        <v>0</v>
      </c>
      <c r="BL863" s="44">
        <v>0</v>
      </c>
      <c r="BM863" s="44">
        <v>0</v>
      </c>
      <c r="BN863" s="44">
        <v>0</v>
      </c>
      <c r="BO863" s="44">
        <v>0</v>
      </c>
      <c r="BP863" s="44">
        <v>0</v>
      </c>
      <c r="BQ863" s="44">
        <v>0</v>
      </c>
      <c r="BR863" s="44">
        <v>0</v>
      </c>
      <c r="BS863" s="44">
        <v>0</v>
      </c>
      <c r="BT863" s="44">
        <v>0</v>
      </c>
      <c r="BU863" s="44">
        <v>0</v>
      </c>
      <c r="BV863" s="44">
        <v>0</v>
      </c>
      <c r="BW863" s="44">
        <v>0</v>
      </c>
      <c r="BX863" s="44">
        <v>0</v>
      </c>
      <c r="BY863" s="44">
        <v>0</v>
      </c>
      <c r="BZ863" s="44">
        <v>0</v>
      </c>
      <c r="CA863" s="44">
        <v>0</v>
      </c>
      <c r="CB863" s="44">
        <v>0</v>
      </c>
      <c r="CC863" s="44">
        <v>0</v>
      </c>
      <c r="CD863" s="44">
        <v>0</v>
      </c>
      <c r="CE863" s="44">
        <v>0</v>
      </c>
      <c r="CF863" s="44">
        <v>0</v>
      </c>
      <c r="CG863" s="44">
        <v>0</v>
      </c>
      <c r="CH863" s="44">
        <v>0</v>
      </c>
      <c r="CI863" s="44">
        <v>0</v>
      </c>
      <c r="CJ863" s="44">
        <v>0</v>
      </c>
      <c r="CK863" s="44">
        <v>0</v>
      </c>
      <c r="CL863" s="44">
        <v>0</v>
      </c>
      <c r="CM863" s="44">
        <v>0</v>
      </c>
      <c r="CN863" s="44">
        <v>0</v>
      </c>
      <c r="CO863" s="44">
        <v>0</v>
      </c>
      <c r="CP863" s="44">
        <v>0</v>
      </c>
      <c r="CQ863" s="44">
        <v>0</v>
      </c>
      <c r="CR863" s="44">
        <v>0</v>
      </c>
      <c r="CS863" s="44">
        <v>0</v>
      </c>
      <c r="CT863" s="44">
        <v>0</v>
      </c>
      <c r="CU863" s="44">
        <v>0</v>
      </c>
      <c r="CV863" s="44">
        <v>0</v>
      </c>
      <c r="CW863" s="44">
        <v>0</v>
      </c>
      <c r="CX863" s="44">
        <v>0</v>
      </c>
      <c r="CY863" s="44">
        <v>0</v>
      </c>
      <c r="CZ863" s="44">
        <v>0</v>
      </c>
      <c r="DA863" s="44">
        <v>0</v>
      </c>
      <c r="DB863" s="44">
        <v>0</v>
      </c>
      <c r="DC863" s="44">
        <v>0</v>
      </c>
      <c r="DD863" s="44">
        <v>0</v>
      </c>
      <c r="DE863" s="44">
        <v>0</v>
      </c>
      <c r="DF863" s="44">
        <v>0</v>
      </c>
      <c r="DG863" s="16">
        <f t="shared" si="72"/>
        <v>0</v>
      </c>
      <c r="DH863" s="16">
        <f t="shared" si="73"/>
        <v>0</v>
      </c>
      <c r="DI863" s="17" t="str">
        <f t="shared" si="74"/>
        <v/>
      </c>
      <c r="DJ863" s="119" t="s">
        <v>4</v>
      </c>
      <c r="DK863" s="44" t="s">
        <v>4</v>
      </c>
    </row>
    <row r="864" spans="1:115">
      <c r="A864" s="32" t="str">
        <f t="shared" si="75"/>
        <v>Ergon--GROUND OUTDOOR / INDOOR CHAMBER MOUNTED ; ˂  22 kV ;  &gt;  600 kVA ; SINGLE PHASE</v>
      </c>
      <c r="B864" s="32" t="str">
        <f t="shared" si="76"/>
        <v>Ergon</v>
      </c>
      <c r="C864" s="387"/>
      <c r="D864" s="44"/>
      <c r="E864" s="44" t="s">
        <v>227</v>
      </c>
      <c r="F864" s="44">
        <v>48.6</v>
      </c>
      <c r="G864" s="44">
        <v>6.97</v>
      </c>
      <c r="H864" s="44">
        <v>0</v>
      </c>
      <c r="I864" s="44">
        <v>0</v>
      </c>
      <c r="J864" s="44">
        <v>0</v>
      </c>
      <c r="K864" s="44">
        <v>0</v>
      </c>
      <c r="L864" s="44">
        <v>0</v>
      </c>
      <c r="M864" s="44">
        <v>0</v>
      </c>
      <c r="N864" s="44">
        <v>0</v>
      </c>
      <c r="O864" s="44">
        <v>0</v>
      </c>
      <c r="P864" s="44">
        <v>0</v>
      </c>
      <c r="Q864" s="44">
        <v>0</v>
      </c>
      <c r="R864" s="44">
        <v>0</v>
      </c>
      <c r="S864" s="44">
        <v>0</v>
      </c>
      <c r="T864" s="44">
        <v>0</v>
      </c>
      <c r="U864" s="44">
        <v>0</v>
      </c>
      <c r="V864" s="44">
        <v>0</v>
      </c>
      <c r="W864" s="44">
        <v>0</v>
      </c>
      <c r="X864" s="44">
        <v>0</v>
      </c>
      <c r="Y864" s="44">
        <v>0</v>
      </c>
      <c r="Z864" s="44">
        <v>0</v>
      </c>
      <c r="AA864" s="44">
        <v>0</v>
      </c>
      <c r="AB864" s="44">
        <v>0</v>
      </c>
      <c r="AC864" s="44">
        <v>0</v>
      </c>
      <c r="AD864" s="44">
        <v>0</v>
      </c>
      <c r="AE864" s="44">
        <v>0</v>
      </c>
      <c r="AF864" s="44">
        <v>0</v>
      </c>
      <c r="AG864" s="44">
        <v>0</v>
      </c>
      <c r="AH864" s="44">
        <v>0</v>
      </c>
      <c r="AI864" s="44">
        <v>0</v>
      </c>
      <c r="AJ864" s="44">
        <v>0</v>
      </c>
      <c r="AK864" s="44">
        <v>0</v>
      </c>
      <c r="AL864" s="44">
        <v>0</v>
      </c>
      <c r="AM864" s="44">
        <v>0</v>
      </c>
      <c r="AN864" s="44">
        <v>0</v>
      </c>
      <c r="AO864" s="44">
        <v>0</v>
      </c>
      <c r="AP864" s="44">
        <v>0</v>
      </c>
      <c r="AQ864" s="44">
        <v>0</v>
      </c>
      <c r="AR864" s="44">
        <v>0</v>
      </c>
      <c r="AS864" s="44">
        <v>0</v>
      </c>
      <c r="AT864" s="44">
        <v>0</v>
      </c>
      <c r="AU864" s="44">
        <v>0</v>
      </c>
      <c r="AV864" s="44">
        <v>0</v>
      </c>
      <c r="AW864" s="44">
        <v>0</v>
      </c>
      <c r="AX864" s="44">
        <v>0</v>
      </c>
      <c r="AY864" s="44">
        <v>0</v>
      </c>
      <c r="AZ864" s="44">
        <v>0</v>
      </c>
      <c r="BA864" s="44">
        <v>0</v>
      </c>
      <c r="BB864" s="44">
        <v>0</v>
      </c>
      <c r="BC864" s="44">
        <v>0</v>
      </c>
      <c r="BD864" s="44">
        <v>0</v>
      </c>
      <c r="BE864" s="44">
        <v>0</v>
      </c>
      <c r="BF864" s="44">
        <v>0</v>
      </c>
      <c r="BG864" s="44">
        <v>0</v>
      </c>
      <c r="BH864" s="44">
        <v>0</v>
      </c>
      <c r="BI864" s="44">
        <v>0</v>
      </c>
      <c r="BJ864" s="44">
        <v>0</v>
      </c>
      <c r="BK864" s="44">
        <v>0</v>
      </c>
      <c r="BL864" s="44">
        <v>0</v>
      </c>
      <c r="BM864" s="44">
        <v>0</v>
      </c>
      <c r="BN864" s="44">
        <v>0</v>
      </c>
      <c r="BO864" s="44">
        <v>0</v>
      </c>
      <c r="BP864" s="44">
        <v>0</v>
      </c>
      <c r="BQ864" s="44">
        <v>0</v>
      </c>
      <c r="BR864" s="44">
        <v>0</v>
      </c>
      <c r="BS864" s="44">
        <v>0</v>
      </c>
      <c r="BT864" s="44">
        <v>0</v>
      </c>
      <c r="BU864" s="44">
        <v>0</v>
      </c>
      <c r="BV864" s="44">
        <v>0</v>
      </c>
      <c r="BW864" s="44">
        <v>0</v>
      </c>
      <c r="BX864" s="44">
        <v>0</v>
      </c>
      <c r="BY864" s="44">
        <v>0</v>
      </c>
      <c r="BZ864" s="44">
        <v>0</v>
      </c>
      <c r="CA864" s="44">
        <v>0</v>
      </c>
      <c r="CB864" s="44">
        <v>0</v>
      </c>
      <c r="CC864" s="44">
        <v>0</v>
      </c>
      <c r="CD864" s="44">
        <v>0</v>
      </c>
      <c r="CE864" s="44">
        <v>0</v>
      </c>
      <c r="CF864" s="44">
        <v>0</v>
      </c>
      <c r="CG864" s="44">
        <v>0</v>
      </c>
      <c r="CH864" s="44">
        <v>0</v>
      </c>
      <c r="CI864" s="44">
        <v>0</v>
      </c>
      <c r="CJ864" s="44">
        <v>0</v>
      </c>
      <c r="CK864" s="44">
        <v>0</v>
      </c>
      <c r="CL864" s="44">
        <v>0</v>
      </c>
      <c r="CM864" s="44">
        <v>0</v>
      </c>
      <c r="CN864" s="44">
        <v>0</v>
      </c>
      <c r="CO864" s="44">
        <v>0</v>
      </c>
      <c r="CP864" s="44">
        <v>0</v>
      </c>
      <c r="CQ864" s="44">
        <v>0</v>
      </c>
      <c r="CR864" s="44">
        <v>0</v>
      </c>
      <c r="CS864" s="44">
        <v>0</v>
      </c>
      <c r="CT864" s="44">
        <v>0</v>
      </c>
      <c r="CU864" s="44">
        <v>0</v>
      </c>
      <c r="CV864" s="44">
        <v>0</v>
      </c>
      <c r="CW864" s="44">
        <v>0</v>
      </c>
      <c r="CX864" s="44">
        <v>0</v>
      </c>
      <c r="CY864" s="44">
        <v>0</v>
      </c>
      <c r="CZ864" s="44">
        <v>0</v>
      </c>
      <c r="DA864" s="44">
        <v>0</v>
      </c>
      <c r="DB864" s="44">
        <v>0</v>
      </c>
      <c r="DC864" s="44">
        <v>0</v>
      </c>
      <c r="DD864" s="44">
        <v>0</v>
      </c>
      <c r="DE864" s="44">
        <v>0</v>
      </c>
      <c r="DF864" s="44">
        <v>0</v>
      </c>
      <c r="DG864" s="16">
        <f t="shared" si="72"/>
        <v>0</v>
      </c>
      <c r="DH864" s="16">
        <f t="shared" si="73"/>
        <v>0</v>
      </c>
      <c r="DI864" s="17" t="str">
        <f t="shared" si="74"/>
        <v/>
      </c>
      <c r="DJ864" s="119" t="s">
        <v>4</v>
      </c>
      <c r="DK864" s="44" t="s">
        <v>4</v>
      </c>
    </row>
    <row r="865" spans="1:115">
      <c r="A865" s="32" t="str">
        <f t="shared" si="75"/>
        <v>Ergon--GROUND OUTDOOR / INDOOR CHAMBER MOUNTED ; ˂  22 kV ;  &lt; = 60 kVA ; MULTIPLE PHASE</v>
      </c>
      <c r="B865" s="32" t="str">
        <f t="shared" si="76"/>
        <v>Ergon</v>
      </c>
      <c r="C865" s="387"/>
      <c r="D865" s="44"/>
      <c r="E865" s="44" t="s">
        <v>228</v>
      </c>
      <c r="F865" s="44">
        <v>48.6</v>
      </c>
      <c r="G865" s="44">
        <v>6.97</v>
      </c>
      <c r="H865" s="44">
        <v>1</v>
      </c>
      <c r="I865" s="44">
        <v>0</v>
      </c>
      <c r="J865" s="44">
        <v>4</v>
      </c>
      <c r="K865" s="44">
        <v>2</v>
      </c>
      <c r="L865" s="44">
        <v>6</v>
      </c>
      <c r="M865" s="44">
        <v>5</v>
      </c>
      <c r="N865" s="44">
        <v>6</v>
      </c>
      <c r="O865" s="44">
        <v>7</v>
      </c>
      <c r="P865" s="44">
        <v>1</v>
      </c>
      <c r="Q865" s="44">
        <v>5</v>
      </c>
      <c r="R865" s="44">
        <v>0</v>
      </c>
      <c r="S865" s="44">
        <v>3</v>
      </c>
      <c r="T865" s="44">
        <v>1</v>
      </c>
      <c r="U865" s="44">
        <v>4</v>
      </c>
      <c r="V865" s="44">
        <v>5</v>
      </c>
      <c r="W865" s="44">
        <v>1</v>
      </c>
      <c r="X865" s="44">
        <v>1</v>
      </c>
      <c r="Y865" s="44">
        <v>0</v>
      </c>
      <c r="Z865" s="44">
        <v>3</v>
      </c>
      <c r="AA865" s="44">
        <v>8</v>
      </c>
      <c r="AB865" s="44">
        <v>0</v>
      </c>
      <c r="AC865" s="44">
        <v>2</v>
      </c>
      <c r="AD865" s="44">
        <v>5</v>
      </c>
      <c r="AE865" s="44">
        <v>4</v>
      </c>
      <c r="AF865" s="44">
        <v>2</v>
      </c>
      <c r="AG865" s="44">
        <v>3</v>
      </c>
      <c r="AH865" s="44">
        <v>1</v>
      </c>
      <c r="AI865" s="44">
        <v>4</v>
      </c>
      <c r="AJ865" s="44">
        <v>3</v>
      </c>
      <c r="AK865" s="44">
        <v>3</v>
      </c>
      <c r="AL865" s="44">
        <v>3</v>
      </c>
      <c r="AM865" s="44">
        <v>1</v>
      </c>
      <c r="AN865" s="44">
        <v>3</v>
      </c>
      <c r="AO865" s="44">
        <v>0</v>
      </c>
      <c r="AP865" s="44">
        <v>1</v>
      </c>
      <c r="AQ865" s="44">
        <v>0</v>
      </c>
      <c r="AR865" s="44">
        <v>0</v>
      </c>
      <c r="AS865" s="44">
        <v>1</v>
      </c>
      <c r="AT865" s="44">
        <v>0</v>
      </c>
      <c r="AU865" s="44">
        <v>2</v>
      </c>
      <c r="AV865" s="44">
        <v>0</v>
      </c>
      <c r="AW865" s="44">
        <v>2</v>
      </c>
      <c r="AX865" s="44">
        <v>1</v>
      </c>
      <c r="AY865" s="44">
        <v>1</v>
      </c>
      <c r="AZ865" s="44">
        <v>0</v>
      </c>
      <c r="BA865" s="44">
        <v>1</v>
      </c>
      <c r="BB865" s="44">
        <v>0</v>
      </c>
      <c r="BC865" s="44">
        <v>1</v>
      </c>
      <c r="BD865" s="44">
        <v>0</v>
      </c>
      <c r="BE865" s="44">
        <v>1</v>
      </c>
      <c r="BF865" s="44">
        <v>2</v>
      </c>
      <c r="BG865" s="44">
        <v>3</v>
      </c>
      <c r="BH865" s="44">
        <v>3</v>
      </c>
      <c r="BI865" s="44">
        <v>1</v>
      </c>
      <c r="BJ865" s="44">
        <v>3</v>
      </c>
      <c r="BK865" s="44">
        <v>0</v>
      </c>
      <c r="BL865" s="44">
        <v>0</v>
      </c>
      <c r="BM865" s="44">
        <v>0</v>
      </c>
      <c r="BN865" s="44">
        <v>0</v>
      </c>
      <c r="BO865" s="44">
        <v>0</v>
      </c>
      <c r="BP865" s="44">
        <v>0</v>
      </c>
      <c r="BQ865" s="44">
        <v>0</v>
      </c>
      <c r="BR865" s="44">
        <v>0</v>
      </c>
      <c r="BS865" s="44">
        <v>1</v>
      </c>
      <c r="BT865" s="44">
        <v>0</v>
      </c>
      <c r="BU865" s="44">
        <v>0</v>
      </c>
      <c r="BV865" s="44">
        <v>0</v>
      </c>
      <c r="BW865" s="44">
        <v>0</v>
      </c>
      <c r="BX865" s="44">
        <v>0</v>
      </c>
      <c r="BY865" s="44">
        <v>0</v>
      </c>
      <c r="BZ865" s="44">
        <v>0</v>
      </c>
      <c r="CA865" s="44">
        <v>0</v>
      </c>
      <c r="CB865" s="44">
        <v>0</v>
      </c>
      <c r="CC865" s="44">
        <v>0</v>
      </c>
      <c r="CD865" s="44">
        <v>0</v>
      </c>
      <c r="CE865" s="44">
        <v>0</v>
      </c>
      <c r="CF865" s="44">
        <v>0</v>
      </c>
      <c r="CG865" s="44">
        <v>0</v>
      </c>
      <c r="CH865" s="44">
        <v>0</v>
      </c>
      <c r="CI865" s="44">
        <v>0</v>
      </c>
      <c r="CJ865" s="44">
        <v>0</v>
      </c>
      <c r="CK865" s="44">
        <v>0</v>
      </c>
      <c r="CL865" s="44">
        <v>0</v>
      </c>
      <c r="CM865" s="44">
        <v>0</v>
      </c>
      <c r="CN865" s="44">
        <v>0</v>
      </c>
      <c r="CO865" s="44">
        <v>0</v>
      </c>
      <c r="CP865" s="44">
        <v>0</v>
      </c>
      <c r="CQ865" s="44">
        <v>0</v>
      </c>
      <c r="CR865" s="44">
        <v>0</v>
      </c>
      <c r="CS865" s="44">
        <v>0</v>
      </c>
      <c r="CT865" s="44">
        <v>0</v>
      </c>
      <c r="CU865" s="44">
        <v>0</v>
      </c>
      <c r="CV865" s="44">
        <v>0</v>
      </c>
      <c r="CW865" s="44">
        <v>0</v>
      </c>
      <c r="CX865" s="44">
        <v>0</v>
      </c>
      <c r="CY865" s="44">
        <v>0</v>
      </c>
      <c r="CZ865" s="44">
        <v>0</v>
      </c>
      <c r="DA865" s="44">
        <v>0</v>
      </c>
      <c r="DB865" s="44">
        <v>0</v>
      </c>
      <c r="DC865" s="44">
        <v>0</v>
      </c>
      <c r="DD865" s="44">
        <v>0</v>
      </c>
      <c r="DE865" s="44">
        <v>0</v>
      </c>
      <c r="DF865" s="44">
        <v>0</v>
      </c>
      <c r="DG865" s="16">
        <f t="shared" si="72"/>
        <v>121</v>
      </c>
      <c r="DH865" s="16">
        <f t="shared" si="73"/>
        <v>2759</v>
      </c>
      <c r="DI865" s="17">
        <f t="shared" si="74"/>
        <v>22.801652892561982</v>
      </c>
      <c r="DJ865" s="119" t="s">
        <v>4</v>
      </c>
      <c r="DK865" s="44" t="s">
        <v>4</v>
      </c>
    </row>
    <row r="866" spans="1:115">
      <c r="A866" s="32" t="str">
        <f t="shared" si="75"/>
        <v>Ergon--GROUND OUTDOOR / INDOOR CHAMBER MOUNTED ; ˂  22 kV ;  &gt; 60 kVA  AND &lt; = 600 kVA ; MULTIPLE PHASE</v>
      </c>
      <c r="B866" s="32" t="str">
        <f t="shared" si="76"/>
        <v>Ergon</v>
      </c>
      <c r="C866" s="387"/>
      <c r="D866" s="44"/>
      <c r="E866" s="44" t="s">
        <v>229</v>
      </c>
      <c r="F866" s="44">
        <v>48.6</v>
      </c>
      <c r="G866" s="44">
        <v>6.97</v>
      </c>
      <c r="H866" s="44">
        <v>1</v>
      </c>
      <c r="I866" s="44">
        <v>0</v>
      </c>
      <c r="J866" s="44">
        <v>1</v>
      </c>
      <c r="K866" s="44">
        <v>3</v>
      </c>
      <c r="L866" s="44">
        <v>3</v>
      </c>
      <c r="M866" s="44">
        <v>0</v>
      </c>
      <c r="N866" s="44">
        <v>6</v>
      </c>
      <c r="O866" s="44">
        <v>0</v>
      </c>
      <c r="P866" s="44">
        <v>0</v>
      </c>
      <c r="Q866" s="44">
        <v>1</v>
      </c>
      <c r="R866" s="44">
        <v>2</v>
      </c>
      <c r="S866" s="44">
        <v>0</v>
      </c>
      <c r="T866" s="44">
        <v>10</v>
      </c>
      <c r="U866" s="44">
        <v>3</v>
      </c>
      <c r="V866" s="44">
        <v>8</v>
      </c>
      <c r="W866" s="44">
        <v>2</v>
      </c>
      <c r="X866" s="44">
        <v>0</v>
      </c>
      <c r="Y866" s="44">
        <v>0</v>
      </c>
      <c r="Z866" s="44">
        <v>8</v>
      </c>
      <c r="AA866" s="44">
        <v>0</v>
      </c>
      <c r="AB866" s="44">
        <v>0</v>
      </c>
      <c r="AC866" s="44">
        <v>0</v>
      </c>
      <c r="AD866" s="44">
        <v>2</v>
      </c>
      <c r="AE866" s="44">
        <v>1</v>
      </c>
      <c r="AF866" s="44">
        <v>1</v>
      </c>
      <c r="AG866" s="44">
        <v>3</v>
      </c>
      <c r="AH866" s="44">
        <v>3</v>
      </c>
      <c r="AI866" s="44">
        <v>6</v>
      </c>
      <c r="AJ866" s="44">
        <v>3</v>
      </c>
      <c r="AK866" s="44">
        <v>2</v>
      </c>
      <c r="AL866" s="44">
        <v>1</v>
      </c>
      <c r="AM866" s="44">
        <v>2</v>
      </c>
      <c r="AN866" s="44">
        <v>1</v>
      </c>
      <c r="AO866" s="44">
        <v>0</v>
      </c>
      <c r="AP866" s="44">
        <v>0</v>
      </c>
      <c r="AQ866" s="44">
        <v>0</v>
      </c>
      <c r="AR866" s="44">
        <v>0</v>
      </c>
      <c r="AS866" s="44">
        <v>0</v>
      </c>
      <c r="AT866" s="44">
        <v>1</v>
      </c>
      <c r="AU866" s="44">
        <v>0</v>
      </c>
      <c r="AV866" s="44">
        <v>0</v>
      </c>
      <c r="AW866" s="44">
        <v>0</v>
      </c>
      <c r="AX866" s="44">
        <v>1</v>
      </c>
      <c r="AY866" s="44">
        <v>0</v>
      </c>
      <c r="AZ866" s="44">
        <v>0</v>
      </c>
      <c r="BA866" s="44">
        <v>0</v>
      </c>
      <c r="BB866" s="44">
        <v>0</v>
      </c>
      <c r="BC866" s="44">
        <v>0</v>
      </c>
      <c r="BD866" s="44">
        <v>0</v>
      </c>
      <c r="BE866" s="44">
        <v>0</v>
      </c>
      <c r="BF866" s="44">
        <v>0</v>
      </c>
      <c r="BG866" s="44">
        <v>0</v>
      </c>
      <c r="BH866" s="44">
        <v>0</v>
      </c>
      <c r="BI866" s="44">
        <v>0</v>
      </c>
      <c r="BJ866" s="44">
        <v>0</v>
      </c>
      <c r="BK866" s="44">
        <v>0</v>
      </c>
      <c r="BL866" s="44">
        <v>0</v>
      </c>
      <c r="BM866" s="44">
        <v>0</v>
      </c>
      <c r="BN866" s="44">
        <v>0</v>
      </c>
      <c r="BO866" s="44">
        <v>0</v>
      </c>
      <c r="BP866" s="44">
        <v>0</v>
      </c>
      <c r="BQ866" s="44">
        <v>0</v>
      </c>
      <c r="BR866" s="44">
        <v>0</v>
      </c>
      <c r="BS866" s="44">
        <v>0</v>
      </c>
      <c r="BT866" s="44">
        <v>0</v>
      </c>
      <c r="BU866" s="44">
        <v>0</v>
      </c>
      <c r="BV866" s="44">
        <v>0</v>
      </c>
      <c r="BW866" s="44">
        <v>0</v>
      </c>
      <c r="BX866" s="44">
        <v>0</v>
      </c>
      <c r="BY866" s="44">
        <v>0</v>
      </c>
      <c r="BZ866" s="44">
        <v>0</v>
      </c>
      <c r="CA866" s="44">
        <v>0</v>
      </c>
      <c r="CB866" s="44">
        <v>0</v>
      </c>
      <c r="CC866" s="44">
        <v>1</v>
      </c>
      <c r="CD866" s="44">
        <v>0</v>
      </c>
      <c r="CE866" s="44">
        <v>0</v>
      </c>
      <c r="CF866" s="44">
        <v>0</v>
      </c>
      <c r="CG866" s="44">
        <v>1</v>
      </c>
      <c r="CH866" s="44">
        <v>0</v>
      </c>
      <c r="CI866" s="44">
        <v>0</v>
      </c>
      <c r="CJ866" s="44">
        <v>0</v>
      </c>
      <c r="CK866" s="44">
        <v>0</v>
      </c>
      <c r="CL866" s="44">
        <v>0</v>
      </c>
      <c r="CM866" s="44">
        <v>0</v>
      </c>
      <c r="CN866" s="44">
        <v>0</v>
      </c>
      <c r="CO866" s="44">
        <v>0</v>
      </c>
      <c r="CP866" s="44">
        <v>0</v>
      </c>
      <c r="CQ866" s="44">
        <v>0</v>
      </c>
      <c r="CR866" s="44">
        <v>0</v>
      </c>
      <c r="CS866" s="44">
        <v>0</v>
      </c>
      <c r="CT866" s="44">
        <v>0</v>
      </c>
      <c r="CU866" s="44">
        <v>0</v>
      </c>
      <c r="CV866" s="44">
        <v>0</v>
      </c>
      <c r="CW866" s="44">
        <v>0</v>
      </c>
      <c r="CX866" s="44">
        <v>0</v>
      </c>
      <c r="CY866" s="44">
        <v>0</v>
      </c>
      <c r="CZ866" s="44">
        <v>0</v>
      </c>
      <c r="DA866" s="44">
        <v>0</v>
      </c>
      <c r="DB866" s="44">
        <v>0</v>
      </c>
      <c r="DC866" s="44">
        <v>0</v>
      </c>
      <c r="DD866" s="44">
        <v>0</v>
      </c>
      <c r="DE866" s="44">
        <v>0</v>
      </c>
      <c r="DF866" s="44">
        <v>0</v>
      </c>
      <c r="DG866" s="16">
        <f t="shared" si="72"/>
        <v>77</v>
      </c>
      <c r="DH866" s="16">
        <f t="shared" si="73"/>
        <v>1512</v>
      </c>
      <c r="DI866" s="17">
        <f t="shared" si="74"/>
        <v>19.636363636363637</v>
      </c>
      <c r="DJ866" s="119" t="s">
        <v>4</v>
      </c>
      <c r="DK866" s="44" t="s">
        <v>4</v>
      </c>
    </row>
    <row r="867" spans="1:115">
      <c r="A867" s="32" t="str">
        <f t="shared" si="75"/>
        <v>Ergon--GROUND OUTDOOR / INDOOR CHAMBER MOUNTED ; ˂  22 kV ;  &gt;  600 kVA ; MULTIPLE PHASE</v>
      </c>
      <c r="B867" s="32" t="str">
        <f t="shared" si="76"/>
        <v>Ergon</v>
      </c>
      <c r="C867" s="387"/>
      <c r="D867" s="44"/>
      <c r="E867" s="44" t="s">
        <v>230</v>
      </c>
      <c r="F867" s="44">
        <v>48.6</v>
      </c>
      <c r="G867" s="44">
        <v>6.97</v>
      </c>
      <c r="H867" s="44">
        <v>3</v>
      </c>
      <c r="I867" s="44">
        <v>5</v>
      </c>
      <c r="J867" s="44">
        <v>1</v>
      </c>
      <c r="K867" s="44">
        <v>1</v>
      </c>
      <c r="L867" s="44">
        <v>6</v>
      </c>
      <c r="M867" s="44">
        <v>6</v>
      </c>
      <c r="N867" s="44">
        <v>10</v>
      </c>
      <c r="O867" s="44">
        <v>2</v>
      </c>
      <c r="P867" s="44">
        <v>0</v>
      </c>
      <c r="Q867" s="44">
        <v>1</v>
      </c>
      <c r="R867" s="44">
        <v>0</v>
      </c>
      <c r="S867" s="44">
        <v>0</v>
      </c>
      <c r="T867" s="44">
        <v>0</v>
      </c>
      <c r="U867" s="44">
        <v>0</v>
      </c>
      <c r="V867" s="44">
        <v>0</v>
      </c>
      <c r="W867" s="44">
        <v>1</v>
      </c>
      <c r="X867" s="44">
        <v>2</v>
      </c>
      <c r="Y867" s="44">
        <v>0</v>
      </c>
      <c r="Z867" s="44">
        <v>0</v>
      </c>
      <c r="AA867" s="44">
        <v>0</v>
      </c>
      <c r="AB867" s="44">
        <v>0</v>
      </c>
      <c r="AC867" s="44">
        <v>0</v>
      </c>
      <c r="AD867" s="44">
        <v>1</v>
      </c>
      <c r="AE867" s="44">
        <v>0</v>
      </c>
      <c r="AF867" s="44">
        <v>0</v>
      </c>
      <c r="AG867" s="44">
        <v>0</v>
      </c>
      <c r="AH867" s="44">
        <v>1</v>
      </c>
      <c r="AI867" s="44">
        <v>0</v>
      </c>
      <c r="AJ867" s="44">
        <v>2</v>
      </c>
      <c r="AK867" s="44">
        <v>3</v>
      </c>
      <c r="AL867" s="44">
        <v>0</v>
      </c>
      <c r="AM867" s="44">
        <v>3</v>
      </c>
      <c r="AN867" s="44">
        <v>0</v>
      </c>
      <c r="AO867" s="44">
        <v>0</v>
      </c>
      <c r="AP867" s="44">
        <v>2</v>
      </c>
      <c r="AQ867" s="44">
        <v>1</v>
      </c>
      <c r="AR867" s="44">
        <v>0</v>
      </c>
      <c r="AS867" s="44">
        <v>2</v>
      </c>
      <c r="AT867" s="44">
        <v>2</v>
      </c>
      <c r="AU867" s="44">
        <v>0</v>
      </c>
      <c r="AV867" s="44">
        <v>0</v>
      </c>
      <c r="AW867" s="44">
        <v>0</v>
      </c>
      <c r="AX867" s="44">
        <v>2</v>
      </c>
      <c r="AY867" s="44">
        <v>0</v>
      </c>
      <c r="AZ867" s="44">
        <v>0</v>
      </c>
      <c r="BA867" s="44">
        <v>0</v>
      </c>
      <c r="BB867" s="44">
        <v>2</v>
      </c>
      <c r="BC867" s="44">
        <v>0</v>
      </c>
      <c r="BD867" s="44">
        <v>1</v>
      </c>
      <c r="BE867" s="44">
        <v>0</v>
      </c>
      <c r="BF867" s="44">
        <v>0</v>
      </c>
      <c r="BG867" s="44">
        <v>1</v>
      </c>
      <c r="BH867" s="44">
        <v>0</v>
      </c>
      <c r="BI867" s="44">
        <v>0</v>
      </c>
      <c r="BJ867" s="44">
        <v>0</v>
      </c>
      <c r="BK867" s="44">
        <v>0</v>
      </c>
      <c r="BL867" s="44">
        <v>0</v>
      </c>
      <c r="BM867" s="44">
        <v>0</v>
      </c>
      <c r="BN867" s="44">
        <v>0</v>
      </c>
      <c r="BO867" s="44">
        <v>0</v>
      </c>
      <c r="BP867" s="44">
        <v>0</v>
      </c>
      <c r="BQ867" s="44">
        <v>0</v>
      </c>
      <c r="BR867" s="44">
        <v>0</v>
      </c>
      <c r="BS867" s="44">
        <v>0</v>
      </c>
      <c r="BT867" s="44">
        <v>0</v>
      </c>
      <c r="BU867" s="44">
        <v>0</v>
      </c>
      <c r="BV867" s="44">
        <v>0</v>
      </c>
      <c r="BW867" s="44">
        <v>2</v>
      </c>
      <c r="BX867" s="44">
        <v>0</v>
      </c>
      <c r="BY867" s="44">
        <v>0</v>
      </c>
      <c r="BZ867" s="44">
        <v>0</v>
      </c>
      <c r="CA867" s="44">
        <v>0</v>
      </c>
      <c r="CB867" s="44">
        <v>0</v>
      </c>
      <c r="CC867" s="44">
        <v>0</v>
      </c>
      <c r="CD867" s="44">
        <v>0</v>
      </c>
      <c r="CE867" s="44">
        <v>0</v>
      </c>
      <c r="CF867" s="44">
        <v>0</v>
      </c>
      <c r="CG867" s="44">
        <v>0</v>
      </c>
      <c r="CH867" s="44">
        <v>0</v>
      </c>
      <c r="CI867" s="44">
        <v>0</v>
      </c>
      <c r="CJ867" s="44">
        <v>0</v>
      </c>
      <c r="CK867" s="44">
        <v>0</v>
      </c>
      <c r="CL867" s="44">
        <v>0</v>
      </c>
      <c r="CM867" s="44">
        <v>0</v>
      </c>
      <c r="CN867" s="44">
        <v>0</v>
      </c>
      <c r="CO867" s="44">
        <v>0</v>
      </c>
      <c r="CP867" s="44">
        <v>0</v>
      </c>
      <c r="CQ867" s="44">
        <v>0</v>
      </c>
      <c r="CR867" s="44">
        <v>0</v>
      </c>
      <c r="CS867" s="44">
        <v>0</v>
      </c>
      <c r="CT867" s="44">
        <v>0</v>
      </c>
      <c r="CU867" s="44">
        <v>0</v>
      </c>
      <c r="CV867" s="44">
        <v>0</v>
      </c>
      <c r="CW867" s="44">
        <v>0</v>
      </c>
      <c r="CX867" s="44">
        <v>0</v>
      </c>
      <c r="CY867" s="44">
        <v>0</v>
      </c>
      <c r="CZ867" s="44">
        <v>0</v>
      </c>
      <c r="DA867" s="44">
        <v>0</v>
      </c>
      <c r="DB867" s="44">
        <v>0</v>
      </c>
      <c r="DC867" s="44">
        <v>0</v>
      </c>
      <c r="DD867" s="44">
        <v>0</v>
      </c>
      <c r="DE867" s="44">
        <v>0</v>
      </c>
      <c r="DF867" s="44">
        <v>0</v>
      </c>
      <c r="DG867" s="16">
        <f t="shared" si="72"/>
        <v>63</v>
      </c>
      <c r="DH867" s="16">
        <f t="shared" si="73"/>
        <v>1203</v>
      </c>
      <c r="DI867" s="17">
        <f t="shared" si="74"/>
        <v>19.095238095238095</v>
      </c>
      <c r="DJ867" s="119" t="s">
        <v>4</v>
      </c>
      <c r="DK867" s="44" t="s">
        <v>4</v>
      </c>
    </row>
    <row r="868" spans="1:115">
      <c r="A868" s="32" t="str">
        <f t="shared" si="75"/>
        <v>Ergon--GROUND OUTDOOR / INDOOR CHAMBER MOUNTED ; &gt; = 22 kV &amp; &lt; = 33 kV ;  &lt; = 15 MVA</v>
      </c>
      <c r="B868" s="32" t="str">
        <f t="shared" si="76"/>
        <v>Ergon</v>
      </c>
      <c r="C868" s="387"/>
      <c r="D868" s="44"/>
      <c r="E868" s="44" t="s">
        <v>231</v>
      </c>
      <c r="F868" s="44">
        <v>53.5</v>
      </c>
      <c r="G868" s="44">
        <v>7.31</v>
      </c>
      <c r="H868" s="44">
        <v>2</v>
      </c>
      <c r="I868" s="44">
        <v>4</v>
      </c>
      <c r="J868" s="44">
        <v>10</v>
      </c>
      <c r="K868" s="44">
        <v>1</v>
      </c>
      <c r="L868" s="44">
        <v>8</v>
      </c>
      <c r="M868" s="44">
        <v>9</v>
      </c>
      <c r="N868" s="44">
        <v>8</v>
      </c>
      <c r="O868" s="44">
        <v>12</v>
      </c>
      <c r="P868" s="44">
        <v>3</v>
      </c>
      <c r="Q868" s="44">
        <v>9</v>
      </c>
      <c r="R868" s="44">
        <v>2</v>
      </c>
      <c r="S868" s="44">
        <v>3</v>
      </c>
      <c r="T868" s="44">
        <v>2</v>
      </c>
      <c r="U868" s="44">
        <v>5</v>
      </c>
      <c r="V868" s="44">
        <v>5</v>
      </c>
      <c r="W868" s="44">
        <v>5</v>
      </c>
      <c r="X868" s="44">
        <v>0</v>
      </c>
      <c r="Y868" s="44">
        <v>2</v>
      </c>
      <c r="Z868" s="44">
        <v>2</v>
      </c>
      <c r="AA868" s="44">
        <v>1</v>
      </c>
      <c r="AB868" s="44">
        <v>1</v>
      </c>
      <c r="AC868" s="44">
        <v>3</v>
      </c>
      <c r="AD868" s="44">
        <v>1</v>
      </c>
      <c r="AE868" s="44">
        <v>5</v>
      </c>
      <c r="AF868" s="44">
        <v>0</v>
      </c>
      <c r="AG868" s="44">
        <v>4</v>
      </c>
      <c r="AH868" s="44">
        <v>3</v>
      </c>
      <c r="AI868" s="44">
        <v>2</v>
      </c>
      <c r="AJ868" s="44">
        <v>3</v>
      </c>
      <c r="AK868" s="44">
        <v>3</v>
      </c>
      <c r="AL868" s="44">
        <v>4</v>
      </c>
      <c r="AM868" s="44">
        <v>1</v>
      </c>
      <c r="AN868" s="44">
        <v>4</v>
      </c>
      <c r="AO868" s="44">
        <v>3</v>
      </c>
      <c r="AP868" s="44">
        <v>5</v>
      </c>
      <c r="AQ868" s="44">
        <v>3</v>
      </c>
      <c r="AR868" s="44">
        <v>1</v>
      </c>
      <c r="AS868" s="44">
        <v>4</v>
      </c>
      <c r="AT868" s="44">
        <v>7</v>
      </c>
      <c r="AU868" s="44">
        <v>0</v>
      </c>
      <c r="AV868" s="44">
        <v>4</v>
      </c>
      <c r="AW868" s="44">
        <v>3</v>
      </c>
      <c r="AX868" s="44">
        <v>10</v>
      </c>
      <c r="AY868" s="44">
        <v>0</v>
      </c>
      <c r="AZ868" s="44">
        <v>2</v>
      </c>
      <c r="BA868" s="44">
        <v>2</v>
      </c>
      <c r="BB868" s="44">
        <v>8</v>
      </c>
      <c r="BC868" s="44">
        <v>3</v>
      </c>
      <c r="BD868" s="44">
        <v>3</v>
      </c>
      <c r="BE868" s="44">
        <v>2</v>
      </c>
      <c r="BF868" s="44">
        <v>2</v>
      </c>
      <c r="BG868" s="44">
        <v>0</v>
      </c>
      <c r="BH868" s="44">
        <v>1</v>
      </c>
      <c r="BI868" s="44">
        <v>0</v>
      </c>
      <c r="BJ868" s="44">
        <v>2</v>
      </c>
      <c r="BK868" s="44">
        <v>0</v>
      </c>
      <c r="BL868" s="44">
        <v>1</v>
      </c>
      <c r="BM868" s="44">
        <v>0</v>
      </c>
      <c r="BN868" s="44">
        <v>0</v>
      </c>
      <c r="BO868" s="44">
        <v>0</v>
      </c>
      <c r="BP868" s="44">
        <v>2</v>
      </c>
      <c r="BQ868" s="44">
        <v>2</v>
      </c>
      <c r="BR868" s="44">
        <v>0</v>
      </c>
      <c r="BS868" s="44">
        <v>1</v>
      </c>
      <c r="BT868" s="44">
        <v>3</v>
      </c>
      <c r="BU868" s="44">
        <v>0</v>
      </c>
      <c r="BV868" s="44">
        <v>0</v>
      </c>
      <c r="BW868" s="44">
        <v>0</v>
      </c>
      <c r="BX868" s="44">
        <v>0</v>
      </c>
      <c r="BY868" s="44">
        <v>5</v>
      </c>
      <c r="BZ868" s="44">
        <v>2</v>
      </c>
      <c r="CA868" s="44">
        <v>0</v>
      </c>
      <c r="CB868" s="44">
        <v>1</v>
      </c>
      <c r="CC868" s="44">
        <v>0</v>
      </c>
      <c r="CD868" s="44">
        <v>0</v>
      </c>
      <c r="CE868" s="44">
        <v>0</v>
      </c>
      <c r="CF868" s="44">
        <v>0</v>
      </c>
      <c r="CG868" s="44">
        <v>0</v>
      </c>
      <c r="CH868" s="44">
        <v>0</v>
      </c>
      <c r="CI868" s="44">
        <v>0</v>
      </c>
      <c r="CJ868" s="44">
        <v>0</v>
      </c>
      <c r="CK868" s="44">
        <v>0</v>
      </c>
      <c r="CL868" s="44">
        <v>0</v>
      </c>
      <c r="CM868" s="44">
        <v>0</v>
      </c>
      <c r="CN868" s="44">
        <v>0</v>
      </c>
      <c r="CO868" s="44">
        <v>0</v>
      </c>
      <c r="CP868" s="44">
        <v>0</v>
      </c>
      <c r="CQ868" s="44">
        <v>0</v>
      </c>
      <c r="CR868" s="44">
        <v>0</v>
      </c>
      <c r="CS868" s="44">
        <v>0</v>
      </c>
      <c r="CT868" s="44">
        <v>0</v>
      </c>
      <c r="CU868" s="44">
        <v>0</v>
      </c>
      <c r="CV868" s="44">
        <v>0</v>
      </c>
      <c r="CW868" s="44">
        <v>0</v>
      </c>
      <c r="CX868" s="44">
        <v>0</v>
      </c>
      <c r="CY868" s="44">
        <v>0</v>
      </c>
      <c r="CZ868" s="44">
        <v>0</v>
      </c>
      <c r="DA868" s="44">
        <v>0</v>
      </c>
      <c r="DB868" s="44">
        <v>0</v>
      </c>
      <c r="DC868" s="44">
        <v>0</v>
      </c>
      <c r="DD868" s="44">
        <v>0</v>
      </c>
      <c r="DE868" s="44">
        <v>0</v>
      </c>
      <c r="DF868" s="44">
        <v>0</v>
      </c>
      <c r="DG868" s="16">
        <f t="shared" si="72"/>
        <v>209</v>
      </c>
      <c r="DH868" s="16">
        <f t="shared" si="73"/>
        <v>5654</v>
      </c>
      <c r="DI868" s="17">
        <f t="shared" si="74"/>
        <v>27.05263157894737</v>
      </c>
      <c r="DJ868" s="119" t="s">
        <v>4</v>
      </c>
      <c r="DK868" s="119" t="s">
        <v>1530</v>
      </c>
    </row>
    <row r="869" spans="1:115">
      <c r="A869" s="32" t="str">
        <f t="shared" si="75"/>
        <v>Ergon--GROUND OUTDOOR / INDOOR CHAMBER MOUNTED ; &gt; = 22 kV &amp; &lt; = 33 kV ;  &gt; 15 MVA AND &lt; = 40 MVA</v>
      </c>
      <c r="B869" s="32" t="str">
        <f t="shared" si="76"/>
        <v>Ergon</v>
      </c>
      <c r="C869" s="387"/>
      <c r="D869" s="44"/>
      <c r="E869" s="44" t="s">
        <v>232</v>
      </c>
      <c r="F869" s="44">
        <v>53.5</v>
      </c>
      <c r="G869" s="44">
        <v>7.31</v>
      </c>
      <c r="H869" s="44">
        <v>2</v>
      </c>
      <c r="I869" s="44">
        <v>0</v>
      </c>
      <c r="J869" s="44">
        <v>0</v>
      </c>
      <c r="K869" s="44">
        <v>0</v>
      </c>
      <c r="L869" s="44">
        <v>0</v>
      </c>
      <c r="M869" s="44">
        <v>0</v>
      </c>
      <c r="N869" s="44">
        <v>3</v>
      </c>
      <c r="O869" s="44">
        <v>1</v>
      </c>
      <c r="P869" s="44">
        <v>0</v>
      </c>
      <c r="Q869" s="44">
        <v>5</v>
      </c>
      <c r="R869" s="44">
        <v>0</v>
      </c>
      <c r="S869" s="44">
        <v>0</v>
      </c>
      <c r="T869" s="44">
        <v>0</v>
      </c>
      <c r="U869" s="44">
        <v>0</v>
      </c>
      <c r="V869" s="44">
        <v>1</v>
      </c>
      <c r="W869" s="44">
        <v>2</v>
      </c>
      <c r="X869" s="44">
        <v>0</v>
      </c>
      <c r="Y869" s="44">
        <v>0</v>
      </c>
      <c r="Z869" s="44">
        <v>0</v>
      </c>
      <c r="AA869" s="44">
        <v>0</v>
      </c>
      <c r="AB869" s="44">
        <v>0</v>
      </c>
      <c r="AC869" s="44">
        <v>0</v>
      </c>
      <c r="AD869" s="44">
        <v>0</v>
      </c>
      <c r="AE869" s="44">
        <v>0</v>
      </c>
      <c r="AF869" s="44">
        <v>0</v>
      </c>
      <c r="AG869" s="44">
        <v>0</v>
      </c>
      <c r="AH869" s="44">
        <v>0</v>
      </c>
      <c r="AI869" s="44">
        <v>0</v>
      </c>
      <c r="AJ869" s="44">
        <v>2</v>
      </c>
      <c r="AK869" s="44">
        <v>0</v>
      </c>
      <c r="AL869" s="44">
        <v>0</v>
      </c>
      <c r="AM869" s="44">
        <v>0</v>
      </c>
      <c r="AN869" s="44">
        <v>0</v>
      </c>
      <c r="AO869" s="44">
        <v>0</v>
      </c>
      <c r="AP869" s="44">
        <v>0</v>
      </c>
      <c r="AQ869" s="44">
        <v>0</v>
      </c>
      <c r="AR869" s="44">
        <v>2</v>
      </c>
      <c r="AS869" s="44">
        <v>0</v>
      </c>
      <c r="AT869" s="44">
        <v>0</v>
      </c>
      <c r="AU869" s="44">
        <v>0</v>
      </c>
      <c r="AV869" s="44">
        <v>0</v>
      </c>
      <c r="AW869" s="44">
        <v>0</v>
      </c>
      <c r="AX869" s="44">
        <v>0</v>
      </c>
      <c r="AY869" s="44">
        <v>0</v>
      </c>
      <c r="AZ869" s="44">
        <v>0</v>
      </c>
      <c r="BA869" s="44">
        <v>0</v>
      </c>
      <c r="BB869" s="44">
        <v>0</v>
      </c>
      <c r="BC869" s="44">
        <v>0</v>
      </c>
      <c r="BD869" s="44">
        <v>0</v>
      </c>
      <c r="BE869" s="44">
        <v>0</v>
      </c>
      <c r="BF869" s="44">
        <v>0</v>
      </c>
      <c r="BG869" s="44">
        <v>2</v>
      </c>
      <c r="BH869" s="44">
        <v>0</v>
      </c>
      <c r="BI869" s="44">
        <v>0</v>
      </c>
      <c r="BJ869" s="44">
        <v>0</v>
      </c>
      <c r="BK869" s="44">
        <v>0</v>
      </c>
      <c r="BL869" s="44">
        <v>0</v>
      </c>
      <c r="BM869" s="44">
        <v>0</v>
      </c>
      <c r="BN869" s="44">
        <v>0</v>
      </c>
      <c r="BO869" s="44">
        <v>0</v>
      </c>
      <c r="BP869" s="44">
        <v>2</v>
      </c>
      <c r="BQ869" s="44">
        <v>0</v>
      </c>
      <c r="BR869" s="44">
        <v>0</v>
      </c>
      <c r="BS869" s="44">
        <v>0</v>
      </c>
      <c r="BT869" s="44">
        <v>0</v>
      </c>
      <c r="BU869" s="44">
        <v>0</v>
      </c>
      <c r="BV869" s="44">
        <v>0</v>
      </c>
      <c r="BW869" s="44">
        <v>0</v>
      </c>
      <c r="BX869" s="44">
        <v>0</v>
      </c>
      <c r="BY869" s="44">
        <v>0</v>
      </c>
      <c r="BZ869" s="44">
        <v>0</v>
      </c>
      <c r="CA869" s="44">
        <v>0</v>
      </c>
      <c r="CB869" s="44">
        <v>0</v>
      </c>
      <c r="CC869" s="44">
        <v>0</v>
      </c>
      <c r="CD869" s="44">
        <v>0</v>
      </c>
      <c r="CE869" s="44">
        <v>0</v>
      </c>
      <c r="CF869" s="44">
        <v>0</v>
      </c>
      <c r="CG869" s="44">
        <v>0</v>
      </c>
      <c r="CH869" s="44">
        <v>0</v>
      </c>
      <c r="CI869" s="44">
        <v>0</v>
      </c>
      <c r="CJ869" s="44">
        <v>0</v>
      </c>
      <c r="CK869" s="44">
        <v>0</v>
      </c>
      <c r="CL869" s="44">
        <v>0</v>
      </c>
      <c r="CM869" s="44">
        <v>0</v>
      </c>
      <c r="CN869" s="44">
        <v>0</v>
      </c>
      <c r="CO869" s="44">
        <v>0</v>
      </c>
      <c r="CP869" s="44">
        <v>0</v>
      </c>
      <c r="CQ869" s="44">
        <v>0</v>
      </c>
      <c r="CR869" s="44">
        <v>0</v>
      </c>
      <c r="CS869" s="44">
        <v>0</v>
      </c>
      <c r="CT869" s="44">
        <v>0</v>
      </c>
      <c r="CU869" s="44">
        <v>0</v>
      </c>
      <c r="CV869" s="44">
        <v>0</v>
      </c>
      <c r="CW869" s="44">
        <v>0</v>
      </c>
      <c r="CX869" s="44">
        <v>0</v>
      </c>
      <c r="CY869" s="44">
        <v>0</v>
      </c>
      <c r="CZ869" s="44">
        <v>0</v>
      </c>
      <c r="DA869" s="44">
        <v>0</v>
      </c>
      <c r="DB869" s="44">
        <v>0</v>
      </c>
      <c r="DC869" s="44">
        <v>0</v>
      </c>
      <c r="DD869" s="44">
        <v>0</v>
      </c>
      <c r="DE869" s="44">
        <v>0</v>
      </c>
      <c r="DF869" s="44">
        <v>0</v>
      </c>
      <c r="DG869" s="16">
        <f t="shared" si="72"/>
        <v>22</v>
      </c>
      <c r="DH869" s="16">
        <f t="shared" si="73"/>
        <v>486</v>
      </c>
      <c r="DI869" s="17">
        <f t="shared" si="74"/>
        <v>22.09090909090909</v>
      </c>
      <c r="DJ869" s="119" t="s">
        <v>4</v>
      </c>
      <c r="DK869" s="119" t="s">
        <v>1530</v>
      </c>
    </row>
    <row r="870" spans="1:115">
      <c r="A870" s="32" t="str">
        <f t="shared" si="75"/>
        <v>Ergon--GROUND OUTDOOR / INDOOR CHAMBER MOUNTED ; &gt; = 22 kV &amp; &lt; = 33 kV ;  &gt; 40 MVA</v>
      </c>
      <c r="B870" s="32" t="str">
        <f t="shared" si="76"/>
        <v>Ergon</v>
      </c>
      <c r="C870" s="387"/>
      <c r="D870" s="44"/>
      <c r="E870" s="44" t="s">
        <v>233</v>
      </c>
      <c r="F870" s="44">
        <v>53.5</v>
      </c>
      <c r="G870" s="44">
        <v>7.31</v>
      </c>
      <c r="H870" s="44">
        <v>2</v>
      </c>
      <c r="I870" s="44">
        <v>0</v>
      </c>
      <c r="J870" s="44">
        <v>0</v>
      </c>
      <c r="K870" s="44">
        <v>0</v>
      </c>
      <c r="L870" s="44">
        <v>1</v>
      </c>
      <c r="M870" s="44">
        <v>1</v>
      </c>
      <c r="N870" s="44">
        <v>4</v>
      </c>
      <c r="O870" s="44">
        <v>0</v>
      </c>
      <c r="P870" s="44">
        <v>0</v>
      </c>
      <c r="Q870" s="44">
        <v>0</v>
      </c>
      <c r="R870" s="44">
        <v>0</v>
      </c>
      <c r="S870" s="44">
        <v>0</v>
      </c>
      <c r="T870" s="44">
        <v>0</v>
      </c>
      <c r="U870" s="44">
        <v>0</v>
      </c>
      <c r="V870" s="44">
        <v>0</v>
      </c>
      <c r="W870" s="44">
        <v>0</v>
      </c>
      <c r="X870" s="44">
        <v>0</v>
      </c>
      <c r="Y870" s="44">
        <v>0</v>
      </c>
      <c r="Z870" s="44">
        <v>0</v>
      </c>
      <c r="AA870" s="44">
        <v>0</v>
      </c>
      <c r="AB870" s="44">
        <v>0</v>
      </c>
      <c r="AC870" s="44">
        <v>0</v>
      </c>
      <c r="AD870" s="44">
        <v>0</v>
      </c>
      <c r="AE870" s="44">
        <v>0</v>
      </c>
      <c r="AF870" s="44">
        <v>0</v>
      </c>
      <c r="AG870" s="44">
        <v>0</v>
      </c>
      <c r="AH870" s="44">
        <v>2</v>
      </c>
      <c r="AI870" s="44">
        <v>0</v>
      </c>
      <c r="AJ870" s="44">
        <v>0</v>
      </c>
      <c r="AK870" s="44">
        <v>0</v>
      </c>
      <c r="AL870" s="44">
        <v>0</v>
      </c>
      <c r="AM870" s="44">
        <v>1</v>
      </c>
      <c r="AN870" s="44">
        <v>0</v>
      </c>
      <c r="AO870" s="44">
        <v>0</v>
      </c>
      <c r="AP870" s="44">
        <v>0</v>
      </c>
      <c r="AQ870" s="44">
        <v>0</v>
      </c>
      <c r="AR870" s="44">
        <v>0</v>
      </c>
      <c r="AS870" s="44">
        <v>0</v>
      </c>
      <c r="AT870" s="44">
        <v>0</v>
      </c>
      <c r="AU870" s="44">
        <v>0</v>
      </c>
      <c r="AV870" s="44">
        <v>0</v>
      </c>
      <c r="AW870" s="44">
        <v>0</v>
      </c>
      <c r="AX870" s="44">
        <v>0</v>
      </c>
      <c r="AY870" s="44">
        <v>0</v>
      </c>
      <c r="AZ870" s="44">
        <v>0</v>
      </c>
      <c r="BA870" s="44">
        <v>0</v>
      </c>
      <c r="BB870" s="44">
        <v>0</v>
      </c>
      <c r="BC870" s="44">
        <v>0</v>
      </c>
      <c r="BD870" s="44">
        <v>0</v>
      </c>
      <c r="BE870" s="44">
        <v>0</v>
      </c>
      <c r="BF870" s="44">
        <v>0</v>
      </c>
      <c r="BG870" s="44">
        <v>0</v>
      </c>
      <c r="BH870" s="44">
        <v>0</v>
      </c>
      <c r="BI870" s="44">
        <v>0</v>
      </c>
      <c r="BJ870" s="44">
        <v>0</v>
      </c>
      <c r="BK870" s="44">
        <v>0</v>
      </c>
      <c r="BL870" s="44">
        <v>0</v>
      </c>
      <c r="BM870" s="44">
        <v>0</v>
      </c>
      <c r="BN870" s="44">
        <v>0</v>
      </c>
      <c r="BO870" s="44">
        <v>0</v>
      </c>
      <c r="BP870" s="44">
        <v>0</v>
      </c>
      <c r="BQ870" s="44">
        <v>0</v>
      </c>
      <c r="BR870" s="44">
        <v>0</v>
      </c>
      <c r="BS870" s="44">
        <v>0</v>
      </c>
      <c r="BT870" s="44">
        <v>0</v>
      </c>
      <c r="BU870" s="44">
        <v>0</v>
      </c>
      <c r="BV870" s="44">
        <v>0</v>
      </c>
      <c r="BW870" s="44">
        <v>0</v>
      </c>
      <c r="BX870" s="44">
        <v>0</v>
      </c>
      <c r="BY870" s="44">
        <v>0</v>
      </c>
      <c r="BZ870" s="44">
        <v>0</v>
      </c>
      <c r="CA870" s="44">
        <v>0</v>
      </c>
      <c r="CB870" s="44">
        <v>0</v>
      </c>
      <c r="CC870" s="44">
        <v>0</v>
      </c>
      <c r="CD870" s="44">
        <v>0</v>
      </c>
      <c r="CE870" s="44">
        <v>0</v>
      </c>
      <c r="CF870" s="44">
        <v>0</v>
      </c>
      <c r="CG870" s="44">
        <v>0</v>
      </c>
      <c r="CH870" s="44">
        <v>0</v>
      </c>
      <c r="CI870" s="44">
        <v>0</v>
      </c>
      <c r="CJ870" s="44">
        <v>0</v>
      </c>
      <c r="CK870" s="44">
        <v>0</v>
      </c>
      <c r="CL870" s="44">
        <v>0</v>
      </c>
      <c r="CM870" s="44">
        <v>0</v>
      </c>
      <c r="CN870" s="44">
        <v>0</v>
      </c>
      <c r="CO870" s="44">
        <v>0</v>
      </c>
      <c r="CP870" s="44">
        <v>0</v>
      </c>
      <c r="CQ870" s="44">
        <v>0</v>
      </c>
      <c r="CR870" s="44">
        <v>0</v>
      </c>
      <c r="CS870" s="44">
        <v>0</v>
      </c>
      <c r="CT870" s="44">
        <v>0</v>
      </c>
      <c r="CU870" s="44">
        <v>0</v>
      </c>
      <c r="CV870" s="44">
        <v>0</v>
      </c>
      <c r="CW870" s="44">
        <v>0</v>
      </c>
      <c r="CX870" s="44">
        <v>0</v>
      </c>
      <c r="CY870" s="44">
        <v>0</v>
      </c>
      <c r="CZ870" s="44">
        <v>0</v>
      </c>
      <c r="DA870" s="44">
        <v>0</v>
      </c>
      <c r="DB870" s="44">
        <v>0</v>
      </c>
      <c r="DC870" s="44">
        <v>0</v>
      </c>
      <c r="DD870" s="44">
        <v>0</v>
      </c>
      <c r="DE870" s="44">
        <v>0</v>
      </c>
      <c r="DF870" s="44">
        <v>0</v>
      </c>
      <c r="DG870" s="16">
        <f t="shared" si="72"/>
        <v>11</v>
      </c>
      <c r="DH870" s="16">
        <f t="shared" si="73"/>
        <v>127</v>
      </c>
      <c r="DI870" s="17">
        <f t="shared" si="74"/>
        <v>11.545454545454545</v>
      </c>
      <c r="DJ870" s="119" t="s">
        <v>4</v>
      </c>
      <c r="DK870" s="119" t="s">
        <v>1530</v>
      </c>
    </row>
    <row r="871" spans="1:115">
      <c r="A871" s="32" t="str">
        <f t="shared" si="75"/>
        <v>Ergon--GROUND OUTDOOR / INDOOR CHAMBER MOUNTED ; &gt; 33 kV &amp; &lt; = 66 kV ;  &lt; = 15 MVA</v>
      </c>
      <c r="B871" s="32" t="str">
        <f t="shared" si="76"/>
        <v>Ergon</v>
      </c>
      <c r="C871" s="387"/>
      <c r="D871" s="44"/>
      <c r="E871" s="44" t="s">
        <v>234</v>
      </c>
      <c r="F871" s="44">
        <v>53.5</v>
      </c>
      <c r="G871" s="44">
        <v>7.31</v>
      </c>
      <c r="H871" s="44">
        <v>1</v>
      </c>
      <c r="I871" s="44">
        <v>1</v>
      </c>
      <c r="J871" s="44">
        <v>3</v>
      </c>
      <c r="K871" s="44">
        <v>1</v>
      </c>
      <c r="L871" s="44">
        <v>6</v>
      </c>
      <c r="M871" s="44">
        <v>2</v>
      </c>
      <c r="N871" s="44">
        <v>7</v>
      </c>
      <c r="O871" s="44">
        <v>7</v>
      </c>
      <c r="P871" s="44">
        <v>1</v>
      </c>
      <c r="Q871" s="44">
        <v>2</v>
      </c>
      <c r="R871" s="44">
        <v>2</v>
      </c>
      <c r="S871" s="44">
        <v>2</v>
      </c>
      <c r="T871" s="44">
        <v>5</v>
      </c>
      <c r="U871" s="44">
        <v>9</v>
      </c>
      <c r="V871" s="44">
        <v>5</v>
      </c>
      <c r="W871" s="44">
        <v>5</v>
      </c>
      <c r="X871" s="44">
        <v>7</v>
      </c>
      <c r="Y871" s="44">
        <v>4</v>
      </c>
      <c r="Z871" s="44">
        <v>2</v>
      </c>
      <c r="AA871" s="44">
        <v>2</v>
      </c>
      <c r="AB871" s="44">
        <v>1</v>
      </c>
      <c r="AC871" s="44">
        <v>5</v>
      </c>
      <c r="AD871" s="44">
        <v>11</v>
      </c>
      <c r="AE871" s="44">
        <v>5</v>
      </c>
      <c r="AF871" s="44">
        <v>2</v>
      </c>
      <c r="AG871" s="44">
        <v>3</v>
      </c>
      <c r="AH871" s="44">
        <v>8</v>
      </c>
      <c r="AI871" s="44">
        <v>10</v>
      </c>
      <c r="AJ871" s="44">
        <v>7</v>
      </c>
      <c r="AK871" s="44">
        <v>5</v>
      </c>
      <c r="AL871" s="44">
        <v>9</v>
      </c>
      <c r="AM871" s="44">
        <v>4</v>
      </c>
      <c r="AN871" s="44">
        <v>6</v>
      </c>
      <c r="AO871" s="44">
        <v>11</v>
      </c>
      <c r="AP871" s="44">
        <v>3</v>
      </c>
      <c r="AQ871" s="44">
        <v>0</v>
      </c>
      <c r="AR871" s="44">
        <v>4</v>
      </c>
      <c r="AS871" s="44">
        <v>6</v>
      </c>
      <c r="AT871" s="44">
        <v>4</v>
      </c>
      <c r="AU871" s="44">
        <v>1</v>
      </c>
      <c r="AV871" s="44">
        <v>1</v>
      </c>
      <c r="AW871" s="44">
        <v>5</v>
      </c>
      <c r="AX871" s="44">
        <v>3</v>
      </c>
      <c r="AY871" s="44">
        <v>1</v>
      </c>
      <c r="AZ871" s="44">
        <v>1</v>
      </c>
      <c r="BA871" s="44">
        <v>1</v>
      </c>
      <c r="BB871" s="44">
        <v>3</v>
      </c>
      <c r="BC871" s="44">
        <v>2</v>
      </c>
      <c r="BD871" s="44">
        <v>3</v>
      </c>
      <c r="BE871" s="44">
        <v>7</v>
      </c>
      <c r="BF871" s="44">
        <v>1</v>
      </c>
      <c r="BG871" s="44">
        <v>1</v>
      </c>
      <c r="BH871" s="44">
        <v>3</v>
      </c>
      <c r="BI871" s="44">
        <v>0</v>
      </c>
      <c r="BJ871" s="44">
        <v>2</v>
      </c>
      <c r="BK871" s="44">
        <v>1</v>
      </c>
      <c r="BL871" s="44">
        <v>2</v>
      </c>
      <c r="BM871" s="44">
        <v>1</v>
      </c>
      <c r="BN871" s="44">
        <v>0</v>
      </c>
      <c r="BO871" s="44">
        <v>1</v>
      </c>
      <c r="BP871" s="44">
        <v>0</v>
      </c>
      <c r="BQ871" s="44">
        <v>4</v>
      </c>
      <c r="BR871" s="44">
        <v>0</v>
      </c>
      <c r="BS871" s="44">
        <v>1</v>
      </c>
      <c r="BT871" s="44">
        <v>0</v>
      </c>
      <c r="BU871" s="44">
        <v>0</v>
      </c>
      <c r="BV871" s="44">
        <v>0</v>
      </c>
      <c r="BW871" s="44">
        <v>4</v>
      </c>
      <c r="BX871" s="44">
        <v>0</v>
      </c>
      <c r="BY871" s="44">
        <v>0</v>
      </c>
      <c r="BZ871" s="44">
        <v>0</v>
      </c>
      <c r="CA871" s="44">
        <v>0</v>
      </c>
      <c r="CB871" s="44">
        <v>0</v>
      </c>
      <c r="CC871" s="44">
        <v>0</v>
      </c>
      <c r="CD871" s="44">
        <v>0</v>
      </c>
      <c r="CE871" s="44">
        <v>0</v>
      </c>
      <c r="CF871" s="44">
        <v>0</v>
      </c>
      <c r="CG871" s="44">
        <v>0</v>
      </c>
      <c r="CH871" s="44">
        <v>0</v>
      </c>
      <c r="CI871" s="44">
        <v>0</v>
      </c>
      <c r="CJ871" s="44">
        <v>0</v>
      </c>
      <c r="CK871" s="44">
        <v>0</v>
      </c>
      <c r="CL871" s="44">
        <v>0</v>
      </c>
      <c r="CM871" s="44">
        <v>0</v>
      </c>
      <c r="CN871" s="44">
        <v>1</v>
      </c>
      <c r="CO871" s="44">
        <v>0</v>
      </c>
      <c r="CP871" s="44">
        <v>0</v>
      </c>
      <c r="CQ871" s="44">
        <v>0</v>
      </c>
      <c r="CR871" s="44">
        <v>0</v>
      </c>
      <c r="CS871" s="44">
        <v>0</v>
      </c>
      <c r="CT871" s="44">
        <v>0</v>
      </c>
      <c r="CU871" s="44">
        <v>0</v>
      </c>
      <c r="CV871" s="44">
        <v>0</v>
      </c>
      <c r="CW871" s="44">
        <v>0</v>
      </c>
      <c r="CX871" s="44">
        <v>0</v>
      </c>
      <c r="CY871" s="44">
        <v>0</v>
      </c>
      <c r="CZ871" s="44">
        <v>0</v>
      </c>
      <c r="DA871" s="44">
        <v>0</v>
      </c>
      <c r="DB871" s="44">
        <v>0</v>
      </c>
      <c r="DC871" s="44">
        <v>0</v>
      </c>
      <c r="DD871" s="44">
        <v>0</v>
      </c>
      <c r="DE871" s="44">
        <v>0</v>
      </c>
      <c r="DF871" s="44">
        <v>0</v>
      </c>
      <c r="DG871" s="16">
        <f t="shared" si="72"/>
        <v>228</v>
      </c>
      <c r="DH871" s="16">
        <f t="shared" si="73"/>
        <v>6568</v>
      </c>
      <c r="DI871" s="17">
        <f t="shared" si="74"/>
        <v>28.807017543859651</v>
      </c>
      <c r="DJ871" s="119" t="s">
        <v>4</v>
      </c>
      <c r="DK871" s="119" t="s">
        <v>1530</v>
      </c>
    </row>
    <row r="872" spans="1:115">
      <c r="A872" s="32" t="str">
        <f t="shared" si="75"/>
        <v>Ergon--GROUND OUTDOOR / INDOOR CHAMBER MOUNTED ; &gt; 33 kV &amp; &lt; = 66 kV ;  &gt; 15 MVA AND &lt; = 40 MVA</v>
      </c>
      <c r="B872" s="32" t="str">
        <f t="shared" si="76"/>
        <v>Ergon</v>
      </c>
      <c r="C872" s="387"/>
      <c r="D872" s="44"/>
      <c r="E872" s="44" t="s">
        <v>235</v>
      </c>
      <c r="F872" s="44">
        <v>53.5</v>
      </c>
      <c r="G872" s="44">
        <v>7.31</v>
      </c>
      <c r="H872" s="44">
        <v>1</v>
      </c>
      <c r="I872" s="44">
        <v>0</v>
      </c>
      <c r="J872" s="44">
        <v>0</v>
      </c>
      <c r="K872" s="44">
        <v>1</v>
      </c>
      <c r="L872" s="44">
        <v>2</v>
      </c>
      <c r="M872" s="44">
        <v>10</v>
      </c>
      <c r="N872" s="44">
        <v>7</v>
      </c>
      <c r="O872" s="44">
        <v>3</v>
      </c>
      <c r="P872" s="44">
        <v>8</v>
      </c>
      <c r="Q872" s="44">
        <v>2</v>
      </c>
      <c r="R872" s="44">
        <v>0</v>
      </c>
      <c r="S872" s="44">
        <v>6</v>
      </c>
      <c r="T872" s="44">
        <v>2</v>
      </c>
      <c r="U872" s="44">
        <v>3</v>
      </c>
      <c r="V872" s="44">
        <v>0</v>
      </c>
      <c r="W872" s="44">
        <v>1</v>
      </c>
      <c r="X872" s="44">
        <v>2</v>
      </c>
      <c r="Y872" s="44">
        <v>6</v>
      </c>
      <c r="Z872" s="44">
        <v>0</v>
      </c>
      <c r="AA872" s="44">
        <v>1</v>
      </c>
      <c r="AB872" s="44">
        <v>1</v>
      </c>
      <c r="AC872" s="44">
        <v>2</v>
      </c>
      <c r="AD872" s="44">
        <v>1</v>
      </c>
      <c r="AE872" s="44">
        <v>1</v>
      </c>
      <c r="AF872" s="44">
        <v>0</v>
      </c>
      <c r="AG872" s="44">
        <v>0</v>
      </c>
      <c r="AH872" s="44">
        <v>2</v>
      </c>
      <c r="AI872" s="44">
        <v>5</v>
      </c>
      <c r="AJ872" s="44">
        <v>1</v>
      </c>
      <c r="AK872" s="44">
        <v>4</v>
      </c>
      <c r="AL872" s="44">
        <v>4</v>
      </c>
      <c r="AM872" s="44">
        <v>2</v>
      </c>
      <c r="AN872" s="44">
        <v>5</v>
      </c>
      <c r="AO872" s="44">
        <v>1</v>
      </c>
      <c r="AP872" s="44">
        <v>6</v>
      </c>
      <c r="AQ872" s="44">
        <v>2</v>
      </c>
      <c r="AR872" s="44">
        <v>2</v>
      </c>
      <c r="AS872" s="44">
        <v>0</v>
      </c>
      <c r="AT872" s="44">
        <v>2</v>
      </c>
      <c r="AU872" s="44">
        <v>0</v>
      </c>
      <c r="AV872" s="44">
        <v>0</v>
      </c>
      <c r="AW872" s="44">
        <v>2</v>
      </c>
      <c r="AX872" s="44">
        <v>0</v>
      </c>
      <c r="AY872" s="44">
        <v>0</v>
      </c>
      <c r="AZ872" s="44">
        <v>0</v>
      </c>
      <c r="BA872" s="44">
        <v>2</v>
      </c>
      <c r="BB872" s="44">
        <v>0</v>
      </c>
      <c r="BC872" s="44">
        <v>0</v>
      </c>
      <c r="BD872" s="44">
        <v>1</v>
      </c>
      <c r="BE872" s="44">
        <v>0</v>
      </c>
      <c r="BF872" s="44">
        <v>0</v>
      </c>
      <c r="BG872" s="44">
        <v>1</v>
      </c>
      <c r="BH872" s="44">
        <v>0</v>
      </c>
      <c r="BI872" s="44">
        <v>0</v>
      </c>
      <c r="BJ872" s="44">
        <v>0</v>
      </c>
      <c r="BK872" s="44">
        <v>0</v>
      </c>
      <c r="BL872" s="44">
        <v>0</v>
      </c>
      <c r="BM872" s="44">
        <v>0</v>
      </c>
      <c r="BN872" s="44">
        <v>0</v>
      </c>
      <c r="BO872" s="44">
        <v>0</v>
      </c>
      <c r="BP872" s="44">
        <v>0</v>
      </c>
      <c r="BQ872" s="44">
        <v>0</v>
      </c>
      <c r="BR872" s="44">
        <v>0</v>
      </c>
      <c r="BS872" s="44">
        <v>0</v>
      </c>
      <c r="BT872" s="44">
        <v>0</v>
      </c>
      <c r="BU872" s="44">
        <v>0</v>
      </c>
      <c r="BV872" s="44">
        <v>0</v>
      </c>
      <c r="BW872" s="44">
        <v>0</v>
      </c>
      <c r="BX872" s="44">
        <v>0</v>
      </c>
      <c r="BY872" s="44">
        <v>0</v>
      </c>
      <c r="BZ872" s="44">
        <v>0</v>
      </c>
      <c r="CA872" s="44">
        <v>0</v>
      </c>
      <c r="CB872" s="44">
        <v>0</v>
      </c>
      <c r="CC872" s="44">
        <v>0</v>
      </c>
      <c r="CD872" s="44">
        <v>0</v>
      </c>
      <c r="CE872" s="44">
        <v>0</v>
      </c>
      <c r="CF872" s="44">
        <v>0</v>
      </c>
      <c r="CG872" s="44">
        <v>0</v>
      </c>
      <c r="CH872" s="44">
        <v>0</v>
      </c>
      <c r="CI872" s="44">
        <v>0</v>
      </c>
      <c r="CJ872" s="44">
        <v>0</v>
      </c>
      <c r="CK872" s="44">
        <v>0</v>
      </c>
      <c r="CL872" s="44">
        <v>0</v>
      </c>
      <c r="CM872" s="44">
        <v>0</v>
      </c>
      <c r="CN872" s="44">
        <v>0</v>
      </c>
      <c r="CO872" s="44">
        <v>0</v>
      </c>
      <c r="CP872" s="44">
        <v>0</v>
      </c>
      <c r="CQ872" s="44">
        <v>0</v>
      </c>
      <c r="CR872" s="44">
        <v>0</v>
      </c>
      <c r="CS872" s="44">
        <v>0</v>
      </c>
      <c r="CT872" s="44">
        <v>0</v>
      </c>
      <c r="CU872" s="44">
        <v>0</v>
      </c>
      <c r="CV872" s="44">
        <v>0</v>
      </c>
      <c r="CW872" s="44">
        <v>0</v>
      </c>
      <c r="CX872" s="44">
        <v>0</v>
      </c>
      <c r="CY872" s="44">
        <v>0</v>
      </c>
      <c r="CZ872" s="44">
        <v>0</v>
      </c>
      <c r="DA872" s="44">
        <v>0</v>
      </c>
      <c r="DB872" s="44">
        <v>0</v>
      </c>
      <c r="DC872" s="44">
        <v>0</v>
      </c>
      <c r="DD872" s="44">
        <v>0</v>
      </c>
      <c r="DE872" s="44">
        <v>0</v>
      </c>
      <c r="DF872" s="44">
        <v>0</v>
      </c>
      <c r="DG872" s="16">
        <f t="shared" si="72"/>
        <v>102</v>
      </c>
      <c r="DH872" s="16">
        <f t="shared" si="73"/>
        <v>2111</v>
      </c>
      <c r="DI872" s="17">
        <f t="shared" si="74"/>
        <v>20.696078431372548</v>
      </c>
      <c r="DJ872" s="119" t="s">
        <v>4</v>
      </c>
      <c r="DK872" s="119" t="s">
        <v>1530</v>
      </c>
    </row>
    <row r="873" spans="1:115">
      <c r="A873" s="32" t="str">
        <f t="shared" si="75"/>
        <v>Ergon--GROUND OUTDOOR / INDOOR CHAMBER MOUNTED ; &gt; 33 kV &amp; &lt; = 66 kV ;  &gt; 40 MVA</v>
      </c>
      <c r="B873" s="32" t="str">
        <f t="shared" si="76"/>
        <v>Ergon</v>
      </c>
      <c r="C873" s="387"/>
      <c r="D873" s="44"/>
      <c r="E873" s="44" t="s">
        <v>236</v>
      </c>
      <c r="F873" s="44">
        <v>53.5</v>
      </c>
      <c r="G873" s="44">
        <v>7.31</v>
      </c>
      <c r="H873" s="44">
        <v>2</v>
      </c>
      <c r="I873" s="44">
        <v>2</v>
      </c>
      <c r="J873" s="44">
        <v>0</v>
      </c>
      <c r="K873" s="44">
        <v>1</v>
      </c>
      <c r="L873" s="44">
        <v>0</v>
      </c>
      <c r="M873" s="44">
        <v>0</v>
      </c>
      <c r="N873" s="44">
        <v>2</v>
      </c>
      <c r="O873" s="44">
        <v>0</v>
      </c>
      <c r="P873" s="44">
        <v>0</v>
      </c>
      <c r="Q873" s="44">
        <v>0</v>
      </c>
      <c r="R873" s="44">
        <v>0</v>
      </c>
      <c r="S873" s="44">
        <v>0</v>
      </c>
      <c r="T873" s="44">
        <v>0</v>
      </c>
      <c r="U873" s="44">
        <v>0</v>
      </c>
      <c r="V873" s="44">
        <v>0</v>
      </c>
      <c r="W873" s="44">
        <v>2</v>
      </c>
      <c r="X873" s="44">
        <v>0</v>
      </c>
      <c r="Y873" s="44">
        <v>0</v>
      </c>
      <c r="Z873" s="44">
        <v>0</v>
      </c>
      <c r="AA873" s="44">
        <v>0</v>
      </c>
      <c r="AB873" s="44">
        <v>0</v>
      </c>
      <c r="AC873" s="44">
        <v>0</v>
      </c>
      <c r="AD873" s="44">
        <v>0</v>
      </c>
      <c r="AE873" s="44">
        <v>0</v>
      </c>
      <c r="AF873" s="44">
        <v>0</v>
      </c>
      <c r="AG873" s="44">
        <v>0</v>
      </c>
      <c r="AH873" s="44">
        <v>0</v>
      </c>
      <c r="AI873" s="44">
        <v>0</v>
      </c>
      <c r="AJ873" s="44">
        <v>0</v>
      </c>
      <c r="AK873" s="44">
        <v>0</v>
      </c>
      <c r="AL873" s="44">
        <v>0</v>
      </c>
      <c r="AM873" s="44">
        <v>0</v>
      </c>
      <c r="AN873" s="44">
        <v>0</v>
      </c>
      <c r="AO873" s="44">
        <v>0</v>
      </c>
      <c r="AP873" s="44">
        <v>0</v>
      </c>
      <c r="AQ873" s="44">
        <v>0</v>
      </c>
      <c r="AR873" s="44">
        <v>0</v>
      </c>
      <c r="AS873" s="44">
        <v>0</v>
      </c>
      <c r="AT873" s="44">
        <v>0</v>
      </c>
      <c r="AU873" s="44">
        <v>0</v>
      </c>
      <c r="AV873" s="44">
        <v>0</v>
      </c>
      <c r="AW873" s="44">
        <v>0</v>
      </c>
      <c r="AX873" s="44">
        <v>0</v>
      </c>
      <c r="AY873" s="44">
        <v>0</v>
      </c>
      <c r="AZ873" s="44">
        <v>0</v>
      </c>
      <c r="BA873" s="44">
        <v>0</v>
      </c>
      <c r="BB873" s="44">
        <v>0</v>
      </c>
      <c r="BC873" s="44">
        <v>0</v>
      </c>
      <c r="BD873" s="44">
        <v>0</v>
      </c>
      <c r="BE873" s="44">
        <v>0</v>
      </c>
      <c r="BF873" s="44">
        <v>0</v>
      </c>
      <c r="BG873" s="44">
        <v>0</v>
      </c>
      <c r="BH873" s="44">
        <v>0</v>
      </c>
      <c r="BI873" s="44">
        <v>0</v>
      </c>
      <c r="BJ873" s="44">
        <v>0</v>
      </c>
      <c r="BK873" s="44">
        <v>0</v>
      </c>
      <c r="BL873" s="44">
        <v>0</v>
      </c>
      <c r="BM873" s="44">
        <v>0</v>
      </c>
      <c r="BN873" s="44">
        <v>0</v>
      </c>
      <c r="BO873" s="44">
        <v>0</v>
      </c>
      <c r="BP873" s="44">
        <v>0</v>
      </c>
      <c r="BQ873" s="44">
        <v>0</v>
      </c>
      <c r="BR873" s="44">
        <v>0</v>
      </c>
      <c r="BS873" s="44">
        <v>0</v>
      </c>
      <c r="BT873" s="44">
        <v>0</v>
      </c>
      <c r="BU873" s="44">
        <v>0</v>
      </c>
      <c r="BV873" s="44">
        <v>0</v>
      </c>
      <c r="BW873" s="44">
        <v>0</v>
      </c>
      <c r="BX873" s="44">
        <v>0</v>
      </c>
      <c r="BY873" s="44">
        <v>0</v>
      </c>
      <c r="BZ873" s="44">
        <v>0</v>
      </c>
      <c r="CA873" s="44">
        <v>0</v>
      </c>
      <c r="CB873" s="44">
        <v>0</v>
      </c>
      <c r="CC873" s="44">
        <v>0</v>
      </c>
      <c r="CD873" s="44">
        <v>0</v>
      </c>
      <c r="CE873" s="44">
        <v>0</v>
      </c>
      <c r="CF873" s="44">
        <v>0</v>
      </c>
      <c r="CG873" s="44">
        <v>0</v>
      </c>
      <c r="CH873" s="44">
        <v>0</v>
      </c>
      <c r="CI873" s="44">
        <v>0</v>
      </c>
      <c r="CJ873" s="44">
        <v>0</v>
      </c>
      <c r="CK873" s="44">
        <v>0</v>
      </c>
      <c r="CL873" s="44">
        <v>0</v>
      </c>
      <c r="CM873" s="44">
        <v>0</v>
      </c>
      <c r="CN873" s="44">
        <v>0</v>
      </c>
      <c r="CO873" s="44">
        <v>0</v>
      </c>
      <c r="CP873" s="44">
        <v>0</v>
      </c>
      <c r="CQ873" s="44">
        <v>0</v>
      </c>
      <c r="CR873" s="44">
        <v>0</v>
      </c>
      <c r="CS873" s="44">
        <v>0</v>
      </c>
      <c r="CT873" s="44">
        <v>0</v>
      </c>
      <c r="CU873" s="44">
        <v>0</v>
      </c>
      <c r="CV873" s="44">
        <v>0</v>
      </c>
      <c r="CW873" s="44">
        <v>0</v>
      </c>
      <c r="CX873" s="44">
        <v>0</v>
      </c>
      <c r="CY873" s="44">
        <v>0</v>
      </c>
      <c r="CZ873" s="44">
        <v>0</v>
      </c>
      <c r="DA873" s="44">
        <v>0</v>
      </c>
      <c r="DB873" s="44">
        <v>0</v>
      </c>
      <c r="DC873" s="44">
        <v>0</v>
      </c>
      <c r="DD873" s="44">
        <v>0</v>
      </c>
      <c r="DE873" s="44">
        <v>0</v>
      </c>
      <c r="DF873" s="44">
        <v>0</v>
      </c>
      <c r="DG873" s="16">
        <f t="shared" si="72"/>
        <v>9</v>
      </c>
      <c r="DH873" s="16">
        <f t="shared" si="73"/>
        <v>56</v>
      </c>
      <c r="DI873" s="17">
        <f t="shared" si="74"/>
        <v>6.2222222222222223</v>
      </c>
      <c r="DJ873" s="119" t="s">
        <v>4</v>
      </c>
      <c r="DK873" s="119" t="s">
        <v>1530</v>
      </c>
    </row>
    <row r="874" spans="1:115">
      <c r="A874" s="32" t="str">
        <f t="shared" si="75"/>
        <v>Ergon--GROUND OUTDOOR / INDOOR CHAMBER MOUNTED ; &gt; 66 kV &amp; &lt; = 132 kV ;  &lt; = 100 MVA</v>
      </c>
      <c r="B874" s="32" t="str">
        <f t="shared" si="76"/>
        <v>Ergon</v>
      </c>
      <c r="C874" s="387"/>
      <c r="D874" s="44"/>
      <c r="E874" s="44" t="s">
        <v>237</v>
      </c>
      <c r="F874" s="44">
        <v>53.5</v>
      </c>
      <c r="G874" s="44">
        <v>7.31</v>
      </c>
      <c r="H874" s="44">
        <v>0</v>
      </c>
      <c r="I874" s="44">
        <v>5</v>
      </c>
      <c r="J874" s="44">
        <v>0</v>
      </c>
      <c r="K874" s="44">
        <v>1</v>
      </c>
      <c r="L874" s="44">
        <v>7</v>
      </c>
      <c r="M874" s="44">
        <v>5</v>
      </c>
      <c r="N874" s="44">
        <v>5</v>
      </c>
      <c r="O874" s="44">
        <v>3</v>
      </c>
      <c r="P874" s="44">
        <v>4</v>
      </c>
      <c r="Q874" s="44">
        <v>3</v>
      </c>
      <c r="R874" s="44">
        <v>3</v>
      </c>
      <c r="S874" s="44">
        <v>1</v>
      </c>
      <c r="T874" s="44">
        <v>0</v>
      </c>
      <c r="U874" s="44">
        <v>1</v>
      </c>
      <c r="V874" s="44">
        <v>1</v>
      </c>
      <c r="W874" s="44">
        <v>2</v>
      </c>
      <c r="X874" s="44">
        <v>1</v>
      </c>
      <c r="Y874" s="44">
        <v>0</v>
      </c>
      <c r="Z874" s="44">
        <v>1</v>
      </c>
      <c r="AA874" s="44">
        <v>0</v>
      </c>
      <c r="AB874" s="44">
        <v>1</v>
      </c>
      <c r="AC874" s="44">
        <v>1</v>
      </c>
      <c r="AD874" s="44">
        <v>3</v>
      </c>
      <c r="AE874" s="44">
        <v>0</v>
      </c>
      <c r="AF874" s="44">
        <v>2</v>
      </c>
      <c r="AG874" s="44">
        <v>0</v>
      </c>
      <c r="AH874" s="44">
        <v>0</v>
      </c>
      <c r="AI874" s="44">
        <v>0</v>
      </c>
      <c r="AJ874" s="44">
        <v>2</v>
      </c>
      <c r="AK874" s="44">
        <v>2</v>
      </c>
      <c r="AL874" s="44">
        <v>1</v>
      </c>
      <c r="AM874" s="44">
        <v>0</v>
      </c>
      <c r="AN874" s="44">
        <v>1</v>
      </c>
      <c r="AO874" s="44">
        <v>0</v>
      </c>
      <c r="AP874" s="44">
        <v>0</v>
      </c>
      <c r="AQ874" s="44">
        <v>0</v>
      </c>
      <c r="AR874" s="44">
        <v>0</v>
      </c>
      <c r="AS874" s="44">
        <v>0</v>
      </c>
      <c r="AT874" s="44">
        <v>0</v>
      </c>
      <c r="AU874" s="44">
        <v>0</v>
      </c>
      <c r="AV874" s="44">
        <v>0</v>
      </c>
      <c r="AW874" s="44">
        <v>1</v>
      </c>
      <c r="AX874" s="44">
        <v>2</v>
      </c>
      <c r="AY874" s="44">
        <v>1</v>
      </c>
      <c r="AZ874" s="44">
        <v>1</v>
      </c>
      <c r="BA874" s="44">
        <v>0</v>
      </c>
      <c r="BB874" s="44">
        <v>3</v>
      </c>
      <c r="BC874" s="44">
        <v>0</v>
      </c>
      <c r="BD874" s="44">
        <v>3</v>
      </c>
      <c r="BE874" s="44">
        <v>0</v>
      </c>
      <c r="BF874" s="44">
        <v>0</v>
      </c>
      <c r="BG874" s="44">
        <v>1</v>
      </c>
      <c r="BH874" s="44">
        <v>0</v>
      </c>
      <c r="BI874" s="44">
        <v>0</v>
      </c>
      <c r="BJ874" s="44">
        <v>0</v>
      </c>
      <c r="BK874" s="44">
        <v>0</v>
      </c>
      <c r="BL874" s="44">
        <v>1</v>
      </c>
      <c r="BM874" s="44">
        <v>0</v>
      </c>
      <c r="BN874" s="44">
        <v>0</v>
      </c>
      <c r="BO874" s="44">
        <v>0</v>
      </c>
      <c r="BP874" s="44">
        <v>4</v>
      </c>
      <c r="BQ874" s="44">
        <v>0</v>
      </c>
      <c r="BR874" s="44">
        <v>0</v>
      </c>
      <c r="BS874" s="44">
        <v>0</v>
      </c>
      <c r="BT874" s="44">
        <v>0</v>
      </c>
      <c r="BU874" s="44">
        <v>0</v>
      </c>
      <c r="BV874" s="44">
        <v>0</v>
      </c>
      <c r="BW874" s="44">
        <v>0</v>
      </c>
      <c r="BX874" s="44">
        <v>0</v>
      </c>
      <c r="BY874" s="44">
        <v>0</v>
      </c>
      <c r="BZ874" s="44">
        <v>0</v>
      </c>
      <c r="CA874" s="44">
        <v>0</v>
      </c>
      <c r="CB874" s="44">
        <v>0</v>
      </c>
      <c r="CC874" s="44">
        <v>0</v>
      </c>
      <c r="CD874" s="44">
        <v>0</v>
      </c>
      <c r="CE874" s="44">
        <v>0</v>
      </c>
      <c r="CF874" s="44">
        <v>0</v>
      </c>
      <c r="CG874" s="44">
        <v>0</v>
      </c>
      <c r="CH874" s="44">
        <v>0</v>
      </c>
      <c r="CI874" s="44">
        <v>0</v>
      </c>
      <c r="CJ874" s="44">
        <v>0</v>
      </c>
      <c r="CK874" s="44">
        <v>0</v>
      </c>
      <c r="CL874" s="44">
        <v>0</v>
      </c>
      <c r="CM874" s="44">
        <v>0</v>
      </c>
      <c r="CN874" s="44">
        <v>0</v>
      </c>
      <c r="CO874" s="44">
        <v>0</v>
      </c>
      <c r="CP874" s="44">
        <v>0</v>
      </c>
      <c r="CQ874" s="44">
        <v>0</v>
      </c>
      <c r="CR874" s="44">
        <v>0</v>
      </c>
      <c r="CS874" s="44">
        <v>0</v>
      </c>
      <c r="CT874" s="44">
        <v>0</v>
      </c>
      <c r="CU874" s="44">
        <v>0</v>
      </c>
      <c r="CV874" s="44">
        <v>0</v>
      </c>
      <c r="CW874" s="44">
        <v>0</v>
      </c>
      <c r="CX874" s="44">
        <v>0</v>
      </c>
      <c r="CY874" s="44">
        <v>0</v>
      </c>
      <c r="CZ874" s="44">
        <v>0</v>
      </c>
      <c r="DA874" s="44">
        <v>0</v>
      </c>
      <c r="DB874" s="44">
        <v>0</v>
      </c>
      <c r="DC874" s="44">
        <v>0</v>
      </c>
      <c r="DD874" s="44">
        <v>0</v>
      </c>
      <c r="DE874" s="44">
        <v>0</v>
      </c>
      <c r="DF874" s="44">
        <v>0</v>
      </c>
      <c r="DG874" s="16">
        <f t="shared" si="72"/>
        <v>73</v>
      </c>
      <c r="DH874" s="16">
        <f t="shared" si="73"/>
        <v>1548</v>
      </c>
      <c r="DI874" s="17">
        <f t="shared" si="74"/>
        <v>21.205479452054796</v>
      </c>
      <c r="DJ874" s="119" t="s">
        <v>4</v>
      </c>
      <c r="DK874" s="119" t="s">
        <v>1530</v>
      </c>
    </row>
    <row r="875" spans="1:115">
      <c r="A875" s="32" t="str">
        <f t="shared" si="75"/>
        <v>Ergon--GROUND OUTDOOR / INDOOR CHAMBER MOUNTED ; &gt; 66 kV &amp; &lt; = 132 kV ;  &gt; 100 MVA</v>
      </c>
      <c r="B875" s="32" t="str">
        <f t="shared" si="76"/>
        <v>Ergon</v>
      </c>
      <c r="C875" s="387"/>
      <c r="D875" s="44"/>
      <c r="E875" s="44" t="s">
        <v>238</v>
      </c>
      <c r="F875" s="44">
        <v>53.5</v>
      </c>
      <c r="G875" s="44">
        <v>7.31</v>
      </c>
      <c r="H875" s="44">
        <v>0</v>
      </c>
      <c r="I875" s="44">
        <v>0</v>
      </c>
      <c r="J875" s="44">
        <v>0</v>
      </c>
      <c r="K875" s="44">
        <v>14</v>
      </c>
      <c r="L875" s="44">
        <v>0</v>
      </c>
      <c r="M875" s="44">
        <v>0</v>
      </c>
      <c r="N875" s="44">
        <v>1</v>
      </c>
      <c r="O875" s="44">
        <v>0</v>
      </c>
      <c r="P875" s="44">
        <v>0</v>
      </c>
      <c r="Q875" s="44">
        <v>0</v>
      </c>
      <c r="R875" s="44">
        <v>0</v>
      </c>
      <c r="S875" s="44">
        <v>0</v>
      </c>
      <c r="T875" s="44">
        <v>1</v>
      </c>
      <c r="U875" s="44">
        <v>0</v>
      </c>
      <c r="V875" s="44">
        <v>0</v>
      </c>
      <c r="W875" s="44">
        <v>0</v>
      </c>
      <c r="X875" s="44">
        <v>0</v>
      </c>
      <c r="Y875" s="44">
        <v>0</v>
      </c>
      <c r="Z875" s="44">
        <v>1</v>
      </c>
      <c r="AA875" s="44">
        <v>0</v>
      </c>
      <c r="AB875" s="44">
        <v>0</v>
      </c>
      <c r="AC875" s="44">
        <v>0</v>
      </c>
      <c r="AD875" s="44">
        <v>0</v>
      </c>
      <c r="AE875" s="44">
        <v>0</v>
      </c>
      <c r="AF875" s="44">
        <v>0</v>
      </c>
      <c r="AG875" s="44">
        <v>0</v>
      </c>
      <c r="AH875" s="44">
        <v>0</v>
      </c>
      <c r="AI875" s="44">
        <v>0</v>
      </c>
      <c r="AJ875" s="44">
        <v>0</v>
      </c>
      <c r="AK875" s="44">
        <v>0</v>
      </c>
      <c r="AL875" s="44">
        <v>0</v>
      </c>
      <c r="AM875" s="44">
        <v>0</v>
      </c>
      <c r="AN875" s="44">
        <v>0</v>
      </c>
      <c r="AO875" s="44">
        <v>0</v>
      </c>
      <c r="AP875" s="44">
        <v>0</v>
      </c>
      <c r="AQ875" s="44">
        <v>0</v>
      </c>
      <c r="AR875" s="44">
        <v>0</v>
      </c>
      <c r="AS875" s="44">
        <v>0</v>
      </c>
      <c r="AT875" s="44">
        <v>0</v>
      </c>
      <c r="AU875" s="44">
        <v>0</v>
      </c>
      <c r="AV875" s="44">
        <v>0</v>
      </c>
      <c r="AW875" s="44">
        <v>0</v>
      </c>
      <c r="AX875" s="44">
        <v>0</v>
      </c>
      <c r="AY875" s="44">
        <v>0</v>
      </c>
      <c r="AZ875" s="44">
        <v>0</v>
      </c>
      <c r="BA875" s="44">
        <v>0</v>
      </c>
      <c r="BB875" s="44">
        <v>0</v>
      </c>
      <c r="BC875" s="44">
        <v>0</v>
      </c>
      <c r="BD875" s="44">
        <v>0</v>
      </c>
      <c r="BE875" s="44">
        <v>0</v>
      </c>
      <c r="BF875" s="44">
        <v>0</v>
      </c>
      <c r="BG875" s="44">
        <v>0</v>
      </c>
      <c r="BH875" s="44">
        <v>0</v>
      </c>
      <c r="BI875" s="44">
        <v>0</v>
      </c>
      <c r="BJ875" s="44">
        <v>0</v>
      </c>
      <c r="BK875" s="44">
        <v>0</v>
      </c>
      <c r="BL875" s="44">
        <v>0</v>
      </c>
      <c r="BM875" s="44">
        <v>0</v>
      </c>
      <c r="BN875" s="44">
        <v>0</v>
      </c>
      <c r="BO875" s="44">
        <v>0</v>
      </c>
      <c r="BP875" s="44">
        <v>0</v>
      </c>
      <c r="BQ875" s="44">
        <v>0</v>
      </c>
      <c r="BR875" s="44">
        <v>0</v>
      </c>
      <c r="BS875" s="44">
        <v>0</v>
      </c>
      <c r="BT875" s="44">
        <v>0</v>
      </c>
      <c r="BU875" s="44">
        <v>0</v>
      </c>
      <c r="BV875" s="44">
        <v>0</v>
      </c>
      <c r="BW875" s="44">
        <v>0</v>
      </c>
      <c r="BX875" s="44">
        <v>0</v>
      </c>
      <c r="BY875" s="44">
        <v>0</v>
      </c>
      <c r="BZ875" s="44">
        <v>0</v>
      </c>
      <c r="CA875" s="44">
        <v>0</v>
      </c>
      <c r="CB875" s="44">
        <v>0</v>
      </c>
      <c r="CC875" s="44">
        <v>0</v>
      </c>
      <c r="CD875" s="44">
        <v>0</v>
      </c>
      <c r="CE875" s="44">
        <v>0</v>
      </c>
      <c r="CF875" s="44">
        <v>0</v>
      </c>
      <c r="CG875" s="44">
        <v>0</v>
      </c>
      <c r="CH875" s="44">
        <v>0</v>
      </c>
      <c r="CI875" s="44">
        <v>0</v>
      </c>
      <c r="CJ875" s="44">
        <v>0</v>
      </c>
      <c r="CK875" s="44">
        <v>0</v>
      </c>
      <c r="CL875" s="44">
        <v>0</v>
      </c>
      <c r="CM875" s="44">
        <v>0</v>
      </c>
      <c r="CN875" s="44">
        <v>0</v>
      </c>
      <c r="CO875" s="44">
        <v>0</v>
      </c>
      <c r="CP875" s="44">
        <v>0</v>
      </c>
      <c r="CQ875" s="44">
        <v>0</v>
      </c>
      <c r="CR875" s="44">
        <v>0</v>
      </c>
      <c r="CS875" s="44">
        <v>0</v>
      </c>
      <c r="CT875" s="44">
        <v>0</v>
      </c>
      <c r="CU875" s="44">
        <v>0</v>
      </c>
      <c r="CV875" s="44">
        <v>0</v>
      </c>
      <c r="CW875" s="44">
        <v>0</v>
      </c>
      <c r="CX875" s="44">
        <v>0</v>
      </c>
      <c r="CY875" s="44">
        <v>0</v>
      </c>
      <c r="CZ875" s="44">
        <v>0</v>
      </c>
      <c r="DA875" s="44">
        <v>0</v>
      </c>
      <c r="DB875" s="44">
        <v>0</v>
      </c>
      <c r="DC875" s="44">
        <v>0</v>
      </c>
      <c r="DD875" s="44">
        <v>0</v>
      </c>
      <c r="DE875" s="44">
        <v>0</v>
      </c>
      <c r="DF875" s="44">
        <v>0</v>
      </c>
      <c r="DG875" s="16">
        <f t="shared" si="72"/>
        <v>17</v>
      </c>
      <c r="DH875" s="16">
        <f t="shared" si="73"/>
        <v>95</v>
      </c>
      <c r="DI875" s="17">
        <f t="shared" si="74"/>
        <v>5.5882352941176467</v>
      </c>
      <c r="DJ875" s="119" t="s">
        <v>4</v>
      </c>
      <c r="DK875" s="119" t="s">
        <v>1530</v>
      </c>
    </row>
    <row r="876" spans="1:115">
      <c r="A876" s="32" t="str">
        <f t="shared" si="75"/>
        <v>Ergon--GROUND OUTDOOR / INDOOR CHAMBER MOUNTED ; &gt; 132 kV ;  &lt; = 100 MVA</v>
      </c>
      <c r="B876" s="32" t="str">
        <f t="shared" si="76"/>
        <v>Ergon</v>
      </c>
      <c r="C876" s="387"/>
      <c r="D876" s="44"/>
      <c r="E876" s="44" t="s">
        <v>239</v>
      </c>
      <c r="F876" s="44">
        <v>53.5</v>
      </c>
      <c r="G876" s="44">
        <v>7.31</v>
      </c>
      <c r="H876" s="44">
        <v>0</v>
      </c>
      <c r="I876" s="44">
        <v>0</v>
      </c>
      <c r="J876" s="44">
        <v>0</v>
      </c>
      <c r="K876" s="44">
        <v>0</v>
      </c>
      <c r="L876" s="44">
        <v>0</v>
      </c>
      <c r="M876" s="44">
        <v>0</v>
      </c>
      <c r="N876" s="44">
        <v>0</v>
      </c>
      <c r="O876" s="44">
        <v>0</v>
      </c>
      <c r="P876" s="44">
        <v>0</v>
      </c>
      <c r="Q876" s="44">
        <v>0</v>
      </c>
      <c r="R876" s="44">
        <v>0</v>
      </c>
      <c r="S876" s="44">
        <v>0</v>
      </c>
      <c r="T876" s="44">
        <v>0</v>
      </c>
      <c r="U876" s="44">
        <v>0</v>
      </c>
      <c r="V876" s="44">
        <v>0</v>
      </c>
      <c r="W876" s="44">
        <v>0</v>
      </c>
      <c r="X876" s="44">
        <v>0</v>
      </c>
      <c r="Y876" s="44">
        <v>0</v>
      </c>
      <c r="Z876" s="44">
        <v>0</v>
      </c>
      <c r="AA876" s="44">
        <v>0</v>
      </c>
      <c r="AB876" s="44">
        <v>0</v>
      </c>
      <c r="AC876" s="44">
        <v>0</v>
      </c>
      <c r="AD876" s="44">
        <v>0</v>
      </c>
      <c r="AE876" s="44">
        <v>0</v>
      </c>
      <c r="AF876" s="44">
        <v>0</v>
      </c>
      <c r="AG876" s="44">
        <v>0</v>
      </c>
      <c r="AH876" s="44">
        <v>0</v>
      </c>
      <c r="AI876" s="44">
        <v>0</v>
      </c>
      <c r="AJ876" s="44">
        <v>0</v>
      </c>
      <c r="AK876" s="44">
        <v>0</v>
      </c>
      <c r="AL876" s="44">
        <v>0</v>
      </c>
      <c r="AM876" s="44">
        <v>0</v>
      </c>
      <c r="AN876" s="44">
        <v>0</v>
      </c>
      <c r="AO876" s="44">
        <v>0</v>
      </c>
      <c r="AP876" s="44">
        <v>0</v>
      </c>
      <c r="AQ876" s="44">
        <v>0</v>
      </c>
      <c r="AR876" s="44">
        <v>0</v>
      </c>
      <c r="AS876" s="44">
        <v>0</v>
      </c>
      <c r="AT876" s="44">
        <v>0</v>
      </c>
      <c r="AU876" s="44">
        <v>0</v>
      </c>
      <c r="AV876" s="44">
        <v>0</v>
      </c>
      <c r="AW876" s="44">
        <v>0</v>
      </c>
      <c r="AX876" s="44">
        <v>0</v>
      </c>
      <c r="AY876" s="44">
        <v>0</v>
      </c>
      <c r="AZ876" s="44">
        <v>0</v>
      </c>
      <c r="BA876" s="44">
        <v>0</v>
      </c>
      <c r="BB876" s="44">
        <v>0</v>
      </c>
      <c r="BC876" s="44">
        <v>0</v>
      </c>
      <c r="BD876" s="44">
        <v>0</v>
      </c>
      <c r="BE876" s="44">
        <v>0</v>
      </c>
      <c r="BF876" s="44">
        <v>0</v>
      </c>
      <c r="BG876" s="44">
        <v>0</v>
      </c>
      <c r="BH876" s="44">
        <v>0</v>
      </c>
      <c r="BI876" s="44">
        <v>0</v>
      </c>
      <c r="BJ876" s="44">
        <v>0</v>
      </c>
      <c r="BK876" s="44">
        <v>0</v>
      </c>
      <c r="BL876" s="44">
        <v>0</v>
      </c>
      <c r="BM876" s="44">
        <v>0</v>
      </c>
      <c r="BN876" s="44">
        <v>0</v>
      </c>
      <c r="BO876" s="44">
        <v>0</v>
      </c>
      <c r="BP876" s="44">
        <v>0</v>
      </c>
      <c r="BQ876" s="44">
        <v>0</v>
      </c>
      <c r="BR876" s="44">
        <v>0</v>
      </c>
      <c r="BS876" s="44">
        <v>0</v>
      </c>
      <c r="BT876" s="44">
        <v>0</v>
      </c>
      <c r="BU876" s="44">
        <v>0</v>
      </c>
      <c r="BV876" s="44">
        <v>0</v>
      </c>
      <c r="BW876" s="44">
        <v>0</v>
      </c>
      <c r="BX876" s="44">
        <v>0</v>
      </c>
      <c r="BY876" s="44">
        <v>0</v>
      </c>
      <c r="BZ876" s="44">
        <v>0</v>
      </c>
      <c r="CA876" s="44">
        <v>0</v>
      </c>
      <c r="CB876" s="44">
        <v>0</v>
      </c>
      <c r="CC876" s="44">
        <v>0</v>
      </c>
      <c r="CD876" s="44">
        <v>0</v>
      </c>
      <c r="CE876" s="44">
        <v>0</v>
      </c>
      <c r="CF876" s="44">
        <v>0</v>
      </c>
      <c r="CG876" s="44">
        <v>0</v>
      </c>
      <c r="CH876" s="44">
        <v>0</v>
      </c>
      <c r="CI876" s="44">
        <v>0</v>
      </c>
      <c r="CJ876" s="44">
        <v>0</v>
      </c>
      <c r="CK876" s="44">
        <v>0</v>
      </c>
      <c r="CL876" s="44">
        <v>0</v>
      </c>
      <c r="CM876" s="44">
        <v>0</v>
      </c>
      <c r="CN876" s="44">
        <v>0</v>
      </c>
      <c r="CO876" s="44">
        <v>0</v>
      </c>
      <c r="CP876" s="44">
        <v>0</v>
      </c>
      <c r="CQ876" s="44">
        <v>0</v>
      </c>
      <c r="CR876" s="44">
        <v>0</v>
      </c>
      <c r="CS876" s="44">
        <v>0</v>
      </c>
      <c r="CT876" s="44">
        <v>0</v>
      </c>
      <c r="CU876" s="44">
        <v>0</v>
      </c>
      <c r="CV876" s="44">
        <v>0</v>
      </c>
      <c r="CW876" s="44">
        <v>0</v>
      </c>
      <c r="CX876" s="44">
        <v>0</v>
      </c>
      <c r="CY876" s="44">
        <v>0</v>
      </c>
      <c r="CZ876" s="44">
        <v>0</v>
      </c>
      <c r="DA876" s="44">
        <v>0</v>
      </c>
      <c r="DB876" s="44">
        <v>0</v>
      </c>
      <c r="DC876" s="44">
        <v>0</v>
      </c>
      <c r="DD876" s="44">
        <v>0</v>
      </c>
      <c r="DE876" s="44">
        <v>0</v>
      </c>
      <c r="DF876" s="44">
        <v>0</v>
      </c>
      <c r="DG876" s="16">
        <f t="shared" si="72"/>
        <v>0</v>
      </c>
      <c r="DH876" s="16">
        <f t="shared" si="73"/>
        <v>0</v>
      </c>
      <c r="DI876" s="17" t="str">
        <f t="shared" si="74"/>
        <v/>
      </c>
      <c r="DJ876" s="119" t="s">
        <v>4</v>
      </c>
      <c r="DK876" s="119" t="s">
        <v>1530</v>
      </c>
    </row>
    <row r="877" spans="1:115">
      <c r="A877" s="32" t="str">
        <f t="shared" si="75"/>
        <v>Ergon--GROUND OUTDOOR / INDOOR CHAMBER MOUNTED ; &gt; 132 kV ;  &gt; 100 MVA</v>
      </c>
      <c r="B877" s="32" t="str">
        <f t="shared" si="76"/>
        <v>Ergon</v>
      </c>
      <c r="C877" s="387"/>
      <c r="D877" s="44"/>
      <c r="E877" s="44" t="s">
        <v>240</v>
      </c>
      <c r="F877" s="44">
        <v>53.5</v>
      </c>
      <c r="G877" s="44">
        <v>7.31</v>
      </c>
      <c r="H877" s="44">
        <v>0</v>
      </c>
      <c r="I877" s="44">
        <v>0</v>
      </c>
      <c r="J877" s="44">
        <v>0</v>
      </c>
      <c r="K877" s="44">
        <v>0</v>
      </c>
      <c r="L877" s="44">
        <v>0</v>
      </c>
      <c r="M877" s="44">
        <v>0</v>
      </c>
      <c r="N877" s="44">
        <v>0</v>
      </c>
      <c r="O877" s="44">
        <v>0</v>
      </c>
      <c r="P877" s="44">
        <v>0</v>
      </c>
      <c r="Q877" s="44">
        <v>0</v>
      </c>
      <c r="R877" s="44">
        <v>0</v>
      </c>
      <c r="S877" s="44">
        <v>0</v>
      </c>
      <c r="T877" s="44">
        <v>0</v>
      </c>
      <c r="U877" s="44">
        <v>0</v>
      </c>
      <c r="V877" s="44">
        <v>0</v>
      </c>
      <c r="W877" s="44">
        <v>0</v>
      </c>
      <c r="X877" s="44">
        <v>0</v>
      </c>
      <c r="Y877" s="44">
        <v>0</v>
      </c>
      <c r="Z877" s="44">
        <v>0</v>
      </c>
      <c r="AA877" s="44">
        <v>0</v>
      </c>
      <c r="AB877" s="44">
        <v>0</v>
      </c>
      <c r="AC877" s="44">
        <v>0</v>
      </c>
      <c r="AD877" s="44">
        <v>0</v>
      </c>
      <c r="AE877" s="44">
        <v>0</v>
      </c>
      <c r="AF877" s="44">
        <v>0</v>
      </c>
      <c r="AG877" s="44">
        <v>0</v>
      </c>
      <c r="AH877" s="44">
        <v>0</v>
      </c>
      <c r="AI877" s="44">
        <v>0</v>
      </c>
      <c r="AJ877" s="44">
        <v>0</v>
      </c>
      <c r="AK877" s="44">
        <v>0</v>
      </c>
      <c r="AL877" s="44">
        <v>0</v>
      </c>
      <c r="AM877" s="44">
        <v>0</v>
      </c>
      <c r="AN877" s="44">
        <v>0</v>
      </c>
      <c r="AO877" s="44">
        <v>0</v>
      </c>
      <c r="AP877" s="44">
        <v>0</v>
      </c>
      <c r="AQ877" s="44">
        <v>0</v>
      </c>
      <c r="AR877" s="44">
        <v>0</v>
      </c>
      <c r="AS877" s="44">
        <v>0</v>
      </c>
      <c r="AT877" s="44">
        <v>0</v>
      </c>
      <c r="AU877" s="44">
        <v>0</v>
      </c>
      <c r="AV877" s="44">
        <v>0</v>
      </c>
      <c r="AW877" s="44">
        <v>0</v>
      </c>
      <c r="AX877" s="44">
        <v>0</v>
      </c>
      <c r="AY877" s="44">
        <v>0</v>
      </c>
      <c r="AZ877" s="44">
        <v>0</v>
      </c>
      <c r="BA877" s="44">
        <v>0</v>
      </c>
      <c r="BB877" s="44">
        <v>0</v>
      </c>
      <c r="BC877" s="44">
        <v>0</v>
      </c>
      <c r="BD877" s="44">
        <v>0</v>
      </c>
      <c r="BE877" s="44">
        <v>0</v>
      </c>
      <c r="BF877" s="44">
        <v>0</v>
      </c>
      <c r="BG877" s="44">
        <v>0</v>
      </c>
      <c r="BH877" s="44">
        <v>0</v>
      </c>
      <c r="BI877" s="44">
        <v>0</v>
      </c>
      <c r="BJ877" s="44">
        <v>0</v>
      </c>
      <c r="BK877" s="44">
        <v>0</v>
      </c>
      <c r="BL877" s="44">
        <v>0</v>
      </c>
      <c r="BM877" s="44">
        <v>0</v>
      </c>
      <c r="BN877" s="44">
        <v>0</v>
      </c>
      <c r="BO877" s="44">
        <v>0</v>
      </c>
      <c r="BP877" s="44">
        <v>0</v>
      </c>
      <c r="BQ877" s="44">
        <v>0</v>
      </c>
      <c r="BR877" s="44">
        <v>0</v>
      </c>
      <c r="BS877" s="44">
        <v>0</v>
      </c>
      <c r="BT877" s="44">
        <v>0</v>
      </c>
      <c r="BU877" s="44">
        <v>0</v>
      </c>
      <c r="BV877" s="44">
        <v>0</v>
      </c>
      <c r="BW877" s="44">
        <v>0</v>
      </c>
      <c r="BX877" s="44">
        <v>0</v>
      </c>
      <c r="BY877" s="44">
        <v>0</v>
      </c>
      <c r="BZ877" s="44">
        <v>0</v>
      </c>
      <c r="CA877" s="44">
        <v>0</v>
      </c>
      <c r="CB877" s="44">
        <v>0</v>
      </c>
      <c r="CC877" s="44">
        <v>0</v>
      </c>
      <c r="CD877" s="44">
        <v>0</v>
      </c>
      <c r="CE877" s="44">
        <v>0</v>
      </c>
      <c r="CF877" s="44">
        <v>0</v>
      </c>
      <c r="CG877" s="44">
        <v>0</v>
      </c>
      <c r="CH877" s="44">
        <v>0</v>
      </c>
      <c r="CI877" s="44">
        <v>0</v>
      </c>
      <c r="CJ877" s="44">
        <v>0</v>
      </c>
      <c r="CK877" s="44">
        <v>0</v>
      </c>
      <c r="CL877" s="44">
        <v>0</v>
      </c>
      <c r="CM877" s="44">
        <v>0</v>
      </c>
      <c r="CN877" s="44">
        <v>0</v>
      </c>
      <c r="CO877" s="44">
        <v>0</v>
      </c>
      <c r="CP877" s="44">
        <v>0</v>
      </c>
      <c r="CQ877" s="44">
        <v>0</v>
      </c>
      <c r="CR877" s="44">
        <v>0</v>
      </c>
      <c r="CS877" s="44">
        <v>0</v>
      </c>
      <c r="CT877" s="44">
        <v>0</v>
      </c>
      <c r="CU877" s="44">
        <v>0</v>
      </c>
      <c r="CV877" s="44">
        <v>0</v>
      </c>
      <c r="CW877" s="44">
        <v>0</v>
      </c>
      <c r="CX877" s="44">
        <v>0</v>
      </c>
      <c r="CY877" s="44">
        <v>0</v>
      </c>
      <c r="CZ877" s="44">
        <v>0</v>
      </c>
      <c r="DA877" s="44">
        <v>0</v>
      </c>
      <c r="DB877" s="44">
        <v>0</v>
      </c>
      <c r="DC877" s="44">
        <v>0</v>
      </c>
      <c r="DD877" s="44">
        <v>0</v>
      </c>
      <c r="DE877" s="44">
        <v>0</v>
      </c>
      <c r="DF877" s="44">
        <v>0</v>
      </c>
      <c r="DG877" s="16">
        <f t="shared" si="72"/>
        <v>0</v>
      </c>
      <c r="DH877" s="16">
        <f t="shared" si="73"/>
        <v>0</v>
      </c>
      <c r="DI877" s="17" t="str">
        <f t="shared" si="74"/>
        <v/>
      </c>
      <c r="DJ877" s="119" t="s">
        <v>4</v>
      </c>
      <c r="DK877" s="119" t="s">
        <v>1530</v>
      </c>
    </row>
    <row r="878" spans="1:115">
      <c r="A878" s="32" t="str">
        <f t="shared" si="75"/>
        <v>Ergon--OTHER - PLEASE ADD A ROW IF NECESSARY AND NOMINATE THE CATEGORY</v>
      </c>
      <c r="B878" s="32" t="str">
        <f t="shared" si="76"/>
        <v>Ergon</v>
      </c>
      <c r="C878" s="387"/>
      <c r="D878" s="44"/>
      <c r="E878" s="44" t="s">
        <v>170</v>
      </c>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c r="BQ878" s="44"/>
      <c r="BR878" s="44"/>
      <c r="BS878" s="44"/>
      <c r="BT878" s="44"/>
      <c r="BU878" s="44"/>
      <c r="BV878" s="44"/>
      <c r="BW878" s="44"/>
      <c r="BX878" s="44"/>
      <c r="BY878" s="44"/>
      <c r="BZ878" s="44"/>
      <c r="CA878" s="44"/>
      <c r="CB878" s="44"/>
      <c r="CC878" s="44"/>
      <c r="CD878" s="44"/>
      <c r="CE878" s="44"/>
      <c r="CF878" s="44"/>
      <c r="CG878" s="44"/>
      <c r="CH878" s="44"/>
      <c r="CI878" s="44"/>
      <c r="CJ878" s="44"/>
      <c r="CK878" s="44"/>
      <c r="CL878" s="44"/>
      <c r="CM878" s="44"/>
      <c r="CN878" s="44"/>
      <c r="CO878" s="44"/>
      <c r="CP878" s="44"/>
      <c r="CQ878" s="44"/>
      <c r="CR878" s="44"/>
      <c r="CS878" s="44"/>
      <c r="CT878" s="44"/>
      <c r="CU878" s="44"/>
      <c r="CV878" s="44"/>
      <c r="CW878" s="44"/>
      <c r="CX878" s="44"/>
      <c r="CY878" s="44"/>
      <c r="CZ878" s="44"/>
      <c r="DA878" s="44"/>
      <c r="DB878" s="44"/>
      <c r="DC878" s="44"/>
      <c r="DD878" s="44"/>
      <c r="DE878" s="44"/>
      <c r="DF878" s="44"/>
      <c r="DG878" s="16">
        <f t="shared" si="72"/>
        <v>0</v>
      </c>
      <c r="DH878" s="16">
        <f t="shared" si="73"/>
        <v>0</v>
      </c>
      <c r="DI878" s="17" t="str">
        <f t="shared" si="74"/>
        <v/>
      </c>
      <c r="DJ878" s="119" t="s">
        <v>4</v>
      </c>
      <c r="DK878" s="44" t="s">
        <v>4</v>
      </c>
    </row>
    <row r="879" spans="1:115" ht="45">
      <c r="A879" s="32" t="str">
        <f t="shared" si="75"/>
        <v>Ergon-SWITCHGEAR BY: 
HIGHEST OPERATING VOLTAGE ; SWITCH FUNCTION-˂ = 11 kV ;  FUSE</v>
      </c>
      <c r="B879" s="32" t="str">
        <f t="shared" si="76"/>
        <v>Ergon</v>
      </c>
      <c r="C879" s="387"/>
      <c r="D879" s="31" t="s">
        <v>545</v>
      </c>
      <c r="E879" s="44" t="s">
        <v>246</v>
      </c>
      <c r="F879" s="44">
        <v>48.6</v>
      </c>
      <c r="G879" s="44">
        <v>6.97</v>
      </c>
      <c r="H879" s="44">
        <v>4568</v>
      </c>
      <c r="I879" s="44">
        <v>4658</v>
      </c>
      <c r="J879" s="44">
        <v>5712</v>
      </c>
      <c r="K879" s="44">
        <v>10028</v>
      </c>
      <c r="L879" s="44">
        <v>10120</v>
      </c>
      <c r="M879" s="44">
        <v>8918</v>
      </c>
      <c r="N879" s="44">
        <v>5982</v>
      </c>
      <c r="O879" s="44">
        <v>5544</v>
      </c>
      <c r="P879" s="44">
        <v>5406</v>
      </c>
      <c r="Q879" s="44">
        <v>4720</v>
      </c>
      <c r="R879" s="44">
        <v>3802</v>
      </c>
      <c r="S879" s="44">
        <v>3932</v>
      </c>
      <c r="T879" s="44">
        <v>3828</v>
      </c>
      <c r="U879" s="44">
        <v>3706</v>
      </c>
      <c r="V879" s="44">
        <v>3560</v>
      </c>
      <c r="W879" s="44">
        <v>3874</v>
      </c>
      <c r="X879" s="44">
        <v>3926</v>
      </c>
      <c r="Y879" s="44">
        <v>4490</v>
      </c>
      <c r="Z879" s="44">
        <v>5014</v>
      </c>
      <c r="AA879" s="44">
        <v>4732</v>
      </c>
      <c r="AB879" s="44">
        <v>3920</v>
      </c>
      <c r="AC879" s="44">
        <v>3972</v>
      </c>
      <c r="AD879" s="44">
        <v>4098</v>
      </c>
      <c r="AE879" s="44">
        <v>4378</v>
      </c>
      <c r="AF879" s="44">
        <v>3988</v>
      </c>
      <c r="AG879" s="44">
        <v>3200</v>
      </c>
      <c r="AH879" s="44">
        <v>3482</v>
      </c>
      <c r="AI879" s="44">
        <v>3730</v>
      </c>
      <c r="AJ879" s="44">
        <v>3908</v>
      </c>
      <c r="AK879" s="44">
        <v>3974</v>
      </c>
      <c r="AL879" s="44">
        <v>3478</v>
      </c>
      <c r="AM879" s="44">
        <v>4626</v>
      </c>
      <c r="AN879" s="44">
        <v>4408</v>
      </c>
      <c r="AO879" s="44">
        <v>3718</v>
      </c>
      <c r="AP879" s="44">
        <v>2352</v>
      </c>
      <c r="AQ879" s="44">
        <v>2364</v>
      </c>
      <c r="AR879" s="44">
        <v>2346</v>
      </c>
      <c r="AS879" s="44">
        <v>1918</v>
      </c>
      <c r="AT879" s="44">
        <v>2072</v>
      </c>
      <c r="AU879" s="44">
        <v>2288</v>
      </c>
      <c r="AV879" s="44">
        <v>1608</v>
      </c>
      <c r="AW879" s="44">
        <v>1866</v>
      </c>
      <c r="AX879" s="44">
        <v>1686</v>
      </c>
      <c r="AY879" s="44">
        <v>1896</v>
      </c>
      <c r="AZ879" s="44">
        <v>1658</v>
      </c>
      <c r="BA879" s="44">
        <v>1538</v>
      </c>
      <c r="BB879" s="44">
        <v>1410</v>
      </c>
      <c r="BC879" s="44">
        <v>1384</v>
      </c>
      <c r="BD879" s="44">
        <v>3000</v>
      </c>
      <c r="BE879" s="44">
        <v>1266</v>
      </c>
      <c r="BF879" s="44">
        <v>650</v>
      </c>
      <c r="BG879" s="44">
        <v>170</v>
      </c>
      <c r="BH879" s="44">
        <v>128</v>
      </c>
      <c r="BI879" s="44">
        <v>126</v>
      </c>
      <c r="BJ879" s="44">
        <v>104</v>
      </c>
      <c r="BK879" s="44">
        <v>92</v>
      </c>
      <c r="BL879" s="44">
        <v>36</v>
      </c>
      <c r="BM879" s="44">
        <v>22</v>
      </c>
      <c r="BN879" s="44">
        <v>416</v>
      </c>
      <c r="BO879" s="44">
        <v>12</v>
      </c>
      <c r="BP879" s="44">
        <v>12</v>
      </c>
      <c r="BQ879" s="44">
        <v>16</v>
      </c>
      <c r="BR879" s="44">
        <v>12</v>
      </c>
      <c r="BS879" s="44">
        <v>10</v>
      </c>
      <c r="BT879" s="44">
        <v>12</v>
      </c>
      <c r="BU879" s="44">
        <v>8</v>
      </c>
      <c r="BV879" s="44">
        <v>4</v>
      </c>
      <c r="BW879" s="44">
        <v>48</v>
      </c>
      <c r="BX879" s="44">
        <v>0</v>
      </c>
      <c r="BY879" s="44">
        <v>0</v>
      </c>
      <c r="BZ879" s="44">
        <v>2</v>
      </c>
      <c r="CA879" s="44">
        <v>4</v>
      </c>
      <c r="CB879" s="44">
        <v>2</v>
      </c>
      <c r="CC879" s="44">
        <v>4</v>
      </c>
      <c r="CD879" s="44">
        <v>0</v>
      </c>
      <c r="CE879" s="44">
        <v>0</v>
      </c>
      <c r="CF879" s="44">
        <v>0</v>
      </c>
      <c r="CG879" s="44">
        <v>22</v>
      </c>
      <c r="CH879" s="44">
        <v>2</v>
      </c>
      <c r="CI879" s="44">
        <v>0</v>
      </c>
      <c r="CJ879" s="44">
        <v>0</v>
      </c>
      <c r="CK879" s="44">
        <v>0</v>
      </c>
      <c r="CL879" s="44">
        <v>0</v>
      </c>
      <c r="CM879" s="44">
        <v>0</v>
      </c>
      <c r="CN879" s="44">
        <v>0</v>
      </c>
      <c r="CO879" s="44">
        <v>0</v>
      </c>
      <c r="CP879" s="44">
        <v>0</v>
      </c>
      <c r="CQ879" s="44">
        <v>0</v>
      </c>
      <c r="CR879" s="44">
        <v>2</v>
      </c>
      <c r="CS879" s="44">
        <v>0</v>
      </c>
      <c r="CT879" s="44">
        <v>0</v>
      </c>
      <c r="CU879" s="44">
        <v>0</v>
      </c>
      <c r="CV879" s="44">
        <v>0</v>
      </c>
      <c r="CW879" s="44">
        <v>0</v>
      </c>
      <c r="CX879" s="44">
        <v>0</v>
      </c>
      <c r="CY879" s="44">
        <v>0</v>
      </c>
      <c r="CZ879" s="44">
        <v>0</v>
      </c>
      <c r="DA879" s="44">
        <v>0</v>
      </c>
      <c r="DB879" s="44">
        <v>0</v>
      </c>
      <c r="DC879" s="44">
        <v>0</v>
      </c>
      <c r="DD879" s="44">
        <v>0</v>
      </c>
      <c r="DE879" s="44">
        <v>0</v>
      </c>
      <c r="DF879" s="44">
        <v>0</v>
      </c>
      <c r="DG879" s="16">
        <f t="shared" si="72"/>
        <v>193968</v>
      </c>
      <c r="DH879" s="16">
        <f t="shared" si="73"/>
        <v>3905434</v>
      </c>
      <c r="DI879" s="17">
        <f t="shared" si="74"/>
        <v>20.134424234925348</v>
      </c>
      <c r="DJ879" s="119" t="s">
        <v>2</v>
      </c>
      <c r="DK879" t="s">
        <v>2</v>
      </c>
    </row>
    <row r="880" spans="1:115">
      <c r="A880" s="32" t="str">
        <f t="shared" si="75"/>
        <v>Ergon--˂ = 11 kV  ; SWITCH</v>
      </c>
      <c r="B880" s="32" t="str">
        <f t="shared" si="76"/>
        <v>Ergon</v>
      </c>
      <c r="C880" s="387"/>
      <c r="D880" s="44"/>
      <c r="E880" s="44" t="s">
        <v>247</v>
      </c>
      <c r="F880" s="44">
        <v>49.9</v>
      </c>
      <c r="G880" s="44">
        <v>7.07</v>
      </c>
      <c r="H880" s="44">
        <v>560.78389960000004</v>
      </c>
      <c r="I880" s="44">
        <v>4293.4034629999996</v>
      </c>
      <c r="J880" s="44">
        <v>4695.9100369999996</v>
      </c>
      <c r="K880" s="44">
        <v>6225.2253819999996</v>
      </c>
      <c r="L880" s="44">
        <v>7298.5762480000003</v>
      </c>
      <c r="M880" s="44">
        <v>4746.2233589999996</v>
      </c>
      <c r="N880" s="44">
        <v>2506.232344</v>
      </c>
      <c r="O880" s="44">
        <v>2038.7377280000001</v>
      </c>
      <c r="P880" s="44">
        <v>1777.7373709999999</v>
      </c>
      <c r="Q880" s="44">
        <v>1669.7733679999999</v>
      </c>
      <c r="R880" s="44">
        <v>1160.350985</v>
      </c>
      <c r="S880" s="44">
        <v>838.55536380000001</v>
      </c>
      <c r="T880" s="44">
        <v>564.97667639999997</v>
      </c>
      <c r="U880" s="44">
        <v>631.01291130000004</v>
      </c>
      <c r="V880" s="44">
        <v>581.74778370000001</v>
      </c>
      <c r="W880" s="44">
        <v>580.6995895</v>
      </c>
      <c r="X880" s="44">
        <v>592.22972570000002</v>
      </c>
      <c r="Y880" s="44">
        <v>533.53085020000003</v>
      </c>
      <c r="Z880" s="44">
        <v>533.53085020000003</v>
      </c>
      <c r="AA880" s="44">
        <v>542.96459809999999</v>
      </c>
      <c r="AB880" s="44">
        <v>441.28976019999999</v>
      </c>
      <c r="AC880" s="44">
        <v>535.62723870000002</v>
      </c>
      <c r="AD880" s="44">
        <v>365.81977749999999</v>
      </c>
      <c r="AE880" s="44">
        <v>299.78354259999998</v>
      </c>
      <c r="AF880" s="44">
        <v>333.32575709999998</v>
      </c>
      <c r="AG880" s="44">
        <v>284.0606295</v>
      </c>
      <c r="AH880" s="44">
        <v>312.361873</v>
      </c>
      <c r="AI880" s="44">
        <v>462.25364430000002</v>
      </c>
      <c r="AJ880" s="44">
        <v>499.98863569999997</v>
      </c>
      <c r="AK880" s="44">
        <v>437.0969834</v>
      </c>
      <c r="AL880" s="44">
        <v>348.00047599999999</v>
      </c>
      <c r="AM880" s="44">
        <v>443.38614860000001</v>
      </c>
      <c r="AN880" s="44">
        <v>365.81977749999999</v>
      </c>
      <c r="AO880" s="44">
        <v>354.28964120000001</v>
      </c>
      <c r="AP880" s="44">
        <v>209.63884100000001</v>
      </c>
      <c r="AQ880" s="44">
        <v>293.4943773</v>
      </c>
      <c r="AR880" s="44">
        <v>339.61492240000001</v>
      </c>
      <c r="AS880" s="44">
        <v>302.92812520000001</v>
      </c>
      <c r="AT880" s="44">
        <v>268.33771639999998</v>
      </c>
      <c r="AU880" s="44">
        <v>333.32575709999998</v>
      </c>
      <c r="AV880" s="44">
        <v>281.96424109999998</v>
      </c>
      <c r="AW880" s="44">
        <v>272.53049320000002</v>
      </c>
      <c r="AX880" s="44">
        <v>364.77158329999997</v>
      </c>
      <c r="AY880" s="44">
        <v>394.12102099999998</v>
      </c>
      <c r="AZ880" s="44">
        <v>383.63907899999998</v>
      </c>
      <c r="BA880" s="44">
        <v>254.71119179999999</v>
      </c>
      <c r="BB880" s="44">
        <v>229.5545309</v>
      </c>
      <c r="BC880" s="44">
        <v>172.95204380000001</v>
      </c>
      <c r="BD880" s="44">
        <v>230.60272509999999</v>
      </c>
      <c r="BE880" s="44">
        <v>186.57856849999999</v>
      </c>
      <c r="BF880" s="44">
        <v>119.4941393</v>
      </c>
      <c r="BG880" s="44">
        <v>30.39763194</v>
      </c>
      <c r="BH880" s="44">
        <v>26.204855120000001</v>
      </c>
      <c r="BI880" s="44">
        <v>28.301243530000001</v>
      </c>
      <c r="BJ880" s="44">
        <v>29.349437729999998</v>
      </c>
      <c r="BK880" s="44">
        <v>28.301243530000001</v>
      </c>
      <c r="BL880" s="44">
        <v>20.963884100000001</v>
      </c>
      <c r="BM880" s="44">
        <v>18.867495689999998</v>
      </c>
      <c r="BN880" s="44">
        <v>48.216933419999997</v>
      </c>
      <c r="BO880" s="44">
        <v>16.771107279999999</v>
      </c>
      <c r="BP880" s="44">
        <v>26.204855120000001</v>
      </c>
      <c r="BQ880" s="44">
        <v>19.915689889999999</v>
      </c>
      <c r="BR880" s="44">
        <v>11.53013625</v>
      </c>
      <c r="BS880" s="44">
        <v>24.108466709999998</v>
      </c>
      <c r="BT880" s="44">
        <v>0</v>
      </c>
      <c r="BU880" s="44">
        <v>2.0963884099999999</v>
      </c>
      <c r="BV880" s="44">
        <v>17.81930148</v>
      </c>
      <c r="BW880" s="44">
        <v>3.1445826139999999</v>
      </c>
      <c r="BX880" s="44">
        <v>0</v>
      </c>
      <c r="BY880" s="44">
        <v>0</v>
      </c>
      <c r="BZ880" s="44">
        <v>0</v>
      </c>
      <c r="CA880" s="44">
        <v>0</v>
      </c>
      <c r="CB880" s="44">
        <v>0</v>
      </c>
      <c r="CC880" s="44">
        <v>0</v>
      </c>
      <c r="CD880" s="44">
        <v>0</v>
      </c>
      <c r="CE880" s="44">
        <v>0</v>
      </c>
      <c r="CF880" s="44">
        <v>0</v>
      </c>
      <c r="CG880" s="44">
        <v>0</v>
      </c>
      <c r="CH880" s="44">
        <v>0</v>
      </c>
      <c r="CI880" s="44">
        <v>0</v>
      </c>
      <c r="CJ880" s="44">
        <v>0</v>
      </c>
      <c r="CK880" s="44">
        <v>0</v>
      </c>
      <c r="CL880" s="44">
        <v>0</v>
      </c>
      <c r="CM880" s="44">
        <v>0</v>
      </c>
      <c r="CN880" s="44">
        <v>0</v>
      </c>
      <c r="CO880" s="44">
        <v>0</v>
      </c>
      <c r="CP880" s="44">
        <v>2.0963884099999999</v>
      </c>
      <c r="CQ880" s="44">
        <v>3.1445826139999999</v>
      </c>
      <c r="CR880" s="44">
        <v>0</v>
      </c>
      <c r="CS880" s="44">
        <v>0</v>
      </c>
      <c r="CT880" s="44">
        <v>0</v>
      </c>
      <c r="CU880" s="44">
        <v>0</v>
      </c>
      <c r="CV880" s="44">
        <v>0</v>
      </c>
      <c r="CW880" s="44">
        <v>0</v>
      </c>
      <c r="CX880" s="44">
        <v>0</v>
      </c>
      <c r="CY880" s="44">
        <v>0</v>
      </c>
      <c r="CZ880" s="44">
        <v>0</v>
      </c>
      <c r="DA880" s="44">
        <v>0</v>
      </c>
      <c r="DB880" s="44">
        <v>0</v>
      </c>
      <c r="DC880" s="44">
        <v>0</v>
      </c>
      <c r="DD880" s="44">
        <v>0</v>
      </c>
      <c r="DE880" s="44">
        <v>0</v>
      </c>
      <c r="DF880" s="44">
        <v>0</v>
      </c>
      <c r="DG880" s="16">
        <f t="shared" si="72"/>
        <v>52850.999999037973</v>
      </c>
      <c r="DH880" s="16">
        <f t="shared" si="73"/>
        <v>645360.59356385411</v>
      </c>
      <c r="DI880" s="17">
        <f t="shared" si="74"/>
        <v>12.210943853013214</v>
      </c>
      <c r="DJ880" s="119" t="s">
        <v>2</v>
      </c>
      <c r="DK880" s="44" t="s">
        <v>2</v>
      </c>
    </row>
    <row r="881" spans="1:116">
      <c r="A881" s="32" t="str">
        <f t="shared" si="75"/>
        <v>Ergon--˂ = 11 kV ;  CIRCUIT BREAKER</v>
      </c>
      <c r="B881" s="32" t="str">
        <f t="shared" si="76"/>
        <v>Ergon</v>
      </c>
      <c r="C881" s="387"/>
      <c r="D881" s="44"/>
      <c r="E881" s="44" t="s">
        <v>248</v>
      </c>
      <c r="F881" s="44">
        <v>42.9</v>
      </c>
      <c r="G881" s="44">
        <v>6.55</v>
      </c>
      <c r="H881" s="44">
        <v>21.11261872</v>
      </c>
      <c r="I881" s="44">
        <v>73.894165540000003</v>
      </c>
      <c r="J881" s="44">
        <v>103.45183179999999</v>
      </c>
      <c r="K881" s="44">
        <v>114.0081411</v>
      </c>
      <c r="L881" s="44">
        <v>135.1207598</v>
      </c>
      <c r="M881" s="44">
        <v>111.8968792</v>
      </c>
      <c r="N881" s="44">
        <v>90.784260520000004</v>
      </c>
      <c r="O881" s="44">
        <v>106.61872459999999</v>
      </c>
      <c r="P881" s="44">
        <v>64.393487109999995</v>
      </c>
      <c r="Q881" s="44">
        <v>85.506105829999996</v>
      </c>
      <c r="R881" s="44">
        <v>31.668928090000001</v>
      </c>
      <c r="S881" s="44">
        <v>198.45861600000001</v>
      </c>
      <c r="T881" s="44">
        <v>54.892808680000002</v>
      </c>
      <c r="U881" s="44">
        <v>95.006784260000003</v>
      </c>
      <c r="V881" s="44">
        <v>31.668928090000001</v>
      </c>
      <c r="W881" s="44">
        <v>59.115332430000002</v>
      </c>
      <c r="X881" s="44">
        <v>13.72320217</v>
      </c>
      <c r="Y881" s="44">
        <v>35.891451830000001</v>
      </c>
      <c r="Z881" s="44">
        <v>43.280868390000002</v>
      </c>
      <c r="AA881" s="44">
        <v>9.5006784260000003</v>
      </c>
      <c r="AB881" s="44">
        <v>15.83446404</v>
      </c>
      <c r="AC881" s="44">
        <v>28.502035280000001</v>
      </c>
      <c r="AD881" s="44">
        <v>32.724559020000001</v>
      </c>
      <c r="AE881" s="44">
        <v>25.335142470000001</v>
      </c>
      <c r="AF881" s="44">
        <v>10.55630936</v>
      </c>
      <c r="AG881" s="44">
        <v>4.2225237450000002</v>
      </c>
      <c r="AH881" s="44">
        <v>40.113975580000002</v>
      </c>
      <c r="AI881" s="44">
        <v>27.446404340000001</v>
      </c>
      <c r="AJ881" s="44">
        <v>34.835820900000002</v>
      </c>
      <c r="AK881" s="44">
        <v>61.226594300000002</v>
      </c>
      <c r="AL881" s="44">
        <v>53.837177750000002</v>
      </c>
      <c r="AM881" s="44">
        <v>91.839891449999996</v>
      </c>
      <c r="AN881" s="44">
        <v>60.170963360000002</v>
      </c>
      <c r="AO881" s="44">
        <v>36.947082770000002</v>
      </c>
      <c r="AP881" s="44">
        <v>20.056987790000001</v>
      </c>
      <c r="AQ881" s="44">
        <v>11.611940300000001</v>
      </c>
      <c r="AR881" s="44">
        <v>1.055630936</v>
      </c>
      <c r="AS881" s="44">
        <v>15.83446404</v>
      </c>
      <c r="AT881" s="44">
        <v>15.83446404</v>
      </c>
      <c r="AU881" s="44">
        <v>1.055630936</v>
      </c>
      <c r="AV881" s="44">
        <v>16.890094980000001</v>
      </c>
      <c r="AW881" s="44">
        <v>3.1668928090000001</v>
      </c>
      <c r="AX881" s="44">
        <v>20.056987790000001</v>
      </c>
      <c r="AY881" s="44">
        <v>20.056987790000001</v>
      </c>
      <c r="AZ881" s="44">
        <v>24.279511530000001</v>
      </c>
      <c r="BA881" s="44">
        <v>28.502035280000001</v>
      </c>
      <c r="BB881" s="44">
        <v>27.446404340000001</v>
      </c>
      <c r="BC881" s="44">
        <v>14.778833110000001</v>
      </c>
      <c r="BD881" s="44">
        <v>23.223880600000001</v>
      </c>
      <c r="BE881" s="44">
        <v>32.724559020000001</v>
      </c>
      <c r="BF881" s="44">
        <v>1.055630936</v>
      </c>
      <c r="BG881" s="44">
        <v>6.3337856170000002</v>
      </c>
      <c r="BH881" s="44">
        <v>6.3337856170000002</v>
      </c>
      <c r="BI881" s="44">
        <v>5.2781546810000002</v>
      </c>
      <c r="BJ881" s="44">
        <v>16.890094980000001</v>
      </c>
      <c r="BK881" s="44">
        <v>0</v>
      </c>
      <c r="BL881" s="44">
        <v>7.3894165540000003</v>
      </c>
      <c r="BM881" s="44">
        <v>0</v>
      </c>
      <c r="BN881" s="44">
        <v>0</v>
      </c>
      <c r="BO881" s="44">
        <v>1.055630936</v>
      </c>
      <c r="BP881" s="44">
        <v>0</v>
      </c>
      <c r="BQ881" s="44">
        <v>4.2225237450000002</v>
      </c>
      <c r="BR881" s="44">
        <v>5.2781546810000002</v>
      </c>
      <c r="BS881" s="44">
        <v>0</v>
      </c>
      <c r="BT881" s="44">
        <v>0</v>
      </c>
      <c r="BU881" s="44">
        <v>0</v>
      </c>
      <c r="BV881" s="44">
        <v>0</v>
      </c>
      <c r="BW881" s="44">
        <v>0</v>
      </c>
      <c r="BX881" s="44">
        <v>0</v>
      </c>
      <c r="BY881" s="44">
        <v>0</v>
      </c>
      <c r="BZ881" s="44">
        <v>0</v>
      </c>
      <c r="CA881" s="44">
        <v>0</v>
      </c>
      <c r="CB881" s="44">
        <v>0</v>
      </c>
      <c r="CC881" s="44">
        <v>0</v>
      </c>
      <c r="CD881" s="44">
        <v>0</v>
      </c>
      <c r="CE881" s="44">
        <v>0</v>
      </c>
      <c r="CF881" s="44">
        <v>0</v>
      </c>
      <c r="CG881" s="44">
        <v>0</v>
      </c>
      <c r="CH881" s="44">
        <v>0</v>
      </c>
      <c r="CI881" s="44">
        <v>0</v>
      </c>
      <c r="CJ881" s="44">
        <v>0</v>
      </c>
      <c r="CK881" s="44">
        <v>0</v>
      </c>
      <c r="CL881" s="44">
        <v>0</v>
      </c>
      <c r="CM881" s="44">
        <v>0</v>
      </c>
      <c r="CN881" s="44">
        <v>0</v>
      </c>
      <c r="CO881" s="44">
        <v>0</v>
      </c>
      <c r="CP881" s="44">
        <v>0</v>
      </c>
      <c r="CQ881" s="44">
        <v>0</v>
      </c>
      <c r="CR881" s="44">
        <v>0</v>
      </c>
      <c r="CS881" s="44">
        <v>0</v>
      </c>
      <c r="CT881" s="44">
        <v>0</v>
      </c>
      <c r="CU881" s="44">
        <v>0</v>
      </c>
      <c r="CV881" s="44">
        <v>0</v>
      </c>
      <c r="CW881" s="44">
        <v>0</v>
      </c>
      <c r="CX881" s="44">
        <v>0</v>
      </c>
      <c r="CY881" s="44">
        <v>0</v>
      </c>
      <c r="CZ881" s="44">
        <v>0</v>
      </c>
      <c r="DA881" s="44">
        <v>0</v>
      </c>
      <c r="DB881" s="44">
        <v>0</v>
      </c>
      <c r="DC881" s="44">
        <v>0</v>
      </c>
      <c r="DD881" s="44">
        <v>0</v>
      </c>
      <c r="DE881" s="44">
        <v>0</v>
      </c>
      <c r="DF881" s="44">
        <v>0</v>
      </c>
      <c r="DG881" s="16">
        <f t="shared" si="72"/>
        <v>2333.999999989001</v>
      </c>
      <c r="DH881" s="16">
        <f t="shared" si="73"/>
        <v>43713.677068996003</v>
      </c>
      <c r="DI881" s="17">
        <f t="shared" si="74"/>
        <v>18.729081863411313</v>
      </c>
      <c r="DJ881" s="119" t="s">
        <v>2</v>
      </c>
      <c r="DK881" s="44" t="s">
        <v>2</v>
      </c>
    </row>
    <row r="882" spans="1:116">
      <c r="A882" s="32" t="str">
        <f t="shared" si="75"/>
        <v>Ergon--&gt; 11 kV &amp; &lt; = 22 kV  ; SWITCH</v>
      </c>
      <c r="B882" s="32" t="str">
        <f t="shared" si="76"/>
        <v>Ergon</v>
      </c>
      <c r="C882" s="387"/>
      <c r="D882" s="44"/>
      <c r="E882" s="44" t="s">
        <v>249</v>
      </c>
      <c r="F882" s="44">
        <v>42.9</v>
      </c>
      <c r="G882" s="44">
        <v>6.55</v>
      </c>
      <c r="H882" s="44">
        <v>272.40415610000002</v>
      </c>
      <c r="I882" s="44">
        <v>2078.9293929999999</v>
      </c>
      <c r="J882" s="44">
        <v>1673.4906490000001</v>
      </c>
      <c r="K882" s="44">
        <v>1861.4284</v>
      </c>
      <c r="L882" s="44">
        <v>2906.7001620000001</v>
      </c>
      <c r="M882" s="44">
        <v>2000.7979680000001</v>
      </c>
      <c r="N882" s="44">
        <v>592.32066499999996</v>
      </c>
      <c r="O882" s="44">
        <v>675.73123989999999</v>
      </c>
      <c r="P882" s="44">
        <v>594.43232509999996</v>
      </c>
      <c r="Q882" s="44">
        <v>704.23865160000003</v>
      </c>
      <c r="R882" s="44">
        <v>304.07905799999997</v>
      </c>
      <c r="S882" s="44">
        <v>401.21542369999997</v>
      </c>
      <c r="T882" s="44">
        <v>325.19565920000002</v>
      </c>
      <c r="U882" s="44">
        <v>823.54744860000005</v>
      </c>
      <c r="V882" s="44">
        <v>440.281136</v>
      </c>
      <c r="W882" s="44">
        <v>242.84091430000001</v>
      </c>
      <c r="X882" s="44">
        <v>244.9525745</v>
      </c>
      <c r="Y882" s="44">
        <v>164.70948970000001</v>
      </c>
      <c r="Z882" s="44">
        <v>249.17589469999999</v>
      </c>
      <c r="AA882" s="44">
        <v>219.61265299999999</v>
      </c>
      <c r="AB882" s="44">
        <v>203.77520200000001</v>
      </c>
      <c r="AC882" s="44">
        <v>171.04447010000001</v>
      </c>
      <c r="AD882" s="44">
        <v>218.55682289999999</v>
      </c>
      <c r="AE882" s="44">
        <v>203.77520200000001</v>
      </c>
      <c r="AF882" s="44">
        <v>251.28755480000001</v>
      </c>
      <c r="AG882" s="44">
        <v>165.76531979999999</v>
      </c>
      <c r="AH882" s="44">
        <v>294.57658739999999</v>
      </c>
      <c r="AI882" s="44">
        <v>330.47480949999999</v>
      </c>
      <c r="AJ882" s="44">
        <v>219.61265299999999</v>
      </c>
      <c r="AK882" s="44">
        <v>258.6783653</v>
      </c>
      <c r="AL882" s="44">
        <v>202.71937199999999</v>
      </c>
      <c r="AM882" s="44">
        <v>320.97233899999998</v>
      </c>
      <c r="AN882" s="44">
        <v>311.4698684</v>
      </c>
      <c r="AO882" s="44">
        <v>206.94269220000001</v>
      </c>
      <c r="AP882" s="44">
        <v>144.6487185</v>
      </c>
      <c r="AQ882" s="44">
        <v>106.63883629999999</v>
      </c>
      <c r="AR882" s="44">
        <v>141.48122839999999</v>
      </c>
      <c r="AS882" s="44">
        <v>111.91798660000001</v>
      </c>
      <c r="AT882" s="44">
        <v>202.71937199999999</v>
      </c>
      <c r="AU882" s="44">
        <v>217.50099280000001</v>
      </c>
      <c r="AV882" s="44">
        <v>116.1413069</v>
      </c>
      <c r="AW882" s="44">
        <v>139.3695682</v>
      </c>
      <c r="AX882" s="44">
        <v>188.99358119999999</v>
      </c>
      <c r="AY882" s="44">
        <v>234.39427380000001</v>
      </c>
      <c r="AZ882" s="44">
        <v>197.4402217</v>
      </c>
      <c r="BA882" s="44">
        <v>116.1413069</v>
      </c>
      <c r="BB882" s="44">
        <v>148.87203880000001</v>
      </c>
      <c r="BC882" s="44">
        <v>126.6996075</v>
      </c>
      <c r="BD882" s="44">
        <v>164.70948970000001</v>
      </c>
      <c r="BE882" s="44">
        <v>144.6487185</v>
      </c>
      <c r="BF882" s="44">
        <v>68.628954050000004</v>
      </c>
      <c r="BG882" s="44">
        <v>14.781620869999999</v>
      </c>
      <c r="BH882" s="44">
        <v>10.558300620000001</v>
      </c>
      <c r="BI882" s="44">
        <v>12.66996075</v>
      </c>
      <c r="BJ882" s="44">
        <v>15.83745094</v>
      </c>
      <c r="BK882" s="44">
        <v>20.06077118</v>
      </c>
      <c r="BL882" s="44">
        <v>8.4466404990000008</v>
      </c>
      <c r="BM882" s="44">
        <v>4.2233202490000004</v>
      </c>
      <c r="BN882" s="44">
        <v>11.61413069</v>
      </c>
      <c r="BO882" s="44">
        <v>3.1674901869999998</v>
      </c>
      <c r="BP882" s="44">
        <v>4.2233202490000004</v>
      </c>
      <c r="BQ882" s="44">
        <v>10.558300620000001</v>
      </c>
      <c r="BR882" s="44">
        <v>10.558300620000001</v>
      </c>
      <c r="BS882" s="44">
        <v>17.94911106</v>
      </c>
      <c r="BT882" s="44">
        <v>0</v>
      </c>
      <c r="BU882" s="44">
        <v>0</v>
      </c>
      <c r="BV882" s="44">
        <v>0</v>
      </c>
      <c r="BW882" s="44">
        <v>0</v>
      </c>
      <c r="BX882" s="44">
        <v>0</v>
      </c>
      <c r="BY882" s="44">
        <v>0</v>
      </c>
      <c r="BZ882" s="44">
        <v>0</v>
      </c>
      <c r="CA882" s="44">
        <v>0</v>
      </c>
      <c r="CB882" s="44">
        <v>0</v>
      </c>
      <c r="CC882" s="44">
        <v>0</v>
      </c>
      <c r="CD882" s="44">
        <v>0</v>
      </c>
      <c r="CE882" s="44">
        <v>0</v>
      </c>
      <c r="CF882" s="44">
        <v>0</v>
      </c>
      <c r="CG882" s="44">
        <v>0</v>
      </c>
      <c r="CH882" s="44">
        <v>0</v>
      </c>
      <c r="CI882" s="44">
        <v>0</v>
      </c>
      <c r="CJ882" s="44">
        <v>0</v>
      </c>
      <c r="CK882" s="44">
        <v>0</v>
      </c>
      <c r="CL882" s="44">
        <v>0</v>
      </c>
      <c r="CM882" s="44">
        <v>0</v>
      </c>
      <c r="CN882" s="44">
        <v>0</v>
      </c>
      <c r="CO882" s="44">
        <v>0</v>
      </c>
      <c r="CP882" s="44">
        <v>0</v>
      </c>
      <c r="CQ882" s="44">
        <v>12.66996075</v>
      </c>
      <c r="CR882" s="44">
        <v>0</v>
      </c>
      <c r="CS882" s="44">
        <v>0</v>
      </c>
      <c r="CT882" s="44">
        <v>0</v>
      </c>
      <c r="CU882" s="44">
        <v>0</v>
      </c>
      <c r="CV882" s="44">
        <v>0</v>
      </c>
      <c r="CW882" s="44">
        <v>0</v>
      </c>
      <c r="CX882" s="44">
        <v>0</v>
      </c>
      <c r="CY882" s="44">
        <v>0</v>
      </c>
      <c r="CZ882" s="44">
        <v>0</v>
      </c>
      <c r="DA882" s="44">
        <v>0</v>
      </c>
      <c r="DB882" s="44">
        <v>0</v>
      </c>
      <c r="DC882" s="44">
        <v>0</v>
      </c>
      <c r="DD882" s="44">
        <v>0</v>
      </c>
      <c r="DE882" s="44">
        <v>0</v>
      </c>
      <c r="DF882" s="44">
        <v>0</v>
      </c>
      <c r="DG882" s="16">
        <f t="shared" si="72"/>
        <v>22864.000000933996</v>
      </c>
      <c r="DH882" s="16">
        <f t="shared" si="73"/>
        <v>329408.42115637404</v>
      </c>
      <c r="DI882" s="17">
        <f t="shared" si="74"/>
        <v>14.407296236131808</v>
      </c>
      <c r="DJ882" s="119" t="s">
        <v>2</v>
      </c>
      <c r="DK882" s="44" t="s">
        <v>2</v>
      </c>
    </row>
    <row r="883" spans="1:116">
      <c r="A883" s="32" t="str">
        <f t="shared" si="75"/>
        <v>Ergon--&gt; 11 kV &amp; &lt; = 22 kV  ; CIRCUIT BREAKER</v>
      </c>
      <c r="B883" s="32" t="str">
        <f t="shared" si="76"/>
        <v>Ergon</v>
      </c>
      <c r="C883" s="387"/>
      <c r="D883" s="44"/>
      <c r="E883" s="44" t="s">
        <v>250</v>
      </c>
      <c r="F883" s="44">
        <v>42.9</v>
      </c>
      <c r="G883" s="44">
        <v>6.55</v>
      </c>
      <c r="H883" s="44">
        <v>3.0868761550000001</v>
      </c>
      <c r="I883" s="44">
        <v>62.766481820000003</v>
      </c>
      <c r="J883" s="44">
        <v>66.882316700000004</v>
      </c>
      <c r="K883" s="44">
        <v>39.100431299999997</v>
      </c>
      <c r="L883" s="44">
        <v>100.8379544</v>
      </c>
      <c r="M883" s="44">
        <v>52.476894639999998</v>
      </c>
      <c r="N883" s="44">
        <v>70.998151570000005</v>
      </c>
      <c r="O883" s="44">
        <v>76.142945159999996</v>
      </c>
      <c r="P883" s="44">
        <v>115.2433765</v>
      </c>
      <c r="Q883" s="44">
        <v>41.158348740000001</v>
      </c>
      <c r="R883" s="44">
        <v>26.752926680000002</v>
      </c>
      <c r="S883" s="44">
        <v>99.808995690000003</v>
      </c>
      <c r="T883" s="44">
        <v>82.316697469999994</v>
      </c>
      <c r="U883" s="44">
        <v>61.737523109999998</v>
      </c>
      <c r="V883" s="44">
        <v>46.30314233</v>
      </c>
      <c r="W883" s="44">
        <v>40.129390020000002</v>
      </c>
      <c r="X883" s="44">
        <v>30.868761549999999</v>
      </c>
      <c r="Y883" s="44">
        <v>55.56377079</v>
      </c>
      <c r="Z883" s="44">
        <v>23.666050519999999</v>
      </c>
      <c r="AA883" s="44">
        <v>14.405422059999999</v>
      </c>
      <c r="AB883" s="44">
        <v>9.260628466</v>
      </c>
      <c r="AC883" s="44">
        <v>26.752926680000002</v>
      </c>
      <c r="AD883" s="44">
        <v>37.04251386</v>
      </c>
      <c r="AE883" s="44">
        <v>50.4189772</v>
      </c>
      <c r="AF883" s="44">
        <v>18.52125693</v>
      </c>
      <c r="AG883" s="44">
        <v>12.34750462</v>
      </c>
      <c r="AH883" s="44">
        <v>24.695009240000001</v>
      </c>
      <c r="AI883" s="44">
        <v>43.216266169999997</v>
      </c>
      <c r="AJ883" s="44">
        <v>43.216266169999997</v>
      </c>
      <c r="AK883" s="44">
        <v>40.129390020000002</v>
      </c>
      <c r="AL883" s="44">
        <v>34.984596430000003</v>
      </c>
      <c r="AM883" s="44">
        <v>32.926678989999999</v>
      </c>
      <c r="AN883" s="44">
        <v>18.52125693</v>
      </c>
      <c r="AO883" s="44">
        <v>4.1158348739999999</v>
      </c>
      <c r="AP883" s="44">
        <v>12.34750462</v>
      </c>
      <c r="AQ883" s="44">
        <v>7.2027110289999996</v>
      </c>
      <c r="AR883" s="44">
        <v>2.057917437</v>
      </c>
      <c r="AS883" s="44">
        <v>6.1737523110000003</v>
      </c>
      <c r="AT883" s="44">
        <v>19.550215649999998</v>
      </c>
      <c r="AU883" s="44">
        <v>10.28958718</v>
      </c>
      <c r="AV883" s="44">
        <v>4.1158348739999999</v>
      </c>
      <c r="AW883" s="44">
        <v>8.2316697469999998</v>
      </c>
      <c r="AX883" s="44">
        <v>8.2316697469999998</v>
      </c>
      <c r="AY883" s="44">
        <v>9.260628466</v>
      </c>
      <c r="AZ883" s="44">
        <v>11.3185459</v>
      </c>
      <c r="BA883" s="44">
        <v>12.34750462</v>
      </c>
      <c r="BB883" s="44">
        <v>21.608133089999999</v>
      </c>
      <c r="BC883" s="44">
        <v>2.057917437</v>
      </c>
      <c r="BD883" s="44">
        <v>6.1737523110000003</v>
      </c>
      <c r="BE883" s="44">
        <v>10.28958718</v>
      </c>
      <c r="BF883" s="44">
        <v>3.0868761550000001</v>
      </c>
      <c r="BG883" s="44">
        <v>0</v>
      </c>
      <c r="BH883" s="44">
        <v>0</v>
      </c>
      <c r="BI883" s="44">
        <v>0</v>
      </c>
      <c r="BJ883" s="44">
        <v>0</v>
      </c>
      <c r="BK883" s="44">
        <v>4.1158348739999999</v>
      </c>
      <c r="BL883" s="44">
        <v>1.0289587179999999</v>
      </c>
      <c r="BM883" s="44">
        <v>2.057917437</v>
      </c>
      <c r="BN883" s="44">
        <v>2.057917437</v>
      </c>
      <c r="BO883" s="44">
        <v>0</v>
      </c>
      <c r="BP883" s="44">
        <v>0</v>
      </c>
      <c r="BQ883" s="44">
        <v>0</v>
      </c>
      <c r="BR883" s="44">
        <v>0</v>
      </c>
      <c r="BS883" s="44">
        <v>0</v>
      </c>
      <c r="BT883" s="44">
        <v>0</v>
      </c>
      <c r="BU883" s="44">
        <v>0</v>
      </c>
      <c r="BV883" s="44">
        <v>0</v>
      </c>
      <c r="BW883" s="44">
        <v>0</v>
      </c>
      <c r="BX883" s="44">
        <v>0</v>
      </c>
      <c r="BY883" s="44">
        <v>0</v>
      </c>
      <c r="BZ883" s="44">
        <v>0</v>
      </c>
      <c r="CA883" s="44">
        <v>0</v>
      </c>
      <c r="CB883" s="44">
        <v>0</v>
      </c>
      <c r="CC883" s="44">
        <v>0</v>
      </c>
      <c r="CD883" s="44">
        <v>0</v>
      </c>
      <c r="CE883" s="44">
        <v>0</v>
      </c>
      <c r="CF883" s="44">
        <v>0</v>
      </c>
      <c r="CG883" s="44">
        <v>0</v>
      </c>
      <c r="CH883" s="44">
        <v>0</v>
      </c>
      <c r="CI883" s="44">
        <v>0</v>
      </c>
      <c r="CJ883" s="44">
        <v>0</v>
      </c>
      <c r="CK883" s="44">
        <v>0</v>
      </c>
      <c r="CL883" s="44">
        <v>0</v>
      </c>
      <c r="CM883" s="44">
        <v>0</v>
      </c>
      <c r="CN883" s="44">
        <v>0</v>
      </c>
      <c r="CO883" s="44">
        <v>0</v>
      </c>
      <c r="CP883" s="44">
        <v>0</v>
      </c>
      <c r="CQ883" s="44">
        <v>0</v>
      </c>
      <c r="CR883" s="44">
        <v>0</v>
      </c>
      <c r="CS883" s="44">
        <v>0</v>
      </c>
      <c r="CT883" s="44">
        <v>0</v>
      </c>
      <c r="CU883" s="44">
        <v>0</v>
      </c>
      <c r="CV883" s="44">
        <v>0</v>
      </c>
      <c r="CW883" s="44">
        <v>0</v>
      </c>
      <c r="CX883" s="44">
        <v>0</v>
      </c>
      <c r="CY883" s="44">
        <v>0</v>
      </c>
      <c r="CZ883" s="44">
        <v>0</v>
      </c>
      <c r="DA883" s="44">
        <v>0</v>
      </c>
      <c r="DB883" s="44">
        <v>0</v>
      </c>
      <c r="DC883" s="44">
        <v>0</v>
      </c>
      <c r="DD883" s="44">
        <v>0</v>
      </c>
      <c r="DE883" s="44">
        <v>0</v>
      </c>
      <c r="DF883" s="44">
        <v>0</v>
      </c>
      <c r="DG883" s="16">
        <f t="shared" si="72"/>
        <v>1670.0000000050004</v>
      </c>
      <c r="DH883" s="16">
        <f t="shared" si="73"/>
        <v>28885.958101799999</v>
      </c>
      <c r="DI883" s="17">
        <f t="shared" si="74"/>
        <v>17.296980899229645</v>
      </c>
      <c r="DJ883" s="119" t="s">
        <v>2</v>
      </c>
      <c r="DK883" s="44" t="s">
        <v>2</v>
      </c>
    </row>
    <row r="884" spans="1:116">
      <c r="A884" s="32" t="str">
        <f t="shared" si="75"/>
        <v>Ergon--&gt; 22 kV &amp; &lt; = 33 kV ; SWITCH</v>
      </c>
      <c r="B884" s="32" t="str">
        <f t="shared" si="76"/>
        <v>Ergon</v>
      </c>
      <c r="C884" s="387"/>
      <c r="D884" s="44"/>
      <c r="E884" s="44" t="s">
        <v>251</v>
      </c>
      <c r="F884" s="44">
        <v>49.9</v>
      </c>
      <c r="G884" s="44">
        <v>7.07</v>
      </c>
      <c r="H884" s="44">
        <v>32.676470590000001</v>
      </c>
      <c r="I884" s="44">
        <v>293.03415560000002</v>
      </c>
      <c r="J884" s="44">
        <v>246.65464900000001</v>
      </c>
      <c r="K884" s="44">
        <v>100.1375712</v>
      </c>
      <c r="L884" s="44">
        <v>186.5721063</v>
      </c>
      <c r="M884" s="44">
        <v>107.51612900000001</v>
      </c>
      <c r="N884" s="44">
        <v>94.867172679999996</v>
      </c>
      <c r="O884" s="44">
        <v>47.433586339999998</v>
      </c>
      <c r="P884" s="44">
        <v>42.163187860000001</v>
      </c>
      <c r="Q884" s="44">
        <v>41.109108159999998</v>
      </c>
      <c r="R884" s="44">
        <v>24.24383302</v>
      </c>
      <c r="S884" s="44">
        <v>28.460151799999998</v>
      </c>
      <c r="T884" s="44">
        <v>61.136622389999999</v>
      </c>
      <c r="U884" s="44">
        <v>35.838709680000001</v>
      </c>
      <c r="V884" s="44">
        <v>21.08159393</v>
      </c>
      <c r="W884" s="44">
        <v>31.622390889999998</v>
      </c>
      <c r="X884" s="44">
        <v>29.514231500000001</v>
      </c>
      <c r="Y884" s="44">
        <v>21.08159393</v>
      </c>
      <c r="Z884" s="44">
        <v>22.135673619999999</v>
      </c>
      <c r="AA884" s="44">
        <v>7.3785578750000003</v>
      </c>
      <c r="AB884" s="44">
        <v>11.594876660000001</v>
      </c>
      <c r="AC884" s="44">
        <v>21.08159393</v>
      </c>
      <c r="AD884" s="44">
        <v>11.594876660000001</v>
      </c>
      <c r="AE884" s="44">
        <v>27.40607211</v>
      </c>
      <c r="AF884" s="44">
        <v>30.5683112</v>
      </c>
      <c r="AG884" s="44">
        <v>11.594876660000001</v>
      </c>
      <c r="AH884" s="44">
        <v>17.91935484</v>
      </c>
      <c r="AI884" s="44">
        <v>7.3785578750000003</v>
      </c>
      <c r="AJ884" s="44">
        <v>17.91935484</v>
      </c>
      <c r="AK884" s="44">
        <v>79.055977229999996</v>
      </c>
      <c r="AL884" s="44">
        <v>28.460151799999998</v>
      </c>
      <c r="AM884" s="44">
        <v>33.730550280000003</v>
      </c>
      <c r="AN884" s="44">
        <v>32.676470590000001</v>
      </c>
      <c r="AO884" s="44">
        <v>24.24383302</v>
      </c>
      <c r="AP884" s="44">
        <v>7.3785578750000003</v>
      </c>
      <c r="AQ884" s="44">
        <v>2.1081593930000002</v>
      </c>
      <c r="AR884" s="44">
        <v>8.4326375710000008</v>
      </c>
      <c r="AS884" s="44">
        <v>16.865275140000001</v>
      </c>
      <c r="AT884" s="44">
        <v>10.54079696</v>
      </c>
      <c r="AU884" s="44">
        <v>8.4326375710000008</v>
      </c>
      <c r="AV884" s="44">
        <v>5.2703984820000001</v>
      </c>
      <c r="AW884" s="44">
        <v>7.3785578750000003</v>
      </c>
      <c r="AX884" s="44">
        <v>32.676470590000001</v>
      </c>
      <c r="AY884" s="44">
        <v>37.946869069999998</v>
      </c>
      <c r="AZ884" s="44">
        <v>56.920303609999998</v>
      </c>
      <c r="BA884" s="44">
        <v>47.433586339999998</v>
      </c>
      <c r="BB884" s="44">
        <v>28.460151799999998</v>
      </c>
      <c r="BC884" s="44">
        <v>9.4867172679999996</v>
      </c>
      <c r="BD884" s="44">
        <v>42.163187860000001</v>
      </c>
      <c r="BE884" s="44">
        <v>24.24383302</v>
      </c>
      <c r="BF884" s="44">
        <v>14.757115750000001</v>
      </c>
      <c r="BG884" s="44">
        <v>2.1081593930000002</v>
      </c>
      <c r="BH884" s="44">
        <v>13.70303605</v>
      </c>
      <c r="BI884" s="44">
        <v>2.1081593930000002</v>
      </c>
      <c r="BJ884" s="44">
        <v>0</v>
      </c>
      <c r="BK884" s="44">
        <v>2.1081593930000002</v>
      </c>
      <c r="BL884" s="44">
        <v>1.0540796960000001</v>
      </c>
      <c r="BM884" s="44">
        <v>1.0540796960000001</v>
      </c>
      <c r="BN884" s="44">
        <v>0</v>
      </c>
      <c r="BO884" s="44">
        <v>1.0540796960000001</v>
      </c>
      <c r="BP884" s="44">
        <v>0</v>
      </c>
      <c r="BQ884" s="44">
        <v>1.0540796960000001</v>
      </c>
      <c r="BR884" s="44">
        <v>0</v>
      </c>
      <c r="BS884" s="44">
        <v>2.1081593930000002</v>
      </c>
      <c r="BT884" s="44">
        <v>0</v>
      </c>
      <c r="BU884" s="44">
        <v>0</v>
      </c>
      <c r="BV884" s="44">
        <v>0</v>
      </c>
      <c r="BW884" s="44">
        <v>0</v>
      </c>
      <c r="BX884" s="44">
        <v>0</v>
      </c>
      <c r="BY884" s="44">
        <v>0</v>
      </c>
      <c r="BZ884" s="44">
        <v>0</v>
      </c>
      <c r="CA884" s="44">
        <v>0</v>
      </c>
      <c r="CB884" s="44">
        <v>5.2703984820000001</v>
      </c>
      <c r="CC884" s="44">
        <v>0</v>
      </c>
      <c r="CD884" s="44">
        <v>0</v>
      </c>
      <c r="CE884" s="44">
        <v>0</v>
      </c>
      <c r="CF884" s="44">
        <v>0</v>
      </c>
      <c r="CG884" s="44">
        <v>0</v>
      </c>
      <c r="CH884" s="44">
        <v>0</v>
      </c>
      <c r="CI884" s="44">
        <v>0</v>
      </c>
      <c r="CJ884" s="44">
        <v>0</v>
      </c>
      <c r="CK884" s="44">
        <v>0</v>
      </c>
      <c r="CL884" s="44">
        <v>0</v>
      </c>
      <c r="CM884" s="44">
        <v>0</v>
      </c>
      <c r="CN884" s="44">
        <v>0</v>
      </c>
      <c r="CO884" s="44">
        <v>0</v>
      </c>
      <c r="CP884" s="44">
        <v>0</v>
      </c>
      <c r="CQ884" s="44">
        <v>0</v>
      </c>
      <c r="CR884" s="44">
        <v>0</v>
      </c>
      <c r="CS884" s="44">
        <v>0</v>
      </c>
      <c r="CT884" s="44">
        <v>0</v>
      </c>
      <c r="CU884" s="44">
        <v>0</v>
      </c>
      <c r="CV884" s="44">
        <v>0</v>
      </c>
      <c r="CW884" s="44">
        <v>0</v>
      </c>
      <c r="CX884" s="44">
        <v>0</v>
      </c>
      <c r="CY884" s="44">
        <v>0</v>
      </c>
      <c r="CZ884" s="44">
        <v>0</v>
      </c>
      <c r="DA884" s="44">
        <v>0</v>
      </c>
      <c r="DB884" s="44">
        <v>0</v>
      </c>
      <c r="DC884" s="44">
        <v>0</v>
      </c>
      <c r="DD884" s="44">
        <v>0</v>
      </c>
      <c r="DE884" s="44">
        <v>0</v>
      </c>
      <c r="DF884" s="44">
        <v>0</v>
      </c>
      <c r="DG884" s="16">
        <f t="shared" si="72"/>
        <v>2222.0000001229996</v>
      </c>
      <c r="DH884" s="16">
        <f t="shared" si="73"/>
        <v>37531.561670692005</v>
      </c>
      <c r="DI884" s="17">
        <f t="shared" si="74"/>
        <v>16.890891840060501</v>
      </c>
      <c r="DJ884" s="119" t="s">
        <v>2</v>
      </c>
      <c r="DK884" s="44" t="s">
        <v>2</v>
      </c>
    </row>
    <row r="885" spans="1:116">
      <c r="A885" s="32" t="str">
        <f t="shared" si="75"/>
        <v>Ergon--&gt; 22 kV &amp; &lt; = 33 kV ; CIRCUIT BREAKER</v>
      </c>
      <c r="B885" s="32" t="str">
        <f t="shared" si="76"/>
        <v>Ergon</v>
      </c>
      <c r="C885" s="387"/>
      <c r="D885" s="44"/>
      <c r="E885" s="44" t="s">
        <v>252</v>
      </c>
      <c r="F885" s="44">
        <v>42.9</v>
      </c>
      <c r="G885" s="44">
        <v>6.55</v>
      </c>
      <c r="H885" s="44">
        <v>0</v>
      </c>
      <c r="I885" s="44">
        <v>10.170454550000001</v>
      </c>
      <c r="J885" s="44">
        <v>13.22159091</v>
      </c>
      <c r="K885" s="44">
        <v>3.051136364</v>
      </c>
      <c r="L885" s="44">
        <v>34.579545449999998</v>
      </c>
      <c r="M885" s="44">
        <v>19.323863639999999</v>
      </c>
      <c r="N885" s="44">
        <v>21.357954549999999</v>
      </c>
      <c r="O885" s="44">
        <v>5.0852272730000001</v>
      </c>
      <c r="P885" s="44">
        <v>8.1363636360000005</v>
      </c>
      <c r="Q885" s="44">
        <v>19.323863639999999</v>
      </c>
      <c r="R885" s="44">
        <v>13.22159091</v>
      </c>
      <c r="S885" s="44">
        <v>27.460227270000001</v>
      </c>
      <c r="T885" s="44">
        <v>18.30681818</v>
      </c>
      <c r="U885" s="44">
        <v>9.1534090910000003</v>
      </c>
      <c r="V885" s="44">
        <v>5.0852272730000001</v>
      </c>
      <c r="W885" s="44">
        <v>3.051136364</v>
      </c>
      <c r="X885" s="44">
        <v>0</v>
      </c>
      <c r="Y885" s="44">
        <v>1.0170454550000001</v>
      </c>
      <c r="Z885" s="44">
        <v>18.30681818</v>
      </c>
      <c r="AA885" s="44">
        <v>2.0340909090000001</v>
      </c>
      <c r="AB885" s="44">
        <v>0</v>
      </c>
      <c r="AC885" s="44">
        <v>1.0170454550000001</v>
      </c>
      <c r="AD885" s="44">
        <v>0</v>
      </c>
      <c r="AE885" s="44">
        <v>1.0170454550000001</v>
      </c>
      <c r="AF885" s="44">
        <v>1.0170454550000001</v>
      </c>
      <c r="AG885" s="44">
        <v>0</v>
      </c>
      <c r="AH885" s="44">
        <v>0</v>
      </c>
      <c r="AI885" s="44">
        <v>7.1193181819999998</v>
      </c>
      <c r="AJ885" s="44">
        <v>5.0852272730000001</v>
      </c>
      <c r="AK885" s="44">
        <v>6.1022727269999999</v>
      </c>
      <c r="AL885" s="44">
        <v>1.0170454550000001</v>
      </c>
      <c r="AM885" s="44">
        <v>8.1363636360000005</v>
      </c>
      <c r="AN885" s="44">
        <v>4.0681818180000002</v>
      </c>
      <c r="AO885" s="44">
        <v>1.0170454550000001</v>
      </c>
      <c r="AP885" s="44">
        <v>1.0170454550000001</v>
      </c>
      <c r="AQ885" s="44">
        <v>3.051136364</v>
      </c>
      <c r="AR885" s="44">
        <v>1.0170454550000001</v>
      </c>
      <c r="AS885" s="44">
        <v>0</v>
      </c>
      <c r="AT885" s="44">
        <v>11.1875</v>
      </c>
      <c r="AU885" s="44">
        <v>0</v>
      </c>
      <c r="AV885" s="44">
        <v>0</v>
      </c>
      <c r="AW885" s="44">
        <v>0</v>
      </c>
      <c r="AX885" s="44">
        <v>1.0170454550000001</v>
      </c>
      <c r="AY885" s="44">
        <v>5.0852272730000001</v>
      </c>
      <c r="AZ885" s="44">
        <v>1.0170454550000001</v>
      </c>
      <c r="BA885" s="44">
        <v>13.22159091</v>
      </c>
      <c r="BB885" s="44">
        <v>14.238636359999999</v>
      </c>
      <c r="BC885" s="44">
        <v>1.0170454550000001</v>
      </c>
      <c r="BD885" s="44">
        <v>17.289772729999999</v>
      </c>
      <c r="BE885" s="44">
        <v>1.0170454550000001</v>
      </c>
      <c r="BF885" s="44">
        <v>0</v>
      </c>
      <c r="BG885" s="44">
        <v>0</v>
      </c>
      <c r="BH885" s="44">
        <v>2.0340909090000001</v>
      </c>
      <c r="BI885" s="44">
        <v>0</v>
      </c>
      <c r="BJ885" s="44">
        <v>11.1875</v>
      </c>
      <c r="BK885" s="44">
        <v>0</v>
      </c>
      <c r="BL885" s="44">
        <v>0</v>
      </c>
      <c r="BM885" s="44">
        <v>0</v>
      </c>
      <c r="BN885" s="44">
        <v>0</v>
      </c>
      <c r="BO885" s="44">
        <v>0</v>
      </c>
      <c r="BP885" s="44">
        <v>0</v>
      </c>
      <c r="BQ885" s="44">
        <v>4.0681818180000002</v>
      </c>
      <c r="BR885" s="44">
        <v>3.051136364</v>
      </c>
      <c r="BS885" s="44">
        <v>0</v>
      </c>
      <c r="BT885" s="44">
        <v>0</v>
      </c>
      <c r="BU885" s="44">
        <v>0</v>
      </c>
      <c r="BV885" s="44">
        <v>0</v>
      </c>
      <c r="BW885" s="44">
        <v>0</v>
      </c>
      <c r="BX885" s="44">
        <v>0</v>
      </c>
      <c r="BY885" s="44">
        <v>0</v>
      </c>
      <c r="BZ885" s="44">
        <v>0</v>
      </c>
      <c r="CA885" s="44">
        <v>0</v>
      </c>
      <c r="CB885" s="44">
        <v>0</v>
      </c>
      <c r="CC885" s="44">
        <v>0</v>
      </c>
      <c r="CD885" s="44">
        <v>0</v>
      </c>
      <c r="CE885" s="44">
        <v>0</v>
      </c>
      <c r="CF885" s="44">
        <v>0</v>
      </c>
      <c r="CG885" s="44">
        <v>0</v>
      </c>
      <c r="CH885" s="44">
        <v>0</v>
      </c>
      <c r="CI885" s="44">
        <v>0</v>
      </c>
      <c r="CJ885" s="44">
        <v>0</v>
      </c>
      <c r="CK885" s="44">
        <v>0</v>
      </c>
      <c r="CL885" s="44">
        <v>0</v>
      </c>
      <c r="CM885" s="44">
        <v>0</v>
      </c>
      <c r="CN885" s="44">
        <v>0</v>
      </c>
      <c r="CO885" s="44">
        <v>0</v>
      </c>
      <c r="CP885" s="44">
        <v>0</v>
      </c>
      <c r="CQ885" s="44">
        <v>0</v>
      </c>
      <c r="CR885" s="44">
        <v>0</v>
      </c>
      <c r="CS885" s="44">
        <v>0</v>
      </c>
      <c r="CT885" s="44">
        <v>0</v>
      </c>
      <c r="CU885" s="44">
        <v>0</v>
      </c>
      <c r="CV885" s="44">
        <v>0</v>
      </c>
      <c r="CW885" s="44">
        <v>0</v>
      </c>
      <c r="CX885" s="44">
        <v>0</v>
      </c>
      <c r="CY885" s="44">
        <v>0</v>
      </c>
      <c r="CZ885" s="44">
        <v>0</v>
      </c>
      <c r="DA885" s="44">
        <v>0</v>
      </c>
      <c r="DB885" s="44">
        <v>0</v>
      </c>
      <c r="DC885" s="44">
        <v>0</v>
      </c>
      <c r="DD885" s="44">
        <v>0</v>
      </c>
      <c r="DE885" s="44">
        <v>0</v>
      </c>
      <c r="DF885" s="44">
        <v>0</v>
      </c>
      <c r="DG885" s="16">
        <f t="shared" si="72"/>
        <v>358.00000001400002</v>
      </c>
      <c r="DH885" s="16">
        <f t="shared" si="73"/>
        <v>7578.0056820369991</v>
      </c>
      <c r="DI885" s="17">
        <f t="shared" si="74"/>
        <v>21.167613636147074</v>
      </c>
      <c r="DJ885" s="119" t="s">
        <v>2</v>
      </c>
      <c r="DK885" s="44" t="s">
        <v>2</v>
      </c>
    </row>
    <row r="886" spans="1:116">
      <c r="A886" s="32" t="str">
        <f t="shared" si="75"/>
        <v>Ergon--&gt; 33 kV &amp; &lt; = 66 kV ; SWITCH</v>
      </c>
      <c r="B886" s="32" t="str">
        <f t="shared" si="76"/>
        <v>Ergon</v>
      </c>
      <c r="C886" s="387"/>
      <c r="D886" s="44"/>
      <c r="E886" s="44" t="s">
        <v>253</v>
      </c>
      <c r="F886" s="44">
        <v>49.9</v>
      </c>
      <c r="G886" s="44">
        <v>7.07</v>
      </c>
      <c r="H886" s="44">
        <v>2.0551139369999998</v>
      </c>
      <c r="I886" s="44">
        <v>46.240063589999998</v>
      </c>
      <c r="J886" s="44">
        <v>40.074721779999997</v>
      </c>
      <c r="K886" s="44">
        <v>66.791202970000001</v>
      </c>
      <c r="L886" s="44">
        <v>91.452570219999998</v>
      </c>
      <c r="M886" s="44">
        <v>70.901430840000003</v>
      </c>
      <c r="N886" s="44">
        <v>40.074721779999997</v>
      </c>
      <c r="O886" s="44">
        <v>40.074721779999997</v>
      </c>
      <c r="P886" s="44">
        <v>61.653418119999998</v>
      </c>
      <c r="Q886" s="44">
        <v>46.240063589999998</v>
      </c>
      <c r="R886" s="44">
        <v>25.688924220000001</v>
      </c>
      <c r="S886" s="44">
        <v>32.881822999999997</v>
      </c>
      <c r="T886" s="44">
        <v>46.240063589999998</v>
      </c>
      <c r="U886" s="44">
        <v>41.102278750000004</v>
      </c>
      <c r="V886" s="44">
        <v>35.964493910000002</v>
      </c>
      <c r="W886" s="44">
        <v>48.295177529999997</v>
      </c>
      <c r="X886" s="44">
        <v>22.60625331</v>
      </c>
      <c r="Y886" s="44">
        <v>17.468468470000001</v>
      </c>
      <c r="Z886" s="44">
        <v>39.047164809999998</v>
      </c>
      <c r="AA886" s="44">
        <v>12.33068362</v>
      </c>
      <c r="AB886" s="44">
        <v>19.523582409999999</v>
      </c>
      <c r="AC886" s="44">
        <v>32.881822999999997</v>
      </c>
      <c r="AD886" s="44">
        <v>61.653418119999998</v>
      </c>
      <c r="AE886" s="44">
        <v>6.1653418120000003</v>
      </c>
      <c r="AF886" s="44">
        <v>26.71648119</v>
      </c>
      <c r="AG886" s="44">
        <v>34.936936940000002</v>
      </c>
      <c r="AH886" s="44">
        <v>38.019607839999999</v>
      </c>
      <c r="AI886" s="44">
        <v>52.40540541</v>
      </c>
      <c r="AJ886" s="44">
        <v>52.40540541</v>
      </c>
      <c r="AK886" s="44">
        <v>105.8383678</v>
      </c>
      <c r="AL886" s="44">
        <v>29.79915209</v>
      </c>
      <c r="AM886" s="44">
        <v>62.680975089999997</v>
      </c>
      <c r="AN886" s="44">
        <v>43.157392690000002</v>
      </c>
      <c r="AO886" s="44">
        <v>35.964493910000002</v>
      </c>
      <c r="AP886" s="44">
        <v>72.956544780000002</v>
      </c>
      <c r="AQ886" s="44">
        <v>69.873873869999997</v>
      </c>
      <c r="AR886" s="44">
        <v>21.57869634</v>
      </c>
      <c r="AS886" s="44">
        <v>10.275569689999999</v>
      </c>
      <c r="AT886" s="44">
        <v>33.909379970000003</v>
      </c>
      <c r="AU886" s="44">
        <v>6.1653418120000003</v>
      </c>
      <c r="AV886" s="44">
        <v>16.440911499999999</v>
      </c>
      <c r="AW886" s="44">
        <v>9.2480127190000001</v>
      </c>
      <c r="AX886" s="44">
        <v>56.515633280000003</v>
      </c>
      <c r="AY886" s="44">
        <v>16.440911499999999</v>
      </c>
      <c r="AZ886" s="44">
        <v>17.468468470000001</v>
      </c>
      <c r="BA886" s="44">
        <v>16.440911499999999</v>
      </c>
      <c r="BB886" s="44">
        <v>11.30312666</v>
      </c>
      <c r="BC886" s="44">
        <v>4.1102278749999996</v>
      </c>
      <c r="BD886" s="44">
        <v>58.570747220000001</v>
      </c>
      <c r="BE886" s="44">
        <v>21.57869634</v>
      </c>
      <c r="BF886" s="44">
        <v>11.30312666</v>
      </c>
      <c r="BG886" s="44">
        <v>11.30312666</v>
      </c>
      <c r="BH886" s="44">
        <v>9.2480127190000001</v>
      </c>
      <c r="BI886" s="44">
        <v>7.1928987810000002</v>
      </c>
      <c r="BJ886" s="44">
        <v>15.413354529999999</v>
      </c>
      <c r="BK886" s="44">
        <v>0</v>
      </c>
      <c r="BL886" s="44">
        <v>0</v>
      </c>
      <c r="BM886" s="44">
        <v>10.275569689999999</v>
      </c>
      <c r="BN886" s="44">
        <v>0</v>
      </c>
      <c r="BO886" s="44">
        <v>0</v>
      </c>
      <c r="BP886" s="44">
        <v>0</v>
      </c>
      <c r="BQ886" s="44">
        <v>0</v>
      </c>
      <c r="BR886" s="44">
        <v>0</v>
      </c>
      <c r="BS886" s="44">
        <v>0</v>
      </c>
      <c r="BT886" s="44">
        <v>0</v>
      </c>
      <c r="BU886" s="44">
        <v>0</v>
      </c>
      <c r="BV886" s="44">
        <v>0</v>
      </c>
      <c r="BW886" s="44">
        <v>2.0551139369999998</v>
      </c>
      <c r="BX886" s="44">
        <v>0</v>
      </c>
      <c r="BY886" s="44">
        <v>0</v>
      </c>
      <c r="BZ886" s="44">
        <v>0</v>
      </c>
      <c r="CA886" s="44">
        <v>0</v>
      </c>
      <c r="CB886" s="44">
        <v>0</v>
      </c>
      <c r="CC886" s="44">
        <v>0</v>
      </c>
      <c r="CD886" s="44">
        <v>0</v>
      </c>
      <c r="CE886" s="44">
        <v>0</v>
      </c>
      <c r="CF886" s="44">
        <v>0</v>
      </c>
      <c r="CG886" s="44">
        <v>0</v>
      </c>
      <c r="CH886" s="44">
        <v>0</v>
      </c>
      <c r="CI886" s="44">
        <v>0</v>
      </c>
      <c r="CJ886" s="44">
        <v>0</v>
      </c>
      <c r="CK886" s="44">
        <v>0</v>
      </c>
      <c r="CL886" s="44">
        <v>0</v>
      </c>
      <c r="CM886" s="44">
        <v>0</v>
      </c>
      <c r="CN886" s="44">
        <v>0</v>
      </c>
      <c r="CO886" s="44">
        <v>0</v>
      </c>
      <c r="CP886" s="44">
        <v>0</v>
      </c>
      <c r="CQ886" s="44">
        <v>0</v>
      </c>
      <c r="CR886" s="44">
        <v>0</v>
      </c>
      <c r="CS886" s="44">
        <v>0</v>
      </c>
      <c r="CT886" s="44">
        <v>0</v>
      </c>
      <c r="CU886" s="44">
        <v>0</v>
      </c>
      <c r="CV886" s="44">
        <v>0</v>
      </c>
      <c r="CW886" s="44">
        <v>0</v>
      </c>
      <c r="CX886" s="44">
        <v>0</v>
      </c>
      <c r="CY886" s="44">
        <v>0</v>
      </c>
      <c r="CZ886" s="44">
        <v>0</v>
      </c>
      <c r="DA886" s="44">
        <v>0</v>
      </c>
      <c r="DB886" s="44">
        <v>0</v>
      </c>
      <c r="DC886" s="44">
        <v>0</v>
      </c>
      <c r="DD886" s="44">
        <v>0</v>
      </c>
      <c r="DE886" s="44">
        <v>0</v>
      </c>
      <c r="DF886" s="44">
        <v>0</v>
      </c>
      <c r="DG886" s="16">
        <f t="shared" si="72"/>
        <v>1939.0000000320003</v>
      </c>
      <c r="DH886" s="16">
        <f t="shared" si="73"/>
        <v>46766.172762440001</v>
      </c>
      <c r="DI886" s="17">
        <f t="shared" si="74"/>
        <v>24.118706942582875</v>
      </c>
      <c r="DJ886" s="119" t="s">
        <v>2</v>
      </c>
      <c r="DK886" s="44" t="s">
        <v>2</v>
      </c>
    </row>
    <row r="887" spans="1:116">
      <c r="A887" s="32" t="str">
        <f t="shared" si="75"/>
        <v>Ergon--&gt; 33 kV &amp; &lt; = 66 kV ; CIRCUIT BREAKER</v>
      </c>
      <c r="B887" s="32" t="str">
        <f t="shared" si="76"/>
        <v>Ergon</v>
      </c>
      <c r="C887" s="387"/>
      <c r="D887" s="44"/>
      <c r="E887" s="44" t="s">
        <v>254</v>
      </c>
      <c r="F887" s="44">
        <v>42.9</v>
      </c>
      <c r="G887" s="44">
        <v>6.55</v>
      </c>
      <c r="H887" s="44">
        <v>2.0173310230000001</v>
      </c>
      <c r="I887" s="44">
        <v>11.095320620000001</v>
      </c>
      <c r="J887" s="44">
        <v>3.0259965339999999</v>
      </c>
      <c r="K887" s="44">
        <v>16.138648180000001</v>
      </c>
      <c r="L887" s="44">
        <v>11.095320620000001</v>
      </c>
      <c r="M887" s="44">
        <v>16.138648180000001</v>
      </c>
      <c r="N887" s="44">
        <v>18.155979200000001</v>
      </c>
      <c r="O887" s="44">
        <v>19.164644710000001</v>
      </c>
      <c r="P887" s="44">
        <v>29.251299830000001</v>
      </c>
      <c r="Q887" s="44">
        <v>17.147313690000001</v>
      </c>
      <c r="R887" s="44">
        <v>23.199306759999999</v>
      </c>
      <c r="S887" s="44">
        <v>19.164644710000001</v>
      </c>
      <c r="T887" s="44">
        <v>6.0519930679999998</v>
      </c>
      <c r="U887" s="44">
        <v>19.164644710000001</v>
      </c>
      <c r="V887" s="44">
        <v>5.0433275560000004</v>
      </c>
      <c r="W887" s="44">
        <v>9.0779896010000005</v>
      </c>
      <c r="X887" s="44">
        <v>11.095320620000001</v>
      </c>
      <c r="Y887" s="44">
        <v>3.0259965339999999</v>
      </c>
      <c r="Z887" s="44">
        <v>8.0693240900000003</v>
      </c>
      <c r="AA887" s="44">
        <v>4.0346620450000001</v>
      </c>
      <c r="AB887" s="44">
        <v>10.086655110000001</v>
      </c>
      <c r="AC887" s="44">
        <v>4.0346620450000001</v>
      </c>
      <c r="AD887" s="44">
        <v>33.285961870000001</v>
      </c>
      <c r="AE887" s="44">
        <v>8.0693240900000003</v>
      </c>
      <c r="AF887" s="44">
        <v>2.0173310230000001</v>
      </c>
      <c r="AG887" s="44">
        <v>5.0433275560000004</v>
      </c>
      <c r="AH887" s="44">
        <v>9.0779896010000005</v>
      </c>
      <c r="AI887" s="44">
        <v>15.12998267</v>
      </c>
      <c r="AJ887" s="44">
        <v>29.251299830000001</v>
      </c>
      <c r="AK887" s="44">
        <v>23.199306759999999</v>
      </c>
      <c r="AL887" s="44">
        <v>12.10398614</v>
      </c>
      <c r="AM887" s="44">
        <v>11.095320620000001</v>
      </c>
      <c r="AN887" s="44">
        <v>15.12998267</v>
      </c>
      <c r="AO887" s="44">
        <v>16.138648180000001</v>
      </c>
      <c r="AP887" s="44">
        <v>12.10398614</v>
      </c>
      <c r="AQ887" s="44">
        <v>16.138648180000001</v>
      </c>
      <c r="AR887" s="44">
        <v>9.0779896010000005</v>
      </c>
      <c r="AS887" s="44">
        <v>0</v>
      </c>
      <c r="AT887" s="44">
        <v>1.008665511</v>
      </c>
      <c r="AU887" s="44">
        <v>12.10398614</v>
      </c>
      <c r="AV887" s="44">
        <v>3.0259965339999999</v>
      </c>
      <c r="AW887" s="44">
        <v>8.0693240900000003</v>
      </c>
      <c r="AX887" s="44">
        <v>14.12131716</v>
      </c>
      <c r="AY887" s="44">
        <v>13.11265165</v>
      </c>
      <c r="AZ887" s="44">
        <v>3.0259965339999999</v>
      </c>
      <c r="BA887" s="44">
        <v>8.0693240900000003</v>
      </c>
      <c r="BB887" s="44">
        <v>9.0779896010000005</v>
      </c>
      <c r="BC887" s="44">
        <v>0</v>
      </c>
      <c r="BD887" s="44">
        <v>2.0173310230000001</v>
      </c>
      <c r="BE887" s="44">
        <v>0</v>
      </c>
      <c r="BF887" s="44">
        <v>4.0346620450000001</v>
      </c>
      <c r="BG887" s="44">
        <v>0</v>
      </c>
      <c r="BH887" s="44">
        <v>6.0519930679999998</v>
      </c>
      <c r="BI887" s="44">
        <v>1.008665511</v>
      </c>
      <c r="BJ887" s="44">
        <v>5.0433275560000004</v>
      </c>
      <c r="BK887" s="44">
        <v>0</v>
      </c>
      <c r="BL887" s="44">
        <v>0</v>
      </c>
      <c r="BM887" s="44">
        <v>7.060658579</v>
      </c>
      <c r="BN887" s="44">
        <v>1.008665511</v>
      </c>
      <c r="BO887" s="44">
        <v>2.0173310230000001</v>
      </c>
      <c r="BP887" s="44">
        <v>0</v>
      </c>
      <c r="BQ887" s="44">
        <v>0</v>
      </c>
      <c r="BR887" s="44">
        <v>0</v>
      </c>
      <c r="BS887" s="44">
        <v>0</v>
      </c>
      <c r="BT887" s="44">
        <v>0</v>
      </c>
      <c r="BU887" s="44">
        <v>0</v>
      </c>
      <c r="BV887" s="44">
        <v>0</v>
      </c>
      <c r="BW887" s="44">
        <v>0</v>
      </c>
      <c r="BX887" s="44">
        <v>0</v>
      </c>
      <c r="BY887" s="44">
        <v>0</v>
      </c>
      <c r="BZ887" s="44">
        <v>0</v>
      </c>
      <c r="CA887" s="44">
        <v>0</v>
      </c>
      <c r="CB887" s="44">
        <v>0</v>
      </c>
      <c r="CC887" s="44">
        <v>0</v>
      </c>
      <c r="CD887" s="44">
        <v>0</v>
      </c>
      <c r="CE887" s="44">
        <v>0</v>
      </c>
      <c r="CF887" s="44">
        <v>0</v>
      </c>
      <c r="CG887" s="44">
        <v>0</v>
      </c>
      <c r="CH887" s="44">
        <v>0</v>
      </c>
      <c r="CI887" s="44">
        <v>0</v>
      </c>
      <c r="CJ887" s="44">
        <v>0</v>
      </c>
      <c r="CK887" s="44">
        <v>0</v>
      </c>
      <c r="CL887" s="44">
        <v>0</v>
      </c>
      <c r="CM887" s="44">
        <v>0</v>
      </c>
      <c r="CN887" s="44">
        <v>0</v>
      </c>
      <c r="CO887" s="44">
        <v>0</v>
      </c>
      <c r="CP887" s="44">
        <v>0</v>
      </c>
      <c r="CQ887" s="44">
        <v>0</v>
      </c>
      <c r="CR887" s="44">
        <v>0</v>
      </c>
      <c r="CS887" s="44">
        <v>0</v>
      </c>
      <c r="CT887" s="44">
        <v>0</v>
      </c>
      <c r="CU887" s="44">
        <v>0</v>
      </c>
      <c r="CV887" s="44">
        <v>0</v>
      </c>
      <c r="CW887" s="44">
        <v>0</v>
      </c>
      <c r="CX887" s="44">
        <v>0</v>
      </c>
      <c r="CY887" s="44">
        <v>0</v>
      </c>
      <c r="CZ887" s="44">
        <v>0</v>
      </c>
      <c r="DA887" s="44">
        <v>0</v>
      </c>
      <c r="DB887" s="44">
        <v>0</v>
      </c>
      <c r="DC887" s="44">
        <v>0</v>
      </c>
      <c r="DD887" s="44">
        <v>0</v>
      </c>
      <c r="DE887" s="44">
        <v>0</v>
      </c>
      <c r="DF887" s="44">
        <v>0</v>
      </c>
      <c r="DG887" s="16">
        <f t="shared" si="72"/>
        <v>581.99999999300019</v>
      </c>
      <c r="DH887" s="16">
        <f t="shared" si="73"/>
        <v>13920.592721433002</v>
      </c>
      <c r="DI887" s="17">
        <f t="shared" si="74"/>
        <v>23.918544195189739</v>
      </c>
      <c r="DJ887" s="119" t="s">
        <v>2</v>
      </c>
      <c r="DK887" s="44" t="s">
        <v>2</v>
      </c>
    </row>
    <row r="888" spans="1:116">
      <c r="A888" s="32" t="str">
        <f t="shared" si="75"/>
        <v>Ergon--&gt; 66 kV &amp; &lt; = 132 kV ; SWITCH</v>
      </c>
      <c r="B888" s="32" t="str">
        <f t="shared" si="76"/>
        <v>Ergon</v>
      </c>
      <c r="C888" s="387"/>
      <c r="D888" s="44"/>
      <c r="E888" s="44" t="s">
        <v>255</v>
      </c>
      <c r="F888" s="44">
        <v>49.9</v>
      </c>
      <c r="G888" s="44">
        <v>7.07</v>
      </c>
      <c r="H888" s="44">
        <v>0</v>
      </c>
      <c r="I888" s="44">
        <v>23.171003720000002</v>
      </c>
      <c r="J888" s="44">
        <v>10.074349440000001</v>
      </c>
      <c r="K888" s="44">
        <v>3.0223048330000002</v>
      </c>
      <c r="L888" s="44">
        <v>17.126394049999998</v>
      </c>
      <c r="M888" s="44">
        <v>9.0669144979999992</v>
      </c>
      <c r="N888" s="44">
        <v>17.126394049999998</v>
      </c>
      <c r="O888" s="44">
        <v>29.215613380000001</v>
      </c>
      <c r="P888" s="44">
        <v>16.118959109999999</v>
      </c>
      <c r="Q888" s="44">
        <v>0</v>
      </c>
      <c r="R888" s="44">
        <v>2.0148698880000002</v>
      </c>
      <c r="S888" s="44">
        <v>10.074349440000001</v>
      </c>
      <c r="T888" s="44">
        <v>1.0074349440000001</v>
      </c>
      <c r="U888" s="44">
        <v>0</v>
      </c>
      <c r="V888" s="44">
        <v>3.0223048330000002</v>
      </c>
      <c r="W888" s="44">
        <v>10.074349440000001</v>
      </c>
      <c r="X888" s="44">
        <v>0</v>
      </c>
      <c r="Y888" s="44">
        <v>2.0148698880000002</v>
      </c>
      <c r="Z888" s="44">
        <v>3.0223048330000002</v>
      </c>
      <c r="AA888" s="44">
        <v>12.089219330000001</v>
      </c>
      <c r="AB888" s="44">
        <v>0</v>
      </c>
      <c r="AC888" s="44">
        <v>7.0520446100000003</v>
      </c>
      <c r="AD888" s="44">
        <v>9.0669144979999992</v>
      </c>
      <c r="AE888" s="44">
        <v>3.0223048330000002</v>
      </c>
      <c r="AF888" s="44">
        <v>3.0223048330000002</v>
      </c>
      <c r="AG888" s="44">
        <v>0</v>
      </c>
      <c r="AH888" s="44">
        <v>4.0297397769999996</v>
      </c>
      <c r="AI888" s="44">
        <v>3.0223048330000002</v>
      </c>
      <c r="AJ888" s="44">
        <v>1.0074349440000001</v>
      </c>
      <c r="AK888" s="44">
        <v>23.171003720000002</v>
      </c>
      <c r="AL888" s="44">
        <v>0</v>
      </c>
      <c r="AM888" s="44">
        <v>10.074349440000001</v>
      </c>
      <c r="AN888" s="44">
        <v>6.0446096650000003</v>
      </c>
      <c r="AO888" s="44">
        <v>5.0371747210000004</v>
      </c>
      <c r="AP888" s="44">
        <v>0</v>
      </c>
      <c r="AQ888" s="44">
        <v>0</v>
      </c>
      <c r="AR888" s="44">
        <v>2.0148698880000002</v>
      </c>
      <c r="AS888" s="44">
        <v>0</v>
      </c>
      <c r="AT888" s="44">
        <v>0</v>
      </c>
      <c r="AU888" s="44">
        <v>0</v>
      </c>
      <c r="AV888" s="44">
        <v>0</v>
      </c>
      <c r="AW888" s="44">
        <v>0</v>
      </c>
      <c r="AX888" s="44">
        <v>0</v>
      </c>
      <c r="AY888" s="44">
        <v>0</v>
      </c>
      <c r="AZ888" s="44">
        <v>23.171003720000002</v>
      </c>
      <c r="BA888" s="44">
        <v>0</v>
      </c>
      <c r="BB888" s="44">
        <v>1.0074349440000001</v>
      </c>
      <c r="BC888" s="44">
        <v>0</v>
      </c>
      <c r="BD888" s="44">
        <v>0</v>
      </c>
      <c r="BE888" s="44">
        <v>0</v>
      </c>
      <c r="BF888" s="44">
        <v>0</v>
      </c>
      <c r="BG888" s="44">
        <v>2.0148698880000002</v>
      </c>
      <c r="BH888" s="44">
        <v>0</v>
      </c>
      <c r="BI888" s="44">
        <v>0</v>
      </c>
      <c r="BJ888" s="44">
        <v>0</v>
      </c>
      <c r="BK888" s="44">
        <v>0</v>
      </c>
      <c r="BL888" s="44">
        <v>0</v>
      </c>
      <c r="BM888" s="44">
        <v>0</v>
      </c>
      <c r="BN888" s="44">
        <v>0</v>
      </c>
      <c r="BO888" s="44">
        <v>0</v>
      </c>
      <c r="BP888" s="44">
        <v>0</v>
      </c>
      <c r="BQ888" s="44">
        <v>0</v>
      </c>
      <c r="BR888" s="44">
        <v>0</v>
      </c>
      <c r="BS888" s="44">
        <v>0</v>
      </c>
      <c r="BT888" s="44">
        <v>0</v>
      </c>
      <c r="BU888" s="44">
        <v>0</v>
      </c>
      <c r="BV888" s="44">
        <v>0</v>
      </c>
      <c r="BW888" s="44">
        <v>0</v>
      </c>
      <c r="BX888" s="44">
        <v>0</v>
      </c>
      <c r="BY888" s="44">
        <v>0</v>
      </c>
      <c r="BZ888" s="44">
        <v>0</v>
      </c>
      <c r="CA888" s="44">
        <v>0</v>
      </c>
      <c r="CB888" s="44">
        <v>0</v>
      </c>
      <c r="CC888" s="44">
        <v>0</v>
      </c>
      <c r="CD888" s="44">
        <v>0</v>
      </c>
      <c r="CE888" s="44">
        <v>0</v>
      </c>
      <c r="CF888" s="44">
        <v>0</v>
      </c>
      <c r="CG888" s="44">
        <v>0</v>
      </c>
      <c r="CH888" s="44">
        <v>0</v>
      </c>
      <c r="CI888" s="44">
        <v>0</v>
      </c>
      <c r="CJ888" s="44">
        <v>0</v>
      </c>
      <c r="CK888" s="44">
        <v>0</v>
      </c>
      <c r="CL888" s="44">
        <v>0</v>
      </c>
      <c r="CM888" s="44">
        <v>0</v>
      </c>
      <c r="CN888" s="44">
        <v>0</v>
      </c>
      <c r="CO888" s="44">
        <v>0</v>
      </c>
      <c r="CP888" s="44">
        <v>0</v>
      </c>
      <c r="CQ888" s="44">
        <v>0</v>
      </c>
      <c r="CR888" s="44">
        <v>0</v>
      </c>
      <c r="CS888" s="44">
        <v>0</v>
      </c>
      <c r="CT888" s="44">
        <v>0</v>
      </c>
      <c r="CU888" s="44">
        <v>0</v>
      </c>
      <c r="CV888" s="44">
        <v>0</v>
      </c>
      <c r="CW888" s="44">
        <v>0</v>
      </c>
      <c r="CX888" s="44">
        <v>0</v>
      </c>
      <c r="CY888" s="44">
        <v>0</v>
      </c>
      <c r="CZ888" s="44">
        <v>0</v>
      </c>
      <c r="DA888" s="44">
        <v>0</v>
      </c>
      <c r="DB888" s="44">
        <v>0</v>
      </c>
      <c r="DC888" s="44">
        <v>0</v>
      </c>
      <c r="DD888" s="44">
        <v>0</v>
      </c>
      <c r="DE888" s="44">
        <v>0</v>
      </c>
      <c r="DF888" s="44">
        <v>0</v>
      </c>
      <c r="DG888" s="16">
        <f t="shared" si="72"/>
        <v>270.99999999099998</v>
      </c>
      <c r="DH888" s="16">
        <f t="shared" si="73"/>
        <v>4817.5539032850011</v>
      </c>
      <c r="DI888" s="17">
        <f t="shared" si="74"/>
        <v>17.776951673228758</v>
      </c>
      <c r="DJ888" s="119" t="s">
        <v>2</v>
      </c>
      <c r="DK888" s="44" t="s">
        <v>2</v>
      </c>
    </row>
    <row r="889" spans="1:116">
      <c r="A889" s="32" t="str">
        <f t="shared" si="75"/>
        <v>Ergon--&gt; 66 kV &amp; &lt; = 132 kV  ; CIRCUIT BREAKER</v>
      </c>
      <c r="B889" s="32" t="str">
        <f t="shared" si="76"/>
        <v>Ergon</v>
      </c>
      <c r="C889" s="387"/>
      <c r="D889" s="44"/>
      <c r="E889" s="44" t="s">
        <v>256</v>
      </c>
      <c r="F889" s="44">
        <v>42.9</v>
      </c>
      <c r="G889" s="44">
        <v>6.55</v>
      </c>
      <c r="H889" s="44">
        <v>0</v>
      </c>
      <c r="I889" s="44">
        <v>2.019230769</v>
      </c>
      <c r="J889" s="44">
        <v>2.019230769</v>
      </c>
      <c r="K889" s="44">
        <v>2.019230769</v>
      </c>
      <c r="L889" s="44">
        <v>9.086538462</v>
      </c>
      <c r="M889" s="44">
        <v>2.019230769</v>
      </c>
      <c r="N889" s="44">
        <v>6.057692308</v>
      </c>
      <c r="O889" s="44">
        <v>2.019230769</v>
      </c>
      <c r="P889" s="44">
        <v>16.15384615</v>
      </c>
      <c r="Q889" s="44">
        <v>7.067307692</v>
      </c>
      <c r="R889" s="44">
        <v>2.019230769</v>
      </c>
      <c r="S889" s="44">
        <v>3.028846154</v>
      </c>
      <c r="T889" s="44">
        <v>0</v>
      </c>
      <c r="U889" s="44">
        <v>0</v>
      </c>
      <c r="V889" s="44">
        <v>2.019230769</v>
      </c>
      <c r="W889" s="44">
        <v>0</v>
      </c>
      <c r="X889" s="44">
        <v>0</v>
      </c>
      <c r="Y889" s="44">
        <v>2.019230769</v>
      </c>
      <c r="Z889" s="44">
        <v>2.019230769</v>
      </c>
      <c r="AA889" s="44">
        <v>0</v>
      </c>
      <c r="AB889" s="44">
        <v>0</v>
      </c>
      <c r="AC889" s="44">
        <v>2.019230769</v>
      </c>
      <c r="AD889" s="44">
        <v>4.038461538</v>
      </c>
      <c r="AE889" s="44">
        <v>1.009615385</v>
      </c>
      <c r="AF889" s="44">
        <v>11.10576923</v>
      </c>
      <c r="AG889" s="44">
        <v>4.038461538</v>
      </c>
      <c r="AH889" s="44">
        <v>0</v>
      </c>
      <c r="AI889" s="44">
        <v>0</v>
      </c>
      <c r="AJ889" s="44">
        <v>1.009615385</v>
      </c>
      <c r="AK889" s="44">
        <v>6.057692308</v>
      </c>
      <c r="AL889" s="44">
        <v>0</v>
      </c>
      <c r="AM889" s="44">
        <v>5.048076923</v>
      </c>
      <c r="AN889" s="44">
        <v>2.019230769</v>
      </c>
      <c r="AO889" s="44">
        <v>0</v>
      </c>
      <c r="AP889" s="44">
        <v>0</v>
      </c>
      <c r="AQ889" s="44">
        <v>0</v>
      </c>
      <c r="AR889" s="44">
        <v>1.009615385</v>
      </c>
      <c r="AS889" s="44">
        <v>0</v>
      </c>
      <c r="AT889" s="44">
        <v>0</v>
      </c>
      <c r="AU889" s="44">
        <v>0</v>
      </c>
      <c r="AV889" s="44">
        <v>0</v>
      </c>
      <c r="AW889" s="44">
        <v>0</v>
      </c>
      <c r="AX889" s="44">
        <v>0</v>
      </c>
      <c r="AY889" s="44">
        <v>0</v>
      </c>
      <c r="AZ889" s="44">
        <v>1.009615385</v>
      </c>
      <c r="BA889" s="44">
        <v>3.028846154</v>
      </c>
      <c r="BB889" s="44">
        <v>0</v>
      </c>
      <c r="BC889" s="44">
        <v>0</v>
      </c>
      <c r="BD889" s="44">
        <v>3.028846154</v>
      </c>
      <c r="BE889" s="44">
        <v>0</v>
      </c>
      <c r="BF889" s="44">
        <v>1.009615385</v>
      </c>
      <c r="BG889" s="44">
        <v>0</v>
      </c>
      <c r="BH889" s="44">
        <v>0</v>
      </c>
      <c r="BI889" s="44">
        <v>0</v>
      </c>
      <c r="BJ889" s="44">
        <v>0</v>
      </c>
      <c r="BK889" s="44">
        <v>0</v>
      </c>
      <c r="BL889" s="44">
        <v>0</v>
      </c>
      <c r="BM889" s="44">
        <v>0</v>
      </c>
      <c r="BN889" s="44">
        <v>0</v>
      </c>
      <c r="BO889" s="44">
        <v>0</v>
      </c>
      <c r="BP889" s="44">
        <v>0</v>
      </c>
      <c r="BQ889" s="44">
        <v>0</v>
      </c>
      <c r="BR889" s="44">
        <v>0</v>
      </c>
      <c r="BS889" s="44">
        <v>0</v>
      </c>
      <c r="BT889" s="44">
        <v>0</v>
      </c>
      <c r="BU889" s="44">
        <v>0</v>
      </c>
      <c r="BV889" s="44">
        <v>0</v>
      </c>
      <c r="BW889" s="44">
        <v>0</v>
      </c>
      <c r="BX889" s="44">
        <v>0</v>
      </c>
      <c r="BY889" s="44">
        <v>0</v>
      </c>
      <c r="BZ889" s="44">
        <v>0</v>
      </c>
      <c r="CA889" s="44">
        <v>0</v>
      </c>
      <c r="CB889" s="44">
        <v>0</v>
      </c>
      <c r="CC889" s="44">
        <v>0</v>
      </c>
      <c r="CD889" s="44">
        <v>0</v>
      </c>
      <c r="CE889" s="44">
        <v>0</v>
      </c>
      <c r="CF889" s="44">
        <v>0</v>
      </c>
      <c r="CG889" s="44">
        <v>0</v>
      </c>
      <c r="CH889" s="44">
        <v>0</v>
      </c>
      <c r="CI889" s="44">
        <v>0</v>
      </c>
      <c r="CJ889" s="44">
        <v>0</v>
      </c>
      <c r="CK889" s="44">
        <v>0</v>
      </c>
      <c r="CL889" s="44">
        <v>0</v>
      </c>
      <c r="CM889" s="44">
        <v>0</v>
      </c>
      <c r="CN889" s="44">
        <v>0</v>
      </c>
      <c r="CO889" s="44">
        <v>0</v>
      </c>
      <c r="CP889" s="44">
        <v>0</v>
      </c>
      <c r="CQ889" s="44">
        <v>0</v>
      </c>
      <c r="CR889" s="44">
        <v>0</v>
      </c>
      <c r="CS889" s="44">
        <v>0</v>
      </c>
      <c r="CT889" s="44">
        <v>0</v>
      </c>
      <c r="CU889" s="44">
        <v>0</v>
      </c>
      <c r="CV889" s="44">
        <v>0</v>
      </c>
      <c r="CW889" s="44">
        <v>0</v>
      </c>
      <c r="CX889" s="44">
        <v>0</v>
      </c>
      <c r="CY889" s="44">
        <v>0</v>
      </c>
      <c r="CZ889" s="44">
        <v>0</v>
      </c>
      <c r="DA889" s="44">
        <v>0</v>
      </c>
      <c r="DB889" s="44">
        <v>0</v>
      </c>
      <c r="DC889" s="44">
        <v>0</v>
      </c>
      <c r="DD889" s="44">
        <v>0</v>
      </c>
      <c r="DE889" s="44">
        <v>0</v>
      </c>
      <c r="DF889" s="44">
        <v>0</v>
      </c>
      <c r="DG889" s="16">
        <f t="shared" si="72"/>
        <v>104.99999999500004</v>
      </c>
      <c r="DH889" s="16">
        <f t="shared" si="73"/>
        <v>1919.278846141</v>
      </c>
      <c r="DI889" s="17">
        <f t="shared" si="74"/>
        <v>18.278846154594223</v>
      </c>
      <c r="DJ889" s="119" t="s">
        <v>2</v>
      </c>
      <c r="DK889" s="44" t="s">
        <v>2</v>
      </c>
    </row>
    <row r="890" spans="1:116">
      <c r="A890" s="32" t="str">
        <f t="shared" si="75"/>
        <v>Ergon--&gt; 132 kV ; SWITCH</v>
      </c>
      <c r="B890" s="32" t="str">
        <f t="shared" si="76"/>
        <v>Ergon</v>
      </c>
      <c r="C890" s="387"/>
      <c r="D890" s="44"/>
      <c r="E890" s="44" t="s">
        <v>257</v>
      </c>
      <c r="F890" s="44">
        <v>49.9</v>
      </c>
      <c r="G890" s="44">
        <v>7.07</v>
      </c>
      <c r="H890" s="44">
        <v>0</v>
      </c>
      <c r="I890" s="44">
        <v>0</v>
      </c>
      <c r="J890" s="44">
        <v>0</v>
      </c>
      <c r="K890" s="44">
        <v>0</v>
      </c>
      <c r="L890" s="44">
        <v>0</v>
      </c>
      <c r="M890" s="44">
        <v>0</v>
      </c>
      <c r="N890" s="44">
        <v>0</v>
      </c>
      <c r="O890" s="44">
        <v>0</v>
      </c>
      <c r="P890" s="44">
        <v>0</v>
      </c>
      <c r="Q890" s="44">
        <v>0</v>
      </c>
      <c r="R890" s="44">
        <v>0</v>
      </c>
      <c r="S890" s="44">
        <v>0</v>
      </c>
      <c r="T890" s="44">
        <v>0</v>
      </c>
      <c r="U890" s="44">
        <v>0</v>
      </c>
      <c r="V890" s="44">
        <v>8.884615385</v>
      </c>
      <c r="W890" s="44">
        <v>7.615384615</v>
      </c>
      <c r="X890" s="44">
        <v>16.5</v>
      </c>
      <c r="Y890" s="44">
        <v>0</v>
      </c>
      <c r="Z890" s="44">
        <v>0</v>
      </c>
      <c r="AA890" s="44">
        <v>0</v>
      </c>
      <c r="AB890" s="44">
        <v>0</v>
      </c>
      <c r="AC890" s="44">
        <v>0</v>
      </c>
      <c r="AD890" s="44">
        <v>0</v>
      </c>
      <c r="AE890" s="44">
        <v>0</v>
      </c>
      <c r="AF890" s="44">
        <v>0</v>
      </c>
      <c r="AG890" s="44">
        <v>0</v>
      </c>
      <c r="AH890" s="44">
        <v>0</v>
      </c>
      <c r="AI890" s="44">
        <v>0</v>
      </c>
      <c r="AJ890" s="44">
        <v>0</v>
      </c>
      <c r="AK890" s="44">
        <v>0</v>
      </c>
      <c r="AL890" s="44">
        <v>0</v>
      </c>
      <c r="AM890" s="44">
        <v>0</v>
      </c>
      <c r="AN890" s="44">
        <v>0</v>
      </c>
      <c r="AO890" s="44">
        <v>0</v>
      </c>
      <c r="AP890" s="44">
        <v>0</v>
      </c>
      <c r="AQ890" s="44">
        <v>0</v>
      </c>
      <c r="AR890" s="44">
        <v>0</v>
      </c>
      <c r="AS890" s="44">
        <v>0</v>
      </c>
      <c r="AT890" s="44">
        <v>0</v>
      </c>
      <c r="AU890" s="44">
        <v>0</v>
      </c>
      <c r="AV890" s="44">
        <v>0</v>
      </c>
      <c r="AW890" s="44">
        <v>0</v>
      </c>
      <c r="AX890" s="44">
        <v>0</v>
      </c>
      <c r="AY890" s="44">
        <v>0</v>
      </c>
      <c r="AZ890" s="44">
        <v>0</v>
      </c>
      <c r="BA890" s="44">
        <v>0</v>
      </c>
      <c r="BB890" s="44">
        <v>0</v>
      </c>
      <c r="BC890" s="44">
        <v>0</v>
      </c>
      <c r="BD890" s="44">
        <v>0</v>
      </c>
      <c r="BE890" s="44">
        <v>0</v>
      </c>
      <c r="BF890" s="44">
        <v>0</v>
      </c>
      <c r="BG890" s="44">
        <v>0</v>
      </c>
      <c r="BH890" s="44">
        <v>0</v>
      </c>
      <c r="BI890" s="44">
        <v>0</v>
      </c>
      <c r="BJ890" s="44">
        <v>0</v>
      </c>
      <c r="BK890" s="44">
        <v>0</v>
      </c>
      <c r="BL890" s="44">
        <v>0</v>
      </c>
      <c r="BM890" s="44">
        <v>0</v>
      </c>
      <c r="BN890" s="44">
        <v>0</v>
      </c>
      <c r="BO890" s="44">
        <v>0</v>
      </c>
      <c r="BP890" s="44">
        <v>0</v>
      </c>
      <c r="BQ890" s="44">
        <v>0</v>
      </c>
      <c r="BR890" s="44">
        <v>0</v>
      </c>
      <c r="BS890" s="44">
        <v>0</v>
      </c>
      <c r="BT890" s="44">
        <v>0</v>
      </c>
      <c r="BU890" s="44">
        <v>0</v>
      </c>
      <c r="BV890" s="44">
        <v>0</v>
      </c>
      <c r="BW890" s="44">
        <v>0</v>
      </c>
      <c r="BX890" s="44">
        <v>0</v>
      </c>
      <c r="BY890" s="44">
        <v>0</v>
      </c>
      <c r="BZ890" s="44">
        <v>0</v>
      </c>
      <c r="CA890" s="44">
        <v>0</v>
      </c>
      <c r="CB890" s="44">
        <v>0</v>
      </c>
      <c r="CC890" s="44">
        <v>0</v>
      </c>
      <c r="CD890" s="44">
        <v>0</v>
      </c>
      <c r="CE890" s="44">
        <v>0</v>
      </c>
      <c r="CF890" s="44">
        <v>0</v>
      </c>
      <c r="CG890" s="44">
        <v>0</v>
      </c>
      <c r="CH890" s="44">
        <v>0</v>
      </c>
      <c r="CI890" s="44">
        <v>0</v>
      </c>
      <c r="CJ890" s="44">
        <v>0</v>
      </c>
      <c r="CK890" s="44">
        <v>0</v>
      </c>
      <c r="CL890" s="44">
        <v>0</v>
      </c>
      <c r="CM890" s="44">
        <v>0</v>
      </c>
      <c r="CN890" s="44">
        <v>0</v>
      </c>
      <c r="CO890" s="44">
        <v>0</v>
      </c>
      <c r="CP890" s="44">
        <v>0</v>
      </c>
      <c r="CQ890" s="44">
        <v>0</v>
      </c>
      <c r="CR890" s="44">
        <v>0</v>
      </c>
      <c r="CS890" s="44">
        <v>0</v>
      </c>
      <c r="CT890" s="44">
        <v>0</v>
      </c>
      <c r="CU890" s="44">
        <v>0</v>
      </c>
      <c r="CV890" s="44">
        <v>0</v>
      </c>
      <c r="CW890" s="44">
        <v>0</v>
      </c>
      <c r="CX890" s="44">
        <v>0</v>
      </c>
      <c r="CY890" s="44">
        <v>0</v>
      </c>
      <c r="CZ890" s="44">
        <v>0</v>
      </c>
      <c r="DA890" s="44">
        <v>0</v>
      </c>
      <c r="DB890" s="44">
        <v>0</v>
      </c>
      <c r="DC890" s="44">
        <v>0</v>
      </c>
      <c r="DD890" s="44">
        <v>0</v>
      </c>
      <c r="DE890" s="44">
        <v>0</v>
      </c>
      <c r="DF890" s="44">
        <v>0</v>
      </c>
      <c r="DG890" s="16">
        <f t="shared" si="72"/>
        <v>33</v>
      </c>
      <c r="DH890" s="16">
        <f t="shared" si="73"/>
        <v>535.61538461500004</v>
      </c>
      <c r="DI890" s="17">
        <f t="shared" si="74"/>
        <v>16.230769230757577</v>
      </c>
      <c r="DJ890" s="119" t="s">
        <v>2</v>
      </c>
      <c r="DK890" s="44" t="s">
        <v>2</v>
      </c>
    </row>
    <row r="891" spans="1:116">
      <c r="A891" s="32" t="str">
        <f t="shared" si="75"/>
        <v>Ergon--&gt; 132 kV ; CIRCUIT BREAKER</v>
      </c>
      <c r="B891" s="32" t="str">
        <f t="shared" si="76"/>
        <v>Ergon</v>
      </c>
      <c r="C891" s="387"/>
      <c r="D891" s="44"/>
      <c r="E891" s="44" t="s">
        <v>258</v>
      </c>
      <c r="F891" s="44">
        <v>42.9</v>
      </c>
      <c r="G891" s="44">
        <v>6.55</v>
      </c>
      <c r="H891" s="44">
        <v>0</v>
      </c>
      <c r="I891" s="44">
        <v>0</v>
      </c>
      <c r="J891" s="44">
        <v>0</v>
      </c>
      <c r="K891" s="44">
        <v>0</v>
      </c>
      <c r="L891" s="44">
        <v>0</v>
      </c>
      <c r="M891" s="44">
        <v>0</v>
      </c>
      <c r="N891" s="44">
        <v>0</v>
      </c>
      <c r="O891" s="44">
        <v>0</v>
      </c>
      <c r="P891" s="44">
        <v>0</v>
      </c>
      <c r="Q891" s="44">
        <v>0</v>
      </c>
      <c r="R891" s="44">
        <v>0</v>
      </c>
      <c r="S891" s="44">
        <v>0</v>
      </c>
      <c r="T891" s="44">
        <v>0</v>
      </c>
      <c r="U891" s="44">
        <v>0</v>
      </c>
      <c r="V891" s="44">
        <v>0</v>
      </c>
      <c r="W891" s="44">
        <v>5</v>
      </c>
      <c r="X891" s="44">
        <v>0</v>
      </c>
      <c r="Y891" s="44">
        <v>5</v>
      </c>
      <c r="Z891" s="44">
        <v>0</v>
      </c>
      <c r="AA891" s="44">
        <v>0</v>
      </c>
      <c r="AB891" s="44">
        <v>0</v>
      </c>
      <c r="AC891" s="44">
        <v>0</v>
      </c>
      <c r="AD891" s="44">
        <v>0</v>
      </c>
      <c r="AE891" s="44">
        <v>0</v>
      </c>
      <c r="AF891" s="44">
        <v>0</v>
      </c>
      <c r="AG891" s="44">
        <v>0</v>
      </c>
      <c r="AH891" s="44">
        <v>0</v>
      </c>
      <c r="AI891" s="44">
        <v>0</v>
      </c>
      <c r="AJ891" s="44">
        <v>0</v>
      </c>
      <c r="AK891" s="44">
        <v>0</v>
      </c>
      <c r="AL891" s="44">
        <v>0</v>
      </c>
      <c r="AM891" s="44">
        <v>0</v>
      </c>
      <c r="AN891" s="44">
        <v>0</v>
      </c>
      <c r="AO891" s="44">
        <v>0</v>
      </c>
      <c r="AP891" s="44">
        <v>0</v>
      </c>
      <c r="AQ891" s="44">
        <v>0</v>
      </c>
      <c r="AR891" s="44">
        <v>0</v>
      </c>
      <c r="AS891" s="44">
        <v>0</v>
      </c>
      <c r="AT891" s="44">
        <v>0</v>
      </c>
      <c r="AU891" s="44">
        <v>0</v>
      </c>
      <c r="AV891" s="44">
        <v>0</v>
      </c>
      <c r="AW891" s="44">
        <v>0</v>
      </c>
      <c r="AX891" s="44">
        <v>0</v>
      </c>
      <c r="AY891" s="44">
        <v>0</v>
      </c>
      <c r="AZ891" s="44">
        <v>0</v>
      </c>
      <c r="BA891" s="44">
        <v>0</v>
      </c>
      <c r="BB891" s="44">
        <v>0</v>
      </c>
      <c r="BC891" s="44">
        <v>0</v>
      </c>
      <c r="BD891" s="44">
        <v>0</v>
      </c>
      <c r="BE891" s="44">
        <v>0</v>
      </c>
      <c r="BF891" s="44">
        <v>0</v>
      </c>
      <c r="BG891" s="44">
        <v>0</v>
      </c>
      <c r="BH891" s="44">
        <v>0</v>
      </c>
      <c r="BI891" s="44">
        <v>0</v>
      </c>
      <c r="BJ891" s="44">
        <v>0</v>
      </c>
      <c r="BK891" s="44">
        <v>0</v>
      </c>
      <c r="BL891" s="44">
        <v>0</v>
      </c>
      <c r="BM891" s="44">
        <v>0</v>
      </c>
      <c r="BN891" s="44">
        <v>0</v>
      </c>
      <c r="BO891" s="44">
        <v>0</v>
      </c>
      <c r="BP891" s="44">
        <v>0</v>
      </c>
      <c r="BQ891" s="44">
        <v>0</v>
      </c>
      <c r="BR891" s="44">
        <v>0</v>
      </c>
      <c r="BS891" s="44">
        <v>0</v>
      </c>
      <c r="BT891" s="44">
        <v>0</v>
      </c>
      <c r="BU891" s="44">
        <v>0</v>
      </c>
      <c r="BV891" s="44">
        <v>0</v>
      </c>
      <c r="BW891" s="44">
        <v>0</v>
      </c>
      <c r="BX891" s="44">
        <v>0</v>
      </c>
      <c r="BY891" s="44">
        <v>0</v>
      </c>
      <c r="BZ891" s="44">
        <v>0</v>
      </c>
      <c r="CA891" s="44">
        <v>0</v>
      </c>
      <c r="CB891" s="44">
        <v>0</v>
      </c>
      <c r="CC891" s="44">
        <v>0</v>
      </c>
      <c r="CD891" s="44">
        <v>0</v>
      </c>
      <c r="CE891" s="44">
        <v>0</v>
      </c>
      <c r="CF891" s="44">
        <v>0</v>
      </c>
      <c r="CG891" s="44">
        <v>0</v>
      </c>
      <c r="CH891" s="44">
        <v>0</v>
      </c>
      <c r="CI891" s="44">
        <v>0</v>
      </c>
      <c r="CJ891" s="44">
        <v>0</v>
      </c>
      <c r="CK891" s="44">
        <v>0</v>
      </c>
      <c r="CL891" s="44">
        <v>0</v>
      </c>
      <c r="CM891" s="44">
        <v>0</v>
      </c>
      <c r="CN891" s="44">
        <v>0</v>
      </c>
      <c r="CO891" s="44">
        <v>0</v>
      </c>
      <c r="CP891" s="44">
        <v>0</v>
      </c>
      <c r="CQ891" s="44">
        <v>0</v>
      </c>
      <c r="CR891" s="44">
        <v>0</v>
      </c>
      <c r="CS891" s="44">
        <v>0</v>
      </c>
      <c r="CT891" s="44">
        <v>0</v>
      </c>
      <c r="CU891" s="44">
        <v>0</v>
      </c>
      <c r="CV891" s="44">
        <v>0</v>
      </c>
      <c r="CW891" s="44">
        <v>0</v>
      </c>
      <c r="CX891" s="44">
        <v>0</v>
      </c>
      <c r="CY891" s="44">
        <v>0</v>
      </c>
      <c r="CZ891" s="44">
        <v>0</v>
      </c>
      <c r="DA891" s="44">
        <v>0</v>
      </c>
      <c r="DB891" s="44">
        <v>0</v>
      </c>
      <c r="DC891" s="44">
        <v>0</v>
      </c>
      <c r="DD891" s="44">
        <v>0</v>
      </c>
      <c r="DE891" s="44">
        <v>0</v>
      </c>
      <c r="DF891" s="44">
        <v>0</v>
      </c>
      <c r="DG891" s="16">
        <f t="shared" si="72"/>
        <v>10</v>
      </c>
      <c r="DH891" s="16">
        <f t="shared" si="73"/>
        <v>170</v>
      </c>
      <c r="DI891" s="17">
        <f t="shared" si="74"/>
        <v>17</v>
      </c>
      <c r="DJ891" s="119" t="s">
        <v>2</v>
      </c>
      <c r="DK891" s="44" t="s">
        <v>2</v>
      </c>
    </row>
    <row r="892" spans="1:116">
      <c r="A892" s="32" t="str">
        <f t="shared" si="75"/>
        <v>Ergon--OTHER - PLEASE ADD A ROW IF NECESSARY AND NOMINATE THE CATEGORY</v>
      </c>
      <c r="B892" s="32" t="str">
        <f t="shared" si="76"/>
        <v>Ergon</v>
      </c>
      <c r="C892" s="387"/>
      <c r="D892" s="44"/>
      <c r="E892" s="44" t="s">
        <v>170</v>
      </c>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c r="BL892" s="44"/>
      <c r="BM892" s="44"/>
      <c r="BN892" s="44"/>
      <c r="BO892" s="44"/>
      <c r="BP892" s="44"/>
      <c r="BQ892" s="44"/>
      <c r="BR892" s="44"/>
      <c r="BS892" s="44"/>
      <c r="BT892" s="44"/>
      <c r="BU892" s="44"/>
      <c r="BV892" s="44"/>
      <c r="BW892" s="44"/>
      <c r="BX892" s="44"/>
      <c r="BY892" s="44"/>
      <c r="BZ892" s="44"/>
      <c r="CA892" s="44"/>
      <c r="CB892" s="44"/>
      <c r="CC892" s="44"/>
      <c r="CD892" s="44"/>
      <c r="CE892" s="44"/>
      <c r="CF892" s="44"/>
      <c r="CG892" s="44"/>
      <c r="CH892" s="44"/>
      <c r="CI892" s="44"/>
      <c r="CJ892" s="44"/>
      <c r="CK892" s="44"/>
      <c r="CL892" s="44"/>
      <c r="CM892" s="44"/>
      <c r="CN892" s="44"/>
      <c r="CO892" s="44"/>
      <c r="CP892" s="44"/>
      <c r="CQ892" s="44"/>
      <c r="CR892" s="44"/>
      <c r="CS892" s="44"/>
      <c r="CT892" s="44"/>
      <c r="CU892" s="44"/>
      <c r="CV892" s="44"/>
      <c r="CW892" s="44"/>
      <c r="CX892" s="44"/>
      <c r="CY892" s="44"/>
      <c r="CZ892" s="44"/>
      <c r="DA892" s="44"/>
      <c r="DB892" s="44"/>
      <c r="DC892" s="44"/>
      <c r="DD892" s="44"/>
      <c r="DE892" s="44"/>
      <c r="DF892" s="44"/>
      <c r="DG892" s="16">
        <f t="shared" si="72"/>
        <v>0</v>
      </c>
      <c r="DH892" s="16">
        <f t="shared" si="73"/>
        <v>0</v>
      </c>
      <c r="DI892" s="17" t="str">
        <f t="shared" si="74"/>
        <v/>
      </c>
      <c r="DJ892" s="119" t="s">
        <v>2</v>
      </c>
      <c r="DK892" s="44" t="s">
        <v>2</v>
      </c>
    </row>
    <row r="893" spans="1:116" ht="45">
      <c r="A893" s="32" t="str">
        <f t="shared" si="75"/>
        <v>Ergon-PUBLIC LIGHTING BY: 
ASSET TYPE ; LIGHTING OBLIGATION-LUMINAIRES ;  MAJOR ROAD</v>
      </c>
      <c r="B893" s="32" t="str">
        <f t="shared" si="76"/>
        <v>Ergon</v>
      </c>
      <c r="C893" s="387"/>
      <c r="D893" s="31" t="s">
        <v>547</v>
      </c>
      <c r="E893" s="44" t="s">
        <v>262</v>
      </c>
      <c r="F893" s="44">
        <v>20</v>
      </c>
      <c r="G893" s="44">
        <v>4.47</v>
      </c>
      <c r="H893" s="44">
        <v>85</v>
      </c>
      <c r="I893" s="44">
        <v>489</v>
      </c>
      <c r="J893" s="44">
        <v>938</v>
      </c>
      <c r="K893" s="44">
        <v>886</v>
      </c>
      <c r="L893" s="44">
        <v>1508</v>
      </c>
      <c r="M893" s="44">
        <v>1086</v>
      </c>
      <c r="N893" s="44">
        <v>1079</v>
      </c>
      <c r="O893" s="44">
        <v>850</v>
      </c>
      <c r="P893" s="44">
        <v>805</v>
      </c>
      <c r="Q893" s="44">
        <v>718</v>
      </c>
      <c r="R893" s="44">
        <v>882</v>
      </c>
      <c r="S893" s="44">
        <v>738</v>
      </c>
      <c r="T893" s="44">
        <v>1036</v>
      </c>
      <c r="U893" s="44">
        <v>611</v>
      </c>
      <c r="V893" s="44">
        <v>563</v>
      </c>
      <c r="W893" s="44">
        <v>542</v>
      </c>
      <c r="X893" s="44">
        <v>555</v>
      </c>
      <c r="Y893" s="44">
        <v>655</v>
      </c>
      <c r="Z893" s="44">
        <v>492</v>
      </c>
      <c r="AA893" s="44">
        <v>608</v>
      </c>
      <c r="AB893" s="44">
        <v>486</v>
      </c>
      <c r="AC893" s="44">
        <v>345</v>
      </c>
      <c r="AD893" s="44">
        <v>341</v>
      </c>
      <c r="AE893" s="44">
        <v>1</v>
      </c>
      <c r="AF893" s="44">
        <v>0</v>
      </c>
      <c r="AG893" s="44">
        <v>5</v>
      </c>
      <c r="AH893" s="44">
        <v>0</v>
      </c>
      <c r="AI893" s="44">
        <v>0</v>
      </c>
      <c r="AJ893" s="44">
        <v>0</v>
      </c>
      <c r="AK893" s="44">
        <v>0</v>
      </c>
      <c r="AL893" s="44">
        <v>0</v>
      </c>
      <c r="AM893" s="44">
        <v>0</v>
      </c>
      <c r="AN893" s="44">
        <v>0</v>
      </c>
      <c r="AO893" s="44">
        <v>0</v>
      </c>
      <c r="AP893" s="44">
        <v>0</v>
      </c>
      <c r="AQ893" s="44">
        <v>0</v>
      </c>
      <c r="AR893" s="44">
        <v>0</v>
      </c>
      <c r="AS893" s="44">
        <v>0</v>
      </c>
      <c r="AT893" s="44">
        <v>0</v>
      </c>
      <c r="AU893" s="44">
        <v>0</v>
      </c>
      <c r="AV893" s="44">
        <v>0</v>
      </c>
      <c r="AW893" s="44">
        <v>0</v>
      </c>
      <c r="AX893" s="44">
        <v>0</v>
      </c>
      <c r="AY893" s="44">
        <v>0</v>
      </c>
      <c r="AZ893" s="44">
        <v>0</v>
      </c>
      <c r="BA893" s="44">
        <v>0</v>
      </c>
      <c r="BB893" s="44">
        <v>0</v>
      </c>
      <c r="BC893" s="44">
        <v>0</v>
      </c>
      <c r="BD893" s="44">
        <v>0</v>
      </c>
      <c r="BE893" s="44">
        <v>0</v>
      </c>
      <c r="BF893" s="44">
        <v>0</v>
      </c>
      <c r="BG893" s="44">
        <v>0</v>
      </c>
      <c r="BH893" s="44">
        <v>0</v>
      </c>
      <c r="BI893" s="44">
        <v>0</v>
      </c>
      <c r="BJ893" s="44">
        <v>0</v>
      </c>
      <c r="BK893" s="44">
        <v>0</v>
      </c>
      <c r="BL893" s="44">
        <v>0</v>
      </c>
      <c r="BM893" s="44">
        <v>0</v>
      </c>
      <c r="BN893" s="44">
        <v>0</v>
      </c>
      <c r="BO893" s="44">
        <v>0</v>
      </c>
      <c r="BP893" s="44">
        <v>0</v>
      </c>
      <c r="BQ893" s="44">
        <v>0</v>
      </c>
      <c r="BR893" s="44">
        <v>0</v>
      </c>
      <c r="BS893" s="44">
        <v>0</v>
      </c>
      <c r="BT893" s="44">
        <v>0</v>
      </c>
      <c r="BU893" s="44">
        <v>0</v>
      </c>
      <c r="BV893" s="44">
        <v>0</v>
      </c>
      <c r="BW893" s="44">
        <v>0</v>
      </c>
      <c r="BX893" s="44">
        <v>0</v>
      </c>
      <c r="BY893" s="44">
        <v>0</v>
      </c>
      <c r="BZ893" s="44">
        <v>0</v>
      </c>
      <c r="CA893" s="44">
        <v>0</v>
      </c>
      <c r="CB893" s="44">
        <v>0</v>
      </c>
      <c r="CC893" s="44">
        <v>0</v>
      </c>
      <c r="CD893" s="44">
        <v>0</v>
      </c>
      <c r="CE893" s="44">
        <v>0</v>
      </c>
      <c r="CF893" s="44">
        <v>0</v>
      </c>
      <c r="CG893" s="44">
        <v>0</v>
      </c>
      <c r="CH893" s="44">
        <v>0</v>
      </c>
      <c r="CI893" s="44">
        <v>0</v>
      </c>
      <c r="CJ893" s="44">
        <v>0</v>
      </c>
      <c r="CK893" s="44">
        <v>0</v>
      </c>
      <c r="CL893" s="44">
        <v>0</v>
      </c>
      <c r="CM893" s="44">
        <v>0</v>
      </c>
      <c r="CN893" s="44">
        <v>0</v>
      </c>
      <c r="CO893" s="44">
        <v>0</v>
      </c>
      <c r="CP893" s="44">
        <v>0</v>
      </c>
      <c r="CQ893" s="44">
        <v>0</v>
      </c>
      <c r="CR893" s="44">
        <v>0</v>
      </c>
      <c r="CS893" s="44">
        <v>0</v>
      </c>
      <c r="CT893" s="44">
        <v>0</v>
      </c>
      <c r="CU893" s="44">
        <v>0</v>
      </c>
      <c r="CV893" s="44">
        <v>0</v>
      </c>
      <c r="CW893" s="44">
        <v>0</v>
      </c>
      <c r="CX893" s="44">
        <v>0</v>
      </c>
      <c r="CY893" s="44">
        <v>0</v>
      </c>
      <c r="CZ893" s="44">
        <v>0</v>
      </c>
      <c r="DA893" s="44">
        <v>0</v>
      </c>
      <c r="DB893" s="44">
        <v>0</v>
      </c>
      <c r="DC893" s="44">
        <v>0</v>
      </c>
      <c r="DD893" s="44">
        <v>0</v>
      </c>
      <c r="DE893" s="44">
        <v>0</v>
      </c>
      <c r="DF893" s="44">
        <v>0</v>
      </c>
      <c r="DG893" s="16">
        <f t="shared" si="72"/>
        <v>16304</v>
      </c>
      <c r="DH893" s="16">
        <f t="shared" si="73"/>
        <v>176478</v>
      </c>
      <c r="DI893" s="17">
        <f t="shared" si="74"/>
        <v>10.824214916584888</v>
      </c>
      <c r="DJ893" s="119" t="s">
        <v>1323</v>
      </c>
      <c r="DK893" s="119" t="s">
        <v>1524</v>
      </c>
      <c r="DL893" s="119" t="s">
        <v>1523</v>
      </c>
    </row>
    <row r="894" spans="1:116">
      <c r="A894" s="32" t="str">
        <f t="shared" si="75"/>
        <v>Ergon--LUMINAIRES ;  MINOR ROAD</v>
      </c>
      <c r="B894" s="32" t="str">
        <f t="shared" si="76"/>
        <v>Ergon</v>
      </c>
      <c r="C894" s="387"/>
      <c r="D894" s="44"/>
      <c r="E894" s="44" t="s">
        <v>263</v>
      </c>
      <c r="F894" s="44">
        <v>20</v>
      </c>
      <c r="G894" s="44">
        <v>4.47</v>
      </c>
      <c r="H894" s="44">
        <v>869</v>
      </c>
      <c r="I894" s="44">
        <v>2106</v>
      </c>
      <c r="J894" s="44">
        <v>3119</v>
      </c>
      <c r="K894" s="44">
        <v>3187</v>
      </c>
      <c r="L894" s="44">
        <v>5063</v>
      </c>
      <c r="M894" s="44">
        <v>4621</v>
      </c>
      <c r="N894" s="44">
        <v>8176</v>
      </c>
      <c r="O894" s="44">
        <v>5090</v>
      </c>
      <c r="P894" s="44">
        <v>4649</v>
      </c>
      <c r="Q894" s="44">
        <v>4128</v>
      </c>
      <c r="R894" s="44">
        <v>4559</v>
      </c>
      <c r="S894" s="44">
        <v>3229</v>
      </c>
      <c r="T894" s="44">
        <v>3940</v>
      </c>
      <c r="U894" s="44">
        <v>5269</v>
      </c>
      <c r="V894" s="44">
        <v>2970</v>
      </c>
      <c r="W894" s="44">
        <v>2622</v>
      </c>
      <c r="X894" s="44">
        <v>3390</v>
      </c>
      <c r="Y894" s="44">
        <v>2982</v>
      </c>
      <c r="Z894" s="44">
        <v>2787</v>
      </c>
      <c r="AA894" s="44">
        <v>2493</v>
      </c>
      <c r="AB894" s="44">
        <v>2393</v>
      </c>
      <c r="AC894" s="44">
        <v>1818</v>
      </c>
      <c r="AD894" s="44">
        <v>1859</v>
      </c>
      <c r="AE894" s="44">
        <v>1</v>
      </c>
      <c r="AF894" s="44">
        <v>2</v>
      </c>
      <c r="AG894" s="44">
        <v>3</v>
      </c>
      <c r="AH894" s="44">
        <v>2</v>
      </c>
      <c r="AI894" s="44">
        <v>0</v>
      </c>
      <c r="AJ894" s="44">
        <v>1</v>
      </c>
      <c r="AK894" s="44">
        <v>0</v>
      </c>
      <c r="AL894" s="44">
        <v>0</v>
      </c>
      <c r="AM894" s="44">
        <v>0</v>
      </c>
      <c r="AN894" s="44">
        <v>2</v>
      </c>
      <c r="AO894" s="44">
        <v>0</v>
      </c>
      <c r="AP894" s="44">
        <v>0</v>
      </c>
      <c r="AQ894" s="44">
        <v>0</v>
      </c>
      <c r="AR894" s="44">
        <v>0</v>
      </c>
      <c r="AS894" s="44">
        <v>0</v>
      </c>
      <c r="AT894" s="44">
        <v>0</v>
      </c>
      <c r="AU894" s="44">
        <v>0</v>
      </c>
      <c r="AV894" s="44">
        <v>0</v>
      </c>
      <c r="AW894" s="44">
        <v>0</v>
      </c>
      <c r="AX894" s="44">
        <v>0</v>
      </c>
      <c r="AY894" s="44">
        <v>0</v>
      </c>
      <c r="AZ894" s="44">
        <v>0</v>
      </c>
      <c r="BA894" s="44">
        <v>0</v>
      </c>
      <c r="BB894" s="44">
        <v>0</v>
      </c>
      <c r="BC894" s="44">
        <v>0</v>
      </c>
      <c r="BD894" s="44">
        <v>0</v>
      </c>
      <c r="BE894" s="44">
        <v>0</v>
      </c>
      <c r="BF894" s="44">
        <v>0</v>
      </c>
      <c r="BG894" s="44">
        <v>0</v>
      </c>
      <c r="BH894" s="44">
        <v>0</v>
      </c>
      <c r="BI894" s="44">
        <v>0</v>
      </c>
      <c r="BJ894" s="44">
        <v>0</v>
      </c>
      <c r="BK894" s="44">
        <v>0</v>
      </c>
      <c r="BL894" s="44">
        <v>0</v>
      </c>
      <c r="BM894" s="44">
        <v>0</v>
      </c>
      <c r="BN894" s="44">
        <v>0</v>
      </c>
      <c r="BO894" s="44">
        <v>0</v>
      </c>
      <c r="BP894" s="44">
        <v>0</v>
      </c>
      <c r="BQ894" s="44">
        <v>0</v>
      </c>
      <c r="BR894" s="44">
        <v>0</v>
      </c>
      <c r="BS894" s="44">
        <v>0</v>
      </c>
      <c r="BT894" s="44">
        <v>0</v>
      </c>
      <c r="BU894" s="44">
        <v>0</v>
      </c>
      <c r="BV894" s="44">
        <v>0</v>
      </c>
      <c r="BW894" s="44">
        <v>0</v>
      </c>
      <c r="BX894" s="44">
        <v>0</v>
      </c>
      <c r="BY894" s="44">
        <v>0</v>
      </c>
      <c r="BZ894" s="44">
        <v>0</v>
      </c>
      <c r="CA894" s="44">
        <v>0</v>
      </c>
      <c r="CB894" s="44">
        <v>0</v>
      </c>
      <c r="CC894" s="44">
        <v>0</v>
      </c>
      <c r="CD894" s="44">
        <v>0</v>
      </c>
      <c r="CE894" s="44">
        <v>0</v>
      </c>
      <c r="CF894" s="44">
        <v>0</v>
      </c>
      <c r="CG894" s="44">
        <v>0</v>
      </c>
      <c r="CH894" s="44">
        <v>0</v>
      </c>
      <c r="CI894" s="44">
        <v>0</v>
      </c>
      <c r="CJ894" s="44">
        <v>0</v>
      </c>
      <c r="CK894" s="44">
        <v>0</v>
      </c>
      <c r="CL894" s="44">
        <v>0</v>
      </c>
      <c r="CM894" s="44">
        <v>0</v>
      </c>
      <c r="CN894" s="44">
        <v>0</v>
      </c>
      <c r="CO894" s="44">
        <v>0</v>
      </c>
      <c r="CP894" s="44">
        <v>0</v>
      </c>
      <c r="CQ894" s="44">
        <v>0</v>
      </c>
      <c r="CR894" s="44">
        <v>0</v>
      </c>
      <c r="CS894" s="44">
        <v>0</v>
      </c>
      <c r="CT894" s="44">
        <v>0</v>
      </c>
      <c r="CU894" s="44">
        <v>0</v>
      </c>
      <c r="CV894" s="44">
        <v>0</v>
      </c>
      <c r="CW894" s="44">
        <v>0</v>
      </c>
      <c r="CX894" s="44">
        <v>0</v>
      </c>
      <c r="CY894" s="44">
        <v>0</v>
      </c>
      <c r="CZ894" s="44">
        <v>0</v>
      </c>
      <c r="DA894" s="44">
        <v>0</v>
      </c>
      <c r="DB894" s="44">
        <v>0</v>
      </c>
      <c r="DC894" s="44">
        <v>0</v>
      </c>
      <c r="DD894" s="44">
        <v>0</v>
      </c>
      <c r="DE894" s="44">
        <v>0</v>
      </c>
      <c r="DF894" s="44">
        <v>0</v>
      </c>
      <c r="DG894" s="16">
        <f t="shared" si="72"/>
        <v>81330</v>
      </c>
      <c r="DH894" s="16">
        <f t="shared" si="73"/>
        <v>909111</v>
      </c>
      <c r="DI894" s="17">
        <f t="shared" si="74"/>
        <v>11.178052379195869</v>
      </c>
      <c r="DJ894" s="119" t="s">
        <v>1323</v>
      </c>
      <c r="DK894" s="119" t="s">
        <v>1524</v>
      </c>
      <c r="DL894" s="119" t="s">
        <v>1523</v>
      </c>
    </row>
    <row r="895" spans="1:116">
      <c r="A895" s="32" t="str">
        <f t="shared" si="75"/>
        <v>Ergon--BRACKETS ; MAJOR ROAD</v>
      </c>
      <c r="B895" s="32" t="str">
        <f t="shared" si="76"/>
        <v>Ergon</v>
      </c>
      <c r="C895" s="387"/>
      <c r="D895" s="44"/>
      <c r="E895" s="44" t="s">
        <v>264</v>
      </c>
      <c r="F895" s="44">
        <v>40</v>
      </c>
      <c r="G895" s="44">
        <v>6.32</v>
      </c>
      <c r="H895" s="44">
        <v>85</v>
      </c>
      <c r="I895" s="44">
        <v>489</v>
      </c>
      <c r="J895" s="44">
        <v>938</v>
      </c>
      <c r="K895" s="44">
        <v>886</v>
      </c>
      <c r="L895" s="44">
        <v>1508</v>
      </c>
      <c r="M895" s="44">
        <v>1086</v>
      </c>
      <c r="N895" s="44">
        <v>1079</v>
      </c>
      <c r="O895" s="44">
        <v>850</v>
      </c>
      <c r="P895" s="44">
        <v>805</v>
      </c>
      <c r="Q895" s="44">
        <v>718</v>
      </c>
      <c r="R895" s="44">
        <v>882</v>
      </c>
      <c r="S895" s="44">
        <v>738</v>
      </c>
      <c r="T895" s="44">
        <v>1036</v>
      </c>
      <c r="U895" s="44">
        <v>611</v>
      </c>
      <c r="V895" s="44">
        <v>563</v>
      </c>
      <c r="W895" s="44">
        <v>542</v>
      </c>
      <c r="X895" s="44">
        <v>555</v>
      </c>
      <c r="Y895" s="44">
        <v>655</v>
      </c>
      <c r="Z895" s="44">
        <v>492</v>
      </c>
      <c r="AA895" s="44">
        <v>608</v>
      </c>
      <c r="AB895" s="44">
        <v>486</v>
      </c>
      <c r="AC895" s="44">
        <v>345</v>
      </c>
      <c r="AD895" s="44">
        <v>341</v>
      </c>
      <c r="AE895" s="44">
        <v>1</v>
      </c>
      <c r="AF895" s="44">
        <v>0</v>
      </c>
      <c r="AG895" s="44">
        <v>5</v>
      </c>
      <c r="AH895" s="44">
        <v>0</v>
      </c>
      <c r="AI895" s="44">
        <v>0</v>
      </c>
      <c r="AJ895" s="44">
        <v>0</v>
      </c>
      <c r="AK895" s="44">
        <v>0</v>
      </c>
      <c r="AL895" s="44">
        <v>0</v>
      </c>
      <c r="AM895" s="44">
        <v>0</v>
      </c>
      <c r="AN895" s="44">
        <v>0</v>
      </c>
      <c r="AO895" s="44">
        <v>0</v>
      </c>
      <c r="AP895" s="44">
        <v>0</v>
      </c>
      <c r="AQ895" s="44">
        <v>0</v>
      </c>
      <c r="AR895" s="44">
        <v>0</v>
      </c>
      <c r="AS895" s="44">
        <v>0</v>
      </c>
      <c r="AT895" s="44">
        <v>0</v>
      </c>
      <c r="AU895" s="44">
        <v>0</v>
      </c>
      <c r="AV895" s="44">
        <v>0</v>
      </c>
      <c r="AW895" s="44">
        <v>0</v>
      </c>
      <c r="AX895" s="44">
        <v>0</v>
      </c>
      <c r="AY895" s="44">
        <v>0</v>
      </c>
      <c r="AZ895" s="44">
        <v>0</v>
      </c>
      <c r="BA895" s="44">
        <v>0</v>
      </c>
      <c r="BB895" s="44">
        <v>0</v>
      </c>
      <c r="BC895" s="44">
        <v>0</v>
      </c>
      <c r="BD895" s="44">
        <v>0</v>
      </c>
      <c r="BE895" s="44">
        <v>0</v>
      </c>
      <c r="BF895" s="44">
        <v>0</v>
      </c>
      <c r="BG895" s="44">
        <v>0</v>
      </c>
      <c r="BH895" s="44">
        <v>0</v>
      </c>
      <c r="BI895" s="44">
        <v>0</v>
      </c>
      <c r="BJ895" s="44">
        <v>0</v>
      </c>
      <c r="BK895" s="44">
        <v>0</v>
      </c>
      <c r="BL895" s="44">
        <v>0</v>
      </c>
      <c r="BM895" s="44">
        <v>0</v>
      </c>
      <c r="BN895" s="44">
        <v>0</v>
      </c>
      <c r="BO895" s="44">
        <v>0</v>
      </c>
      <c r="BP895" s="44">
        <v>0</v>
      </c>
      <c r="BQ895" s="44">
        <v>0</v>
      </c>
      <c r="BR895" s="44">
        <v>0</v>
      </c>
      <c r="BS895" s="44">
        <v>0</v>
      </c>
      <c r="BT895" s="44">
        <v>0</v>
      </c>
      <c r="BU895" s="44">
        <v>0</v>
      </c>
      <c r="BV895" s="44">
        <v>0</v>
      </c>
      <c r="BW895" s="44">
        <v>0</v>
      </c>
      <c r="BX895" s="44">
        <v>0</v>
      </c>
      <c r="BY895" s="44">
        <v>0</v>
      </c>
      <c r="BZ895" s="44">
        <v>0</v>
      </c>
      <c r="CA895" s="44">
        <v>0</v>
      </c>
      <c r="CB895" s="44">
        <v>0</v>
      </c>
      <c r="CC895" s="44">
        <v>0</v>
      </c>
      <c r="CD895" s="44">
        <v>0</v>
      </c>
      <c r="CE895" s="44">
        <v>0</v>
      </c>
      <c r="CF895" s="44">
        <v>0</v>
      </c>
      <c r="CG895" s="44">
        <v>0</v>
      </c>
      <c r="CH895" s="44">
        <v>0</v>
      </c>
      <c r="CI895" s="44">
        <v>0</v>
      </c>
      <c r="CJ895" s="44">
        <v>0</v>
      </c>
      <c r="CK895" s="44">
        <v>0</v>
      </c>
      <c r="CL895" s="44">
        <v>0</v>
      </c>
      <c r="CM895" s="44">
        <v>0</v>
      </c>
      <c r="CN895" s="44">
        <v>0</v>
      </c>
      <c r="CO895" s="44">
        <v>0</v>
      </c>
      <c r="CP895" s="44">
        <v>0</v>
      </c>
      <c r="CQ895" s="44">
        <v>0</v>
      </c>
      <c r="CR895" s="44">
        <v>0</v>
      </c>
      <c r="CS895" s="44">
        <v>0</v>
      </c>
      <c r="CT895" s="44">
        <v>0</v>
      </c>
      <c r="CU895" s="44">
        <v>0</v>
      </c>
      <c r="CV895" s="44">
        <v>0</v>
      </c>
      <c r="CW895" s="44">
        <v>0</v>
      </c>
      <c r="CX895" s="44">
        <v>0</v>
      </c>
      <c r="CY895" s="44">
        <v>0</v>
      </c>
      <c r="CZ895" s="44">
        <v>0</v>
      </c>
      <c r="DA895" s="44">
        <v>0</v>
      </c>
      <c r="DB895" s="44">
        <v>0</v>
      </c>
      <c r="DC895" s="44">
        <v>0</v>
      </c>
      <c r="DD895" s="44">
        <v>0</v>
      </c>
      <c r="DE895" s="44">
        <v>0</v>
      </c>
      <c r="DF895" s="44">
        <v>0</v>
      </c>
      <c r="DG895" s="16">
        <f t="shared" si="72"/>
        <v>16304</v>
      </c>
      <c r="DH895" s="16">
        <f t="shared" si="73"/>
        <v>176478</v>
      </c>
      <c r="DI895" s="17">
        <f t="shared" si="74"/>
        <v>10.824214916584888</v>
      </c>
      <c r="DJ895" s="119" t="s">
        <v>1323</v>
      </c>
      <c r="DK895" s="119" t="s">
        <v>1525</v>
      </c>
    </row>
    <row r="896" spans="1:116">
      <c r="A896" s="32" t="str">
        <f t="shared" si="75"/>
        <v>Ergon--BRACKETS ; MINOR ROAD</v>
      </c>
      <c r="B896" s="32" t="str">
        <f t="shared" si="76"/>
        <v>Ergon</v>
      </c>
      <c r="C896" s="387"/>
      <c r="D896" s="44"/>
      <c r="E896" s="44" t="s">
        <v>265</v>
      </c>
      <c r="F896" s="44">
        <v>40</v>
      </c>
      <c r="G896" s="44">
        <v>6.32</v>
      </c>
      <c r="H896" s="44">
        <v>869</v>
      </c>
      <c r="I896" s="44">
        <v>2106</v>
      </c>
      <c r="J896" s="44">
        <v>3119</v>
      </c>
      <c r="K896" s="44">
        <v>3187</v>
      </c>
      <c r="L896" s="44">
        <v>5063</v>
      </c>
      <c r="M896" s="44">
        <v>4621</v>
      </c>
      <c r="N896" s="44">
        <v>8176</v>
      </c>
      <c r="O896" s="44">
        <v>5090</v>
      </c>
      <c r="P896" s="44">
        <v>4649</v>
      </c>
      <c r="Q896" s="44">
        <v>4128</v>
      </c>
      <c r="R896" s="44">
        <v>4559</v>
      </c>
      <c r="S896" s="44">
        <v>3229</v>
      </c>
      <c r="T896" s="44">
        <v>3940</v>
      </c>
      <c r="U896" s="44">
        <v>5269</v>
      </c>
      <c r="V896" s="44">
        <v>2970</v>
      </c>
      <c r="W896" s="44">
        <v>2622</v>
      </c>
      <c r="X896" s="44">
        <v>3390</v>
      </c>
      <c r="Y896" s="44">
        <v>2982</v>
      </c>
      <c r="Z896" s="44">
        <v>2787</v>
      </c>
      <c r="AA896" s="44">
        <v>2493</v>
      </c>
      <c r="AB896" s="44">
        <v>2393</v>
      </c>
      <c r="AC896" s="44">
        <v>1818</v>
      </c>
      <c r="AD896" s="44">
        <v>1859</v>
      </c>
      <c r="AE896" s="44">
        <v>1</v>
      </c>
      <c r="AF896" s="44">
        <v>2</v>
      </c>
      <c r="AG896" s="44">
        <v>3</v>
      </c>
      <c r="AH896" s="44">
        <v>2</v>
      </c>
      <c r="AI896" s="44">
        <v>0</v>
      </c>
      <c r="AJ896" s="44">
        <v>1</v>
      </c>
      <c r="AK896" s="44">
        <v>0</v>
      </c>
      <c r="AL896" s="44">
        <v>0</v>
      </c>
      <c r="AM896" s="44">
        <v>0</v>
      </c>
      <c r="AN896" s="44">
        <v>2</v>
      </c>
      <c r="AO896" s="44">
        <v>0</v>
      </c>
      <c r="AP896" s="44">
        <v>0</v>
      </c>
      <c r="AQ896" s="44">
        <v>0</v>
      </c>
      <c r="AR896" s="44">
        <v>0</v>
      </c>
      <c r="AS896" s="44">
        <v>0</v>
      </c>
      <c r="AT896" s="44">
        <v>0</v>
      </c>
      <c r="AU896" s="44">
        <v>0</v>
      </c>
      <c r="AV896" s="44">
        <v>0</v>
      </c>
      <c r="AW896" s="44">
        <v>0</v>
      </c>
      <c r="AX896" s="44">
        <v>0</v>
      </c>
      <c r="AY896" s="44">
        <v>0</v>
      </c>
      <c r="AZ896" s="44">
        <v>0</v>
      </c>
      <c r="BA896" s="44">
        <v>0</v>
      </c>
      <c r="BB896" s="44">
        <v>0</v>
      </c>
      <c r="BC896" s="44">
        <v>0</v>
      </c>
      <c r="BD896" s="44">
        <v>0</v>
      </c>
      <c r="BE896" s="44">
        <v>0</v>
      </c>
      <c r="BF896" s="44">
        <v>0</v>
      </c>
      <c r="BG896" s="44">
        <v>0</v>
      </c>
      <c r="BH896" s="44">
        <v>0</v>
      </c>
      <c r="BI896" s="44">
        <v>0</v>
      </c>
      <c r="BJ896" s="44">
        <v>0</v>
      </c>
      <c r="BK896" s="44">
        <v>0</v>
      </c>
      <c r="BL896" s="44">
        <v>0</v>
      </c>
      <c r="BM896" s="44">
        <v>0</v>
      </c>
      <c r="BN896" s="44">
        <v>0</v>
      </c>
      <c r="BO896" s="44">
        <v>0</v>
      </c>
      <c r="BP896" s="44">
        <v>0</v>
      </c>
      <c r="BQ896" s="44">
        <v>0</v>
      </c>
      <c r="BR896" s="44">
        <v>0</v>
      </c>
      <c r="BS896" s="44">
        <v>0</v>
      </c>
      <c r="BT896" s="44">
        <v>0</v>
      </c>
      <c r="BU896" s="44">
        <v>0</v>
      </c>
      <c r="BV896" s="44">
        <v>0</v>
      </c>
      <c r="BW896" s="44">
        <v>0</v>
      </c>
      <c r="BX896" s="44">
        <v>0</v>
      </c>
      <c r="BY896" s="44">
        <v>0</v>
      </c>
      <c r="BZ896" s="44">
        <v>0</v>
      </c>
      <c r="CA896" s="44">
        <v>0</v>
      </c>
      <c r="CB896" s="44">
        <v>0</v>
      </c>
      <c r="CC896" s="44">
        <v>0</v>
      </c>
      <c r="CD896" s="44">
        <v>0</v>
      </c>
      <c r="CE896" s="44">
        <v>0</v>
      </c>
      <c r="CF896" s="44">
        <v>0</v>
      </c>
      <c r="CG896" s="44">
        <v>0</v>
      </c>
      <c r="CH896" s="44">
        <v>0</v>
      </c>
      <c r="CI896" s="44">
        <v>0</v>
      </c>
      <c r="CJ896" s="44">
        <v>0</v>
      </c>
      <c r="CK896" s="44">
        <v>0</v>
      </c>
      <c r="CL896" s="44">
        <v>0</v>
      </c>
      <c r="CM896" s="44">
        <v>0</v>
      </c>
      <c r="CN896" s="44">
        <v>0</v>
      </c>
      <c r="CO896" s="44">
        <v>0</v>
      </c>
      <c r="CP896" s="44">
        <v>0</v>
      </c>
      <c r="CQ896" s="44">
        <v>0</v>
      </c>
      <c r="CR896" s="44">
        <v>0</v>
      </c>
      <c r="CS896" s="44">
        <v>0</v>
      </c>
      <c r="CT896" s="44">
        <v>0</v>
      </c>
      <c r="CU896" s="44">
        <v>0</v>
      </c>
      <c r="CV896" s="44">
        <v>0</v>
      </c>
      <c r="CW896" s="44">
        <v>0</v>
      </c>
      <c r="CX896" s="44">
        <v>0</v>
      </c>
      <c r="CY896" s="44">
        <v>0</v>
      </c>
      <c r="CZ896" s="44">
        <v>0</v>
      </c>
      <c r="DA896" s="44">
        <v>0</v>
      </c>
      <c r="DB896" s="44">
        <v>0</v>
      </c>
      <c r="DC896" s="44">
        <v>0</v>
      </c>
      <c r="DD896" s="44">
        <v>0</v>
      </c>
      <c r="DE896" s="44">
        <v>0</v>
      </c>
      <c r="DF896" s="44">
        <v>0</v>
      </c>
      <c r="DG896" s="16">
        <f t="shared" si="72"/>
        <v>81330</v>
      </c>
      <c r="DH896" s="16">
        <f t="shared" si="73"/>
        <v>909111</v>
      </c>
      <c r="DI896" s="17">
        <f t="shared" si="74"/>
        <v>11.178052379195869</v>
      </c>
      <c r="DJ896" s="119" t="s">
        <v>1323</v>
      </c>
      <c r="DK896" s="119" t="s">
        <v>1525</v>
      </c>
    </row>
    <row r="897" spans="1:116">
      <c r="A897" s="32" t="str">
        <f t="shared" si="75"/>
        <v>Ergon--LAMPS ; MAJOR ROAD</v>
      </c>
      <c r="B897" s="32" t="str">
        <f t="shared" si="76"/>
        <v>Ergon</v>
      </c>
      <c r="C897" s="387"/>
      <c r="D897" s="44"/>
      <c r="E897" s="44" t="s">
        <v>266</v>
      </c>
      <c r="F897" s="44">
        <v>3</v>
      </c>
      <c r="G897" s="44">
        <v>1.73</v>
      </c>
      <c r="H897" s="44">
        <v>2898</v>
      </c>
      <c r="I897" s="44">
        <v>7686</v>
      </c>
      <c r="J897" s="44">
        <v>5727</v>
      </c>
      <c r="K897" s="44">
        <v>0</v>
      </c>
      <c r="L897" s="44">
        <v>0</v>
      </c>
      <c r="M897" s="44">
        <v>0</v>
      </c>
      <c r="N897" s="44">
        <v>0</v>
      </c>
      <c r="O897" s="44">
        <v>0</v>
      </c>
      <c r="P897" s="44">
        <v>0</v>
      </c>
      <c r="Q897" s="44">
        <v>0</v>
      </c>
      <c r="R897" s="44">
        <v>0</v>
      </c>
      <c r="S897" s="44">
        <v>0</v>
      </c>
      <c r="T897" s="44">
        <v>0</v>
      </c>
      <c r="U897" s="44">
        <v>0</v>
      </c>
      <c r="V897" s="44">
        <v>0</v>
      </c>
      <c r="W897" s="44">
        <v>0</v>
      </c>
      <c r="X897" s="44">
        <v>0</v>
      </c>
      <c r="Y897" s="44">
        <v>0</v>
      </c>
      <c r="Z897" s="44">
        <v>0</v>
      </c>
      <c r="AA897" s="44">
        <v>0</v>
      </c>
      <c r="AB897" s="44">
        <v>0</v>
      </c>
      <c r="AC897" s="44">
        <v>0</v>
      </c>
      <c r="AD897" s="44">
        <v>0</v>
      </c>
      <c r="AE897" s="44">
        <v>0</v>
      </c>
      <c r="AF897" s="44">
        <v>0</v>
      </c>
      <c r="AG897" s="44">
        <v>0</v>
      </c>
      <c r="AH897" s="44">
        <v>0</v>
      </c>
      <c r="AI897" s="44">
        <v>0</v>
      </c>
      <c r="AJ897" s="44">
        <v>0</v>
      </c>
      <c r="AK897" s="44">
        <v>0</v>
      </c>
      <c r="AL897" s="44">
        <v>0</v>
      </c>
      <c r="AM897" s="44">
        <v>0</v>
      </c>
      <c r="AN897" s="44">
        <v>0</v>
      </c>
      <c r="AO897" s="44">
        <v>0</v>
      </c>
      <c r="AP897" s="44">
        <v>0</v>
      </c>
      <c r="AQ897" s="44">
        <v>0</v>
      </c>
      <c r="AR897" s="44">
        <v>0</v>
      </c>
      <c r="AS897" s="44">
        <v>0</v>
      </c>
      <c r="AT897" s="44">
        <v>0</v>
      </c>
      <c r="AU897" s="44">
        <v>0</v>
      </c>
      <c r="AV897" s="44">
        <v>0</v>
      </c>
      <c r="AW897" s="44">
        <v>0</v>
      </c>
      <c r="AX897" s="44">
        <v>0</v>
      </c>
      <c r="AY897" s="44">
        <v>0</v>
      </c>
      <c r="AZ897" s="44">
        <v>0</v>
      </c>
      <c r="BA897" s="44">
        <v>0</v>
      </c>
      <c r="BB897" s="44">
        <v>0</v>
      </c>
      <c r="BC897" s="44">
        <v>0</v>
      </c>
      <c r="BD897" s="44">
        <v>0</v>
      </c>
      <c r="BE897" s="44">
        <v>0</v>
      </c>
      <c r="BF897" s="44">
        <v>0</v>
      </c>
      <c r="BG897" s="44">
        <v>0</v>
      </c>
      <c r="BH897" s="44">
        <v>0</v>
      </c>
      <c r="BI897" s="44">
        <v>0</v>
      </c>
      <c r="BJ897" s="44">
        <v>0</v>
      </c>
      <c r="BK897" s="44">
        <v>0</v>
      </c>
      <c r="BL897" s="44">
        <v>0</v>
      </c>
      <c r="BM897" s="44">
        <v>0</v>
      </c>
      <c r="BN897" s="44">
        <v>0</v>
      </c>
      <c r="BO897" s="44">
        <v>0</v>
      </c>
      <c r="BP897" s="44">
        <v>0</v>
      </c>
      <c r="BQ897" s="44">
        <v>0</v>
      </c>
      <c r="BR897" s="44">
        <v>0</v>
      </c>
      <c r="BS897" s="44">
        <v>0</v>
      </c>
      <c r="BT897" s="44">
        <v>0</v>
      </c>
      <c r="BU897" s="44">
        <v>0</v>
      </c>
      <c r="BV897" s="44">
        <v>0</v>
      </c>
      <c r="BW897" s="44">
        <v>0</v>
      </c>
      <c r="BX897" s="44">
        <v>0</v>
      </c>
      <c r="BY897" s="44">
        <v>0</v>
      </c>
      <c r="BZ897" s="44">
        <v>0</v>
      </c>
      <c r="CA897" s="44">
        <v>0</v>
      </c>
      <c r="CB897" s="44">
        <v>0</v>
      </c>
      <c r="CC897" s="44">
        <v>0</v>
      </c>
      <c r="CD897" s="44">
        <v>0</v>
      </c>
      <c r="CE897" s="44">
        <v>0</v>
      </c>
      <c r="CF897" s="44">
        <v>0</v>
      </c>
      <c r="CG897" s="44">
        <v>0</v>
      </c>
      <c r="CH897" s="44">
        <v>0</v>
      </c>
      <c r="CI897" s="44">
        <v>0</v>
      </c>
      <c r="CJ897" s="44">
        <v>0</v>
      </c>
      <c r="CK897" s="44">
        <v>0</v>
      </c>
      <c r="CL897" s="44">
        <v>0</v>
      </c>
      <c r="CM897" s="44">
        <v>0</v>
      </c>
      <c r="CN897" s="44">
        <v>0</v>
      </c>
      <c r="CO897" s="44">
        <v>0</v>
      </c>
      <c r="CP897" s="44">
        <v>0</v>
      </c>
      <c r="CQ897" s="44">
        <v>0</v>
      </c>
      <c r="CR897" s="44">
        <v>0</v>
      </c>
      <c r="CS897" s="44">
        <v>0</v>
      </c>
      <c r="CT897" s="44">
        <v>0</v>
      </c>
      <c r="CU897" s="44">
        <v>0</v>
      </c>
      <c r="CV897" s="44">
        <v>0</v>
      </c>
      <c r="CW897" s="44">
        <v>0</v>
      </c>
      <c r="CX897" s="44">
        <v>0</v>
      </c>
      <c r="CY897" s="44">
        <v>0</v>
      </c>
      <c r="CZ897" s="44">
        <v>0</v>
      </c>
      <c r="DA897" s="44">
        <v>0</v>
      </c>
      <c r="DB897" s="44">
        <v>0</v>
      </c>
      <c r="DC897" s="44">
        <v>0</v>
      </c>
      <c r="DD897" s="44">
        <v>0</v>
      </c>
      <c r="DE897" s="44">
        <v>0</v>
      </c>
      <c r="DF897" s="44">
        <v>0</v>
      </c>
      <c r="DG897" s="16">
        <f t="shared" si="72"/>
        <v>16311</v>
      </c>
      <c r="DH897" s="16">
        <f t="shared" si="73"/>
        <v>35451</v>
      </c>
      <c r="DI897" s="17">
        <f t="shared" si="74"/>
        <v>2.173441235975722</v>
      </c>
      <c r="DJ897" s="119" t="s">
        <v>1323</v>
      </c>
      <c r="DK897" s="119" t="s">
        <v>1525</v>
      </c>
    </row>
    <row r="898" spans="1:116">
      <c r="A898" s="32" t="str">
        <f t="shared" si="75"/>
        <v>Ergon--LAMPS ; MINOR ROAD</v>
      </c>
      <c r="B898" s="32" t="str">
        <f t="shared" si="76"/>
        <v>Ergon</v>
      </c>
      <c r="C898" s="387"/>
      <c r="D898" s="44"/>
      <c r="E898" s="44" t="s">
        <v>267</v>
      </c>
      <c r="F898" s="44">
        <v>3</v>
      </c>
      <c r="G898" s="44">
        <v>1.73</v>
      </c>
      <c r="H898" s="44">
        <v>29015</v>
      </c>
      <c r="I898" s="44">
        <v>33906</v>
      </c>
      <c r="J898" s="44">
        <v>18433</v>
      </c>
      <c r="K898" s="44">
        <v>0</v>
      </c>
      <c r="L898" s="44">
        <v>0</v>
      </c>
      <c r="M898" s="44">
        <v>0</v>
      </c>
      <c r="N898" s="44">
        <v>0</v>
      </c>
      <c r="O898" s="44">
        <v>0</v>
      </c>
      <c r="P898" s="44">
        <v>0</v>
      </c>
      <c r="Q898" s="44">
        <v>0</v>
      </c>
      <c r="R898" s="44">
        <v>0</v>
      </c>
      <c r="S898" s="44">
        <v>0</v>
      </c>
      <c r="T898" s="44">
        <v>0</v>
      </c>
      <c r="U898" s="44">
        <v>0</v>
      </c>
      <c r="V898" s="44">
        <v>0</v>
      </c>
      <c r="W898" s="44">
        <v>0</v>
      </c>
      <c r="X898" s="44">
        <v>0</v>
      </c>
      <c r="Y898" s="44">
        <v>0</v>
      </c>
      <c r="Z898" s="44">
        <v>0</v>
      </c>
      <c r="AA898" s="44">
        <v>0</v>
      </c>
      <c r="AB898" s="44">
        <v>0</v>
      </c>
      <c r="AC898" s="44">
        <v>0</v>
      </c>
      <c r="AD898" s="44">
        <v>0</v>
      </c>
      <c r="AE898" s="44">
        <v>0</v>
      </c>
      <c r="AF898" s="44">
        <v>0</v>
      </c>
      <c r="AG898" s="44">
        <v>0</v>
      </c>
      <c r="AH898" s="44">
        <v>0</v>
      </c>
      <c r="AI898" s="44">
        <v>0</v>
      </c>
      <c r="AJ898" s="44">
        <v>0</v>
      </c>
      <c r="AK898" s="44">
        <v>0</v>
      </c>
      <c r="AL898" s="44">
        <v>0</v>
      </c>
      <c r="AM898" s="44">
        <v>0</v>
      </c>
      <c r="AN898" s="44">
        <v>0</v>
      </c>
      <c r="AO898" s="44">
        <v>0</v>
      </c>
      <c r="AP898" s="44">
        <v>0</v>
      </c>
      <c r="AQ898" s="44">
        <v>0</v>
      </c>
      <c r="AR898" s="44">
        <v>0</v>
      </c>
      <c r="AS898" s="44">
        <v>0</v>
      </c>
      <c r="AT898" s="44">
        <v>0</v>
      </c>
      <c r="AU898" s="44">
        <v>0</v>
      </c>
      <c r="AV898" s="44">
        <v>0</v>
      </c>
      <c r="AW898" s="44">
        <v>0</v>
      </c>
      <c r="AX898" s="44">
        <v>0</v>
      </c>
      <c r="AY898" s="44">
        <v>0</v>
      </c>
      <c r="AZ898" s="44">
        <v>0</v>
      </c>
      <c r="BA898" s="44">
        <v>0</v>
      </c>
      <c r="BB898" s="44">
        <v>0</v>
      </c>
      <c r="BC898" s="44">
        <v>0</v>
      </c>
      <c r="BD898" s="44">
        <v>0</v>
      </c>
      <c r="BE898" s="44">
        <v>0</v>
      </c>
      <c r="BF898" s="44">
        <v>0</v>
      </c>
      <c r="BG898" s="44">
        <v>0</v>
      </c>
      <c r="BH898" s="44">
        <v>0</v>
      </c>
      <c r="BI898" s="44">
        <v>0</v>
      </c>
      <c r="BJ898" s="44">
        <v>0</v>
      </c>
      <c r="BK898" s="44">
        <v>0</v>
      </c>
      <c r="BL898" s="44">
        <v>0</v>
      </c>
      <c r="BM898" s="44">
        <v>0</v>
      </c>
      <c r="BN898" s="44">
        <v>0</v>
      </c>
      <c r="BO898" s="44">
        <v>0</v>
      </c>
      <c r="BP898" s="44">
        <v>0</v>
      </c>
      <c r="BQ898" s="44">
        <v>0</v>
      </c>
      <c r="BR898" s="44">
        <v>0</v>
      </c>
      <c r="BS898" s="44">
        <v>0</v>
      </c>
      <c r="BT898" s="44">
        <v>0</v>
      </c>
      <c r="BU898" s="44">
        <v>0</v>
      </c>
      <c r="BV898" s="44">
        <v>0</v>
      </c>
      <c r="BW898" s="44">
        <v>0</v>
      </c>
      <c r="BX898" s="44">
        <v>0</v>
      </c>
      <c r="BY898" s="44">
        <v>0</v>
      </c>
      <c r="BZ898" s="44">
        <v>0</v>
      </c>
      <c r="CA898" s="44">
        <v>0</v>
      </c>
      <c r="CB898" s="44">
        <v>0</v>
      </c>
      <c r="CC898" s="44">
        <v>0</v>
      </c>
      <c r="CD898" s="44">
        <v>0</v>
      </c>
      <c r="CE898" s="44">
        <v>0</v>
      </c>
      <c r="CF898" s="44">
        <v>0</v>
      </c>
      <c r="CG898" s="44">
        <v>0</v>
      </c>
      <c r="CH898" s="44">
        <v>0</v>
      </c>
      <c r="CI898" s="44">
        <v>0</v>
      </c>
      <c r="CJ898" s="44">
        <v>0</v>
      </c>
      <c r="CK898" s="44">
        <v>0</v>
      </c>
      <c r="CL898" s="44">
        <v>0</v>
      </c>
      <c r="CM898" s="44">
        <v>0</v>
      </c>
      <c r="CN898" s="44">
        <v>0</v>
      </c>
      <c r="CO898" s="44">
        <v>0</v>
      </c>
      <c r="CP898" s="44">
        <v>0</v>
      </c>
      <c r="CQ898" s="44">
        <v>0</v>
      </c>
      <c r="CR898" s="44">
        <v>0</v>
      </c>
      <c r="CS898" s="44">
        <v>0</v>
      </c>
      <c r="CT898" s="44">
        <v>0</v>
      </c>
      <c r="CU898" s="44">
        <v>0</v>
      </c>
      <c r="CV898" s="44">
        <v>0</v>
      </c>
      <c r="CW898" s="44">
        <v>0</v>
      </c>
      <c r="CX898" s="44">
        <v>0</v>
      </c>
      <c r="CY898" s="44">
        <v>0</v>
      </c>
      <c r="CZ898" s="44">
        <v>0</v>
      </c>
      <c r="DA898" s="44">
        <v>0</v>
      </c>
      <c r="DB898" s="44">
        <v>0</v>
      </c>
      <c r="DC898" s="44">
        <v>0</v>
      </c>
      <c r="DD898" s="44">
        <v>0</v>
      </c>
      <c r="DE898" s="44">
        <v>0</v>
      </c>
      <c r="DF898" s="44">
        <v>0</v>
      </c>
      <c r="DG898" s="16">
        <f t="shared" si="72"/>
        <v>81354</v>
      </c>
      <c r="DH898" s="16">
        <f t="shared" si="73"/>
        <v>152126</v>
      </c>
      <c r="DI898" s="17">
        <f t="shared" si="74"/>
        <v>1.8699264940875679</v>
      </c>
      <c r="DJ898" s="119" t="s">
        <v>1323</v>
      </c>
      <c r="DK898" s="119" t="s">
        <v>1525</v>
      </c>
    </row>
    <row r="899" spans="1:116">
      <c r="A899" s="32" t="str">
        <f t="shared" si="75"/>
        <v>Ergon--POLES / COLUMNS ; MAJOR ROAD</v>
      </c>
      <c r="B899" s="32" t="str">
        <f t="shared" si="76"/>
        <v>Ergon</v>
      </c>
      <c r="C899" s="387"/>
      <c r="D899" s="44"/>
      <c r="E899" s="44" t="s">
        <v>268</v>
      </c>
      <c r="F899" s="44">
        <v>20</v>
      </c>
      <c r="G899" s="44">
        <v>4.47</v>
      </c>
      <c r="H899" s="44">
        <v>53</v>
      </c>
      <c r="I899" s="44">
        <v>303</v>
      </c>
      <c r="J899" s="44">
        <v>582</v>
      </c>
      <c r="K899" s="44">
        <v>549</v>
      </c>
      <c r="L899" s="44">
        <v>935</v>
      </c>
      <c r="M899" s="44">
        <v>673</v>
      </c>
      <c r="N899" s="44">
        <v>669</v>
      </c>
      <c r="O899" s="44">
        <v>527</v>
      </c>
      <c r="P899" s="44">
        <v>499</v>
      </c>
      <c r="Q899" s="44">
        <v>445</v>
      </c>
      <c r="R899" s="44">
        <v>547</v>
      </c>
      <c r="S899" s="44">
        <v>458</v>
      </c>
      <c r="T899" s="44">
        <v>642</v>
      </c>
      <c r="U899" s="44">
        <v>379</v>
      </c>
      <c r="V899" s="44">
        <v>349</v>
      </c>
      <c r="W899" s="44">
        <v>336</v>
      </c>
      <c r="X899" s="44">
        <v>344</v>
      </c>
      <c r="Y899" s="44">
        <v>406</v>
      </c>
      <c r="Z899" s="44">
        <v>305</v>
      </c>
      <c r="AA899" s="44">
        <v>377</v>
      </c>
      <c r="AB899" s="44">
        <v>301</v>
      </c>
      <c r="AC899" s="44">
        <v>214</v>
      </c>
      <c r="AD899" s="44">
        <v>211</v>
      </c>
      <c r="AE899" s="44">
        <v>1</v>
      </c>
      <c r="AF899" s="44">
        <v>0</v>
      </c>
      <c r="AG899" s="44">
        <v>3</v>
      </c>
      <c r="AH899" s="44">
        <v>0</v>
      </c>
      <c r="AI899" s="44">
        <v>0</v>
      </c>
      <c r="AJ899" s="44">
        <v>0</v>
      </c>
      <c r="AK899" s="44">
        <v>0</v>
      </c>
      <c r="AL899" s="44">
        <v>0</v>
      </c>
      <c r="AM899" s="44">
        <v>0</v>
      </c>
      <c r="AN899" s="44">
        <v>0</v>
      </c>
      <c r="AO899" s="44">
        <v>0</v>
      </c>
      <c r="AP899" s="44">
        <v>0</v>
      </c>
      <c r="AQ899" s="44">
        <v>0</v>
      </c>
      <c r="AR899" s="44">
        <v>0</v>
      </c>
      <c r="AS899" s="44">
        <v>0</v>
      </c>
      <c r="AT899" s="44">
        <v>0</v>
      </c>
      <c r="AU899" s="44">
        <v>0</v>
      </c>
      <c r="AV899" s="44">
        <v>0</v>
      </c>
      <c r="AW899" s="44">
        <v>0</v>
      </c>
      <c r="AX899" s="44">
        <v>0</v>
      </c>
      <c r="AY899" s="44">
        <v>0</v>
      </c>
      <c r="AZ899" s="44">
        <v>0</v>
      </c>
      <c r="BA899" s="44">
        <v>0</v>
      </c>
      <c r="BB899" s="44">
        <v>0</v>
      </c>
      <c r="BC899" s="44">
        <v>0</v>
      </c>
      <c r="BD899" s="44">
        <v>0</v>
      </c>
      <c r="BE899" s="44">
        <v>0</v>
      </c>
      <c r="BF899" s="44">
        <v>0</v>
      </c>
      <c r="BG899" s="44">
        <v>0</v>
      </c>
      <c r="BH899" s="44">
        <v>0</v>
      </c>
      <c r="BI899" s="44">
        <v>0</v>
      </c>
      <c r="BJ899" s="44">
        <v>0</v>
      </c>
      <c r="BK899" s="44">
        <v>0</v>
      </c>
      <c r="BL899" s="44">
        <v>0</v>
      </c>
      <c r="BM899" s="44">
        <v>0</v>
      </c>
      <c r="BN899" s="44">
        <v>0</v>
      </c>
      <c r="BO899" s="44">
        <v>0</v>
      </c>
      <c r="BP899" s="44">
        <v>0</v>
      </c>
      <c r="BQ899" s="44">
        <v>0</v>
      </c>
      <c r="BR899" s="44">
        <v>0</v>
      </c>
      <c r="BS899" s="44">
        <v>0</v>
      </c>
      <c r="BT899" s="44">
        <v>0</v>
      </c>
      <c r="BU899" s="44">
        <v>0</v>
      </c>
      <c r="BV899" s="44">
        <v>0</v>
      </c>
      <c r="BW899" s="44">
        <v>0</v>
      </c>
      <c r="BX899" s="44">
        <v>0</v>
      </c>
      <c r="BY899" s="44">
        <v>0</v>
      </c>
      <c r="BZ899" s="44">
        <v>0</v>
      </c>
      <c r="CA899" s="44">
        <v>0</v>
      </c>
      <c r="CB899" s="44">
        <v>0</v>
      </c>
      <c r="CC899" s="44">
        <v>0</v>
      </c>
      <c r="CD899" s="44">
        <v>0</v>
      </c>
      <c r="CE899" s="44">
        <v>0</v>
      </c>
      <c r="CF899" s="44">
        <v>0</v>
      </c>
      <c r="CG899" s="44">
        <v>0</v>
      </c>
      <c r="CH899" s="44">
        <v>0</v>
      </c>
      <c r="CI899" s="44">
        <v>0</v>
      </c>
      <c r="CJ899" s="44">
        <v>0</v>
      </c>
      <c r="CK899" s="44">
        <v>0</v>
      </c>
      <c r="CL899" s="44">
        <v>0</v>
      </c>
      <c r="CM899" s="44">
        <v>0</v>
      </c>
      <c r="CN899" s="44">
        <v>0</v>
      </c>
      <c r="CO899" s="44">
        <v>0</v>
      </c>
      <c r="CP899" s="44">
        <v>0</v>
      </c>
      <c r="CQ899" s="44">
        <v>0</v>
      </c>
      <c r="CR899" s="44">
        <v>0</v>
      </c>
      <c r="CS899" s="44">
        <v>0</v>
      </c>
      <c r="CT899" s="44">
        <v>0</v>
      </c>
      <c r="CU899" s="44">
        <v>0</v>
      </c>
      <c r="CV899" s="44">
        <v>0</v>
      </c>
      <c r="CW899" s="44">
        <v>0</v>
      </c>
      <c r="CX899" s="44">
        <v>0</v>
      </c>
      <c r="CY899" s="44">
        <v>0</v>
      </c>
      <c r="CZ899" s="44">
        <v>0</v>
      </c>
      <c r="DA899" s="44">
        <v>0</v>
      </c>
      <c r="DB899" s="44">
        <v>0</v>
      </c>
      <c r="DC899" s="44">
        <v>0</v>
      </c>
      <c r="DD899" s="44">
        <v>0</v>
      </c>
      <c r="DE899" s="44">
        <v>0</v>
      </c>
      <c r="DF899" s="44">
        <v>0</v>
      </c>
      <c r="DG899" s="16">
        <f t="shared" si="72"/>
        <v>10108</v>
      </c>
      <c r="DH899" s="16">
        <f t="shared" si="73"/>
        <v>109405</v>
      </c>
      <c r="DI899" s="17">
        <f t="shared" si="74"/>
        <v>10.823605065294815</v>
      </c>
      <c r="DJ899" s="119" t="s">
        <v>1323</v>
      </c>
      <c r="DK899" s="119" t="s">
        <v>1539</v>
      </c>
      <c r="DL899" s="119" t="s">
        <v>1522</v>
      </c>
    </row>
    <row r="900" spans="1:116">
      <c r="A900" s="32" t="str">
        <f t="shared" si="75"/>
        <v>Ergon--POLES / COLUMNS ; MINOR ROAD</v>
      </c>
      <c r="B900" s="32" t="str">
        <f t="shared" si="76"/>
        <v>Ergon</v>
      </c>
      <c r="C900" s="387"/>
      <c r="D900" s="44"/>
      <c r="E900" s="44" t="s">
        <v>269</v>
      </c>
      <c r="F900" s="44">
        <v>20</v>
      </c>
      <c r="G900" s="44">
        <v>4.47</v>
      </c>
      <c r="H900" s="44">
        <v>835</v>
      </c>
      <c r="I900" s="44">
        <v>2024</v>
      </c>
      <c r="J900" s="44">
        <v>2998</v>
      </c>
      <c r="K900" s="44">
        <v>3063</v>
      </c>
      <c r="L900" s="44">
        <v>4866</v>
      </c>
      <c r="M900" s="44">
        <v>4441</v>
      </c>
      <c r="N900" s="44">
        <v>7858</v>
      </c>
      <c r="O900" s="44">
        <v>4892</v>
      </c>
      <c r="P900" s="44">
        <v>4468</v>
      </c>
      <c r="Q900" s="44">
        <v>3967</v>
      </c>
      <c r="R900" s="44">
        <v>4381</v>
      </c>
      <c r="S900" s="44">
        <v>3103</v>
      </c>
      <c r="T900" s="44">
        <v>3787</v>
      </c>
      <c r="U900" s="44">
        <v>5064</v>
      </c>
      <c r="V900" s="44">
        <v>2854</v>
      </c>
      <c r="W900" s="44">
        <v>2520</v>
      </c>
      <c r="X900" s="44">
        <v>3258</v>
      </c>
      <c r="Y900" s="44">
        <v>2866</v>
      </c>
      <c r="Z900" s="44">
        <v>2678</v>
      </c>
      <c r="AA900" s="44">
        <v>2396</v>
      </c>
      <c r="AB900" s="44">
        <v>2300</v>
      </c>
      <c r="AC900" s="44">
        <v>1747</v>
      </c>
      <c r="AD900" s="44">
        <v>1787</v>
      </c>
      <c r="AE900" s="44">
        <v>1</v>
      </c>
      <c r="AF900" s="44">
        <v>2</v>
      </c>
      <c r="AG900" s="44">
        <v>3</v>
      </c>
      <c r="AH900" s="44">
        <v>2</v>
      </c>
      <c r="AI900" s="44">
        <v>0</v>
      </c>
      <c r="AJ900" s="44">
        <v>1</v>
      </c>
      <c r="AK900" s="44">
        <v>0</v>
      </c>
      <c r="AL900" s="44">
        <v>0</v>
      </c>
      <c r="AM900" s="44">
        <v>0</v>
      </c>
      <c r="AN900" s="44">
        <v>2</v>
      </c>
      <c r="AO900" s="44">
        <v>0</v>
      </c>
      <c r="AP900" s="44">
        <v>0</v>
      </c>
      <c r="AQ900" s="44">
        <v>0</v>
      </c>
      <c r="AR900" s="44">
        <v>0</v>
      </c>
      <c r="AS900" s="44">
        <v>0</v>
      </c>
      <c r="AT900" s="44">
        <v>0</v>
      </c>
      <c r="AU900" s="44">
        <v>0</v>
      </c>
      <c r="AV900" s="44">
        <v>0</v>
      </c>
      <c r="AW900" s="44">
        <v>0</v>
      </c>
      <c r="AX900" s="44">
        <v>0</v>
      </c>
      <c r="AY900" s="44">
        <v>0</v>
      </c>
      <c r="AZ900" s="44">
        <v>0</v>
      </c>
      <c r="BA900" s="44">
        <v>0</v>
      </c>
      <c r="BB900" s="44">
        <v>0</v>
      </c>
      <c r="BC900" s="44">
        <v>0</v>
      </c>
      <c r="BD900" s="44">
        <v>0</v>
      </c>
      <c r="BE900" s="44">
        <v>0</v>
      </c>
      <c r="BF900" s="44">
        <v>0</v>
      </c>
      <c r="BG900" s="44">
        <v>0</v>
      </c>
      <c r="BH900" s="44">
        <v>0</v>
      </c>
      <c r="BI900" s="44">
        <v>0</v>
      </c>
      <c r="BJ900" s="44">
        <v>0</v>
      </c>
      <c r="BK900" s="44">
        <v>0</v>
      </c>
      <c r="BL900" s="44">
        <v>0</v>
      </c>
      <c r="BM900" s="44">
        <v>0</v>
      </c>
      <c r="BN900" s="44">
        <v>0</v>
      </c>
      <c r="BO900" s="44">
        <v>0</v>
      </c>
      <c r="BP900" s="44">
        <v>0</v>
      </c>
      <c r="BQ900" s="44">
        <v>0</v>
      </c>
      <c r="BR900" s="44">
        <v>0</v>
      </c>
      <c r="BS900" s="44">
        <v>0</v>
      </c>
      <c r="BT900" s="44">
        <v>0</v>
      </c>
      <c r="BU900" s="44">
        <v>0</v>
      </c>
      <c r="BV900" s="44">
        <v>0</v>
      </c>
      <c r="BW900" s="44">
        <v>0</v>
      </c>
      <c r="BX900" s="44">
        <v>0</v>
      </c>
      <c r="BY900" s="44">
        <v>0</v>
      </c>
      <c r="BZ900" s="44">
        <v>0</v>
      </c>
      <c r="CA900" s="44">
        <v>0</v>
      </c>
      <c r="CB900" s="44">
        <v>0</v>
      </c>
      <c r="CC900" s="44">
        <v>0</v>
      </c>
      <c r="CD900" s="44">
        <v>0</v>
      </c>
      <c r="CE900" s="44">
        <v>0</v>
      </c>
      <c r="CF900" s="44">
        <v>0</v>
      </c>
      <c r="CG900" s="44">
        <v>0</v>
      </c>
      <c r="CH900" s="44">
        <v>0</v>
      </c>
      <c r="CI900" s="44">
        <v>0</v>
      </c>
      <c r="CJ900" s="44">
        <v>0</v>
      </c>
      <c r="CK900" s="44">
        <v>0</v>
      </c>
      <c r="CL900" s="44">
        <v>0</v>
      </c>
      <c r="CM900" s="44">
        <v>0</v>
      </c>
      <c r="CN900" s="44">
        <v>0</v>
      </c>
      <c r="CO900" s="44">
        <v>0</v>
      </c>
      <c r="CP900" s="44">
        <v>0</v>
      </c>
      <c r="CQ900" s="44">
        <v>0</v>
      </c>
      <c r="CR900" s="44">
        <v>0</v>
      </c>
      <c r="CS900" s="44">
        <v>0</v>
      </c>
      <c r="CT900" s="44">
        <v>0</v>
      </c>
      <c r="CU900" s="44">
        <v>0</v>
      </c>
      <c r="CV900" s="44">
        <v>0</v>
      </c>
      <c r="CW900" s="44">
        <v>0</v>
      </c>
      <c r="CX900" s="44">
        <v>0</v>
      </c>
      <c r="CY900" s="44">
        <v>0</v>
      </c>
      <c r="CZ900" s="44">
        <v>0</v>
      </c>
      <c r="DA900" s="44">
        <v>0</v>
      </c>
      <c r="DB900" s="44">
        <v>0</v>
      </c>
      <c r="DC900" s="44">
        <v>0</v>
      </c>
      <c r="DD900" s="44">
        <v>0</v>
      </c>
      <c r="DE900" s="44">
        <v>0</v>
      </c>
      <c r="DF900" s="44">
        <v>0</v>
      </c>
      <c r="DG900" s="16">
        <f t="shared" si="72"/>
        <v>78164</v>
      </c>
      <c r="DH900" s="16">
        <f t="shared" si="73"/>
        <v>873725</v>
      </c>
      <c r="DI900" s="17">
        <f t="shared" si="74"/>
        <v>11.178099892533647</v>
      </c>
      <c r="DJ900" s="119" t="s">
        <v>1323</v>
      </c>
      <c r="DK900" s="119" t="s">
        <v>1539</v>
      </c>
      <c r="DL900" s="119" t="s">
        <v>1522</v>
      </c>
    </row>
    <row r="901" spans="1:116">
      <c r="A901" s="32" t="str">
        <f t="shared" si="75"/>
        <v>Ergon--OTHER - PLEASE ADD A ROW IF NECESSARY AND NOMINATE THE CATEGORY</v>
      </c>
      <c r="B901" s="32" t="str">
        <f t="shared" si="76"/>
        <v>Ergon</v>
      </c>
      <c r="C901" s="387"/>
      <c r="D901" s="44"/>
      <c r="E901" s="44" t="s">
        <v>170</v>
      </c>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c r="BL901" s="44"/>
      <c r="BM901" s="44"/>
      <c r="BN901" s="44"/>
      <c r="BO901" s="44"/>
      <c r="BP901" s="44"/>
      <c r="BQ901" s="44"/>
      <c r="BR901" s="44"/>
      <c r="BS901" s="44"/>
      <c r="BT901" s="44"/>
      <c r="BU901" s="44"/>
      <c r="BV901" s="44"/>
      <c r="BW901" s="44"/>
      <c r="BX901" s="44"/>
      <c r="BY901" s="44"/>
      <c r="BZ901" s="44"/>
      <c r="CA901" s="44"/>
      <c r="CB901" s="44"/>
      <c r="CC901" s="44"/>
      <c r="CD901" s="44"/>
      <c r="CE901" s="44"/>
      <c r="CF901" s="44"/>
      <c r="CG901" s="44"/>
      <c r="CH901" s="44"/>
      <c r="CI901" s="44"/>
      <c r="CJ901" s="44"/>
      <c r="CK901" s="44"/>
      <c r="CL901" s="44"/>
      <c r="CM901" s="44"/>
      <c r="CN901" s="44"/>
      <c r="CO901" s="44"/>
      <c r="CP901" s="44"/>
      <c r="CQ901" s="44"/>
      <c r="CR901" s="44"/>
      <c r="CS901" s="44"/>
      <c r="CT901" s="44"/>
      <c r="CU901" s="44"/>
      <c r="CV901" s="44"/>
      <c r="CW901" s="44"/>
      <c r="CX901" s="44"/>
      <c r="CY901" s="44"/>
      <c r="CZ901" s="44"/>
      <c r="DA901" s="44"/>
      <c r="DB901" s="44"/>
      <c r="DC901" s="44"/>
      <c r="DD901" s="44"/>
      <c r="DE901" s="44"/>
      <c r="DF901" s="44"/>
      <c r="DG901" s="16">
        <f t="shared" si="72"/>
        <v>0</v>
      </c>
      <c r="DH901" s="16">
        <f t="shared" si="73"/>
        <v>0</v>
      </c>
      <c r="DI901" s="17" t="str">
        <f t="shared" si="74"/>
        <v/>
      </c>
      <c r="DJ901" s="119" t="s">
        <v>1323</v>
      </c>
      <c r="DK901" s="119" t="s">
        <v>1525</v>
      </c>
    </row>
    <row r="902" spans="1:116" ht="45">
      <c r="A902" s="32" t="str">
        <f t="shared" si="75"/>
        <v>Ergon-SCADA, NETWORK CONTROL AND PROTECTION SYSTEMS BY: 
FUNCTION-FIELD DEVICES</v>
      </c>
      <c r="B902" s="32" t="str">
        <f t="shared" si="76"/>
        <v>Ergon</v>
      </c>
      <c r="C902" s="387"/>
      <c r="D902" s="31" t="s">
        <v>548</v>
      </c>
      <c r="E902" s="44" t="s">
        <v>272</v>
      </c>
      <c r="F902" s="44">
        <v>15.41</v>
      </c>
      <c r="G902" s="44">
        <v>3.92</v>
      </c>
      <c r="H902" s="44">
        <v>212</v>
      </c>
      <c r="I902" s="44">
        <v>205</v>
      </c>
      <c r="J902" s="44">
        <v>588</v>
      </c>
      <c r="K902" s="44">
        <v>713</v>
      </c>
      <c r="L902" s="44">
        <v>650</v>
      </c>
      <c r="M902" s="44">
        <v>385</v>
      </c>
      <c r="N902" s="44">
        <v>675</v>
      </c>
      <c r="O902" s="44">
        <v>514</v>
      </c>
      <c r="P902" s="44">
        <v>170</v>
      </c>
      <c r="Q902" s="44">
        <v>170</v>
      </c>
      <c r="R902" s="44">
        <v>218</v>
      </c>
      <c r="S902" s="44">
        <v>196</v>
      </c>
      <c r="T902" s="44">
        <v>445</v>
      </c>
      <c r="U902" s="44">
        <v>948</v>
      </c>
      <c r="V902" s="44">
        <v>194</v>
      </c>
      <c r="W902" s="44">
        <v>134</v>
      </c>
      <c r="X902" s="44">
        <v>111</v>
      </c>
      <c r="Y902" s="44">
        <v>155</v>
      </c>
      <c r="Z902" s="44">
        <v>86</v>
      </c>
      <c r="AA902" s="44">
        <v>189</v>
      </c>
      <c r="AB902" s="44">
        <v>175</v>
      </c>
      <c r="AC902" s="44">
        <v>206</v>
      </c>
      <c r="AD902" s="44">
        <v>120</v>
      </c>
      <c r="AE902" s="44">
        <v>102</v>
      </c>
      <c r="AF902" s="44">
        <v>95</v>
      </c>
      <c r="AG902" s="44">
        <v>190</v>
      </c>
      <c r="AH902" s="44">
        <v>148</v>
      </c>
      <c r="AI902" s="44">
        <v>149</v>
      </c>
      <c r="AJ902" s="44">
        <v>104</v>
      </c>
      <c r="AK902" s="44">
        <v>130</v>
      </c>
      <c r="AL902" s="44">
        <v>74</v>
      </c>
      <c r="AM902" s="44">
        <v>67</v>
      </c>
      <c r="AN902" s="44">
        <v>80</v>
      </c>
      <c r="AO902" s="44">
        <v>49</v>
      </c>
      <c r="AP902" s="44">
        <v>45</v>
      </c>
      <c r="AQ902" s="44">
        <v>38</v>
      </c>
      <c r="AR902" s="44">
        <v>33</v>
      </c>
      <c r="AS902" s="44">
        <v>24</v>
      </c>
      <c r="AT902" s="44">
        <v>46</v>
      </c>
      <c r="AU902" s="44">
        <v>30</v>
      </c>
      <c r="AV902" s="44">
        <v>66</v>
      </c>
      <c r="AW902" s="44">
        <v>10</v>
      </c>
      <c r="AX902" s="44">
        <v>21</v>
      </c>
      <c r="AY902" s="44">
        <v>23</v>
      </c>
      <c r="AZ902" s="44">
        <v>17</v>
      </c>
      <c r="BA902" s="44">
        <v>18</v>
      </c>
      <c r="BB902" s="44">
        <v>18</v>
      </c>
      <c r="BC902" s="44">
        <v>23</v>
      </c>
      <c r="BD902" s="44">
        <v>13</v>
      </c>
      <c r="BE902" s="44">
        <v>7</v>
      </c>
      <c r="BF902" s="44">
        <v>3</v>
      </c>
      <c r="BG902" s="44">
        <v>3</v>
      </c>
      <c r="BH902" s="44">
        <v>20</v>
      </c>
      <c r="BI902" s="44">
        <v>5</v>
      </c>
      <c r="BJ902" s="44">
        <v>2</v>
      </c>
      <c r="BK902" s="44">
        <v>4</v>
      </c>
      <c r="BL902" s="44">
        <v>4</v>
      </c>
      <c r="BM902" s="44">
        <v>4</v>
      </c>
      <c r="BN902" s="44">
        <v>9</v>
      </c>
      <c r="BO902" s="44">
        <v>3</v>
      </c>
      <c r="BP902" s="44">
        <v>1</v>
      </c>
      <c r="BQ902" s="44">
        <v>2</v>
      </c>
      <c r="BR902" s="44">
        <v>1</v>
      </c>
      <c r="BS902" s="44">
        <v>1</v>
      </c>
      <c r="BT902" s="44">
        <v>0</v>
      </c>
      <c r="BU902" s="44">
        <v>0</v>
      </c>
      <c r="BV902" s="44">
        <v>0</v>
      </c>
      <c r="BW902" s="44">
        <v>0</v>
      </c>
      <c r="BX902" s="44">
        <v>0</v>
      </c>
      <c r="BY902" s="44">
        <v>0</v>
      </c>
      <c r="BZ902" s="44">
        <v>0</v>
      </c>
      <c r="CA902" s="44">
        <v>0</v>
      </c>
      <c r="CB902" s="44">
        <v>0</v>
      </c>
      <c r="CC902" s="44">
        <v>0</v>
      </c>
      <c r="CD902" s="44">
        <v>0</v>
      </c>
      <c r="CE902" s="44">
        <v>0</v>
      </c>
      <c r="CF902" s="44">
        <v>0</v>
      </c>
      <c r="CG902" s="44">
        <v>0</v>
      </c>
      <c r="CH902" s="44">
        <v>0</v>
      </c>
      <c r="CI902" s="44">
        <v>0</v>
      </c>
      <c r="CJ902" s="44">
        <v>0</v>
      </c>
      <c r="CK902" s="44">
        <v>0</v>
      </c>
      <c r="CL902" s="44">
        <v>0</v>
      </c>
      <c r="CM902" s="44">
        <v>0</v>
      </c>
      <c r="CN902" s="44">
        <v>0</v>
      </c>
      <c r="CO902" s="44">
        <v>0</v>
      </c>
      <c r="CP902" s="44">
        <v>0</v>
      </c>
      <c r="CQ902" s="44">
        <v>0</v>
      </c>
      <c r="CR902" s="44">
        <v>0</v>
      </c>
      <c r="CS902" s="44">
        <v>0</v>
      </c>
      <c r="CT902" s="44">
        <v>0</v>
      </c>
      <c r="CU902" s="44">
        <v>0</v>
      </c>
      <c r="CV902" s="44">
        <v>0</v>
      </c>
      <c r="CW902" s="44">
        <v>0</v>
      </c>
      <c r="CX902" s="44">
        <v>0</v>
      </c>
      <c r="CY902" s="44">
        <v>0</v>
      </c>
      <c r="CZ902" s="44">
        <v>0</v>
      </c>
      <c r="DA902" s="44">
        <v>0</v>
      </c>
      <c r="DB902" s="44">
        <v>0</v>
      </c>
      <c r="DC902" s="44">
        <v>0</v>
      </c>
      <c r="DD902" s="44">
        <v>0</v>
      </c>
      <c r="DE902" s="44">
        <v>0</v>
      </c>
      <c r="DF902" s="44">
        <v>0</v>
      </c>
      <c r="DG902" s="16">
        <f t="shared" si="72"/>
        <v>9141</v>
      </c>
      <c r="DH902" s="16">
        <f t="shared" si="73"/>
        <v>127472</v>
      </c>
      <c r="DI902" s="17">
        <f t="shared" si="74"/>
        <v>13.94508259490209</v>
      </c>
      <c r="DJ902" s="119" t="s">
        <v>659</v>
      </c>
      <c r="DK902" t="s">
        <v>659</v>
      </c>
    </row>
    <row r="903" spans="1:116">
      <c r="A903" s="32" t="str">
        <f t="shared" si="75"/>
        <v>Ergon--LOCAL NETWORK WIRING ASSETS</v>
      </c>
      <c r="B903" s="32" t="str">
        <f t="shared" si="76"/>
        <v>Ergon</v>
      </c>
      <c r="C903" s="387"/>
      <c r="D903" s="44"/>
      <c r="E903" s="44" t="s">
        <v>273</v>
      </c>
      <c r="F903" s="44" t="s">
        <v>1162</v>
      </c>
      <c r="G903" s="44" t="s">
        <v>1162</v>
      </c>
      <c r="H903" s="44">
        <v>0</v>
      </c>
      <c r="I903" s="44">
        <v>0</v>
      </c>
      <c r="J903" s="44">
        <v>0</v>
      </c>
      <c r="K903" s="44">
        <v>0</v>
      </c>
      <c r="L903" s="44">
        <v>0</v>
      </c>
      <c r="M903" s="44">
        <v>0</v>
      </c>
      <c r="N903" s="44">
        <v>0</v>
      </c>
      <c r="O903" s="44">
        <v>0</v>
      </c>
      <c r="P903" s="44">
        <v>0</v>
      </c>
      <c r="Q903" s="44">
        <v>0</v>
      </c>
      <c r="R903" s="44">
        <v>0</v>
      </c>
      <c r="S903" s="44">
        <v>0</v>
      </c>
      <c r="T903" s="44">
        <v>0</v>
      </c>
      <c r="U903" s="44">
        <v>0</v>
      </c>
      <c r="V903" s="44">
        <v>0</v>
      </c>
      <c r="W903" s="44">
        <v>0</v>
      </c>
      <c r="X903" s="44">
        <v>0</v>
      </c>
      <c r="Y903" s="44">
        <v>0</v>
      </c>
      <c r="Z903" s="44">
        <v>0</v>
      </c>
      <c r="AA903" s="44">
        <v>0</v>
      </c>
      <c r="AB903" s="44">
        <v>0</v>
      </c>
      <c r="AC903" s="44">
        <v>0</v>
      </c>
      <c r="AD903" s="44">
        <v>0</v>
      </c>
      <c r="AE903" s="44">
        <v>0</v>
      </c>
      <c r="AF903" s="44">
        <v>0</v>
      </c>
      <c r="AG903" s="44">
        <v>0</v>
      </c>
      <c r="AH903" s="44">
        <v>0</v>
      </c>
      <c r="AI903" s="44">
        <v>0</v>
      </c>
      <c r="AJ903" s="44">
        <v>0</v>
      </c>
      <c r="AK903" s="44">
        <v>0</v>
      </c>
      <c r="AL903" s="44">
        <v>0</v>
      </c>
      <c r="AM903" s="44">
        <v>0</v>
      </c>
      <c r="AN903" s="44">
        <v>0</v>
      </c>
      <c r="AO903" s="44">
        <v>0</v>
      </c>
      <c r="AP903" s="44">
        <v>0</v>
      </c>
      <c r="AQ903" s="44">
        <v>0</v>
      </c>
      <c r="AR903" s="44">
        <v>0</v>
      </c>
      <c r="AS903" s="44">
        <v>0</v>
      </c>
      <c r="AT903" s="44">
        <v>0</v>
      </c>
      <c r="AU903" s="44">
        <v>0</v>
      </c>
      <c r="AV903" s="44">
        <v>0</v>
      </c>
      <c r="AW903" s="44">
        <v>0</v>
      </c>
      <c r="AX903" s="44">
        <v>0</v>
      </c>
      <c r="AY903" s="44">
        <v>0</v>
      </c>
      <c r="AZ903" s="44">
        <v>0</v>
      </c>
      <c r="BA903" s="44">
        <v>0</v>
      </c>
      <c r="BB903" s="44">
        <v>0</v>
      </c>
      <c r="BC903" s="44">
        <v>0</v>
      </c>
      <c r="BD903" s="44">
        <v>0</v>
      </c>
      <c r="BE903" s="44">
        <v>0</v>
      </c>
      <c r="BF903" s="44">
        <v>0</v>
      </c>
      <c r="BG903" s="44">
        <v>0</v>
      </c>
      <c r="BH903" s="44">
        <v>0</v>
      </c>
      <c r="BI903" s="44">
        <v>0</v>
      </c>
      <c r="BJ903" s="44">
        <v>0</v>
      </c>
      <c r="BK903" s="44">
        <v>0</v>
      </c>
      <c r="BL903" s="44">
        <v>0</v>
      </c>
      <c r="BM903" s="44">
        <v>0</v>
      </c>
      <c r="BN903" s="44">
        <v>0</v>
      </c>
      <c r="BO903" s="44">
        <v>0</v>
      </c>
      <c r="BP903" s="44">
        <v>0</v>
      </c>
      <c r="BQ903" s="44">
        <v>0</v>
      </c>
      <c r="BR903" s="44">
        <v>0</v>
      </c>
      <c r="BS903" s="44">
        <v>0</v>
      </c>
      <c r="BT903" s="44">
        <v>0</v>
      </c>
      <c r="BU903" s="44">
        <v>0</v>
      </c>
      <c r="BV903" s="44">
        <v>0</v>
      </c>
      <c r="BW903" s="44">
        <v>0</v>
      </c>
      <c r="BX903" s="44">
        <v>0</v>
      </c>
      <c r="BY903" s="44">
        <v>0</v>
      </c>
      <c r="BZ903" s="44">
        <v>0</v>
      </c>
      <c r="CA903" s="44">
        <v>0</v>
      </c>
      <c r="CB903" s="44">
        <v>0</v>
      </c>
      <c r="CC903" s="44">
        <v>0</v>
      </c>
      <c r="CD903" s="44">
        <v>0</v>
      </c>
      <c r="CE903" s="44">
        <v>0</v>
      </c>
      <c r="CF903" s="44">
        <v>0</v>
      </c>
      <c r="CG903" s="44">
        <v>0</v>
      </c>
      <c r="CH903" s="44">
        <v>0</v>
      </c>
      <c r="CI903" s="44">
        <v>0</v>
      </c>
      <c r="CJ903" s="44">
        <v>0</v>
      </c>
      <c r="CK903" s="44">
        <v>0</v>
      </c>
      <c r="CL903" s="44">
        <v>0</v>
      </c>
      <c r="CM903" s="44">
        <v>0</v>
      </c>
      <c r="CN903" s="44">
        <v>0</v>
      </c>
      <c r="CO903" s="44">
        <v>0</v>
      </c>
      <c r="CP903" s="44">
        <v>0</v>
      </c>
      <c r="CQ903" s="44">
        <v>0</v>
      </c>
      <c r="CR903" s="44">
        <v>0</v>
      </c>
      <c r="CS903" s="44">
        <v>0</v>
      </c>
      <c r="CT903" s="44">
        <v>0</v>
      </c>
      <c r="CU903" s="44">
        <v>0</v>
      </c>
      <c r="CV903" s="44">
        <v>0</v>
      </c>
      <c r="CW903" s="44">
        <v>0</v>
      </c>
      <c r="CX903" s="44">
        <v>0</v>
      </c>
      <c r="CY903" s="44">
        <v>0</v>
      </c>
      <c r="CZ903" s="44">
        <v>0</v>
      </c>
      <c r="DA903" s="44">
        <v>0</v>
      </c>
      <c r="DB903" s="44">
        <v>0</v>
      </c>
      <c r="DC903" s="44">
        <v>0</v>
      </c>
      <c r="DD903" s="44">
        <v>0</v>
      </c>
      <c r="DE903" s="44">
        <v>0</v>
      </c>
      <c r="DF903" s="44">
        <v>0</v>
      </c>
      <c r="DG903" s="16">
        <f t="shared" si="72"/>
        <v>0</v>
      </c>
      <c r="DH903" s="16">
        <f t="shared" si="73"/>
        <v>0</v>
      </c>
      <c r="DI903" s="17" t="str">
        <f t="shared" si="74"/>
        <v/>
      </c>
      <c r="DJ903" s="119" t="s">
        <v>659</v>
      </c>
      <c r="DK903" s="44" t="s">
        <v>659</v>
      </c>
    </row>
    <row r="904" spans="1:116">
      <c r="A904" s="32" t="str">
        <f t="shared" si="75"/>
        <v>Ergon--COMMUNICATIONS NETWORK ASSETS</v>
      </c>
      <c r="B904" s="32" t="str">
        <f t="shared" si="76"/>
        <v>Ergon</v>
      </c>
      <c r="C904" s="387"/>
      <c r="D904" s="44"/>
      <c r="E904" s="44" t="s">
        <v>274</v>
      </c>
      <c r="F904" s="44">
        <v>7.5</v>
      </c>
      <c r="G904" s="44">
        <v>2.7386127880000002</v>
      </c>
      <c r="H904" s="44">
        <v>260</v>
      </c>
      <c r="I904" s="44">
        <v>1785</v>
      </c>
      <c r="J904" s="44">
        <v>2821</v>
      </c>
      <c r="K904" s="44">
        <v>1139</v>
      </c>
      <c r="L904" s="44">
        <v>825.35</v>
      </c>
      <c r="M904" s="44">
        <v>825.35</v>
      </c>
      <c r="N904" s="44">
        <v>825.35</v>
      </c>
      <c r="O904" s="44">
        <v>825.35</v>
      </c>
      <c r="P904" s="44">
        <v>825.35</v>
      </c>
      <c r="Q904" s="44">
        <v>825.35</v>
      </c>
      <c r="R904" s="44">
        <v>825.35</v>
      </c>
      <c r="S904" s="44">
        <v>825.35</v>
      </c>
      <c r="T904" s="44">
        <v>825.35</v>
      </c>
      <c r="U904" s="44">
        <v>825.35</v>
      </c>
      <c r="V904" s="44">
        <v>825.35</v>
      </c>
      <c r="W904" s="44">
        <v>825.35</v>
      </c>
      <c r="X904" s="44">
        <v>825.35</v>
      </c>
      <c r="Y904" s="44">
        <v>825.35</v>
      </c>
      <c r="Z904" s="44">
        <v>825.35</v>
      </c>
      <c r="AA904" s="44">
        <v>825.35</v>
      </c>
      <c r="AB904" s="44">
        <v>825.35</v>
      </c>
      <c r="AC904" s="44">
        <v>825.35</v>
      </c>
      <c r="AD904" s="44">
        <v>825.35</v>
      </c>
      <c r="AE904" s="44">
        <v>825.35</v>
      </c>
      <c r="AF904" s="44">
        <v>0</v>
      </c>
      <c r="AG904" s="44">
        <v>0</v>
      </c>
      <c r="AH904" s="44">
        <v>0</v>
      </c>
      <c r="AI904" s="44">
        <v>0</v>
      </c>
      <c r="AJ904" s="44">
        <v>0</v>
      </c>
      <c r="AK904" s="44">
        <v>0</v>
      </c>
      <c r="AL904" s="44">
        <v>0</v>
      </c>
      <c r="AM904" s="44">
        <v>0</v>
      </c>
      <c r="AN904" s="44">
        <v>0</v>
      </c>
      <c r="AO904" s="44">
        <v>0</v>
      </c>
      <c r="AP904" s="44">
        <v>0</v>
      </c>
      <c r="AQ904" s="44">
        <v>0</v>
      </c>
      <c r="AR904" s="44">
        <v>0</v>
      </c>
      <c r="AS904" s="44">
        <v>0</v>
      </c>
      <c r="AT904" s="44">
        <v>0</v>
      </c>
      <c r="AU904" s="44">
        <v>0</v>
      </c>
      <c r="AV904" s="44">
        <v>0</v>
      </c>
      <c r="AW904" s="44">
        <v>0</v>
      </c>
      <c r="AX904" s="44">
        <v>0</v>
      </c>
      <c r="AY904" s="44">
        <v>0</v>
      </c>
      <c r="AZ904" s="44">
        <v>0</v>
      </c>
      <c r="BA904" s="44">
        <v>0</v>
      </c>
      <c r="BB904" s="44">
        <v>0</v>
      </c>
      <c r="BC904" s="44">
        <v>0</v>
      </c>
      <c r="BD904" s="44">
        <v>0</v>
      </c>
      <c r="BE904" s="44">
        <v>0</v>
      </c>
      <c r="BF904" s="44">
        <v>0</v>
      </c>
      <c r="BG904" s="44">
        <v>0</v>
      </c>
      <c r="BH904" s="44">
        <v>0</v>
      </c>
      <c r="BI904" s="44">
        <v>0</v>
      </c>
      <c r="BJ904" s="44">
        <v>0</v>
      </c>
      <c r="BK904" s="44">
        <v>0</v>
      </c>
      <c r="BL904" s="44">
        <v>0</v>
      </c>
      <c r="BM904" s="44">
        <v>0</v>
      </c>
      <c r="BN904" s="44">
        <v>0</v>
      </c>
      <c r="BO904" s="44">
        <v>0</v>
      </c>
      <c r="BP904" s="44">
        <v>0</v>
      </c>
      <c r="BQ904" s="44">
        <v>0</v>
      </c>
      <c r="BR904" s="44">
        <v>0</v>
      </c>
      <c r="BS904" s="44">
        <v>0</v>
      </c>
      <c r="BT904" s="44">
        <v>0</v>
      </c>
      <c r="BU904" s="44">
        <v>0</v>
      </c>
      <c r="BV904" s="44">
        <v>0</v>
      </c>
      <c r="BW904" s="44">
        <v>0</v>
      </c>
      <c r="BX904" s="44">
        <v>0</v>
      </c>
      <c r="BY904" s="44">
        <v>0</v>
      </c>
      <c r="BZ904" s="44">
        <v>0</v>
      </c>
      <c r="CA904" s="44">
        <v>0</v>
      </c>
      <c r="CB904" s="44">
        <v>0</v>
      </c>
      <c r="CC904" s="44">
        <v>0</v>
      </c>
      <c r="CD904" s="44">
        <v>0</v>
      </c>
      <c r="CE904" s="44">
        <v>0</v>
      </c>
      <c r="CF904" s="44">
        <v>0</v>
      </c>
      <c r="CG904" s="44">
        <v>0</v>
      </c>
      <c r="CH904" s="44">
        <v>0</v>
      </c>
      <c r="CI904" s="44">
        <v>0</v>
      </c>
      <c r="CJ904" s="44">
        <v>0</v>
      </c>
      <c r="CK904" s="44">
        <v>0</v>
      </c>
      <c r="CL904" s="44">
        <v>0</v>
      </c>
      <c r="CM904" s="44">
        <v>0</v>
      </c>
      <c r="CN904" s="44">
        <v>0</v>
      </c>
      <c r="CO904" s="44">
        <v>0</v>
      </c>
      <c r="CP904" s="44">
        <v>0</v>
      </c>
      <c r="CQ904" s="44">
        <v>0</v>
      </c>
      <c r="CR904" s="44">
        <v>0</v>
      </c>
      <c r="CS904" s="44">
        <v>0</v>
      </c>
      <c r="CT904" s="44">
        <v>0</v>
      </c>
      <c r="CU904" s="44">
        <v>0</v>
      </c>
      <c r="CV904" s="44">
        <v>0</v>
      </c>
      <c r="CW904" s="44">
        <v>0</v>
      </c>
      <c r="CX904" s="44">
        <v>0</v>
      </c>
      <c r="CY904" s="44">
        <v>0</v>
      </c>
      <c r="CZ904" s="44">
        <v>0</v>
      </c>
      <c r="DA904" s="44">
        <v>0</v>
      </c>
      <c r="DB904" s="44">
        <v>0</v>
      </c>
      <c r="DC904" s="44">
        <v>0</v>
      </c>
      <c r="DD904" s="44">
        <v>0</v>
      </c>
      <c r="DE904" s="44">
        <v>0</v>
      </c>
      <c r="DF904" s="44">
        <v>0</v>
      </c>
      <c r="DG904" s="16">
        <f t="shared" si="72"/>
        <v>22511.999999999993</v>
      </c>
      <c r="DH904" s="16">
        <f t="shared" si="73"/>
        <v>256200.5</v>
      </c>
      <c r="DI904" s="17">
        <f t="shared" si="74"/>
        <v>11.380619225302064</v>
      </c>
      <c r="DJ904" s="119" t="s">
        <v>659</v>
      </c>
      <c r="DK904" s="44" t="s">
        <v>659</v>
      </c>
    </row>
    <row r="905" spans="1:116">
      <c r="A905" s="32" t="str">
        <f t="shared" si="75"/>
        <v>Ergon--MASTER STATION ASSETS</v>
      </c>
      <c r="B905" s="32" t="str">
        <f t="shared" si="76"/>
        <v>Ergon</v>
      </c>
      <c r="C905" s="387"/>
      <c r="D905" s="44"/>
      <c r="E905" s="44" t="s">
        <v>275</v>
      </c>
      <c r="F905" s="44">
        <v>6</v>
      </c>
      <c r="G905" s="44">
        <v>2.4500000000000002</v>
      </c>
      <c r="H905" s="44">
        <v>2</v>
      </c>
      <c r="I905" s="44">
        <v>3</v>
      </c>
      <c r="J905" s="44">
        <v>5</v>
      </c>
      <c r="K905" s="44">
        <v>6</v>
      </c>
      <c r="L905" s="44">
        <v>6</v>
      </c>
      <c r="M905" s="44">
        <v>10</v>
      </c>
      <c r="N905" s="44">
        <v>126</v>
      </c>
      <c r="O905" s="44">
        <v>10</v>
      </c>
      <c r="P905" s="44">
        <v>3</v>
      </c>
      <c r="Q905" s="44">
        <v>1</v>
      </c>
      <c r="R905" s="44">
        <v>1</v>
      </c>
      <c r="S905" s="44">
        <v>0</v>
      </c>
      <c r="T905" s="44">
        <v>0</v>
      </c>
      <c r="U905" s="44">
        <v>0</v>
      </c>
      <c r="V905" s="44">
        <v>0</v>
      </c>
      <c r="W905" s="44">
        <v>0</v>
      </c>
      <c r="X905" s="44">
        <v>0</v>
      </c>
      <c r="Y905" s="44">
        <v>0</v>
      </c>
      <c r="Z905" s="44">
        <v>0</v>
      </c>
      <c r="AA905" s="44">
        <v>0</v>
      </c>
      <c r="AB905" s="44">
        <v>1</v>
      </c>
      <c r="AC905" s="44">
        <v>0</v>
      </c>
      <c r="AD905" s="44">
        <v>0</v>
      </c>
      <c r="AE905" s="44">
        <v>1</v>
      </c>
      <c r="AF905" s="44">
        <v>0</v>
      </c>
      <c r="AG905" s="44">
        <v>0</v>
      </c>
      <c r="AH905" s="44">
        <v>0</v>
      </c>
      <c r="AI905" s="44">
        <v>0</v>
      </c>
      <c r="AJ905" s="44">
        <v>0</v>
      </c>
      <c r="AK905" s="44">
        <v>0</v>
      </c>
      <c r="AL905" s="44">
        <v>0</v>
      </c>
      <c r="AM905" s="44">
        <v>0</v>
      </c>
      <c r="AN905" s="44">
        <v>0</v>
      </c>
      <c r="AO905" s="44">
        <v>0</v>
      </c>
      <c r="AP905" s="44">
        <v>0</v>
      </c>
      <c r="AQ905" s="44">
        <v>0</v>
      </c>
      <c r="AR905" s="44">
        <v>0</v>
      </c>
      <c r="AS905" s="44">
        <v>0</v>
      </c>
      <c r="AT905" s="44">
        <v>0</v>
      </c>
      <c r="AU905" s="44">
        <v>0</v>
      </c>
      <c r="AV905" s="44">
        <v>0</v>
      </c>
      <c r="AW905" s="44">
        <v>0</v>
      </c>
      <c r="AX905" s="44">
        <v>0</v>
      </c>
      <c r="AY905" s="44">
        <v>0</v>
      </c>
      <c r="AZ905" s="44">
        <v>0</v>
      </c>
      <c r="BA905" s="44">
        <v>0</v>
      </c>
      <c r="BB905" s="44">
        <v>0</v>
      </c>
      <c r="BC905" s="44">
        <v>0</v>
      </c>
      <c r="BD905" s="44">
        <v>0</v>
      </c>
      <c r="BE905" s="44">
        <v>0</v>
      </c>
      <c r="BF905" s="44">
        <v>0</v>
      </c>
      <c r="BG905" s="44">
        <v>0</v>
      </c>
      <c r="BH905" s="44">
        <v>0</v>
      </c>
      <c r="BI905" s="44">
        <v>0</v>
      </c>
      <c r="BJ905" s="44">
        <v>0</v>
      </c>
      <c r="BK905" s="44">
        <v>0</v>
      </c>
      <c r="BL905" s="44">
        <v>0</v>
      </c>
      <c r="BM905" s="44">
        <v>0</v>
      </c>
      <c r="BN905" s="44">
        <v>0</v>
      </c>
      <c r="BO905" s="44">
        <v>0</v>
      </c>
      <c r="BP905" s="44">
        <v>0</v>
      </c>
      <c r="BQ905" s="44">
        <v>0</v>
      </c>
      <c r="BR905" s="44">
        <v>0</v>
      </c>
      <c r="BS905" s="44">
        <v>0</v>
      </c>
      <c r="BT905" s="44">
        <v>0</v>
      </c>
      <c r="BU905" s="44">
        <v>0</v>
      </c>
      <c r="BV905" s="44">
        <v>0</v>
      </c>
      <c r="BW905" s="44">
        <v>0</v>
      </c>
      <c r="BX905" s="44">
        <v>0</v>
      </c>
      <c r="BY905" s="44">
        <v>0</v>
      </c>
      <c r="BZ905" s="44">
        <v>0</v>
      </c>
      <c r="CA905" s="44">
        <v>0</v>
      </c>
      <c r="CB905" s="44">
        <v>0</v>
      </c>
      <c r="CC905" s="44">
        <v>0</v>
      </c>
      <c r="CD905" s="44">
        <v>0</v>
      </c>
      <c r="CE905" s="44">
        <v>0</v>
      </c>
      <c r="CF905" s="44">
        <v>0</v>
      </c>
      <c r="CG905" s="44">
        <v>0</v>
      </c>
      <c r="CH905" s="44">
        <v>0</v>
      </c>
      <c r="CI905" s="44">
        <v>0</v>
      </c>
      <c r="CJ905" s="44">
        <v>0</v>
      </c>
      <c r="CK905" s="44">
        <v>0</v>
      </c>
      <c r="CL905" s="44">
        <v>0</v>
      </c>
      <c r="CM905" s="44">
        <v>0</v>
      </c>
      <c r="CN905" s="44">
        <v>0</v>
      </c>
      <c r="CO905" s="44">
        <v>0</v>
      </c>
      <c r="CP905" s="44">
        <v>0</v>
      </c>
      <c r="CQ905" s="44">
        <v>0</v>
      </c>
      <c r="CR905" s="44">
        <v>0</v>
      </c>
      <c r="CS905" s="44">
        <v>0</v>
      </c>
      <c r="CT905" s="44">
        <v>0</v>
      </c>
      <c r="CU905" s="44">
        <v>0</v>
      </c>
      <c r="CV905" s="44">
        <v>0</v>
      </c>
      <c r="CW905" s="44">
        <v>0</v>
      </c>
      <c r="CX905" s="44">
        <v>0</v>
      </c>
      <c r="CY905" s="44">
        <v>0</v>
      </c>
      <c r="CZ905" s="44">
        <v>0</v>
      </c>
      <c r="DA905" s="44">
        <v>0</v>
      </c>
      <c r="DB905" s="44">
        <v>0</v>
      </c>
      <c r="DC905" s="44">
        <v>0</v>
      </c>
      <c r="DD905" s="44">
        <v>0</v>
      </c>
      <c r="DE905" s="44">
        <v>0</v>
      </c>
      <c r="DF905" s="44">
        <v>0</v>
      </c>
      <c r="DG905" s="16">
        <f t="shared" si="72"/>
        <v>175</v>
      </c>
      <c r="DH905" s="16">
        <f t="shared" si="73"/>
        <v>1192</v>
      </c>
      <c r="DI905" s="17">
        <f t="shared" si="74"/>
        <v>6.8114285714285714</v>
      </c>
      <c r="DJ905" s="119" t="s">
        <v>659</v>
      </c>
      <c r="DK905" s="44" t="s">
        <v>659</v>
      </c>
    </row>
    <row r="906" spans="1:116">
      <c r="A906" s="32" t="str">
        <f t="shared" si="75"/>
        <v>Ergon--COMMUNICATIONS SITE INFRASTRUCTURE</v>
      </c>
      <c r="B906" s="32" t="str">
        <f t="shared" si="76"/>
        <v>Ergon</v>
      </c>
      <c r="C906" s="387"/>
      <c r="D906" s="44"/>
      <c r="E906" s="44" t="s">
        <v>1140</v>
      </c>
      <c r="F906" s="44">
        <v>25</v>
      </c>
      <c r="G906" s="44">
        <v>5</v>
      </c>
      <c r="H906" s="44">
        <v>0</v>
      </c>
      <c r="I906" s="44">
        <v>298</v>
      </c>
      <c r="J906" s="44">
        <v>737</v>
      </c>
      <c r="K906" s="44">
        <v>466</v>
      </c>
      <c r="L906" s="44">
        <v>171.5</v>
      </c>
      <c r="M906" s="44">
        <v>171.5</v>
      </c>
      <c r="N906" s="44">
        <v>171.5</v>
      </c>
      <c r="O906" s="44">
        <v>171.5</v>
      </c>
      <c r="P906" s="44">
        <v>171.5</v>
      </c>
      <c r="Q906" s="44">
        <v>171.5</v>
      </c>
      <c r="R906" s="44">
        <v>171.5</v>
      </c>
      <c r="S906" s="44">
        <v>171.5</v>
      </c>
      <c r="T906" s="44">
        <v>171.5</v>
      </c>
      <c r="U906" s="44">
        <v>171.5</v>
      </c>
      <c r="V906" s="44">
        <v>171.5</v>
      </c>
      <c r="W906" s="44">
        <v>171.5</v>
      </c>
      <c r="X906" s="44">
        <v>171.5</v>
      </c>
      <c r="Y906" s="44">
        <v>171.5</v>
      </c>
      <c r="Z906" s="44">
        <v>171.5</v>
      </c>
      <c r="AA906" s="44">
        <v>171.5</v>
      </c>
      <c r="AB906" s="44">
        <v>171.5</v>
      </c>
      <c r="AC906" s="44">
        <v>171.5</v>
      </c>
      <c r="AD906" s="44">
        <v>171.5</v>
      </c>
      <c r="AE906" s="44">
        <v>171.5</v>
      </c>
      <c r="AF906" s="44">
        <v>0</v>
      </c>
      <c r="AG906" s="44">
        <v>0</v>
      </c>
      <c r="AH906" s="44">
        <v>0</v>
      </c>
      <c r="AI906" s="44">
        <v>0</v>
      </c>
      <c r="AJ906" s="44">
        <v>0</v>
      </c>
      <c r="AK906" s="44">
        <v>0</v>
      </c>
      <c r="AL906" s="44">
        <v>0</v>
      </c>
      <c r="AM906" s="44">
        <v>0</v>
      </c>
      <c r="AN906" s="44">
        <v>0</v>
      </c>
      <c r="AO906" s="44">
        <v>0</v>
      </c>
      <c r="AP906" s="44">
        <v>0</v>
      </c>
      <c r="AQ906" s="44">
        <v>0</v>
      </c>
      <c r="AR906" s="44">
        <v>0</v>
      </c>
      <c r="AS906" s="44">
        <v>0</v>
      </c>
      <c r="AT906" s="44">
        <v>0</v>
      </c>
      <c r="AU906" s="44">
        <v>0</v>
      </c>
      <c r="AV906" s="44">
        <v>0</v>
      </c>
      <c r="AW906" s="44">
        <v>0</v>
      </c>
      <c r="AX906" s="44">
        <v>0</v>
      </c>
      <c r="AY906" s="44">
        <v>0</v>
      </c>
      <c r="AZ906" s="44">
        <v>0</v>
      </c>
      <c r="BA906" s="44">
        <v>0</v>
      </c>
      <c r="BB906" s="44">
        <v>0</v>
      </c>
      <c r="BC906" s="44">
        <v>0</v>
      </c>
      <c r="BD906" s="44">
        <v>0</v>
      </c>
      <c r="BE906" s="44">
        <v>0</v>
      </c>
      <c r="BF906" s="44">
        <v>0</v>
      </c>
      <c r="BG906" s="44">
        <v>0</v>
      </c>
      <c r="BH906" s="44">
        <v>0</v>
      </c>
      <c r="BI906" s="44">
        <v>0</v>
      </c>
      <c r="BJ906" s="44">
        <v>0</v>
      </c>
      <c r="BK906" s="44">
        <v>0</v>
      </c>
      <c r="BL906" s="44">
        <v>0</v>
      </c>
      <c r="BM906" s="44">
        <v>0</v>
      </c>
      <c r="BN906" s="44">
        <v>0</v>
      </c>
      <c r="BO906" s="44">
        <v>0</v>
      </c>
      <c r="BP906" s="44">
        <v>0</v>
      </c>
      <c r="BQ906" s="44">
        <v>0</v>
      </c>
      <c r="BR906" s="44">
        <v>0</v>
      </c>
      <c r="BS906" s="44">
        <v>0</v>
      </c>
      <c r="BT906" s="44">
        <v>0</v>
      </c>
      <c r="BU906" s="44">
        <v>0</v>
      </c>
      <c r="BV906" s="44">
        <v>0</v>
      </c>
      <c r="BW906" s="44">
        <v>0</v>
      </c>
      <c r="BX906" s="44">
        <v>0</v>
      </c>
      <c r="BY906" s="44">
        <v>0</v>
      </c>
      <c r="BZ906" s="44">
        <v>0</v>
      </c>
      <c r="CA906" s="44">
        <v>0</v>
      </c>
      <c r="CB906" s="44">
        <v>0</v>
      </c>
      <c r="CC906" s="44">
        <v>0</v>
      </c>
      <c r="CD906" s="44">
        <v>0</v>
      </c>
      <c r="CE906" s="44">
        <v>0</v>
      </c>
      <c r="CF906" s="44">
        <v>0</v>
      </c>
      <c r="CG906" s="44">
        <v>0</v>
      </c>
      <c r="CH906" s="44">
        <v>0</v>
      </c>
      <c r="CI906" s="44">
        <v>0</v>
      </c>
      <c r="CJ906" s="44">
        <v>0</v>
      </c>
      <c r="CK906" s="44">
        <v>0</v>
      </c>
      <c r="CL906" s="44">
        <v>0</v>
      </c>
      <c r="CM906" s="44">
        <v>0</v>
      </c>
      <c r="CN906" s="44">
        <v>0</v>
      </c>
      <c r="CO906" s="44">
        <v>0</v>
      </c>
      <c r="CP906" s="44">
        <v>0</v>
      </c>
      <c r="CQ906" s="44">
        <v>0</v>
      </c>
      <c r="CR906" s="44">
        <v>0</v>
      </c>
      <c r="CS906" s="44">
        <v>0</v>
      </c>
      <c r="CT906" s="44">
        <v>0</v>
      </c>
      <c r="CU906" s="44">
        <v>0</v>
      </c>
      <c r="CV906" s="44">
        <v>0</v>
      </c>
      <c r="CW906" s="44">
        <v>0</v>
      </c>
      <c r="CX906" s="44">
        <v>0</v>
      </c>
      <c r="CY906" s="44">
        <v>0</v>
      </c>
      <c r="CZ906" s="44">
        <v>0</v>
      </c>
      <c r="DA906" s="44">
        <v>0</v>
      </c>
      <c r="DB906" s="44">
        <v>0</v>
      </c>
      <c r="DC906" s="44">
        <v>0</v>
      </c>
      <c r="DD906" s="44">
        <v>0</v>
      </c>
      <c r="DE906" s="44">
        <v>0</v>
      </c>
      <c r="DF906" s="44">
        <v>0</v>
      </c>
      <c r="DG906" s="16">
        <f t="shared" si="72"/>
        <v>4931</v>
      </c>
      <c r="DH906" s="16">
        <f t="shared" si="73"/>
        <v>54406</v>
      </c>
      <c r="DI906" s="17">
        <f t="shared" si="74"/>
        <v>11.033461772459948</v>
      </c>
      <c r="DJ906" s="119" t="s">
        <v>659</v>
      </c>
      <c r="DK906" s="44" t="s">
        <v>659</v>
      </c>
    </row>
    <row r="907" spans="1:116">
      <c r="A907" s="32" t="str">
        <f t="shared" si="75"/>
        <v>Ergon--COMMUNICATIONS LINEAR ASSETS</v>
      </c>
      <c r="B907" s="32" t="str">
        <f t="shared" si="76"/>
        <v>Ergon</v>
      </c>
      <c r="C907" s="387"/>
      <c r="D907" s="44"/>
      <c r="E907" s="44" t="s">
        <v>1141</v>
      </c>
      <c r="F907" s="44">
        <v>20</v>
      </c>
      <c r="G907" s="44">
        <v>4.4721359549999997</v>
      </c>
      <c r="H907" s="44">
        <v>285</v>
      </c>
      <c r="I907" s="44">
        <v>409</v>
      </c>
      <c r="J907" s="44">
        <v>204</v>
      </c>
      <c r="K907" s="44">
        <v>277</v>
      </c>
      <c r="L907" s="44">
        <v>230</v>
      </c>
      <c r="M907" s="44">
        <v>117.9</v>
      </c>
      <c r="N907" s="44">
        <v>117.9</v>
      </c>
      <c r="O907" s="44">
        <v>117.9</v>
      </c>
      <c r="P907" s="44">
        <v>117.9</v>
      </c>
      <c r="Q907" s="44">
        <v>117.9</v>
      </c>
      <c r="R907" s="44">
        <v>117.9</v>
      </c>
      <c r="S907" s="44">
        <v>117.9</v>
      </c>
      <c r="T907" s="44">
        <v>117.9</v>
      </c>
      <c r="U907" s="44">
        <v>117.9</v>
      </c>
      <c r="V907" s="44">
        <v>117.9</v>
      </c>
      <c r="W907" s="44">
        <v>117.9</v>
      </c>
      <c r="X907" s="44">
        <v>117.9</v>
      </c>
      <c r="Y907" s="44">
        <v>117.9</v>
      </c>
      <c r="Z907" s="44">
        <v>117.9</v>
      </c>
      <c r="AA907" s="44">
        <v>117.9</v>
      </c>
      <c r="AB907" s="44">
        <v>117.9</v>
      </c>
      <c r="AC907" s="44">
        <v>117.9</v>
      </c>
      <c r="AD907" s="44">
        <v>117.9</v>
      </c>
      <c r="AE907" s="44">
        <v>117.9</v>
      </c>
      <c r="AF907" s="44">
        <v>0</v>
      </c>
      <c r="AG907" s="44">
        <v>0</v>
      </c>
      <c r="AH907" s="44">
        <v>0</v>
      </c>
      <c r="AI907" s="44">
        <v>0</v>
      </c>
      <c r="AJ907" s="44">
        <v>0</v>
      </c>
      <c r="AK907" s="44">
        <v>0</v>
      </c>
      <c r="AL907" s="44">
        <v>0</v>
      </c>
      <c r="AM907" s="44">
        <v>0</v>
      </c>
      <c r="AN907" s="44">
        <v>0</v>
      </c>
      <c r="AO907" s="44">
        <v>0</v>
      </c>
      <c r="AP907" s="44">
        <v>0</v>
      </c>
      <c r="AQ907" s="44">
        <v>0</v>
      </c>
      <c r="AR907" s="44">
        <v>0</v>
      </c>
      <c r="AS907" s="44">
        <v>0</v>
      </c>
      <c r="AT907" s="44">
        <v>0</v>
      </c>
      <c r="AU907" s="44">
        <v>0</v>
      </c>
      <c r="AV907" s="44">
        <v>0</v>
      </c>
      <c r="AW907" s="44">
        <v>0</v>
      </c>
      <c r="AX907" s="44">
        <v>0</v>
      </c>
      <c r="AY907" s="44">
        <v>0</v>
      </c>
      <c r="AZ907" s="44">
        <v>0</v>
      </c>
      <c r="BA907" s="44">
        <v>0</v>
      </c>
      <c r="BB907" s="44">
        <v>0</v>
      </c>
      <c r="BC907" s="44">
        <v>0</v>
      </c>
      <c r="BD907" s="44">
        <v>0</v>
      </c>
      <c r="BE907" s="44">
        <v>0</v>
      </c>
      <c r="BF907" s="44">
        <v>0</v>
      </c>
      <c r="BG907" s="44">
        <v>0</v>
      </c>
      <c r="BH907" s="44">
        <v>0</v>
      </c>
      <c r="BI907" s="44">
        <v>0</v>
      </c>
      <c r="BJ907" s="44">
        <v>0</v>
      </c>
      <c r="BK907" s="44">
        <v>0</v>
      </c>
      <c r="BL907" s="44">
        <v>0</v>
      </c>
      <c r="BM907" s="44">
        <v>0</v>
      </c>
      <c r="BN907" s="44">
        <v>0</v>
      </c>
      <c r="BO907" s="44">
        <v>0</v>
      </c>
      <c r="BP907" s="44">
        <v>0</v>
      </c>
      <c r="BQ907" s="44">
        <v>0</v>
      </c>
      <c r="BR907" s="44">
        <v>0</v>
      </c>
      <c r="BS907" s="44">
        <v>0</v>
      </c>
      <c r="BT907" s="44">
        <v>0</v>
      </c>
      <c r="BU907" s="44">
        <v>0</v>
      </c>
      <c r="BV907" s="44">
        <v>0</v>
      </c>
      <c r="BW907" s="44">
        <v>0</v>
      </c>
      <c r="BX907" s="44">
        <v>0</v>
      </c>
      <c r="BY907" s="44">
        <v>0</v>
      </c>
      <c r="BZ907" s="44">
        <v>0</v>
      </c>
      <c r="CA907" s="44">
        <v>0</v>
      </c>
      <c r="CB907" s="44">
        <v>0</v>
      </c>
      <c r="CC907" s="44">
        <v>0</v>
      </c>
      <c r="CD907" s="44">
        <v>0</v>
      </c>
      <c r="CE907" s="44">
        <v>0</v>
      </c>
      <c r="CF907" s="44">
        <v>0</v>
      </c>
      <c r="CG907" s="44">
        <v>0</v>
      </c>
      <c r="CH907" s="44">
        <v>0</v>
      </c>
      <c r="CI907" s="44">
        <v>0</v>
      </c>
      <c r="CJ907" s="44">
        <v>0</v>
      </c>
      <c r="CK907" s="44">
        <v>0</v>
      </c>
      <c r="CL907" s="44">
        <v>0</v>
      </c>
      <c r="CM907" s="44">
        <v>0</v>
      </c>
      <c r="CN907" s="44">
        <v>0</v>
      </c>
      <c r="CO907" s="44">
        <v>0</v>
      </c>
      <c r="CP907" s="44">
        <v>0</v>
      </c>
      <c r="CQ907" s="44">
        <v>0</v>
      </c>
      <c r="CR907" s="44">
        <v>0</v>
      </c>
      <c r="CS907" s="44">
        <v>0</v>
      </c>
      <c r="CT907" s="44">
        <v>0</v>
      </c>
      <c r="CU907" s="44">
        <v>0</v>
      </c>
      <c r="CV907" s="44">
        <v>0</v>
      </c>
      <c r="CW907" s="44">
        <v>0</v>
      </c>
      <c r="CX907" s="44">
        <v>0</v>
      </c>
      <c r="CY907" s="44">
        <v>0</v>
      </c>
      <c r="CZ907" s="44">
        <v>0</v>
      </c>
      <c r="DA907" s="44">
        <v>0</v>
      </c>
      <c r="DB907" s="44">
        <v>0</v>
      </c>
      <c r="DC907" s="44">
        <v>0</v>
      </c>
      <c r="DD907" s="44">
        <v>0</v>
      </c>
      <c r="DE907" s="44">
        <v>0</v>
      </c>
      <c r="DF907" s="44">
        <v>0</v>
      </c>
      <c r="DG907" s="16">
        <f t="shared" si="72"/>
        <v>3645.1000000000017</v>
      </c>
      <c r="DH907" s="16">
        <f t="shared" si="73"/>
        <v>37574.5</v>
      </c>
      <c r="DI907" s="17">
        <f t="shared" si="74"/>
        <v>10.308221996653037</v>
      </c>
      <c r="DJ907" s="119" t="s">
        <v>659</v>
      </c>
      <c r="DK907" s="44" t="s">
        <v>659</v>
      </c>
    </row>
    <row r="908" spans="1:116">
      <c r="A908" s="32" t="str">
        <f t="shared" si="75"/>
        <v>Ergon--AFLC</v>
      </c>
      <c r="B908" s="32" t="str">
        <f t="shared" si="76"/>
        <v>Ergon</v>
      </c>
      <c r="C908" s="387"/>
      <c r="D908" s="44"/>
      <c r="E908" s="44" t="s">
        <v>1142</v>
      </c>
      <c r="F908" s="44">
        <v>17.5</v>
      </c>
      <c r="G908" s="44">
        <v>4.1833001330000004</v>
      </c>
      <c r="H908" s="44">
        <v>2</v>
      </c>
      <c r="I908" s="44">
        <v>8</v>
      </c>
      <c r="J908" s="44">
        <v>17</v>
      </c>
      <c r="K908" s="44">
        <v>10</v>
      </c>
      <c r="L908" s="44">
        <v>13</v>
      </c>
      <c r="M908" s="44">
        <v>18</v>
      </c>
      <c r="N908" s="44">
        <v>0</v>
      </c>
      <c r="O908" s="44">
        <v>1</v>
      </c>
      <c r="P908" s="44">
        <v>8</v>
      </c>
      <c r="Q908" s="44">
        <v>7</v>
      </c>
      <c r="R908" s="44">
        <v>1</v>
      </c>
      <c r="S908" s="44">
        <v>1</v>
      </c>
      <c r="T908" s="44">
        <v>0</v>
      </c>
      <c r="U908" s="44">
        <v>2</v>
      </c>
      <c r="V908" s="44">
        <v>8</v>
      </c>
      <c r="W908" s="44">
        <v>6</v>
      </c>
      <c r="X908" s="44">
        <v>1</v>
      </c>
      <c r="Y908" s="44">
        <v>3</v>
      </c>
      <c r="Z908" s="44">
        <v>2</v>
      </c>
      <c r="AA908" s="44">
        <v>0</v>
      </c>
      <c r="AB908" s="44">
        <v>0</v>
      </c>
      <c r="AC908" s="44">
        <v>0</v>
      </c>
      <c r="AD908" s="44">
        <v>4</v>
      </c>
      <c r="AE908" s="44">
        <v>8</v>
      </c>
      <c r="AF908" s="44">
        <v>17</v>
      </c>
      <c r="AG908" s="44">
        <v>0</v>
      </c>
      <c r="AH908" s="44">
        <v>1</v>
      </c>
      <c r="AI908" s="44">
        <v>1</v>
      </c>
      <c r="AJ908" s="44">
        <v>1</v>
      </c>
      <c r="AK908" s="44">
        <v>3</v>
      </c>
      <c r="AL908" s="44">
        <v>10</v>
      </c>
      <c r="AM908" s="44">
        <v>2</v>
      </c>
      <c r="AN908" s="44">
        <v>0</v>
      </c>
      <c r="AO908" s="44">
        <v>0</v>
      </c>
      <c r="AP908" s="44">
        <v>0</v>
      </c>
      <c r="AQ908" s="44">
        <v>0</v>
      </c>
      <c r="AR908" s="44">
        <v>0</v>
      </c>
      <c r="AS908" s="44">
        <v>0</v>
      </c>
      <c r="AT908" s="44">
        <v>0</v>
      </c>
      <c r="AU908" s="44">
        <v>0</v>
      </c>
      <c r="AV908" s="44">
        <v>0</v>
      </c>
      <c r="AW908" s="44">
        <v>0</v>
      </c>
      <c r="AX908" s="44">
        <v>0</v>
      </c>
      <c r="AY908" s="44">
        <v>0</v>
      </c>
      <c r="AZ908" s="44">
        <v>0</v>
      </c>
      <c r="BA908" s="44">
        <v>0</v>
      </c>
      <c r="BB908" s="44">
        <v>0</v>
      </c>
      <c r="BC908" s="44">
        <v>0</v>
      </c>
      <c r="BD908" s="44">
        <v>0</v>
      </c>
      <c r="BE908" s="44">
        <v>0</v>
      </c>
      <c r="BF908" s="44">
        <v>0</v>
      </c>
      <c r="BG908" s="44">
        <v>0</v>
      </c>
      <c r="BH908" s="44">
        <v>0</v>
      </c>
      <c r="BI908" s="44">
        <v>0</v>
      </c>
      <c r="BJ908" s="44">
        <v>0</v>
      </c>
      <c r="BK908" s="44">
        <v>0</v>
      </c>
      <c r="BL908" s="44">
        <v>0</v>
      </c>
      <c r="BM908" s="44">
        <v>0</v>
      </c>
      <c r="BN908" s="44">
        <v>0</v>
      </c>
      <c r="BO908" s="44">
        <v>0</v>
      </c>
      <c r="BP908" s="44">
        <v>0</v>
      </c>
      <c r="BQ908" s="44">
        <v>0</v>
      </c>
      <c r="BR908" s="44">
        <v>0</v>
      </c>
      <c r="BS908" s="44">
        <v>0</v>
      </c>
      <c r="BT908" s="44">
        <v>0</v>
      </c>
      <c r="BU908" s="44">
        <v>0</v>
      </c>
      <c r="BV908" s="44">
        <v>0</v>
      </c>
      <c r="BW908" s="44">
        <v>0</v>
      </c>
      <c r="BX908" s="44">
        <v>0</v>
      </c>
      <c r="BY908" s="44">
        <v>0</v>
      </c>
      <c r="BZ908" s="44">
        <v>0</v>
      </c>
      <c r="CA908" s="44">
        <v>0</v>
      </c>
      <c r="CB908" s="44">
        <v>0</v>
      </c>
      <c r="CC908" s="44">
        <v>0</v>
      </c>
      <c r="CD908" s="44">
        <v>0</v>
      </c>
      <c r="CE908" s="44">
        <v>0</v>
      </c>
      <c r="CF908" s="44">
        <v>0</v>
      </c>
      <c r="CG908" s="44">
        <v>0</v>
      </c>
      <c r="CH908" s="44">
        <v>0</v>
      </c>
      <c r="CI908" s="44">
        <v>0</v>
      </c>
      <c r="CJ908" s="44">
        <v>0</v>
      </c>
      <c r="CK908" s="44">
        <v>0</v>
      </c>
      <c r="CL908" s="44">
        <v>0</v>
      </c>
      <c r="CM908" s="44">
        <v>0</v>
      </c>
      <c r="CN908" s="44">
        <v>0</v>
      </c>
      <c r="CO908" s="44">
        <v>0</v>
      </c>
      <c r="CP908" s="44">
        <v>0</v>
      </c>
      <c r="CQ908" s="44">
        <v>0</v>
      </c>
      <c r="CR908" s="44">
        <v>0</v>
      </c>
      <c r="CS908" s="44">
        <v>0</v>
      </c>
      <c r="CT908" s="44">
        <v>0</v>
      </c>
      <c r="CU908" s="44">
        <v>0</v>
      </c>
      <c r="CV908" s="44">
        <v>0</v>
      </c>
      <c r="CW908" s="44">
        <v>0</v>
      </c>
      <c r="CX908" s="44">
        <v>0</v>
      </c>
      <c r="CY908" s="44">
        <v>0</v>
      </c>
      <c r="CZ908" s="44">
        <v>0</v>
      </c>
      <c r="DA908" s="44">
        <v>0</v>
      </c>
      <c r="DB908" s="44">
        <v>0</v>
      </c>
      <c r="DC908" s="44">
        <v>0</v>
      </c>
      <c r="DD908" s="44">
        <v>0</v>
      </c>
      <c r="DE908" s="44">
        <v>0</v>
      </c>
      <c r="DF908" s="44">
        <v>0</v>
      </c>
      <c r="DG908" s="16">
        <f t="shared" si="72"/>
        <v>155</v>
      </c>
      <c r="DH908" s="16">
        <f t="shared" si="73"/>
        <v>2065</v>
      </c>
      <c r="DI908" s="17">
        <f t="shared" si="74"/>
        <v>13.32258064516129</v>
      </c>
      <c r="DJ908" s="119" t="s">
        <v>659</v>
      </c>
      <c r="DK908" s="44" t="s">
        <v>659</v>
      </c>
    </row>
    <row r="909" spans="1:116" ht="30">
      <c r="A909" s="32" t="str">
        <f t="shared" si="75"/>
        <v>Ergon-OTHER BY: 
DNSP DEFINED-CURRENT TRANSFORMERS</v>
      </c>
      <c r="B909" s="32" t="str">
        <f t="shared" si="76"/>
        <v>Ergon</v>
      </c>
      <c r="C909" s="387"/>
      <c r="D909" s="31" t="s">
        <v>567</v>
      </c>
      <c r="E909" s="44" t="s">
        <v>1143</v>
      </c>
      <c r="F909" s="44">
        <v>39</v>
      </c>
      <c r="G909" s="44">
        <v>6.25</v>
      </c>
      <c r="H909" s="44">
        <v>0</v>
      </c>
      <c r="I909" s="44">
        <v>51</v>
      </c>
      <c r="J909" s="44">
        <v>19</v>
      </c>
      <c r="K909" s="44">
        <v>51</v>
      </c>
      <c r="L909" s="44">
        <v>83</v>
      </c>
      <c r="M909" s="44">
        <v>378</v>
      </c>
      <c r="N909" s="44">
        <v>130</v>
      </c>
      <c r="O909" s="44">
        <v>263</v>
      </c>
      <c r="P909" s="44">
        <v>215</v>
      </c>
      <c r="Q909" s="44">
        <v>203</v>
      </c>
      <c r="R909" s="44">
        <v>37</v>
      </c>
      <c r="S909" s="44">
        <v>228</v>
      </c>
      <c r="T909" s="44">
        <v>140</v>
      </c>
      <c r="U909" s="44">
        <v>275</v>
      </c>
      <c r="V909" s="44">
        <v>122</v>
      </c>
      <c r="W909" s="44">
        <v>47</v>
      </c>
      <c r="X909" s="44">
        <v>102</v>
      </c>
      <c r="Y909" s="44">
        <v>128</v>
      </c>
      <c r="Z909" s="44">
        <v>105</v>
      </c>
      <c r="AA909" s="44">
        <v>5</v>
      </c>
      <c r="AB909" s="44">
        <v>35</v>
      </c>
      <c r="AC909" s="44">
        <v>46</v>
      </c>
      <c r="AD909" s="44">
        <v>291</v>
      </c>
      <c r="AE909" s="44">
        <v>156</v>
      </c>
      <c r="AF909" s="44">
        <v>42</v>
      </c>
      <c r="AG909" s="44">
        <v>97</v>
      </c>
      <c r="AH909" s="44">
        <v>68</v>
      </c>
      <c r="AI909" s="44">
        <v>201</v>
      </c>
      <c r="AJ909" s="44">
        <v>239</v>
      </c>
      <c r="AK909" s="44">
        <v>93</v>
      </c>
      <c r="AL909" s="44">
        <v>193</v>
      </c>
      <c r="AM909" s="44">
        <v>280</v>
      </c>
      <c r="AN909" s="44">
        <v>119</v>
      </c>
      <c r="AO909" s="44">
        <v>124</v>
      </c>
      <c r="AP909" s="44">
        <v>35</v>
      </c>
      <c r="AQ909" s="44">
        <v>128</v>
      </c>
      <c r="AR909" s="44">
        <v>24</v>
      </c>
      <c r="AS909" s="44">
        <v>6</v>
      </c>
      <c r="AT909" s="44">
        <v>58</v>
      </c>
      <c r="AU909" s="44">
        <v>44</v>
      </c>
      <c r="AV909" s="44">
        <v>62</v>
      </c>
      <c r="AW909" s="44">
        <v>7</v>
      </c>
      <c r="AX909" s="44">
        <v>111</v>
      </c>
      <c r="AY909" s="44">
        <v>51</v>
      </c>
      <c r="AZ909" s="44">
        <v>69</v>
      </c>
      <c r="BA909" s="44">
        <v>49</v>
      </c>
      <c r="BB909" s="44">
        <v>186</v>
      </c>
      <c r="BC909" s="44">
        <v>58</v>
      </c>
      <c r="BD909" s="44">
        <v>110</v>
      </c>
      <c r="BE909" s="44">
        <v>33</v>
      </c>
      <c r="BF909" s="44">
        <v>20</v>
      </c>
      <c r="BG909" s="44">
        <v>44</v>
      </c>
      <c r="BH909" s="44">
        <v>17</v>
      </c>
      <c r="BI909" s="44">
        <v>7</v>
      </c>
      <c r="BJ909" s="44">
        <v>18</v>
      </c>
      <c r="BK909" s="44">
        <v>3</v>
      </c>
      <c r="BL909" s="44">
        <v>83</v>
      </c>
      <c r="BM909" s="44">
        <v>31</v>
      </c>
      <c r="BN909" s="44">
        <v>3</v>
      </c>
      <c r="BO909" s="44">
        <v>9</v>
      </c>
      <c r="BP909" s="44">
        <v>3</v>
      </c>
      <c r="BQ909" s="44">
        <v>6</v>
      </c>
      <c r="BR909" s="44">
        <v>3</v>
      </c>
      <c r="BS909" s="44">
        <v>3</v>
      </c>
      <c r="BT909" s="44">
        <v>0</v>
      </c>
      <c r="BU909" s="44">
        <v>0</v>
      </c>
      <c r="BV909" s="44">
        <v>0</v>
      </c>
      <c r="BW909" s="44">
        <v>6</v>
      </c>
      <c r="BX909" s="44">
        <v>0</v>
      </c>
      <c r="BY909" s="44">
        <v>0</v>
      </c>
      <c r="BZ909" s="44">
        <v>0</v>
      </c>
      <c r="CA909" s="44">
        <v>0</v>
      </c>
      <c r="CB909" s="44">
        <v>0</v>
      </c>
      <c r="CC909" s="44">
        <v>0</v>
      </c>
      <c r="CD909" s="44">
        <v>0</v>
      </c>
      <c r="CE909" s="44">
        <v>0</v>
      </c>
      <c r="CF909" s="44">
        <v>0</v>
      </c>
      <c r="CG909" s="44">
        <v>0</v>
      </c>
      <c r="CH909" s="44">
        <v>0</v>
      </c>
      <c r="CI909" s="44">
        <v>0</v>
      </c>
      <c r="CJ909" s="44">
        <v>0</v>
      </c>
      <c r="CK909" s="44">
        <v>0</v>
      </c>
      <c r="CL909" s="44">
        <v>0</v>
      </c>
      <c r="CM909" s="44">
        <v>0</v>
      </c>
      <c r="CN909" s="44">
        <v>0</v>
      </c>
      <c r="CO909" s="44">
        <v>0</v>
      </c>
      <c r="CP909" s="44">
        <v>0</v>
      </c>
      <c r="CQ909" s="44">
        <v>0</v>
      </c>
      <c r="CR909" s="44">
        <v>0</v>
      </c>
      <c r="CS909" s="44">
        <v>0</v>
      </c>
      <c r="CT909" s="44">
        <v>0</v>
      </c>
      <c r="CU909" s="44">
        <v>0</v>
      </c>
      <c r="CV909" s="44">
        <v>0</v>
      </c>
      <c r="CW909" s="44">
        <v>0</v>
      </c>
      <c r="CX909" s="44">
        <v>0</v>
      </c>
      <c r="CY909" s="44">
        <v>0</v>
      </c>
      <c r="CZ909" s="44">
        <v>0</v>
      </c>
      <c r="DA909" s="44">
        <v>0</v>
      </c>
      <c r="DB909" s="44">
        <v>0</v>
      </c>
      <c r="DC909" s="44">
        <v>0</v>
      </c>
      <c r="DD909" s="44">
        <v>0</v>
      </c>
      <c r="DE909" s="44">
        <v>0</v>
      </c>
      <c r="DF909" s="44">
        <v>0</v>
      </c>
      <c r="DG909" s="16">
        <f t="shared" si="72"/>
        <v>5853</v>
      </c>
      <c r="DH909" s="16">
        <f t="shared" si="73"/>
        <v>142664</v>
      </c>
      <c r="DI909" s="17">
        <f t="shared" si="74"/>
        <v>24.374508798906543</v>
      </c>
      <c r="DJ909" s="119" t="s">
        <v>720</v>
      </c>
      <c r="DK909" t="s">
        <v>720</v>
      </c>
    </row>
    <row r="910" spans="1:116">
      <c r="A910" s="32" t="str">
        <f t="shared" si="75"/>
        <v>Ergon--VOLTAGE TRANSFORMERS</v>
      </c>
      <c r="B910" s="32" t="str">
        <f t="shared" si="76"/>
        <v>Ergon</v>
      </c>
      <c r="C910" s="387"/>
      <c r="D910" s="44"/>
      <c r="E910" s="44" t="s">
        <v>1144</v>
      </c>
      <c r="F910" s="44">
        <v>39.4</v>
      </c>
      <c r="G910" s="44">
        <v>6.28</v>
      </c>
      <c r="H910" s="44">
        <v>1</v>
      </c>
      <c r="I910" s="44">
        <v>18</v>
      </c>
      <c r="J910" s="44">
        <v>56</v>
      </c>
      <c r="K910" s="44">
        <v>40</v>
      </c>
      <c r="L910" s="44">
        <v>12</v>
      </c>
      <c r="M910" s="44">
        <v>56</v>
      </c>
      <c r="N910" s="44">
        <v>154</v>
      </c>
      <c r="O910" s="44">
        <v>114</v>
      </c>
      <c r="P910" s="44">
        <v>143</v>
      </c>
      <c r="Q910" s="44">
        <v>63</v>
      </c>
      <c r="R910" s="44">
        <v>35</v>
      </c>
      <c r="S910" s="44">
        <v>109</v>
      </c>
      <c r="T910" s="44">
        <v>8</v>
      </c>
      <c r="U910" s="44">
        <v>79</v>
      </c>
      <c r="V910" s="44">
        <v>35</v>
      </c>
      <c r="W910" s="44">
        <v>58</v>
      </c>
      <c r="X910" s="44">
        <v>12</v>
      </c>
      <c r="Y910" s="44">
        <v>67</v>
      </c>
      <c r="Z910" s="44">
        <v>12</v>
      </c>
      <c r="AA910" s="44">
        <v>30</v>
      </c>
      <c r="AB910" s="44">
        <v>14</v>
      </c>
      <c r="AC910" s="44">
        <v>26</v>
      </c>
      <c r="AD910" s="44">
        <v>73</v>
      </c>
      <c r="AE910" s="44">
        <v>47</v>
      </c>
      <c r="AF910" s="44">
        <v>11</v>
      </c>
      <c r="AG910" s="44">
        <v>62</v>
      </c>
      <c r="AH910" s="44">
        <v>29</v>
      </c>
      <c r="AI910" s="44">
        <v>40</v>
      </c>
      <c r="AJ910" s="44">
        <v>81</v>
      </c>
      <c r="AK910" s="44">
        <v>62</v>
      </c>
      <c r="AL910" s="44">
        <v>55</v>
      </c>
      <c r="AM910" s="44">
        <v>108</v>
      </c>
      <c r="AN910" s="44">
        <v>22</v>
      </c>
      <c r="AO910" s="44">
        <v>55</v>
      </c>
      <c r="AP910" s="44">
        <v>31</v>
      </c>
      <c r="AQ910" s="44">
        <v>71</v>
      </c>
      <c r="AR910" s="44">
        <v>22</v>
      </c>
      <c r="AS910" s="44">
        <v>14</v>
      </c>
      <c r="AT910" s="44">
        <v>19</v>
      </c>
      <c r="AU910" s="44">
        <v>32</v>
      </c>
      <c r="AV910" s="44">
        <v>4</v>
      </c>
      <c r="AW910" s="44">
        <v>74</v>
      </c>
      <c r="AX910" s="44">
        <v>24</v>
      </c>
      <c r="AY910" s="44">
        <v>13</v>
      </c>
      <c r="AZ910" s="44">
        <v>18</v>
      </c>
      <c r="BA910" s="44">
        <v>26</v>
      </c>
      <c r="BB910" s="44">
        <v>54</v>
      </c>
      <c r="BC910" s="44">
        <v>22</v>
      </c>
      <c r="BD910" s="44">
        <v>39</v>
      </c>
      <c r="BE910" s="44">
        <v>36</v>
      </c>
      <c r="BF910" s="44">
        <v>4</v>
      </c>
      <c r="BG910" s="44">
        <v>13</v>
      </c>
      <c r="BH910" s="44">
        <v>7</v>
      </c>
      <c r="BI910" s="44">
        <v>4</v>
      </c>
      <c r="BJ910" s="44">
        <v>5</v>
      </c>
      <c r="BK910" s="44">
        <v>3</v>
      </c>
      <c r="BL910" s="44">
        <v>39</v>
      </c>
      <c r="BM910" s="44">
        <v>2</v>
      </c>
      <c r="BN910" s="44">
        <v>1</v>
      </c>
      <c r="BO910" s="44">
        <v>4</v>
      </c>
      <c r="BP910" s="44">
        <v>2</v>
      </c>
      <c r="BQ910" s="44">
        <v>3</v>
      </c>
      <c r="BR910" s="44">
        <v>1</v>
      </c>
      <c r="BS910" s="44">
        <v>29</v>
      </c>
      <c r="BT910" s="44">
        <v>2</v>
      </c>
      <c r="BU910" s="44">
        <v>1</v>
      </c>
      <c r="BV910" s="44">
        <v>0</v>
      </c>
      <c r="BW910" s="44">
        <v>2</v>
      </c>
      <c r="BX910" s="44">
        <v>0</v>
      </c>
      <c r="BY910" s="44">
        <v>3</v>
      </c>
      <c r="BZ910" s="44">
        <v>1</v>
      </c>
      <c r="CA910" s="44">
        <v>0</v>
      </c>
      <c r="CB910" s="44">
        <v>0</v>
      </c>
      <c r="CC910" s="44">
        <v>0</v>
      </c>
      <c r="CD910" s="44">
        <v>0</v>
      </c>
      <c r="CE910" s="44">
        <v>0</v>
      </c>
      <c r="CF910" s="44">
        <v>0</v>
      </c>
      <c r="CG910" s="44">
        <v>5</v>
      </c>
      <c r="CH910" s="44">
        <v>0</v>
      </c>
      <c r="CI910" s="44">
        <v>0</v>
      </c>
      <c r="CJ910" s="44">
        <v>0</v>
      </c>
      <c r="CK910" s="44">
        <v>0</v>
      </c>
      <c r="CL910" s="44">
        <v>0</v>
      </c>
      <c r="CM910" s="44">
        <v>0</v>
      </c>
      <c r="CN910" s="44">
        <v>0</v>
      </c>
      <c r="CO910" s="44">
        <v>0</v>
      </c>
      <c r="CP910" s="44">
        <v>0</v>
      </c>
      <c r="CQ910" s="44">
        <v>0</v>
      </c>
      <c r="CR910" s="44">
        <v>0</v>
      </c>
      <c r="CS910" s="44">
        <v>0</v>
      </c>
      <c r="CT910" s="44">
        <v>0</v>
      </c>
      <c r="CU910" s="44">
        <v>0</v>
      </c>
      <c r="CV910" s="44">
        <v>0</v>
      </c>
      <c r="CW910" s="44">
        <v>0</v>
      </c>
      <c r="CX910" s="44">
        <v>0</v>
      </c>
      <c r="CY910" s="44">
        <v>0</v>
      </c>
      <c r="CZ910" s="44">
        <v>0</v>
      </c>
      <c r="DA910" s="44">
        <v>0</v>
      </c>
      <c r="DB910" s="44">
        <v>0</v>
      </c>
      <c r="DC910" s="44">
        <v>0</v>
      </c>
      <c r="DD910" s="44">
        <v>0</v>
      </c>
      <c r="DE910" s="44">
        <v>0</v>
      </c>
      <c r="DF910" s="44">
        <v>0</v>
      </c>
      <c r="DG910" s="16">
        <f t="shared" si="72"/>
        <v>2417</v>
      </c>
      <c r="DH910" s="16">
        <f t="shared" si="73"/>
        <v>59664</v>
      </c>
      <c r="DI910" s="17">
        <f t="shared" si="74"/>
        <v>24.685146876292926</v>
      </c>
      <c r="DJ910" s="119" t="s">
        <v>720</v>
      </c>
      <c r="DK910" s="44" t="s">
        <v>720</v>
      </c>
    </row>
    <row r="911" spans="1:116">
      <c r="A911" s="32" t="str">
        <f t="shared" si="75"/>
        <v>Ergon--CAPACITOR BANKS</v>
      </c>
      <c r="B911" s="32" t="str">
        <f t="shared" si="76"/>
        <v>Ergon</v>
      </c>
      <c r="C911" s="387"/>
      <c r="D911" s="44"/>
      <c r="E911" s="44" t="s">
        <v>1145</v>
      </c>
      <c r="F911" s="44">
        <v>34.4</v>
      </c>
      <c r="G911" s="44">
        <v>5.87</v>
      </c>
      <c r="H911" s="44">
        <v>0</v>
      </c>
      <c r="I911" s="44">
        <v>0</v>
      </c>
      <c r="J911" s="44">
        <v>2</v>
      </c>
      <c r="K911" s="44">
        <v>0</v>
      </c>
      <c r="L911" s="44">
        <v>0</v>
      </c>
      <c r="M911" s="44">
        <v>0</v>
      </c>
      <c r="N911" s="44">
        <v>6</v>
      </c>
      <c r="O911" s="44">
        <v>2</v>
      </c>
      <c r="P911" s="44">
        <v>6</v>
      </c>
      <c r="Q911" s="44">
        <v>19</v>
      </c>
      <c r="R911" s="44">
        <v>2</v>
      </c>
      <c r="S911" s="44">
        <v>2</v>
      </c>
      <c r="T911" s="44">
        <v>1</v>
      </c>
      <c r="U911" s="44">
        <v>0</v>
      </c>
      <c r="V911" s="44">
        <v>2</v>
      </c>
      <c r="W911" s="44">
        <v>2</v>
      </c>
      <c r="X911" s="44">
        <v>2</v>
      </c>
      <c r="Y911" s="44">
        <v>9</v>
      </c>
      <c r="Z911" s="44">
        <v>8</v>
      </c>
      <c r="AA911" s="44">
        <v>6</v>
      </c>
      <c r="AB911" s="44">
        <v>1</v>
      </c>
      <c r="AC911" s="44">
        <v>2</v>
      </c>
      <c r="AD911" s="44">
        <v>1</v>
      </c>
      <c r="AE911" s="44">
        <v>1</v>
      </c>
      <c r="AF911" s="44">
        <v>4</v>
      </c>
      <c r="AG911" s="44">
        <v>0</v>
      </c>
      <c r="AH911" s="44">
        <v>0</v>
      </c>
      <c r="AI911" s="44">
        <v>5</v>
      </c>
      <c r="AJ911" s="44">
        <v>2</v>
      </c>
      <c r="AK911" s="44">
        <v>6</v>
      </c>
      <c r="AL911" s="44">
        <v>20</v>
      </c>
      <c r="AM911" s="44">
        <v>4</v>
      </c>
      <c r="AN911" s="44">
        <v>4</v>
      </c>
      <c r="AO911" s="44">
        <v>5</v>
      </c>
      <c r="AP911" s="44">
        <v>0</v>
      </c>
      <c r="AQ911" s="44">
        <v>3</v>
      </c>
      <c r="AR911" s="44">
        <v>0</v>
      </c>
      <c r="AS911" s="44">
        <v>2</v>
      </c>
      <c r="AT911" s="44">
        <v>1</v>
      </c>
      <c r="AU911" s="44">
        <v>0</v>
      </c>
      <c r="AV911" s="44">
        <v>0</v>
      </c>
      <c r="AW911" s="44">
        <v>0</v>
      </c>
      <c r="AX911" s="44">
        <v>0</v>
      </c>
      <c r="AY911" s="44">
        <v>1</v>
      </c>
      <c r="AZ911" s="44">
        <v>0</v>
      </c>
      <c r="BA911" s="44">
        <v>0</v>
      </c>
      <c r="BB911" s="44">
        <v>0</v>
      </c>
      <c r="BC911" s="44">
        <v>0</v>
      </c>
      <c r="BD911" s="44">
        <v>2</v>
      </c>
      <c r="BE911" s="44">
        <v>0</v>
      </c>
      <c r="BF911" s="44">
        <v>0</v>
      </c>
      <c r="BG911" s="44">
        <v>0</v>
      </c>
      <c r="BH911" s="44">
        <v>0</v>
      </c>
      <c r="BI911" s="44">
        <v>0</v>
      </c>
      <c r="BJ911" s="44">
        <v>0</v>
      </c>
      <c r="BK911" s="44">
        <v>0</v>
      </c>
      <c r="BL911" s="44">
        <v>0</v>
      </c>
      <c r="BM911" s="44">
        <v>0</v>
      </c>
      <c r="BN911" s="44">
        <v>0</v>
      </c>
      <c r="BO911" s="44">
        <v>0</v>
      </c>
      <c r="BP911" s="44">
        <v>0</v>
      </c>
      <c r="BQ911" s="44">
        <v>2</v>
      </c>
      <c r="BR911" s="44">
        <v>0</v>
      </c>
      <c r="BS911" s="44">
        <v>0</v>
      </c>
      <c r="BT911" s="44">
        <v>0</v>
      </c>
      <c r="BU911" s="44">
        <v>0</v>
      </c>
      <c r="BV911" s="44">
        <v>0</v>
      </c>
      <c r="BW911" s="44">
        <v>0</v>
      </c>
      <c r="BX911" s="44">
        <v>0</v>
      </c>
      <c r="BY911" s="44">
        <v>0</v>
      </c>
      <c r="BZ911" s="44">
        <v>0</v>
      </c>
      <c r="CA911" s="44">
        <v>0</v>
      </c>
      <c r="CB911" s="44">
        <v>0</v>
      </c>
      <c r="CC911" s="44">
        <v>0</v>
      </c>
      <c r="CD911" s="44">
        <v>0</v>
      </c>
      <c r="CE911" s="44">
        <v>0</v>
      </c>
      <c r="CF911" s="44">
        <v>0</v>
      </c>
      <c r="CG911" s="44">
        <v>0</v>
      </c>
      <c r="CH911" s="44">
        <v>0</v>
      </c>
      <c r="CI911" s="44">
        <v>0</v>
      </c>
      <c r="CJ911" s="44">
        <v>0</v>
      </c>
      <c r="CK911" s="44">
        <v>0</v>
      </c>
      <c r="CL911" s="44">
        <v>0</v>
      </c>
      <c r="CM911" s="44">
        <v>0</v>
      </c>
      <c r="CN911" s="44">
        <v>0</v>
      </c>
      <c r="CO911" s="44">
        <v>0</v>
      </c>
      <c r="CP911" s="44">
        <v>0</v>
      </c>
      <c r="CQ911" s="44">
        <v>0</v>
      </c>
      <c r="CR911" s="44">
        <v>0</v>
      </c>
      <c r="CS911" s="44">
        <v>0</v>
      </c>
      <c r="CT911" s="44">
        <v>0</v>
      </c>
      <c r="CU911" s="44">
        <v>0</v>
      </c>
      <c r="CV911" s="44">
        <v>0</v>
      </c>
      <c r="CW911" s="44">
        <v>0</v>
      </c>
      <c r="CX911" s="44">
        <v>0</v>
      </c>
      <c r="CY911" s="44">
        <v>0</v>
      </c>
      <c r="CZ911" s="44">
        <v>0</v>
      </c>
      <c r="DA911" s="44">
        <v>0</v>
      </c>
      <c r="DB911" s="44">
        <v>0</v>
      </c>
      <c r="DC911" s="44">
        <v>0</v>
      </c>
      <c r="DD911" s="44">
        <v>0</v>
      </c>
      <c r="DE911" s="44">
        <v>0</v>
      </c>
      <c r="DF911" s="44">
        <v>0</v>
      </c>
      <c r="DG911" s="16">
        <f t="shared" si="72"/>
        <v>135</v>
      </c>
      <c r="DH911" s="16">
        <f t="shared" si="73"/>
        <v>3026</v>
      </c>
      <c r="DI911" s="17">
        <f t="shared" si="74"/>
        <v>22.414814814814815</v>
      </c>
      <c r="DJ911" s="119" t="s">
        <v>720</v>
      </c>
      <c r="DK911" s="44" t="s">
        <v>720</v>
      </c>
    </row>
    <row r="912" spans="1:116">
      <c r="A912" s="32" t="str">
        <f t="shared" si="75"/>
        <v>Ergon--STATIC VAR COMPENSATOR</v>
      </c>
      <c r="B912" s="32" t="str">
        <f t="shared" si="76"/>
        <v>Ergon</v>
      </c>
      <c r="C912" s="387"/>
      <c r="D912" s="44"/>
      <c r="E912" s="44" t="s">
        <v>1146</v>
      </c>
      <c r="F912" s="44">
        <v>20</v>
      </c>
      <c r="G912" s="44">
        <v>4.4721359549999997</v>
      </c>
      <c r="H912" s="44">
        <v>0</v>
      </c>
      <c r="I912" s="44">
        <v>1</v>
      </c>
      <c r="J912" s="44">
        <v>0</v>
      </c>
      <c r="K912" s="44">
        <v>0</v>
      </c>
      <c r="L912" s="44">
        <v>0</v>
      </c>
      <c r="M912" s="44">
        <v>0</v>
      </c>
      <c r="N912" s="44">
        <v>0</v>
      </c>
      <c r="O912" s="44">
        <v>0</v>
      </c>
      <c r="P912" s="44">
        <v>0</v>
      </c>
      <c r="Q912" s="44">
        <v>0</v>
      </c>
      <c r="R912" s="44">
        <v>0</v>
      </c>
      <c r="S912" s="44">
        <v>0</v>
      </c>
      <c r="T912" s="44">
        <v>0</v>
      </c>
      <c r="U912" s="44">
        <v>0</v>
      </c>
      <c r="V912" s="44">
        <v>0</v>
      </c>
      <c r="W912" s="44">
        <v>0</v>
      </c>
      <c r="X912" s="44">
        <v>0</v>
      </c>
      <c r="Y912" s="44">
        <v>0</v>
      </c>
      <c r="Z912" s="44">
        <v>0</v>
      </c>
      <c r="AA912" s="44">
        <v>0</v>
      </c>
      <c r="AB912" s="44">
        <v>0</v>
      </c>
      <c r="AC912" s="44">
        <v>0</v>
      </c>
      <c r="AD912" s="44">
        <v>2</v>
      </c>
      <c r="AE912" s="44">
        <v>0</v>
      </c>
      <c r="AF912" s="44">
        <v>1</v>
      </c>
      <c r="AG912" s="44">
        <v>0</v>
      </c>
      <c r="AH912" s="44">
        <v>0</v>
      </c>
      <c r="AI912" s="44">
        <v>0</v>
      </c>
      <c r="AJ912" s="44">
        <v>0</v>
      </c>
      <c r="AK912" s="44">
        <v>0</v>
      </c>
      <c r="AL912" s="44">
        <v>0</v>
      </c>
      <c r="AM912" s="44">
        <v>0</v>
      </c>
      <c r="AN912" s="44">
        <v>0</v>
      </c>
      <c r="AO912" s="44">
        <v>0</v>
      </c>
      <c r="AP912" s="44">
        <v>0</v>
      </c>
      <c r="AQ912" s="44">
        <v>0</v>
      </c>
      <c r="AR912" s="44">
        <v>0</v>
      </c>
      <c r="AS912" s="44">
        <v>0</v>
      </c>
      <c r="AT912" s="44">
        <v>0</v>
      </c>
      <c r="AU912" s="44">
        <v>0</v>
      </c>
      <c r="AV912" s="44">
        <v>0</v>
      </c>
      <c r="AW912" s="44">
        <v>0</v>
      </c>
      <c r="AX912" s="44">
        <v>0</v>
      </c>
      <c r="AY912" s="44">
        <v>0</v>
      </c>
      <c r="AZ912" s="44">
        <v>0</v>
      </c>
      <c r="BA912" s="44">
        <v>0</v>
      </c>
      <c r="BB912" s="44">
        <v>0</v>
      </c>
      <c r="BC912" s="44">
        <v>0</v>
      </c>
      <c r="BD912" s="44">
        <v>0</v>
      </c>
      <c r="BE912" s="44">
        <v>0</v>
      </c>
      <c r="BF912" s="44">
        <v>0</v>
      </c>
      <c r="BG912" s="44">
        <v>0</v>
      </c>
      <c r="BH912" s="44">
        <v>0</v>
      </c>
      <c r="BI912" s="44">
        <v>0</v>
      </c>
      <c r="BJ912" s="44">
        <v>0</v>
      </c>
      <c r="BK912" s="44">
        <v>0</v>
      </c>
      <c r="BL912" s="44">
        <v>0</v>
      </c>
      <c r="BM912" s="44">
        <v>0</v>
      </c>
      <c r="BN912" s="44">
        <v>0</v>
      </c>
      <c r="BO912" s="44">
        <v>0</v>
      </c>
      <c r="BP912" s="44">
        <v>0</v>
      </c>
      <c r="BQ912" s="44">
        <v>0</v>
      </c>
      <c r="BR912" s="44">
        <v>0</v>
      </c>
      <c r="BS912" s="44">
        <v>0</v>
      </c>
      <c r="BT912" s="44">
        <v>0</v>
      </c>
      <c r="BU912" s="44">
        <v>0</v>
      </c>
      <c r="BV912" s="44">
        <v>0</v>
      </c>
      <c r="BW912" s="44">
        <v>0</v>
      </c>
      <c r="BX912" s="44">
        <v>0</v>
      </c>
      <c r="BY912" s="44">
        <v>0</v>
      </c>
      <c r="BZ912" s="44">
        <v>0</v>
      </c>
      <c r="CA912" s="44">
        <v>0</v>
      </c>
      <c r="CB912" s="44">
        <v>0</v>
      </c>
      <c r="CC912" s="44">
        <v>0</v>
      </c>
      <c r="CD912" s="44">
        <v>0</v>
      </c>
      <c r="CE912" s="44">
        <v>0</v>
      </c>
      <c r="CF912" s="44">
        <v>0</v>
      </c>
      <c r="CG912" s="44">
        <v>0</v>
      </c>
      <c r="CH912" s="44">
        <v>0</v>
      </c>
      <c r="CI912" s="44">
        <v>0</v>
      </c>
      <c r="CJ912" s="44">
        <v>0</v>
      </c>
      <c r="CK912" s="44">
        <v>0</v>
      </c>
      <c r="CL912" s="44">
        <v>0</v>
      </c>
      <c r="CM912" s="44">
        <v>0</v>
      </c>
      <c r="CN912" s="44">
        <v>0</v>
      </c>
      <c r="CO912" s="44">
        <v>0</v>
      </c>
      <c r="CP912" s="44">
        <v>0</v>
      </c>
      <c r="CQ912" s="44">
        <v>0</v>
      </c>
      <c r="CR912" s="44">
        <v>0</v>
      </c>
      <c r="CS912" s="44">
        <v>0</v>
      </c>
      <c r="CT912" s="44">
        <v>0</v>
      </c>
      <c r="CU912" s="44">
        <v>0</v>
      </c>
      <c r="CV912" s="44">
        <v>0</v>
      </c>
      <c r="CW912" s="44">
        <v>0</v>
      </c>
      <c r="CX912" s="44">
        <v>0</v>
      </c>
      <c r="CY912" s="44">
        <v>0</v>
      </c>
      <c r="CZ912" s="44">
        <v>0</v>
      </c>
      <c r="DA912" s="44">
        <v>0</v>
      </c>
      <c r="DB912" s="44">
        <v>0</v>
      </c>
      <c r="DC912" s="44">
        <v>0</v>
      </c>
      <c r="DD912" s="44">
        <v>0</v>
      </c>
      <c r="DE912" s="44">
        <v>0</v>
      </c>
      <c r="DF912" s="44">
        <v>0</v>
      </c>
      <c r="DG912" s="16">
        <f t="shared" ref="DG912:DG971" si="77">SUM(H912:DF912)</f>
        <v>4</v>
      </c>
      <c r="DH912" s="16">
        <f t="shared" ref="DH912:DH971" si="78">IFERROR(SUMPRODUCT(H912:DF912,$H$1:$DF$1),"")</f>
        <v>73</v>
      </c>
      <c r="DI912" s="17">
        <f t="shared" ref="DI912:DI971" si="79">IFERROR(DH912/DG912,"")</f>
        <v>18.25</v>
      </c>
      <c r="DJ912" s="119" t="s">
        <v>720</v>
      </c>
      <c r="DK912" s="44" t="s">
        <v>720</v>
      </c>
    </row>
    <row r="913" spans="1:117">
      <c r="A913" s="32" t="str">
        <f t="shared" si="75"/>
        <v>Ergon--PLEASE ADD A ROW IF NECESSARY AND NOMINATE THE CATEGORY</v>
      </c>
      <c r="B913" s="32" t="str">
        <f t="shared" si="76"/>
        <v>Ergon</v>
      </c>
      <c r="C913" s="387"/>
      <c r="D913" s="44"/>
      <c r="E913" s="44" t="s">
        <v>277</v>
      </c>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c r="BL913" s="44"/>
      <c r="BM913" s="44"/>
      <c r="BN913" s="44"/>
      <c r="BO913" s="44"/>
      <c r="BP913" s="44"/>
      <c r="BQ913" s="44"/>
      <c r="BR913" s="44"/>
      <c r="BS913" s="44"/>
      <c r="BT913" s="44"/>
      <c r="BU913" s="44"/>
      <c r="BV913" s="44"/>
      <c r="BW913" s="44"/>
      <c r="BX913" s="44"/>
      <c r="BY913" s="44"/>
      <c r="BZ913" s="44"/>
      <c r="CA913" s="44"/>
      <c r="CB913" s="44"/>
      <c r="CC913" s="44"/>
      <c r="CD913" s="44"/>
      <c r="CE913" s="44"/>
      <c r="CF913" s="44"/>
      <c r="CG913" s="44"/>
      <c r="CH913" s="44"/>
      <c r="CI913" s="44"/>
      <c r="CJ913" s="44"/>
      <c r="CK913" s="44"/>
      <c r="CL913" s="44"/>
      <c r="CM913" s="44"/>
      <c r="CN913" s="44"/>
      <c r="CO913" s="44"/>
      <c r="CP913" s="44"/>
      <c r="CQ913" s="44"/>
      <c r="CR913" s="44"/>
      <c r="CS913" s="44"/>
      <c r="CT913" s="44"/>
      <c r="CU913" s="44"/>
      <c r="CV913" s="44"/>
      <c r="CW913" s="44"/>
      <c r="CX913" s="44"/>
      <c r="CY913" s="44"/>
      <c r="CZ913" s="44"/>
      <c r="DA913" s="44"/>
      <c r="DB913" s="44"/>
      <c r="DC913" s="44"/>
      <c r="DD913" s="44"/>
      <c r="DE913" s="44"/>
      <c r="DF913" s="44"/>
      <c r="DG913" s="16">
        <f t="shared" si="77"/>
        <v>0</v>
      </c>
      <c r="DH913" s="16">
        <f t="shared" si="78"/>
        <v>0</v>
      </c>
      <c r="DI913" s="17" t="str">
        <f t="shared" si="79"/>
        <v/>
      </c>
      <c r="DJ913" s="119" t="s">
        <v>720</v>
      </c>
      <c r="DK913" s="44" t="s">
        <v>720</v>
      </c>
    </row>
    <row r="914" spans="1:117" ht="15" customHeight="1">
      <c r="A914" s="32" t="str">
        <f t="shared" si="75"/>
        <v>SA Power-POLES BY: 
HIGHEST OPERATING VOLTAGE ; MATERIAL TYPE;  STAKING (IF WOOD)-STAKING OF A WOODEN POLE</v>
      </c>
      <c r="B914" s="32" t="str">
        <f t="shared" si="76"/>
        <v>SA Power</v>
      </c>
      <c r="C914" s="427" t="s">
        <v>1218</v>
      </c>
      <c r="D914" t="s">
        <v>311</v>
      </c>
      <c r="E914" t="s">
        <v>117</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v>0</v>
      </c>
      <c r="BQ914">
        <v>0</v>
      </c>
      <c r="BR914">
        <v>0</v>
      </c>
      <c r="BS914">
        <v>0</v>
      </c>
      <c r="BT914">
        <v>0</v>
      </c>
      <c r="BU914">
        <v>0</v>
      </c>
      <c r="BV914">
        <v>0</v>
      </c>
      <c r="BW914">
        <v>0</v>
      </c>
      <c r="BX914">
        <v>0</v>
      </c>
      <c r="BY914">
        <v>0</v>
      </c>
      <c r="BZ914">
        <v>0</v>
      </c>
      <c r="CA914">
        <v>0</v>
      </c>
      <c r="CB914">
        <v>0</v>
      </c>
      <c r="CC914">
        <v>0</v>
      </c>
      <c r="CD914">
        <v>0</v>
      </c>
      <c r="CE914">
        <v>0</v>
      </c>
      <c r="CF914">
        <v>0</v>
      </c>
      <c r="CG914">
        <v>0</v>
      </c>
      <c r="CH914">
        <v>0</v>
      </c>
      <c r="CI914">
        <v>0</v>
      </c>
      <c r="CJ914">
        <v>0</v>
      </c>
      <c r="CK914">
        <v>0</v>
      </c>
      <c r="CL914">
        <v>0</v>
      </c>
      <c r="CM914">
        <v>0</v>
      </c>
      <c r="CN914">
        <v>0</v>
      </c>
      <c r="CO914">
        <v>0</v>
      </c>
      <c r="CP914">
        <v>0</v>
      </c>
      <c r="CQ914">
        <v>0</v>
      </c>
      <c r="CR914">
        <v>0</v>
      </c>
      <c r="CS914">
        <v>0</v>
      </c>
      <c r="CT914">
        <v>0</v>
      </c>
      <c r="CU914">
        <v>0</v>
      </c>
      <c r="CV914">
        <v>0</v>
      </c>
      <c r="CW914">
        <v>0</v>
      </c>
      <c r="CX914">
        <v>0</v>
      </c>
      <c r="CY914">
        <v>0</v>
      </c>
      <c r="CZ914">
        <v>0</v>
      </c>
      <c r="DA914">
        <v>0</v>
      </c>
      <c r="DB914">
        <v>0</v>
      </c>
      <c r="DC914">
        <v>0</v>
      </c>
      <c r="DD914">
        <v>0</v>
      </c>
      <c r="DE914">
        <v>0</v>
      </c>
      <c r="DF914">
        <v>0</v>
      </c>
      <c r="DG914" s="16">
        <f t="shared" si="77"/>
        <v>0</v>
      </c>
      <c r="DH914" s="16">
        <f t="shared" si="78"/>
        <v>0</v>
      </c>
      <c r="DI914" s="17" t="str">
        <f t="shared" si="79"/>
        <v/>
      </c>
      <c r="DJ914" s="119" t="s">
        <v>1</v>
      </c>
      <c r="DK914" t="s">
        <v>1</v>
      </c>
      <c r="DL914" s="44" t="s">
        <v>117</v>
      </c>
      <c r="DM914" s="44"/>
    </row>
    <row r="915" spans="1:117" ht="15" customHeight="1">
      <c r="A915" s="32" t="str">
        <f t="shared" si="75"/>
        <v>SA Power--˂ = 1 kV; WOOD</v>
      </c>
      <c r="B915" s="32" t="str">
        <f t="shared" si="76"/>
        <v>SA Power</v>
      </c>
      <c r="C915" s="385"/>
      <c r="E915" t="s">
        <v>119</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0</v>
      </c>
      <c r="AK915">
        <v>0</v>
      </c>
      <c r="AL915">
        <v>0</v>
      </c>
      <c r="AM915">
        <v>0</v>
      </c>
      <c r="AN915">
        <v>0</v>
      </c>
      <c r="AO915">
        <v>0</v>
      </c>
      <c r="AP915">
        <v>0</v>
      </c>
      <c r="AQ915">
        <v>0</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v>0</v>
      </c>
      <c r="BN915">
        <v>0</v>
      </c>
      <c r="BO915">
        <v>0</v>
      </c>
      <c r="BP915">
        <v>0</v>
      </c>
      <c r="BQ915">
        <v>0</v>
      </c>
      <c r="BR915">
        <v>0</v>
      </c>
      <c r="BS915">
        <v>0</v>
      </c>
      <c r="BT915">
        <v>0</v>
      </c>
      <c r="BU915">
        <v>0</v>
      </c>
      <c r="BV915">
        <v>0</v>
      </c>
      <c r="BW915">
        <v>0</v>
      </c>
      <c r="BX915">
        <v>0</v>
      </c>
      <c r="BY915">
        <v>0</v>
      </c>
      <c r="BZ915">
        <v>0</v>
      </c>
      <c r="CA915">
        <v>0</v>
      </c>
      <c r="CB915">
        <v>0</v>
      </c>
      <c r="CC915">
        <v>0</v>
      </c>
      <c r="CD915">
        <v>0</v>
      </c>
      <c r="CE915">
        <v>0</v>
      </c>
      <c r="CF915">
        <v>0</v>
      </c>
      <c r="CG915">
        <v>0</v>
      </c>
      <c r="CH915">
        <v>0</v>
      </c>
      <c r="CI915">
        <v>0</v>
      </c>
      <c r="CJ915">
        <v>0</v>
      </c>
      <c r="CK915">
        <v>0</v>
      </c>
      <c r="CL915">
        <v>0</v>
      </c>
      <c r="CM915">
        <v>0</v>
      </c>
      <c r="CN915">
        <v>0</v>
      </c>
      <c r="CO915">
        <v>0</v>
      </c>
      <c r="CP915">
        <v>0</v>
      </c>
      <c r="CQ915">
        <v>0</v>
      </c>
      <c r="CR915">
        <v>0</v>
      </c>
      <c r="CS915">
        <v>0</v>
      </c>
      <c r="CT915">
        <v>0</v>
      </c>
      <c r="CU915">
        <v>0</v>
      </c>
      <c r="CV915">
        <v>0</v>
      </c>
      <c r="CW915">
        <v>0</v>
      </c>
      <c r="CX915">
        <v>0</v>
      </c>
      <c r="CY915">
        <v>0</v>
      </c>
      <c r="CZ915">
        <v>0</v>
      </c>
      <c r="DA915">
        <v>0</v>
      </c>
      <c r="DB915">
        <v>0</v>
      </c>
      <c r="DC915">
        <v>0</v>
      </c>
      <c r="DD915">
        <v>0</v>
      </c>
      <c r="DE915">
        <v>0</v>
      </c>
      <c r="DF915">
        <v>0</v>
      </c>
      <c r="DG915" s="16">
        <f t="shared" si="77"/>
        <v>0</v>
      </c>
      <c r="DH915" s="16">
        <f t="shared" si="78"/>
        <v>0</v>
      </c>
      <c r="DI915" s="17" t="str">
        <f t="shared" si="79"/>
        <v/>
      </c>
      <c r="DJ915" s="119" t="s">
        <v>1</v>
      </c>
      <c r="DK915" s="44" t="s">
        <v>1</v>
      </c>
      <c r="DL915" s="44" t="s">
        <v>1328</v>
      </c>
      <c r="DM915" s="44"/>
    </row>
    <row r="916" spans="1:117" ht="15" customHeight="1">
      <c r="A916" s="32" t="str">
        <f t="shared" si="75"/>
        <v>SA Power--&gt; 1 kV &amp; &lt; = 11 kV; WOOD</v>
      </c>
      <c r="B916" s="32" t="str">
        <f t="shared" si="76"/>
        <v>SA Power</v>
      </c>
      <c r="C916" s="385"/>
      <c r="E916" t="s">
        <v>121</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v>0</v>
      </c>
      <c r="AI916">
        <v>0</v>
      </c>
      <c r="AJ916">
        <v>0</v>
      </c>
      <c r="AK916">
        <v>0</v>
      </c>
      <c r="AL916">
        <v>0</v>
      </c>
      <c r="AM916">
        <v>0</v>
      </c>
      <c r="AN916">
        <v>0</v>
      </c>
      <c r="AO916">
        <v>0</v>
      </c>
      <c r="AP916">
        <v>0</v>
      </c>
      <c r="AQ916">
        <v>0</v>
      </c>
      <c r="AR916">
        <v>0</v>
      </c>
      <c r="AS916">
        <v>0</v>
      </c>
      <c r="AT916">
        <v>0</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v>0</v>
      </c>
      <c r="BQ916">
        <v>0</v>
      </c>
      <c r="BR916">
        <v>0</v>
      </c>
      <c r="BS916">
        <v>0</v>
      </c>
      <c r="BT916">
        <v>0</v>
      </c>
      <c r="BU916">
        <v>0</v>
      </c>
      <c r="BV916">
        <v>0</v>
      </c>
      <c r="BW916">
        <v>0</v>
      </c>
      <c r="BX916">
        <v>0</v>
      </c>
      <c r="BY916">
        <v>0</v>
      </c>
      <c r="BZ916">
        <v>0</v>
      </c>
      <c r="CA916">
        <v>0</v>
      </c>
      <c r="CB916">
        <v>0</v>
      </c>
      <c r="CC916">
        <v>0</v>
      </c>
      <c r="CD916">
        <v>0</v>
      </c>
      <c r="CE916">
        <v>0</v>
      </c>
      <c r="CF916">
        <v>0</v>
      </c>
      <c r="CG916">
        <v>0</v>
      </c>
      <c r="CH916">
        <v>0</v>
      </c>
      <c r="CI916">
        <v>0</v>
      </c>
      <c r="CJ916">
        <v>0</v>
      </c>
      <c r="CK916">
        <v>0</v>
      </c>
      <c r="CL916">
        <v>0</v>
      </c>
      <c r="CM916">
        <v>0</v>
      </c>
      <c r="CN916">
        <v>0</v>
      </c>
      <c r="CO916">
        <v>0</v>
      </c>
      <c r="CP916">
        <v>0</v>
      </c>
      <c r="CQ916">
        <v>0</v>
      </c>
      <c r="CR916">
        <v>0</v>
      </c>
      <c r="CS916">
        <v>0</v>
      </c>
      <c r="CT916">
        <v>0</v>
      </c>
      <c r="CU916">
        <v>0</v>
      </c>
      <c r="CV916">
        <v>0</v>
      </c>
      <c r="CW916">
        <v>0</v>
      </c>
      <c r="CX916">
        <v>0</v>
      </c>
      <c r="CY916">
        <v>0</v>
      </c>
      <c r="CZ916">
        <v>0</v>
      </c>
      <c r="DA916">
        <v>0</v>
      </c>
      <c r="DB916">
        <v>0</v>
      </c>
      <c r="DC916">
        <v>0</v>
      </c>
      <c r="DD916">
        <v>0</v>
      </c>
      <c r="DE916">
        <v>0</v>
      </c>
      <c r="DF916">
        <v>0</v>
      </c>
      <c r="DG916" s="16">
        <f t="shared" si="77"/>
        <v>0</v>
      </c>
      <c r="DH916" s="16">
        <f t="shared" si="78"/>
        <v>0</v>
      </c>
      <c r="DI916" s="17" t="str">
        <f t="shared" si="79"/>
        <v/>
      </c>
      <c r="DJ916" s="119" t="s">
        <v>1</v>
      </c>
      <c r="DK916" s="44" t="s">
        <v>1</v>
      </c>
      <c r="DL916" s="44" t="s">
        <v>1328</v>
      </c>
      <c r="DM916" s="44"/>
    </row>
    <row r="917" spans="1:117" ht="15" customHeight="1">
      <c r="A917" s="32" t="str">
        <f t="shared" si="75"/>
        <v>SA Power--˃ 11 kV &amp; &lt; = 22 kV; WOOD</v>
      </c>
      <c r="B917" s="32" t="str">
        <f t="shared" si="76"/>
        <v>SA Power</v>
      </c>
      <c r="C917" s="385"/>
      <c r="E917" t="s">
        <v>123</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v>0</v>
      </c>
      <c r="BX917">
        <v>0</v>
      </c>
      <c r="BY917">
        <v>0</v>
      </c>
      <c r="BZ917">
        <v>0</v>
      </c>
      <c r="CA917">
        <v>0</v>
      </c>
      <c r="CB917">
        <v>0</v>
      </c>
      <c r="CC917">
        <v>0</v>
      </c>
      <c r="CD917">
        <v>0</v>
      </c>
      <c r="CE917">
        <v>0</v>
      </c>
      <c r="CF917">
        <v>0</v>
      </c>
      <c r="CG917">
        <v>0</v>
      </c>
      <c r="CH917">
        <v>0</v>
      </c>
      <c r="CI917">
        <v>0</v>
      </c>
      <c r="CJ917">
        <v>0</v>
      </c>
      <c r="CK917">
        <v>0</v>
      </c>
      <c r="CL917">
        <v>0</v>
      </c>
      <c r="CM917">
        <v>0</v>
      </c>
      <c r="CN917">
        <v>0</v>
      </c>
      <c r="CO917">
        <v>0</v>
      </c>
      <c r="CP917">
        <v>0</v>
      </c>
      <c r="CQ917">
        <v>0</v>
      </c>
      <c r="CR917">
        <v>0</v>
      </c>
      <c r="CS917">
        <v>0</v>
      </c>
      <c r="CT917">
        <v>0</v>
      </c>
      <c r="CU917">
        <v>0</v>
      </c>
      <c r="CV917">
        <v>0</v>
      </c>
      <c r="CW917">
        <v>0</v>
      </c>
      <c r="CX917">
        <v>0</v>
      </c>
      <c r="CY917">
        <v>0</v>
      </c>
      <c r="CZ917">
        <v>0</v>
      </c>
      <c r="DA917">
        <v>0</v>
      </c>
      <c r="DB917">
        <v>0</v>
      </c>
      <c r="DC917">
        <v>0</v>
      </c>
      <c r="DD917">
        <v>0</v>
      </c>
      <c r="DE917">
        <v>0</v>
      </c>
      <c r="DF917">
        <v>0</v>
      </c>
      <c r="DG917" s="16">
        <f t="shared" si="77"/>
        <v>0</v>
      </c>
      <c r="DH917" s="16">
        <f t="shared" si="78"/>
        <v>0</v>
      </c>
      <c r="DI917" s="17" t="str">
        <f t="shared" si="79"/>
        <v/>
      </c>
      <c r="DJ917" s="119" t="s">
        <v>1</v>
      </c>
      <c r="DK917" s="44" t="s">
        <v>1</v>
      </c>
      <c r="DL917" s="44" t="s">
        <v>1328</v>
      </c>
      <c r="DM917" s="44"/>
    </row>
    <row r="918" spans="1:117" ht="15" customHeight="1">
      <c r="A918" s="32" t="str">
        <f t="shared" si="75"/>
        <v>SA Power--&gt; 22 kV &amp; &lt; = 66 kV; WOOD</v>
      </c>
      <c r="B918" s="32" t="str">
        <f t="shared" si="76"/>
        <v>SA Power</v>
      </c>
      <c r="C918" s="385"/>
      <c r="E918" t="s">
        <v>125</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0</v>
      </c>
      <c r="AL918">
        <v>0</v>
      </c>
      <c r="AM918">
        <v>0</v>
      </c>
      <c r="AN918">
        <v>0</v>
      </c>
      <c r="AO918">
        <v>0</v>
      </c>
      <c r="AP918">
        <v>0</v>
      </c>
      <c r="AQ918">
        <v>0</v>
      </c>
      <c r="AR918">
        <v>0</v>
      </c>
      <c r="AS918">
        <v>0</v>
      </c>
      <c r="AT918">
        <v>0</v>
      </c>
      <c r="AU918">
        <v>0</v>
      </c>
      <c r="AV918">
        <v>0</v>
      </c>
      <c r="AW918">
        <v>0</v>
      </c>
      <c r="AX918">
        <v>0</v>
      </c>
      <c r="AY918">
        <v>0</v>
      </c>
      <c r="AZ918">
        <v>0</v>
      </c>
      <c r="BA918">
        <v>0</v>
      </c>
      <c r="BB918">
        <v>0</v>
      </c>
      <c r="BC918">
        <v>0</v>
      </c>
      <c r="BD918">
        <v>0</v>
      </c>
      <c r="BE918">
        <v>0</v>
      </c>
      <c r="BF918">
        <v>0</v>
      </c>
      <c r="BG918">
        <v>0</v>
      </c>
      <c r="BH918">
        <v>0</v>
      </c>
      <c r="BI918">
        <v>0</v>
      </c>
      <c r="BJ918">
        <v>0</v>
      </c>
      <c r="BK918">
        <v>0</v>
      </c>
      <c r="BL918">
        <v>0</v>
      </c>
      <c r="BM918">
        <v>0</v>
      </c>
      <c r="BN918">
        <v>0</v>
      </c>
      <c r="BO918">
        <v>0</v>
      </c>
      <c r="BP918">
        <v>0</v>
      </c>
      <c r="BQ918">
        <v>0</v>
      </c>
      <c r="BR918">
        <v>0</v>
      </c>
      <c r="BS918">
        <v>0</v>
      </c>
      <c r="BT918">
        <v>0</v>
      </c>
      <c r="BU918">
        <v>0</v>
      </c>
      <c r="BV918">
        <v>0</v>
      </c>
      <c r="BW918">
        <v>0</v>
      </c>
      <c r="BX918">
        <v>0</v>
      </c>
      <c r="BY918">
        <v>0</v>
      </c>
      <c r="BZ918">
        <v>0</v>
      </c>
      <c r="CA918">
        <v>0</v>
      </c>
      <c r="CB918">
        <v>0</v>
      </c>
      <c r="CC918">
        <v>0</v>
      </c>
      <c r="CD918">
        <v>0</v>
      </c>
      <c r="CE918">
        <v>0</v>
      </c>
      <c r="CF918">
        <v>0</v>
      </c>
      <c r="CG918">
        <v>0</v>
      </c>
      <c r="CH918">
        <v>0</v>
      </c>
      <c r="CI918">
        <v>0</v>
      </c>
      <c r="CJ918">
        <v>0</v>
      </c>
      <c r="CK918">
        <v>0</v>
      </c>
      <c r="CL918">
        <v>0</v>
      </c>
      <c r="CM918">
        <v>0</v>
      </c>
      <c r="CN918">
        <v>0</v>
      </c>
      <c r="CO918">
        <v>0</v>
      </c>
      <c r="CP918">
        <v>0</v>
      </c>
      <c r="CQ918">
        <v>0</v>
      </c>
      <c r="CR918">
        <v>0</v>
      </c>
      <c r="CS918">
        <v>0</v>
      </c>
      <c r="CT918">
        <v>0</v>
      </c>
      <c r="CU918">
        <v>0</v>
      </c>
      <c r="CV918">
        <v>0</v>
      </c>
      <c r="CW918">
        <v>0</v>
      </c>
      <c r="CX918">
        <v>0</v>
      </c>
      <c r="CY918">
        <v>0</v>
      </c>
      <c r="CZ918">
        <v>0</v>
      </c>
      <c r="DA918">
        <v>0</v>
      </c>
      <c r="DB918">
        <v>0</v>
      </c>
      <c r="DC918">
        <v>0</v>
      </c>
      <c r="DD918">
        <v>0</v>
      </c>
      <c r="DE918">
        <v>0</v>
      </c>
      <c r="DF918">
        <v>0</v>
      </c>
      <c r="DG918" s="16">
        <f t="shared" si="77"/>
        <v>0</v>
      </c>
      <c r="DH918" s="16">
        <f t="shared" si="78"/>
        <v>0</v>
      </c>
      <c r="DI918" s="17" t="str">
        <f t="shared" si="79"/>
        <v/>
      </c>
      <c r="DJ918" s="119" t="s">
        <v>1</v>
      </c>
      <c r="DK918" s="44" t="s">
        <v>1</v>
      </c>
      <c r="DL918" s="44" t="s">
        <v>1328</v>
      </c>
      <c r="DM918" s="44"/>
    </row>
    <row r="919" spans="1:117" ht="15" customHeight="1">
      <c r="A919" s="32" t="str">
        <f t="shared" si="75"/>
        <v>SA Power--&gt; 66 kV &amp; &lt; = 132 kV; WOOD</v>
      </c>
      <c r="B919" s="32" t="str">
        <f t="shared" si="76"/>
        <v>SA Power</v>
      </c>
      <c r="C919" s="385"/>
      <c r="E919" t="s">
        <v>127</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v>0</v>
      </c>
      <c r="BX919">
        <v>0</v>
      </c>
      <c r="BY919">
        <v>0</v>
      </c>
      <c r="BZ919">
        <v>0</v>
      </c>
      <c r="CA919">
        <v>0</v>
      </c>
      <c r="CB919">
        <v>0</v>
      </c>
      <c r="CC919">
        <v>0</v>
      </c>
      <c r="CD919">
        <v>0</v>
      </c>
      <c r="CE919">
        <v>0</v>
      </c>
      <c r="CF919">
        <v>0</v>
      </c>
      <c r="CG919">
        <v>0</v>
      </c>
      <c r="CH919">
        <v>0</v>
      </c>
      <c r="CI919">
        <v>0</v>
      </c>
      <c r="CJ919">
        <v>0</v>
      </c>
      <c r="CK919">
        <v>0</v>
      </c>
      <c r="CL919">
        <v>0</v>
      </c>
      <c r="CM919">
        <v>0</v>
      </c>
      <c r="CN919">
        <v>0</v>
      </c>
      <c r="CO919">
        <v>0</v>
      </c>
      <c r="CP919">
        <v>0</v>
      </c>
      <c r="CQ919">
        <v>0</v>
      </c>
      <c r="CR919">
        <v>0</v>
      </c>
      <c r="CS919">
        <v>0</v>
      </c>
      <c r="CT919">
        <v>0</v>
      </c>
      <c r="CU919">
        <v>0</v>
      </c>
      <c r="CV919">
        <v>0</v>
      </c>
      <c r="CW919">
        <v>0</v>
      </c>
      <c r="CX919">
        <v>0</v>
      </c>
      <c r="CY919">
        <v>0</v>
      </c>
      <c r="CZ919">
        <v>0</v>
      </c>
      <c r="DA919">
        <v>0</v>
      </c>
      <c r="DB919">
        <v>0</v>
      </c>
      <c r="DC919">
        <v>0</v>
      </c>
      <c r="DD919">
        <v>0</v>
      </c>
      <c r="DE919">
        <v>0</v>
      </c>
      <c r="DF919">
        <v>0</v>
      </c>
      <c r="DG919" s="16">
        <f t="shared" si="77"/>
        <v>0</v>
      </c>
      <c r="DH919" s="16">
        <f t="shared" si="78"/>
        <v>0</v>
      </c>
      <c r="DI919" s="17" t="str">
        <f t="shared" si="79"/>
        <v/>
      </c>
      <c r="DJ919" s="119" t="s">
        <v>1</v>
      </c>
      <c r="DK919" s="44" t="s">
        <v>1</v>
      </c>
      <c r="DL919" s="44" t="s">
        <v>1328</v>
      </c>
      <c r="DM919" s="44"/>
    </row>
    <row r="920" spans="1:117" ht="15" customHeight="1">
      <c r="A920" s="32" t="str">
        <f t="shared" ref="A920:A983" si="80">B920&amp;"-"&amp;D920&amp;"-"&amp;E920</f>
        <v>SA Power--&gt; 132 kV; WOOD</v>
      </c>
      <c r="B920" s="32" t="str">
        <f t="shared" ref="B920:B983" si="81">IF(C920&gt;0,C920,B919)</f>
        <v>SA Power</v>
      </c>
      <c r="C920" s="385"/>
      <c r="E920" t="s">
        <v>129</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BX920">
        <v>0</v>
      </c>
      <c r="BY920">
        <v>0</v>
      </c>
      <c r="BZ920">
        <v>0</v>
      </c>
      <c r="CA920">
        <v>0</v>
      </c>
      <c r="CB920">
        <v>0</v>
      </c>
      <c r="CC920">
        <v>0</v>
      </c>
      <c r="CD920">
        <v>0</v>
      </c>
      <c r="CE920">
        <v>0</v>
      </c>
      <c r="CF920">
        <v>0</v>
      </c>
      <c r="CG920">
        <v>0</v>
      </c>
      <c r="CH920">
        <v>0</v>
      </c>
      <c r="CI920">
        <v>0</v>
      </c>
      <c r="CJ920">
        <v>0</v>
      </c>
      <c r="CK920">
        <v>0</v>
      </c>
      <c r="CL920">
        <v>0</v>
      </c>
      <c r="CM920">
        <v>0</v>
      </c>
      <c r="CN920">
        <v>0</v>
      </c>
      <c r="CO920">
        <v>0</v>
      </c>
      <c r="CP920">
        <v>0</v>
      </c>
      <c r="CQ920">
        <v>0</v>
      </c>
      <c r="CR920">
        <v>0</v>
      </c>
      <c r="CS920">
        <v>0</v>
      </c>
      <c r="CT920">
        <v>0</v>
      </c>
      <c r="CU920">
        <v>0</v>
      </c>
      <c r="CV920">
        <v>0</v>
      </c>
      <c r="CW920">
        <v>0</v>
      </c>
      <c r="CX920">
        <v>0</v>
      </c>
      <c r="CY920">
        <v>0</v>
      </c>
      <c r="CZ920">
        <v>0</v>
      </c>
      <c r="DA920">
        <v>0</v>
      </c>
      <c r="DB920">
        <v>0</v>
      </c>
      <c r="DC920">
        <v>0</v>
      </c>
      <c r="DD920">
        <v>0</v>
      </c>
      <c r="DE920">
        <v>0</v>
      </c>
      <c r="DF920">
        <v>0</v>
      </c>
      <c r="DG920" s="16">
        <f t="shared" si="77"/>
        <v>0</v>
      </c>
      <c r="DH920" s="16">
        <f t="shared" si="78"/>
        <v>0</v>
      </c>
      <c r="DI920" s="17" t="str">
        <f t="shared" si="79"/>
        <v/>
      </c>
      <c r="DJ920" s="119" t="s">
        <v>1</v>
      </c>
      <c r="DK920" s="44" t="s">
        <v>1</v>
      </c>
      <c r="DL920" s="44" t="s">
        <v>1328</v>
      </c>
      <c r="DM920" s="44"/>
    </row>
    <row r="921" spans="1:117" ht="15" customHeight="1">
      <c r="A921" s="32" t="str">
        <f t="shared" si="80"/>
        <v>SA Power--˂ = 1 kV; CONCRETE</v>
      </c>
      <c r="B921" s="32" t="str">
        <f t="shared" si="81"/>
        <v>SA Power</v>
      </c>
      <c r="C921" s="385"/>
      <c r="E921" t="s">
        <v>131</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0</v>
      </c>
      <c r="AP921">
        <v>0</v>
      </c>
      <c r="AQ921">
        <v>0</v>
      </c>
      <c r="AR921">
        <v>0</v>
      </c>
      <c r="AS921">
        <v>0</v>
      </c>
      <c r="AT921">
        <v>0</v>
      </c>
      <c r="AU921">
        <v>0</v>
      </c>
      <c r="AV921">
        <v>0</v>
      </c>
      <c r="AW921">
        <v>0</v>
      </c>
      <c r="AX921">
        <v>0</v>
      </c>
      <c r="AY921">
        <v>0</v>
      </c>
      <c r="AZ921">
        <v>0</v>
      </c>
      <c r="BA921">
        <v>0</v>
      </c>
      <c r="BB921">
        <v>0</v>
      </c>
      <c r="BC921">
        <v>0</v>
      </c>
      <c r="BD921">
        <v>0</v>
      </c>
      <c r="BE921">
        <v>0</v>
      </c>
      <c r="BF921">
        <v>0</v>
      </c>
      <c r="BG921">
        <v>0</v>
      </c>
      <c r="BH921">
        <v>0</v>
      </c>
      <c r="BI921">
        <v>0</v>
      </c>
      <c r="BJ921">
        <v>0</v>
      </c>
      <c r="BK921">
        <v>0</v>
      </c>
      <c r="BL921">
        <v>0</v>
      </c>
      <c r="BM921">
        <v>0</v>
      </c>
      <c r="BN921">
        <v>0</v>
      </c>
      <c r="BO921">
        <v>0</v>
      </c>
      <c r="BP921">
        <v>0</v>
      </c>
      <c r="BQ921">
        <v>0</v>
      </c>
      <c r="BR921">
        <v>0</v>
      </c>
      <c r="BS921">
        <v>0</v>
      </c>
      <c r="BT921">
        <v>0</v>
      </c>
      <c r="BU921">
        <v>0</v>
      </c>
      <c r="BV921">
        <v>0</v>
      </c>
      <c r="BW921">
        <v>0</v>
      </c>
      <c r="BX921">
        <v>0</v>
      </c>
      <c r="BY921">
        <v>0</v>
      </c>
      <c r="BZ921">
        <v>0</v>
      </c>
      <c r="CA921">
        <v>0</v>
      </c>
      <c r="CB921">
        <v>0</v>
      </c>
      <c r="CC921">
        <v>0</v>
      </c>
      <c r="CD921">
        <v>0</v>
      </c>
      <c r="CE921">
        <v>0</v>
      </c>
      <c r="CF921">
        <v>0</v>
      </c>
      <c r="CG921">
        <v>0</v>
      </c>
      <c r="CH921">
        <v>0</v>
      </c>
      <c r="CI921">
        <v>0</v>
      </c>
      <c r="CJ921">
        <v>0</v>
      </c>
      <c r="CK921">
        <v>0</v>
      </c>
      <c r="CL921">
        <v>0</v>
      </c>
      <c r="CM921">
        <v>0</v>
      </c>
      <c r="CN921">
        <v>0</v>
      </c>
      <c r="CO921">
        <v>0</v>
      </c>
      <c r="CP921">
        <v>0</v>
      </c>
      <c r="CQ921">
        <v>0</v>
      </c>
      <c r="CR921">
        <v>0</v>
      </c>
      <c r="CS921">
        <v>0</v>
      </c>
      <c r="CT921">
        <v>0</v>
      </c>
      <c r="CU921">
        <v>0</v>
      </c>
      <c r="CV921">
        <v>0</v>
      </c>
      <c r="CW921">
        <v>0</v>
      </c>
      <c r="CX921">
        <v>0</v>
      </c>
      <c r="CY921">
        <v>0</v>
      </c>
      <c r="CZ921">
        <v>0</v>
      </c>
      <c r="DA921">
        <v>0</v>
      </c>
      <c r="DB921">
        <v>0</v>
      </c>
      <c r="DC921">
        <v>0</v>
      </c>
      <c r="DD921">
        <v>0</v>
      </c>
      <c r="DE921">
        <v>0</v>
      </c>
      <c r="DF921">
        <v>0</v>
      </c>
      <c r="DG921" s="16">
        <f t="shared" si="77"/>
        <v>0</v>
      </c>
      <c r="DH921" s="16">
        <f t="shared" si="78"/>
        <v>0</v>
      </c>
      <c r="DI921" s="17" t="str">
        <f t="shared" si="79"/>
        <v/>
      </c>
      <c r="DJ921" s="119" t="s">
        <v>1</v>
      </c>
      <c r="DK921" s="44" t="s">
        <v>1</v>
      </c>
      <c r="DL921" s="44" t="s">
        <v>1329</v>
      </c>
      <c r="DM921" s="44"/>
    </row>
    <row r="922" spans="1:117" ht="15" customHeight="1">
      <c r="A922" s="32" t="str">
        <f t="shared" si="80"/>
        <v>SA Power--&gt; 1 kV &amp; &lt; = 11 kV; CONCRETE</v>
      </c>
      <c r="B922" s="32" t="str">
        <f t="shared" si="81"/>
        <v>SA Power</v>
      </c>
      <c r="C922" s="385"/>
      <c r="E922" t="s">
        <v>133</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0</v>
      </c>
      <c r="AP922">
        <v>0</v>
      </c>
      <c r="AQ922">
        <v>0</v>
      </c>
      <c r="AR922">
        <v>0</v>
      </c>
      <c r="AS922">
        <v>0</v>
      </c>
      <c r="AT922">
        <v>0</v>
      </c>
      <c r="AU922">
        <v>0</v>
      </c>
      <c r="AV922">
        <v>0</v>
      </c>
      <c r="AW922">
        <v>0</v>
      </c>
      <c r="AX922">
        <v>0</v>
      </c>
      <c r="AY922">
        <v>0</v>
      </c>
      <c r="AZ922">
        <v>0</v>
      </c>
      <c r="BA922">
        <v>0</v>
      </c>
      <c r="BB922">
        <v>0</v>
      </c>
      <c r="BC922">
        <v>0</v>
      </c>
      <c r="BD922">
        <v>0</v>
      </c>
      <c r="BE922">
        <v>0</v>
      </c>
      <c r="BF922">
        <v>0</v>
      </c>
      <c r="BG922">
        <v>0</v>
      </c>
      <c r="BH922">
        <v>0</v>
      </c>
      <c r="BI922">
        <v>0</v>
      </c>
      <c r="BJ922">
        <v>0</v>
      </c>
      <c r="BK922">
        <v>0</v>
      </c>
      <c r="BL922">
        <v>0</v>
      </c>
      <c r="BM922">
        <v>0</v>
      </c>
      <c r="BN922">
        <v>0</v>
      </c>
      <c r="BO922">
        <v>0</v>
      </c>
      <c r="BP922">
        <v>0</v>
      </c>
      <c r="BQ922">
        <v>0</v>
      </c>
      <c r="BR922">
        <v>0</v>
      </c>
      <c r="BS922">
        <v>0</v>
      </c>
      <c r="BT922">
        <v>0</v>
      </c>
      <c r="BU922">
        <v>0</v>
      </c>
      <c r="BV922">
        <v>0</v>
      </c>
      <c r="BW922">
        <v>0</v>
      </c>
      <c r="BX922">
        <v>0</v>
      </c>
      <c r="BY922">
        <v>0</v>
      </c>
      <c r="BZ922">
        <v>0</v>
      </c>
      <c r="CA922">
        <v>0</v>
      </c>
      <c r="CB922">
        <v>0</v>
      </c>
      <c r="CC922">
        <v>0</v>
      </c>
      <c r="CD922">
        <v>0</v>
      </c>
      <c r="CE922">
        <v>0</v>
      </c>
      <c r="CF922">
        <v>0</v>
      </c>
      <c r="CG922">
        <v>0</v>
      </c>
      <c r="CH922">
        <v>0</v>
      </c>
      <c r="CI922">
        <v>0</v>
      </c>
      <c r="CJ922">
        <v>0</v>
      </c>
      <c r="CK922">
        <v>0</v>
      </c>
      <c r="CL922">
        <v>0</v>
      </c>
      <c r="CM922">
        <v>0</v>
      </c>
      <c r="CN922">
        <v>0</v>
      </c>
      <c r="CO922">
        <v>0</v>
      </c>
      <c r="CP922">
        <v>0</v>
      </c>
      <c r="CQ922">
        <v>0</v>
      </c>
      <c r="CR922">
        <v>0</v>
      </c>
      <c r="CS922">
        <v>0</v>
      </c>
      <c r="CT922">
        <v>0</v>
      </c>
      <c r="CU922">
        <v>0</v>
      </c>
      <c r="CV922">
        <v>0</v>
      </c>
      <c r="CW922">
        <v>0</v>
      </c>
      <c r="CX922">
        <v>0</v>
      </c>
      <c r="CY922">
        <v>0</v>
      </c>
      <c r="CZ922">
        <v>0</v>
      </c>
      <c r="DA922">
        <v>0</v>
      </c>
      <c r="DB922">
        <v>0</v>
      </c>
      <c r="DC922">
        <v>0</v>
      </c>
      <c r="DD922">
        <v>0</v>
      </c>
      <c r="DE922">
        <v>0</v>
      </c>
      <c r="DF922">
        <v>0</v>
      </c>
      <c r="DG922" s="16">
        <f t="shared" si="77"/>
        <v>0</v>
      </c>
      <c r="DH922" s="16">
        <f t="shared" si="78"/>
        <v>0</v>
      </c>
      <c r="DI922" s="17" t="str">
        <f t="shared" si="79"/>
        <v/>
      </c>
      <c r="DJ922" s="119" t="s">
        <v>1</v>
      </c>
      <c r="DK922" s="44" t="s">
        <v>1</v>
      </c>
      <c r="DL922" s="44" t="s">
        <v>1329</v>
      </c>
      <c r="DM922" s="44"/>
    </row>
    <row r="923" spans="1:117" ht="15" customHeight="1">
      <c r="A923" s="32" t="str">
        <f t="shared" si="80"/>
        <v>SA Power--˃ 11 kV &amp; &lt; = 22 kV; CONCRETE</v>
      </c>
      <c r="B923" s="32" t="str">
        <f t="shared" si="81"/>
        <v>SA Power</v>
      </c>
      <c r="C923" s="385"/>
      <c r="E923" t="s">
        <v>153</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c r="AP923">
        <v>0</v>
      </c>
      <c r="AQ923">
        <v>0</v>
      </c>
      <c r="AR923">
        <v>0</v>
      </c>
      <c r="AS923">
        <v>0</v>
      </c>
      <c r="AT923">
        <v>0</v>
      </c>
      <c r="AU923">
        <v>0</v>
      </c>
      <c r="AV923">
        <v>0</v>
      </c>
      <c r="AW923">
        <v>0</v>
      </c>
      <c r="AX923">
        <v>0</v>
      </c>
      <c r="AY923">
        <v>0</v>
      </c>
      <c r="AZ923">
        <v>0</v>
      </c>
      <c r="BA923">
        <v>0</v>
      </c>
      <c r="BB923">
        <v>0</v>
      </c>
      <c r="BC923">
        <v>0</v>
      </c>
      <c r="BD923">
        <v>0</v>
      </c>
      <c r="BE923">
        <v>0</v>
      </c>
      <c r="BF923">
        <v>0</v>
      </c>
      <c r="BG923">
        <v>0</v>
      </c>
      <c r="BH923">
        <v>0</v>
      </c>
      <c r="BI923">
        <v>0</v>
      </c>
      <c r="BJ923">
        <v>0</v>
      </c>
      <c r="BK923">
        <v>0</v>
      </c>
      <c r="BL923">
        <v>0</v>
      </c>
      <c r="BM923">
        <v>0</v>
      </c>
      <c r="BN923">
        <v>0</v>
      </c>
      <c r="BO923">
        <v>0</v>
      </c>
      <c r="BP923">
        <v>0</v>
      </c>
      <c r="BQ923">
        <v>0</v>
      </c>
      <c r="BR923">
        <v>0</v>
      </c>
      <c r="BS923">
        <v>0</v>
      </c>
      <c r="BT923">
        <v>0</v>
      </c>
      <c r="BU923">
        <v>0</v>
      </c>
      <c r="BV923">
        <v>0</v>
      </c>
      <c r="BW923">
        <v>0</v>
      </c>
      <c r="BX923">
        <v>0</v>
      </c>
      <c r="BY923">
        <v>0</v>
      </c>
      <c r="BZ923">
        <v>0</v>
      </c>
      <c r="CA923">
        <v>0</v>
      </c>
      <c r="CB923">
        <v>0</v>
      </c>
      <c r="CC923">
        <v>0</v>
      </c>
      <c r="CD923">
        <v>0</v>
      </c>
      <c r="CE923">
        <v>0</v>
      </c>
      <c r="CF923">
        <v>0</v>
      </c>
      <c r="CG923">
        <v>0</v>
      </c>
      <c r="CH923">
        <v>0</v>
      </c>
      <c r="CI923">
        <v>0</v>
      </c>
      <c r="CJ923">
        <v>0</v>
      </c>
      <c r="CK923">
        <v>0</v>
      </c>
      <c r="CL923">
        <v>0</v>
      </c>
      <c r="CM923">
        <v>0</v>
      </c>
      <c r="CN923">
        <v>0</v>
      </c>
      <c r="CO923">
        <v>0</v>
      </c>
      <c r="CP923">
        <v>0</v>
      </c>
      <c r="CQ923">
        <v>0</v>
      </c>
      <c r="CR923">
        <v>0</v>
      </c>
      <c r="CS923">
        <v>0</v>
      </c>
      <c r="CT923">
        <v>0</v>
      </c>
      <c r="CU923">
        <v>0</v>
      </c>
      <c r="CV923">
        <v>0</v>
      </c>
      <c r="CW923">
        <v>0</v>
      </c>
      <c r="CX923">
        <v>0</v>
      </c>
      <c r="CY923">
        <v>0</v>
      </c>
      <c r="CZ923">
        <v>0</v>
      </c>
      <c r="DA923">
        <v>0</v>
      </c>
      <c r="DB923">
        <v>0</v>
      </c>
      <c r="DC923">
        <v>0</v>
      </c>
      <c r="DD923">
        <v>0</v>
      </c>
      <c r="DE923">
        <v>0</v>
      </c>
      <c r="DF923">
        <v>0</v>
      </c>
      <c r="DG923" s="16">
        <f t="shared" si="77"/>
        <v>0</v>
      </c>
      <c r="DH923" s="16">
        <f t="shared" si="78"/>
        <v>0</v>
      </c>
      <c r="DI923" s="17" t="str">
        <f t="shared" si="79"/>
        <v/>
      </c>
      <c r="DJ923" s="119" t="s">
        <v>1</v>
      </c>
      <c r="DK923" s="44" t="s">
        <v>1</v>
      </c>
      <c r="DL923" s="44" t="s">
        <v>1329</v>
      </c>
      <c r="DM923" s="44"/>
    </row>
    <row r="924" spans="1:117" ht="15" customHeight="1">
      <c r="A924" s="32" t="str">
        <f t="shared" si="80"/>
        <v>SA Power--&gt; 22 kV &amp; &lt; = 66 kV; CONCRETE</v>
      </c>
      <c r="B924" s="32" t="str">
        <f t="shared" si="81"/>
        <v>SA Power</v>
      </c>
      <c r="C924" s="385"/>
      <c r="E924" t="s">
        <v>155</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v>0</v>
      </c>
      <c r="BK924">
        <v>0</v>
      </c>
      <c r="BL924">
        <v>0</v>
      </c>
      <c r="BM924">
        <v>0</v>
      </c>
      <c r="BN924">
        <v>0</v>
      </c>
      <c r="BO924">
        <v>0</v>
      </c>
      <c r="BP924">
        <v>0</v>
      </c>
      <c r="BQ924">
        <v>0</v>
      </c>
      <c r="BR924">
        <v>0</v>
      </c>
      <c r="BS924">
        <v>0</v>
      </c>
      <c r="BT924">
        <v>0</v>
      </c>
      <c r="BU924">
        <v>0</v>
      </c>
      <c r="BV924">
        <v>0</v>
      </c>
      <c r="BW924">
        <v>0</v>
      </c>
      <c r="BX924">
        <v>0</v>
      </c>
      <c r="BY924">
        <v>0</v>
      </c>
      <c r="BZ924">
        <v>0</v>
      </c>
      <c r="CA924">
        <v>0</v>
      </c>
      <c r="CB924">
        <v>0</v>
      </c>
      <c r="CC924">
        <v>0</v>
      </c>
      <c r="CD924">
        <v>0</v>
      </c>
      <c r="CE924">
        <v>0</v>
      </c>
      <c r="CF924">
        <v>0</v>
      </c>
      <c r="CG924">
        <v>0</v>
      </c>
      <c r="CH924">
        <v>0</v>
      </c>
      <c r="CI924">
        <v>0</v>
      </c>
      <c r="CJ924">
        <v>0</v>
      </c>
      <c r="CK924">
        <v>0</v>
      </c>
      <c r="CL924">
        <v>0</v>
      </c>
      <c r="CM924">
        <v>0</v>
      </c>
      <c r="CN924">
        <v>0</v>
      </c>
      <c r="CO924">
        <v>0</v>
      </c>
      <c r="CP924">
        <v>0</v>
      </c>
      <c r="CQ924">
        <v>0</v>
      </c>
      <c r="CR924">
        <v>0</v>
      </c>
      <c r="CS924">
        <v>0</v>
      </c>
      <c r="CT924">
        <v>0</v>
      </c>
      <c r="CU924">
        <v>0</v>
      </c>
      <c r="CV924">
        <v>0</v>
      </c>
      <c r="CW924">
        <v>0</v>
      </c>
      <c r="CX924">
        <v>0</v>
      </c>
      <c r="CY924">
        <v>0</v>
      </c>
      <c r="CZ924">
        <v>0</v>
      </c>
      <c r="DA924">
        <v>0</v>
      </c>
      <c r="DB924">
        <v>0</v>
      </c>
      <c r="DC924">
        <v>0</v>
      </c>
      <c r="DD924">
        <v>0</v>
      </c>
      <c r="DE924">
        <v>0</v>
      </c>
      <c r="DF924">
        <v>0</v>
      </c>
      <c r="DG924" s="16">
        <f t="shared" si="77"/>
        <v>0</v>
      </c>
      <c r="DH924" s="16">
        <f t="shared" si="78"/>
        <v>0</v>
      </c>
      <c r="DI924" s="17" t="str">
        <f t="shared" si="79"/>
        <v/>
      </c>
      <c r="DJ924" s="119" t="s">
        <v>1</v>
      </c>
      <c r="DK924" s="44" t="s">
        <v>1</v>
      </c>
      <c r="DL924" s="44" t="s">
        <v>1329</v>
      </c>
      <c r="DM924" s="44"/>
    </row>
    <row r="925" spans="1:117" ht="15" customHeight="1">
      <c r="A925" s="32" t="str">
        <f t="shared" si="80"/>
        <v>SA Power--&gt; 66 kV &amp; &lt; = 132 kV; CONCRETE</v>
      </c>
      <c r="B925" s="32" t="str">
        <f t="shared" si="81"/>
        <v>SA Power</v>
      </c>
      <c r="C925" s="385"/>
      <c r="E925" t="s">
        <v>157</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0</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v>0</v>
      </c>
      <c r="BK925">
        <v>0</v>
      </c>
      <c r="BL925">
        <v>0</v>
      </c>
      <c r="BM925">
        <v>0</v>
      </c>
      <c r="BN925">
        <v>0</v>
      </c>
      <c r="BO925">
        <v>0</v>
      </c>
      <c r="BP925">
        <v>0</v>
      </c>
      <c r="BQ925">
        <v>0</v>
      </c>
      <c r="BR925">
        <v>0</v>
      </c>
      <c r="BS925">
        <v>0</v>
      </c>
      <c r="BT925">
        <v>0</v>
      </c>
      <c r="BU925">
        <v>0</v>
      </c>
      <c r="BV925">
        <v>0</v>
      </c>
      <c r="BW925">
        <v>0</v>
      </c>
      <c r="BX925">
        <v>0</v>
      </c>
      <c r="BY925">
        <v>0</v>
      </c>
      <c r="BZ925">
        <v>0</v>
      </c>
      <c r="CA925">
        <v>0</v>
      </c>
      <c r="CB925">
        <v>0</v>
      </c>
      <c r="CC925">
        <v>0</v>
      </c>
      <c r="CD925">
        <v>0</v>
      </c>
      <c r="CE925">
        <v>0</v>
      </c>
      <c r="CF925">
        <v>0</v>
      </c>
      <c r="CG925">
        <v>0</v>
      </c>
      <c r="CH925">
        <v>0</v>
      </c>
      <c r="CI925">
        <v>0</v>
      </c>
      <c r="CJ925">
        <v>0</v>
      </c>
      <c r="CK925">
        <v>0</v>
      </c>
      <c r="CL925">
        <v>0</v>
      </c>
      <c r="CM925">
        <v>0</v>
      </c>
      <c r="CN925">
        <v>0</v>
      </c>
      <c r="CO925">
        <v>0</v>
      </c>
      <c r="CP925">
        <v>0</v>
      </c>
      <c r="CQ925">
        <v>0</v>
      </c>
      <c r="CR925">
        <v>0</v>
      </c>
      <c r="CS925">
        <v>0</v>
      </c>
      <c r="CT925">
        <v>0</v>
      </c>
      <c r="CU925">
        <v>0</v>
      </c>
      <c r="CV925">
        <v>0</v>
      </c>
      <c r="CW925">
        <v>0</v>
      </c>
      <c r="CX925">
        <v>0</v>
      </c>
      <c r="CY925">
        <v>0</v>
      </c>
      <c r="CZ925">
        <v>0</v>
      </c>
      <c r="DA925">
        <v>0</v>
      </c>
      <c r="DB925">
        <v>0</v>
      </c>
      <c r="DC925">
        <v>0</v>
      </c>
      <c r="DD925">
        <v>0</v>
      </c>
      <c r="DE925">
        <v>0</v>
      </c>
      <c r="DF925">
        <v>0</v>
      </c>
      <c r="DG925" s="16">
        <f t="shared" si="77"/>
        <v>0</v>
      </c>
      <c r="DH925" s="16">
        <f t="shared" si="78"/>
        <v>0</v>
      </c>
      <c r="DI925" s="17" t="str">
        <f t="shared" si="79"/>
        <v/>
      </c>
      <c r="DJ925" s="119" t="s">
        <v>1</v>
      </c>
      <c r="DK925" s="44" t="s">
        <v>1</v>
      </c>
      <c r="DL925" s="44" t="s">
        <v>1329</v>
      </c>
      <c r="DM925" s="44"/>
    </row>
    <row r="926" spans="1:117" ht="15" customHeight="1">
      <c r="A926" s="32" t="str">
        <f t="shared" si="80"/>
        <v>SA Power--&gt; 132 kV; CONCRETE</v>
      </c>
      <c r="B926" s="32" t="str">
        <f t="shared" si="81"/>
        <v>SA Power</v>
      </c>
      <c r="C926" s="385"/>
      <c r="E926" t="s">
        <v>159</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0</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v>0</v>
      </c>
      <c r="BN926">
        <v>0</v>
      </c>
      <c r="BO926">
        <v>0</v>
      </c>
      <c r="BP926">
        <v>0</v>
      </c>
      <c r="BQ926">
        <v>0</v>
      </c>
      <c r="BR926">
        <v>0</v>
      </c>
      <c r="BS926">
        <v>0</v>
      </c>
      <c r="BT926">
        <v>0</v>
      </c>
      <c r="BU926">
        <v>0</v>
      </c>
      <c r="BV926">
        <v>0</v>
      </c>
      <c r="BW926">
        <v>0</v>
      </c>
      <c r="BX926">
        <v>0</v>
      </c>
      <c r="BY926">
        <v>0</v>
      </c>
      <c r="BZ926">
        <v>0</v>
      </c>
      <c r="CA926">
        <v>0</v>
      </c>
      <c r="CB926">
        <v>0</v>
      </c>
      <c r="CC926">
        <v>0</v>
      </c>
      <c r="CD926">
        <v>0</v>
      </c>
      <c r="CE926">
        <v>0</v>
      </c>
      <c r="CF926">
        <v>0</v>
      </c>
      <c r="CG926">
        <v>0</v>
      </c>
      <c r="CH926">
        <v>0</v>
      </c>
      <c r="CI926">
        <v>0</v>
      </c>
      <c r="CJ926">
        <v>0</v>
      </c>
      <c r="CK926">
        <v>0</v>
      </c>
      <c r="CL926">
        <v>0</v>
      </c>
      <c r="CM926">
        <v>0</v>
      </c>
      <c r="CN926">
        <v>0</v>
      </c>
      <c r="CO926">
        <v>0</v>
      </c>
      <c r="CP926">
        <v>0</v>
      </c>
      <c r="CQ926">
        <v>0</v>
      </c>
      <c r="CR926">
        <v>0</v>
      </c>
      <c r="CS926">
        <v>0</v>
      </c>
      <c r="CT926">
        <v>0</v>
      </c>
      <c r="CU926">
        <v>0</v>
      </c>
      <c r="CV926">
        <v>0</v>
      </c>
      <c r="CW926">
        <v>0</v>
      </c>
      <c r="CX926">
        <v>0</v>
      </c>
      <c r="CY926">
        <v>0</v>
      </c>
      <c r="CZ926">
        <v>0</v>
      </c>
      <c r="DA926">
        <v>0</v>
      </c>
      <c r="DB926">
        <v>0</v>
      </c>
      <c r="DC926">
        <v>0</v>
      </c>
      <c r="DD926">
        <v>0</v>
      </c>
      <c r="DE926">
        <v>0</v>
      </c>
      <c r="DF926">
        <v>0</v>
      </c>
      <c r="DG926" s="16">
        <f t="shared" si="77"/>
        <v>0</v>
      </c>
      <c r="DH926" s="16">
        <f t="shared" si="78"/>
        <v>0</v>
      </c>
      <c r="DI926" s="17" t="str">
        <f t="shared" si="79"/>
        <v/>
      </c>
      <c r="DJ926" s="119" t="s">
        <v>1</v>
      </c>
      <c r="DK926" s="44" t="s">
        <v>1</v>
      </c>
      <c r="DL926" s="44" t="s">
        <v>1329</v>
      </c>
      <c r="DM926" s="44"/>
    </row>
    <row r="927" spans="1:117" ht="15" customHeight="1">
      <c r="A927" s="32" t="str">
        <f t="shared" si="80"/>
        <v>SA Power--˂ = 1 kV; STEEL</v>
      </c>
      <c r="B927" s="32" t="str">
        <f t="shared" si="81"/>
        <v>SA Power</v>
      </c>
      <c r="C927" s="385"/>
      <c r="E927" t="s">
        <v>161</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c r="BJ927">
        <v>0</v>
      </c>
      <c r="BK927">
        <v>0</v>
      </c>
      <c r="BL927">
        <v>0</v>
      </c>
      <c r="BM927">
        <v>0</v>
      </c>
      <c r="BN927">
        <v>0</v>
      </c>
      <c r="BO927">
        <v>0</v>
      </c>
      <c r="BP927">
        <v>0</v>
      </c>
      <c r="BQ927">
        <v>0</v>
      </c>
      <c r="BR927">
        <v>0</v>
      </c>
      <c r="BS927">
        <v>0</v>
      </c>
      <c r="BT927">
        <v>0</v>
      </c>
      <c r="BU927">
        <v>0</v>
      </c>
      <c r="BV927">
        <v>0</v>
      </c>
      <c r="BW927">
        <v>0</v>
      </c>
      <c r="BX927">
        <v>0</v>
      </c>
      <c r="BY927">
        <v>0</v>
      </c>
      <c r="BZ927">
        <v>0</v>
      </c>
      <c r="CA927">
        <v>0</v>
      </c>
      <c r="CB927">
        <v>0</v>
      </c>
      <c r="CC927">
        <v>0</v>
      </c>
      <c r="CD927">
        <v>0</v>
      </c>
      <c r="CE927">
        <v>0</v>
      </c>
      <c r="CF927">
        <v>0</v>
      </c>
      <c r="CG927">
        <v>0</v>
      </c>
      <c r="CH927">
        <v>0</v>
      </c>
      <c r="CI927">
        <v>0</v>
      </c>
      <c r="CJ927">
        <v>0</v>
      </c>
      <c r="CK927">
        <v>0</v>
      </c>
      <c r="CL927">
        <v>0</v>
      </c>
      <c r="CM927">
        <v>0</v>
      </c>
      <c r="CN927">
        <v>0</v>
      </c>
      <c r="CO927">
        <v>0</v>
      </c>
      <c r="CP927">
        <v>0</v>
      </c>
      <c r="CQ927">
        <v>0</v>
      </c>
      <c r="CR927">
        <v>0</v>
      </c>
      <c r="CS927">
        <v>0</v>
      </c>
      <c r="CT927">
        <v>0</v>
      </c>
      <c r="CU927">
        <v>0</v>
      </c>
      <c r="CV927">
        <v>0</v>
      </c>
      <c r="CW927">
        <v>0</v>
      </c>
      <c r="CX927">
        <v>0</v>
      </c>
      <c r="CY927">
        <v>0</v>
      </c>
      <c r="CZ927">
        <v>0</v>
      </c>
      <c r="DA927">
        <v>0</v>
      </c>
      <c r="DB927">
        <v>0</v>
      </c>
      <c r="DC927">
        <v>0</v>
      </c>
      <c r="DD927">
        <v>0</v>
      </c>
      <c r="DE927">
        <v>0</v>
      </c>
      <c r="DF927">
        <v>0</v>
      </c>
      <c r="DG927" s="16">
        <f t="shared" si="77"/>
        <v>0</v>
      </c>
      <c r="DH927" s="16">
        <f t="shared" si="78"/>
        <v>0</v>
      </c>
      <c r="DI927" s="17" t="str">
        <f t="shared" si="79"/>
        <v/>
      </c>
      <c r="DJ927" s="119" t="s">
        <v>1</v>
      </c>
      <c r="DK927" s="44" t="s">
        <v>1</v>
      </c>
      <c r="DL927" s="44" t="s">
        <v>1330</v>
      </c>
      <c r="DM927" s="44"/>
    </row>
    <row r="928" spans="1:117" ht="15" customHeight="1">
      <c r="A928" s="32" t="str">
        <f t="shared" si="80"/>
        <v>SA Power--&gt; 1 kV &amp; &lt; = 11 kV; STEEL</v>
      </c>
      <c r="B928" s="32" t="str">
        <f t="shared" si="81"/>
        <v>SA Power</v>
      </c>
      <c r="C928" s="385"/>
      <c r="E928" t="s">
        <v>163</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0</v>
      </c>
      <c r="BJ928">
        <v>0</v>
      </c>
      <c r="BK928">
        <v>0</v>
      </c>
      <c r="BL928">
        <v>0</v>
      </c>
      <c r="BM928">
        <v>0</v>
      </c>
      <c r="BN928">
        <v>0</v>
      </c>
      <c r="BO928">
        <v>0</v>
      </c>
      <c r="BP928">
        <v>0</v>
      </c>
      <c r="BQ928">
        <v>0</v>
      </c>
      <c r="BR928">
        <v>0</v>
      </c>
      <c r="BS928">
        <v>0</v>
      </c>
      <c r="BT928">
        <v>0</v>
      </c>
      <c r="BU928">
        <v>0</v>
      </c>
      <c r="BV928">
        <v>0</v>
      </c>
      <c r="BW928">
        <v>0</v>
      </c>
      <c r="BX928">
        <v>0</v>
      </c>
      <c r="BY928">
        <v>0</v>
      </c>
      <c r="BZ928">
        <v>0</v>
      </c>
      <c r="CA928">
        <v>0</v>
      </c>
      <c r="CB928">
        <v>0</v>
      </c>
      <c r="CC928">
        <v>0</v>
      </c>
      <c r="CD928">
        <v>0</v>
      </c>
      <c r="CE928">
        <v>0</v>
      </c>
      <c r="CF928">
        <v>0</v>
      </c>
      <c r="CG928">
        <v>0</v>
      </c>
      <c r="CH928">
        <v>0</v>
      </c>
      <c r="CI928">
        <v>0</v>
      </c>
      <c r="CJ928">
        <v>0</v>
      </c>
      <c r="CK928">
        <v>0</v>
      </c>
      <c r="CL928">
        <v>0</v>
      </c>
      <c r="CM928">
        <v>0</v>
      </c>
      <c r="CN928">
        <v>0</v>
      </c>
      <c r="CO928">
        <v>0</v>
      </c>
      <c r="CP928">
        <v>0</v>
      </c>
      <c r="CQ928">
        <v>0</v>
      </c>
      <c r="CR928">
        <v>0</v>
      </c>
      <c r="CS928">
        <v>0</v>
      </c>
      <c r="CT928">
        <v>0</v>
      </c>
      <c r="CU928">
        <v>0</v>
      </c>
      <c r="CV928">
        <v>0</v>
      </c>
      <c r="CW928">
        <v>0</v>
      </c>
      <c r="CX928">
        <v>0</v>
      </c>
      <c r="CY928">
        <v>0</v>
      </c>
      <c r="CZ928">
        <v>0</v>
      </c>
      <c r="DA928">
        <v>0</v>
      </c>
      <c r="DB928">
        <v>0</v>
      </c>
      <c r="DC928">
        <v>0</v>
      </c>
      <c r="DD928">
        <v>0</v>
      </c>
      <c r="DE928">
        <v>0</v>
      </c>
      <c r="DF928">
        <v>0</v>
      </c>
      <c r="DG928" s="16">
        <f t="shared" si="77"/>
        <v>0</v>
      </c>
      <c r="DH928" s="16">
        <f t="shared" si="78"/>
        <v>0</v>
      </c>
      <c r="DI928" s="17" t="str">
        <f t="shared" si="79"/>
        <v/>
      </c>
      <c r="DJ928" s="119" t="s">
        <v>1</v>
      </c>
      <c r="DK928" s="44" t="s">
        <v>1</v>
      </c>
      <c r="DL928" s="44" t="s">
        <v>1330</v>
      </c>
      <c r="DM928" s="44"/>
    </row>
    <row r="929" spans="1:117" ht="15" customHeight="1">
      <c r="A929" s="32" t="str">
        <f t="shared" si="80"/>
        <v>SA Power--˃ 11 kV &amp; &lt; = 22 kV; STEEL</v>
      </c>
      <c r="B929" s="32" t="str">
        <f t="shared" si="81"/>
        <v>SA Power</v>
      </c>
      <c r="C929" s="385"/>
      <c r="E929" t="s">
        <v>165</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v>0</v>
      </c>
      <c r="BN929">
        <v>0</v>
      </c>
      <c r="BO929">
        <v>0</v>
      </c>
      <c r="BP929">
        <v>0</v>
      </c>
      <c r="BQ929">
        <v>0</v>
      </c>
      <c r="BR929">
        <v>0</v>
      </c>
      <c r="BS929">
        <v>0</v>
      </c>
      <c r="BT929">
        <v>0</v>
      </c>
      <c r="BU929">
        <v>0</v>
      </c>
      <c r="BV929">
        <v>0</v>
      </c>
      <c r="BW929">
        <v>0</v>
      </c>
      <c r="BX929">
        <v>0</v>
      </c>
      <c r="BY929">
        <v>0</v>
      </c>
      <c r="BZ929">
        <v>0</v>
      </c>
      <c r="CA929">
        <v>0</v>
      </c>
      <c r="CB929">
        <v>0</v>
      </c>
      <c r="CC929">
        <v>0</v>
      </c>
      <c r="CD929">
        <v>0</v>
      </c>
      <c r="CE929">
        <v>0</v>
      </c>
      <c r="CF929">
        <v>0</v>
      </c>
      <c r="CG929">
        <v>0</v>
      </c>
      <c r="CH929">
        <v>0</v>
      </c>
      <c r="CI929">
        <v>0</v>
      </c>
      <c r="CJ929">
        <v>0</v>
      </c>
      <c r="CK929">
        <v>0</v>
      </c>
      <c r="CL929">
        <v>0</v>
      </c>
      <c r="CM929">
        <v>0</v>
      </c>
      <c r="CN929">
        <v>0</v>
      </c>
      <c r="CO929">
        <v>0</v>
      </c>
      <c r="CP929">
        <v>0</v>
      </c>
      <c r="CQ929">
        <v>0</v>
      </c>
      <c r="CR929">
        <v>0</v>
      </c>
      <c r="CS929">
        <v>0</v>
      </c>
      <c r="CT929">
        <v>0</v>
      </c>
      <c r="CU929">
        <v>0</v>
      </c>
      <c r="CV929">
        <v>0</v>
      </c>
      <c r="CW929">
        <v>0</v>
      </c>
      <c r="CX929">
        <v>0</v>
      </c>
      <c r="CY929">
        <v>0</v>
      </c>
      <c r="CZ929">
        <v>0</v>
      </c>
      <c r="DA929">
        <v>0</v>
      </c>
      <c r="DB929">
        <v>0</v>
      </c>
      <c r="DC929">
        <v>0</v>
      </c>
      <c r="DD929">
        <v>0</v>
      </c>
      <c r="DE929">
        <v>0</v>
      </c>
      <c r="DF929">
        <v>0</v>
      </c>
      <c r="DG929" s="16">
        <f t="shared" si="77"/>
        <v>0</v>
      </c>
      <c r="DH929" s="16">
        <f t="shared" si="78"/>
        <v>0</v>
      </c>
      <c r="DI929" s="17" t="str">
        <f t="shared" si="79"/>
        <v/>
      </c>
      <c r="DJ929" s="119" t="s">
        <v>1</v>
      </c>
      <c r="DK929" s="44" t="s">
        <v>1</v>
      </c>
      <c r="DL929" s="44" t="s">
        <v>1330</v>
      </c>
      <c r="DM929" s="44"/>
    </row>
    <row r="930" spans="1:117" ht="15" customHeight="1">
      <c r="A930" s="32" t="str">
        <f t="shared" si="80"/>
        <v>SA Power--&gt; 22 kV &amp; &lt; = 66 kV; STEEL</v>
      </c>
      <c r="B930" s="32" t="str">
        <f t="shared" si="81"/>
        <v>SA Power</v>
      </c>
      <c r="C930" s="385"/>
      <c r="E930" t="s">
        <v>166</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0</v>
      </c>
      <c r="BJ930">
        <v>0</v>
      </c>
      <c r="BK930">
        <v>0</v>
      </c>
      <c r="BL930">
        <v>0</v>
      </c>
      <c r="BM930">
        <v>0</v>
      </c>
      <c r="BN930">
        <v>0</v>
      </c>
      <c r="BO930">
        <v>0</v>
      </c>
      <c r="BP930">
        <v>0</v>
      </c>
      <c r="BQ930">
        <v>0</v>
      </c>
      <c r="BR930">
        <v>0</v>
      </c>
      <c r="BS930">
        <v>0</v>
      </c>
      <c r="BT930">
        <v>0</v>
      </c>
      <c r="BU930">
        <v>0</v>
      </c>
      <c r="BV930">
        <v>0</v>
      </c>
      <c r="BW930">
        <v>0</v>
      </c>
      <c r="BX930">
        <v>0</v>
      </c>
      <c r="BY930">
        <v>0</v>
      </c>
      <c r="BZ930">
        <v>0</v>
      </c>
      <c r="CA930">
        <v>0</v>
      </c>
      <c r="CB930">
        <v>0</v>
      </c>
      <c r="CC930">
        <v>0</v>
      </c>
      <c r="CD930">
        <v>0</v>
      </c>
      <c r="CE930">
        <v>0</v>
      </c>
      <c r="CF930">
        <v>0</v>
      </c>
      <c r="CG930">
        <v>0</v>
      </c>
      <c r="CH930">
        <v>0</v>
      </c>
      <c r="CI930">
        <v>0</v>
      </c>
      <c r="CJ930">
        <v>0</v>
      </c>
      <c r="CK930">
        <v>0</v>
      </c>
      <c r="CL930">
        <v>0</v>
      </c>
      <c r="CM930">
        <v>0</v>
      </c>
      <c r="CN930">
        <v>0</v>
      </c>
      <c r="CO930">
        <v>0</v>
      </c>
      <c r="CP930">
        <v>0</v>
      </c>
      <c r="CQ930">
        <v>0</v>
      </c>
      <c r="CR930">
        <v>0</v>
      </c>
      <c r="CS930">
        <v>0</v>
      </c>
      <c r="CT930">
        <v>0</v>
      </c>
      <c r="CU930">
        <v>0</v>
      </c>
      <c r="CV930">
        <v>0</v>
      </c>
      <c r="CW930">
        <v>0</v>
      </c>
      <c r="CX930">
        <v>0</v>
      </c>
      <c r="CY930">
        <v>0</v>
      </c>
      <c r="CZ930">
        <v>0</v>
      </c>
      <c r="DA930">
        <v>0</v>
      </c>
      <c r="DB930">
        <v>0</v>
      </c>
      <c r="DC930">
        <v>0</v>
      </c>
      <c r="DD930">
        <v>0</v>
      </c>
      <c r="DE930">
        <v>0</v>
      </c>
      <c r="DF930">
        <v>0</v>
      </c>
      <c r="DG930" s="16">
        <f t="shared" si="77"/>
        <v>0</v>
      </c>
      <c r="DH930" s="16">
        <f t="shared" si="78"/>
        <v>0</v>
      </c>
      <c r="DI930" s="17" t="str">
        <f t="shared" si="79"/>
        <v/>
      </c>
      <c r="DJ930" s="119" t="s">
        <v>1</v>
      </c>
      <c r="DK930" s="44" t="s">
        <v>1</v>
      </c>
      <c r="DL930" s="44" t="s">
        <v>1330</v>
      </c>
      <c r="DM930" s="44"/>
    </row>
    <row r="931" spans="1:117" ht="15" customHeight="1">
      <c r="A931" s="32" t="str">
        <f t="shared" si="80"/>
        <v>SA Power--&gt; 66 kV &amp; &lt; = 132 kV; STEEL</v>
      </c>
      <c r="B931" s="32" t="str">
        <f t="shared" si="81"/>
        <v>SA Power</v>
      </c>
      <c r="C931" s="385"/>
      <c r="E931" t="s">
        <v>167</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0</v>
      </c>
      <c r="AN931">
        <v>0</v>
      </c>
      <c r="AO931">
        <v>0</v>
      </c>
      <c r="AP931">
        <v>0</v>
      </c>
      <c r="AQ931">
        <v>0</v>
      </c>
      <c r="AR931">
        <v>0</v>
      </c>
      <c r="AS931">
        <v>0</v>
      </c>
      <c r="AT931">
        <v>0</v>
      </c>
      <c r="AU931">
        <v>0</v>
      </c>
      <c r="AV931">
        <v>0</v>
      </c>
      <c r="AW931">
        <v>0</v>
      </c>
      <c r="AX931">
        <v>0</v>
      </c>
      <c r="AY931">
        <v>0</v>
      </c>
      <c r="AZ931">
        <v>0</v>
      </c>
      <c r="BA931">
        <v>0</v>
      </c>
      <c r="BB931">
        <v>0</v>
      </c>
      <c r="BC931">
        <v>0</v>
      </c>
      <c r="BD931">
        <v>0</v>
      </c>
      <c r="BE931">
        <v>0</v>
      </c>
      <c r="BF931">
        <v>0</v>
      </c>
      <c r="BG931">
        <v>0</v>
      </c>
      <c r="BH931">
        <v>0</v>
      </c>
      <c r="BI931">
        <v>0</v>
      </c>
      <c r="BJ931">
        <v>0</v>
      </c>
      <c r="BK931">
        <v>0</v>
      </c>
      <c r="BL931">
        <v>0</v>
      </c>
      <c r="BM931">
        <v>0</v>
      </c>
      <c r="BN931">
        <v>0</v>
      </c>
      <c r="BO931">
        <v>0</v>
      </c>
      <c r="BP931">
        <v>0</v>
      </c>
      <c r="BQ931">
        <v>0</v>
      </c>
      <c r="BR931">
        <v>0</v>
      </c>
      <c r="BS931">
        <v>0</v>
      </c>
      <c r="BT931">
        <v>0</v>
      </c>
      <c r="BU931">
        <v>0</v>
      </c>
      <c r="BV931">
        <v>0</v>
      </c>
      <c r="BW931">
        <v>0</v>
      </c>
      <c r="BX931">
        <v>0</v>
      </c>
      <c r="BY931">
        <v>0</v>
      </c>
      <c r="BZ931">
        <v>0</v>
      </c>
      <c r="CA931">
        <v>0</v>
      </c>
      <c r="CB931">
        <v>0</v>
      </c>
      <c r="CC931">
        <v>0</v>
      </c>
      <c r="CD931">
        <v>0</v>
      </c>
      <c r="CE931">
        <v>0</v>
      </c>
      <c r="CF931">
        <v>0</v>
      </c>
      <c r="CG931">
        <v>0</v>
      </c>
      <c r="CH931">
        <v>0</v>
      </c>
      <c r="CI931">
        <v>0</v>
      </c>
      <c r="CJ931">
        <v>0</v>
      </c>
      <c r="CK931">
        <v>0</v>
      </c>
      <c r="CL931">
        <v>0</v>
      </c>
      <c r="CM931">
        <v>0</v>
      </c>
      <c r="CN931">
        <v>0</v>
      </c>
      <c r="CO931">
        <v>0</v>
      </c>
      <c r="CP931">
        <v>0</v>
      </c>
      <c r="CQ931">
        <v>0</v>
      </c>
      <c r="CR931">
        <v>0</v>
      </c>
      <c r="CS931">
        <v>0</v>
      </c>
      <c r="CT931">
        <v>0</v>
      </c>
      <c r="CU931">
        <v>0</v>
      </c>
      <c r="CV931">
        <v>0</v>
      </c>
      <c r="CW931">
        <v>0</v>
      </c>
      <c r="CX931">
        <v>0</v>
      </c>
      <c r="CY931">
        <v>0</v>
      </c>
      <c r="CZ931">
        <v>0</v>
      </c>
      <c r="DA931">
        <v>0</v>
      </c>
      <c r="DB931">
        <v>0</v>
      </c>
      <c r="DC931">
        <v>0</v>
      </c>
      <c r="DD931">
        <v>0</v>
      </c>
      <c r="DE931">
        <v>0</v>
      </c>
      <c r="DF931">
        <v>0</v>
      </c>
      <c r="DG931" s="16">
        <f t="shared" si="77"/>
        <v>0</v>
      </c>
      <c r="DH931" s="16">
        <f t="shared" si="78"/>
        <v>0</v>
      </c>
      <c r="DI931" s="17" t="str">
        <f t="shared" si="79"/>
        <v/>
      </c>
      <c r="DJ931" s="119" t="s">
        <v>1</v>
      </c>
      <c r="DK931" s="44" t="s">
        <v>1</v>
      </c>
      <c r="DL931" s="44" t="s">
        <v>1330</v>
      </c>
      <c r="DM931" s="44"/>
    </row>
    <row r="932" spans="1:117" ht="15" customHeight="1">
      <c r="A932" s="32" t="str">
        <f t="shared" si="80"/>
        <v>SA Power--&gt; 132 kV; STEEL</v>
      </c>
      <c r="B932" s="32" t="str">
        <f t="shared" si="81"/>
        <v>SA Power</v>
      </c>
      <c r="C932" s="385"/>
      <c r="E932" t="s">
        <v>168</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0</v>
      </c>
      <c r="AL932">
        <v>0</v>
      </c>
      <c r="AM932">
        <v>0</v>
      </c>
      <c r="AN932">
        <v>0</v>
      </c>
      <c r="AO932">
        <v>0</v>
      </c>
      <c r="AP932">
        <v>0</v>
      </c>
      <c r="AQ932">
        <v>0</v>
      </c>
      <c r="AR932">
        <v>0</v>
      </c>
      <c r="AS932">
        <v>0</v>
      </c>
      <c r="AT932">
        <v>0</v>
      </c>
      <c r="AU932">
        <v>0</v>
      </c>
      <c r="AV932">
        <v>0</v>
      </c>
      <c r="AW932">
        <v>0</v>
      </c>
      <c r="AX932">
        <v>0</v>
      </c>
      <c r="AY932">
        <v>0</v>
      </c>
      <c r="AZ932">
        <v>0</v>
      </c>
      <c r="BA932">
        <v>0</v>
      </c>
      <c r="BB932">
        <v>0</v>
      </c>
      <c r="BC932">
        <v>0</v>
      </c>
      <c r="BD932">
        <v>0</v>
      </c>
      <c r="BE932">
        <v>0</v>
      </c>
      <c r="BF932">
        <v>0</v>
      </c>
      <c r="BG932">
        <v>0</v>
      </c>
      <c r="BH932">
        <v>0</v>
      </c>
      <c r="BI932">
        <v>0</v>
      </c>
      <c r="BJ932">
        <v>0</v>
      </c>
      <c r="BK932">
        <v>0</v>
      </c>
      <c r="BL932">
        <v>0</v>
      </c>
      <c r="BM932">
        <v>0</v>
      </c>
      <c r="BN932">
        <v>0</v>
      </c>
      <c r="BO932">
        <v>0</v>
      </c>
      <c r="BP932">
        <v>0</v>
      </c>
      <c r="BQ932">
        <v>0</v>
      </c>
      <c r="BR932">
        <v>0</v>
      </c>
      <c r="BS932">
        <v>0</v>
      </c>
      <c r="BT932">
        <v>0</v>
      </c>
      <c r="BU932">
        <v>0</v>
      </c>
      <c r="BV932">
        <v>0</v>
      </c>
      <c r="BW932">
        <v>0</v>
      </c>
      <c r="BX932">
        <v>0</v>
      </c>
      <c r="BY932">
        <v>0</v>
      </c>
      <c r="BZ932">
        <v>0</v>
      </c>
      <c r="CA932">
        <v>0</v>
      </c>
      <c r="CB932">
        <v>0</v>
      </c>
      <c r="CC932">
        <v>0</v>
      </c>
      <c r="CD932">
        <v>0</v>
      </c>
      <c r="CE932">
        <v>0</v>
      </c>
      <c r="CF932">
        <v>0</v>
      </c>
      <c r="CG932">
        <v>0</v>
      </c>
      <c r="CH932">
        <v>0</v>
      </c>
      <c r="CI932">
        <v>0</v>
      </c>
      <c r="CJ932">
        <v>0</v>
      </c>
      <c r="CK932">
        <v>0</v>
      </c>
      <c r="CL932">
        <v>0</v>
      </c>
      <c r="CM932">
        <v>0</v>
      </c>
      <c r="CN932">
        <v>0</v>
      </c>
      <c r="CO932">
        <v>0</v>
      </c>
      <c r="CP932">
        <v>0</v>
      </c>
      <c r="CQ932">
        <v>0</v>
      </c>
      <c r="CR932">
        <v>0</v>
      </c>
      <c r="CS932">
        <v>0</v>
      </c>
      <c r="CT932">
        <v>0</v>
      </c>
      <c r="CU932">
        <v>0</v>
      </c>
      <c r="CV932">
        <v>0</v>
      </c>
      <c r="CW932">
        <v>0</v>
      </c>
      <c r="CX932">
        <v>0</v>
      </c>
      <c r="CY932">
        <v>0</v>
      </c>
      <c r="CZ932">
        <v>0</v>
      </c>
      <c r="DA932">
        <v>0</v>
      </c>
      <c r="DB932">
        <v>0</v>
      </c>
      <c r="DC932">
        <v>0</v>
      </c>
      <c r="DD932">
        <v>0</v>
      </c>
      <c r="DE932">
        <v>0</v>
      </c>
      <c r="DF932">
        <v>0</v>
      </c>
      <c r="DG932" s="16">
        <f t="shared" si="77"/>
        <v>0</v>
      </c>
      <c r="DH932" s="16">
        <f t="shared" si="78"/>
        <v>0</v>
      </c>
      <c r="DI932" s="17" t="str">
        <f t="shared" si="79"/>
        <v/>
      </c>
      <c r="DJ932" s="119" t="s">
        <v>1</v>
      </c>
      <c r="DK932" s="44" t="s">
        <v>1</v>
      </c>
      <c r="DL932" s="44" t="s">
        <v>1330</v>
      </c>
      <c r="DM932" s="44"/>
    </row>
    <row r="933" spans="1:117" ht="15" customHeight="1">
      <c r="A933" s="32" t="str">
        <f t="shared" si="80"/>
        <v>SA Power--˂ ≈ 11 kV ; STOBIE</v>
      </c>
      <c r="B933" s="32" t="str">
        <f t="shared" si="81"/>
        <v>SA Power</v>
      </c>
      <c r="C933" s="385"/>
      <c r="E933" t="s">
        <v>1219</v>
      </c>
      <c r="F933">
        <v>85</v>
      </c>
      <c r="G933">
        <v>9.2195444572928871</v>
      </c>
      <c r="H933">
        <v>3107</v>
      </c>
      <c r="I933">
        <v>1990</v>
      </c>
      <c r="J933">
        <v>1557</v>
      </c>
      <c r="K933">
        <v>1443</v>
      </c>
      <c r="L933">
        <v>1464</v>
      </c>
      <c r="M933">
        <v>1410</v>
      </c>
      <c r="N933">
        <v>1206</v>
      </c>
      <c r="O933">
        <v>1092</v>
      </c>
      <c r="P933">
        <v>1078</v>
      </c>
      <c r="Q933">
        <v>1172</v>
      </c>
      <c r="R933">
        <v>1070</v>
      </c>
      <c r="S933">
        <v>1285</v>
      </c>
      <c r="T933">
        <v>1553</v>
      </c>
      <c r="U933">
        <v>1688</v>
      </c>
      <c r="V933">
        <v>1134</v>
      </c>
      <c r="W933">
        <v>487</v>
      </c>
      <c r="X933">
        <v>1841</v>
      </c>
      <c r="Y933">
        <v>2408</v>
      </c>
      <c r="Z933">
        <v>2363</v>
      </c>
      <c r="AA933">
        <v>2506</v>
      </c>
      <c r="AB933">
        <v>3991</v>
      </c>
      <c r="AC933">
        <v>5180</v>
      </c>
      <c r="AD933">
        <v>5076</v>
      </c>
      <c r="AE933">
        <v>5637</v>
      </c>
      <c r="AF933">
        <v>6156</v>
      </c>
      <c r="AG933">
        <v>4883</v>
      </c>
      <c r="AH933">
        <v>5145</v>
      </c>
      <c r="AI933">
        <v>5922</v>
      </c>
      <c r="AJ933">
        <v>6580</v>
      </c>
      <c r="AK933">
        <v>7113</v>
      </c>
      <c r="AL933">
        <v>6324</v>
      </c>
      <c r="AM933">
        <v>6304</v>
      </c>
      <c r="AN933">
        <v>6998</v>
      </c>
      <c r="AO933">
        <v>7316</v>
      </c>
      <c r="AP933">
        <v>7978</v>
      </c>
      <c r="AQ933">
        <v>9468</v>
      </c>
      <c r="AR933">
        <v>9608</v>
      </c>
      <c r="AS933">
        <v>9118</v>
      </c>
      <c r="AT933">
        <v>9899</v>
      </c>
      <c r="AU933">
        <v>9399</v>
      </c>
      <c r="AV933">
        <v>9480</v>
      </c>
      <c r="AW933">
        <v>11932</v>
      </c>
      <c r="AX933">
        <v>13616</v>
      </c>
      <c r="AY933">
        <v>12979</v>
      </c>
      <c r="AZ933">
        <v>12968</v>
      </c>
      <c r="BA933">
        <v>12821</v>
      </c>
      <c r="BB933">
        <v>16192</v>
      </c>
      <c r="BC933">
        <v>18893</v>
      </c>
      <c r="BD933">
        <v>17983</v>
      </c>
      <c r="BE933">
        <v>19101</v>
      </c>
      <c r="BF933">
        <v>19738</v>
      </c>
      <c r="BG933">
        <v>19117</v>
      </c>
      <c r="BH933">
        <v>18605</v>
      </c>
      <c r="BI933">
        <v>16149</v>
      </c>
      <c r="BJ933">
        <v>15773</v>
      </c>
      <c r="BK933">
        <v>15096</v>
      </c>
      <c r="BL933">
        <v>15316</v>
      </c>
      <c r="BM933">
        <v>18066</v>
      </c>
      <c r="BN933">
        <v>14624</v>
      </c>
      <c r="BO933">
        <v>12262</v>
      </c>
      <c r="BP933">
        <v>12803</v>
      </c>
      <c r="BQ933">
        <v>8468</v>
      </c>
      <c r="BR933">
        <v>4618</v>
      </c>
      <c r="BS933">
        <v>3746</v>
      </c>
      <c r="BT933">
        <v>1601</v>
      </c>
      <c r="BU933">
        <v>1207</v>
      </c>
      <c r="BV933">
        <v>1169</v>
      </c>
      <c r="BW933">
        <v>1250</v>
      </c>
      <c r="BX933">
        <v>1238</v>
      </c>
      <c r="BY933">
        <v>864</v>
      </c>
      <c r="BZ933">
        <v>1088</v>
      </c>
      <c r="CA933">
        <v>1778</v>
      </c>
      <c r="CB933">
        <v>2661</v>
      </c>
      <c r="CC933">
        <v>3446</v>
      </c>
      <c r="CD933">
        <v>3152</v>
      </c>
      <c r="CE933">
        <v>2528</v>
      </c>
      <c r="CF933">
        <v>3498</v>
      </c>
      <c r="CG933">
        <v>3978</v>
      </c>
      <c r="CH933">
        <v>2635</v>
      </c>
      <c r="CI933">
        <v>1293</v>
      </c>
      <c r="CJ933">
        <v>482</v>
      </c>
      <c r="CK933">
        <v>52</v>
      </c>
      <c r="CL933">
        <v>0</v>
      </c>
      <c r="CM933">
        <v>0</v>
      </c>
      <c r="CN933">
        <v>0</v>
      </c>
      <c r="CO933">
        <v>0</v>
      </c>
      <c r="CP933">
        <v>0</v>
      </c>
      <c r="CQ933">
        <v>0</v>
      </c>
      <c r="CR933">
        <v>0</v>
      </c>
      <c r="CS933">
        <v>0</v>
      </c>
      <c r="CT933">
        <v>0</v>
      </c>
      <c r="CU933">
        <v>0</v>
      </c>
      <c r="CV933">
        <v>0</v>
      </c>
      <c r="CW933">
        <v>0</v>
      </c>
      <c r="CX933">
        <v>0</v>
      </c>
      <c r="CY933">
        <v>0</v>
      </c>
      <c r="CZ933">
        <v>0</v>
      </c>
      <c r="DA933">
        <v>0</v>
      </c>
      <c r="DB933">
        <v>0</v>
      </c>
      <c r="DC933">
        <v>0</v>
      </c>
      <c r="DD933">
        <v>0</v>
      </c>
      <c r="DE933">
        <v>0</v>
      </c>
      <c r="DF933">
        <v>0</v>
      </c>
      <c r="DG933" s="16">
        <f t="shared" si="77"/>
        <v>544215</v>
      </c>
      <c r="DH933" s="16">
        <f t="shared" si="78"/>
        <v>24900654</v>
      </c>
      <c r="DI933" s="17">
        <f t="shared" si="79"/>
        <v>45.755177641189604</v>
      </c>
      <c r="DJ933" s="119" t="s">
        <v>1</v>
      </c>
      <c r="DK933" s="44" t="s">
        <v>1</v>
      </c>
      <c r="DL933" s="44" t="s">
        <v>1331</v>
      </c>
      <c r="DM933" s="44"/>
    </row>
    <row r="934" spans="1:117" ht="15" customHeight="1">
      <c r="A934" s="32" t="str">
        <f t="shared" si="80"/>
        <v>SA Power--&gt; 11 kV &amp; &lt;≈ 33 kV ; STOBIE</v>
      </c>
      <c r="B934" s="32" t="str">
        <f t="shared" si="81"/>
        <v>SA Power</v>
      </c>
      <c r="C934" s="385"/>
      <c r="E934" t="s">
        <v>1220</v>
      </c>
      <c r="F934">
        <v>89</v>
      </c>
      <c r="G934">
        <v>9.4339811325660001</v>
      </c>
      <c r="H934">
        <v>250</v>
      </c>
      <c r="I934">
        <v>344</v>
      </c>
      <c r="J934">
        <v>267</v>
      </c>
      <c r="K934">
        <v>228</v>
      </c>
      <c r="L934">
        <v>269</v>
      </c>
      <c r="M934">
        <v>307</v>
      </c>
      <c r="N934">
        <v>303</v>
      </c>
      <c r="O934">
        <v>124</v>
      </c>
      <c r="P934">
        <v>147</v>
      </c>
      <c r="Q934">
        <v>146</v>
      </c>
      <c r="R934">
        <v>157</v>
      </c>
      <c r="S934">
        <v>142</v>
      </c>
      <c r="T934">
        <v>149</v>
      </c>
      <c r="U934">
        <v>217</v>
      </c>
      <c r="V934">
        <v>148</v>
      </c>
      <c r="W934">
        <v>38</v>
      </c>
      <c r="X934">
        <v>480</v>
      </c>
      <c r="Y934">
        <v>875</v>
      </c>
      <c r="Z934">
        <v>883</v>
      </c>
      <c r="AA934">
        <v>559</v>
      </c>
      <c r="AB934">
        <v>1111</v>
      </c>
      <c r="AC934">
        <v>1490</v>
      </c>
      <c r="AD934">
        <v>1418</v>
      </c>
      <c r="AE934">
        <v>1585</v>
      </c>
      <c r="AF934">
        <v>1541</v>
      </c>
      <c r="AG934">
        <v>1366</v>
      </c>
      <c r="AH934">
        <v>1609</v>
      </c>
      <c r="AI934">
        <v>2092</v>
      </c>
      <c r="AJ934">
        <v>2111</v>
      </c>
      <c r="AK934">
        <v>1713</v>
      </c>
      <c r="AL934">
        <v>1634</v>
      </c>
      <c r="AM934">
        <v>1705</v>
      </c>
      <c r="AN934">
        <v>1649</v>
      </c>
      <c r="AO934">
        <v>1377</v>
      </c>
      <c r="AP934">
        <v>1211</v>
      </c>
      <c r="AQ934">
        <v>1562</v>
      </c>
      <c r="AR934">
        <v>2465</v>
      </c>
      <c r="AS934">
        <v>4427</v>
      </c>
      <c r="AT934">
        <v>4945</v>
      </c>
      <c r="AU934">
        <v>4802</v>
      </c>
      <c r="AV934">
        <v>4837</v>
      </c>
      <c r="AW934">
        <v>5102</v>
      </c>
      <c r="AX934">
        <v>6517</v>
      </c>
      <c r="AY934">
        <v>6564</v>
      </c>
      <c r="AZ934">
        <v>6270</v>
      </c>
      <c r="BA934">
        <v>6271</v>
      </c>
      <c r="BB934">
        <v>6937</v>
      </c>
      <c r="BC934">
        <v>6906</v>
      </c>
      <c r="BD934">
        <v>6058</v>
      </c>
      <c r="BE934">
        <v>7510</v>
      </c>
      <c r="BF934">
        <v>8447</v>
      </c>
      <c r="BG934">
        <v>6561</v>
      </c>
      <c r="BH934">
        <v>5428</v>
      </c>
      <c r="BI934">
        <v>5446</v>
      </c>
      <c r="BJ934">
        <v>4006</v>
      </c>
      <c r="BK934">
        <v>2246</v>
      </c>
      <c r="BL934">
        <v>1749</v>
      </c>
      <c r="BM934">
        <v>1610</v>
      </c>
      <c r="BN934">
        <v>1208</v>
      </c>
      <c r="BO934">
        <v>1089</v>
      </c>
      <c r="BP934">
        <v>1175</v>
      </c>
      <c r="BQ934">
        <v>3214</v>
      </c>
      <c r="BR934">
        <v>2996</v>
      </c>
      <c r="BS934">
        <v>392</v>
      </c>
      <c r="BT934">
        <v>43</v>
      </c>
      <c r="BU934">
        <v>82</v>
      </c>
      <c r="BV934">
        <v>121</v>
      </c>
      <c r="BW934">
        <v>147</v>
      </c>
      <c r="BX934">
        <v>71</v>
      </c>
      <c r="BY934">
        <v>28</v>
      </c>
      <c r="BZ934">
        <v>300</v>
      </c>
      <c r="CA934">
        <v>524</v>
      </c>
      <c r="CB934">
        <v>272</v>
      </c>
      <c r="CC934">
        <v>214</v>
      </c>
      <c r="CD934">
        <v>533</v>
      </c>
      <c r="CE934">
        <v>856</v>
      </c>
      <c r="CF934">
        <v>636</v>
      </c>
      <c r="CG934">
        <v>335</v>
      </c>
      <c r="CH934">
        <v>418</v>
      </c>
      <c r="CI934">
        <v>244</v>
      </c>
      <c r="CJ934">
        <v>191</v>
      </c>
      <c r="CK934">
        <v>155</v>
      </c>
      <c r="CL934">
        <v>0</v>
      </c>
      <c r="CM934">
        <v>0</v>
      </c>
      <c r="CN934">
        <v>0</v>
      </c>
      <c r="CO934">
        <v>0</v>
      </c>
      <c r="CP934">
        <v>0</v>
      </c>
      <c r="CQ934">
        <v>0</v>
      </c>
      <c r="CR934">
        <v>0</v>
      </c>
      <c r="CS934">
        <v>0</v>
      </c>
      <c r="CT934">
        <v>0</v>
      </c>
      <c r="CU934">
        <v>0</v>
      </c>
      <c r="CV934">
        <v>0</v>
      </c>
      <c r="CW934">
        <v>0</v>
      </c>
      <c r="CX934">
        <v>0</v>
      </c>
      <c r="CY934">
        <v>0</v>
      </c>
      <c r="CZ934">
        <v>0</v>
      </c>
      <c r="DA934">
        <v>0</v>
      </c>
      <c r="DB934">
        <v>0</v>
      </c>
      <c r="DC934">
        <v>0</v>
      </c>
      <c r="DD934">
        <v>0</v>
      </c>
      <c r="DE934">
        <v>0</v>
      </c>
      <c r="DF934">
        <v>0</v>
      </c>
      <c r="DG934" s="16">
        <f t="shared" si="77"/>
        <v>161555</v>
      </c>
      <c r="DH934" s="16">
        <f t="shared" si="78"/>
        <v>7224886</v>
      </c>
      <c r="DI934" s="17">
        <f t="shared" si="79"/>
        <v>44.720906192937392</v>
      </c>
      <c r="DJ934" s="119" t="s">
        <v>1</v>
      </c>
      <c r="DK934" s="44" t="s">
        <v>1</v>
      </c>
      <c r="DL934" s="44" t="s">
        <v>1331</v>
      </c>
      <c r="DM934" s="44"/>
    </row>
    <row r="935" spans="1:117" ht="15" customHeight="1">
      <c r="A935" s="32" t="str">
        <f t="shared" si="80"/>
        <v>SA Power--&gt; 33 kV &amp; &lt;≈ 66 kV ; STOBIE</v>
      </c>
      <c r="B935" s="32" t="str">
        <f t="shared" si="81"/>
        <v>SA Power</v>
      </c>
      <c r="C935" s="385"/>
      <c r="E935" t="s">
        <v>1221</v>
      </c>
      <c r="F935">
        <v>90</v>
      </c>
      <c r="G935">
        <v>9.4868329855140008</v>
      </c>
      <c r="H935">
        <v>61</v>
      </c>
      <c r="I935">
        <v>103</v>
      </c>
      <c r="J935">
        <v>96</v>
      </c>
      <c r="K935">
        <v>79</v>
      </c>
      <c r="L935">
        <v>60</v>
      </c>
      <c r="M935">
        <v>82</v>
      </c>
      <c r="N935">
        <v>80</v>
      </c>
      <c r="O935">
        <v>39</v>
      </c>
      <c r="P935">
        <v>33</v>
      </c>
      <c r="Q935">
        <v>29</v>
      </c>
      <c r="R935">
        <v>65</v>
      </c>
      <c r="S935">
        <v>13</v>
      </c>
      <c r="T935">
        <v>55</v>
      </c>
      <c r="U935">
        <v>22</v>
      </c>
      <c r="V935">
        <v>2</v>
      </c>
      <c r="W935">
        <v>3</v>
      </c>
      <c r="X935">
        <v>104</v>
      </c>
      <c r="Y935">
        <v>175</v>
      </c>
      <c r="Z935">
        <v>225</v>
      </c>
      <c r="AA935">
        <v>292</v>
      </c>
      <c r="AB935">
        <v>418</v>
      </c>
      <c r="AC935">
        <v>375</v>
      </c>
      <c r="AD935">
        <v>289</v>
      </c>
      <c r="AE935">
        <v>368</v>
      </c>
      <c r="AF935">
        <v>423</v>
      </c>
      <c r="AG935">
        <v>394</v>
      </c>
      <c r="AH935">
        <v>345</v>
      </c>
      <c r="AI935">
        <v>215</v>
      </c>
      <c r="AJ935">
        <v>164</v>
      </c>
      <c r="AK935">
        <v>160</v>
      </c>
      <c r="AL935">
        <v>214</v>
      </c>
      <c r="AM935">
        <v>219</v>
      </c>
      <c r="AN935">
        <v>254</v>
      </c>
      <c r="AO935">
        <v>221</v>
      </c>
      <c r="AP935">
        <v>153</v>
      </c>
      <c r="AQ935">
        <v>418</v>
      </c>
      <c r="AR935">
        <v>1105</v>
      </c>
      <c r="AS935">
        <v>870</v>
      </c>
      <c r="AT935">
        <v>314</v>
      </c>
      <c r="AU935">
        <v>389</v>
      </c>
      <c r="AV935">
        <v>576</v>
      </c>
      <c r="AW935">
        <v>777</v>
      </c>
      <c r="AX935">
        <v>904</v>
      </c>
      <c r="AY935">
        <v>835</v>
      </c>
      <c r="AZ935">
        <v>656</v>
      </c>
      <c r="BA935">
        <v>673</v>
      </c>
      <c r="BB935">
        <v>981</v>
      </c>
      <c r="BC935">
        <v>1156</v>
      </c>
      <c r="BD935">
        <v>1099</v>
      </c>
      <c r="BE935">
        <v>1030</v>
      </c>
      <c r="BF935">
        <v>955</v>
      </c>
      <c r="BG935">
        <v>898</v>
      </c>
      <c r="BH935">
        <v>616</v>
      </c>
      <c r="BI935">
        <v>385</v>
      </c>
      <c r="BJ935">
        <v>376</v>
      </c>
      <c r="BK935">
        <v>454</v>
      </c>
      <c r="BL935">
        <v>650</v>
      </c>
      <c r="BM935">
        <v>1251</v>
      </c>
      <c r="BN935">
        <v>1245</v>
      </c>
      <c r="BO935">
        <v>750</v>
      </c>
      <c r="BP935">
        <v>2108</v>
      </c>
      <c r="BQ935">
        <v>1842</v>
      </c>
      <c r="BR935">
        <v>133</v>
      </c>
      <c r="BS935">
        <v>78</v>
      </c>
      <c r="BT935">
        <v>118</v>
      </c>
      <c r="BU935">
        <v>235</v>
      </c>
      <c r="BV935">
        <v>360</v>
      </c>
      <c r="BW935">
        <v>395</v>
      </c>
      <c r="BX935">
        <v>175</v>
      </c>
      <c r="BY935">
        <v>186</v>
      </c>
      <c r="BZ935">
        <v>308</v>
      </c>
      <c r="CA935">
        <v>237</v>
      </c>
      <c r="CB935">
        <v>206</v>
      </c>
      <c r="CC935">
        <v>448</v>
      </c>
      <c r="CD935">
        <v>696</v>
      </c>
      <c r="CE935">
        <v>585</v>
      </c>
      <c r="CF935">
        <v>235</v>
      </c>
      <c r="CG935">
        <v>82</v>
      </c>
      <c r="CH935">
        <v>70</v>
      </c>
      <c r="CI935">
        <v>36</v>
      </c>
      <c r="CJ935">
        <v>87</v>
      </c>
      <c r="CK935">
        <v>52</v>
      </c>
      <c r="CL935">
        <v>0</v>
      </c>
      <c r="CM935">
        <v>0</v>
      </c>
      <c r="CN935">
        <v>0</v>
      </c>
      <c r="CO935">
        <v>0</v>
      </c>
      <c r="CP935">
        <v>0</v>
      </c>
      <c r="CQ935">
        <v>0</v>
      </c>
      <c r="CR935">
        <v>0</v>
      </c>
      <c r="CS935">
        <v>0</v>
      </c>
      <c r="CT935">
        <v>0</v>
      </c>
      <c r="CU935">
        <v>0</v>
      </c>
      <c r="CV935">
        <v>0</v>
      </c>
      <c r="CW935">
        <v>0</v>
      </c>
      <c r="CX935">
        <v>0</v>
      </c>
      <c r="CY935">
        <v>0</v>
      </c>
      <c r="CZ935">
        <v>0</v>
      </c>
      <c r="DA935">
        <v>0</v>
      </c>
      <c r="DB935">
        <v>0</v>
      </c>
      <c r="DC935">
        <v>0</v>
      </c>
      <c r="DD935">
        <v>0</v>
      </c>
      <c r="DE935">
        <v>0</v>
      </c>
      <c r="DF935">
        <v>0</v>
      </c>
      <c r="DG935" s="16">
        <f t="shared" si="77"/>
        <v>33865</v>
      </c>
      <c r="DH935" s="16">
        <f t="shared" si="78"/>
        <v>1655740</v>
      </c>
      <c r="DI935" s="17">
        <f t="shared" si="79"/>
        <v>48.892366750332201</v>
      </c>
      <c r="DJ935" s="119" t="s">
        <v>1</v>
      </c>
      <c r="DK935" s="44" t="s">
        <v>1</v>
      </c>
      <c r="DL935" s="44" t="s">
        <v>1331</v>
      </c>
      <c r="DM935" s="44"/>
    </row>
    <row r="936" spans="1:117" ht="15" customHeight="1">
      <c r="A936" s="32" t="str">
        <f t="shared" si="80"/>
        <v>SA Power--&gt; 66 kV &amp; &lt;≈ 132 kV ; STOBIE</v>
      </c>
      <c r="B936" s="32" t="str">
        <f t="shared" si="81"/>
        <v>SA Power</v>
      </c>
      <c r="C936" s="385"/>
      <c r="E936" t="s">
        <v>1222</v>
      </c>
      <c r="F936">
        <v>90</v>
      </c>
      <c r="G936">
        <v>9</v>
      </c>
      <c r="H936">
        <v>0</v>
      </c>
      <c r="I936">
        <v>0</v>
      </c>
      <c r="J936">
        <v>0</v>
      </c>
      <c r="K936">
        <v>0</v>
      </c>
      <c r="L936">
        <v>0</v>
      </c>
      <c r="M936">
        <v>0</v>
      </c>
      <c r="N936">
        <v>74</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v>0</v>
      </c>
      <c r="BX936">
        <v>0</v>
      </c>
      <c r="BY936">
        <v>0</v>
      </c>
      <c r="BZ936">
        <v>0</v>
      </c>
      <c r="CA936">
        <v>0</v>
      </c>
      <c r="CB936">
        <v>0</v>
      </c>
      <c r="CC936">
        <v>0</v>
      </c>
      <c r="CD936">
        <v>0</v>
      </c>
      <c r="CE936">
        <v>0</v>
      </c>
      <c r="CF936">
        <v>0</v>
      </c>
      <c r="CG936">
        <v>0</v>
      </c>
      <c r="CH936">
        <v>0</v>
      </c>
      <c r="CI936">
        <v>0</v>
      </c>
      <c r="CJ936">
        <v>0</v>
      </c>
      <c r="CK936">
        <v>0</v>
      </c>
      <c r="CL936">
        <v>0</v>
      </c>
      <c r="CM936">
        <v>0</v>
      </c>
      <c r="CN936">
        <v>0</v>
      </c>
      <c r="CO936">
        <v>0</v>
      </c>
      <c r="CP936">
        <v>0</v>
      </c>
      <c r="CQ936">
        <v>0</v>
      </c>
      <c r="CR936">
        <v>0</v>
      </c>
      <c r="CS936">
        <v>0</v>
      </c>
      <c r="CT936">
        <v>0</v>
      </c>
      <c r="CU936">
        <v>0</v>
      </c>
      <c r="CV936">
        <v>0</v>
      </c>
      <c r="CW936">
        <v>0</v>
      </c>
      <c r="CX936">
        <v>0</v>
      </c>
      <c r="CY936">
        <v>0</v>
      </c>
      <c r="CZ936">
        <v>0</v>
      </c>
      <c r="DA936">
        <v>0</v>
      </c>
      <c r="DB936">
        <v>0</v>
      </c>
      <c r="DC936">
        <v>0</v>
      </c>
      <c r="DD936">
        <v>0</v>
      </c>
      <c r="DE936">
        <v>0</v>
      </c>
      <c r="DF936">
        <v>0</v>
      </c>
      <c r="DG936" s="16">
        <f t="shared" si="77"/>
        <v>74</v>
      </c>
      <c r="DH936" s="16">
        <f t="shared" si="78"/>
        <v>518</v>
      </c>
      <c r="DI936" s="17">
        <f t="shared" si="79"/>
        <v>7</v>
      </c>
      <c r="DJ936" s="119" t="s">
        <v>1</v>
      </c>
      <c r="DK936" s="44" t="s">
        <v>1</v>
      </c>
      <c r="DL936" s="44" t="s">
        <v>1331</v>
      </c>
      <c r="DM936" s="44"/>
    </row>
    <row r="937" spans="1:117" ht="15" customHeight="1">
      <c r="A937" s="32" t="str">
        <f t="shared" si="80"/>
        <v>SA Power--&gt; 132 kV ; STOBIE</v>
      </c>
      <c r="B937" s="32" t="str">
        <f t="shared" si="81"/>
        <v>SA Power</v>
      </c>
      <c r="C937" s="385"/>
      <c r="E937" t="s">
        <v>1223</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v>0</v>
      </c>
      <c r="BQ937">
        <v>0</v>
      </c>
      <c r="BR937">
        <v>0</v>
      </c>
      <c r="BS937">
        <v>0</v>
      </c>
      <c r="BT937">
        <v>0</v>
      </c>
      <c r="BU937">
        <v>0</v>
      </c>
      <c r="BV937">
        <v>0</v>
      </c>
      <c r="BW937">
        <v>0</v>
      </c>
      <c r="BX937">
        <v>0</v>
      </c>
      <c r="BY937">
        <v>0</v>
      </c>
      <c r="BZ937">
        <v>0</v>
      </c>
      <c r="CA937">
        <v>0</v>
      </c>
      <c r="CB937">
        <v>0</v>
      </c>
      <c r="CC937">
        <v>0</v>
      </c>
      <c r="CD937">
        <v>0</v>
      </c>
      <c r="CE937">
        <v>0</v>
      </c>
      <c r="CF937">
        <v>0</v>
      </c>
      <c r="CG937">
        <v>0</v>
      </c>
      <c r="CH937">
        <v>0</v>
      </c>
      <c r="CI937">
        <v>0</v>
      </c>
      <c r="CJ937">
        <v>0</v>
      </c>
      <c r="CK937">
        <v>0</v>
      </c>
      <c r="CL937">
        <v>0</v>
      </c>
      <c r="CM937">
        <v>0</v>
      </c>
      <c r="CN937">
        <v>0</v>
      </c>
      <c r="CO937">
        <v>0</v>
      </c>
      <c r="CP937">
        <v>0</v>
      </c>
      <c r="CQ937">
        <v>0</v>
      </c>
      <c r="CR937">
        <v>0</v>
      </c>
      <c r="CS937">
        <v>0</v>
      </c>
      <c r="CT937">
        <v>0</v>
      </c>
      <c r="CU937">
        <v>0</v>
      </c>
      <c r="CV937">
        <v>0</v>
      </c>
      <c r="CW937">
        <v>0</v>
      </c>
      <c r="CX937">
        <v>0</v>
      </c>
      <c r="CY937">
        <v>0</v>
      </c>
      <c r="CZ937">
        <v>0</v>
      </c>
      <c r="DA937">
        <v>0</v>
      </c>
      <c r="DB937">
        <v>0</v>
      </c>
      <c r="DC937">
        <v>0</v>
      </c>
      <c r="DD937">
        <v>0</v>
      </c>
      <c r="DE937">
        <v>0</v>
      </c>
      <c r="DF937">
        <v>0</v>
      </c>
      <c r="DG937" s="16">
        <f t="shared" si="77"/>
        <v>0</v>
      </c>
      <c r="DH937" s="16">
        <f t="shared" si="78"/>
        <v>0</v>
      </c>
      <c r="DI937" s="17" t="str">
        <f t="shared" si="79"/>
        <v/>
      </c>
      <c r="DJ937" s="119" t="s">
        <v>1</v>
      </c>
      <c r="DK937" s="44" t="s">
        <v>1</v>
      </c>
      <c r="DL937" s="44" t="s">
        <v>1331</v>
      </c>
      <c r="DM937" s="44"/>
    </row>
    <row r="938" spans="1:117" ht="15" customHeight="1">
      <c r="A938" s="32" t="str">
        <f t="shared" si="80"/>
        <v>SA Power--OTHER - PLEASE ADD A ROW IF NECESSARY AND NOMINATE THE CATEGORY</v>
      </c>
      <c r="B938" s="32" t="str">
        <f t="shared" si="81"/>
        <v>SA Power</v>
      </c>
      <c r="C938" s="385"/>
      <c r="E938" t="s">
        <v>170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0</v>
      </c>
      <c r="BI938">
        <v>0</v>
      </c>
      <c r="BJ938">
        <v>0</v>
      </c>
      <c r="BK938">
        <v>0</v>
      </c>
      <c r="BL938">
        <v>0</v>
      </c>
      <c r="BM938">
        <v>0</v>
      </c>
      <c r="BN938">
        <v>0</v>
      </c>
      <c r="BO938">
        <v>0</v>
      </c>
      <c r="BP938">
        <v>0</v>
      </c>
      <c r="BQ938">
        <v>0</v>
      </c>
      <c r="BR938">
        <v>0</v>
      </c>
      <c r="BS938">
        <v>0</v>
      </c>
      <c r="BT938">
        <v>0</v>
      </c>
      <c r="BU938">
        <v>0</v>
      </c>
      <c r="BV938">
        <v>0</v>
      </c>
      <c r="BW938">
        <v>0</v>
      </c>
      <c r="BX938">
        <v>0</v>
      </c>
      <c r="BY938">
        <v>0</v>
      </c>
      <c r="BZ938">
        <v>0</v>
      </c>
      <c r="CA938">
        <v>0</v>
      </c>
      <c r="CB938">
        <v>0</v>
      </c>
      <c r="CC938">
        <v>0</v>
      </c>
      <c r="CD938">
        <v>0</v>
      </c>
      <c r="CE938">
        <v>0</v>
      </c>
      <c r="CF938">
        <v>0</v>
      </c>
      <c r="CG938">
        <v>0</v>
      </c>
      <c r="CH938">
        <v>0</v>
      </c>
      <c r="CI938">
        <v>0</v>
      </c>
      <c r="CJ938">
        <v>0</v>
      </c>
      <c r="CK938">
        <v>0</v>
      </c>
      <c r="CL938">
        <v>0</v>
      </c>
      <c r="CM938">
        <v>0</v>
      </c>
      <c r="CN938">
        <v>0</v>
      </c>
      <c r="CO938">
        <v>0</v>
      </c>
      <c r="CP938">
        <v>0</v>
      </c>
      <c r="CQ938">
        <v>0</v>
      </c>
      <c r="CR938">
        <v>0</v>
      </c>
      <c r="CS938">
        <v>0</v>
      </c>
      <c r="CT938">
        <v>0</v>
      </c>
      <c r="CU938">
        <v>0</v>
      </c>
      <c r="CV938">
        <v>0</v>
      </c>
      <c r="CW938">
        <v>0</v>
      </c>
      <c r="CX938">
        <v>0</v>
      </c>
      <c r="CY938">
        <v>0</v>
      </c>
      <c r="CZ938">
        <v>0</v>
      </c>
      <c r="DA938">
        <v>0</v>
      </c>
      <c r="DB938">
        <v>0</v>
      </c>
      <c r="DC938">
        <v>0</v>
      </c>
      <c r="DD938">
        <v>0</v>
      </c>
      <c r="DE938">
        <v>0</v>
      </c>
      <c r="DF938">
        <v>0</v>
      </c>
      <c r="DG938" s="16">
        <f t="shared" si="77"/>
        <v>0</v>
      </c>
      <c r="DH938" s="16">
        <f t="shared" si="78"/>
        <v>0</v>
      </c>
      <c r="DI938" s="17" t="str">
        <f t="shared" si="79"/>
        <v/>
      </c>
      <c r="DJ938" s="119" t="s">
        <v>1</v>
      </c>
      <c r="DK938" s="44" t="s">
        <v>1</v>
      </c>
      <c r="DL938" s="44" t="s">
        <v>720</v>
      </c>
      <c r="DM938" s="44"/>
    </row>
    <row r="939" spans="1:117" ht="15" customHeight="1">
      <c r="A939" s="32" t="str">
        <f t="shared" si="80"/>
        <v>SA Power-OVERHEAD CONDUCTORS BY: 
HIGHEST OPERATING VOLTAGE; NUMBER OF PHASES (AT HV)-˂ = 1 kV</v>
      </c>
      <c r="B939" s="32" t="str">
        <f t="shared" si="81"/>
        <v>SA Power</v>
      </c>
      <c r="C939" s="385"/>
      <c r="D939" t="s">
        <v>538</v>
      </c>
      <c r="E939" t="s">
        <v>171</v>
      </c>
      <c r="F939">
        <v>60</v>
      </c>
      <c r="G939">
        <v>7.745966692414834</v>
      </c>
      <c r="H939">
        <v>335.95908000000293</v>
      </c>
      <c r="I939">
        <v>374.4098880000044</v>
      </c>
      <c r="J939">
        <v>424.90084800000608</v>
      </c>
      <c r="K939">
        <v>411.30712800000555</v>
      </c>
      <c r="L939">
        <v>306.4412880000018</v>
      </c>
      <c r="M939">
        <v>0.15333253866813323</v>
      </c>
      <c r="N939">
        <v>0.15333253866813323</v>
      </c>
      <c r="O939">
        <v>0</v>
      </c>
      <c r="P939">
        <v>0</v>
      </c>
      <c r="Q939">
        <v>0</v>
      </c>
      <c r="R939">
        <v>0</v>
      </c>
      <c r="S939">
        <v>4.5473911995584917</v>
      </c>
      <c r="T939">
        <v>4.5473911995584917</v>
      </c>
      <c r="U939">
        <v>0</v>
      </c>
      <c r="V939">
        <v>1.0101527371282282</v>
      </c>
      <c r="W939">
        <v>1.0101527371282282</v>
      </c>
      <c r="X939">
        <v>0</v>
      </c>
      <c r="Y939">
        <v>0</v>
      </c>
      <c r="Z939">
        <v>0</v>
      </c>
      <c r="AA939">
        <v>0</v>
      </c>
      <c r="AB939">
        <v>99.109967355457073</v>
      </c>
      <c r="AC939">
        <v>99.109967355457073</v>
      </c>
      <c r="AD939">
        <v>6.5506517440189862</v>
      </c>
      <c r="AE939">
        <v>118.04604872078725</v>
      </c>
      <c r="AF939">
        <v>317.93102545971777</v>
      </c>
      <c r="AG939">
        <v>336.16822266682016</v>
      </c>
      <c r="AH939">
        <v>625.40939743008778</v>
      </c>
      <c r="AI939">
        <v>623.51371905329688</v>
      </c>
      <c r="AJ939">
        <v>236.51265385363504</v>
      </c>
      <c r="AK939">
        <v>315.32157807718488</v>
      </c>
      <c r="AL939">
        <v>244.78322391446244</v>
      </c>
      <c r="AM939">
        <v>38.4939701726531</v>
      </c>
      <c r="AN939">
        <v>97.665634996988501</v>
      </c>
      <c r="AO939">
        <v>104.74363118155433</v>
      </c>
      <c r="AP939">
        <v>34.391154505858481</v>
      </c>
      <c r="AQ939">
        <v>218.03235492704104</v>
      </c>
      <c r="AR939">
        <v>1014.7056402770635</v>
      </c>
      <c r="AS939">
        <v>1114.9541690200081</v>
      </c>
      <c r="AT939">
        <v>531.77006223049545</v>
      </c>
      <c r="AU939">
        <v>331.37479861735062</v>
      </c>
      <c r="AV939">
        <v>392.03365697767384</v>
      </c>
      <c r="AW939">
        <v>771.77756450250956</v>
      </c>
      <c r="AX939">
        <v>969.34715900957519</v>
      </c>
      <c r="AY939">
        <v>1058.1007469603135</v>
      </c>
      <c r="AZ939">
        <v>1580.9726762566725</v>
      </c>
      <c r="BA939">
        <v>1554.7027463416455</v>
      </c>
      <c r="BB939">
        <v>4147.3049370832759</v>
      </c>
      <c r="BC939">
        <v>4616.9570308419525</v>
      </c>
      <c r="BD939">
        <v>2066.3772102823036</v>
      </c>
      <c r="BE939">
        <v>1723.3280154618806</v>
      </c>
      <c r="BF939">
        <v>1455.1960065541143</v>
      </c>
      <c r="BG939">
        <v>1654.7763920007537</v>
      </c>
      <c r="BH939">
        <v>1390.4410333520652</v>
      </c>
      <c r="BI939">
        <v>986.11921979332442</v>
      </c>
      <c r="BJ939">
        <v>1768.0751359361243</v>
      </c>
      <c r="BK939">
        <v>1751.1214675319857</v>
      </c>
      <c r="BL939">
        <v>7547.2697456277992</v>
      </c>
      <c r="BM939">
        <v>19414.930480304287</v>
      </c>
      <c r="BN939">
        <v>12320.57359134794</v>
      </c>
      <c r="BO939">
        <v>39.948547795069864</v>
      </c>
      <c r="BP939">
        <v>40.78687845338068</v>
      </c>
      <c r="BQ939">
        <v>21.858792108528835</v>
      </c>
      <c r="BR939">
        <v>17.398882915059438</v>
      </c>
      <c r="BS939">
        <v>11.226862129368401</v>
      </c>
      <c r="BT939">
        <v>0</v>
      </c>
      <c r="BU939">
        <v>0</v>
      </c>
      <c r="BV939">
        <v>39.682701655278301</v>
      </c>
      <c r="BW939">
        <v>39.682701655278301</v>
      </c>
      <c r="BX939">
        <v>0</v>
      </c>
      <c r="BY939">
        <v>0</v>
      </c>
      <c r="BZ939">
        <v>0</v>
      </c>
      <c r="CA939">
        <v>0</v>
      </c>
      <c r="CB939">
        <v>93.380919714460276</v>
      </c>
      <c r="CC939">
        <v>93.380919714460276</v>
      </c>
      <c r="CD939">
        <v>0</v>
      </c>
      <c r="CE939">
        <v>0</v>
      </c>
      <c r="CF939">
        <v>0</v>
      </c>
      <c r="CG939">
        <v>0</v>
      </c>
      <c r="CH939">
        <v>0</v>
      </c>
      <c r="CI939">
        <v>0</v>
      </c>
      <c r="CJ939">
        <v>0</v>
      </c>
      <c r="CK939">
        <v>0</v>
      </c>
      <c r="CL939">
        <v>0</v>
      </c>
      <c r="CM939">
        <v>0</v>
      </c>
      <c r="CN939">
        <v>0</v>
      </c>
      <c r="CO939">
        <v>0</v>
      </c>
      <c r="CP939">
        <v>0</v>
      </c>
      <c r="CQ939">
        <v>0</v>
      </c>
      <c r="CR939">
        <v>0</v>
      </c>
      <c r="CS939">
        <v>0</v>
      </c>
      <c r="CT939">
        <v>0</v>
      </c>
      <c r="CU939">
        <v>0</v>
      </c>
      <c r="CV939">
        <v>0</v>
      </c>
      <c r="CW939">
        <v>0</v>
      </c>
      <c r="CX939">
        <v>0</v>
      </c>
      <c r="CY939">
        <v>0</v>
      </c>
      <c r="CZ939">
        <v>0</v>
      </c>
      <c r="DA939">
        <v>0</v>
      </c>
      <c r="DB939">
        <v>0</v>
      </c>
      <c r="DC939">
        <v>0</v>
      </c>
      <c r="DD939">
        <v>0</v>
      </c>
      <c r="DE939">
        <v>0</v>
      </c>
      <c r="DF939">
        <v>0</v>
      </c>
      <c r="DG939" s="16">
        <f t="shared" si="77"/>
        <v>75939.779878817746</v>
      </c>
      <c r="DH939" s="16">
        <f t="shared" si="78"/>
        <v>3895014.5088701849</v>
      </c>
      <c r="DI939" s="17">
        <f t="shared" si="79"/>
        <v>51.290832223713629</v>
      </c>
      <c r="DJ939" s="119" t="s">
        <v>718</v>
      </c>
      <c r="DK939" t="s">
        <v>718</v>
      </c>
    </row>
    <row r="940" spans="1:117" ht="15" customHeight="1">
      <c r="A940" s="32" t="str">
        <f t="shared" si="80"/>
        <v>SA Power--&gt; 1 kV &amp; &lt; = 11 kV</v>
      </c>
      <c r="B940" s="32" t="str">
        <f t="shared" si="81"/>
        <v>SA Power</v>
      </c>
      <c r="C940" s="385"/>
      <c r="E940" t="s">
        <v>172</v>
      </c>
      <c r="F940">
        <v>60</v>
      </c>
      <c r="G940">
        <v>7.745966692414834</v>
      </c>
      <c r="H940">
        <v>159.61881600000001</v>
      </c>
      <c r="I940">
        <v>149.47736010000025</v>
      </c>
      <c r="J940">
        <v>131.99628900000016</v>
      </c>
      <c r="K940">
        <v>178.74971700000037</v>
      </c>
      <c r="L940">
        <v>83.491092000000094</v>
      </c>
      <c r="M940">
        <v>0</v>
      </c>
      <c r="N940">
        <v>0</v>
      </c>
      <c r="O940">
        <v>0</v>
      </c>
      <c r="P940">
        <v>1.4984769407897209E-2</v>
      </c>
      <c r="Q940">
        <v>1.4984769407897209E-2</v>
      </c>
      <c r="R940">
        <v>0</v>
      </c>
      <c r="S940">
        <v>0</v>
      </c>
      <c r="T940">
        <v>3.3028167997343063</v>
      </c>
      <c r="U940">
        <v>3.3028167997343063</v>
      </c>
      <c r="V940">
        <v>2.8861498438463591</v>
      </c>
      <c r="W940">
        <v>4.3923174990886542</v>
      </c>
      <c r="X940">
        <v>1.5061676552422947</v>
      </c>
      <c r="Y940">
        <v>0</v>
      </c>
      <c r="Z940">
        <v>0</v>
      </c>
      <c r="AA940">
        <v>10.884112988910569</v>
      </c>
      <c r="AB940">
        <v>30.812845039106747</v>
      </c>
      <c r="AC940">
        <v>19.928732050196178</v>
      </c>
      <c r="AD940">
        <v>3.5730182389016395E-2</v>
      </c>
      <c r="AE940">
        <v>95.591610643670592</v>
      </c>
      <c r="AF940">
        <v>232.7833156289</v>
      </c>
      <c r="AG940">
        <v>282.76315464374551</v>
      </c>
      <c r="AH940">
        <v>500.08970440313016</v>
      </c>
      <c r="AI940">
        <v>415.16436561072959</v>
      </c>
      <c r="AJ940">
        <v>334.54923507565894</v>
      </c>
      <c r="AK940">
        <v>364.36038752852943</v>
      </c>
      <c r="AL940">
        <v>96.686039679550191</v>
      </c>
      <c r="AM940">
        <v>7.1993810837733685</v>
      </c>
      <c r="AN940">
        <v>91.168163806804387</v>
      </c>
      <c r="AO940">
        <v>97.098928193450178</v>
      </c>
      <c r="AP940">
        <v>73.72517258920405</v>
      </c>
      <c r="AQ940">
        <v>276.52907422707835</v>
      </c>
      <c r="AR940">
        <v>816.28839568605383</v>
      </c>
      <c r="AS940">
        <v>724.40517335177117</v>
      </c>
      <c r="AT940">
        <v>229.96077882125448</v>
      </c>
      <c r="AU940">
        <v>333.66257027293295</v>
      </c>
      <c r="AV940">
        <v>571.47830343841281</v>
      </c>
      <c r="AW940">
        <v>808.46156706830448</v>
      </c>
      <c r="AX940">
        <v>1363.2393351022724</v>
      </c>
      <c r="AY940">
        <v>1210.4574520875626</v>
      </c>
      <c r="AZ940">
        <v>1027.3757891374191</v>
      </c>
      <c r="BA940">
        <v>1021.2828022177462</v>
      </c>
      <c r="BB940">
        <v>2665.0464865128029</v>
      </c>
      <c r="BC940">
        <v>2974.6352163907386</v>
      </c>
      <c r="BD940">
        <v>1330.3929578012983</v>
      </c>
      <c r="BE940">
        <v>960.15172803897406</v>
      </c>
      <c r="BF940">
        <v>983.53821244387825</v>
      </c>
      <c r="BG940">
        <v>1885.3818805235217</v>
      </c>
      <c r="BH940">
        <v>1679.4329428075871</v>
      </c>
      <c r="BI940">
        <v>1040.1525219112759</v>
      </c>
      <c r="BJ940">
        <v>1693.4314365909931</v>
      </c>
      <c r="BK940">
        <v>1697.061468000034</v>
      </c>
      <c r="BL940">
        <v>5773.7436575421953</v>
      </c>
      <c r="BM940">
        <v>11992.636752592409</v>
      </c>
      <c r="BN940">
        <v>6724.0303771364415</v>
      </c>
      <c r="BO940">
        <v>0</v>
      </c>
      <c r="BP940">
        <v>0</v>
      </c>
      <c r="BQ940">
        <v>0</v>
      </c>
      <c r="BR940">
        <v>0</v>
      </c>
      <c r="BS940">
        <v>0</v>
      </c>
      <c r="BT940">
        <v>0</v>
      </c>
      <c r="BU940">
        <v>0</v>
      </c>
      <c r="BV940">
        <v>0</v>
      </c>
      <c r="BW940">
        <v>0</v>
      </c>
      <c r="BX940">
        <v>0</v>
      </c>
      <c r="BY940">
        <v>0</v>
      </c>
      <c r="BZ940">
        <v>0</v>
      </c>
      <c r="CA940">
        <v>0</v>
      </c>
      <c r="CB940">
        <v>0</v>
      </c>
      <c r="CC940">
        <v>0</v>
      </c>
      <c r="CD940">
        <v>0</v>
      </c>
      <c r="CE940">
        <v>0</v>
      </c>
      <c r="CF940">
        <v>0</v>
      </c>
      <c r="CG940">
        <v>0</v>
      </c>
      <c r="CH940">
        <v>0</v>
      </c>
      <c r="CI940">
        <v>0</v>
      </c>
      <c r="CJ940">
        <v>0</v>
      </c>
      <c r="CK940">
        <v>0</v>
      </c>
      <c r="CL940">
        <v>0</v>
      </c>
      <c r="CM940">
        <v>0</v>
      </c>
      <c r="CN940">
        <v>0</v>
      </c>
      <c r="CO940">
        <v>0</v>
      </c>
      <c r="CP940">
        <v>0</v>
      </c>
      <c r="CQ940">
        <v>0</v>
      </c>
      <c r="CR940">
        <v>0</v>
      </c>
      <c r="CS940">
        <v>0</v>
      </c>
      <c r="CT940">
        <v>0</v>
      </c>
      <c r="CU940">
        <v>0</v>
      </c>
      <c r="CV940">
        <v>0</v>
      </c>
      <c r="CW940">
        <v>0</v>
      </c>
      <c r="CX940">
        <v>0</v>
      </c>
      <c r="CY940">
        <v>0</v>
      </c>
      <c r="CZ940">
        <v>0</v>
      </c>
      <c r="DA940">
        <v>0</v>
      </c>
      <c r="DB940">
        <v>0</v>
      </c>
      <c r="DC940">
        <v>0</v>
      </c>
      <c r="DD940">
        <v>0</v>
      </c>
      <c r="DE940">
        <v>0</v>
      </c>
      <c r="DF940">
        <v>0</v>
      </c>
      <c r="DG940" s="16">
        <f t="shared" si="77"/>
        <v>53154.371271087162</v>
      </c>
      <c r="DH940" s="16">
        <f t="shared" si="78"/>
        <v>2713522.6972935358</v>
      </c>
      <c r="DI940" s="17">
        <f t="shared" si="79"/>
        <v>51.049850320956232</v>
      </c>
      <c r="DJ940" s="119" t="s">
        <v>718</v>
      </c>
      <c r="DK940" s="44" t="s">
        <v>718</v>
      </c>
    </row>
    <row r="941" spans="1:117" ht="15" customHeight="1">
      <c r="A941" s="32" t="str">
        <f t="shared" si="80"/>
        <v>SA Power--˃ 11 kV &amp; &lt; = 22 kV  ; SWER</v>
      </c>
      <c r="B941" s="32" t="str">
        <f t="shared" si="81"/>
        <v>SA Power</v>
      </c>
      <c r="C941" s="385"/>
      <c r="E941" t="s">
        <v>177</v>
      </c>
      <c r="F941">
        <v>60</v>
      </c>
      <c r="G941">
        <v>8.7177978878135001</v>
      </c>
      <c r="H941">
        <v>9.9510359999999949</v>
      </c>
      <c r="I941">
        <v>8.5522960000000019</v>
      </c>
      <c r="J941">
        <v>33.250048</v>
      </c>
      <c r="K941">
        <v>5.1553560000000038</v>
      </c>
      <c r="L941">
        <v>10.790280000000001</v>
      </c>
      <c r="M941">
        <v>0</v>
      </c>
      <c r="N941">
        <v>0</v>
      </c>
      <c r="O941">
        <v>0</v>
      </c>
      <c r="P941">
        <v>0</v>
      </c>
      <c r="Q941">
        <v>0</v>
      </c>
      <c r="R941">
        <v>0</v>
      </c>
      <c r="S941">
        <v>0</v>
      </c>
      <c r="T941">
        <v>0</v>
      </c>
      <c r="U941">
        <v>0</v>
      </c>
      <c r="V941">
        <v>0</v>
      </c>
      <c r="W941">
        <v>0</v>
      </c>
      <c r="X941">
        <v>0</v>
      </c>
      <c r="Y941">
        <v>5.6721793175423567</v>
      </c>
      <c r="Z941">
        <v>5.6721793175423567</v>
      </c>
      <c r="AA941">
        <v>0</v>
      </c>
      <c r="AB941">
        <v>0</v>
      </c>
      <c r="AC941">
        <v>0</v>
      </c>
      <c r="AD941">
        <v>24.780848400951527</v>
      </c>
      <c r="AE941">
        <v>83.480884408551333</v>
      </c>
      <c r="AF941">
        <v>440.80673684718005</v>
      </c>
      <c r="AG941">
        <v>388.48204171954291</v>
      </c>
      <c r="AH941">
        <v>20.281137793925005</v>
      </c>
      <c r="AI941">
        <v>51.993737945281765</v>
      </c>
      <c r="AJ941">
        <v>56.238263977944612</v>
      </c>
      <c r="AK941">
        <v>157.28973380043522</v>
      </c>
      <c r="AL941">
        <v>139.13941085380995</v>
      </c>
      <c r="AM941">
        <v>12.343031333614453</v>
      </c>
      <c r="AN941">
        <v>61.28926012703937</v>
      </c>
      <c r="AO941">
        <v>48.946228793424922</v>
      </c>
      <c r="AP941">
        <v>69.014910588057106</v>
      </c>
      <c r="AQ941">
        <v>71.099190807746041</v>
      </c>
      <c r="AR941">
        <v>374.41247152924865</v>
      </c>
      <c r="AS941">
        <v>501.85138011473174</v>
      </c>
      <c r="AT941">
        <v>478.33330629476467</v>
      </c>
      <c r="AU941">
        <v>551.90195269941285</v>
      </c>
      <c r="AV941">
        <v>599.49235536148751</v>
      </c>
      <c r="AW941">
        <v>510.88481361002954</v>
      </c>
      <c r="AX941">
        <v>1654.9972828701971</v>
      </c>
      <c r="AY941">
        <v>1942.518182795864</v>
      </c>
      <c r="AZ941">
        <v>928.17105251382691</v>
      </c>
      <c r="BA941">
        <v>974.1494467100764</v>
      </c>
      <c r="BB941">
        <v>2843.6958157704889</v>
      </c>
      <c r="BC941">
        <v>3137.055900615931</v>
      </c>
      <c r="BD941">
        <v>1410.1223039946342</v>
      </c>
      <c r="BE941">
        <v>977.07435589999022</v>
      </c>
      <c r="BF941">
        <v>943.91194670816105</v>
      </c>
      <c r="BG941">
        <v>983.28635947510486</v>
      </c>
      <c r="BH941">
        <v>800.84226901015438</v>
      </c>
      <c r="BI941">
        <v>920.57814224730851</v>
      </c>
      <c r="BJ941">
        <v>3336.7379693912662</v>
      </c>
      <c r="BK941">
        <v>2869.3319590560923</v>
      </c>
      <c r="BL941">
        <v>145.21385816355803</v>
      </c>
      <c r="BM941">
        <v>320.14723648470397</v>
      </c>
      <c r="BN941">
        <v>174.93337832114588</v>
      </c>
      <c r="BO941">
        <v>0</v>
      </c>
      <c r="BP941">
        <v>0</v>
      </c>
      <c r="BQ941">
        <v>0</v>
      </c>
      <c r="BR941">
        <v>0</v>
      </c>
      <c r="BS941">
        <v>0</v>
      </c>
      <c r="BT941">
        <v>0</v>
      </c>
      <c r="BU941">
        <v>0</v>
      </c>
      <c r="BV941">
        <v>0</v>
      </c>
      <c r="BW941">
        <v>0</v>
      </c>
      <c r="BX941">
        <v>0</v>
      </c>
      <c r="BY941">
        <v>0</v>
      </c>
      <c r="BZ941">
        <v>0</v>
      </c>
      <c r="CA941">
        <v>0</v>
      </c>
      <c r="CB941">
        <v>0</v>
      </c>
      <c r="CC941">
        <v>0</v>
      </c>
      <c r="CD941">
        <v>0</v>
      </c>
      <c r="CE941">
        <v>0</v>
      </c>
      <c r="CF941">
        <v>0</v>
      </c>
      <c r="CG941">
        <v>0</v>
      </c>
      <c r="CH941">
        <v>0</v>
      </c>
      <c r="CI941">
        <v>0</v>
      </c>
      <c r="CJ941">
        <v>0</v>
      </c>
      <c r="CK941">
        <v>0</v>
      </c>
      <c r="CL941">
        <v>0</v>
      </c>
      <c r="CM941">
        <v>0</v>
      </c>
      <c r="CN941">
        <v>0</v>
      </c>
      <c r="CO941">
        <v>0</v>
      </c>
      <c r="CP941">
        <v>0</v>
      </c>
      <c r="CQ941">
        <v>0</v>
      </c>
      <c r="CR941">
        <v>0</v>
      </c>
      <c r="CS941">
        <v>0</v>
      </c>
      <c r="CT941">
        <v>0</v>
      </c>
      <c r="CU941">
        <v>0</v>
      </c>
      <c r="CV941">
        <v>0</v>
      </c>
      <c r="CW941">
        <v>0</v>
      </c>
      <c r="CX941">
        <v>0</v>
      </c>
      <c r="CY941">
        <v>0</v>
      </c>
      <c r="CZ941">
        <v>0</v>
      </c>
      <c r="DA941">
        <v>0</v>
      </c>
      <c r="DB941">
        <v>0</v>
      </c>
      <c r="DC941">
        <v>0</v>
      </c>
      <c r="DD941">
        <v>0</v>
      </c>
      <c r="DE941">
        <v>0</v>
      </c>
      <c r="DF941">
        <v>0</v>
      </c>
      <c r="DG941" s="16">
        <f t="shared" si="77"/>
        <v>29083.872531670764</v>
      </c>
      <c r="DH941" s="16">
        <f t="shared" si="78"/>
        <v>1383712.2063252658</v>
      </c>
      <c r="DI941" s="17">
        <f t="shared" si="79"/>
        <v>47.576615006082086</v>
      </c>
      <c r="DJ941" s="119" t="s">
        <v>718</v>
      </c>
      <c r="DK941" s="44" t="s">
        <v>718</v>
      </c>
    </row>
    <row r="942" spans="1:117" ht="15" customHeight="1">
      <c r="A942" s="32" t="str">
        <f t="shared" si="80"/>
        <v>SA Power--˃ 11 kV &amp; &lt; = 22 kV ; SINGLE-PHASE</v>
      </c>
      <c r="B942" s="32" t="str">
        <f t="shared" si="81"/>
        <v>SA Power</v>
      </c>
      <c r="C942" s="385"/>
      <c r="E942" t="s">
        <v>178</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c r="BJ942">
        <v>0</v>
      </c>
      <c r="BK942">
        <v>0</v>
      </c>
      <c r="BL942">
        <v>0</v>
      </c>
      <c r="BM942">
        <v>0</v>
      </c>
      <c r="BN942">
        <v>0</v>
      </c>
      <c r="BO942">
        <v>0</v>
      </c>
      <c r="BP942">
        <v>0</v>
      </c>
      <c r="BQ942">
        <v>0</v>
      </c>
      <c r="BR942">
        <v>0</v>
      </c>
      <c r="BS942">
        <v>0</v>
      </c>
      <c r="BT942">
        <v>0</v>
      </c>
      <c r="BU942">
        <v>0</v>
      </c>
      <c r="BV942">
        <v>0</v>
      </c>
      <c r="BW942">
        <v>0</v>
      </c>
      <c r="BX942">
        <v>0</v>
      </c>
      <c r="BY942">
        <v>0</v>
      </c>
      <c r="BZ942">
        <v>0</v>
      </c>
      <c r="CA942">
        <v>0</v>
      </c>
      <c r="CB942">
        <v>0</v>
      </c>
      <c r="CC942">
        <v>0</v>
      </c>
      <c r="CD942">
        <v>0</v>
      </c>
      <c r="CE942">
        <v>0</v>
      </c>
      <c r="CF942">
        <v>0</v>
      </c>
      <c r="CG942">
        <v>0</v>
      </c>
      <c r="CH942">
        <v>0</v>
      </c>
      <c r="CI942">
        <v>0</v>
      </c>
      <c r="CJ942">
        <v>0</v>
      </c>
      <c r="CK942">
        <v>0</v>
      </c>
      <c r="CL942">
        <v>0</v>
      </c>
      <c r="CM942">
        <v>0</v>
      </c>
      <c r="CN942">
        <v>0</v>
      </c>
      <c r="CO942">
        <v>0</v>
      </c>
      <c r="CP942">
        <v>0</v>
      </c>
      <c r="CQ942">
        <v>0</v>
      </c>
      <c r="CR942">
        <v>0</v>
      </c>
      <c r="CS942">
        <v>0</v>
      </c>
      <c r="CT942">
        <v>0</v>
      </c>
      <c r="CU942">
        <v>0</v>
      </c>
      <c r="CV942">
        <v>0</v>
      </c>
      <c r="CW942">
        <v>0</v>
      </c>
      <c r="CX942">
        <v>0</v>
      </c>
      <c r="CY942">
        <v>0</v>
      </c>
      <c r="CZ942">
        <v>0</v>
      </c>
      <c r="DA942">
        <v>0</v>
      </c>
      <c r="DB942">
        <v>0</v>
      </c>
      <c r="DC942">
        <v>0</v>
      </c>
      <c r="DD942">
        <v>0</v>
      </c>
      <c r="DE942">
        <v>0</v>
      </c>
      <c r="DF942">
        <v>0</v>
      </c>
      <c r="DG942" s="16">
        <f t="shared" si="77"/>
        <v>0</v>
      </c>
      <c r="DH942" s="16">
        <f t="shared" si="78"/>
        <v>0</v>
      </c>
      <c r="DI942" s="17" t="str">
        <f t="shared" si="79"/>
        <v/>
      </c>
      <c r="DJ942" s="119" t="s">
        <v>718</v>
      </c>
      <c r="DK942" s="44" t="s">
        <v>718</v>
      </c>
    </row>
    <row r="943" spans="1:117" ht="15" customHeight="1">
      <c r="A943" s="32" t="str">
        <f t="shared" si="80"/>
        <v>SA Power--˃ 11 kV &amp; &lt; = 22 kV ; MULTIPLE-PHASE</v>
      </c>
      <c r="B943" s="32" t="str">
        <f t="shared" si="81"/>
        <v>SA Power</v>
      </c>
      <c r="C943" s="385"/>
      <c r="E943" t="s">
        <v>179</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c r="AR943">
        <v>0</v>
      </c>
      <c r="AS943">
        <v>0</v>
      </c>
      <c r="AT943">
        <v>0</v>
      </c>
      <c r="AU943">
        <v>0</v>
      </c>
      <c r="AV943">
        <v>0</v>
      </c>
      <c r="AW943">
        <v>0</v>
      </c>
      <c r="AX943">
        <v>0</v>
      </c>
      <c r="AY943">
        <v>0</v>
      </c>
      <c r="AZ943">
        <v>0</v>
      </c>
      <c r="BA943">
        <v>0</v>
      </c>
      <c r="BB943">
        <v>0</v>
      </c>
      <c r="BC943">
        <v>0</v>
      </c>
      <c r="BD943">
        <v>0</v>
      </c>
      <c r="BE943">
        <v>0</v>
      </c>
      <c r="BF943">
        <v>0</v>
      </c>
      <c r="BG943">
        <v>0</v>
      </c>
      <c r="BH943">
        <v>0</v>
      </c>
      <c r="BI943">
        <v>0</v>
      </c>
      <c r="BJ943">
        <v>0</v>
      </c>
      <c r="BK943">
        <v>0</v>
      </c>
      <c r="BL943">
        <v>0</v>
      </c>
      <c r="BM943">
        <v>0</v>
      </c>
      <c r="BN943">
        <v>0</v>
      </c>
      <c r="BO943">
        <v>0</v>
      </c>
      <c r="BP943">
        <v>0</v>
      </c>
      <c r="BQ943">
        <v>0</v>
      </c>
      <c r="BR943">
        <v>0</v>
      </c>
      <c r="BS943">
        <v>0</v>
      </c>
      <c r="BT943">
        <v>0</v>
      </c>
      <c r="BU943">
        <v>0</v>
      </c>
      <c r="BV943">
        <v>0</v>
      </c>
      <c r="BW943">
        <v>0</v>
      </c>
      <c r="BX943">
        <v>0</v>
      </c>
      <c r="BY943">
        <v>0</v>
      </c>
      <c r="BZ943">
        <v>0</v>
      </c>
      <c r="CA943">
        <v>0</v>
      </c>
      <c r="CB943">
        <v>0</v>
      </c>
      <c r="CC943">
        <v>0</v>
      </c>
      <c r="CD943">
        <v>0</v>
      </c>
      <c r="CE943">
        <v>0</v>
      </c>
      <c r="CF943">
        <v>0</v>
      </c>
      <c r="CG943">
        <v>0</v>
      </c>
      <c r="CH943">
        <v>0</v>
      </c>
      <c r="CI943">
        <v>0</v>
      </c>
      <c r="CJ943">
        <v>0</v>
      </c>
      <c r="CK943">
        <v>0</v>
      </c>
      <c r="CL943">
        <v>0</v>
      </c>
      <c r="CM943">
        <v>0</v>
      </c>
      <c r="CN943">
        <v>0</v>
      </c>
      <c r="CO943">
        <v>0</v>
      </c>
      <c r="CP943">
        <v>0</v>
      </c>
      <c r="CQ943">
        <v>0</v>
      </c>
      <c r="CR943">
        <v>0</v>
      </c>
      <c r="CS943">
        <v>0</v>
      </c>
      <c r="CT943">
        <v>0</v>
      </c>
      <c r="CU943">
        <v>0</v>
      </c>
      <c r="CV943">
        <v>0</v>
      </c>
      <c r="CW943">
        <v>0</v>
      </c>
      <c r="CX943">
        <v>0</v>
      </c>
      <c r="CY943">
        <v>0</v>
      </c>
      <c r="CZ943">
        <v>0</v>
      </c>
      <c r="DA943">
        <v>0</v>
      </c>
      <c r="DB943">
        <v>0</v>
      </c>
      <c r="DC943">
        <v>0</v>
      </c>
      <c r="DD943">
        <v>0</v>
      </c>
      <c r="DE943">
        <v>0</v>
      </c>
      <c r="DF943">
        <v>0</v>
      </c>
      <c r="DG943" s="16">
        <f t="shared" si="77"/>
        <v>0</v>
      </c>
      <c r="DH943" s="16">
        <f t="shared" si="78"/>
        <v>0</v>
      </c>
      <c r="DI943" s="17" t="str">
        <f t="shared" si="79"/>
        <v/>
      </c>
      <c r="DJ943" s="119" t="s">
        <v>718</v>
      </c>
      <c r="DK943" s="44" t="s">
        <v>718</v>
      </c>
    </row>
    <row r="944" spans="1:117" ht="15" customHeight="1">
      <c r="A944" s="32" t="str">
        <f t="shared" si="80"/>
        <v>SA Power--&gt; 22 kV &amp; &lt; = 66 kV</v>
      </c>
      <c r="B944" s="32" t="str">
        <f t="shared" si="81"/>
        <v>SA Power</v>
      </c>
      <c r="C944" s="385"/>
      <c r="E944" t="s">
        <v>174</v>
      </c>
      <c r="F944">
        <v>60</v>
      </c>
      <c r="G944">
        <v>7.745966692414834</v>
      </c>
      <c r="H944">
        <v>0.87477749999999999</v>
      </c>
      <c r="I944">
        <v>75.230864999999994</v>
      </c>
      <c r="J944">
        <v>105.32321099999997</v>
      </c>
      <c r="K944">
        <v>71.031932999999995</v>
      </c>
      <c r="L944">
        <v>40.939586999999996</v>
      </c>
      <c r="M944">
        <v>10.847241</v>
      </c>
      <c r="N944">
        <v>11.722018499999999</v>
      </c>
      <c r="O944">
        <v>42.8640975</v>
      </c>
      <c r="P944">
        <v>64.208668499999987</v>
      </c>
      <c r="Q944">
        <v>24.843680999999993</v>
      </c>
      <c r="R944">
        <v>47.15050724999999</v>
      </c>
      <c r="S944">
        <v>173.46837824999997</v>
      </c>
      <c r="T944">
        <v>165.85781399999996</v>
      </c>
      <c r="U944">
        <v>41.044560300000001</v>
      </c>
      <c r="V944">
        <v>3.2541722999999996</v>
      </c>
      <c r="W944">
        <v>0</v>
      </c>
      <c r="X944">
        <v>0</v>
      </c>
      <c r="Y944">
        <v>0</v>
      </c>
      <c r="Z944">
        <v>14.696262000000001</v>
      </c>
      <c r="AA944">
        <v>14.696262000000001</v>
      </c>
      <c r="AB944">
        <v>20.38231575</v>
      </c>
      <c r="AC944">
        <v>20.38231575</v>
      </c>
      <c r="AD944">
        <v>23.094125999999999</v>
      </c>
      <c r="AE944">
        <v>48.287718000000005</v>
      </c>
      <c r="AF944">
        <v>88.177571999999984</v>
      </c>
      <c r="AG944">
        <v>175.13045549999995</v>
      </c>
      <c r="AH944">
        <v>113.89603049999998</v>
      </c>
      <c r="AI944">
        <v>438.96334949999999</v>
      </c>
      <c r="AJ944">
        <v>597.82294349999995</v>
      </c>
      <c r="AK944">
        <v>168.83205749999999</v>
      </c>
      <c r="AL944">
        <v>13.4715735</v>
      </c>
      <c r="AM944">
        <v>21.519526499999998</v>
      </c>
      <c r="AN944">
        <v>169.53187949999995</v>
      </c>
      <c r="AO944">
        <v>160.60914899999997</v>
      </c>
      <c r="AP944">
        <v>170.23170150000001</v>
      </c>
      <c r="AQ944">
        <v>368.45628299999993</v>
      </c>
      <c r="AR944">
        <v>228.66683849999998</v>
      </c>
      <c r="AS944">
        <v>44.088785999999992</v>
      </c>
      <c r="AT944">
        <v>55.110982499999999</v>
      </c>
      <c r="AU944">
        <v>202.98337110000003</v>
      </c>
      <c r="AV944">
        <v>413.80474859999993</v>
      </c>
      <c r="AW944">
        <v>307.22185799999994</v>
      </c>
      <c r="AX944">
        <v>472.02993900000001</v>
      </c>
      <c r="AY944">
        <v>621.05703389999996</v>
      </c>
      <c r="AZ944">
        <v>425.15936054999997</v>
      </c>
      <c r="BA944">
        <v>449.30321954999999</v>
      </c>
      <c r="BB944">
        <v>721.48149090000004</v>
      </c>
      <c r="BC944">
        <v>842.57985614999996</v>
      </c>
      <c r="BD944">
        <v>539.67356714999994</v>
      </c>
      <c r="BE944">
        <v>415.95086939999999</v>
      </c>
      <c r="BF944">
        <v>475.93144664999994</v>
      </c>
      <c r="BG944">
        <v>586.88822474999995</v>
      </c>
      <c r="BH944">
        <v>580.15243799999996</v>
      </c>
      <c r="BI944">
        <v>325.06731899999994</v>
      </c>
      <c r="BJ944">
        <v>172.33116749999999</v>
      </c>
      <c r="BK944">
        <v>182.12867549999996</v>
      </c>
      <c r="BL944">
        <v>182.72352419999999</v>
      </c>
      <c r="BM944">
        <v>326.71190069999994</v>
      </c>
      <c r="BN944">
        <v>321.3932534999999</v>
      </c>
      <c r="BO944">
        <v>145.03810950000002</v>
      </c>
      <c r="BP944">
        <v>255.90157799999997</v>
      </c>
      <c r="BQ944">
        <v>320.81006849999994</v>
      </c>
      <c r="BR944">
        <v>639.33988364999993</v>
      </c>
      <c r="BS944">
        <v>508.29821414999998</v>
      </c>
      <c r="BT944">
        <v>0</v>
      </c>
      <c r="BU944">
        <v>70.848229724999996</v>
      </c>
      <c r="BV944">
        <v>206.08883122500001</v>
      </c>
      <c r="BW944">
        <v>189.12689550000002</v>
      </c>
      <c r="BX944">
        <v>53.886293999999999</v>
      </c>
      <c r="BY944">
        <v>0</v>
      </c>
      <c r="BZ944">
        <v>34.64118899999999</v>
      </c>
      <c r="CA944">
        <v>34.64118899999999</v>
      </c>
      <c r="CB944">
        <v>212.67590579999998</v>
      </c>
      <c r="CC944">
        <v>316.77442830000001</v>
      </c>
      <c r="CD944">
        <v>104.09852249999999</v>
      </c>
      <c r="CE944">
        <v>51.699350250000002</v>
      </c>
      <c r="CF944">
        <v>51.699350250000002</v>
      </c>
      <c r="CG944">
        <v>9.6225524999999994</v>
      </c>
      <c r="CH944">
        <v>9.6225524999999994</v>
      </c>
      <c r="CI944">
        <v>0</v>
      </c>
      <c r="CJ944">
        <v>0</v>
      </c>
      <c r="CK944">
        <v>0</v>
      </c>
      <c r="CL944">
        <v>237.41461349999997</v>
      </c>
      <c r="CM944">
        <v>237.41461349999997</v>
      </c>
      <c r="CN944">
        <v>0</v>
      </c>
      <c r="CO944">
        <v>0</v>
      </c>
      <c r="CP944">
        <v>0</v>
      </c>
      <c r="CQ944">
        <v>0</v>
      </c>
      <c r="CR944">
        <v>0</v>
      </c>
      <c r="CS944">
        <v>0</v>
      </c>
      <c r="CT944">
        <v>0</v>
      </c>
      <c r="CU944">
        <v>0</v>
      </c>
      <c r="CV944">
        <v>0</v>
      </c>
      <c r="CW944">
        <v>0</v>
      </c>
      <c r="CX944">
        <v>0</v>
      </c>
      <c r="CY944">
        <v>0</v>
      </c>
      <c r="CZ944">
        <v>0</v>
      </c>
      <c r="DA944">
        <v>0</v>
      </c>
      <c r="DB944">
        <v>0</v>
      </c>
      <c r="DC944">
        <v>0</v>
      </c>
      <c r="DD944">
        <v>0</v>
      </c>
      <c r="DE944">
        <v>0</v>
      </c>
      <c r="DF944">
        <v>0</v>
      </c>
      <c r="DG944" s="16">
        <f t="shared" si="77"/>
        <v>16088.925275549997</v>
      </c>
      <c r="DH944" s="16">
        <f t="shared" si="78"/>
        <v>769962.8350677751</v>
      </c>
      <c r="DI944" s="17">
        <f t="shared" si="79"/>
        <v>47.856697814233222</v>
      </c>
      <c r="DJ944" s="119" t="s">
        <v>718</v>
      </c>
      <c r="DK944" s="44" t="s">
        <v>718</v>
      </c>
    </row>
    <row r="945" spans="1:115" ht="15" customHeight="1">
      <c r="A945" s="32" t="str">
        <f t="shared" si="80"/>
        <v>SA Power--&gt; 66 kV &amp; &lt; = 132 kV</v>
      </c>
      <c r="B945" s="32" t="str">
        <f t="shared" si="81"/>
        <v>SA Power</v>
      </c>
      <c r="C945" s="385"/>
      <c r="E945" t="s">
        <v>175</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0</v>
      </c>
      <c r="AR945">
        <v>0</v>
      </c>
      <c r="AS945">
        <v>0</v>
      </c>
      <c r="AT945">
        <v>0</v>
      </c>
      <c r="AU945">
        <v>0</v>
      </c>
      <c r="AV945">
        <v>0</v>
      </c>
      <c r="AW945">
        <v>0</v>
      </c>
      <c r="AX945">
        <v>0</v>
      </c>
      <c r="AY945">
        <v>0</v>
      </c>
      <c r="AZ945">
        <v>0</v>
      </c>
      <c r="BA945">
        <v>0</v>
      </c>
      <c r="BB945">
        <v>0</v>
      </c>
      <c r="BC945">
        <v>0</v>
      </c>
      <c r="BD945">
        <v>0</v>
      </c>
      <c r="BE945">
        <v>0</v>
      </c>
      <c r="BF945">
        <v>0</v>
      </c>
      <c r="BG945">
        <v>0</v>
      </c>
      <c r="BH945">
        <v>0</v>
      </c>
      <c r="BI945">
        <v>0</v>
      </c>
      <c r="BJ945">
        <v>0</v>
      </c>
      <c r="BK945">
        <v>0</v>
      </c>
      <c r="BL945">
        <v>0</v>
      </c>
      <c r="BM945">
        <v>0</v>
      </c>
      <c r="BN945">
        <v>0</v>
      </c>
      <c r="BO945">
        <v>0</v>
      </c>
      <c r="BP945">
        <v>0</v>
      </c>
      <c r="BQ945">
        <v>0</v>
      </c>
      <c r="BR945">
        <v>0</v>
      </c>
      <c r="BS945">
        <v>0</v>
      </c>
      <c r="BT945">
        <v>0</v>
      </c>
      <c r="BU945">
        <v>0</v>
      </c>
      <c r="BV945">
        <v>0</v>
      </c>
      <c r="BW945">
        <v>0</v>
      </c>
      <c r="BX945">
        <v>0</v>
      </c>
      <c r="BY945">
        <v>0</v>
      </c>
      <c r="BZ945">
        <v>0</v>
      </c>
      <c r="CA945">
        <v>0</v>
      </c>
      <c r="CB945">
        <v>0</v>
      </c>
      <c r="CC945">
        <v>0</v>
      </c>
      <c r="CD945">
        <v>0</v>
      </c>
      <c r="CE945">
        <v>0</v>
      </c>
      <c r="CF945">
        <v>0</v>
      </c>
      <c r="CG945">
        <v>0</v>
      </c>
      <c r="CH945">
        <v>0</v>
      </c>
      <c r="CI945">
        <v>0</v>
      </c>
      <c r="CJ945">
        <v>0</v>
      </c>
      <c r="CK945">
        <v>0</v>
      </c>
      <c r="CL945">
        <v>0</v>
      </c>
      <c r="CM945">
        <v>0</v>
      </c>
      <c r="CN945">
        <v>0</v>
      </c>
      <c r="CO945">
        <v>0</v>
      </c>
      <c r="CP945">
        <v>0</v>
      </c>
      <c r="CQ945">
        <v>0</v>
      </c>
      <c r="CR945">
        <v>0</v>
      </c>
      <c r="CS945">
        <v>0</v>
      </c>
      <c r="CT945">
        <v>0</v>
      </c>
      <c r="CU945">
        <v>0</v>
      </c>
      <c r="CV945">
        <v>0</v>
      </c>
      <c r="CW945">
        <v>0</v>
      </c>
      <c r="CX945">
        <v>0</v>
      </c>
      <c r="CY945">
        <v>0</v>
      </c>
      <c r="CZ945">
        <v>0</v>
      </c>
      <c r="DA945">
        <v>0</v>
      </c>
      <c r="DB945">
        <v>0</v>
      </c>
      <c r="DC945">
        <v>0</v>
      </c>
      <c r="DD945">
        <v>0</v>
      </c>
      <c r="DE945">
        <v>0</v>
      </c>
      <c r="DF945">
        <v>0</v>
      </c>
      <c r="DG945" s="16">
        <f t="shared" si="77"/>
        <v>0</v>
      </c>
      <c r="DH945" s="16">
        <f t="shared" si="78"/>
        <v>0</v>
      </c>
      <c r="DI945" s="17" t="str">
        <f t="shared" si="79"/>
        <v/>
      </c>
      <c r="DJ945" s="119" t="s">
        <v>718</v>
      </c>
      <c r="DK945" s="44" t="s">
        <v>718</v>
      </c>
    </row>
    <row r="946" spans="1:115" ht="15" customHeight="1">
      <c r="A946" s="32" t="str">
        <f t="shared" si="80"/>
        <v>SA Power--&gt; 132 kV</v>
      </c>
      <c r="B946" s="32" t="str">
        <f t="shared" si="81"/>
        <v>SA Power</v>
      </c>
      <c r="C946" s="385"/>
      <c r="E946" t="s">
        <v>176</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v>0</v>
      </c>
      <c r="BQ946">
        <v>0</v>
      </c>
      <c r="BR946">
        <v>0</v>
      </c>
      <c r="BS946">
        <v>0</v>
      </c>
      <c r="BT946">
        <v>0</v>
      </c>
      <c r="BU946">
        <v>0</v>
      </c>
      <c r="BV946">
        <v>0</v>
      </c>
      <c r="BW946">
        <v>0</v>
      </c>
      <c r="BX946">
        <v>0</v>
      </c>
      <c r="BY946">
        <v>0</v>
      </c>
      <c r="BZ946">
        <v>0</v>
      </c>
      <c r="CA946">
        <v>0</v>
      </c>
      <c r="CB946">
        <v>0</v>
      </c>
      <c r="CC946">
        <v>0</v>
      </c>
      <c r="CD946">
        <v>0</v>
      </c>
      <c r="CE946">
        <v>0</v>
      </c>
      <c r="CF946">
        <v>0</v>
      </c>
      <c r="CG946">
        <v>0</v>
      </c>
      <c r="CH946">
        <v>0</v>
      </c>
      <c r="CI946">
        <v>0</v>
      </c>
      <c r="CJ946">
        <v>0</v>
      </c>
      <c r="CK946">
        <v>0</v>
      </c>
      <c r="CL946">
        <v>0</v>
      </c>
      <c r="CM946">
        <v>0</v>
      </c>
      <c r="CN946">
        <v>0</v>
      </c>
      <c r="CO946">
        <v>0</v>
      </c>
      <c r="CP946">
        <v>0</v>
      </c>
      <c r="CQ946">
        <v>0</v>
      </c>
      <c r="CR946">
        <v>0</v>
      </c>
      <c r="CS946">
        <v>0</v>
      </c>
      <c r="CT946">
        <v>0</v>
      </c>
      <c r="CU946">
        <v>0</v>
      </c>
      <c r="CV946">
        <v>0</v>
      </c>
      <c r="CW946">
        <v>0</v>
      </c>
      <c r="CX946">
        <v>0</v>
      </c>
      <c r="CY946">
        <v>0</v>
      </c>
      <c r="CZ946">
        <v>0</v>
      </c>
      <c r="DA946">
        <v>0</v>
      </c>
      <c r="DB946">
        <v>0</v>
      </c>
      <c r="DC946">
        <v>0</v>
      </c>
      <c r="DD946">
        <v>0</v>
      </c>
      <c r="DE946">
        <v>0</v>
      </c>
      <c r="DF946">
        <v>0</v>
      </c>
      <c r="DG946" s="16">
        <f t="shared" si="77"/>
        <v>0</v>
      </c>
      <c r="DH946" s="16">
        <f t="shared" si="78"/>
        <v>0</v>
      </c>
      <c r="DI946" s="17" t="str">
        <f t="shared" si="79"/>
        <v/>
      </c>
      <c r="DJ946" s="119" t="s">
        <v>718</v>
      </c>
      <c r="DK946" s="44" t="s">
        <v>718</v>
      </c>
    </row>
    <row r="947" spans="1:115" ht="15" customHeight="1">
      <c r="A947" s="32" t="str">
        <f t="shared" si="80"/>
        <v>SA Power--OTHER - PLEASE ADD A ROW IF NECESSARY AND NOMINATE THE CATEGORY</v>
      </c>
      <c r="B947" s="32" t="str">
        <f t="shared" si="81"/>
        <v>SA Power</v>
      </c>
      <c r="C947" s="385"/>
      <c r="E947" t="s">
        <v>170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v>0</v>
      </c>
      <c r="BK947">
        <v>0</v>
      </c>
      <c r="BL947">
        <v>0</v>
      </c>
      <c r="BM947">
        <v>0</v>
      </c>
      <c r="BN947">
        <v>0</v>
      </c>
      <c r="BO947">
        <v>0</v>
      </c>
      <c r="BP947">
        <v>0</v>
      </c>
      <c r="BQ947">
        <v>0</v>
      </c>
      <c r="BR947">
        <v>0</v>
      </c>
      <c r="BS947">
        <v>0</v>
      </c>
      <c r="BT947">
        <v>0</v>
      </c>
      <c r="BU947">
        <v>0</v>
      </c>
      <c r="BV947">
        <v>0</v>
      </c>
      <c r="BW947">
        <v>0</v>
      </c>
      <c r="BX947">
        <v>0</v>
      </c>
      <c r="BY947">
        <v>0</v>
      </c>
      <c r="BZ947">
        <v>0</v>
      </c>
      <c r="CA947">
        <v>0</v>
      </c>
      <c r="CB947">
        <v>0</v>
      </c>
      <c r="CC947">
        <v>0</v>
      </c>
      <c r="CD947">
        <v>0</v>
      </c>
      <c r="CE947">
        <v>0</v>
      </c>
      <c r="CF947">
        <v>0</v>
      </c>
      <c r="CG947">
        <v>0</v>
      </c>
      <c r="CH947">
        <v>0</v>
      </c>
      <c r="CI947">
        <v>0</v>
      </c>
      <c r="CJ947">
        <v>0</v>
      </c>
      <c r="CK947">
        <v>0</v>
      </c>
      <c r="CL947">
        <v>0</v>
      </c>
      <c r="CM947">
        <v>0</v>
      </c>
      <c r="CN947">
        <v>0</v>
      </c>
      <c r="CO947">
        <v>0</v>
      </c>
      <c r="CP947">
        <v>0</v>
      </c>
      <c r="CQ947">
        <v>0</v>
      </c>
      <c r="CR947">
        <v>0</v>
      </c>
      <c r="CS947">
        <v>0</v>
      </c>
      <c r="CT947">
        <v>0</v>
      </c>
      <c r="CU947">
        <v>0</v>
      </c>
      <c r="CV947">
        <v>0</v>
      </c>
      <c r="CW947">
        <v>0</v>
      </c>
      <c r="CX947">
        <v>0</v>
      </c>
      <c r="CY947">
        <v>0</v>
      </c>
      <c r="CZ947">
        <v>0</v>
      </c>
      <c r="DA947">
        <v>0</v>
      </c>
      <c r="DB947">
        <v>0</v>
      </c>
      <c r="DC947">
        <v>0</v>
      </c>
      <c r="DD947">
        <v>0</v>
      </c>
      <c r="DE947">
        <v>0</v>
      </c>
      <c r="DF947">
        <v>0</v>
      </c>
      <c r="DG947" s="16">
        <f t="shared" si="77"/>
        <v>0</v>
      </c>
      <c r="DH947" s="16">
        <f t="shared" si="78"/>
        <v>0</v>
      </c>
      <c r="DI947" s="17" t="str">
        <f t="shared" si="79"/>
        <v/>
      </c>
      <c r="DJ947" s="119" t="s">
        <v>718</v>
      </c>
      <c r="DK947" s="44" t="s">
        <v>718</v>
      </c>
    </row>
    <row r="948" spans="1:115" ht="15" customHeight="1">
      <c r="A948" s="32" t="str">
        <f t="shared" si="80"/>
        <v>SA Power-UNDERGROUND CABLES BY: 
HIGHEST OPERATING VOLTAGE-˂ = 1 kV</v>
      </c>
      <c r="B948" s="32" t="str">
        <f t="shared" si="81"/>
        <v>SA Power</v>
      </c>
      <c r="C948" s="385"/>
      <c r="D948" t="s">
        <v>539</v>
      </c>
      <c r="E948" t="s">
        <v>171</v>
      </c>
      <c r="F948">
        <v>45</v>
      </c>
      <c r="G948">
        <v>6.7823932499369999</v>
      </c>
      <c r="H948">
        <v>0</v>
      </c>
      <c r="I948">
        <v>112.05727377999999</v>
      </c>
      <c r="J948">
        <v>126.01874943999998</v>
      </c>
      <c r="K948">
        <v>89.965535209999985</v>
      </c>
      <c r="L948">
        <v>100.20415332999998</v>
      </c>
      <c r="M948">
        <v>30.8810027</v>
      </c>
      <c r="N948">
        <v>6.6809089200000003</v>
      </c>
      <c r="O948">
        <v>5.4802182500000001</v>
      </c>
      <c r="P948">
        <v>12.828740419999999</v>
      </c>
      <c r="Q948">
        <v>7.4046089200000003</v>
      </c>
      <c r="R948">
        <v>97.467264670000006</v>
      </c>
      <c r="S948">
        <v>97.411177920000014</v>
      </c>
      <c r="T948">
        <v>1.0997345199999999</v>
      </c>
      <c r="U948">
        <v>45.626534939999999</v>
      </c>
      <c r="V948">
        <v>50.087059889999999</v>
      </c>
      <c r="W948">
        <v>51.565796100000014</v>
      </c>
      <c r="X948">
        <v>47.971395309999998</v>
      </c>
      <c r="Y948">
        <v>2.1158816900000001</v>
      </c>
      <c r="Z948">
        <v>0.15002301000000001</v>
      </c>
      <c r="AA948">
        <v>14.654563150000001</v>
      </c>
      <c r="AB948">
        <v>14.694511390000001</v>
      </c>
      <c r="AC948">
        <v>0.16529307999999998</v>
      </c>
      <c r="AD948">
        <v>445.37655919999969</v>
      </c>
      <c r="AE948">
        <v>450.04304916999985</v>
      </c>
      <c r="AF948">
        <v>34.905064180000004</v>
      </c>
      <c r="AG948">
        <v>84.064992000000004</v>
      </c>
      <c r="AH948">
        <v>70.214387180000017</v>
      </c>
      <c r="AI948">
        <v>55.339312640000003</v>
      </c>
      <c r="AJ948">
        <v>196.24855142999999</v>
      </c>
      <c r="AK948">
        <v>210.68918886000003</v>
      </c>
      <c r="AL948">
        <v>112.80521773000001</v>
      </c>
      <c r="AM948">
        <v>65.617734260000006</v>
      </c>
      <c r="AN948">
        <v>334.62136645999988</v>
      </c>
      <c r="AO948">
        <v>393.43111007999988</v>
      </c>
      <c r="AP948">
        <v>154.76273841000003</v>
      </c>
      <c r="AQ948">
        <v>151.01947253</v>
      </c>
      <c r="AR948">
        <v>360.48025301000007</v>
      </c>
      <c r="AS948">
        <v>532.50026924999997</v>
      </c>
      <c r="AT948">
        <v>302.69193957000005</v>
      </c>
      <c r="AU948">
        <v>218.93987545000002</v>
      </c>
      <c r="AV948">
        <v>576.95267331000036</v>
      </c>
      <c r="AW948">
        <v>648.83866275000037</v>
      </c>
      <c r="AX948">
        <v>827.77450092999982</v>
      </c>
      <c r="AY948">
        <v>955.89053296999998</v>
      </c>
      <c r="AZ948">
        <v>657.8215889999999</v>
      </c>
      <c r="BA948">
        <v>585.02750079999998</v>
      </c>
      <c r="BB948">
        <v>454.87396377999994</v>
      </c>
      <c r="BC948">
        <v>483.27535316999996</v>
      </c>
      <c r="BD948">
        <v>501.4838622800001</v>
      </c>
      <c r="BE948">
        <v>357.08067226000003</v>
      </c>
      <c r="BF948">
        <v>233.74836959000004</v>
      </c>
      <c r="BG948">
        <v>174.80351117999996</v>
      </c>
      <c r="BH948">
        <v>314.23517168000001</v>
      </c>
      <c r="BI948">
        <v>328.66958529000004</v>
      </c>
      <c r="BJ948">
        <v>124.86857303000004</v>
      </c>
      <c r="BK948">
        <v>58.857869670000007</v>
      </c>
      <c r="BL948">
        <v>107.78867407</v>
      </c>
      <c r="BM948">
        <v>124.38912178000002</v>
      </c>
      <c r="BN948">
        <v>67.884362660000008</v>
      </c>
      <c r="BO948">
        <v>0.94558642000000004</v>
      </c>
      <c r="BP948">
        <v>0.32638870000000003</v>
      </c>
      <c r="BQ948">
        <v>0.50905058000000014</v>
      </c>
      <c r="BR948">
        <v>0.72355525999999992</v>
      </c>
      <c r="BS948">
        <v>0.52996550999999992</v>
      </c>
      <c r="BT948">
        <v>0</v>
      </c>
      <c r="BU948">
        <v>0</v>
      </c>
      <c r="BV948">
        <v>0.24193291</v>
      </c>
      <c r="BW948">
        <v>0.24193291</v>
      </c>
      <c r="BX948">
        <v>0</v>
      </c>
      <c r="BY948">
        <v>0</v>
      </c>
      <c r="BZ948">
        <v>0</v>
      </c>
      <c r="CA948">
        <v>0</v>
      </c>
      <c r="CB948">
        <v>1.9578256100000002</v>
      </c>
      <c r="CC948">
        <v>4.6879114900000003</v>
      </c>
      <c r="CD948">
        <v>2.7300858800000003</v>
      </c>
      <c r="CE948">
        <v>0</v>
      </c>
      <c r="CF948">
        <v>0</v>
      </c>
      <c r="CG948">
        <v>0</v>
      </c>
      <c r="CH948">
        <v>0</v>
      </c>
      <c r="CI948">
        <v>0</v>
      </c>
      <c r="CJ948">
        <v>0</v>
      </c>
      <c r="CK948">
        <v>0</v>
      </c>
      <c r="CL948">
        <v>4.07537181</v>
      </c>
      <c r="CM948">
        <v>4.07537181</v>
      </c>
      <c r="CN948">
        <v>0</v>
      </c>
      <c r="CO948">
        <v>0</v>
      </c>
      <c r="CP948">
        <v>0</v>
      </c>
      <c r="CQ948">
        <v>0</v>
      </c>
      <c r="CR948">
        <v>0</v>
      </c>
      <c r="CS948">
        <v>0</v>
      </c>
      <c r="CT948">
        <v>0</v>
      </c>
      <c r="CU948">
        <v>0</v>
      </c>
      <c r="CV948">
        <v>0</v>
      </c>
      <c r="CW948">
        <v>0</v>
      </c>
      <c r="CX948">
        <v>0</v>
      </c>
      <c r="CY948">
        <v>0</v>
      </c>
      <c r="CZ948">
        <v>0</v>
      </c>
      <c r="DA948">
        <v>0</v>
      </c>
      <c r="DB948">
        <v>0</v>
      </c>
      <c r="DC948">
        <v>0</v>
      </c>
      <c r="DD948">
        <v>0</v>
      </c>
      <c r="DE948">
        <v>0</v>
      </c>
      <c r="DF948">
        <v>0</v>
      </c>
      <c r="DG948" s="16">
        <f t="shared" si="77"/>
        <v>12693.591037140002</v>
      </c>
      <c r="DH948" s="16">
        <f t="shared" si="78"/>
        <v>499038.21459921001</v>
      </c>
      <c r="DI948" s="17">
        <f t="shared" si="79"/>
        <v>39.314187225591326</v>
      </c>
      <c r="DJ948" s="119" t="s">
        <v>572</v>
      </c>
      <c r="DK948" t="s">
        <v>572</v>
      </c>
    </row>
    <row r="949" spans="1:115" ht="15" customHeight="1">
      <c r="A949" s="32" t="str">
        <f t="shared" si="80"/>
        <v>SA Power--&gt; 1 kV &amp; &lt; = 11 kV</v>
      </c>
      <c r="B949" s="32" t="str">
        <f t="shared" si="81"/>
        <v>SA Power</v>
      </c>
      <c r="C949" s="385"/>
      <c r="E949" t="s">
        <v>172</v>
      </c>
      <c r="F949">
        <v>45</v>
      </c>
      <c r="G949">
        <v>6.7823932499369999</v>
      </c>
      <c r="H949">
        <v>49.988045570981441</v>
      </c>
      <c r="I949">
        <v>144.81751697707313</v>
      </c>
      <c r="J949">
        <v>173.37034813297751</v>
      </c>
      <c r="K949">
        <v>159.01637602908053</v>
      </c>
      <c r="L949">
        <v>140.94603623521178</v>
      </c>
      <c r="M949">
        <v>104.08103330936407</v>
      </c>
      <c r="N949">
        <v>86.686402496905487</v>
      </c>
      <c r="O949">
        <v>75.039761835879617</v>
      </c>
      <c r="P949">
        <v>65.980208538719822</v>
      </c>
      <c r="Q949">
        <v>68.663929076738611</v>
      </c>
      <c r="R949">
        <v>67.515001218665176</v>
      </c>
      <c r="S949">
        <v>61.453233489582502</v>
      </c>
      <c r="T949">
        <v>40.419508983484185</v>
      </c>
      <c r="U949">
        <v>13.231311677638317</v>
      </c>
      <c r="V949">
        <v>3.0881417640811484</v>
      </c>
      <c r="W949">
        <v>11.696714495283979</v>
      </c>
      <c r="X949">
        <v>10.915385596192262</v>
      </c>
      <c r="Y949">
        <v>2.312796646578009</v>
      </c>
      <c r="Z949">
        <v>1.6054649999999999</v>
      </c>
      <c r="AA949">
        <v>3.7614278057037556</v>
      </c>
      <c r="AB949">
        <v>5.1754628057037557</v>
      </c>
      <c r="AC949">
        <v>1.618844770729478</v>
      </c>
      <c r="AD949">
        <v>106.23193371848667</v>
      </c>
      <c r="AE949">
        <v>107.09906894775722</v>
      </c>
      <c r="AF949">
        <v>10.730447261258197</v>
      </c>
      <c r="AG949">
        <v>13.098977261258195</v>
      </c>
      <c r="AH949">
        <v>9.0399087755045873</v>
      </c>
      <c r="AI949">
        <v>15.930677468551114</v>
      </c>
      <c r="AJ949">
        <v>42.986081141943409</v>
      </c>
      <c r="AK949">
        <v>54.751152315633838</v>
      </c>
      <c r="AL949">
        <v>31.78042177132264</v>
      </c>
      <c r="AM949">
        <v>12.368587206611164</v>
      </c>
      <c r="AN949">
        <v>75.126446823417183</v>
      </c>
      <c r="AO949">
        <v>85.116016257443547</v>
      </c>
      <c r="AP949">
        <v>37.129208994668105</v>
      </c>
      <c r="AQ949">
        <v>38.434634778171436</v>
      </c>
      <c r="AR949">
        <v>72.200176847921966</v>
      </c>
      <c r="AS949">
        <v>104.78241191486595</v>
      </c>
      <c r="AT949">
        <v>65.519811592809447</v>
      </c>
      <c r="AU949">
        <v>46.650636440060296</v>
      </c>
      <c r="AV949">
        <v>87.55830193257799</v>
      </c>
      <c r="AW949">
        <v>121.0542953200445</v>
      </c>
      <c r="AX949">
        <v>199.72061702040168</v>
      </c>
      <c r="AY949">
        <v>200.67516603981559</v>
      </c>
      <c r="AZ949">
        <v>119.33837315298199</v>
      </c>
      <c r="BA949">
        <v>130.25371425556469</v>
      </c>
      <c r="BB949">
        <v>115.49005686260632</v>
      </c>
      <c r="BC949">
        <v>116.66372388248881</v>
      </c>
      <c r="BD949">
        <v>111.52238659288683</v>
      </c>
      <c r="BE949">
        <v>66.549918976415299</v>
      </c>
      <c r="BF949">
        <v>49.07220627532223</v>
      </c>
      <c r="BG949">
        <v>47.025862932270051</v>
      </c>
      <c r="BH949">
        <v>70.164392961432043</v>
      </c>
      <c r="BI949">
        <v>66.170516867817369</v>
      </c>
      <c r="BJ949">
        <v>30.99978251723148</v>
      </c>
      <c r="BK949">
        <v>14.304376518905599</v>
      </c>
      <c r="BL949">
        <v>16.449942532435752</v>
      </c>
      <c r="BM949">
        <v>22.107621502673336</v>
      </c>
      <c r="BN949">
        <v>12.051936881868883</v>
      </c>
      <c r="BO949">
        <v>7.2135000000000005E-2</v>
      </c>
      <c r="BP949">
        <v>0</v>
      </c>
      <c r="BQ949">
        <v>0</v>
      </c>
      <c r="BR949">
        <v>0</v>
      </c>
      <c r="BS949">
        <v>0</v>
      </c>
      <c r="BT949">
        <v>9.6345E-2</v>
      </c>
      <c r="BU949">
        <v>9.6345E-2</v>
      </c>
      <c r="BV949">
        <v>0</v>
      </c>
      <c r="BW949">
        <v>0</v>
      </c>
      <c r="BX949">
        <v>0</v>
      </c>
      <c r="BY949">
        <v>0</v>
      </c>
      <c r="BZ949">
        <v>0</v>
      </c>
      <c r="CA949">
        <v>0</v>
      </c>
      <c r="CB949">
        <v>0</v>
      </c>
      <c r="CC949">
        <v>0</v>
      </c>
      <c r="CD949">
        <v>0</v>
      </c>
      <c r="CE949">
        <v>0</v>
      </c>
      <c r="CF949">
        <v>0</v>
      </c>
      <c r="CG949">
        <v>0</v>
      </c>
      <c r="CH949">
        <v>0</v>
      </c>
      <c r="CI949">
        <v>0</v>
      </c>
      <c r="CJ949">
        <v>0</v>
      </c>
      <c r="CK949">
        <v>0</v>
      </c>
      <c r="CL949">
        <v>0</v>
      </c>
      <c r="CM949">
        <v>0</v>
      </c>
      <c r="CN949">
        <v>0</v>
      </c>
      <c r="CO949">
        <v>0</v>
      </c>
      <c r="CP949">
        <v>0</v>
      </c>
      <c r="CQ949">
        <v>0</v>
      </c>
      <c r="CR949">
        <v>0</v>
      </c>
      <c r="CS949">
        <v>0</v>
      </c>
      <c r="CT949">
        <v>0</v>
      </c>
      <c r="CU949">
        <v>0</v>
      </c>
      <c r="CV949">
        <v>0</v>
      </c>
      <c r="CW949">
        <v>0</v>
      </c>
      <c r="CX949">
        <v>0</v>
      </c>
      <c r="CY949">
        <v>0</v>
      </c>
      <c r="CZ949">
        <v>0</v>
      </c>
      <c r="DA949">
        <v>0</v>
      </c>
      <c r="DB949">
        <v>0</v>
      </c>
      <c r="DC949">
        <v>0</v>
      </c>
      <c r="DD949">
        <v>0</v>
      </c>
      <c r="DE949">
        <v>0</v>
      </c>
      <c r="DF949">
        <v>0</v>
      </c>
      <c r="DG949" s="16">
        <f t="shared" si="77"/>
        <v>3817.7975699999993</v>
      </c>
      <c r="DH949" s="16">
        <f t="shared" si="78"/>
        <v>112895.24399302984</v>
      </c>
      <c r="DI949" s="17">
        <f t="shared" si="79"/>
        <v>29.570777895651986</v>
      </c>
      <c r="DJ949" s="119" t="s">
        <v>572</v>
      </c>
      <c r="DK949" s="44" t="s">
        <v>572</v>
      </c>
    </row>
    <row r="950" spans="1:115" ht="15" customHeight="1">
      <c r="A950" s="32" t="str">
        <f t="shared" si="80"/>
        <v>SA Power--&gt; 11 kV &amp; &lt; = 22 kV</v>
      </c>
      <c r="B950" s="32" t="str">
        <f t="shared" si="81"/>
        <v>SA Power</v>
      </c>
      <c r="C950" s="385"/>
      <c r="E950" t="s">
        <v>181</v>
      </c>
      <c r="F950">
        <v>45</v>
      </c>
      <c r="G950">
        <v>6.7823932499369999</v>
      </c>
      <c r="H950">
        <v>4.7152120331062419E-2</v>
      </c>
      <c r="I950">
        <v>0.15660780965672422</v>
      </c>
      <c r="J950">
        <v>0.61778714539942903</v>
      </c>
      <c r="K950">
        <v>0.83561176161231276</v>
      </c>
      <c r="L950">
        <v>0.6403129907149443</v>
      </c>
      <c r="M950">
        <v>0.59748992626888364</v>
      </c>
      <c r="N950">
        <v>0.44461581730114469</v>
      </c>
      <c r="O950">
        <v>0.22285515930770317</v>
      </c>
      <c r="P950">
        <v>0.63160397819651948</v>
      </c>
      <c r="Q950">
        <v>0.68261371078267019</v>
      </c>
      <c r="R950">
        <v>0.20190279651648224</v>
      </c>
      <c r="S950">
        <v>0.27195654919253448</v>
      </c>
      <c r="T950">
        <v>0.32722828107685831</v>
      </c>
      <c r="U950">
        <v>0.14346821271561208</v>
      </c>
      <c r="V950">
        <v>0</v>
      </c>
      <c r="W950">
        <v>0</v>
      </c>
      <c r="X950">
        <v>0</v>
      </c>
      <c r="Y950">
        <v>0</v>
      </c>
      <c r="Z950">
        <v>0</v>
      </c>
      <c r="AA950">
        <v>0.15292424000000002</v>
      </c>
      <c r="AB950">
        <v>0.15292424000000002</v>
      </c>
      <c r="AC950">
        <v>0</v>
      </c>
      <c r="AD950">
        <v>0.57448883053671795</v>
      </c>
      <c r="AE950">
        <v>0.57448883053671795</v>
      </c>
      <c r="AF950">
        <v>7.7543678140695668E-2</v>
      </c>
      <c r="AG950">
        <v>0.87651997814069571</v>
      </c>
      <c r="AH950">
        <v>1.8129362450000002</v>
      </c>
      <c r="AI950">
        <v>1.0420562870398837</v>
      </c>
      <c r="AJ950">
        <v>2.8096342039883666E-2</v>
      </c>
      <c r="AK950">
        <v>0</v>
      </c>
      <c r="AL950">
        <v>0</v>
      </c>
      <c r="AM950">
        <v>0</v>
      </c>
      <c r="AN950">
        <v>0.36199992963600386</v>
      </c>
      <c r="AO950">
        <v>0.36199992963600386</v>
      </c>
      <c r="AP950">
        <v>4.8757815000000003E-2</v>
      </c>
      <c r="AQ950">
        <v>0.11520993982175282</v>
      </c>
      <c r="AR950">
        <v>0.35058800012822733</v>
      </c>
      <c r="AS950">
        <v>0.84090209686922079</v>
      </c>
      <c r="AT950">
        <v>1.3466247384887022</v>
      </c>
      <c r="AU950">
        <v>1.3042544066080175</v>
      </c>
      <c r="AV950">
        <v>1.4290766050137185</v>
      </c>
      <c r="AW950">
        <v>3.4589588724514937</v>
      </c>
      <c r="AX950">
        <v>4.4990021774721374</v>
      </c>
      <c r="AY950">
        <v>2.3326482408494198</v>
      </c>
      <c r="AZ950">
        <v>0.75486133049711923</v>
      </c>
      <c r="BA950">
        <v>0.95986953074053105</v>
      </c>
      <c r="BB950">
        <v>0.635390015740531</v>
      </c>
      <c r="BC950">
        <v>1.1025935789127781</v>
      </c>
      <c r="BD950">
        <v>1.5572844145498541</v>
      </c>
      <c r="BE950">
        <v>3.0512011536638268</v>
      </c>
      <c r="BF950">
        <v>6.7157012114679011</v>
      </c>
      <c r="BG950">
        <v>5.5200421853816914</v>
      </c>
      <c r="BH950">
        <v>5.5135503688247578</v>
      </c>
      <c r="BI950">
        <v>4.1651566718842172</v>
      </c>
      <c r="BJ950">
        <v>0</v>
      </c>
      <c r="BK950">
        <v>0.53531353177005569</v>
      </c>
      <c r="BL950">
        <v>0.53531353177005569</v>
      </c>
      <c r="BM950">
        <v>4.6272811157255254E-2</v>
      </c>
      <c r="BN950">
        <v>0.19206176115725523</v>
      </c>
      <c r="BO950">
        <v>0.14578895</v>
      </c>
      <c r="BP950">
        <v>0</v>
      </c>
      <c r="BQ950">
        <v>0</v>
      </c>
      <c r="BR950">
        <v>0</v>
      </c>
      <c r="BS950">
        <v>0</v>
      </c>
      <c r="BT950">
        <v>0</v>
      </c>
      <c r="BU950">
        <v>0</v>
      </c>
      <c r="BV950">
        <v>0</v>
      </c>
      <c r="BW950">
        <v>0</v>
      </c>
      <c r="BX950">
        <v>0</v>
      </c>
      <c r="BY950">
        <v>0</v>
      </c>
      <c r="BZ950">
        <v>0</v>
      </c>
      <c r="CA950">
        <v>0</v>
      </c>
      <c r="CB950">
        <v>0</v>
      </c>
      <c r="CC950">
        <v>0</v>
      </c>
      <c r="CD950">
        <v>0</v>
      </c>
      <c r="CE950">
        <v>0</v>
      </c>
      <c r="CF950">
        <v>0</v>
      </c>
      <c r="CG950">
        <v>0</v>
      </c>
      <c r="CH950">
        <v>0</v>
      </c>
      <c r="CI950">
        <v>0</v>
      </c>
      <c r="CJ950">
        <v>0</v>
      </c>
      <c r="CK950">
        <v>0</v>
      </c>
      <c r="CL950">
        <v>0</v>
      </c>
      <c r="CM950">
        <v>0</v>
      </c>
      <c r="CN950">
        <v>0</v>
      </c>
      <c r="CO950">
        <v>0</v>
      </c>
      <c r="CP950">
        <v>0</v>
      </c>
      <c r="CQ950">
        <v>0</v>
      </c>
      <c r="CR950">
        <v>0</v>
      </c>
      <c r="CS950">
        <v>0</v>
      </c>
      <c r="CT950">
        <v>0</v>
      </c>
      <c r="CU950">
        <v>0</v>
      </c>
      <c r="CV950">
        <v>0</v>
      </c>
      <c r="CW950">
        <v>0</v>
      </c>
      <c r="CX950">
        <v>0</v>
      </c>
      <c r="CY950">
        <v>0</v>
      </c>
      <c r="CZ950">
        <v>0</v>
      </c>
      <c r="DA950">
        <v>0</v>
      </c>
      <c r="DB950">
        <v>0</v>
      </c>
      <c r="DC950">
        <v>0</v>
      </c>
      <c r="DD950">
        <v>0</v>
      </c>
      <c r="DE950">
        <v>0</v>
      </c>
      <c r="DF950">
        <v>0</v>
      </c>
      <c r="DG950" s="16">
        <f t="shared" si="77"/>
        <v>58.993608730000005</v>
      </c>
      <c r="DH950" s="16">
        <f t="shared" si="78"/>
        <v>2477.8310426386538</v>
      </c>
      <c r="DI950" s="17">
        <f t="shared" si="79"/>
        <v>42.001686216198586</v>
      </c>
      <c r="DJ950" s="119" t="s">
        <v>572</v>
      </c>
      <c r="DK950" s="44" t="s">
        <v>572</v>
      </c>
    </row>
    <row r="951" spans="1:115" ht="15" customHeight="1">
      <c r="A951" s="32" t="str">
        <f t="shared" si="80"/>
        <v>SA Power--&gt; 22 kV &amp; &lt; = 33 kV</v>
      </c>
      <c r="B951" s="32" t="str">
        <f t="shared" si="81"/>
        <v>SA Power</v>
      </c>
      <c r="C951" s="385"/>
      <c r="E951" t="s">
        <v>182</v>
      </c>
      <c r="F951">
        <v>45</v>
      </c>
      <c r="G951">
        <v>6.7823932499369999</v>
      </c>
      <c r="H951">
        <v>1.3918682324234448</v>
      </c>
      <c r="I951">
        <v>4.7753466096574444</v>
      </c>
      <c r="J951">
        <v>3.8774583224278549</v>
      </c>
      <c r="K951">
        <v>1.7878146826280092</v>
      </c>
      <c r="L951">
        <v>7.8050183999452711</v>
      </c>
      <c r="M951">
        <v>8.6987642051629859</v>
      </c>
      <c r="N951">
        <v>5.8859947941595818</v>
      </c>
      <c r="O951">
        <v>8.9550905673227241</v>
      </c>
      <c r="P951">
        <v>6.1636682680438399</v>
      </c>
      <c r="Q951">
        <v>1.8179967269935144</v>
      </c>
      <c r="R951">
        <v>1.4053244310462594</v>
      </c>
      <c r="S951">
        <v>0.74788643711128011</v>
      </c>
      <c r="T951">
        <v>0.58169685174868524</v>
      </c>
      <c r="U951">
        <v>0.32813007091897822</v>
      </c>
      <c r="V951">
        <v>2.1455976292256214E-2</v>
      </c>
      <c r="W951">
        <v>0.20524127129225625</v>
      </c>
      <c r="X951">
        <v>0.19246683952822563</v>
      </c>
      <c r="Y951">
        <v>0.74626055452822571</v>
      </c>
      <c r="Z951">
        <v>0.73757901000000003</v>
      </c>
      <c r="AA951">
        <v>0</v>
      </c>
      <c r="AB951">
        <v>0.22185980154284216</v>
      </c>
      <c r="AC951">
        <v>0.74007831579492489</v>
      </c>
      <c r="AD951">
        <v>0.56173939835755293</v>
      </c>
      <c r="AE951">
        <v>0.92195947514282517</v>
      </c>
      <c r="AF951">
        <v>0.94918080603735466</v>
      </c>
      <c r="AG951">
        <v>0.65380835233652213</v>
      </c>
      <c r="AH951">
        <v>0.58306613733652213</v>
      </c>
      <c r="AI951">
        <v>5.4083710000000007E-2</v>
      </c>
      <c r="AJ951">
        <v>8.8250607778598916E-2</v>
      </c>
      <c r="AK951">
        <v>9.8996146085561704E-2</v>
      </c>
      <c r="AL951">
        <v>0.11168231646839158</v>
      </c>
      <c r="AM951">
        <v>4.6853068161428792E-2</v>
      </c>
      <c r="AN951">
        <v>0.267032675</v>
      </c>
      <c r="AO951">
        <v>0.28395939165663847</v>
      </c>
      <c r="AP951">
        <v>0.19036271296736526</v>
      </c>
      <c r="AQ951">
        <v>0.17343599631072681</v>
      </c>
      <c r="AR951">
        <v>0</v>
      </c>
      <c r="AS951">
        <v>1.311324691008341E-2</v>
      </c>
      <c r="AT951">
        <v>1.311324691008341E-2</v>
      </c>
      <c r="AU951">
        <v>2.0169431649999998</v>
      </c>
      <c r="AV951">
        <v>2.1563080720328234</v>
      </c>
      <c r="AW951">
        <v>1.2663646870328236</v>
      </c>
      <c r="AX951">
        <v>1.1269997799999998</v>
      </c>
      <c r="AY951">
        <v>0</v>
      </c>
      <c r="AZ951">
        <v>0</v>
      </c>
      <c r="BA951">
        <v>2.486627069407616</v>
      </c>
      <c r="BB951">
        <v>2.486627069407616</v>
      </c>
      <c r="BC951">
        <v>4.6912722761502357</v>
      </c>
      <c r="BD951">
        <v>4.7107137443719962</v>
      </c>
      <c r="BE951">
        <v>1.9441468221760311E-2</v>
      </c>
      <c r="BF951">
        <v>2.6244080010383892</v>
      </c>
      <c r="BG951">
        <v>2.7984765716991111</v>
      </c>
      <c r="BH951">
        <v>3.9335948036089916</v>
      </c>
      <c r="BI951">
        <v>4.4867343304206484</v>
      </c>
      <c r="BJ951">
        <v>0.75300094002206519</v>
      </c>
      <c r="BK951">
        <v>1.5520305155918155</v>
      </c>
      <c r="BL951">
        <v>2.0917843761508883</v>
      </c>
      <c r="BM951">
        <v>0.56554670310875932</v>
      </c>
      <c r="BN951">
        <v>4.099282656351054E-2</v>
      </c>
      <c r="BO951">
        <v>0.29687989969287387</v>
      </c>
      <c r="BP951">
        <v>0.25588707312936343</v>
      </c>
      <c r="BQ951">
        <v>0.26476744896115068</v>
      </c>
      <c r="BR951">
        <v>1.1245746690511373</v>
      </c>
      <c r="BS951">
        <v>0.85980722008998667</v>
      </c>
      <c r="BT951">
        <v>0</v>
      </c>
      <c r="BU951">
        <v>0</v>
      </c>
      <c r="BV951">
        <v>0.61424286999999989</v>
      </c>
      <c r="BW951">
        <v>0.61424286999999989</v>
      </c>
      <c r="BX951">
        <v>0</v>
      </c>
      <c r="BY951">
        <v>0</v>
      </c>
      <c r="BZ951">
        <v>0</v>
      </c>
      <c r="CA951">
        <v>0</v>
      </c>
      <c r="CB951">
        <v>1.2962653691621022</v>
      </c>
      <c r="CC951">
        <v>3.0348491139577756</v>
      </c>
      <c r="CD951">
        <v>1.7385837447956733</v>
      </c>
      <c r="CE951">
        <v>0</v>
      </c>
      <c r="CF951">
        <v>0</v>
      </c>
      <c r="CG951">
        <v>0</v>
      </c>
      <c r="CH951">
        <v>0</v>
      </c>
      <c r="CI951">
        <v>0</v>
      </c>
      <c r="CJ951">
        <v>0</v>
      </c>
      <c r="CK951">
        <v>0</v>
      </c>
      <c r="CL951">
        <v>0.49277945765131903</v>
      </c>
      <c r="CM951">
        <v>0.49277945765131903</v>
      </c>
      <c r="CN951">
        <v>0</v>
      </c>
      <c r="CO951">
        <v>0</v>
      </c>
      <c r="CP951">
        <v>0</v>
      </c>
      <c r="CQ951">
        <v>0</v>
      </c>
      <c r="CR951">
        <v>0</v>
      </c>
      <c r="CS951">
        <v>0</v>
      </c>
      <c r="CT951">
        <v>0</v>
      </c>
      <c r="CU951">
        <v>0</v>
      </c>
      <c r="CV951">
        <v>0</v>
      </c>
      <c r="CW951">
        <v>0</v>
      </c>
      <c r="CX951">
        <v>0</v>
      </c>
      <c r="CY951">
        <v>0</v>
      </c>
      <c r="CZ951">
        <v>0</v>
      </c>
      <c r="DA951">
        <v>0</v>
      </c>
      <c r="DB951">
        <v>0</v>
      </c>
      <c r="DC951">
        <v>0</v>
      </c>
      <c r="DD951">
        <v>0</v>
      </c>
      <c r="DE951">
        <v>0</v>
      </c>
      <c r="DF951">
        <v>0</v>
      </c>
      <c r="DG951" s="16">
        <f t="shared" si="77"/>
        <v>112.99116325000001</v>
      </c>
      <c r="DH951" s="16">
        <f t="shared" si="78"/>
        <v>3297.6097652660087</v>
      </c>
      <c r="DI951" s="17">
        <f t="shared" si="79"/>
        <v>29.184669583141126</v>
      </c>
      <c r="DJ951" s="119" t="s">
        <v>572</v>
      </c>
      <c r="DK951" s="44" t="s">
        <v>572</v>
      </c>
    </row>
    <row r="952" spans="1:115" ht="15" customHeight="1">
      <c r="A952" s="32" t="str">
        <f t="shared" si="80"/>
        <v>SA Power--&gt; 33 kV &amp; &lt; = 66 kV</v>
      </c>
      <c r="B952" s="32" t="str">
        <f t="shared" si="81"/>
        <v>SA Power</v>
      </c>
      <c r="C952" s="385"/>
      <c r="E952" t="s">
        <v>183</v>
      </c>
      <c r="F952">
        <v>45</v>
      </c>
      <c r="G952">
        <v>6.7823932499369999</v>
      </c>
      <c r="H952">
        <v>0.14423267222836456</v>
      </c>
      <c r="I952">
        <v>0.89500295037261546</v>
      </c>
      <c r="J952">
        <v>3.3133147052262988</v>
      </c>
      <c r="K952">
        <v>2.6223871369072436</v>
      </c>
      <c r="L952">
        <v>0.5497152526970972</v>
      </c>
      <c r="M952">
        <v>0.49477322658654438</v>
      </c>
      <c r="N952">
        <v>3.6021215824740355E-2</v>
      </c>
      <c r="O952">
        <v>3.6120880819188642E-2</v>
      </c>
      <c r="P952">
        <v>0.25501055543455137</v>
      </c>
      <c r="Q952">
        <v>0.25272509233977719</v>
      </c>
      <c r="R952">
        <v>1.6174485235102991E-2</v>
      </c>
      <c r="S952">
        <v>9.2876333611224174E-2</v>
      </c>
      <c r="T952">
        <v>7.9422232993302658E-2</v>
      </c>
      <c r="U952">
        <v>5.4990028648058218E-6</v>
      </c>
      <c r="V952">
        <v>0</v>
      </c>
      <c r="W952">
        <v>0</v>
      </c>
      <c r="X952">
        <v>1.0373514472316054</v>
      </c>
      <c r="Y952">
        <v>1.0892421857881955</v>
      </c>
      <c r="Z952">
        <v>5.1890738556589926E-2</v>
      </c>
      <c r="AA952">
        <v>0</v>
      </c>
      <c r="AB952">
        <v>0</v>
      </c>
      <c r="AC952">
        <v>2.2051627370015479</v>
      </c>
      <c r="AD952">
        <v>3.5459985556870115</v>
      </c>
      <c r="AE952">
        <v>1.3984037284510213</v>
      </c>
      <c r="AF952">
        <v>9.4332687805817508E-2</v>
      </c>
      <c r="AG952">
        <v>0.75022893504474053</v>
      </c>
      <c r="AH952">
        <v>1.1631913919649775</v>
      </c>
      <c r="AI952">
        <v>0.44972723496049699</v>
      </c>
      <c r="AJ952">
        <v>6.3654952445741805E-2</v>
      </c>
      <c r="AK952">
        <v>6.5500320554940747E-2</v>
      </c>
      <c r="AL952">
        <v>1.8453681091989528E-3</v>
      </c>
      <c r="AM952">
        <v>7.2889719999999991E-2</v>
      </c>
      <c r="AN952">
        <v>7.2889719999999991E-2</v>
      </c>
      <c r="AO952">
        <v>5.5479444926145725</v>
      </c>
      <c r="AP952">
        <v>6.0781191567385671</v>
      </c>
      <c r="AQ952">
        <v>0.64688062912399513</v>
      </c>
      <c r="AR952">
        <v>0.22596066903324585</v>
      </c>
      <c r="AS952">
        <v>0.11676233115512215</v>
      </c>
      <c r="AT952">
        <v>0.48659392811793567</v>
      </c>
      <c r="AU952">
        <v>1.9197315405951232</v>
      </c>
      <c r="AV952">
        <v>1.7392225280542324</v>
      </c>
      <c r="AW952">
        <v>0.30806834651159959</v>
      </c>
      <c r="AX952">
        <v>0.30817293253727401</v>
      </c>
      <c r="AY952">
        <v>1.4107428594103775</v>
      </c>
      <c r="AZ952">
        <v>2.7009384168892745</v>
      </c>
      <c r="BA952">
        <v>1.6322877786351926</v>
      </c>
      <c r="BB952">
        <v>0.11648320667545285</v>
      </c>
      <c r="BC952">
        <v>0.10463386213705429</v>
      </c>
      <c r="BD952">
        <v>3.1561002137054296E-2</v>
      </c>
      <c r="BE952">
        <v>0.19015287377591675</v>
      </c>
      <c r="BF952">
        <v>0.31078283288610664</v>
      </c>
      <c r="BG952">
        <v>0.12062995911018988</v>
      </c>
      <c r="BH952">
        <v>1.3196039410703115E-2</v>
      </c>
      <c r="BI952">
        <v>1.3196039410703115E-2</v>
      </c>
      <c r="BJ952">
        <v>6.685852792348553E-3</v>
      </c>
      <c r="BK952">
        <v>3.4426504880674856E-2</v>
      </c>
      <c r="BL952">
        <v>2.7740652088326306E-2</v>
      </c>
      <c r="BM952">
        <v>2.919381483475194E-2</v>
      </c>
      <c r="BN952">
        <v>2.919381483475194E-2</v>
      </c>
      <c r="BO952">
        <v>0</v>
      </c>
      <c r="BP952">
        <v>0.86203395933161719</v>
      </c>
      <c r="BQ952">
        <v>0.86203395933161719</v>
      </c>
      <c r="BR952">
        <v>0</v>
      </c>
      <c r="BS952">
        <v>3.2965199999999998E-3</v>
      </c>
      <c r="BT952">
        <v>3.2965199999999998E-3</v>
      </c>
      <c r="BU952">
        <v>0</v>
      </c>
      <c r="BV952">
        <v>0</v>
      </c>
      <c r="BW952">
        <v>0</v>
      </c>
      <c r="BX952">
        <v>0</v>
      </c>
      <c r="BY952">
        <v>0</v>
      </c>
      <c r="BZ952">
        <v>0</v>
      </c>
      <c r="CA952">
        <v>0</v>
      </c>
      <c r="CB952">
        <v>0</v>
      </c>
      <c r="CC952">
        <v>0</v>
      </c>
      <c r="CD952">
        <v>0.63354653703270691</v>
      </c>
      <c r="CE952">
        <v>0.63354653703270691</v>
      </c>
      <c r="CF952">
        <v>0</v>
      </c>
      <c r="CG952">
        <v>0</v>
      </c>
      <c r="CH952">
        <v>0</v>
      </c>
      <c r="CI952">
        <v>0</v>
      </c>
      <c r="CJ952">
        <v>0</v>
      </c>
      <c r="CK952">
        <v>0</v>
      </c>
      <c r="CL952">
        <v>0</v>
      </c>
      <c r="CM952">
        <v>0</v>
      </c>
      <c r="CN952">
        <v>0</v>
      </c>
      <c r="CO952">
        <v>0</v>
      </c>
      <c r="CP952">
        <v>0</v>
      </c>
      <c r="CQ952">
        <v>0</v>
      </c>
      <c r="CR952">
        <v>0</v>
      </c>
      <c r="CS952">
        <v>0</v>
      </c>
      <c r="CT952">
        <v>0</v>
      </c>
      <c r="CU952">
        <v>0</v>
      </c>
      <c r="CV952">
        <v>0</v>
      </c>
      <c r="CW952">
        <v>0</v>
      </c>
      <c r="CX952">
        <v>0</v>
      </c>
      <c r="CY952">
        <v>0</v>
      </c>
      <c r="CZ952">
        <v>0</v>
      </c>
      <c r="DA952">
        <v>0</v>
      </c>
      <c r="DB952">
        <v>0</v>
      </c>
      <c r="DC952">
        <v>0</v>
      </c>
      <c r="DD952">
        <v>0</v>
      </c>
      <c r="DE952">
        <v>0</v>
      </c>
      <c r="DF952">
        <v>0</v>
      </c>
      <c r="DG952" s="16">
        <f t="shared" si="77"/>
        <v>47.997148060000015</v>
      </c>
      <c r="DH952" s="16">
        <f t="shared" si="78"/>
        <v>1456.0126343142451</v>
      </c>
      <c r="DI952" s="17">
        <f t="shared" si="79"/>
        <v>30.335398938581115</v>
      </c>
      <c r="DJ952" s="119" t="s">
        <v>572</v>
      </c>
      <c r="DK952" s="44" t="s">
        <v>572</v>
      </c>
    </row>
    <row r="953" spans="1:115" ht="15" customHeight="1">
      <c r="A953" s="32" t="str">
        <f t="shared" si="80"/>
        <v>SA Power--&gt; 66 kV &amp; &lt; = 132 kV</v>
      </c>
      <c r="B953" s="32" t="str">
        <f t="shared" si="81"/>
        <v>SA Power</v>
      </c>
      <c r="C953" s="385"/>
      <c r="E953" t="s">
        <v>175</v>
      </c>
      <c r="F953">
        <v>45</v>
      </c>
      <c r="G953">
        <v>6.7823932499369999</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1.3500000000000001E-3</v>
      </c>
      <c r="AI953">
        <v>1.3500000000000001E-3</v>
      </c>
      <c r="AJ953">
        <v>0</v>
      </c>
      <c r="AK953">
        <v>0</v>
      </c>
      <c r="AL953">
        <v>0</v>
      </c>
      <c r="AM953">
        <v>0</v>
      </c>
      <c r="AN953">
        <v>0</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v>0</v>
      </c>
      <c r="BK953">
        <v>0</v>
      </c>
      <c r="BL953">
        <v>0</v>
      </c>
      <c r="BM953">
        <v>0</v>
      </c>
      <c r="BN953">
        <v>0</v>
      </c>
      <c r="BO953">
        <v>0</v>
      </c>
      <c r="BP953">
        <v>0</v>
      </c>
      <c r="BQ953">
        <v>0</v>
      </c>
      <c r="BR953">
        <v>0</v>
      </c>
      <c r="BS953">
        <v>0</v>
      </c>
      <c r="BT953">
        <v>0</v>
      </c>
      <c r="BU953">
        <v>0</v>
      </c>
      <c r="BV953">
        <v>0</v>
      </c>
      <c r="BW953">
        <v>0</v>
      </c>
      <c r="BX953">
        <v>0</v>
      </c>
      <c r="BY953">
        <v>0</v>
      </c>
      <c r="BZ953">
        <v>0</v>
      </c>
      <c r="CA953">
        <v>0</v>
      </c>
      <c r="CB953">
        <v>0</v>
      </c>
      <c r="CC953">
        <v>0</v>
      </c>
      <c r="CD953">
        <v>0</v>
      </c>
      <c r="CE953">
        <v>0</v>
      </c>
      <c r="CF953">
        <v>0</v>
      </c>
      <c r="CG953">
        <v>0</v>
      </c>
      <c r="CH953">
        <v>0</v>
      </c>
      <c r="CI953">
        <v>0</v>
      </c>
      <c r="CJ953">
        <v>0</v>
      </c>
      <c r="CK953">
        <v>0</v>
      </c>
      <c r="CL953">
        <v>0</v>
      </c>
      <c r="CM953">
        <v>0</v>
      </c>
      <c r="CN953">
        <v>0</v>
      </c>
      <c r="CO953">
        <v>0</v>
      </c>
      <c r="CP953">
        <v>0</v>
      </c>
      <c r="CQ953">
        <v>0</v>
      </c>
      <c r="CR953">
        <v>0</v>
      </c>
      <c r="CS953">
        <v>0</v>
      </c>
      <c r="CT953">
        <v>0</v>
      </c>
      <c r="CU953">
        <v>0</v>
      </c>
      <c r="CV953">
        <v>0</v>
      </c>
      <c r="CW953">
        <v>0</v>
      </c>
      <c r="CX953">
        <v>0</v>
      </c>
      <c r="CY953">
        <v>0</v>
      </c>
      <c r="CZ953">
        <v>0</v>
      </c>
      <c r="DA953">
        <v>0</v>
      </c>
      <c r="DB953">
        <v>0</v>
      </c>
      <c r="DC953">
        <v>0</v>
      </c>
      <c r="DD953">
        <v>0</v>
      </c>
      <c r="DE953">
        <v>0</v>
      </c>
      <c r="DF953">
        <v>0</v>
      </c>
      <c r="DG953" s="16">
        <f t="shared" si="77"/>
        <v>2.7000000000000001E-3</v>
      </c>
      <c r="DH953" s="16">
        <f t="shared" si="78"/>
        <v>7.425000000000001E-2</v>
      </c>
      <c r="DI953" s="17">
        <f t="shared" si="79"/>
        <v>27.500000000000004</v>
      </c>
      <c r="DJ953" s="119" t="s">
        <v>572</v>
      </c>
      <c r="DK953" s="44" t="s">
        <v>572</v>
      </c>
    </row>
    <row r="954" spans="1:115" ht="15" customHeight="1">
      <c r="A954" s="32" t="str">
        <f t="shared" si="80"/>
        <v>SA Power--&gt;  132 kV</v>
      </c>
      <c r="B954" s="32" t="str">
        <f t="shared" si="81"/>
        <v>SA Power</v>
      </c>
      <c r="C954" s="385"/>
      <c r="E954" t="s">
        <v>184</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v>0</v>
      </c>
      <c r="BN954">
        <v>0</v>
      </c>
      <c r="BO954">
        <v>0</v>
      </c>
      <c r="BP954">
        <v>0</v>
      </c>
      <c r="BQ954">
        <v>0</v>
      </c>
      <c r="BR954">
        <v>0</v>
      </c>
      <c r="BS954">
        <v>0</v>
      </c>
      <c r="BT954">
        <v>0</v>
      </c>
      <c r="BU954">
        <v>0</v>
      </c>
      <c r="BV954">
        <v>0</v>
      </c>
      <c r="BW954">
        <v>0</v>
      </c>
      <c r="BX954">
        <v>0</v>
      </c>
      <c r="BY954">
        <v>0</v>
      </c>
      <c r="BZ954">
        <v>0</v>
      </c>
      <c r="CA954">
        <v>0</v>
      </c>
      <c r="CB954">
        <v>0</v>
      </c>
      <c r="CC954">
        <v>0</v>
      </c>
      <c r="CD954">
        <v>0</v>
      </c>
      <c r="CE954">
        <v>0</v>
      </c>
      <c r="CF954">
        <v>0</v>
      </c>
      <c r="CG954">
        <v>0</v>
      </c>
      <c r="CH954">
        <v>0</v>
      </c>
      <c r="CI954">
        <v>0</v>
      </c>
      <c r="CJ954">
        <v>0</v>
      </c>
      <c r="CK954">
        <v>0</v>
      </c>
      <c r="CL954">
        <v>0</v>
      </c>
      <c r="CM954">
        <v>0</v>
      </c>
      <c r="CN954">
        <v>0</v>
      </c>
      <c r="CO954">
        <v>0</v>
      </c>
      <c r="CP954">
        <v>0</v>
      </c>
      <c r="CQ954">
        <v>0</v>
      </c>
      <c r="CR954">
        <v>0</v>
      </c>
      <c r="CS954">
        <v>0</v>
      </c>
      <c r="CT954">
        <v>0</v>
      </c>
      <c r="CU954">
        <v>0</v>
      </c>
      <c r="CV954">
        <v>0</v>
      </c>
      <c r="CW954">
        <v>0</v>
      </c>
      <c r="CX954">
        <v>0</v>
      </c>
      <c r="CY954">
        <v>0</v>
      </c>
      <c r="CZ954">
        <v>0</v>
      </c>
      <c r="DA954">
        <v>0</v>
      </c>
      <c r="DB954">
        <v>0</v>
      </c>
      <c r="DC954">
        <v>0</v>
      </c>
      <c r="DD954">
        <v>0</v>
      </c>
      <c r="DE954">
        <v>0</v>
      </c>
      <c r="DF954">
        <v>0</v>
      </c>
      <c r="DG954" s="16">
        <f t="shared" si="77"/>
        <v>0</v>
      </c>
      <c r="DH954" s="16">
        <f t="shared" si="78"/>
        <v>0</v>
      </c>
      <c r="DI954" s="17" t="str">
        <f t="shared" si="79"/>
        <v/>
      </c>
      <c r="DJ954" s="119" t="s">
        <v>572</v>
      </c>
      <c r="DK954" s="44" t="s">
        <v>572</v>
      </c>
    </row>
    <row r="955" spans="1:115" ht="15" customHeight="1">
      <c r="A955" s="32" t="str">
        <f t="shared" si="80"/>
        <v>SA Power--OTHER - PLEASE ADD A ROW IF NECESSARY AND NOMINATE THE CATEGORY</v>
      </c>
      <c r="B955" s="32" t="str">
        <f t="shared" si="81"/>
        <v>SA Power</v>
      </c>
      <c r="C955" s="385"/>
      <c r="E955" t="s">
        <v>170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v>0</v>
      </c>
      <c r="BX955">
        <v>0</v>
      </c>
      <c r="BY955">
        <v>0</v>
      </c>
      <c r="BZ955">
        <v>0</v>
      </c>
      <c r="CA955">
        <v>0</v>
      </c>
      <c r="CB955">
        <v>0</v>
      </c>
      <c r="CC955">
        <v>0</v>
      </c>
      <c r="CD955">
        <v>0</v>
      </c>
      <c r="CE955">
        <v>0</v>
      </c>
      <c r="CF955">
        <v>0</v>
      </c>
      <c r="CG955">
        <v>0</v>
      </c>
      <c r="CH955">
        <v>0</v>
      </c>
      <c r="CI955">
        <v>0</v>
      </c>
      <c r="CJ955">
        <v>0</v>
      </c>
      <c r="CK955">
        <v>0</v>
      </c>
      <c r="CL955">
        <v>0</v>
      </c>
      <c r="CM955">
        <v>0</v>
      </c>
      <c r="CN955">
        <v>0</v>
      </c>
      <c r="CO955">
        <v>0</v>
      </c>
      <c r="CP955">
        <v>0</v>
      </c>
      <c r="CQ955">
        <v>0</v>
      </c>
      <c r="CR955">
        <v>0</v>
      </c>
      <c r="CS955">
        <v>0</v>
      </c>
      <c r="CT955">
        <v>0</v>
      </c>
      <c r="CU955">
        <v>0</v>
      </c>
      <c r="CV955">
        <v>0</v>
      </c>
      <c r="CW955">
        <v>0</v>
      </c>
      <c r="CX955">
        <v>0</v>
      </c>
      <c r="CY955">
        <v>0</v>
      </c>
      <c r="CZ955">
        <v>0</v>
      </c>
      <c r="DA955">
        <v>0</v>
      </c>
      <c r="DB955">
        <v>0</v>
      </c>
      <c r="DC955">
        <v>0</v>
      </c>
      <c r="DD955">
        <v>0</v>
      </c>
      <c r="DE955">
        <v>0</v>
      </c>
      <c r="DF955">
        <v>0</v>
      </c>
      <c r="DG955" s="16">
        <f t="shared" si="77"/>
        <v>0</v>
      </c>
      <c r="DH955" s="16">
        <f t="shared" si="78"/>
        <v>0</v>
      </c>
      <c r="DI955" s="17" t="str">
        <f t="shared" si="79"/>
        <v/>
      </c>
      <c r="DJ955" s="119" t="s">
        <v>572</v>
      </c>
      <c r="DK955" s="44" t="s">
        <v>572</v>
      </c>
    </row>
    <row r="956" spans="1:115" ht="15" customHeight="1">
      <c r="A956" s="32" t="str">
        <f t="shared" si="80"/>
        <v xml:space="preserve">SA Power-SERVICE LINES BY: 
CONNECTION VOLTAGE; CUSTOMER TYPE; CONNECTION COMPLEXITY -˂ = 11 kV ; RESIDENTIAL ; SIMPLE TYPE </v>
      </c>
      <c r="B956" s="32" t="str">
        <f t="shared" si="81"/>
        <v>SA Power</v>
      </c>
      <c r="C956" s="385"/>
      <c r="D956" t="s">
        <v>541</v>
      </c>
      <c r="E956" t="s">
        <v>186</v>
      </c>
      <c r="F956">
        <v>57</v>
      </c>
      <c r="G956">
        <v>7.5498344352775</v>
      </c>
      <c r="H956">
        <v>5803</v>
      </c>
      <c r="I956">
        <v>6454</v>
      </c>
      <c r="J956">
        <v>7928</v>
      </c>
      <c r="K956">
        <v>8539</v>
      </c>
      <c r="L956">
        <v>8756</v>
      </c>
      <c r="M956">
        <v>8607</v>
      </c>
      <c r="N956">
        <v>8302</v>
      </c>
      <c r="O956">
        <v>8357</v>
      </c>
      <c r="P956">
        <v>8631</v>
      </c>
      <c r="Q956">
        <v>9607</v>
      </c>
      <c r="R956">
        <v>11477</v>
      </c>
      <c r="S956">
        <v>13145</v>
      </c>
      <c r="T956">
        <v>14986</v>
      </c>
      <c r="U956">
        <v>14238</v>
      </c>
      <c r="V956">
        <v>11711</v>
      </c>
      <c r="W956">
        <v>10625</v>
      </c>
      <c r="X956">
        <v>10196</v>
      </c>
      <c r="Y956">
        <v>11618</v>
      </c>
      <c r="Z956">
        <v>14504</v>
      </c>
      <c r="AA956">
        <v>15997</v>
      </c>
      <c r="AB956">
        <v>16273</v>
      </c>
      <c r="AC956">
        <v>16491</v>
      </c>
      <c r="AD956">
        <v>15826</v>
      </c>
      <c r="AE956">
        <v>15392</v>
      </c>
      <c r="AF956">
        <v>15612</v>
      </c>
      <c r="AG956">
        <v>16043</v>
      </c>
      <c r="AH956">
        <v>16566</v>
      </c>
      <c r="AI956">
        <v>16276</v>
      </c>
      <c r="AJ956">
        <v>16247</v>
      </c>
      <c r="AK956">
        <v>15054</v>
      </c>
      <c r="AL956">
        <v>12707</v>
      </c>
      <c r="AM956">
        <v>11648</v>
      </c>
      <c r="AN956">
        <v>10039</v>
      </c>
      <c r="AO956">
        <v>7843</v>
      </c>
      <c r="AP956">
        <v>6923</v>
      </c>
      <c r="AQ956">
        <v>7564</v>
      </c>
      <c r="AR956">
        <v>11936</v>
      </c>
      <c r="AS956">
        <v>15690</v>
      </c>
      <c r="AT956">
        <v>15583</v>
      </c>
      <c r="AU956">
        <v>17652</v>
      </c>
      <c r="AV956">
        <v>14908</v>
      </c>
      <c r="AW956">
        <v>15049</v>
      </c>
      <c r="AX956">
        <v>10068</v>
      </c>
      <c r="AY956">
        <v>8741</v>
      </c>
      <c r="AZ956">
        <v>8708</v>
      </c>
      <c r="BA956">
        <v>9871</v>
      </c>
      <c r="BB956">
        <v>9873</v>
      </c>
      <c r="BC956">
        <v>9841</v>
      </c>
      <c r="BD956">
        <v>9840</v>
      </c>
      <c r="BE956">
        <v>6875</v>
      </c>
      <c r="BF956">
        <v>6878</v>
      </c>
      <c r="BG956">
        <v>21947</v>
      </c>
      <c r="BH956">
        <v>21950</v>
      </c>
      <c r="BI956">
        <v>4216</v>
      </c>
      <c r="BJ956">
        <v>4209</v>
      </c>
      <c r="BK956">
        <v>2098</v>
      </c>
      <c r="BL956">
        <v>2098</v>
      </c>
      <c r="BM956">
        <v>483</v>
      </c>
      <c r="BN956">
        <v>483</v>
      </c>
      <c r="BO956">
        <v>171</v>
      </c>
      <c r="BP956">
        <v>171</v>
      </c>
      <c r="BQ956">
        <v>143</v>
      </c>
      <c r="BR956">
        <v>144</v>
      </c>
      <c r="BS956">
        <v>85</v>
      </c>
      <c r="BT956">
        <v>84</v>
      </c>
      <c r="BU956">
        <v>37</v>
      </c>
      <c r="BV956">
        <v>37</v>
      </c>
      <c r="BW956">
        <v>11</v>
      </c>
      <c r="BX956">
        <v>11</v>
      </c>
      <c r="BY956">
        <v>4</v>
      </c>
      <c r="BZ956">
        <v>4</v>
      </c>
      <c r="CA956">
        <v>17</v>
      </c>
      <c r="CB956">
        <v>17</v>
      </c>
      <c r="CC956">
        <v>0</v>
      </c>
      <c r="CD956">
        <v>0</v>
      </c>
      <c r="CE956">
        <v>0</v>
      </c>
      <c r="CF956">
        <v>0</v>
      </c>
      <c r="CG956">
        <v>0</v>
      </c>
      <c r="CH956">
        <v>0</v>
      </c>
      <c r="CI956">
        <v>0</v>
      </c>
      <c r="CJ956">
        <v>0</v>
      </c>
      <c r="CK956">
        <v>0</v>
      </c>
      <c r="CL956">
        <v>0</v>
      </c>
      <c r="CM956">
        <v>0</v>
      </c>
      <c r="CN956">
        <v>0</v>
      </c>
      <c r="CO956">
        <v>0</v>
      </c>
      <c r="CP956">
        <v>0</v>
      </c>
      <c r="CQ956">
        <v>0</v>
      </c>
      <c r="CR956">
        <v>0</v>
      </c>
      <c r="CS956">
        <v>0</v>
      </c>
      <c r="CT956">
        <v>0</v>
      </c>
      <c r="CU956">
        <v>0</v>
      </c>
      <c r="CV956">
        <v>0</v>
      </c>
      <c r="CW956">
        <v>0</v>
      </c>
      <c r="CX956">
        <v>0</v>
      </c>
      <c r="CY956">
        <v>0</v>
      </c>
      <c r="CZ956">
        <v>0</v>
      </c>
      <c r="DA956">
        <v>0</v>
      </c>
      <c r="DB956">
        <v>0</v>
      </c>
      <c r="DC956">
        <v>0</v>
      </c>
      <c r="DD956">
        <v>0</v>
      </c>
      <c r="DE956">
        <v>0</v>
      </c>
      <c r="DF956">
        <v>0</v>
      </c>
      <c r="DG956" s="16">
        <f t="shared" si="77"/>
        <v>655918</v>
      </c>
      <c r="DH956" s="16">
        <f t="shared" si="78"/>
        <v>18910749</v>
      </c>
      <c r="DI956" s="17">
        <f t="shared" si="79"/>
        <v>28.830965151131696</v>
      </c>
      <c r="DJ956" s="119" t="s">
        <v>719</v>
      </c>
      <c r="DK956" t="s">
        <v>719</v>
      </c>
    </row>
    <row r="957" spans="1:115" ht="15" customHeight="1">
      <c r="A957" s="32" t="str">
        <f t="shared" si="80"/>
        <v xml:space="preserve">SA Power--˂ = 11 kV ; COMMERCIAL &amp; INDUSTRIAL ; SIMPLE TYPE </v>
      </c>
      <c r="B957" s="32" t="str">
        <f t="shared" si="81"/>
        <v>SA Power</v>
      </c>
      <c r="C957" s="385"/>
      <c r="E957" t="s">
        <v>187</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c r="AR957">
        <v>0</v>
      </c>
      <c r="AS957">
        <v>0</v>
      </c>
      <c r="AT957">
        <v>0</v>
      </c>
      <c r="AU957">
        <v>0</v>
      </c>
      <c r="AV957">
        <v>0</v>
      </c>
      <c r="AW957">
        <v>0</v>
      </c>
      <c r="AX957">
        <v>0</v>
      </c>
      <c r="AY957">
        <v>0</v>
      </c>
      <c r="AZ957">
        <v>0</v>
      </c>
      <c r="BA957">
        <v>0</v>
      </c>
      <c r="BB957">
        <v>0</v>
      </c>
      <c r="BC957">
        <v>0</v>
      </c>
      <c r="BD957">
        <v>0</v>
      </c>
      <c r="BE957">
        <v>0</v>
      </c>
      <c r="BF957">
        <v>0</v>
      </c>
      <c r="BG957">
        <v>0</v>
      </c>
      <c r="BH957">
        <v>0</v>
      </c>
      <c r="BI957">
        <v>0</v>
      </c>
      <c r="BJ957">
        <v>0</v>
      </c>
      <c r="BK957">
        <v>0</v>
      </c>
      <c r="BL957">
        <v>0</v>
      </c>
      <c r="BM957">
        <v>0</v>
      </c>
      <c r="BN957">
        <v>0</v>
      </c>
      <c r="BO957">
        <v>0</v>
      </c>
      <c r="BP957">
        <v>0</v>
      </c>
      <c r="BQ957">
        <v>0</v>
      </c>
      <c r="BR957">
        <v>0</v>
      </c>
      <c r="BS957">
        <v>0</v>
      </c>
      <c r="BT957">
        <v>0</v>
      </c>
      <c r="BU957">
        <v>0</v>
      </c>
      <c r="BV957">
        <v>0</v>
      </c>
      <c r="BW957">
        <v>0</v>
      </c>
      <c r="BX957">
        <v>0</v>
      </c>
      <c r="BY957">
        <v>0</v>
      </c>
      <c r="BZ957">
        <v>0</v>
      </c>
      <c r="CA957">
        <v>0</v>
      </c>
      <c r="CB957">
        <v>0</v>
      </c>
      <c r="CC957">
        <v>0</v>
      </c>
      <c r="CD957">
        <v>0</v>
      </c>
      <c r="CE957">
        <v>0</v>
      </c>
      <c r="CF957">
        <v>0</v>
      </c>
      <c r="CG957">
        <v>0</v>
      </c>
      <c r="CH957">
        <v>0</v>
      </c>
      <c r="CI957">
        <v>0</v>
      </c>
      <c r="CJ957">
        <v>0</v>
      </c>
      <c r="CK957">
        <v>0</v>
      </c>
      <c r="CL957">
        <v>0</v>
      </c>
      <c r="CM957">
        <v>0</v>
      </c>
      <c r="CN957">
        <v>0</v>
      </c>
      <c r="CO957">
        <v>0</v>
      </c>
      <c r="CP957">
        <v>0</v>
      </c>
      <c r="CQ957">
        <v>0</v>
      </c>
      <c r="CR957">
        <v>0</v>
      </c>
      <c r="CS957">
        <v>0</v>
      </c>
      <c r="CT957">
        <v>0</v>
      </c>
      <c r="CU957">
        <v>0</v>
      </c>
      <c r="CV957">
        <v>0</v>
      </c>
      <c r="CW957">
        <v>0</v>
      </c>
      <c r="CX957">
        <v>0</v>
      </c>
      <c r="CY957">
        <v>0</v>
      </c>
      <c r="CZ957">
        <v>0</v>
      </c>
      <c r="DA957">
        <v>0</v>
      </c>
      <c r="DB957">
        <v>0</v>
      </c>
      <c r="DC957">
        <v>0</v>
      </c>
      <c r="DD957">
        <v>0</v>
      </c>
      <c r="DE957">
        <v>0</v>
      </c>
      <c r="DF957">
        <v>0</v>
      </c>
      <c r="DG957" s="16">
        <f t="shared" si="77"/>
        <v>0</v>
      </c>
      <c r="DH957" s="16">
        <f t="shared" si="78"/>
        <v>0</v>
      </c>
      <c r="DI957" s="17" t="str">
        <f t="shared" si="79"/>
        <v/>
      </c>
      <c r="DJ957" s="119" t="s">
        <v>719</v>
      </c>
      <c r="DK957" s="44" t="s">
        <v>719</v>
      </c>
    </row>
    <row r="958" spans="1:115" ht="15" customHeight="1">
      <c r="A958" s="32" t="str">
        <f t="shared" si="80"/>
        <v xml:space="preserve">SA Power--˂ = 11 kV ; RESIDENTIAL ; COMPLEX TYPE </v>
      </c>
      <c r="B958" s="32" t="str">
        <f t="shared" si="81"/>
        <v>SA Power</v>
      </c>
      <c r="C958" s="385"/>
      <c r="E958" t="s">
        <v>188</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v>0</v>
      </c>
      <c r="BK958">
        <v>0</v>
      </c>
      <c r="BL958">
        <v>0</v>
      </c>
      <c r="BM958">
        <v>0</v>
      </c>
      <c r="BN958">
        <v>0</v>
      </c>
      <c r="BO958">
        <v>0</v>
      </c>
      <c r="BP958">
        <v>0</v>
      </c>
      <c r="BQ958">
        <v>0</v>
      </c>
      <c r="BR958">
        <v>0</v>
      </c>
      <c r="BS958">
        <v>0</v>
      </c>
      <c r="BT958">
        <v>0</v>
      </c>
      <c r="BU958">
        <v>0</v>
      </c>
      <c r="BV958">
        <v>0</v>
      </c>
      <c r="BW958">
        <v>0</v>
      </c>
      <c r="BX958">
        <v>0</v>
      </c>
      <c r="BY958">
        <v>0</v>
      </c>
      <c r="BZ958">
        <v>0</v>
      </c>
      <c r="CA958">
        <v>0</v>
      </c>
      <c r="CB958">
        <v>0</v>
      </c>
      <c r="CC958">
        <v>0</v>
      </c>
      <c r="CD958">
        <v>0</v>
      </c>
      <c r="CE958">
        <v>0</v>
      </c>
      <c r="CF958">
        <v>0</v>
      </c>
      <c r="CG958">
        <v>0</v>
      </c>
      <c r="CH958">
        <v>0</v>
      </c>
      <c r="CI958">
        <v>0</v>
      </c>
      <c r="CJ958">
        <v>0</v>
      </c>
      <c r="CK958">
        <v>0</v>
      </c>
      <c r="CL958">
        <v>0</v>
      </c>
      <c r="CM958">
        <v>0</v>
      </c>
      <c r="CN958">
        <v>0</v>
      </c>
      <c r="CO958">
        <v>0</v>
      </c>
      <c r="CP958">
        <v>0</v>
      </c>
      <c r="CQ958">
        <v>0</v>
      </c>
      <c r="CR958">
        <v>0</v>
      </c>
      <c r="CS958">
        <v>0</v>
      </c>
      <c r="CT958">
        <v>0</v>
      </c>
      <c r="CU958">
        <v>0</v>
      </c>
      <c r="CV958">
        <v>0</v>
      </c>
      <c r="CW958">
        <v>0</v>
      </c>
      <c r="CX958">
        <v>0</v>
      </c>
      <c r="CY958">
        <v>0</v>
      </c>
      <c r="CZ958">
        <v>0</v>
      </c>
      <c r="DA958">
        <v>0</v>
      </c>
      <c r="DB958">
        <v>0</v>
      </c>
      <c r="DC958">
        <v>0</v>
      </c>
      <c r="DD958">
        <v>0</v>
      </c>
      <c r="DE958">
        <v>0</v>
      </c>
      <c r="DF958">
        <v>0</v>
      </c>
      <c r="DG958" s="16">
        <f t="shared" si="77"/>
        <v>0</v>
      </c>
      <c r="DH958" s="16">
        <f t="shared" si="78"/>
        <v>0</v>
      </c>
      <c r="DI958" s="17" t="str">
        <f t="shared" si="79"/>
        <v/>
      </c>
      <c r="DJ958" s="119" t="s">
        <v>719</v>
      </c>
      <c r="DK958" s="44" t="s">
        <v>719</v>
      </c>
    </row>
    <row r="959" spans="1:115" ht="15" customHeight="1">
      <c r="A959" s="32" t="str">
        <f t="shared" si="80"/>
        <v xml:space="preserve">SA Power--˂ = 11 kV ; COMMERCIAL &amp; INDUSTRIAL ; COMPLEX TYPE </v>
      </c>
      <c r="B959" s="32" t="str">
        <f t="shared" si="81"/>
        <v>SA Power</v>
      </c>
      <c r="C959" s="385"/>
      <c r="E959" t="s">
        <v>189</v>
      </c>
      <c r="F959">
        <v>56</v>
      </c>
      <c r="G959">
        <v>7.4833147735478827</v>
      </c>
      <c r="H959">
        <v>901</v>
      </c>
      <c r="I959">
        <v>864</v>
      </c>
      <c r="J959">
        <v>844</v>
      </c>
      <c r="K959">
        <v>831</v>
      </c>
      <c r="L959">
        <v>868</v>
      </c>
      <c r="M959">
        <v>891</v>
      </c>
      <c r="N959">
        <v>909</v>
      </c>
      <c r="O959">
        <v>956</v>
      </c>
      <c r="P959">
        <v>922</v>
      </c>
      <c r="Q959">
        <v>1349</v>
      </c>
      <c r="R959">
        <v>1740</v>
      </c>
      <c r="S959">
        <v>2211</v>
      </c>
      <c r="T959">
        <v>2454</v>
      </c>
      <c r="U959">
        <v>2137</v>
      </c>
      <c r="V959">
        <v>2025</v>
      </c>
      <c r="W959">
        <v>1860</v>
      </c>
      <c r="X959">
        <v>2012</v>
      </c>
      <c r="Y959">
        <v>2191</v>
      </c>
      <c r="Z959">
        <v>2126</v>
      </c>
      <c r="AA959">
        <v>1954</v>
      </c>
      <c r="AB959">
        <v>1909</v>
      </c>
      <c r="AC959">
        <v>1980</v>
      </c>
      <c r="AD959">
        <v>2048</v>
      </c>
      <c r="AE959">
        <v>2354</v>
      </c>
      <c r="AF959">
        <v>2413</v>
      </c>
      <c r="AG959">
        <v>2354</v>
      </c>
      <c r="AH959">
        <v>2505</v>
      </c>
      <c r="AI959">
        <v>2251</v>
      </c>
      <c r="AJ959">
        <v>1849</v>
      </c>
      <c r="AK959">
        <v>1836</v>
      </c>
      <c r="AL959">
        <v>1854</v>
      </c>
      <c r="AM959">
        <v>1736</v>
      </c>
      <c r="AN959">
        <v>1608</v>
      </c>
      <c r="AO959">
        <v>1305</v>
      </c>
      <c r="AP959">
        <v>1070</v>
      </c>
      <c r="AQ959">
        <v>1020</v>
      </c>
      <c r="AR959">
        <v>1111</v>
      </c>
      <c r="AS959">
        <v>1213</v>
      </c>
      <c r="AT959">
        <v>1197</v>
      </c>
      <c r="AU959">
        <v>1320</v>
      </c>
      <c r="AV959">
        <v>1181</v>
      </c>
      <c r="AW959">
        <v>1402</v>
      </c>
      <c r="AX959">
        <v>933</v>
      </c>
      <c r="AY959">
        <v>943</v>
      </c>
      <c r="AZ959">
        <v>937</v>
      </c>
      <c r="BA959">
        <v>1043</v>
      </c>
      <c r="BB959">
        <v>1045</v>
      </c>
      <c r="BC959">
        <v>1175</v>
      </c>
      <c r="BD959">
        <v>1173</v>
      </c>
      <c r="BE959">
        <v>781</v>
      </c>
      <c r="BF959">
        <v>782</v>
      </c>
      <c r="BG959">
        <v>1481</v>
      </c>
      <c r="BH959">
        <v>1483</v>
      </c>
      <c r="BI959">
        <v>412</v>
      </c>
      <c r="BJ959">
        <v>408</v>
      </c>
      <c r="BK959">
        <v>206</v>
      </c>
      <c r="BL959">
        <v>206</v>
      </c>
      <c r="BM959">
        <v>76</v>
      </c>
      <c r="BN959">
        <v>76</v>
      </c>
      <c r="BO959">
        <v>30</v>
      </c>
      <c r="BP959">
        <v>30</v>
      </c>
      <c r="BQ959">
        <v>27</v>
      </c>
      <c r="BR959">
        <v>27</v>
      </c>
      <c r="BS959">
        <v>16</v>
      </c>
      <c r="BT959">
        <v>16</v>
      </c>
      <c r="BU959">
        <v>9</v>
      </c>
      <c r="BV959">
        <v>9</v>
      </c>
      <c r="BW959">
        <v>3</v>
      </c>
      <c r="BX959">
        <v>3</v>
      </c>
      <c r="BY959">
        <v>0</v>
      </c>
      <c r="BZ959">
        <v>0</v>
      </c>
      <c r="CA959">
        <v>9</v>
      </c>
      <c r="CB959">
        <v>9</v>
      </c>
      <c r="CC959">
        <v>0</v>
      </c>
      <c r="CD959">
        <v>0</v>
      </c>
      <c r="CE959">
        <v>0</v>
      </c>
      <c r="CF959">
        <v>0</v>
      </c>
      <c r="CG959">
        <v>0</v>
      </c>
      <c r="CH959">
        <v>0</v>
      </c>
      <c r="CI959">
        <v>0</v>
      </c>
      <c r="CJ959">
        <v>0</v>
      </c>
      <c r="CK959">
        <v>0</v>
      </c>
      <c r="CL959">
        <v>0</v>
      </c>
      <c r="CM959">
        <v>0</v>
      </c>
      <c r="CN959">
        <v>0</v>
      </c>
      <c r="CO959">
        <v>0</v>
      </c>
      <c r="CP959">
        <v>0</v>
      </c>
      <c r="CQ959">
        <v>0</v>
      </c>
      <c r="CR959">
        <v>0</v>
      </c>
      <c r="CS959">
        <v>0</v>
      </c>
      <c r="CT959">
        <v>0</v>
      </c>
      <c r="CU959">
        <v>0</v>
      </c>
      <c r="CV959">
        <v>0</v>
      </c>
      <c r="CW959">
        <v>0</v>
      </c>
      <c r="CX959">
        <v>0</v>
      </c>
      <c r="CY959">
        <v>0</v>
      </c>
      <c r="CZ959">
        <v>0</v>
      </c>
      <c r="DA959">
        <v>0</v>
      </c>
      <c r="DB959">
        <v>0</v>
      </c>
      <c r="DC959">
        <v>0</v>
      </c>
      <c r="DD959">
        <v>0</v>
      </c>
      <c r="DE959">
        <v>0</v>
      </c>
      <c r="DF959">
        <v>0</v>
      </c>
      <c r="DG959" s="16">
        <f t="shared" si="77"/>
        <v>80909</v>
      </c>
      <c r="DH959" s="16">
        <f t="shared" si="78"/>
        <v>2159603</v>
      </c>
      <c r="DI959" s="17">
        <f t="shared" si="79"/>
        <v>26.691752462643215</v>
      </c>
      <c r="DJ959" s="119" t="s">
        <v>719</v>
      </c>
      <c r="DK959" s="44" t="s">
        <v>719</v>
      </c>
    </row>
    <row r="960" spans="1:115" ht="15" customHeight="1">
      <c r="A960" s="32" t="str">
        <f t="shared" si="80"/>
        <v xml:space="preserve">SA Power--˂ = 11 kV ; SUBDIVISION ; COMPLEX TYPE </v>
      </c>
      <c r="B960" s="32" t="str">
        <f t="shared" si="81"/>
        <v>SA Power</v>
      </c>
      <c r="C960" s="385"/>
      <c r="E960" t="s">
        <v>190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c r="BN960">
        <v>0</v>
      </c>
      <c r="BO960">
        <v>0</v>
      </c>
      <c r="BP960">
        <v>0</v>
      </c>
      <c r="BQ960">
        <v>0</v>
      </c>
      <c r="BR960">
        <v>0</v>
      </c>
      <c r="BS960">
        <v>0</v>
      </c>
      <c r="BT960">
        <v>0</v>
      </c>
      <c r="BU960">
        <v>0</v>
      </c>
      <c r="BV960">
        <v>0</v>
      </c>
      <c r="BW960">
        <v>0</v>
      </c>
      <c r="BX960">
        <v>0</v>
      </c>
      <c r="BY960">
        <v>0</v>
      </c>
      <c r="BZ960">
        <v>0</v>
      </c>
      <c r="CA960">
        <v>0</v>
      </c>
      <c r="CB960">
        <v>0</v>
      </c>
      <c r="CC960">
        <v>0</v>
      </c>
      <c r="CD960">
        <v>0</v>
      </c>
      <c r="CE960">
        <v>0</v>
      </c>
      <c r="CF960">
        <v>0</v>
      </c>
      <c r="CG960">
        <v>0</v>
      </c>
      <c r="CH960">
        <v>0</v>
      </c>
      <c r="CI960">
        <v>0</v>
      </c>
      <c r="CJ960">
        <v>0</v>
      </c>
      <c r="CK960">
        <v>0</v>
      </c>
      <c r="CL960">
        <v>0</v>
      </c>
      <c r="CM960">
        <v>0</v>
      </c>
      <c r="CN960">
        <v>0</v>
      </c>
      <c r="CO960">
        <v>0</v>
      </c>
      <c r="CP960">
        <v>0</v>
      </c>
      <c r="CQ960">
        <v>0</v>
      </c>
      <c r="CR960">
        <v>0</v>
      </c>
      <c r="CS960">
        <v>0</v>
      </c>
      <c r="CT960">
        <v>0</v>
      </c>
      <c r="CU960">
        <v>0</v>
      </c>
      <c r="CV960">
        <v>0</v>
      </c>
      <c r="CW960">
        <v>0</v>
      </c>
      <c r="CX960">
        <v>0</v>
      </c>
      <c r="CY960">
        <v>0</v>
      </c>
      <c r="CZ960">
        <v>0</v>
      </c>
      <c r="DA960">
        <v>0</v>
      </c>
      <c r="DB960">
        <v>0</v>
      </c>
      <c r="DC960">
        <v>0</v>
      </c>
      <c r="DD960">
        <v>0</v>
      </c>
      <c r="DE960">
        <v>0</v>
      </c>
      <c r="DF960">
        <v>0</v>
      </c>
      <c r="DG960" s="16">
        <f t="shared" si="77"/>
        <v>0</v>
      </c>
      <c r="DH960" s="16">
        <f t="shared" si="78"/>
        <v>0</v>
      </c>
      <c r="DI960" s="17" t="str">
        <f t="shared" si="79"/>
        <v/>
      </c>
      <c r="DJ960" s="119" t="s">
        <v>719</v>
      </c>
      <c r="DK960" s="44" t="s">
        <v>719</v>
      </c>
    </row>
    <row r="961" spans="1:115" ht="15" customHeight="1">
      <c r="A961" s="32" t="str">
        <f t="shared" si="80"/>
        <v xml:space="preserve">SA Power--&gt; 11 kV  &amp; &lt; = 22 kV ; COMMERCIAL &amp; INDUSTRIAL  </v>
      </c>
      <c r="B961" s="32" t="str">
        <f t="shared" si="81"/>
        <v>SA Power</v>
      </c>
      <c r="C961" s="385"/>
      <c r="E961" t="s">
        <v>191</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v>0</v>
      </c>
      <c r="BK961">
        <v>0</v>
      </c>
      <c r="BL961">
        <v>0</v>
      </c>
      <c r="BM961">
        <v>0</v>
      </c>
      <c r="BN961">
        <v>0</v>
      </c>
      <c r="BO961">
        <v>0</v>
      </c>
      <c r="BP961">
        <v>0</v>
      </c>
      <c r="BQ961">
        <v>0</v>
      </c>
      <c r="BR961">
        <v>0</v>
      </c>
      <c r="BS961">
        <v>0</v>
      </c>
      <c r="BT961">
        <v>0</v>
      </c>
      <c r="BU961">
        <v>0</v>
      </c>
      <c r="BV961">
        <v>0</v>
      </c>
      <c r="BW961">
        <v>0</v>
      </c>
      <c r="BX961">
        <v>0</v>
      </c>
      <c r="BY961">
        <v>0</v>
      </c>
      <c r="BZ961">
        <v>0</v>
      </c>
      <c r="CA961">
        <v>0</v>
      </c>
      <c r="CB961">
        <v>0</v>
      </c>
      <c r="CC961">
        <v>0</v>
      </c>
      <c r="CD961">
        <v>0</v>
      </c>
      <c r="CE961">
        <v>0</v>
      </c>
      <c r="CF961">
        <v>0</v>
      </c>
      <c r="CG961">
        <v>0</v>
      </c>
      <c r="CH961">
        <v>0</v>
      </c>
      <c r="CI961">
        <v>0</v>
      </c>
      <c r="CJ961">
        <v>0</v>
      </c>
      <c r="CK961">
        <v>0</v>
      </c>
      <c r="CL961">
        <v>0</v>
      </c>
      <c r="CM961">
        <v>0</v>
      </c>
      <c r="CN961">
        <v>0</v>
      </c>
      <c r="CO961">
        <v>0</v>
      </c>
      <c r="CP961">
        <v>0</v>
      </c>
      <c r="CQ961">
        <v>0</v>
      </c>
      <c r="CR961">
        <v>0</v>
      </c>
      <c r="CS961">
        <v>0</v>
      </c>
      <c r="CT961">
        <v>0</v>
      </c>
      <c r="CU961">
        <v>0</v>
      </c>
      <c r="CV961">
        <v>0</v>
      </c>
      <c r="CW961">
        <v>0</v>
      </c>
      <c r="CX961">
        <v>0</v>
      </c>
      <c r="CY961">
        <v>0</v>
      </c>
      <c r="CZ961">
        <v>0</v>
      </c>
      <c r="DA961">
        <v>0</v>
      </c>
      <c r="DB961">
        <v>0</v>
      </c>
      <c r="DC961">
        <v>0</v>
      </c>
      <c r="DD961">
        <v>0</v>
      </c>
      <c r="DE961">
        <v>0</v>
      </c>
      <c r="DF961">
        <v>0</v>
      </c>
      <c r="DG961" s="16">
        <f t="shared" si="77"/>
        <v>0</v>
      </c>
      <c r="DH961" s="16">
        <f t="shared" si="78"/>
        <v>0</v>
      </c>
      <c r="DI961" s="17" t="str">
        <f t="shared" si="79"/>
        <v/>
      </c>
      <c r="DJ961" s="119" t="s">
        <v>719</v>
      </c>
      <c r="DK961" s="44" t="s">
        <v>719</v>
      </c>
    </row>
    <row r="962" spans="1:115" ht="15" customHeight="1">
      <c r="A962" s="32" t="str">
        <f t="shared" si="80"/>
        <v xml:space="preserve">SA Power--&gt; 11 kV  &amp; &lt; = 22 kV ; SUBDIVISION  </v>
      </c>
      <c r="B962" s="32" t="str">
        <f t="shared" si="81"/>
        <v>SA Power</v>
      </c>
      <c r="C962" s="385"/>
      <c r="E962" t="s">
        <v>192</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v>0</v>
      </c>
      <c r="BQ962">
        <v>0</v>
      </c>
      <c r="BR962">
        <v>0</v>
      </c>
      <c r="BS962">
        <v>0</v>
      </c>
      <c r="BT962">
        <v>0</v>
      </c>
      <c r="BU962">
        <v>0</v>
      </c>
      <c r="BV962">
        <v>0</v>
      </c>
      <c r="BW962">
        <v>0</v>
      </c>
      <c r="BX962">
        <v>0</v>
      </c>
      <c r="BY962">
        <v>0</v>
      </c>
      <c r="BZ962">
        <v>0</v>
      </c>
      <c r="CA962">
        <v>0</v>
      </c>
      <c r="CB962">
        <v>0</v>
      </c>
      <c r="CC962">
        <v>0</v>
      </c>
      <c r="CD962">
        <v>0</v>
      </c>
      <c r="CE962">
        <v>0</v>
      </c>
      <c r="CF962">
        <v>0</v>
      </c>
      <c r="CG962">
        <v>0</v>
      </c>
      <c r="CH962">
        <v>0</v>
      </c>
      <c r="CI962">
        <v>0</v>
      </c>
      <c r="CJ962">
        <v>0</v>
      </c>
      <c r="CK962">
        <v>0</v>
      </c>
      <c r="CL962">
        <v>0</v>
      </c>
      <c r="CM962">
        <v>0</v>
      </c>
      <c r="CN962">
        <v>0</v>
      </c>
      <c r="CO962">
        <v>0</v>
      </c>
      <c r="CP962">
        <v>0</v>
      </c>
      <c r="CQ962">
        <v>0</v>
      </c>
      <c r="CR962">
        <v>0</v>
      </c>
      <c r="CS962">
        <v>0</v>
      </c>
      <c r="CT962">
        <v>0</v>
      </c>
      <c r="CU962">
        <v>0</v>
      </c>
      <c r="CV962">
        <v>0</v>
      </c>
      <c r="CW962">
        <v>0</v>
      </c>
      <c r="CX962">
        <v>0</v>
      </c>
      <c r="CY962">
        <v>0</v>
      </c>
      <c r="CZ962">
        <v>0</v>
      </c>
      <c r="DA962">
        <v>0</v>
      </c>
      <c r="DB962">
        <v>0</v>
      </c>
      <c r="DC962">
        <v>0</v>
      </c>
      <c r="DD962">
        <v>0</v>
      </c>
      <c r="DE962">
        <v>0</v>
      </c>
      <c r="DF962">
        <v>0</v>
      </c>
      <c r="DG962" s="16">
        <f t="shared" si="77"/>
        <v>0</v>
      </c>
      <c r="DH962" s="16">
        <f t="shared" si="78"/>
        <v>0</v>
      </c>
      <c r="DI962" s="17" t="str">
        <f t="shared" si="79"/>
        <v/>
      </c>
      <c r="DJ962" s="119" t="s">
        <v>719</v>
      </c>
      <c r="DK962" s="44" t="s">
        <v>719</v>
      </c>
    </row>
    <row r="963" spans="1:115" ht="15" customHeight="1">
      <c r="A963" s="32" t="str">
        <f t="shared" si="80"/>
        <v xml:space="preserve">SA Power--&gt; 22 kV &amp; &lt; = 33 kV ; COMMERCIAL &amp; INDUSTRIAL  </v>
      </c>
      <c r="B963" s="32" t="str">
        <f t="shared" si="81"/>
        <v>SA Power</v>
      </c>
      <c r="C963" s="385"/>
      <c r="E963" t="s">
        <v>193</v>
      </c>
      <c r="F963">
        <v>60</v>
      </c>
      <c r="G963">
        <v>7.745966692414834</v>
      </c>
      <c r="H963">
        <v>0</v>
      </c>
      <c r="I963">
        <v>0</v>
      </c>
      <c r="J963">
        <v>0</v>
      </c>
      <c r="K963">
        <v>0</v>
      </c>
      <c r="L963">
        <v>0</v>
      </c>
      <c r="M963">
        <v>0</v>
      </c>
      <c r="N963">
        <v>0</v>
      </c>
      <c r="O963">
        <v>0</v>
      </c>
      <c r="P963">
        <v>0</v>
      </c>
      <c r="Q963">
        <v>0</v>
      </c>
      <c r="R963">
        <v>0</v>
      </c>
      <c r="S963">
        <v>0</v>
      </c>
      <c r="T963">
        <v>0</v>
      </c>
      <c r="U963">
        <v>0</v>
      </c>
      <c r="V963">
        <v>1</v>
      </c>
      <c r="W963">
        <v>1</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0</v>
      </c>
      <c r="AR963">
        <v>0</v>
      </c>
      <c r="AS963">
        <v>0</v>
      </c>
      <c r="AT963">
        <v>0</v>
      </c>
      <c r="AU963">
        <v>0</v>
      </c>
      <c r="AV963">
        <v>0</v>
      </c>
      <c r="AW963">
        <v>0</v>
      </c>
      <c r="AX963">
        <v>0</v>
      </c>
      <c r="AY963">
        <v>0</v>
      </c>
      <c r="AZ963">
        <v>0</v>
      </c>
      <c r="BA963">
        <v>0</v>
      </c>
      <c r="BB963">
        <v>0</v>
      </c>
      <c r="BC963">
        <v>0</v>
      </c>
      <c r="BD963">
        <v>0</v>
      </c>
      <c r="BE963">
        <v>0</v>
      </c>
      <c r="BF963">
        <v>0</v>
      </c>
      <c r="BG963">
        <v>0</v>
      </c>
      <c r="BH963">
        <v>0</v>
      </c>
      <c r="BI963">
        <v>0</v>
      </c>
      <c r="BJ963">
        <v>0</v>
      </c>
      <c r="BK963">
        <v>0</v>
      </c>
      <c r="BL963">
        <v>0</v>
      </c>
      <c r="BM963">
        <v>0</v>
      </c>
      <c r="BN963">
        <v>0</v>
      </c>
      <c r="BO963">
        <v>0</v>
      </c>
      <c r="BP963">
        <v>0</v>
      </c>
      <c r="BQ963">
        <v>0</v>
      </c>
      <c r="BR963">
        <v>0</v>
      </c>
      <c r="BS963">
        <v>0</v>
      </c>
      <c r="BT963">
        <v>0</v>
      </c>
      <c r="BU963">
        <v>0</v>
      </c>
      <c r="BV963">
        <v>0</v>
      </c>
      <c r="BW963">
        <v>0</v>
      </c>
      <c r="BX963">
        <v>0</v>
      </c>
      <c r="BY963">
        <v>0</v>
      </c>
      <c r="BZ963">
        <v>0</v>
      </c>
      <c r="CA963">
        <v>0</v>
      </c>
      <c r="CB963">
        <v>0</v>
      </c>
      <c r="CC963">
        <v>0</v>
      </c>
      <c r="CD963">
        <v>0</v>
      </c>
      <c r="CE963">
        <v>0</v>
      </c>
      <c r="CF963">
        <v>0</v>
      </c>
      <c r="CG963">
        <v>0</v>
      </c>
      <c r="CH963">
        <v>0</v>
      </c>
      <c r="CI963">
        <v>0</v>
      </c>
      <c r="CJ963">
        <v>0</v>
      </c>
      <c r="CK963">
        <v>0</v>
      </c>
      <c r="CL963">
        <v>0</v>
      </c>
      <c r="CM963">
        <v>0</v>
      </c>
      <c r="CN963">
        <v>0</v>
      </c>
      <c r="CO963">
        <v>0</v>
      </c>
      <c r="CP963">
        <v>0</v>
      </c>
      <c r="CQ963">
        <v>0</v>
      </c>
      <c r="CR963">
        <v>0</v>
      </c>
      <c r="CS963">
        <v>0</v>
      </c>
      <c r="CT963">
        <v>0</v>
      </c>
      <c r="CU963">
        <v>0</v>
      </c>
      <c r="CV963">
        <v>0</v>
      </c>
      <c r="CW963">
        <v>0</v>
      </c>
      <c r="CX963">
        <v>0</v>
      </c>
      <c r="CY963">
        <v>0</v>
      </c>
      <c r="CZ963">
        <v>0</v>
      </c>
      <c r="DA963">
        <v>0</v>
      </c>
      <c r="DB963">
        <v>0</v>
      </c>
      <c r="DC963">
        <v>0</v>
      </c>
      <c r="DD963">
        <v>0</v>
      </c>
      <c r="DE963">
        <v>0</v>
      </c>
      <c r="DF963">
        <v>0</v>
      </c>
      <c r="DG963" s="16">
        <f t="shared" si="77"/>
        <v>2</v>
      </c>
      <c r="DH963" s="16">
        <f t="shared" si="78"/>
        <v>31</v>
      </c>
      <c r="DI963" s="17">
        <f t="shared" si="79"/>
        <v>15.5</v>
      </c>
      <c r="DJ963" s="119" t="s">
        <v>719</v>
      </c>
      <c r="DK963" s="44" t="s">
        <v>719</v>
      </c>
    </row>
    <row r="964" spans="1:115" ht="15" customHeight="1">
      <c r="A964" s="32" t="str">
        <f t="shared" si="80"/>
        <v xml:space="preserve">SA Power--&gt; 22 kV &amp; &lt; = 33 kV ; SUBDIVISION  </v>
      </c>
      <c r="B964" s="32" t="str">
        <f t="shared" si="81"/>
        <v>SA Power</v>
      </c>
      <c r="C964" s="385"/>
      <c r="E964" t="s">
        <v>194</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v>0</v>
      </c>
      <c r="BK964">
        <v>0</v>
      </c>
      <c r="BL964">
        <v>0</v>
      </c>
      <c r="BM964">
        <v>0</v>
      </c>
      <c r="BN964">
        <v>0</v>
      </c>
      <c r="BO964">
        <v>0</v>
      </c>
      <c r="BP964">
        <v>0</v>
      </c>
      <c r="BQ964">
        <v>0</v>
      </c>
      <c r="BR964">
        <v>0</v>
      </c>
      <c r="BS964">
        <v>0</v>
      </c>
      <c r="BT964">
        <v>0</v>
      </c>
      <c r="BU964">
        <v>0</v>
      </c>
      <c r="BV964">
        <v>0</v>
      </c>
      <c r="BW964">
        <v>0</v>
      </c>
      <c r="BX964">
        <v>0</v>
      </c>
      <c r="BY964">
        <v>0</v>
      </c>
      <c r="BZ964">
        <v>0</v>
      </c>
      <c r="CA964">
        <v>0</v>
      </c>
      <c r="CB964">
        <v>0</v>
      </c>
      <c r="CC964">
        <v>0</v>
      </c>
      <c r="CD964">
        <v>0</v>
      </c>
      <c r="CE964">
        <v>0</v>
      </c>
      <c r="CF964">
        <v>0</v>
      </c>
      <c r="CG964">
        <v>0</v>
      </c>
      <c r="CH964">
        <v>0</v>
      </c>
      <c r="CI964">
        <v>0</v>
      </c>
      <c r="CJ964">
        <v>0</v>
      </c>
      <c r="CK964">
        <v>0</v>
      </c>
      <c r="CL964">
        <v>0</v>
      </c>
      <c r="CM964">
        <v>0</v>
      </c>
      <c r="CN964">
        <v>0</v>
      </c>
      <c r="CO964">
        <v>0</v>
      </c>
      <c r="CP964">
        <v>0</v>
      </c>
      <c r="CQ964">
        <v>0</v>
      </c>
      <c r="CR964">
        <v>0</v>
      </c>
      <c r="CS964">
        <v>0</v>
      </c>
      <c r="CT964">
        <v>0</v>
      </c>
      <c r="CU964">
        <v>0</v>
      </c>
      <c r="CV964">
        <v>0</v>
      </c>
      <c r="CW964">
        <v>0</v>
      </c>
      <c r="CX964">
        <v>0</v>
      </c>
      <c r="CY964">
        <v>0</v>
      </c>
      <c r="CZ964">
        <v>0</v>
      </c>
      <c r="DA964">
        <v>0</v>
      </c>
      <c r="DB964">
        <v>0</v>
      </c>
      <c r="DC964">
        <v>0</v>
      </c>
      <c r="DD964">
        <v>0</v>
      </c>
      <c r="DE964">
        <v>0</v>
      </c>
      <c r="DF964">
        <v>0</v>
      </c>
      <c r="DG964" s="16">
        <f t="shared" si="77"/>
        <v>0</v>
      </c>
      <c r="DH964" s="16">
        <f t="shared" si="78"/>
        <v>0</v>
      </c>
      <c r="DI964" s="17" t="str">
        <f t="shared" si="79"/>
        <v/>
      </c>
      <c r="DJ964" s="119" t="s">
        <v>719</v>
      </c>
      <c r="DK964" s="44" t="s">
        <v>719</v>
      </c>
    </row>
    <row r="965" spans="1:115" ht="15" customHeight="1">
      <c r="A965" s="32" t="str">
        <f t="shared" si="80"/>
        <v xml:space="preserve">SA Power--&gt; 33 kV &amp; &lt; = 66 kV ; COMMERCIAL &amp; INDUSTRIAL  </v>
      </c>
      <c r="B965" s="32" t="str">
        <f t="shared" si="81"/>
        <v>SA Power</v>
      </c>
      <c r="C965" s="385"/>
      <c r="E965" t="s">
        <v>195</v>
      </c>
      <c r="F965">
        <v>60</v>
      </c>
      <c r="G965">
        <v>7.7459666924148296</v>
      </c>
      <c r="H965">
        <v>0</v>
      </c>
      <c r="I965">
        <v>0</v>
      </c>
      <c r="J965">
        <v>0</v>
      </c>
      <c r="K965">
        <v>0</v>
      </c>
      <c r="L965">
        <v>0</v>
      </c>
      <c r="M965">
        <v>0</v>
      </c>
      <c r="N965">
        <v>0</v>
      </c>
      <c r="O965">
        <v>0</v>
      </c>
      <c r="P965">
        <v>0</v>
      </c>
      <c r="Q965">
        <v>0</v>
      </c>
      <c r="R965">
        <v>0</v>
      </c>
      <c r="S965">
        <v>0</v>
      </c>
      <c r="T965">
        <v>0</v>
      </c>
      <c r="U965">
        <v>0</v>
      </c>
      <c r="V965">
        <v>1</v>
      </c>
      <c r="W965">
        <v>1</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0</v>
      </c>
      <c r="BH965">
        <v>0</v>
      </c>
      <c r="BI965">
        <v>0</v>
      </c>
      <c r="BJ965">
        <v>0</v>
      </c>
      <c r="BK965">
        <v>0</v>
      </c>
      <c r="BL965">
        <v>0</v>
      </c>
      <c r="BM965">
        <v>0</v>
      </c>
      <c r="BN965">
        <v>0</v>
      </c>
      <c r="BO965">
        <v>0</v>
      </c>
      <c r="BP965">
        <v>0</v>
      </c>
      <c r="BQ965">
        <v>0</v>
      </c>
      <c r="BR965">
        <v>0</v>
      </c>
      <c r="BS965">
        <v>0</v>
      </c>
      <c r="BT965">
        <v>0</v>
      </c>
      <c r="BU965">
        <v>0</v>
      </c>
      <c r="BV965">
        <v>0</v>
      </c>
      <c r="BW965">
        <v>0</v>
      </c>
      <c r="BX965">
        <v>0</v>
      </c>
      <c r="BY965">
        <v>0</v>
      </c>
      <c r="BZ965">
        <v>0</v>
      </c>
      <c r="CA965">
        <v>0</v>
      </c>
      <c r="CB965">
        <v>0</v>
      </c>
      <c r="CC965">
        <v>0</v>
      </c>
      <c r="CD965">
        <v>0</v>
      </c>
      <c r="CE965">
        <v>0</v>
      </c>
      <c r="CF965">
        <v>0</v>
      </c>
      <c r="CG965">
        <v>0</v>
      </c>
      <c r="CH965">
        <v>0</v>
      </c>
      <c r="CI965">
        <v>0</v>
      </c>
      <c r="CJ965">
        <v>0</v>
      </c>
      <c r="CK965">
        <v>0</v>
      </c>
      <c r="CL965">
        <v>0</v>
      </c>
      <c r="CM965">
        <v>0</v>
      </c>
      <c r="CN965">
        <v>0</v>
      </c>
      <c r="CO965">
        <v>0</v>
      </c>
      <c r="CP965">
        <v>0</v>
      </c>
      <c r="CQ965">
        <v>0</v>
      </c>
      <c r="CR965">
        <v>0</v>
      </c>
      <c r="CS965">
        <v>0</v>
      </c>
      <c r="CT965">
        <v>0</v>
      </c>
      <c r="CU965">
        <v>0</v>
      </c>
      <c r="CV965">
        <v>0</v>
      </c>
      <c r="CW965">
        <v>0</v>
      </c>
      <c r="CX965">
        <v>0</v>
      </c>
      <c r="CY965">
        <v>0</v>
      </c>
      <c r="CZ965">
        <v>0</v>
      </c>
      <c r="DA965">
        <v>0</v>
      </c>
      <c r="DB965">
        <v>0</v>
      </c>
      <c r="DC965">
        <v>0</v>
      </c>
      <c r="DD965">
        <v>0</v>
      </c>
      <c r="DE965">
        <v>0</v>
      </c>
      <c r="DF965">
        <v>0</v>
      </c>
      <c r="DG965" s="16">
        <f t="shared" si="77"/>
        <v>2</v>
      </c>
      <c r="DH965" s="16">
        <f t="shared" si="78"/>
        <v>31</v>
      </c>
      <c r="DI965" s="17">
        <f t="shared" si="79"/>
        <v>15.5</v>
      </c>
      <c r="DJ965" s="119" t="s">
        <v>719</v>
      </c>
      <c r="DK965" s="44" t="s">
        <v>719</v>
      </c>
    </row>
    <row r="966" spans="1:115" ht="15" customHeight="1">
      <c r="A966" s="32" t="str">
        <f t="shared" si="80"/>
        <v xml:space="preserve">SA Power--&gt; 33 kV &amp; &lt; = 66 kV ; SUBDIVISION  </v>
      </c>
      <c r="B966" s="32" t="str">
        <f t="shared" si="81"/>
        <v>SA Power</v>
      </c>
      <c r="C966" s="385"/>
      <c r="E966" t="s">
        <v>196</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v>0</v>
      </c>
      <c r="BQ966">
        <v>0</v>
      </c>
      <c r="BR966">
        <v>0</v>
      </c>
      <c r="BS966">
        <v>0</v>
      </c>
      <c r="BT966">
        <v>0</v>
      </c>
      <c r="BU966">
        <v>0</v>
      </c>
      <c r="BV966">
        <v>0</v>
      </c>
      <c r="BW966">
        <v>0</v>
      </c>
      <c r="BX966">
        <v>0</v>
      </c>
      <c r="BY966">
        <v>0</v>
      </c>
      <c r="BZ966">
        <v>0</v>
      </c>
      <c r="CA966">
        <v>0</v>
      </c>
      <c r="CB966">
        <v>0</v>
      </c>
      <c r="CC966">
        <v>0</v>
      </c>
      <c r="CD966">
        <v>0</v>
      </c>
      <c r="CE966">
        <v>0</v>
      </c>
      <c r="CF966">
        <v>0</v>
      </c>
      <c r="CG966">
        <v>0</v>
      </c>
      <c r="CH966">
        <v>0</v>
      </c>
      <c r="CI966">
        <v>0</v>
      </c>
      <c r="CJ966">
        <v>0</v>
      </c>
      <c r="CK966">
        <v>0</v>
      </c>
      <c r="CL966">
        <v>0</v>
      </c>
      <c r="CM966">
        <v>0</v>
      </c>
      <c r="CN966">
        <v>0</v>
      </c>
      <c r="CO966">
        <v>0</v>
      </c>
      <c r="CP966">
        <v>0</v>
      </c>
      <c r="CQ966">
        <v>0</v>
      </c>
      <c r="CR966">
        <v>0</v>
      </c>
      <c r="CS966">
        <v>0</v>
      </c>
      <c r="CT966">
        <v>0</v>
      </c>
      <c r="CU966">
        <v>0</v>
      </c>
      <c r="CV966">
        <v>0</v>
      </c>
      <c r="CW966">
        <v>0</v>
      </c>
      <c r="CX966">
        <v>0</v>
      </c>
      <c r="CY966">
        <v>0</v>
      </c>
      <c r="CZ966">
        <v>0</v>
      </c>
      <c r="DA966">
        <v>0</v>
      </c>
      <c r="DB966">
        <v>0</v>
      </c>
      <c r="DC966">
        <v>0</v>
      </c>
      <c r="DD966">
        <v>0</v>
      </c>
      <c r="DE966">
        <v>0</v>
      </c>
      <c r="DF966">
        <v>0</v>
      </c>
      <c r="DG966" s="16">
        <f t="shared" si="77"/>
        <v>0</v>
      </c>
      <c r="DH966" s="16">
        <f t="shared" si="78"/>
        <v>0</v>
      </c>
      <c r="DI966" s="17" t="str">
        <f t="shared" si="79"/>
        <v/>
      </c>
      <c r="DJ966" s="119" t="s">
        <v>719</v>
      </c>
      <c r="DK966" s="44" t="s">
        <v>719</v>
      </c>
    </row>
    <row r="967" spans="1:115" ht="15" customHeight="1">
      <c r="A967" s="32" t="str">
        <f t="shared" si="80"/>
        <v xml:space="preserve">SA Power--&gt; 66 kV &amp; &lt; = 132 kV ; COMMERCIAL &amp; INDUSTRIAL  </v>
      </c>
      <c r="B967" s="32" t="str">
        <f t="shared" si="81"/>
        <v>SA Power</v>
      </c>
      <c r="C967" s="385"/>
      <c r="E967" t="s">
        <v>197</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c r="AR967">
        <v>0</v>
      </c>
      <c r="AS967">
        <v>0</v>
      </c>
      <c r="AT967">
        <v>0</v>
      </c>
      <c r="AU967">
        <v>0</v>
      </c>
      <c r="AV967">
        <v>0</v>
      </c>
      <c r="AW967">
        <v>0</v>
      </c>
      <c r="AX967">
        <v>0</v>
      </c>
      <c r="AY967">
        <v>0</v>
      </c>
      <c r="AZ967">
        <v>0</v>
      </c>
      <c r="BA967">
        <v>0</v>
      </c>
      <c r="BB967">
        <v>0</v>
      </c>
      <c r="BC967">
        <v>0</v>
      </c>
      <c r="BD967">
        <v>0</v>
      </c>
      <c r="BE967">
        <v>0</v>
      </c>
      <c r="BF967">
        <v>0</v>
      </c>
      <c r="BG967">
        <v>0</v>
      </c>
      <c r="BH967">
        <v>0</v>
      </c>
      <c r="BI967">
        <v>0</v>
      </c>
      <c r="BJ967">
        <v>0</v>
      </c>
      <c r="BK967">
        <v>0</v>
      </c>
      <c r="BL967">
        <v>0</v>
      </c>
      <c r="BM967">
        <v>0</v>
      </c>
      <c r="BN967">
        <v>0</v>
      </c>
      <c r="BO967">
        <v>0</v>
      </c>
      <c r="BP967">
        <v>0</v>
      </c>
      <c r="BQ967">
        <v>0</v>
      </c>
      <c r="BR967">
        <v>0</v>
      </c>
      <c r="BS967">
        <v>0</v>
      </c>
      <c r="BT967">
        <v>0</v>
      </c>
      <c r="BU967">
        <v>0</v>
      </c>
      <c r="BV967">
        <v>0</v>
      </c>
      <c r="BW967">
        <v>0</v>
      </c>
      <c r="BX967">
        <v>0</v>
      </c>
      <c r="BY967">
        <v>0</v>
      </c>
      <c r="BZ967">
        <v>0</v>
      </c>
      <c r="CA967">
        <v>0</v>
      </c>
      <c r="CB967">
        <v>0</v>
      </c>
      <c r="CC967">
        <v>0</v>
      </c>
      <c r="CD967">
        <v>0</v>
      </c>
      <c r="CE967">
        <v>0</v>
      </c>
      <c r="CF967">
        <v>0</v>
      </c>
      <c r="CG967">
        <v>0</v>
      </c>
      <c r="CH967">
        <v>0</v>
      </c>
      <c r="CI967">
        <v>0</v>
      </c>
      <c r="CJ967">
        <v>0</v>
      </c>
      <c r="CK967">
        <v>0</v>
      </c>
      <c r="CL967">
        <v>0</v>
      </c>
      <c r="CM967">
        <v>0</v>
      </c>
      <c r="CN967">
        <v>0</v>
      </c>
      <c r="CO967">
        <v>0</v>
      </c>
      <c r="CP967">
        <v>0</v>
      </c>
      <c r="CQ967">
        <v>0</v>
      </c>
      <c r="CR967">
        <v>0</v>
      </c>
      <c r="CS967">
        <v>0</v>
      </c>
      <c r="CT967">
        <v>0</v>
      </c>
      <c r="CU967">
        <v>0</v>
      </c>
      <c r="CV967">
        <v>0</v>
      </c>
      <c r="CW967">
        <v>0</v>
      </c>
      <c r="CX967">
        <v>0</v>
      </c>
      <c r="CY967">
        <v>0</v>
      </c>
      <c r="CZ967">
        <v>0</v>
      </c>
      <c r="DA967">
        <v>0</v>
      </c>
      <c r="DB967">
        <v>0</v>
      </c>
      <c r="DC967">
        <v>0</v>
      </c>
      <c r="DD967">
        <v>0</v>
      </c>
      <c r="DE967">
        <v>0</v>
      </c>
      <c r="DF967">
        <v>0</v>
      </c>
      <c r="DG967" s="16">
        <f t="shared" si="77"/>
        <v>0</v>
      </c>
      <c r="DH967" s="16">
        <f t="shared" si="78"/>
        <v>0</v>
      </c>
      <c r="DI967" s="17" t="str">
        <f t="shared" si="79"/>
        <v/>
      </c>
      <c r="DJ967" s="119" t="s">
        <v>719</v>
      </c>
      <c r="DK967" s="44" t="s">
        <v>719</v>
      </c>
    </row>
    <row r="968" spans="1:115" ht="15" customHeight="1">
      <c r="A968" s="32" t="str">
        <f t="shared" si="80"/>
        <v xml:space="preserve">SA Power--&gt; 66 kV &amp; &lt; = 132 kV ; SUBDIVISION  </v>
      </c>
      <c r="B968" s="32" t="str">
        <f t="shared" si="81"/>
        <v>SA Power</v>
      </c>
      <c r="C968" s="385"/>
      <c r="E968" t="s">
        <v>198</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0</v>
      </c>
      <c r="BF968">
        <v>0</v>
      </c>
      <c r="BG968">
        <v>0</v>
      </c>
      <c r="BH968">
        <v>0</v>
      </c>
      <c r="BI968">
        <v>0</v>
      </c>
      <c r="BJ968">
        <v>0</v>
      </c>
      <c r="BK968">
        <v>0</v>
      </c>
      <c r="BL968">
        <v>0</v>
      </c>
      <c r="BM968">
        <v>0</v>
      </c>
      <c r="BN968">
        <v>0</v>
      </c>
      <c r="BO968">
        <v>0</v>
      </c>
      <c r="BP968">
        <v>0</v>
      </c>
      <c r="BQ968">
        <v>0</v>
      </c>
      <c r="BR968">
        <v>0</v>
      </c>
      <c r="BS968">
        <v>0</v>
      </c>
      <c r="BT968">
        <v>0</v>
      </c>
      <c r="BU968">
        <v>0</v>
      </c>
      <c r="BV968">
        <v>0</v>
      </c>
      <c r="BW968">
        <v>0</v>
      </c>
      <c r="BX968">
        <v>0</v>
      </c>
      <c r="BY968">
        <v>0</v>
      </c>
      <c r="BZ968">
        <v>0</v>
      </c>
      <c r="CA968">
        <v>0</v>
      </c>
      <c r="CB968">
        <v>0</v>
      </c>
      <c r="CC968">
        <v>0</v>
      </c>
      <c r="CD968">
        <v>0</v>
      </c>
      <c r="CE968">
        <v>0</v>
      </c>
      <c r="CF968">
        <v>0</v>
      </c>
      <c r="CG968">
        <v>0</v>
      </c>
      <c r="CH968">
        <v>0</v>
      </c>
      <c r="CI968">
        <v>0</v>
      </c>
      <c r="CJ968">
        <v>0</v>
      </c>
      <c r="CK968">
        <v>0</v>
      </c>
      <c r="CL968">
        <v>0</v>
      </c>
      <c r="CM968">
        <v>0</v>
      </c>
      <c r="CN968">
        <v>0</v>
      </c>
      <c r="CO968">
        <v>0</v>
      </c>
      <c r="CP968">
        <v>0</v>
      </c>
      <c r="CQ968">
        <v>0</v>
      </c>
      <c r="CR968">
        <v>0</v>
      </c>
      <c r="CS968">
        <v>0</v>
      </c>
      <c r="CT968">
        <v>0</v>
      </c>
      <c r="CU968">
        <v>0</v>
      </c>
      <c r="CV968">
        <v>0</v>
      </c>
      <c r="CW968">
        <v>0</v>
      </c>
      <c r="CX968">
        <v>0</v>
      </c>
      <c r="CY968">
        <v>0</v>
      </c>
      <c r="CZ968">
        <v>0</v>
      </c>
      <c r="DA968">
        <v>0</v>
      </c>
      <c r="DB968">
        <v>0</v>
      </c>
      <c r="DC968">
        <v>0</v>
      </c>
      <c r="DD968">
        <v>0</v>
      </c>
      <c r="DE968">
        <v>0</v>
      </c>
      <c r="DF968">
        <v>0</v>
      </c>
      <c r="DG968" s="16">
        <f t="shared" si="77"/>
        <v>0</v>
      </c>
      <c r="DH968" s="16">
        <f t="shared" si="78"/>
        <v>0</v>
      </c>
      <c r="DI968" s="17" t="str">
        <f t="shared" si="79"/>
        <v/>
      </c>
      <c r="DJ968" s="119" t="s">
        <v>719</v>
      </c>
      <c r="DK968" s="44" t="s">
        <v>719</v>
      </c>
    </row>
    <row r="969" spans="1:115" ht="15" customHeight="1">
      <c r="A969" s="32" t="str">
        <f t="shared" si="80"/>
        <v xml:space="preserve">SA Power--&gt; 132 kV ; COMMERCIAL &amp; INDUSTRIAL  </v>
      </c>
      <c r="B969" s="32" t="str">
        <f t="shared" si="81"/>
        <v>SA Power</v>
      </c>
      <c r="C969" s="385"/>
      <c r="E969" t="s">
        <v>199</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0</v>
      </c>
      <c r="AR969">
        <v>0</v>
      </c>
      <c r="AS969">
        <v>0</v>
      </c>
      <c r="AT969">
        <v>0</v>
      </c>
      <c r="AU969">
        <v>0</v>
      </c>
      <c r="AV969">
        <v>0</v>
      </c>
      <c r="AW969">
        <v>0</v>
      </c>
      <c r="AX969">
        <v>0</v>
      </c>
      <c r="AY969">
        <v>0</v>
      </c>
      <c r="AZ969">
        <v>0</v>
      </c>
      <c r="BA969">
        <v>0</v>
      </c>
      <c r="BB969">
        <v>0</v>
      </c>
      <c r="BC969">
        <v>0</v>
      </c>
      <c r="BD969">
        <v>0</v>
      </c>
      <c r="BE969">
        <v>0</v>
      </c>
      <c r="BF969">
        <v>0</v>
      </c>
      <c r="BG969">
        <v>0</v>
      </c>
      <c r="BH969">
        <v>0</v>
      </c>
      <c r="BI969">
        <v>0</v>
      </c>
      <c r="BJ969">
        <v>0</v>
      </c>
      <c r="BK969">
        <v>0</v>
      </c>
      <c r="BL969">
        <v>0</v>
      </c>
      <c r="BM969">
        <v>0</v>
      </c>
      <c r="BN969">
        <v>0</v>
      </c>
      <c r="BO969">
        <v>0</v>
      </c>
      <c r="BP969">
        <v>0</v>
      </c>
      <c r="BQ969">
        <v>0</v>
      </c>
      <c r="BR969">
        <v>0</v>
      </c>
      <c r="BS969">
        <v>0</v>
      </c>
      <c r="BT969">
        <v>0</v>
      </c>
      <c r="BU969">
        <v>0</v>
      </c>
      <c r="BV969">
        <v>0</v>
      </c>
      <c r="BW969">
        <v>0</v>
      </c>
      <c r="BX969">
        <v>0</v>
      </c>
      <c r="BY969">
        <v>0</v>
      </c>
      <c r="BZ969">
        <v>0</v>
      </c>
      <c r="CA969">
        <v>0</v>
      </c>
      <c r="CB969">
        <v>0</v>
      </c>
      <c r="CC969">
        <v>0</v>
      </c>
      <c r="CD969">
        <v>0</v>
      </c>
      <c r="CE969">
        <v>0</v>
      </c>
      <c r="CF969">
        <v>0</v>
      </c>
      <c r="CG969">
        <v>0</v>
      </c>
      <c r="CH969">
        <v>0</v>
      </c>
      <c r="CI969">
        <v>0</v>
      </c>
      <c r="CJ969">
        <v>0</v>
      </c>
      <c r="CK969">
        <v>0</v>
      </c>
      <c r="CL969">
        <v>0</v>
      </c>
      <c r="CM969">
        <v>0</v>
      </c>
      <c r="CN969">
        <v>0</v>
      </c>
      <c r="CO969">
        <v>0</v>
      </c>
      <c r="CP969">
        <v>0</v>
      </c>
      <c r="CQ969">
        <v>0</v>
      </c>
      <c r="CR969">
        <v>0</v>
      </c>
      <c r="CS969">
        <v>0</v>
      </c>
      <c r="CT969">
        <v>0</v>
      </c>
      <c r="CU969">
        <v>0</v>
      </c>
      <c r="CV969">
        <v>0</v>
      </c>
      <c r="CW969">
        <v>0</v>
      </c>
      <c r="CX969">
        <v>0</v>
      </c>
      <c r="CY969">
        <v>0</v>
      </c>
      <c r="CZ969">
        <v>0</v>
      </c>
      <c r="DA969">
        <v>0</v>
      </c>
      <c r="DB969">
        <v>0</v>
      </c>
      <c r="DC969">
        <v>0</v>
      </c>
      <c r="DD969">
        <v>0</v>
      </c>
      <c r="DE969">
        <v>0</v>
      </c>
      <c r="DF969">
        <v>0</v>
      </c>
      <c r="DG969" s="16">
        <f t="shared" si="77"/>
        <v>0</v>
      </c>
      <c r="DH969" s="16">
        <f t="shared" si="78"/>
        <v>0</v>
      </c>
      <c r="DI969" s="17" t="str">
        <f t="shared" si="79"/>
        <v/>
      </c>
      <c r="DJ969" s="119" t="s">
        <v>719</v>
      </c>
      <c r="DK969" s="44" t="s">
        <v>719</v>
      </c>
    </row>
    <row r="970" spans="1:115" ht="15" customHeight="1">
      <c r="A970" s="32" t="str">
        <f t="shared" si="80"/>
        <v xml:space="preserve">SA Power--&gt; 132 kV ; SUBDIVISION  </v>
      </c>
      <c r="B970" s="32" t="str">
        <f t="shared" si="81"/>
        <v>SA Power</v>
      </c>
      <c r="C970" s="385"/>
      <c r="E970" t="s">
        <v>200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0</v>
      </c>
      <c r="AR970">
        <v>0</v>
      </c>
      <c r="AS970">
        <v>0</v>
      </c>
      <c r="AT970">
        <v>0</v>
      </c>
      <c r="AU970">
        <v>0</v>
      </c>
      <c r="AV970">
        <v>0</v>
      </c>
      <c r="AW970">
        <v>0</v>
      </c>
      <c r="AX970">
        <v>0</v>
      </c>
      <c r="AY970">
        <v>0</v>
      </c>
      <c r="AZ970">
        <v>0</v>
      </c>
      <c r="BA970">
        <v>0</v>
      </c>
      <c r="BB970">
        <v>0</v>
      </c>
      <c r="BC970">
        <v>0</v>
      </c>
      <c r="BD970">
        <v>0</v>
      </c>
      <c r="BE970">
        <v>0</v>
      </c>
      <c r="BF970">
        <v>0</v>
      </c>
      <c r="BG970">
        <v>0</v>
      </c>
      <c r="BH970">
        <v>0</v>
      </c>
      <c r="BI970">
        <v>0</v>
      </c>
      <c r="BJ970">
        <v>0</v>
      </c>
      <c r="BK970">
        <v>0</v>
      </c>
      <c r="BL970">
        <v>0</v>
      </c>
      <c r="BM970">
        <v>0</v>
      </c>
      <c r="BN970">
        <v>0</v>
      </c>
      <c r="BO970">
        <v>0</v>
      </c>
      <c r="BP970">
        <v>0</v>
      </c>
      <c r="BQ970">
        <v>0</v>
      </c>
      <c r="BR970">
        <v>0</v>
      </c>
      <c r="BS970">
        <v>0</v>
      </c>
      <c r="BT970">
        <v>0</v>
      </c>
      <c r="BU970">
        <v>0</v>
      </c>
      <c r="BV970">
        <v>0</v>
      </c>
      <c r="BW970">
        <v>0</v>
      </c>
      <c r="BX970">
        <v>0</v>
      </c>
      <c r="BY970">
        <v>0</v>
      </c>
      <c r="BZ970">
        <v>0</v>
      </c>
      <c r="CA970">
        <v>0</v>
      </c>
      <c r="CB970">
        <v>0</v>
      </c>
      <c r="CC970">
        <v>0</v>
      </c>
      <c r="CD970">
        <v>0</v>
      </c>
      <c r="CE970">
        <v>0</v>
      </c>
      <c r="CF970">
        <v>0</v>
      </c>
      <c r="CG970">
        <v>0</v>
      </c>
      <c r="CH970">
        <v>0</v>
      </c>
      <c r="CI970">
        <v>0</v>
      </c>
      <c r="CJ970">
        <v>0</v>
      </c>
      <c r="CK970">
        <v>0</v>
      </c>
      <c r="CL970">
        <v>0</v>
      </c>
      <c r="CM970">
        <v>0</v>
      </c>
      <c r="CN970">
        <v>0</v>
      </c>
      <c r="CO970">
        <v>0</v>
      </c>
      <c r="CP970">
        <v>0</v>
      </c>
      <c r="CQ970">
        <v>0</v>
      </c>
      <c r="CR970">
        <v>0</v>
      </c>
      <c r="CS970">
        <v>0</v>
      </c>
      <c r="CT970">
        <v>0</v>
      </c>
      <c r="CU970">
        <v>0</v>
      </c>
      <c r="CV970">
        <v>0</v>
      </c>
      <c r="CW970">
        <v>0</v>
      </c>
      <c r="CX970">
        <v>0</v>
      </c>
      <c r="CY970">
        <v>0</v>
      </c>
      <c r="CZ970">
        <v>0</v>
      </c>
      <c r="DA970">
        <v>0</v>
      </c>
      <c r="DB970">
        <v>0</v>
      </c>
      <c r="DC970">
        <v>0</v>
      </c>
      <c r="DD970">
        <v>0</v>
      </c>
      <c r="DE970">
        <v>0</v>
      </c>
      <c r="DF970">
        <v>0</v>
      </c>
      <c r="DG970" s="16">
        <f t="shared" si="77"/>
        <v>0</v>
      </c>
      <c r="DH970" s="16">
        <f t="shared" si="78"/>
        <v>0</v>
      </c>
      <c r="DI970" s="17" t="str">
        <f t="shared" si="79"/>
        <v/>
      </c>
      <c r="DJ970" s="119" t="s">
        <v>719</v>
      </c>
      <c r="DK970" s="44" t="s">
        <v>719</v>
      </c>
    </row>
    <row r="971" spans="1:115" ht="15" customHeight="1">
      <c r="A971" s="32" t="str">
        <f t="shared" si="80"/>
        <v>SA Power--OTHER - PLEASE ADD A ROW IF NECESSARY AND NOMINATE THE CATEGORY</v>
      </c>
      <c r="B971" s="32" t="str">
        <f t="shared" si="81"/>
        <v>SA Power</v>
      </c>
      <c r="C971" s="385"/>
      <c r="E971" t="s">
        <v>170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0</v>
      </c>
      <c r="BF971">
        <v>0</v>
      </c>
      <c r="BG971">
        <v>0</v>
      </c>
      <c r="BH971">
        <v>0</v>
      </c>
      <c r="BI971">
        <v>0</v>
      </c>
      <c r="BJ971">
        <v>0</v>
      </c>
      <c r="BK971">
        <v>0</v>
      </c>
      <c r="BL971">
        <v>0</v>
      </c>
      <c r="BM971">
        <v>0</v>
      </c>
      <c r="BN971">
        <v>0</v>
      </c>
      <c r="BO971">
        <v>0</v>
      </c>
      <c r="BP971">
        <v>0</v>
      </c>
      <c r="BQ971">
        <v>0</v>
      </c>
      <c r="BR971">
        <v>0</v>
      </c>
      <c r="BS971">
        <v>0</v>
      </c>
      <c r="BT971">
        <v>0</v>
      </c>
      <c r="BU971">
        <v>0</v>
      </c>
      <c r="BV971">
        <v>0</v>
      </c>
      <c r="BW971">
        <v>0</v>
      </c>
      <c r="BX971">
        <v>0</v>
      </c>
      <c r="BY971">
        <v>0</v>
      </c>
      <c r="BZ971">
        <v>0</v>
      </c>
      <c r="CA971">
        <v>0</v>
      </c>
      <c r="CB971">
        <v>0</v>
      </c>
      <c r="CC971">
        <v>0</v>
      </c>
      <c r="CD971">
        <v>0</v>
      </c>
      <c r="CE971">
        <v>0</v>
      </c>
      <c r="CF971">
        <v>0</v>
      </c>
      <c r="CG971">
        <v>0</v>
      </c>
      <c r="CH971">
        <v>0</v>
      </c>
      <c r="CI971">
        <v>0</v>
      </c>
      <c r="CJ971">
        <v>0</v>
      </c>
      <c r="CK971">
        <v>0</v>
      </c>
      <c r="CL971">
        <v>0</v>
      </c>
      <c r="CM971">
        <v>0</v>
      </c>
      <c r="CN971">
        <v>0</v>
      </c>
      <c r="CO971">
        <v>0</v>
      </c>
      <c r="CP971">
        <v>0</v>
      </c>
      <c r="CQ971">
        <v>0</v>
      </c>
      <c r="CR971">
        <v>0</v>
      </c>
      <c r="CS971">
        <v>0</v>
      </c>
      <c r="CT971">
        <v>0</v>
      </c>
      <c r="CU971">
        <v>0</v>
      </c>
      <c r="CV971">
        <v>0</v>
      </c>
      <c r="CW971">
        <v>0</v>
      </c>
      <c r="CX971">
        <v>0</v>
      </c>
      <c r="CY971">
        <v>0</v>
      </c>
      <c r="CZ971">
        <v>0</v>
      </c>
      <c r="DA971">
        <v>0</v>
      </c>
      <c r="DB971">
        <v>0</v>
      </c>
      <c r="DC971">
        <v>0</v>
      </c>
      <c r="DD971">
        <v>0</v>
      </c>
      <c r="DE971">
        <v>0</v>
      </c>
      <c r="DF971">
        <v>0</v>
      </c>
      <c r="DG971" s="16">
        <f t="shared" si="77"/>
        <v>0</v>
      </c>
      <c r="DH971" s="16">
        <f t="shared" si="78"/>
        <v>0</v>
      </c>
      <c r="DI971" s="17" t="str">
        <f t="shared" si="79"/>
        <v/>
      </c>
      <c r="DJ971" s="119" t="s">
        <v>719</v>
      </c>
      <c r="DK971" s="44" t="s">
        <v>719</v>
      </c>
    </row>
    <row r="972" spans="1:115" ht="15" customHeight="1">
      <c r="A972" s="32" t="str">
        <f t="shared" si="80"/>
        <v>SA Power-TRANSFORMERS BY: 
MOUNTING TYPE; HIGHEST OPERATING VOLTAGE ; AMPERE RATING; NUMBER OF PHASES (AT LV)-POLE MOUNTED ; &lt; ≈ 22KV ;  &lt; ≈ 60 KVA ; SINGLE PHASE</v>
      </c>
      <c r="B972" s="32" t="str">
        <f t="shared" si="81"/>
        <v>SA Power</v>
      </c>
      <c r="C972" s="385"/>
      <c r="D972" t="s">
        <v>544</v>
      </c>
      <c r="E972" t="s">
        <v>1248</v>
      </c>
      <c r="F972">
        <v>55</v>
      </c>
      <c r="G972">
        <v>7.416198487095663</v>
      </c>
      <c r="H972">
        <v>212</v>
      </c>
      <c r="I972">
        <v>313</v>
      </c>
      <c r="J972">
        <v>351</v>
      </c>
      <c r="K972">
        <v>368</v>
      </c>
      <c r="L972">
        <v>387</v>
      </c>
      <c r="M972">
        <v>415</v>
      </c>
      <c r="N972">
        <v>443</v>
      </c>
      <c r="O972">
        <v>458</v>
      </c>
      <c r="P972">
        <v>441</v>
      </c>
      <c r="Q972">
        <v>425</v>
      </c>
      <c r="R972">
        <v>468</v>
      </c>
      <c r="S972">
        <v>514</v>
      </c>
      <c r="T972">
        <v>603</v>
      </c>
      <c r="U972">
        <v>665</v>
      </c>
      <c r="V972">
        <v>588</v>
      </c>
      <c r="W972">
        <v>558</v>
      </c>
      <c r="X972">
        <v>602</v>
      </c>
      <c r="Y972">
        <v>739</v>
      </c>
      <c r="Z972">
        <v>1031</v>
      </c>
      <c r="AA972">
        <v>1029</v>
      </c>
      <c r="AB972">
        <v>835</v>
      </c>
      <c r="AC972">
        <v>965</v>
      </c>
      <c r="AD972">
        <v>1249</v>
      </c>
      <c r="AE972">
        <v>1171</v>
      </c>
      <c r="AF972">
        <v>934</v>
      </c>
      <c r="AG972">
        <v>948</v>
      </c>
      <c r="AH972">
        <v>980</v>
      </c>
      <c r="AI972">
        <v>1054</v>
      </c>
      <c r="AJ972">
        <v>1071</v>
      </c>
      <c r="AK972">
        <v>1041</v>
      </c>
      <c r="AL972">
        <v>1113</v>
      </c>
      <c r="AM972">
        <v>1111</v>
      </c>
      <c r="AN972">
        <v>1009</v>
      </c>
      <c r="AO972">
        <v>887</v>
      </c>
      <c r="AP972">
        <v>800</v>
      </c>
      <c r="AQ972">
        <v>707</v>
      </c>
      <c r="AR972">
        <v>714</v>
      </c>
      <c r="AS972">
        <v>945</v>
      </c>
      <c r="AT972">
        <v>883</v>
      </c>
      <c r="AU972">
        <v>619</v>
      </c>
      <c r="AV972">
        <v>589</v>
      </c>
      <c r="AW972">
        <v>665</v>
      </c>
      <c r="AX972">
        <v>974</v>
      </c>
      <c r="AY972">
        <v>943</v>
      </c>
      <c r="AZ972">
        <v>608</v>
      </c>
      <c r="BA972">
        <v>528</v>
      </c>
      <c r="BB972">
        <v>667</v>
      </c>
      <c r="BC972">
        <v>848</v>
      </c>
      <c r="BD972">
        <v>715</v>
      </c>
      <c r="BE972">
        <v>507</v>
      </c>
      <c r="BF972">
        <v>524</v>
      </c>
      <c r="BG972">
        <v>501</v>
      </c>
      <c r="BH972">
        <v>597</v>
      </c>
      <c r="BI972">
        <v>543</v>
      </c>
      <c r="BJ972">
        <v>519</v>
      </c>
      <c r="BK972">
        <v>409</v>
      </c>
      <c r="BL972">
        <v>148</v>
      </c>
      <c r="BM972">
        <v>319</v>
      </c>
      <c r="BN972">
        <v>215</v>
      </c>
      <c r="BO972">
        <v>17</v>
      </c>
      <c r="BP972">
        <v>9</v>
      </c>
      <c r="BQ972">
        <v>3</v>
      </c>
      <c r="BR972">
        <v>4</v>
      </c>
      <c r="BS972">
        <v>2</v>
      </c>
      <c r="BT972">
        <v>1</v>
      </c>
      <c r="BU972">
        <v>1</v>
      </c>
      <c r="BV972">
        <v>0</v>
      </c>
      <c r="BW972">
        <v>0</v>
      </c>
      <c r="BX972">
        <v>0</v>
      </c>
      <c r="BY972">
        <v>0</v>
      </c>
      <c r="BZ972">
        <v>0</v>
      </c>
      <c r="CA972">
        <v>0</v>
      </c>
      <c r="CB972">
        <v>0</v>
      </c>
      <c r="CC972">
        <v>1</v>
      </c>
      <c r="CD972">
        <v>1</v>
      </c>
      <c r="CE972">
        <v>1</v>
      </c>
      <c r="CF972">
        <v>0</v>
      </c>
      <c r="CG972">
        <v>0</v>
      </c>
      <c r="CH972">
        <v>0</v>
      </c>
      <c r="CI972">
        <v>0</v>
      </c>
      <c r="CJ972">
        <v>1</v>
      </c>
      <c r="CK972">
        <v>1</v>
      </c>
      <c r="CL972">
        <v>0</v>
      </c>
      <c r="CM972">
        <v>0</v>
      </c>
      <c r="CN972">
        <v>0</v>
      </c>
      <c r="CO972">
        <v>0</v>
      </c>
      <c r="CP972">
        <v>0</v>
      </c>
      <c r="CQ972">
        <v>0</v>
      </c>
      <c r="CR972">
        <v>0</v>
      </c>
      <c r="CS972">
        <v>0</v>
      </c>
      <c r="CT972">
        <v>0</v>
      </c>
      <c r="CU972">
        <v>0</v>
      </c>
      <c r="CV972">
        <v>0</v>
      </c>
      <c r="CW972">
        <v>0</v>
      </c>
      <c r="CX972">
        <v>0</v>
      </c>
      <c r="CY972">
        <v>0</v>
      </c>
      <c r="CZ972">
        <v>0</v>
      </c>
      <c r="DA972">
        <v>0</v>
      </c>
      <c r="DB972">
        <v>0</v>
      </c>
      <c r="DC972">
        <v>0</v>
      </c>
      <c r="DD972">
        <v>0</v>
      </c>
      <c r="DE972">
        <v>0</v>
      </c>
      <c r="DF972">
        <v>0</v>
      </c>
      <c r="DG972" s="16">
        <f t="shared" ref="DG972:DG1033" si="82">SUM(H972:DF972)</f>
        <v>40507</v>
      </c>
      <c r="DH972" s="16">
        <f t="shared" ref="DH972:DH1033" si="83">IFERROR(SUMPRODUCT(H972:DF972,$H$1:$DF$1),"")</f>
        <v>1230036</v>
      </c>
      <c r="DI972" s="17">
        <f t="shared" ref="DI972:DI1033" si="84">IFERROR(DH972/DG972,"")</f>
        <v>30.366010812945909</v>
      </c>
      <c r="DJ972" s="119" t="s">
        <v>4</v>
      </c>
      <c r="DK972" t="s">
        <v>4</v>
      </c>
    </row>
    <row r="973" spans="1:115" ht="15" customHeight="1">
      <c r="A973" s="32" t="str">
        <f t="shared" si="80"/>
        <v>SA Power--POLE MOUNTED ; &lt; ≈ 22KV ;  &gt; 60 KVA AND &lt; ≈ 600 KVA ; SINGLE PHASE</v>
      </c>
      <c r="B973" s="32" t="str">
        <f t="shared" si="81"/>
        <v>SA Power</v>
      </c>
      <c r="C973" s="385"/>
      <c r="E973" t="s">
        <v>1249</v>
      </c>
      <c r="F973">
        <v>55</v>
      </c>
      <c r="G973">
        <v>7.416198487095663</v>
      </c>
      <c r="H973">
        <v>63</v>
      </c>
      <c r="I973">
        <v>116</v>
      </c>
      <c r="J973">
        <v>124</v>
      </c>
      <c r="K973">
        <v>174</v>
      </c>
      <c r="L973">
        <v>344</v>
      </c>
      <c r="M973">
        <v>449</v>
      </c>
      <c r="N973">
        <v>465</v>
      </c>
      <c r="O973">
        <v>480</v>
      </c>
      <c r="P973">
        <v>479</v>
      </c>
      <c r="Q973">
        <v>442</v>
      </c>
      <c r="R973">
        <v>335</v>
      </c>
      <c r="S973">
        <v>460</v>
      </c>
      <c r="T973">
        <v>467</v>
      </c>
      <c r="U973">
        <v>249</v>
      </c>
      <c r="V973">
        <v>206</v>
      </c>
      <c r="W973">
        <v>179</v>
      </c>
      <c r="X973">
        <v>137</v>
      </c>
      <c r="Y973">
        <v>141</v>
      </c>
      <c r="Z973">
        <v>188</v>
      </c>
      <c r="AA973">
        <v>198</v>
      </c>
      <c r="AB973">
        <v>173</v>
      </c>
      <c r="AC973">
        <v>175</v>
      </c>
      <c r="AD973">
        <v>232</v>
      </c>
      <c r="AE973">
        <v>258</v>
      </c>
      <c r="AF973">
        <v>232</v>
      </c>
      <c r="AG973">
        <v>225</v>
      </c>
      <c r="AH973">
        <v>217</v>
      </c>
      <c r="AI973">
        <v>230</v>
      </c>
      <c r="AJ973">
        <v>249</v>
      </c>
      <c r="AK973">
        <v>245</v>
      </c>
      <c r="AL973">
        <v>295</v>
      </c>
      <c r="AM973">
        <v>276</v>
      </c>
      <c r="AN973">
        <v>216</v>
      </c>
      <c r="AO973">
        <v>191</v>
      </c>
      <c r="AP973">
        <v>287</v>
      </c>
      <c r="AQ973">
        <v>286</v>
      </c>
      <c r="AR973">
        <v>147</v>
      </c>
      <c r="AS973">
        <v>149</v>
      </c>
      <c r="AT973">
        <v>166</v>
      </c>
      <c r="AU973">
        <v>144</v>
      </c>
      <c r="AV973">
        <v>134</v>
      </c>
      <c r="AW973">
        <v>161</v>
      </c>
      <c r="AX973">
        <v>156</v>
      </c>
      <c r="AY973">
        <v>122</v>
      </c>
      <c r="AZ973">
        <v>116</v>
      </c>
      <c r="BA973">
        <v>141</v>
      </c>
      <c r="BB973">
        <v>153</v>
      </c>
      <c r="BC973">
        <v>184</v>
      </c>
      <c r="BD973">
        <v>156</v>
      </c>
      <c r="BE973">
        <v>79</v>
      </c>
      <c r="BF973">
        <v>64</v>
      </c>
      <c r="BG973">
        <v>50</v>
      </c>
      <c r="BH973">
        <v>145</v>
      </c>
      <c r="BI973">
        <v>135</v>
      </c>
      <c r="BJ973">
        <v>36</v>
      </c>
      <c r="BK973">
        <v>56</v>
      </c>
      <c r="BL973">
        <v>101</v>
      </c>
      <c r="BM973">
        <v>293</v>
      </c>
      <c r="BN973">
        <v>222</v>
      </c>
      <c r="BO973">
        <v>9</v>
      </c>
      <c r="BP973">
        <v>14</v>
      </c>
      <c r="BQ973">
        <v>7</v>
      </c>
      <c r="BR973">
        <v>14</v>
      </c>
      <c r="BS973">
        <v>14</v>
      </c>
      <c r="BT973">
        <v>0</v>
      </c>
      <c r="BU973">
        <v>0</v>
      </c>
      <c r="BV973">
        <v>0</v>
      </c>
      <c r="BW973">
        <v>0</v>
      </c>
      <c r="BX973">
        <v>0</v>
      </c>
      <c r="BY973">
        <v>0</v>
      </c>
      <c r="BZ973">
        <v>0</v>
      </c>
      <c r="CA973">
        <v>0</v>
      </c>
      <c r="CB973">
        <v>0</v>
      </c>
      <c r="CC973">
        <v>0</v>
      </c>
      <c r="CD973">
        <v>0</v>
      </c>
      <c r="CE973">
        <v>0</v>
      </c>
      <c r="CF973">
        <v>0</v>
      </c>
      <c r="CG973">
        <v>0</v>
      </c>
      <c r="CH973">
        <v>0</v>
      </c>
      <c r="CI973">
        <v>0</v>
      </c>
      <c r="CJ973">
        <v>0</v>
      </c>
      <c r="CK973">
        <v>0</v>
      </c>
      <c r="CL973">
        <v>0</v>
      </c>
      <c r="CM973">
        <v>0</v>
      </c>
      <c r="CN973">
        <v>0</v>
      </c>
      <c r="CO973">
        <v>0</v>
      </c>
      <c r="CP973">
        <v>0</v>
      </c>
      <c r="CQ973">
        <v>0</v>
      </c>
      <c r="CR973">
        <v>0</v>
      </c>
      <c r="CS973">
        <v>0</v>
      </c>
      <c r="CT973">
        <v>0</v>
      </c>
      <c r="CU973">
        <v>0</v>
      </c>
      <c r="CV973">
        <v>0</v>
      </c>
      <c r="CW973">
        <v>0</v>
      </c>
      <c r="CX973">
        <v>0</v>
      </c>
      <c r="CY973">
        <v>0</v>
      </c>
      <c r="CZ973">
        <v>0</v>
      </c>
      <c r="DA973">
        <v>0</v>
      </c>
      <c r="DB973">
        <v>0</v>
      </c>
      <c r="DC973">
        <v>0</v>
      </c>
      <c r="DD973">
        <v>0</v>
      </c>
      <c r="DE973">
        <v>0</v>
      </c>
      <c r="DF973">
        <v>0</v>
      </c>
      <c r="DG973" s="16">
        <f t="shared" si="82"/>
        <v>12651</v>
      </c>
      <c r="DH973" s="16">
        <f t="shared" si="83"/>
        <v>320589</v>
      </c>
      <c r="DI973" s="17">
        <f t="shared" si="84"/>
        <v>25.341000711406213</v>
      </c>
      <c r="DJ973" s="119" t="s">
        <v>4</v>
      </c>
      <c r="DK973" s="44" t="s">
        <v>4</v>
      </c>
    </row>
    <row r="974" spans="1:115" ht="15" customHeight="1">
      <c r="A974" s="32" t="str">
        <f t="shared" si="80"/>
        <v>SA Power--POLE MOUNTED ; &lt; ≈ 22KV ;  &gt; 600 KVA ; SINGLE PHASE</v>
      </c>
      <c r="B974" s="32" t="str">
        <f t="shared" si="81"/>
        <v>SA Power</v>
      </c>
      <c r="C974" s="385"/>
      <c r="E974" t="s">
        <v>1250</v>
      </c>
      <c r="F974">
        <v>55</v>
      </c>
      <c r="G974">
        <v>7.416198487095663</v>
      </c>
      <c r="H974">
        <v>0</v>
      </c>
      <c r="I974">
        <v>0</v>
      </c>
      <c r="J974">
        <v>0</v>
      </c>
      <c r="K974">
        <v>0</v>
      </c>
      <c r="L974">
        <v>1</v>
      </c>
      <c r="M974">
        <v>1</v>
      </c>
      <c r="N974">
        <v>1</v>
      </c>
      <c r="O974">
        <v>1</v>
      </c>
      <c r="P974">
        <v>1</v>
      </c>
      <c r="Q974">
        <v>1</v>
      </c>
      <c r="R974">
        <v>1</v>
      </c>
      <c r="S974">
        <v>1</v>
      </c>
      <c r="T974">
        <v>1</v>
      </c>
      <c r="U974">
        <v>1</v>
      </c>
      <c r="V974">
        <v>1</v>
      </c>
      <c r="W974">
        <v>1</v>
      </c>
      <c r="X974">
        <v>0</v>
      </c>
      <c r="Y974">
        <v>0</v>
      </c>
      <c r="Z974">
        <v>0</v>
      </c>
      <c r="AA974">
        <v>1</v>
      </c>
      <c r="AB974">
        <v>1</v>
      </c>
      <c r="AC974">
        <v>0</v>
      </c>
      <c r="AD974">
        <v>0</v>
      </c>
      <c r="AE974">
        <v>1</v>
      </c>
      <c r="AF974">
        <v>2</v>
      </c>
      <c r="AG974">
        <v>2</v>
      </c>
      <c r="AH974">
        <v>1</v>
      </c>
      <c r="AI974">
        <v>0</v>
      </c>
      <c r="AJ974">
        <v>0</v>
      </c>
      <c r="AK974">
        <v>0</v>
      </c>
      <c r="AL974">
        <v>2</v>
      </c>
      <c r="AM974">
        <v>3</v>
      </c>
      <c r="AN974">
        <v>2</v>
      </c>
      <c r="AO974">
        <v>1</v>
      </c>
      <c r="AP974">
        <v>4</v>
      </c>
      <c r="AQ974">
        <v>8</v>
      </c>
      <c r="AR974">
        <v>5</v>
      </c>
      <c r="AS974">
        <v>2</v>
      </c>
      <c r="AT974">
        <v>4</v>
      </c>
      <c r="AU974">
        <v>2</v>
      </c>
      <c r="AV974">
        <v>0</v>
      </c>
      <c r="AW974">
        <v>4</v>
      </c>
      <c r="AX974">
        <v>29</v>
      </c>
      <c r="AY974">
        <v>26</v>
      </c>
      <c r="AZ974">
        <v>1</v>
      </c>
      <c r="BA974">
        <v>2</v>
      </c>
      <c r="BB974">
        <v>6</v>
      </c>
      <c r="BC974">
        <v>8</v>
      </c>
      <c r="BD974">
        <v>6</v>
      </c>
      <c r="BE974">
        <v>4</v>
      </c>
      <c r="BF974">
        <v>13</v>
      </c>
      <c r="BG974">
        <v>11</v>
      </c>
      <c r="BH974">
        <v>6</v>
      </c>
      <c r="BI974">
        <v>6</v>
      </c>
      <c r="BJ974">
        <v>6</v>
      </c>
      <c r="BK974">
        <v>8</v>
      </c>
      <c r="BL974">
        <v>7</v>
      </c>
      <c r="BM974">
        <v>13</v>
      </c>
      <c r="BN974">
        <v>8</v>
      </c>
      <c r="BO974">
        <v>1</v>
      </c>
      <c r="BP974">
        <v>1</v>
      </c>
      <c r="BQ974">
        <v>0</v>
      </c>
      <c r="BR974">
        <v>1</v>
      </c>
      <c r="BS974">
        <v>1</v>
      </c>
      <c r="BT974">
        <v>0</v>
      </c>
      <c r="BU974">
        <v>0</v>
      </c>
      <c r="BV974">
        <v>0</v>
      </c>
      <c r="BW974">
        <v>0</v>
      </c>
      <c r="BX974">
        <v>0</v>
      </c>
      <c r="BY974">
        <v>0</v>
      </c>
      <c r="BZ974">
        <v>0</v>
      </c>
      <c r="CA974">
        <v>0</v>
      </c>
      <c r="CB974">
        <v>0</v>
      </c>
      <c r="CC974">
        <v>0</v>
      </c>
      <c r="CD974">
        <v>0</v>
      </c>
      <c r="CE974">
        <v>0</v>
      </c>
      <c r="CF974">
        <v>0</v>
      </c>
      <c r="CG974">
        <v>0</v>
      </c>
      <c r="CH974">
        <v>0</v>
      </c>
      <c r="CI974">
        <v>0</v>
      </c>
      <c r="CJ974">
        <v>0</v>
      </c>
      <c r="CK974">
        <v>0</v>
      </c>
      <c r="CL974">
        <v>0</v>
      </c>
      <c r="CM974">
        <v>0</v>
      </c>
      <c r="CN974">
        <v>0</v>
      </c>
      <c r="CO974">
        <v>0</v>
      </c>
      <c r="CP974">
        <v>0</v>
      </c>
      <c r="CQ974">
        <v>0</v>
      </c>
      <c r="CR974">
        <v>0</v>
      </c>
      <c r="CS974">
        <v>0</v>
      </c>
      <c r="CT974">
        <v>0</v>
      </c>
      <c r="CU974">
        <v>0</v>
      </c>
      <c r="CV974">
        <v>0</v>
      </c>
      <c r="CW974">
        <v>0</v>
      </c>
      <c r="CX974">
        <v>0</v>
      </c>
      <c r="CY974">
        <v>0</v>
      </c>
      <c r="CZ974">
        <v>0</v>
      </c>
      <c r="DA974">
        <v>0</v>
      </c>
      <c r="DB974">
        <v>0</v>
      </c>
      <c r="DC974">
        <v>0</v>
      </c>
      <c r="DD974">
        <v>0</v>
      </c>
      <c r="DE974">
        <v>0</v>
      </c>
      <c r="DF974">
        <v>0</v>
      </c>
      <c r="DG974" s="16">
        <f t="shared" si="82"/>
        <v>221</v>
      </c>
      <c r="DH974" s="16">
        <f t="shared" si="83"/>
        <v>9887</v>
      </c>
      <c r="DI974" s="17">
        <f t="shared" si="84"/>
        <v>44.737556561085974</v>
      </c>
      <c r="DJ974" s="119" t="s">
        <v>4</v>
      </c>
      <c r="DK974" s="44" t="s">
        <v>4</v>
      </c>
    </row>
    <row r="975" spans="1:115" ht="15" customHeight="1">
      <c r="A975" s="32" t="str">
        <f t="shared" si="80"/>
        <v>SA Power--POLE MOUNTED ; &lt; ≈ 22KV ;  &lt; ≈ 60 KVA  ; MULTIPLE PHASE</v>
      </c>
      <c r="B975" s="32" t="str">
        <f t="shared" si="81"/>
        <v>SA Power</v>
      </c>
      <c r="C975" s="385"/>
      <c r="E975" t="s">
        <v>1251</v>
      </c>
      <c r="F975">
        <v>55</v>
      </c>
      <c r="G975">
        <v>7.416198487095663</v>
      </c>
      <c r="H975">
        <v>23</v>
      </c>
      <c r="I975">
        <v>30</v>
      </c>
      <c r="J975">
        <v>26</v>
      </c>
      <c r="K975">
        <v>24</v>
      </c>
      <c r="L975">
        <v>13</v>
      </c>
      <c r="M975">
        <v>2</v>
      </c>
      <c r="N975">
        <v>4</v>
      </c>
      <c r="O975">
        <v>4</v>
      </c>
      <c r="P975">
        <v>3</v>
      </c>
      <c r="Q975">
        <v>2</v>
      </c>
      <c r="R975">
        <v>1</v>
      </c>
      <c r="S975">
        <v>3</v>
      </c>
      <c r="T975">
        <v>4</v>
      </c>
      <c r="U975">
        <v>3</v>
      </c>
      <c r="V975">
        <v>13</v>
      </c>
      <c r="W975">
        <v>40</v>
      </c>
      <c r="X975">
        <v>37</v>
      </c>
      <c r="Y975">
        <v>49</v>
      </c>
      <c r="Z975">
        <v>71</v>
      </c>
      <c r="AA975">
        <v>64</v>
      </c>
      <c r="AB975">
        <v>67</v>
      </c>
      <c r="AC975">
        <v>74</v>
      </c>
      <c r="AD975">
        <v>86</v>
      </c>
      <c r="AE975">
        <v>102</v>
      </c>
      <c r="AF975">
        <v>88</v>
      </c>
      <c r="AG975">
        <v>69</v>
      </c>
      <c r="AH975">
        <v>66</v>
      </c>
      <c r="AI975">
        <v>73</v>
      </c>
      <c r="AJ975">
        <v>78</v>
      </c>
      <c r="AK975">
        <v>67</v>
      </c>
      <c r="AL975">
        <v>81</v>
      </c>
      <c r="AM975">
        <v>90</v>
      </c>
      <c r="AN975">
        <v>82</v>
      </c>
      <c r="AO975">
        <v>71</v>
      </c>
      <c r="AP975">
        <v>59</v>
      </c>
      <c r="AQ975">
        <v>60</v>
      </c>
      <c r="AR975">
        <v>60</v>
      </c>
      <c r="AS975">
        <v>58</v>
      </c>
      <c r="AT975">
        <v>55</v>
      </c>
      <c r="AU975">
        <v>56</v>
      </c>
      <c r="AV975">
        <v>51</v>
      </c>
      <c r="AW975">
        <v>45</v>
      </c>
      <c r="AX975">
        <v>44</v>
      </c>
      <c r="AY975">
        <v>39</v>
      </c>
      <c r="AZ975">
        <v>38</v>
      </c>
      <c r="BA975">
        <v>35</v>
      </c>
      <c r="BB975">
        <v>35</v>
      </c>
      <c r="BC975">
        <v>41</v>
      </c>
      <c r="BD975">
        <v>33</v>
      </c>
      <c r="BE975">
        <v>24</v>
      </c>
      <c r="BF975">
        <v>28</v>
      </c>
      <c r="BG975">
        <v>22</v>
      </c>
      <c r="BH975">
        <v>22</v>
      </c>
      <c r="BI975">
        <v>17</v>
      </c>
      <c r="BJ975">
        <v>10</v>
      </c>
      <c r="BK975">
        <v>12</v>
      </c>
      <c r="BL975">
        <v>29</v>
      </c>
      <c r="BM975">
        <v>56</v>
      </c>
      <c r="BN975">
        <v>32</v>
      </c>
      <c r="BO975">
        <v>3</v>
      </c>
      <c r="BP975">
        <v>1</v>
      </c>
      <c r="BQ975">
        <v>0</v>
      </c>
      <c r="BR975">
        <v>0</v>
      </c>
      <c r="BS975">
        <v>0</v>
      </c>
      <c r="BT975">
        <v>0</v>
      </c>
      <c r="BU975">
        <v>0</v>
      </c>
      <c r="BV975">
        <v>0</v>
      </c>
      <c r="BW975">
        <v>0</v>
      </c>
      <c r="BX975">
        <v>0</v>
      </c>
      <c r="BY975">
        <v>0</v>
      </c>
      <c r="BZ975">
        <v>0</v>
      </c>
      <c r="CA975">
        <v>0</v>
      </c>
      <c r="CB975">
        <v>0</v>
      </c>
      <c r="CC975">
        <v>0</v>
      </c>
      <c r="CD975">
        <v>0</v>
      </c>
      <c r="CE975">
        <v>0</v>
      </c>
      <c r="CF975">
        <v>0</v>
      </c>
      <c r="CG975">
        <v>0</v>
      </c>
      <c r="CH975">
        <v>0</v>
      </c>
      <c r="CI975">
        <v>0</v>
      </c>
      <c r="CJ975">
        <v>0</v>
      </c>
      <c r="CK975">
        <v>0</v>
      </c>
      <c r="CL975">
        <v>0</v>
      </c>
      <c r="CM975">
        <v>0</v>
      </c>
      <c r="CN975">
        <v>0</v>
      </c>
      <c r="CO975">
        <v>0</v>
      </c>
      <c r="CP975">
        <v>0</v>
      </c>
      <c r="CQ975">
        <v>0</v>
      </c>
      <c r="CR975">
        <v>0</v>
      </c>
      <c r="CS975">
        <v>0</v>
      </c>
      <c r="CT975">
        <v>0</v>
      </c>
      <c r="CU975">
        <v>0</v>
      </c>
      <c r="CV975">
        <v>0</v>
      </c>
      <c r="CW975">
        <v>0</v>
      </c>
      <c r="CX975">
        <v>0</v>
      </c>
      <c r="CY975">
        <v>0</v>
      </c>
      <c r="CZ975">
        <v>0</v>
      </c>
      <c r="DA975">
        <v>0</v>
      </c>
      <c r="DB975">
        <v>0</v>
      </c>
      <c r="DC975">
        <v>0</v>
      </c>
      <c r="DD975">
        <v>0</v>
      </c>
      <c r="DE975">
        <v>0</v>
      </c>
      <c r="DF975">
        <v>0</v>
      </c>
      <c r="DG975" s="16">
        <f t="shared" si="82"/>
        <v>2475</v>
      </c>
      <c r="DH975" s="16">
        <f t="shared" si="83"/>
        <v>78902</v>
      </c>
      <c r="DI975" s="17">
        <f t="shared" si="84"/>
        <v>31.87959595959596</v>
      </c>
      <c r="DJ975" s="119" t="s">
        <v>4</v>
      </c>
      <c r="DK975" s="44" t="s">
        <v>4</v>
      </c>
    </row>
    <row r="976" spans="1:115" ht="15" customHeight="1">
      <c r="A976" s="32" t="str">
        <f t="shared" si="80"/>
        <v>SA Power--POLE MOUNTED ; &lt; ≈ 22KV ;  &gt; 60 KVA AND &lt; ≈ 600 KVA  ; MULTIPLE PHASE</v>
      </c>
      <c r="B976" s="32" t="str">
        <f t="shared" si="81"/>
        <v>SA Power</v>
      </c>
      <c r="C976" s="385"/>
      <c r="E976" t="s">
        <v>1252</v>
      </c>
      <c r="F976">
        <v>55</v>
      </c>
      <c r="G976">
        <v>7.416198487095663</v>
      </c>
      <c r="H976">
        <v>191</v>
      </c>
      <c r="I976">
        <v>270</v>
      </c>
      <c r="J976">
        <v>334</v>
      </c>
      <c r="K976">
        <v>280</v>
      </c>
      <c r="L976">
        <v>103</v>
      </c>
      <c r="M976">
        <v>15</v>
      </c>
      <c r="N976">
        <v>24</v>
      </c>
      <c r="O976">
        <v>21</v>
      </c>
      <c r="P976">
        <v>8</v>
      </c>
      <c r="Q976">
        <v>8</v>
      </c>
      <c r="R976">
        <v>9</v>
      </c>
      <c r="S976">
        <v>10</v>
      </c>
      <c r="T976">
        <v>6</v>
      </c>
      <c r="U976">
        <v>2</v>
      </c>
      <c r="V976">
        <v>13</v>
      </c>
      <c r="W976">
        <v>40</v>
      </c>
      <c r="X976">
        <v>39</v>
      </c>
      <c r="Y976">
        <v>51</v>
      </c>
      <c r="Z976">
        <v>64</v>
      </c>
      <c r="AA976">
        <v>49</v>
      </c>
      <c r="AB976">
        <v>57</v>
      </c>
      <c r="AC976">
        <v>60</v>
      </c>
      <c r="AD976">
        <v>68</v>
      </c>
      <c r="AE976">
        <v>68</v>
      </c>
      <c r="AF976">
        <v>70</v>
      </c>
      <c r="AG976">
        <v>84</v>
      </c>
      <c r="AH976">
        <v>76</v>
      </c>
      <c r="AI976">
        <v>71</v>
      </c>
      <c r="AJ976">
        <v>73</v>
      </c>
      <c r="AK976">
        <v>67</v>
      </c>
      <c r="AL976">
        <v>67</v>
      </c>
      <c r="AM976">
        <v>67</v>
      </c>
      <c r="AN976">
        <v>58</v>
      </c>
      <c r="AO976">
        <v>51</v>
      </c>
      <c r="AP976">
        <v>72</v>
      </c>
      <c r="AQ976">
        <v>78</v>
      </c>
      <c r="AR976">
        <v>55</v>
      </c>
      <c r="AS976">
        <v>51</v>
      </c>
      <c r="AT976">
        <v>47</v>
      </c>
      <c r="AU976">
        <v>37</v>
      </c>
      <c r="AV976">
        <v>37</v>
      </c>
      <c r="AW976">
        <v>35</v>
      </c>
      <c r="AX976">
        <v>32</v>
      </c>
      <c r="AY976">
        <v>31</v>
      </c>
      <c r="AZ976">
        <v>24</v>
      </c>
      <c r="BA976">
        <v>22</v>
      </c>
      <c r="BB976">
        <v>24</v>
      </c>
      <c r="BC976">
        <v>42</v>
      </c>
      <c r="BD976">
        <v>44</v>
      </c>
      <c r="BE976">
        <v>22</v>
      </c>
      <c r="BF976">
        <v>12</v>
      </c>
      <c r="BG976">
        <v>9</v>
      </c>
      <c r="BH976">
        <v>36</v>
      </c>
      <c r="BI976">
        <v>34</v>
      </c>
      <c r="BJ976">
        <v>6</v>
      </c>
      <c r="BK976">
        <v>8</v>
      </c>
      <c r="BL976">
        <v>32</v>
      </c>
      <c r="BM976">
        <v>77</v>
      </c>
      <c r="BN976">
        <v>49</v>
      </c>
      <c r="BO976">
        <v>1</v>
      </c>
      <c r="BP976">
        <v>2</v>
      </c>
      <c r="BQ976">
        <v>1</v>
      </c>
      <c r="BR976">
        <v>3</v>
      </c>
      <c r="BS976">
        <v>3</v>
      </c>
      <c r="BT976">
        <v>0</v>
      </c>
      <c r="BU976">
        <v>0</v>
      </c>
      <c r="BV976">
        <v>0</v>
      </c>
      <c r="BW976">
        <v>0</v>
      </c>
      <c r="BX976">
        <v>0</v>
      </c>
      <c r="BY976">
        <v>0</v>
      </c>
      <c r="BZ976">
        <v>0</v>
      </c>
      <c r="CA976">
        <v>0</v>
      </c>
      <c r="CB976">
        <v>0</v>
      </c>
      <c r="CC976">
        <v>0</v>
      </c>
      <c r="CD976">
        <v>0</v>
      </c>
      <c r="CE976">
        <v>0</v>
      </c>
      <c r="CF976">
        <v>0</v>
      </c>
      <c r="CG976">
        <v>0</v>
      </c>
      <c r="CH976">
        <v>0</v>
      </c>
      <c r="CI976">
        <v>0</v>
      </c>
      <c r="CJ976">
        <v>0</v>
      </c>
      <c r="CK976">
        <v>0</v>
      </c>
      <c r="CL976">
        <v>0</v>
      </c>
      <c r="CM976">
        <v>0</v>
      </c>
      <c r="CN976">
        <v>0</v>
      </c>
      <c r="CO976">
        <v>0</v>
      </c>
      <c r="CP976">
        <v>0</v>
      </c>
      <c r="CQ976">
        <v>0</v>
      </c>
      <c r="CR976">
        <v>0</v>
      </c>
      <c r="CS976">
        <v>0</v>
      </c>
      <c r="CT976">
        <v>0</v>
      </c>
      <c r="CU976">
        <v>0</v>
      </c>
      <c r="CV976">
        <v>0</v>
      </c>
      <c r="CW976">
        <v>0</v>
      </c>
      <c r="CX976">
        <v>0</v>
      </c>
      <c r="CY976">
        <v>0</v>
      </c>
      <c r="CZ976">
        <v>0</v>
      </c>
      <c r="DA976">
        <v>0</v>
      </c>
      <c r="DB976">
        <v>0</v>
      </c>
      <c r="DC976">
        <v>0</v>
      </c>
      <c r="DD976">
        <v>0</v>
      </c>
      <c r="DE976">
        <v>0</v>
      </c>
      <c r="DF976">
        <v>0</v>
      </c>
      <c r="DG976" s="16">
        <f t="shared" si="82"/>
        <v>3400</v>
      </c>
      <c r="DH976" s="16">
        <f t="shared" si="83"/>
        <v>76807</v>
      </c>
      <c r="DI976" s="17">
        <f t="shared" si="84"/>
        <v>22.590294117647058</v>
      </c>
      <c r="DJ976" s="119" t="s">
        <v>4</v>
      </c>
      <c r="DK976" s="44" t="s">
        <v>4</v>
      </c>
    </row>
    <row r="977" spans="1:115" ht="15" customHeight="1">
      <c r="A977" s="32" t="str">
        <f t="shared" si="80"/>
        <v>SA Power--POLE MOUNTED ; &lt; ≈ 22KV ;  &gt; 600 KVA  ; MULTIPLE PHASE</v>
      </c>
      <c r="B977" s="32" t="str">
        <f t="shared" si="81"/>
        <v>SA Power</v>
      </c>
      <c r="C977" s="385"/>
      <c r="E977" t="s">
        <v>1253</v>
      </c>
      <c r="F977">
        <v>55</v>
      </c>
      <c r="G977">
        <v>7.416198487095663</v>
      </c>
      <c r="H977">
        <v>0</v>
      </c>
      <c r="I977">
        <v>0</v>
      </c>
      <c r="J977">
        <v>1</v>
      </c>
      <c r="K977">
        <v>1</v>
      </c>
      <c r="L977">
        <v>0</v>
      </c>
      <c r="M977">
        <v>0</v>
      </c>
      <c r="N977">
        <v>0</v>
      </c>
      <c r="O977">
        <v>0</v>
      </c>
      <c r="P977">
        <v>0</v>
      </c>
      <c r="Q977">
        <v>0</v>
      </c>
      <c r="R977">
        <v>1</v>
      </c>
      <c r="S977">
        <v>1</v>
      </c>
      <c r="T977">
        <v>1</v>
      </c>
      <c r="U977">
        <v>0</v>
      </c>
      <c r="V977">
        <v>0</v>
      </c>
      <c r="W977">
        <v>0</v>
      </c>
      <c r="X977">
        <v>0</v>
      </c>
      <c r="Y977">
        <v>0</v>
      </c>
      <c r="Z977">
        <v>0</v>
      </c>
      <c r="AA977">
        <v>0</v>
      </c>
      <c r="AB977">
        <v>0</v>
      </c>
      <c r="AC977">
        <v>0</v>
      </c>
      <c r="AD977">
        <v>0</v>
      </c>
      <c r="AE977">
        <v>0</v>
      </c>
      <c r="AF977">
        <v>0</v>
      </c>
      <c r="AG977">
        <v>0</v>
      </c>
      <c r="AH977">
        <v>0</v>
      </c>
      <c r="AI977">
        <v>0</v>
      </c>
      <c r="AJ977">
        <v>0</v>
      </c>
      <c r="AK977">
        <v>0</v>
      </c>
      <c r="AL977">
        <v>0</v>
      </c>
      <c r="AM977">
        <v>1</v>
      </c>
      <c r="AN977">
        <v>1</v>
      </c>
      <c r="AO977">
        <v>0</v>
      </c>
      <c r="AP977">
        <v>0</v>
      </c>
      <c r="AQ977">
        <v>0</v>
      </c>
      <c r="AR977">
        <v>1</v>
      </c>
      <c r="AS977">
        <v>1</v>
      </c>
      <c r="AT977">
        <v>1</v>
      </c>
      <c r="AU977">
        <v>0</v>
      </c>
      <c r="AV977">
        <v>0</v>
      </c>
      <c r="AW977">
        <v>0</v>
      </c>
      <c r="AX977">
        <v>4</v>
      </c>
      <c r="AY977">
        <v>4</v>
      </c>
      <c r="AZ977">
        <v>0</v>
      </c>
      <c r="BA977">
        <v>0</v>
      </c>
      <c r="BB977">
        <v>0</v>
      </c>
      <c r="BC977">
        <v>0</v>
      </c>
      <c r="BD977">
        <v>0</v>
      </c>
      <c r="BE977">
        <v>1</v>
      </c>
      <c r="BF977">
        <v>2</v>
      </c>
      <c r="BG977">
        <v>1</v>
      </c>
      <c r="BH977">
        <v>1</v>
      </c>
      <c r="BI977">
        <v>1</v>
      </c>
      <c r="BJ977">
        <v>0</v>
      </c>
      <c r="BK977">
        <v>0</v>
      </c>
      <c r="BL977">
        <v>1</v>
      </c>
      <c r="BM977">
        <v>2</v>
      </c>
      <c r="BN977">
        <v>1</v>
      </c>
      <c r="BO977">
        <v>0</v>
      </c>
      <c r="BP977">
        <v>0</v>
      </c>
      <c r="BQ977">
        <v>0</v>
      </c>
      <c r="BR977">
        <v>0</v>
      </c>
      <c r="BS977">
        <v>0</v>
      </c>
      <c r="BT977">
        <v>0</v>
      </c>
      <c r="BU977">
        <v>0</v>
      </c>
      <c r="BV977">
        <v>0</v>
      </c>
      <c r="BW977">
        <v>0</v>
      </c>
      <c r="BX977">
        <v>0</v>
      </c>
      <c r="BY977">
        <v>0</v>
      </c>
      <c r="BZ977">
        <v>0</v>
      </c>
      <c r="CA977">
        <v>0</v>
      </c>
      <c r="CB977">
        <v>0</v>
      </c>
      <c r="CC977">
        <v>0</v>
      </c>
      <c r="CD977">
        <v>0</v>
      </c>
      <c r="CE977">
        <v>0</v>
      </c>
      <c r="CF977">
        <v>0</v>
      </c>
      <c r="CG977">
        <v>0</v>
      </c>
      <c r="CH977">
        <v>0</v>
      </c>
      <c r="CI977">
        <v>0</v>
      </c>
      <c r="CJ977">
        <v>0</v>
      </c>
      <c r="CK977">
        <v>0</v>
      </c>
      <c r="CL977">
        <v>0</v>
      </c>
      <c r="CM977">
        <v>0</v>
      </c>
      <c r="CN977">
        <v>0</v>
      </c>
      <c r="CO977">
        <v>0</v>
      </c>
      <c r="CP977">
        <v>0</v>
      </c>
      <c r="CQ977">
        <v>0</v>
      </c>
      <c r="CR977">
        <v>0</v>
      </c>
      <c r="CS977">
        <v>0</v>
      </c>
      <c r="CT977">
        <v>0</v>
      </c>
      <c r="CU977">
        <v>0</v>
      </c>
      <c r="CV977">
        <v>0</v>
      </c>
      <c r="CW977">
        <v>0</v>
      </c>
      <c r="CX977">
        <v>0</v>
      </c>
      <c r="CY977">
        <v>0</v>
      </c>
      <c r="CZ977">
        <v>0</v>
      </c>
      <c r="DA977">
        <v>0</v>
      </c>
      <c r="DB977">
        <v>0</v>
      </c>
      <c r="DC977">
        <v>0</v>
      </c>
      <c r="DD977">
        <v>0</v>
      </c>
      <c r="DE977">
        <v>0</v>
      </c>
      <c r="DF977">
        <v>0</v>
      </c>
      <c r="DG977" s="16">
        <f t="shared" si="82"/>
        <v>28</v>
      </c>
      <c r="DH977" s="16">
        <f t="shared" si="83"/>
        <v>1113</v>
      </c>
      <c r="DI977" s="17">
        <f t="shared" si="84"/>
        <v>39.75</v>
      </c>
      <c r="DJ977" s="119" t="s">
        <v>4</v>
      </c>
      <c r="DK977" s="44" t="s">
        <v>4</v>
      </c>
    </row>
    <row r="978" spans="1:115" ht="15" customHeight="1">
      <c r="A978" s="32" t="str">
        <f t="shared" si="80"/>
        <v>SA Power--POLE MOUNTED ; &gt; 22 kV ;  &lt; ≈ 60 kVA ; SINGLE PHASE</v>
      </c>
      <c r="B978" s="32" t="str">
        <f t="shared" si="81"/>
        <v>SA Power</v>
      </c>
      <c r="C978" s="385"/>
      <c r="E978" t="s">
        <v>1254</v>
      </c>
      <c r="F978">
        <v>55</v>
      </c>
      <c r="G978">
        <v>7.416198487095663</v>
      </c>
      <c r="H978">
        <v>5</v>
      </c>
      <c r="I978">
        <v>9</v>
      </c>
      <c r="J978">
        <v>10</v>
      </c>
      <c r="K978">
        <v>8</v>
      </c>
      <c r="L978">
        <v>7</v>
      </c>
      <c r="M978">
        <v>9</v>
      </c>
      <c r="N978">
        <v>11</v>
      </c>
      <c r="O978">
        <v>14</v>
      </c>
      <c r="P978">
        <v>12</v>
      </c>
      <c r="Q978">
        <v>9</v>
      </c>
      <c r="R978">
        <v>11</v>
      </c>
      <c r="S978">
        <v>13</v>
      </c>
      <c r="T978">
        <v>12</v>
      </c>
      <c r="U978">
        <v>15</v>
      </c>
      <c r="V978">
        <v>18</v>
      </c>
      <c r="W978">
        <v>16</v>
      </c>
      <c r="X978">
        <v>18</v>
      </c>
      <c r="Y978">
        <v>30</v>
      </c>
      <c r="Z978">
        <v>28</v>
      </c>
      <c r="AA978">
        <v>21</v>
      </c>
      <c r="AB978">
        <v>23</v>
      </c>
      <c r="AC978">
        <v>20</v>
      </c>
      <c r="AD978">
        <v>29</v>
      </c>
      <c r="AE978">
        <v>28</v>
      </c>
      <c r="AF978">
        <v>22</v>
      </c>
      <c r="AG978">
        <v>30</v>
      </c>
      <c r="AH978">
        <v>24</v>
      </c>
      <c r="AI978">
        <v>14</v>
      </c>
      <c r="AJ978">
        <v>11</v>
      </c>
      <c r="AK978">
        <v>8</v>
      </c>
      <c r="AL978">
        <v>7</v>
      </c>
      <c r="AM978">
        <v>10</v>
      </c>
      <c r="AN978">
        <v>10</v>
      </c>
      <c r="AO978">
        <v>10</v>
      </c>
      <c r="AP978">
        <v>14</v>
      </c>
      <c r="AQ978">
        <v>11</v>
      </c>
      <c r="AR978">
        <v>11</v>
      </c>
      <c r="AS978">
        <v>14</v>
      </c>
      <c r="AT978">
        <v>12</v>
      </c>
      <c r="AU978">
        <v>14</v>
      </c>
      <c r="AV978">
        <v>16</v>
      </c>
      <c r="AW978">
        <v>23</v>
      </c>
      <c r="AX978">
        <v>23</v>
      </c>
      <c r="AY978">
        <v>18</v>
      </c>
      <c r="AZ978">
        <v>26</v>
      </c>
      <c r="BA978">
        <v>20</v>
      </c>
      <c r="BB978">
        <v>17</v>
      </c>
      <c r="BC978">
        <v>17</v>
      </c>
      <c r="BD978">
        <v>10</v>
      </c>
      <c r="BE978">
        <v>14</v>
      </c>
      <c r="BF978">
        <v>11</v>
      </c>
      <c r="BG978">
        <v>6</v>
      </c>
      <c r="BH978">
        <v>7</v>
      </c>
      <c r="BI978">
        <v>5</v>
      </c>
      <c r="BJ978">
        <v>4</v>
      </c>
      <c r="BK978">
        <v>8</v>
      </c>
      <c r="BL978">
        <v>7</v>
      </c>
      <c r="BM978">
        <v>4</v>
      </c>
      <c r="BN978">
        <v>3</v>
      </c>
      <c r="BO978">
        <v>1</v>
      </c>
      <c r="BP978">
        <v>1</v>
      </c>
      <c r="BQ978">
        <v>0</v>
      </c>
      <c r="BR978">
        <v>0</v>
      </c>
      <c r="BS978">
        <v>0</v>
      </c>
      <c r="BT978">
        <v>0</v>
      </c>
      <c r="BU978">
        <v>0</v>
      </c>
      <c r="BV978">
        <v>0</v>
      </c>
      <c r="BW978">
        <v>0</v>
      </c>
      <c r="BX978">
        <v>0</v>
      </c>
      <c r="BY978">
        <v>0</v>
      </c>
      <c r="BZ978">
        <v>0</v>
      </c>
      <c r="CA978">
        <v>0</v>
      </c>
      <c r="CB978">
        <v>0</v>
      </c>
      <c r="CC978">
        <v>0</v>
      </c>
      <c r="CD978">
        <v>0</v>
      </c>
      <c r="CE978">
        <v>0</v>
      </c>
      <c r="CF978">
        <v>0</v>
      </c>
      <c r="CG978">
        <v>0</v>
      </c>
      <c r="CH978">
        <v>0</v>
      </c>
      <c r="CI978">
        <v>0</v>
      </c>
      <c r="CJ978">
        <v>0</v>
      </c>
      <c r="CK978">
        <v>0</v>
      </c>
      <c r="CL978">
        <v>0</v>
      </c>
      <c r="CM978">
        <v>0</v>
      </c>
      <c r="CN978">
        <v>0</v>
      </c>
      <c r="CO978">
        <v>0</v>
      </c>
      <c r="CP978">
        <v>0</v>
      </c>
      <c r="CQ978">
        <v>0</v>
      </c>
      <c r="CR978">
        <v>0</v>
      </c>
      <c r="CS978">
        <v>0</v>
      </c>
      <c r="CT978">
        <v>0</v>
      </c>
      <c r="CU978">
        <v>0</v>
      </c>
      <c r="CV978">
        <v>0</v>
      </c>
      <c r="CW978">
        <v>0</v>
      </c>
      <c r="CX978">
        <v>0</v>
      </c>
      <c r="CY978">
        <v>0</v>
      </c>
      <c r="CZ978">
        <v>0</v>
      </c>
      <c r="DA978">
        <v>0</v>
      </c>
      <c r="DB978">
        <v>0</v>
      </c>
      <c r="DC978">
        <v>0</v>
      </c>
      <c r="DD978">
        <v>0</v>
      </c>
      <c r="DE978">
        <v>0</v>
      </c>
      <c r="DF978">
        <v>0</v>
      </c>
      <c r="DG978" s="16">
        <f t="shared" si="82"/>
        <v>839</v>
      </c>
      <c r="DH978" s="16">
        <f t="shared" si="83"/>
        <v>24188</v>
      </c>
      <c r="DI978" s="17">
        <f t="shared" si="84"/>
        <v>28.829558998808103</v>
      </c>
      <c r="DJ978" s="119" t="s">
        <v>4</v>
      </c>
      <c r="DK978" s="44" t="s">
        <v>4</v>
      </c>
    </row>
    <row r="979" spans="1:115" ht="15" customHeight="1">
      <c r="A979" s="32" t="str">
        <f t="shared" si="80"/>
        <v>SA Power--POLE MOUNTED ; &gt; 22 kV ;  &gt; 60 kVA and &lt; ≈ 600 kVA ; SINGLE PHASE</v>
      </c>
      <c r="B979" s="32" t="str">
        <f t="shared" si="81"/>
        <v>SA Power</v>
      </c>
      <c r="C979" s="385"/>
      <c r="E979" t="s">
        <v>1255</v>
      </c>
      <c r="F979">
        <v>55</v>
      </c>
      <c r="G979">
        <v>7.416198487095663</v>
      </c>
      <c r="H979">
        <v>5</v>
      </c>
      <c r="I979">
        <v>9</v>
      </c>
      <c r="J979">
        <v>11</v>
      </c>
      <c r="K979">
        <v>6</v>
      </c>
      <c r="L979">
        <v>10</v>
      </c>
      <c r="M979">
        <v>13</v>
      </c>
      <c r="N979">
        <v>11</v>
      </c>
      <c r="O979">
        <v>10</v>
      </c>
      <c r="P979">
        <v>11</v>
      </c>
      <c r="Q979">
        <v>15</v>
      </c>
      <c r="R979">
        <v>12</v>
      </c>
      <c r="S979">
        <v>8</v>
      </c>
      <c r="T979">
        <v>9</v>
      </c>
      <c r="U979">
        <v>10</v>
      </c>
      <c r="V979">
        <v>7</v>
      </c>
      <c r="W979">
        <v>9</v>
      </c>
      <c r="X979">
        <v>9</v>
      </c>
      <c r="Y979">
        <v>11</v>
      </c>
      <c r="Z979">
        <v>15</v>
      </c>
      <c r="AA979">
        <v>12</v>
      </c>
      <c r="AB979">
        <v>9</v>
      </c>
      <c r="AC979">
        <v>9</v>
      </c>
      <c r="AD979">
        <v>9</v>
      </c>
      <c r="AE979">
        <v>11</v>
      </c>
      <c r="AF979">
        <v>14</v>
      </c>
      <c r="AG979">
        <v>12</v>
      </c>
      <c r="AH979">
        <v>7</v>
      </c>
      <c r="AI979">
        <v>7</v>
      </c>
      <c r="AJ979">
        <v>10</v>
      </c>
      <c r="AK979">
        <v>6</v>
      </c>
      <c r="AL979">
        <v>2</v>
      </c>
      <c r="AM979">
        <v>5</v>
      </c>
      <c r="AN979">
        <v>5</v>
      </c>
      <c r="AO979">
        <v>4</v>
      </c>
      <c r="AP979">
        <v>5</v>
      </c>
      <c r="AQ979">
        <v>5</v>
      </c>
      <c r="AR979">
        <v>3</v>
      </c>
      <c r="AS979">
        <v>4</v>
      </c>
      <c r="AT979">
        <v>2</v>
      </c>
      <c r="AU979">
        <v>3</v>
      </c>
      <c r="AV979">
        <v>4</v>
      </c>
      <c r="AW979">
        <v>8</v>
      </c>
      <c r="AX979">
        <v>13</v>
      </c>
      <c r="AY979">
        <v>12</v>
      </c>
      <c r="AZ979">
        <v>12</v>
      </c>
      <c r="BA979">
        <v>10</v>
      </c>
      <c r="BB979">
        <v>6</v>
      </c>
      <c r="BC979">
        <v>7</v>
      </c>
      <c r="BD979">
        <v>8</v>
      </c>
      <c r="BE979">
        <v>5</v>
      </c>
      <c r="BF979">
        <v>3</v>
      </c>
      <c r="BG979">
        <v>1</v>
      </c>
      <c r="BH979">
        <v>1</v>
      </c>
      <c r="BI979">
        <v>2</v>
      </c>
      <c r="BJ979">
        <v>3</v>
      </c>
      <c r="BK979">
        <v>2</v>
      </c>
      <c r="BL979">
        <v>1</v>
      </c>
      <c r="BM979">
        <v>3</v>
      </c>
      <c r="BN979">
        <v>3</v>
      </c>
      <c r="BO979">
        <v>1</v>
      </c>
      <c r="BP979">
        <v>0</v>
      </c>
      <c r="BQ979">
        <v>0</v>
      </c>
      <c r="BR979">
        <v>0</v>
      </c>
      <c r="BS979">
        <v>0</v>
      </c>
      <c r="BT979">
        <v>0</v>
      </c>
      <c r="BU979">
        <v>0</v>
      </c>
      <c r="BV979">
        <v>0</v>
      </c>
      <c r="BW979">
        <v>0</v>
      </c>
      <c r="BX979">
        <v>0</v>
      </c>
      <c r="BY979">
        <v>0</v>
      </c>
      <c r="BZ979">
        <v>0</v>
      </c>
      <c r="CA979">
        <v>0</v>
      </c>
      <c r="CB979">
        <v>0</v>
      </c>
      <c r="CC979">
        <v>0</v>
      </c>
      <c r="CD979">
        <v>0</v>
      </c>
      <c r="CE979">
        <v>0</v>
      </c>
      <c r="CF979">
        <v>0</v>
      </c>
      <c r="CG979">
        <v>0</v>
      </c>
      <c r="CH979">
        <v>0</v>
      </c>
      <c r="CI979">
        <v>0</v>
      </c>
      <c r="CJ979">
        <v>0</v>
      </c>
      <c r="CK979">
        <v>0</v>
      </c>
      <c r="CL979">
        <v>0</v>
      </c>
      <c r="CM979">
        <v>0</v>
      </c>
      <c r="CN979">
        <v>0</v>
      </c>
      <c r="CO979">
        <v>0</v>
      </c>
      <c r="CP979">
        <v>0</v>
      </c>
      <c r="CQ979">
        <v>0</v>
      </c>
      <c r="CR979">
        <v>0</v>
      </c>
      <c r="CS979">
        <v>0</v>
      </c>
      <c r="CT979">
        <v>0</v>
      </c>
      <c r="CU979">
        <v>0</v>
      </c>
      <c r="CV979">
        <v>0</v>
      </c>
      <c r="CW979">
        <v>0</v>
      </c>
      <c r="CX979">
        <v>0</v>
      </c>
      <c r="CY979">
        <v>0</v>
      </c>
      <c r="CZ979">
        <v>0</v>
      </c>
      <c r="DA979">
        <v>0</v>
      </c>
      <c r="DB979">
        <v>0</v>
      </c>
      <c r="DC979">
        <v>0</v>
      </c>
      <c r="DD979">
        <v>0</v>
      </c>
      <c r="DE979">
        <v>0</v>
      </c>
      <c r="DF979">
        <v>0</v>
      </c>
      <c r="DG979" s="16">
        <f t="shared" si="82"/>
        <v>440</v>
      </c>
      <c r="DH979" s="16">
        <f t="shared" si="83"/>
        <v>10896</v>
      </c>
      <c r="DI979" s="17">
        <f t="shared" si="84"/>
        <v>24.763636363636362</v>
      </c>
      <c r="DJ979" s="119" t="s">
        <v>4</v>
      </c>
      <c r="DK979" s="44" t="s">
        <v>4</v>
      </c>
    </row>
    <row r="980" spans="1:115" ht="15" customHeight="1">
      <c r="A980" s="32" t="str">
        <f t="shared" si="80"/>
        <v>SA Power--POLE MOUNTED ; &gt; 22 kV ;  &gt; 600 Kva; SINGLE PHASE</v>
      </c>
      <c r="B980" s="32" t="str">
        <f t="shared" si="81"/>
        <v>SA Power</v>
      </c>
      <c r="C980" s="385"/>
      <c r="E980" t="s">
        <v>1256</v>
      </c>
      <c r="F980">
        <v>55</v>
      </c>
      <c r="G980">
        <v>7.416198487095663</v>
      </c>
      <c r="H980">
        <v>0</v>
      </c>
      <c r="I980">
        <v>0</v>
      </c>
      <c r="J980">
        <v>0</v>
      </c>
      <c r="K980">
        <v>1</v>
      </c>
      <c r="L980">
        <v>2</v>
      </c>
      <c r="M980">
        <v>1</v>
      </c>
      <c r="N980">
        <v>1</v>
      </c>
      <c r="O980">
        <v>1</v>
      </c>
      <c r="P980">
        <v>1</v>
      </c>
      <c r="Q980">
        <v>2</v>
      </c>
      <c r="R980">
        <v>2</v>
      </c>
      <c r="S980">
        <v>1</v>
      </c>
      <c r="T980">
        <v>1</v>
      </c>
      <c r="U980">
        <v>1</v>
      </c>
      <c r="V980">
        <v>0</v>
      </c>
      <c r="W980">
        <v>1</v>
      </c>
      <c r="X980">
        <v>2</v>
      </c>
      <c r="Y980">
        <v>1</v>
      </c>
      <c r="Z980">
        <v>1</v>
      </c>
      <c r="AA980">
        <v>1</v>
      </c>
      <c r="AB980">
        <v>0</v>
      </c>
      <c r="AC980">
        <v>0</v>
      </c>
      <c r="AD980">
        <v>1</v>
      </c>
      <c r="AE980">
        <v>1</v>
      </c>
      <c r="AF980">
        <v>3</v>
      </c>
      <c r="AG980">
        <v>2</v>
      </c>
      <c r="AH980">
        <v>0</v>
      </c>
      <c r="AI980">
        <v>1</v>
      </c>
      <c r="AJ980">
        <v>1</v>
      </c>
      <c r="AK980">
        <v>1</v>
      </c>
      <c r="AL980">
        <v>0</v>
      </c>
      <c r="AM980">
        <v>0</v>
      </c>
      <c r="AN980">
        <v>0</v>
      </c>
      <c r="AO980">
        <v>0</v>
      </c>
      <c r="AP980">
        <v>0</v>
      </c>
      <c r="AQ980">
        <v>0</v>
      </c>
      <c r="AR980">
        <v>0</v>
      </c>
      <c r="AS980">
        <v>0</v>
      </c>
      <c r="AT980">
        <v>0</v>
      </c>
      <c r="AU980">
        <v>1</v>
      </c>
      <c r="AV980">
        <v>1</v>
      </c>
      <c r="AW980">
        <v>1</v>
      </c>
      <c r="AX980">
        <v>1</v>
      </c>
      <c r="AY980">
        <v>0</v>
      </c>
      <c r="AZ980">
        <v>1</v>
      </c>
      <c r="BA980">
        <v>2</v>
      </c>
      <c r="BB980">
        <v>2</v>
      </c>
      <c r="BC980">
        <v>2</v>
      </c>
      <c r="BD980">
        <v>3</v>
      </c>
      <c r="BE980">
        <v>2</v>
      </c>
      <c r="BF980">
        <v>0</v>
      </c>
      <c r="BG980">
        <v>0</v>
      </c>
      <c r="BH980">
        <v>0</v>
      </c>
      <c r="BI980">
        <v>1</v>
      </c>
      <c r="BJ980">
        <v>1</v>
      </c>
      <c r="BK980">
        <v>0</v>
      </c>
      <c r="BL980">
        <v>0</v>
      </c>
      <c r="BM980">
        <v>0</v>
      </c>
      <c r="BN980">
        <v>0</v>
      </c>
      <c r="BO980">
        <v>0</v>
      </c>
      <c r="BP980">
        <v>0</v>
      </c>
      <c r="BQ980">
        <v>0</v>
      </c>
      <c r="BR980">
        <v>0</v>
      </c>
      <c r="BS980">
        <v>0</v>
      </c>
      <c r="BT980">
        <v>0</v>
      </c>
      <c r="BU980">
        <v>0</v>
      </c>
      <c r="BV980">
        <v>0</v>
      </c>
      <c r="BW980">
        <v>0</v>
      </c>
      <c r="BX980">
        <v>0</v>
      </c>
      <c r="BY980">
        <v>0</v>
      </c>
      <c r="BZ980">
        <v>0</v>
      </c>
      <c r="CA980">
        <v>0</v>
      </c>
      <c r="CB980">
        <v>0</v>
      </c>
      <c r="CC980">
        <v>0</v>
      </c>
      <c r="CD980">
        <v>0</v>
      </c>
      <c r="CE980">
        <v>0</v>
      </c>
      <c r="CF980">
        <v>0</v>
      </c>
      <c r="CG980">
        <v>0</v>
      </c>
      <c r="CH980">
        <v>0</v>
      </c>
      <c r="CI980">
        <v>0</v>
      </c>
      <c r="CJ980">
        <v>0</v>
      </c>
      <c r="CK980">
        <v>0</v>
      </c>
      <c r="CL980">
        <v>0</v>
      </c>
      <c r="CM980">
        <v>0</v>
      </c>
      <c r="CN980">
        <v>0</v>
      </c>
      <c r="CO980">
        <v>0</v>
      </c>
      <c r="CP980">
        <v>0</v>
      </c>
      <c r="CQ980">
        <v>0</v>
      </c>
      <c r="CR980">
        <v>0</v>
      </c>
      <c r="CS980">
        <v>0</v>
      </c>
      <c r="CT980">
        <v>0</v>
      </c>
      <c r="CU980">
        <v>0</v>
      </c>
      <c r="CV980">
        <v>0</v>
      </c>
      <c r="CW980">
        <v>0</v>
      </c>
      <c r="CX980">
        <v>0</v>
      </c>
      <c r="CY980">
        <v>0</v>
      </c>
      <c r="CZ980">
        <v>0</v>
      </c>
      <c r="DA980">
        <v>0</v>
      </c>
      <c r="DB980">
        <v>0</v>
      </c>
      <c r="DC980">
        <v>0</v>
      </c>
      <c r="DD980">
        <v>0</v>
      </c>
      <c r="DE980">
        <v>0</v>
      </c>
      <c r="DF980">
        <v>0</v>
      </c>
      <c r="DG980" s="16">
        <f t="shared" si="82"/>
        <v>48</v>
      </c>
      <c r="DH980" s="16">
        <f t="shared" si="83"/>
        <v>1342</v>
      </c>
      <c r="DI980" s="17">
        <f t="shared" si="84"/>
        <v>27.958333333333332</v>
      </c>
      <c r="DJ980" s="119" t="s">
        <v>4</v>
      </c>
      <c r="DK980" s="44" t="s">
        <v>4</v>
      </c>
    </row>
    <row r="981" spans="1:115" ht="15" customHeight="1">
      <c r="A981" s="32" t="str">
        <f t="shared" si="80"/>
        <v>SA Power--POLE MOUNTED ; &gt; 22 kV ;  &lt; ≈ 60 kVA ; MULTIPLE PHASE</v>
      </c>
      <c r="B981" s="32" t="str">
        <f t="shared" si="81"/>
        <v>SA Power</v>
      </c>
      <c r="C981" s="385"/>
      <c r="E981" t="s">
        <v>1257</v>
      </c>
      <c r="F981">
        <v>55</v>
      </c>
      <c r="G981">
        <v>7.416198487095663</v>
      </c>
      <c r="H981">
        <v>1</v>
      </c>
      <c r="I981">
        <v>6</v>
      </c>
      <c r="J981">
        <v>7</v>
      </c>
      <c r="K981">
        <v>3</v>
      </c>
      <c r="L981">
        <v>1</v>
      </c>
      <c r="M981">
        <v>0</v>
      </c>
      <c r="N981">
        <v>1</v>
      </c>
      <c r="O981">
        <v>1</v>
      </c>
      <c r="P981">
        <v>0</v>
      </c>
      <c r="Q981">
        <v>1</v>
      </c>
      <c r="R981">
        <v>1</v>
      </c>
      <c r="S981">
        <v>0</v>
      </c>
      <c r="T981">
        <v>0</v>
      </c>
      <c r="U981">
        <v>0</v>
      </c>
      <c r="V981">
        <v>2</v>
      </c>
      <c r="W981">
        <v>3</v>
      </c>
      <c r="X981">
        <v>3</v>
      </c>
      <c r="Y981">
        <v>2</v>
      </c>
      <c r="Z981">
        <v>1</v>
      </c>
      <c r="AA981">
        <v>2</v>
      </c>
      <c r="AB981">
        <v>4</v>
      </c>
      <c r="AC981">
        <v>4</v>
      </c>
      <c r="AD981">
        <v>2</v>
      </c>
      <c r="AE981">
        <v>4</v>
      </c>
      <c r="AF981">
        <v>5</v>
      </c>
      <c r="AG981">
        <v>4</v>
      </c>
      <c r="AH981">
        <v>3</v>
      </c>
      <c r="AI981">
        <v>3</v>
      </c>
      <c r="AJ981">
        <v>2</v>
      </c>
      <c r="AK981">
        <v>2</v>
      </c>
      <c r="AL981">
        <v>2</v>
      </c>
      <c r="AM981">
        <v>3</v>
      </c>
      <c r="AN981">
        <v>2</v>
      </c>
      <c r="AO981">
        <v>2</v>
      </c>
      <c r="AP981">
        <v>5</v>
      </c>
      <c r="AQ981">
        <v>4</v>
      </c>
      <c r="AR981">
        <v>1</v>
      </c>
      <c r="AS981">
        <v>2</v>
      </c>
      <c r="AT981">
        <v>3</v>
      </c>
      <c r="AU981">
        <v>3</v>
      </c>
      <c r="AV981">
        <v>2</v>
      </c>
      <c r="AW981">
        <v>2</v>
      </c>
      <c r="AX981">
        <v>3</v>
      </c>
      <c r="AY981">
        <v>3</v>
      </c>
      <c r="AZ981">
        <v>1</v>
      </c>
      <c r="BA981">
        <v>2</v>
      </c>
      <c r="BB981">
        <v>2</v>
      </c>
      <c r="BC981">
        <v>1</v>
      </c>
      <c r="BD981">
        <v>4</v>
      </c>
      <c r="BE981">
        <v>8</v>
      </c>
      <c r="BF981">
        <v>5</v>
      </c>
      <c r="BG981">
        <v>0</v>
      </c>
      <c r="BH981">
        <v>2</v>
      </c>
      <c r="BI981">
        <v>2</v>
      </c>
      <c r="BJ981">
        <v>1</v>
      </c>
      <c r="BK981">
        <v>2</v>
      </c>
      <c r="BL981">
        <v>1</v>
      </c>
      <c r="BM981">
        <v>0</v>
      </c>
      <c r="BN981">
        <v>0</v>
      </c>
      <c r="BO981">
        <v>0</v>
      </c>
      <c r="BP981">
        <v>0</v>
      </c>
      <c r="BQ981">
        <v>0</v>
      </c>
      <c r="BR981">
        <v>0</v>
      </c>
      <c r="BS981">
        <v>0</v>
      </c>
      <c r="BT981">
        <v>0</v>
      </c>
      <c r="BU981">
        <v>0</v>
      </c>
      <c r="BV981">
        <v>0</v>
      </c>
      <c r="BW981">
        <v>0</v>
      </c>
      <c r="BX981">
        <v>0</v>
      </c>
      <c r="BY981">
        <v>0</v>
      </c>
      <c r="BZ981">
        <v>0</v>
      </c>
      <c r="CA981">
        <v>0</v>
      </c>
      <c r="CB981">
        <v>0</v>
      </c>
      <c r="CC981">
        <v>0</v>
      </c>
      <c r="CD981">
        <v>0</v>
      </c>
      <c r="CE981">
        <v>0</v>
      </c>
      <c r="CF981">
        <v>0</v>
      </c>
      <c r="CG981">
        <v>0</v>
      </c>
      <c r="CH981">
        <v>0</v>
      </c>
      <c r="CI981">
        <v>0</v>
      </c>
      <c r="CJ981">
        <v>0</v>
      </c>
      <c r="CK981">
        <v>0</v>
      </c>
      <c r="CL981">
        <v>0</v>
      </c>
      <c r="CM981">
        <v>0</v>
      </c>
      <c r="CN981">
        <v>0</v>
      </c>
      <c r="CO981">
        <v>0</v>
      </c>
      <c r="CP981">
        <v>0</v>
      </c>
      <c r="CQ981">
        <v>0</v>
      </c>
      <c r="CR981">
        <v>0</v>
      </c>
      <c r="CS981">
        <v>0</v>
      </c>
      <c r="CT981">
        <v>0</v>
      </c>
      <c r="CU981">
        <v>0</v>
      </c>
      <c r="CV981">
        <v>0</v>
      </c>
      <c r="CW981">
        <v>0</v>
      </c>
      <c r="CX981">
        <v>0</v>
      </c>
      <c r="CY981">
        <v>0</v>
      </c>
      <c r="CZ981">
        <v>0</v>
      </c>
      <c r="DA981">
        <v>0</v>
      </c>
      <c r="DB981">
        <v>0</v>
      </c>
      <c r="DC981">
        <v>0</v>
      </c>
      <c r="DD981">
        <v>0</v>
      </c>
      <c r="DE981">
        <v>0</v>
      </c>
      <c r="DF981">
        <v>0</v>
      </c>
      <c r="DG981" s="16">
        <f t="shared" si="82"/>
        <v>136</v>
      </c>
      <c r="DH981" s="16">
        <f t="shared" si="83"/>
        <v>4093</v>
      </c>
      <c r="DI981" s="17">
        <f t="shared" si="84"/>
        <v>30.095588235294116</v>
      </c>
      <c r="DJ981" s="119" t="s">
        <v>4</v>
      </c>
      <c r="DK981" s="44" t="s">
        <v>4</v>
      </c>
    </row>
    <row r="982" spans="1:115" ht="15" customHeight="1">
      <c r="A982" s="32" t="str">
        <f t="shared" si="80"/>
        <v>SA Power--POLE MOUNTED ; &gt; 22 kV ;  &gt; 60 kVA and &lt; ≈ 600 Kva; MULTIPLE PHASE</v>
      </c>
      <c r="B982" s="32" t="str">
        <f t="shared" si="81"/>
        <v>SA Power</v>
      </c>
      <c r="C982" s="385"/>
      <c r="E982" t="s">
        <v>1258</v>
      </c>
      <c r="F982">
        <v>55</v>
      </c>
      <c r="G982">
        <v>7.416198487095663</v>
      </c>
      <c r="H982">
        <v>6</v>
      </c>
      <c r="I982">
        <v>12</v>
      </c>
      <c r="J982">
        <v>15</v>
      </c>
      <c r="K982">
        <v>10</v>
      </c>
      <c r="L982">
        <v>4</v>
      </c>
      <c r="M982">
        <v>1</v>
      </c>
      <c r="N982">
        <v>1</v>
      </c>
      <c r="O982">
        <v>1</v>
      </c>
      <c r="P982">
        <v>1</v>
      </c>
      <c r="Q982">
        <v>0</v>
      </c>
      <c r="R982">
        <v>0</v>
      </c>
      <c r="S982">
        <v>0</v>
      </c>
      <c r="T982">
        <v>0</v>
      </c>
      <c r="U982">
        <v>0</v>
      </c>
      <c r="V982">
        <v>0</v>
      </c>
      <c r="W982">
        <v>2</v>
      </c>
      <c r="X982">
        <v>3</v>
      </c>
      <c r="Y982">
        <v>2</v>
      </c>
      <c r="Z982">
        <v>2</v>
      </c>
      <c r="AA982">
        <v>3</v>
      </c>
      <c r="AB982">
        <v>6</v>
      </c>
      <c r="AC982">
        <v>4</v>
      </c>
      <c r="AD982">
        <v>2</v>
      </c>
      <c r="AE982">
        <v>3</v>
      </c>
      <c r="AF982">
        <v>4</v>
      </c>
      <c r="AG982">
        <v>3</v>
      </c>
      <c r="AH982">
        <v>2</v>
      </c>
      <c r="AI982">
        <v>2</v>
      </c>
      <c r="AJ982">
        <v>1</v>
      </c>
      <c r="AK982">
        <v>2</v>
      </c>
      <c r="AL982">
        <v>3</v>
      </c>
      <c r="AM982">
        <v>3</v>
      </c>
      <c r="AN982">
        <v>2</v>
      </c>
      <c r="AO982">
        <v>3</v>
      </c>
      <c r="AP982">
        <v>3</v>
      </c>
      <c r="AQ982">
        <v>3</v>
      </c>
      <c r="AR982">
        <v>2</v>
      </c>
      <c r="AS982">
        <v>0</v>
      </c>
      <c r="AT982">
        <v>1</v>
      </c>
      <c r="AU982">
        <v>1</v>
      </c>
      <c r="AV982">
        <v>2</v>
      </c>
      <c r="AW982">
        <v>2</v>
      </c>
      <c r="AX982">
        <v>2</v>
      </c>
      <c r="AY982">
        <v>1</v>
      </c>
      <c r="AZ982">
        <v>2</v>
      </c>
      <c r="BA982">
        <v>2</v>
      </c>
      <c r="BB982">
        <v>1</v>
      </c>
      <c r="BC982">
        <v>1</v>
      </c>
      <c r="BD982">
        <v>1</v>
      </c>
      <c r="BE982">
        <v>1</v>
      </c>
      <c r="BF982">
        <v>1</v>
      </c>
      <c r="BG982">
        <v>0</v>
      </c>
      <c r="BH982">
        <v>1</v>
      </c>
      <c r="BI982">
        <v>1</v>
      </c>
      <c r="BJ982">
        <v>1</v>
      </c>
      <c r="BK982">
        <v>0</v>
      </c>
      <c r="BL982">
        <v>0</v>
      </c>
      <c r="BM982">
        <v>0</v>
      </c>
      <c r="BN982">
        <v>0</v>
      </c>
      <c r="BO982">
        <v>0</v>
      </c>
      <c r="BP982">
        <v>0</v>
      </c>
      <c r="BQ982">
        <v>0</v>
      </c>
      <c r="BR982">
        <v>0</v>
      </c>
      <c r="BS982">
        <v>0</v>
      </c>
      <c r="BT982">
        <v>0</v>
      </c>
      <c r="BU982">
        <v>0</v>
      </c>
      <c r="BV982">
        <v>0</v>
      </c>
      <c r="BW982">
        <v>0</v>
      </c>
      <c r="BX982">
        <v>0</v>
      </c>
      <c r="BY982">
        <v>0</v>
      </c>
      <c r="BZ982">
        <v>0</v>
      </c>
      <c r="CA982">
        <v>0</v>
      </c>
      <c r="CB982">
        <v>0</v>
      </c>
      <c r="CC982">
        <v>0</v>
      </c>
      <c r="CD982">
        <v>0</v>
      </c>
      <c r="CE982">
        <v>0</v>
      </c>
      <c r="CF982">
        <v>0</v>
      </c>
      <c r="CG982">
        <v>0</v>
      </c>
      <c r="CH982">
        <v>0</v>
      </c>
      <c r="CI982">
        <v>0</v>
      </c>
      <c r="CJ982">
        <v>0</v>
      </c>
      <c r="CK982">
        <v>0</v>
      </c>
      <c r="CL982">
        <v>0</v>
      </c>
      <c r="CM982">
        <v>0</v>
      </c>
      <c r="CN982">
        <v>0</v>
      </c>
      <c r="CO982">
        <v>0</v>
      </c>
      <c r="CP982">
        <v>0</v>
      </c>
      <c r="CQ982">
        <v>0</v>
      </c>
      <c r="CR982">
        <v>0</v>
      </c>
      <c r="CS982">
        <v>0</v>
      </c>
      <c r="CT982">
        <v>0</v>
      </c>
      <c r="CU982">
        <v>0</v>
      </c>
      <c r="CV982">
        <v>0</v>
      </c>
      <c r="CW982">
        <v>0</v>
      </c>
      <c r="CX982">
        <v>0</v>
      </c>
      <c r="CY982">
        <v>0</v>
      </c>
      <c r="CZ982">
        <v>0</v>
      </c>
      <c r="DA982">
        <v>0</v>
      </c>
      <c r="DB982">
        <v>0</v>
      </c>
      <c r="DC982">
        <v>0</v>
      </c>
      <c r="DD982">
        <v>0</v>
      </c>
      <c r="DE982">
        <v>0</v>
      </c>
      <c r="DF982">
        <v>0</v>
      </c>
      <c r="DG982" s="16">
        <f t="shared" si="82"/>
        <v>132</v>
      </c>
      <c r="DH982" s="16">
        <f t="shared" si="83"/>
        <v>2699</v>
      </c>
      <c r="DI982" s="17">
        <f t="shared" si="84"/>
        <v>20.446969696969695</v>
      </c>
      <c r="DJ982" s="119" t="s">
        <v>4</v>
      </c>
      <c r="DK982" s="44" t="s">
        <v>4</v>
      </c>
    </row>
    <row r="983" spans="1:115" ht="15" customHeight="1">
      <c r="A983" s="32" t="str">
        <f t="shared" si="80"/>
        <v>SA Power--POLE MOUNTED ; &gt; 22 kV ;  &gt;  600 Kva; MULTIPLE PHASE</v>
      </c>
      <c r="B983" s="32" t="str">
        <f t="shared" si="81"/>
        <v>SA Power</v>
      </c>
      <c r="C983" s="385"/>
      <c r="E983" t="s">
        <v>1259</v>
      </c>
      <c r="F983">
        <v>55</v>
      </c>
      <c r="G983">
        <v>7.416198487095663</v>
      </c>
      <c r="H983">
        <v>0</v>
      </c>
      <c r="I983">
        <v>0</v>
      </c>
      <c r="J983">
        <v>1</v>
      </c>
      <c r="K983">
        <v>1</v>
      </c>
      <c r="L983">
        <v>0</v>
      </c>
      <c r="M983">
        <v>0</v>
      </c>
      <c r="N983">
        <v>0</v>
      </c>
      <c r="O983">
        <v>0</v>
      </c>
      <c r="P983">
        <v>0</v>
      </c>
      <c r="Q983">
        <v>0</v>
      </c>
      <c r="R983">
        <v>0</v>
      </c>
      <c r="S983">
        <v>0</v>
      </c>
      <c r="T983">
        <v>0</v>
      </c>
      <c r="U983">
        <v>0</v>
      </c>
      <c r="V983">
        <v>0</v>
      </c>
      <c r="W983">
        <v>0</v>
      </c>
      <c r="X983">
        <v>0</v>
      </c>
      <c r="Y983">
        <v>2</v>
      </c>
      <c r="Z983">
        <v>2</v>
      </c>
      <c r="AA983">
        <v>0</v>
      </c>
      <c r="AB983">
        <v>0</v>
      </c>
      <c r="AC983">
        <v>0</v>
      </c>
      <c r="AD983">
        <v>0</v>
      </c>
      <c r="AE983">
        <v>0</v>
      </c>
      <c r="AF983">
        <v>0</v>
      </c>
      <c r="AG983">
        <v>1</v>
      </c>
      <c r="AH983">
        <v>1</v>
      </c>
      <c r="AI983">
        <v>0</v>
      </c>
      <c r="AJ983">
        <v>0</v>
      </c>
      <c r="AK983">
        <v>0</v>
      </c>
      <c r="AL983">
        <v>0</v>
      </c>
      <c r="AM983">
        <v>0</v>
      </c>
      <c r="AN983">
        <v>0</v>
      </c>
      <c r="AO983">
        <v>0</v>
      </c>
      <c r="AP983">
        <v>0</v>
      </c>
      <c r="AQ983">
        <v>0</v>
      </c>
      <c r="AR983">
        <v>0</v>
      </c>
      <c r="AS983">
        <v>0</v>
      </c>
      <c r="AT983">
        <v>0</v>
      </c>
      <c r="AU983">
        <v>0</v>
      </c>
      <c r="AV983">
        <v>0</v>
      </c>
      <c r="AW983">
        <v>0</v>
      </c>
      <c r="AX983">
        <v>0</v>
      </c>
      <c r="AY983">
        <v>0</v>
      </c>
      <c r="AZ983">
        <v>1</v>
      </c>
      <c r="BA983">
        <v>1</v>
      </c>
      <c r="BB983">
        <v>0</v>
      </c>
      <c r="BC983">
        <v>1</v>
      </c>
      <c r="BD983">
        <v>1</v>
      </c>
      <c r="BE983">
        <v>0</v>
      </c>
      <c r="BF983">
        <v>0</v>
      </c>
      <c r="BG983">
        <v>0</v>
      </c>
      <c r="BH983">
        <v>0</v>
      </c>
      <c r="BI983">
        <v>0</v>
      </c>
      <c r="BJ983">
        <v>0</v>
      </c>
      <c r="BK983">
        <v>0</v>
      </c>
      <c r="BL983">
        <v>0</v>
      </c>
      <c r="BM983">
        <v>0</v>
      </c>
      <c r="BN983">
        <v>0</v>
      </c>
      <c r="BO983">
        <v>0</v>
      </c>
      <c r="BP983">
        <v>0</v>
      </c>
      <c r="BQ983">
        <v>0</v>
      </c>
      <c r="BR983">
        <v>0</v>
      </c>
      <c r="BS983">
        <v>0</v>
      </c>
      <c r="BT983">
        <v>0</v>
      </c>
      <c r="BU983">
        <v>0</v>
      </c>
      <c r="BV983">
        <v>0</v>
      </c>
      <c r="BW983">
        <v>0</v>
      </c>
      <c r="BX983">
        <v>0</v>
      </c>
      <c r="BY983">
        <v>0</v>
      </c>
      <c r="BZ983">
        <v>0</v>
      </c>
      <c r="CA983">
        <v>0</v>
      </c>
      <c r="CB983">
        <v>0</v>
      </c>
      <c r="CC983">
        <v>0</v>
      </c>
      <c r="CD983">
        <v>0</v>
      </c>
      <c r="CE983">
        <v>0</v>
      </c>
      <c r="CF983">
        <v>0</v>
      </c>
      <c r="CG983">
        <v>0</v>
      </c>
      <c r="CH983">
        <v>0</v>
      </c>
      <c r="CI983">
        <v>0</v>
      </c>
      <c r="CJ983">
        <v>0</v>
      </c>
      <c r="CK983">
        <v>0</v>
      </c>
      <c r="CL983">
        <v>0</v>
      </c>
      <c r="CM983">
        <v>0</v>
      </c>
      <c r="CN983">
        <v>0</v>
      </c>
      <c r="CO983">
        <v>0</v>
      </c>
      <c r="CP983">
        <v>0</v>
      </c>
      <c r="CQ983">
        <v>0</v>
      </c>
      <c r="CR983">
        <v>0</v>
      </c>
      <c r="CS983">
        <v>0</v>
      </c>
      <c r="CT983">
        <v>0</v>
      </c>
      <c r="CU983">
        <v>0</v>
      </c>
      <c r="CV983">
        <v>0</v>
      </c>
      <c r="CW983">
        <v>0</v>
      </c>
      <c r="CX983">
        <v>0</v>
      </c>
      <c r="CY983">
        <v>0</v>
      </c>
      <c r="CZ983">
        <v>0</v>
      </c>
      <c r="DA983">
        <v>0</v>
      </c>
      <c r="DB983">
        <v>0</v>
      </c>
      <c r="DC983">
        <v>0</v>
      </c>
      <c r="DD983">
        <v>0</v>
      </c>
      <c r="DE983">
        <v>0</v>
      </c>
      <c r="DF983">
        <v>0</v>
      </c>
      <c r="DG983" s="16">
        <f t="shared" si="82"/>
        <v>12</v>
      </c>
      <c r="DH983" s="16">
        <f t="shared" si="83"/>
        <v>322</v>
      </c>
      <c r="DI983" s="17">
        <f t="shared" si="84"/>
        <v>26.833333333333332</v>
      </c>
      <c r="DJ983" s="119" t="s">
        <v>4</v>
      </c>
      <c r="DK983" s="44" t="s">
        <v>4</v>
      </c>
    </row>
    <row r="984" spans="1:115" ht="15" customHeight="1">
      <c r="A984" s="32" t="str">
        <f t="shared" ref="A984:A1047" si="85">B984&amp;"-"&amp;D984&amp;"-"&amp;E984</f>
        <v>SA Power--KIOSK MOUNTED ; &lt; ≈ 22KV ;  &lt; ≈ 60 KVA ; SINGLE PHASE</v>
      </c>
      <c r="B984" s="32" t="str">
        <f t="shared" ref="B984:B1047" si="86">IF(C984&gt;0,C984,B983)</f>
        <v>SA Power</v>
      </c>
      <c r="C984" s="385"/>
      <c r="E984" t="s">
        <v>1260</v>
      </c>
      <c r="F984">
        <v>50</v>
      </c>
      <c r="G984">
        <v>7.0710678118654755</v>
      </c>
      <c r="H984">
        <v>1</v>
      </c>
      <c r="I984">
        <v>2</v>
      </c>
      <c r="J984">
        <v>2</v>
      </c>
      <c r="K984">
        <v>1</v>
      </c>
      <c r="L984">
        <v>4</v>
      </c>
      <c r="M984">
        <v>8</v>
      </c>
      <c r="N984">
        <v>9</v>
      </c>
      <c r="O984">
        <v>10</v>
      </c>
      <c r="P984">
        <v>7</v>
      </c>
      <c r="Q984">
        <v>6</v>
      </c>
      <c r="R984">
        <v>8</v>
      </c>
      <c r="S984">
        <v>5</v>
      </c>
      <c r="T984">
        <v>3</v>
      </c>
      <c r="U984">
        <v>7</v>
      </c>
      <c r="V984">
        <v>8</v>
      </c>
      <c r="W984">
        <v>8</v>
      </c>
      <c r="X984">
        <v>9</v>
      </c>
      <c r="Y984">
        <v>9</v>
      </c>
      <c r="Z984">
        <v>10</v>
      </c>
      <c r="AA984">
        <v>12</v>
      </c>
      <c r="AB984">
        <v>14</v>
      </c>
      <c r="AC984">
        <v>16</v>
      </c>
      <c r="AD984">
        <v>17</v>
      </c>
      <c r="AE984">
        <v>14</v>
      </c>
      <c r="AF984">
        <v>19</v>
      </c>
      <c r="AG984">
        <v>31</v>
      </c>
      <c r="AH984">
        <v>25</v>
      </c>
      <c r="AI984">
        <v>8</v>
      </c>
      <c r="AJ984">
        <v>4</v>
      </c>
      <c r="AK984">
        <v>2</v>
      </c>
      <c r="AL984">
        <v>1</v>
      </c>
      <c r="AM984">
        <v>1</v>
      </c>
      <c r="AN984">
        <v>1</v>
      </c>
      <c r="AO984">
        <v>1</v>
      </c>
      <c r="AP984">
        <v>1</v>
      </c>
      <c r="AQ984">
        <v>1</v>
      </c>
      <c r="AR984">
        <v>0</v>
      </c>
      <c r="AS984">
        <v>0</v>
      </c>
      <c r="AT984">
        <v>0</v>
      </c>
      <c r="AU984">
        <v>1</v>
      </c>
      <c r="AV984">
        <v>1</v>
      </c>
      <c r="AW984">
        <v>0</v>
      </c>
      <c r="AX984">
        <v>2</v>
      </c>
      <c r="AY984">
        <v>2</v>
      </c>
      <c r="AZ984">
        <v>0</v>
      </c>
      <c r="BA984">
        <v>0</v>
      </c>
      <c r="BB984">
        <v>0</v>
      </c>
      <c r="BC984">
        <v>1</v>
      </c>
      <c r="BD984">
        <v>1</v>
      </c>
      <c r="BE984">
        <v>2</v>
      </c>
      <c r="BF984">
        <v>2</v>
      </c>
      <c r="BG984">
        <v>1</v>
      </c>
      <c r="BH984">
        <v>2</v>
      </c>
      <c r="BI984">
        <v>2</v>
      </c>
      <c r="BJ984">
        <v>0</v>
      </c>
      <c r="BK984">
        <v>0</v>
      </c>
      <c r="BL984">
        <v>2</v>
      </c>
      <c r="BM984">
        <v>3</v>
      </c>
      <c r="BN984">
        <v>2</v>
      </c>
      <c r="BO984">
        <v>1</v>
      </c>
      <c r="BP984">
        <v>0</v>
      </c>
      <c r="BQ984">
        <v>0</v>
      </c>
      <c r="BR984">
        <v>0</v>
      </c>
      <c r="BS984">
        <v>0</v>
      </c>
      <c r="BT984">
        <v>0</v>
      </c>
      <c r="BU984">
        <v>0</v>
      </c>
      <c r="BV984">
        <v>0</v>
      </c>
      <c r="BW984">
        <v>0</v>
      </c>
      <c r="BX984">
        <v>0</v>
      </c>
      <c r="BY984">
        <v>0</v>
      </c>
      <c r="BZ984">
        <v>0</v>
      </c>
      <c r="CA984">
        <v>0</v>
      </c>
      <c r="CB984">
        <v>0</v>
      </c>
      <c r="CC984">
        <v>0</v>
      </c>
      <c r="CD984">
        <v>0</v>
      </c>
      <c r="CE984">
        <v>0</v>
      </c>
      <c r="CF984">
        <v>0</v>
      </c>
      <c r="CG984">
        <v>0</v>
      </c>
      <c r="CH984">
        <v>0</v>
      </c>
      <c r="CI984">
        <v>0</v>
      </c>
      <c r="CJ984">
        <v>0</v>
      </c>
      <c r="CK984">
        <v>0</v>
      </c>
      <c r="CL984">
        <v>0</v>
      </c>
      <c r="CM984">
        <v>0</v>
      </c>
      <c r="CN984">
        <v>0</v>
      </c>
      <c r="CO984">
        <v>0</v>
      </c>
      <c r="CP984">
        <v>0</v>
      </c>
      <c r="CQ984">
        <v>0</v>
      </c>
      <c r="CR984">
        <v>0</v>
      </c>
      <c r="CS984">
        <v>0</v>
      </c>
      <c r="CT984">
        <v>0</v>
      </c>
      <c r="CU984">
        <v>0</v>
      </c>
      <c r="CV984">
        <v>0</v>
      </c>
      <c r="CW984">
        <v>0</v>
      </c>
      <c r="CX984">
        <v>0</v>
      </c>
      <c r="CY984">
        <v>0</v>
      </c>
      <c r="CZ984">
        <v>0</v>
      </c>
      <c r="DA984">
        <v>0</v>
      </c>
      <c r="DB984">
        <v>0</v>
      </c>
      <c r="DC984">
        <v>0</v>
      </c>
      <c r="DD984">
        <v>0</v>
      </c>
      <c r="DE984">
        <v>0</v>
      </c>
      <c r="DF984">
        <v>0</v>
      </c>
      <c r="DG984" s="16">
        <f t="shared" si="82"/>
        <v>310</v>
      </c>
      <c r="DH984" s="16">
        <f t="shared" si="83"/>
        <v>6843</v>
      </c>
      <c r="DI984" s="17">
        <f t="shared" si="84"/>
        <v>22.074193548387097</v>
      </c>
      <c r="DJ984" s="119" t="s">
        <v>4</v>
      </c>
      <c r="DK984" s="44" t="s">
        <v>4</v>
      </c>
    </row>
    <row r="985" spans="1:115" ht="15" customHeight="1">
      <c r="A985" s="32" t="str">
        <f t="shared" si="85"/>
        <v>SA Power--KIOSK MOUNTED ; &lt; ≈ 22KV ;  &gt; 60 KVA AND &lt; ≈ 600 KVA ; SINGLE PHASE</v>
      </c>
      <c r="B985" s="32" t="str">
        <f t="shared" si="86"/>
        <v>SA Power</v>
      </c>
      <c r="C985" s="385"/>
      <c r="E985" t="s">
        <v>1261</v>
      </c>
      <c r="F985">
        <v>50</v>
      </c>
      <c r="G985">
        <v>7.0710678118654755</v>
      </c>
      <c r="H985">
        <v>13</v>
      </c>
      <c r="I985">
        <v>27</v>
      </c>
      <c r="J985">
        <v>41</v>
      </c>
      <c r="K985">
        <v>134</v>
      </c>
      <c r="L985">
        <v>263</v>
      </c>
      <c r="M985">
        <v>245</v>
      </c>
      <c r="N985">
        <v>210</v>
      </c>
      <c r="O985">
        <v>253</v>
      </c>
      <c r="P985">
        <v>263</v>
      </c>
      <c r="Q985">
        <v>238</v>
      </c>
      <c r="R985">
        <v>218</v>
      </c>
      <c r="S985">
        <v>172</v>
      </c>
      <c r="T985">
        <v>153</v>
      </c>
      <c r="U985">
        <v>167</v>
      </c>
      <c r="V985">
        <v>171</v>
      </c>
      <c r="W985">
        <v>143</v>
      </c>
      <c r="X985">
        <v>115</v>
      </c>
      <c r="Y985">
        <v>163</v>
      </c>
      <c r="Z985">
        <v>229</v>
      </c>
      <c r="AA985">
        <v>233</v>
      </c>
      <c r="AB985">
        <v>199</v>
      </c>
      <c r="AC985">
        <v>243</v>
      </c>
      <c r="AD985">
        <v>321</v>
      </c>
      <c r="AE985">
        <v>347</v>
      </c>
      <c r="AF985">
        <v>305</v>
      </c>
      <c r="AG985">
        <v>277</v>
      </c>
      <c r="AH985">
        <v>341</v>
      </c>
      <c r="AI985">
        <v>378</v>
      </c>
      <c r="AJ985">
        <v>304</v>
      </c>
      <c r="AK985">
        <v>190</v>
      </c>
      <c r="AL985">
        <v>162</v>
      </c>
      <c r="AM985">
        <v>158</v>
      </c>
      <c r="AN985">
        <v>132</v>
      </c>
      <c r="AO985">
        <v>134</v>
      </c>
      <c r="AP985">
        <v>201</v>
      </c>
      <c r="AQ985">
        <v>268</v>
      </c>
      <c r="AR985">
        <v>230</v>
      </c>
      <c r="AS985">
        <v>188</v>
      </c>
      <c r="AT985">
        <v>153</v>
      </c>
      <c r="AU985">
        <v>86</v>
      </c>
      <c r="AV985">
        <v>48</v>
      </c>
      <c r="AW985">
        <v>43</v>
      </c>
      <c r="AX985">
        <v>38</v>
      </c>
      <c r="AY985">
        <v>21</v>
      </c>
      <c r="AZ985">
        <v>6</v>
      </c>
      <c r="BA985">
        <v>17</v>
      </c>
      <c r="BB985">
        <v>30</v>
      </c>
      <c r="BC985">
        <v>79</v>
      </c>
      <c r="BD985">
        <v>80</v>
      </c>
      <c r="BE985">
        <v>32</v>
      </c>
      <c r="BF985">
        <v>31</v>
      </c>
      <c r="BG985">
        <v>22</v>
      </c>
      <c r="BH985">
        <v>69</v>
      </c>
      <c r="BI985">
        <v>67</v>
      </c>
      <c r="BJ985">
        <v>9</v>
      </c>
      <c r="BK985">
        <v>16</v>
      </c>
      <c r="BL985">
        <v>50</v>
      </c>
      <c r="BM985">
        <v>104</v>
      </c>
      <c r="BN985">
        <v>63</v>
      </c>
      <c r="BO985">
        <v>4</v>
      </c>
      <c r="BP985">
        <v>6</v>
      </c>
      <c r="BQ985">
        <v>2</v>
      </c>
      <c r="BR985">
        <v>5</v>
      </c>
      <c r="BS985">
        <v>5</v>
      </c>
      <c r="BT985">
        <v>0</v>
      </c>
      <c r="BU985">
        <v>0</v>
      </c>
      <c r="BV985">
        <v>0</v>
      </c>
      <c r="BW985">
        <v>0</v>
      </c>
      <c r="BX985">
        <v>0</v>
      </c>
      <c r="BY985">
        <v>0</v>
      </c>
      <c r="BZ985">
        <v>0</v>
      </c>
      <c r="CA985">
        <v>0</v>
      </c>
      <c r="CB985">
        <v>0</v>
      </c>
      <c r="CC985">
        <v>0</v>
      </c>
      <c r="CD985">
        <v>0</v>
      </c>
      <c r="CE985">
        <v>0</v>
      </c>
      <c r="CF985">
        <v>0</v>
      </c>
      <c r="CG985">
        <v>0</v>
      </c>
      <c r="CH985">
        <v>0</v>
      </c>
      <c r="CI985">
        <v>0</v>
      </c>
      <c r="CJ985">
        <v>0</v>
      </c>
      <c r="CK985">
        <v>0</v>
      </c>
      <c r="CL985">
        <v>0</v>
      </c>
      <c r="CM985">
        <v>0</v>
      </c>
      <c r="CN985">
        <v>0</v>
      </c>
      <c r="CO985">
        <v>0</v>
      </c>
      <c r="CP985">
        <v>0</v>
      </c>
      <c r="CQ985">
        <v>0</v>
      </c>
      <c r="CR985">
        <v>0</v>
      </c>
      <c r="CS985">
        <v>0</v>
      </c>
      <c r="CT985">
        <v>0</v>
      </c>
      <c r="CU985">
        <v>0</v>
      </c>
      <c r="CV985">
        <v>0</v>
      </c>
      <c r="CW985">
        <v>0</v>
      </c>
      <c r="CX985">
        <v>0</v>
      </c>
      <c r="CY985">
        <v>0</v>
      </c>
      <c r="CZ985">
        <v>0</v>
      </c>
      <c r="DA985">
        <v>0</v>
      </c>
      <c r="DB985">
        <v>0</v>
      </c>
      <c r="DC985">
        <v>0</v>
      </c>
      <c r="DD985">
        <v>0</v>
      </c>
      <c r="DE985">
        <v>0</v>
      </c>
      <c r="DF985">
        <v>0</v>
      </c>
      <c r="DG985" s="16">
        <f t="shared" si="82"/>
        <v>8915</v>
      </c>
      <c r="DH985" s="16">
        <f t="shared" si="83"/>
        <v>217859</v>
      </c>
      <c r="DI985" s="17">
        <f t="shared" si="84"/>
        <v>24.437352776219853</v>
      </c>
      <c r="DJ985" s="119" t="s">
        <v>4</v>
      </c>
      <c r="DK985" s="44" t="s">
        <v>4</v>
      </c>
    </row>
    <row r="986" spans="1:115" ht="15" customHeight="1">
      <c r="A986" s="32" t="str">
        <f t="shared" si="85"/>
        <v>SA Power--KIOSK MOUNTED ; &lt; ≈ 22KV ;  &gt; 600 KVA ; SINGLE PHASE</v>
      </c>
      <c r="B986" s="32" t="str">
        <f t="shared" si="86"/>
        <v>SA Power</v>
      </c>
      <c r="C986" s="385"/>
      <c r="E986" t="s">
        <v>1262</v>
      </c>
      <c r="F986">
        <v>50</v>
      </c>
      <c r="G986">
        <v>7.0710678118654755</v>
      </c>
      <c r="H986">
        <v>2</v>
      </c>
      <c r="I986">
        <v>1</v>
      </c>
      <c r="J986">
        <v>0</v>
      </c>
      <c r="K986">
        <v>11</v>
      </c>
      <c r="L986">
        <v>33</v>
      </c>
      <c r="M986">
        <v>39</v>
      </c>
      <c r="N986">
        <v>40</v>
      </c>
      <c r="O986">
        <v>53</v>
      </c>
      <c r="P986">
        <v>60</v>
      </c>
      <c r="Q986">
        <v>61</v>
      </c>
      <c r="R986">
        <v>50</v>
      </c>
      <c r="S986">
        <v>38</v>
      </c>
      <c r="T986">
        <v>40</v>
      </c>
      <c r="U986">
        <v>48</v>
      </c>
      <c r="V986">
        <v>53</v>
      </c>
      <c r="W986">
        <v>36</v>
      </c>
      <c r="X986">
        <v>20</v>
      </c>
      <c r="Y986">
        <v>23</v>
      </c>
      <c r="Z986">
        <v>27</v>
      </c>
      <c r="AA986">
        <v>31</v>
      </c>
      <c r="AB986">
        <v>25</v>
      </c>
      <c r="AC986">
        <v>18</v>
      </c>
      <c r="AD986">
        <v>28</v>
      </c>
      <c r="AE986">
        <v>35</v>
      </c>
      <c r="AF986">
        <v>34</v>
      </c>
      <c r="AG986">
        <v>27</v>
      </c>
      <c r="AH986">
        <v>27</v>
      </c>
      <c r="AI986">
        <v>28</v>
      </c>
      <c r="AJ986">
        <v>15</v>
      </c>
      <c r="AK986">
        <v>10</v>
      </c>
      <c r="AL986">
        <v>17</v>
      </c>
      <c r="AM986">
        <v>14</v>
      </c>
      <c r="AN986">
        <v>9</v>
      </c>
      <c r="AO986">
        <v>10</v>
      </c>
      <c r="AP986">
        <v>17</v>
      </c>
      <c r="AQ986">
        <v>22</v>
      </c>
      <c r="AR986">
        <v>11</v>
      </c>
      <c r="AS986">
        <v>3</v>
      </c>
      <c r="AT986">
        <v>8</v>
      </c>
      <c r="AU986">
        <v>9</v>
      </c>
      <c r="AV986">
        <v>17</v>
      </c>
      <c r="AW986">
        <v>17</v>
      </c>
      <c r="AX986">
        <v>7</v>
      </c>
      <c r="AY986">
        <v>5</v>
      </c>
      <c r="AZ986">
        <v>5</v>
      </c>
      <c r="BA986">
        <v>4</v>
      </c>
      <c r="BB986">
        <v>7</v>
      </c>
      <c r="BC986">
        <v>12</v>
      </c>
      <c r="BD986">
        <v>8</v>
      </c>
      <c r="BE986">
        <v>5</v>
      </c>
      <c r="BF986">
        <v>23</v>
      </c>
      <c r="BG986">
        <v>23</v>
      </c>
      <c r="BH986">
        <v>19</v>
      </c>
      <c r="BI986">
        <v>17</v>
      </c>
      <c r="BJ986">
        <v>4</v>
      </c>
      <c r="BK986">
        <v>5</v>
      </c>
      <c r="BL986">
        <v>21</v>
      </c>
      <c r="BM986">
        <v>33</v>
      </c>
      <c r="BN986">
        <v>15</v>
      </c>
      <c r="BO986">
        <v>1</v>
      </c>
      <c r="BP986">
        <v>2</v>
      </c>
      <c r="BQ986">
        <v>1</v>
      </c>
      <c r="BR986">
        <v>6</v>
      </c>
      <c r="BS986">
        <v>6</v>
      </c>
      <c r="BT986">
        <v>0</v>
      </c>
      <c r="BU986">
        <v>0</v>
      </c>
      <c r="BV986">
        <v>0</v>
      </c>
      <c r="BW986">
        <v>0</v>
      </c>
      <c r="BX986">
        <v>0</v>
      </c>
      <c r="BY986">
        <v>0</v>
      </c>
      <c r="BZ986">
        <v>0</v>
      </c>
      <c r="CA986">
        <v>0</v>
      </c>
      <c r="CB986">
        <v>1</v>
      </c>
      <c r="CC986">
        <v>1</v>
      </c>
      <c r="CD986">
        <v>0</v>
      </c>
      <c r="CE986">
        <v>0</v>
      </c>
      <c r="CF986">
        <v>0</v>
      </c>
      <c r="CG986">
        <v>0</v>
      </c>
      <c r="CH986">
        <v>0</v>
      </c>
      <c r="CI986">
        <v>0</v>
      </c>
      <c r="CJ986">
        <v>0</v>
      </c>
      <c r="CK986">
        <v>0</v>
      </c>
      <c r="CL986">
        <v>0</v>
      </c>
      <c r="CM986">
        <v>0</v>
      </c>
      <c r="CN986">
        <v>0</v>
      </c>
      <c r="CO986">
        <v>0</v>
      </c>
      <c r="CP986">
        <v>0</v>
      </c>
      <c r="CQ986">
        <v>0</v>
      </c>
      <c r="CR986">
        <v>0</v>
      </c>
      <c r="CS986">
        <v>0</v>
      </c>
      <c r="CT986">
        <v>0</v>
      </c>
      <c r="CU986">
        <v>0</v>
      </c>
      <c r="CV986">
        <v>0</v>
      </c>
      <c r="CW986">
        <v>0</v>
      </c>
      <c r="CX986">
        <v>0</v>
      </c>
      <c r="CY986">
        <v>0</v>
      </c>
      <c r="CZ986">
        <v>0</v>
      </c>
      <c r="DA986">
        <v>0</v>
      </c>
      <c r="DB986">
        <v>0</v>
      </c>
      <c r="DC986">
        <v>0</v>
      </c>
      <c r="DD986">
        <v>0</v>
      </c>
      <c r="DE986">
        <v>0</v>
      </c>
      <c r="DF986">
        <v>0</v>
      </c>
      <c r="DG986" s="16">
        <f t="shared" si="82"/>
        <v>1298</v>
      </c>
      <c r="DH986" s="16">
        <f t="shared" si="83"/>
        <v>31985</v>
      </c>
      <c r="DI986" s="17">
        <f t="shared" si="84"/>
        <v>24.641756548536211</v>
      </c>
      <c r="DJ986" s="119" t="s">
        <v>4</v>
      </c>
      <c r="DK986" s="44" t="s">
        <v>4</v>
      </c>
    </row>
    <row r="987" spans="1:115" ht="15" customHeight="1">
      <c r="A987" s="32" t="str">
        <f t="shared" si="85"/>
        <v>SA Power--KIOSK MOUNTED ; &lt; ≈ 22KV ;  &lt; ≈ 60 KVA  ; MULTIPLE PHASE</v>
      </c>
      <c r="B987" s="32" t="str">
        <f t="shared" si="86"/>
        <v>SA Power</v>
      </c>
      <c r="C987" s="385"/>
      <c r="E987" t="s">
        <v>1263</v>
      </c>
      <c r="F987">
        <v>50</v>
      </c>
      <c r="G987">
        <v>7.0710678118654755</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1</v>
      </c>
      <c r="AG987">
        <v>1</v>
      </c>
      <c r="AH987">
        <v>1</v>
      </c>
      <c r="AI987">
        <v>0</v>
      </c>
      <c r="AJ987">
        <v>0</v>
      </c>
      <c r="AK987">
        <v>0</v>
      </c>
      <c r="AL987">
        <v>0</v>
      </c>
      <c r="AM987">
        <v>0</v>
      </c>
      <c r="AN987">
        <v>0</v>
      </c>
      <c r="AO987">
        <v>0</v>
      </c>
      <c r="AP987">
        <v>0</v>
      </c>
      <c r="AQ987">
        <v>0</v>
      </c>
      <c r="AR987">
        <v>0</v>
      </c>
      <c r="AS987">
        <v>0</v>
      </c>
      <c r="AT987">
        <v>0</v>
      </c>
      <c r="AU987">
        <v>0</v>
      </c>
      <c r="AV987">
        <v>0</v>
      </c>
      <c r="AW987">
        <v>0</v>
      </c>
      <c r="AX987">
        <v>0</v>
      </c>
      <c r="AY987">
        <v>0</v>
      </c>
      <c r="AZ987">
        <v>0</v>
      </c>
      <c r="BA987">
        <v>0</v>
      </c>
      <c r="BB987">
        <v>0</v>
      </c>
      <c r="BC987">
        <v>0</v>
      </c>
      <c r="BD987">
        <v>0</v>
      </c>
      <c r="BE987">
        <v>0</v>
      </c>
      <c r="BF987">
        <v>1</v>
      </c>
      <c r="BG987">
        <v>1</v>
      </c>
      <c r="BH987">
        <v>1</v>
      </c>
      <c r="BI987">
        <v>1</v>
      </c>
      <c r="BJ987">
        <v>0</v>
      </c>
      <c r="BK987">
        <v>0</v>
      </c>
      <c r="BL987">
        <v>1</v>
      </c>
      <c r="BM987">
        <v>2</v>
      </c>
      <c r="BN987">
        <v>1</v>
      </c>
      <c r="BO987">
        <v>0</v>
      </c>
      <c r="BP987">
        <v>0</v>
      </c>
      <c r="BQ987">
        <v>0</v>
      </c>
      <c r="BR987">
        <v>0</v>
      </c>
      <c r="BS987">
        <v>0</v>
      </c>
      <c r="BT987">
        <v>0</v>
      </c>
      <c r="BU987">
        <v>0</v>
      </c>
      <c r="BV987">
        <v>0</v>
      </c>
      <c r="BW987">
        <v>0</v>
      </c>
      <c r="BX987">
        <v>0</v>
      </c>
      <c r="BY987">
        <v>0</v>
      </c>
      <c r="BZ987">
        <v>0</v>
      </c>
      <c r="CA987">
        <v>0</v>
      </c>
      <c r="CB987">
        <v>0</v>
      </c>
      <c r="CC987">
        <v>0</v>
      </c>
      <c r="CD987">
        <v>0</v>
      </c>
      <c r="CE987">
        <v>0</v>
      </c>
      <c r="CF987">
        <v>0</v>
      </c>
      <c r="CG987">
        <v>0</v>
      </c>
      <c r="CH987">
        <v>0</v>
      </c>
      <c r="CI987">
        <v>0</v>
      </c>
      <c r="CJ987">
        <v>0</v>
      </c>
      <c r="CK987">
        <v>0</v>
      </c>
      <c r="CL987">
        <v>0</v>
      </c>
      <c r="CM987">
        <v>0</v>
      </c>
      <c r="CN987">
        <v>0</v>
      </c>
      <c r="CO987">
        <v>0</v>
      </c>
      <c r="CP987">
        <v>0</v>
      </c>
      <c r="CQ987">
        <v>0</v>
      </c>
      <c r="CR987">
        <v>0</v>
      </c>
      <c r="CS987">
        <v>0</v>
      </c>
      <c r="CT987">
        <v>0</v>
      </c>
      <c r="CU987">
        <v>0</v>
      </c>
      <c r="CV987">
        <v>0</v>
      </c>
      <c r="CW987">
        <v>0</v>
      </c>
      <c r="CX987">
        <v>0</v>
      </c>
      <c r="CY987">
        <v>0</v>
      </c>
      <c r="CZ987">
        <v>0</v>
      </c>
      <c r="DA987">
        <v>0</v>
      </c>
      <c r="DB987">
        <v>0</v>
      </c>
      <c r="DC987">
        <v>0</v>
      </c>
      <c r="DD987">
        <v>0</v>
      </c>
      <c r="DE987">
        <v>0</v>
      </c>
      <c r="DF987">
        <v>0</v>
      </c>
      <c r="DG987" s="16">
        <f t="shared" si="82"/>
        <v>11</v>
      </c>
      <c r="DH987" s="16">
        <f t="shared" si="83"/>
        <v>520</v>
      </c>
      <c r="DI987" s="17">
        <f t="shared" si="84"/>
        <v>47.272727272727273</v>
      </c>
      <c r="DJ987" s="119" t="s">
        <v>4</v>
      </c>
      <c r="DK987" s="44" t="s">
        <v>4</v>
      </c>
    </row>
    <row r="988" spans="1:115" ht="15" customHeight="1">
      <c r="A988" s="32" t="str">
        <f t="shared" si="85"/>
        <v>SA Power--KIOSK MOUNTED ; &lt; ≈ 22KV ;  &gt; 60 KVA AND &lt; ≈ 600 KVA  ; MULTIPLE PHASE</v>
      </c>
      <c r="B988" s="32" t="str">
        <f t="shared" si="86"/>
        <v>SA Power</v>
      </c>
      <c r="C988" s="385"/>
      <c r="E988" t="s">
        <v>1264</v>
      </c>
      <c r="F988">
        <v>50</v>
      </c>
      <c r="G988">
        <v>7.0710678118654755</v>
      </c>
      <c r="H988">
        <v>82</v>
      </c>
      <c r="I988">
        <v>163</v>
      </c>
      <c r="J988">
        <v>237</v>
      </c>
      <c r="K988">
        <v>174</v>
      </c>
      <c r="L988">
        <v>47</v>
      </c>
      <c r="M988">
        <v>23</v>
      </c>
      <c r="N988">
        <v>31</v>
      </c>
      <c r="O988">
        <v>23</v>
      </c>
      <c r="P988">
        <v>16</v>
      </c>
      <c r="Q988">
        <v>6</v>
      </c>
      <c r="R988">
        <v>7</v>
      </c>
      <c r="S988">
        <v>7</v>
      </c>
      <c r="T988">
        <v>4</v>
      </c>
      <c r="U988">
        <v>2</v>
      </c>
      <c r="V988">
        <v>2</v>
      </c>
      <c r="W988">
        <v>23</v>
      </c>
      <c r="X988">
        <v>23</v>
      </c>
      <c r="Y988">
        <v>29</v>
      </c>
      <c r="Z988">
        <v>52</v>
      </c>
      <c r="AA988">
        <v>47</v>
      </c>
      <c r="AB988">
        <v>56</v>
      </c>
      <c r="AC988">
        <v>61</v>
      </c>
      <c r="AD988">
        <v>43</v>
      </c>
      <c r="AE988">
        <v>35</v>
      </c>
      <c r="AF988">
        <v>37</v>
      </c>
      <c r="AG988">
        <v>36</v>
      </c>
      <c r="AH988">
        <v>44</v>
      </c>
      <c r="AI988">
        <v>53</v>
      </c>
      <c r="AJ988">
        <v>42</v>
      </c>
      <c r="AK988">
        <v>25</v>
      </c>
      <c r="AL988">
        <v>29</v>
      </c>
      <c r="AM988">
        <v>30</v>
      </c>
      <c r="AN988">
        <v>26</v>
      </c>
      <c r="AO988">
        <v>25</v>
      </c>
      <c r="AP988">
        <v>23</v>
      </c>
      <c r="AQ988">
        <v>24</v>
      </c>
      <c r="AR988">
        <v>25</v>
      </c>
      <c r="AS988">
        <v>26</v>
      </c>
      <c r="AT988">
        <v>21</v>
      </c>
      <c r="AU988">
        <v>17</v>
      </c>
      <c r="AV988">
        <v>9</v>
      </c>
      <c r="AW988">
        <v>3</v>
      </c>
      <c r="AX988">
        <v>11</v>
      </c>
      <c r="AY988">
        <v>10</v>
      </c>
      <c r="AZ988">
        <v>2</v>
      </c>
      <c r="BA988">
        <v>4</v>
      </c>
      <c r="BB988">
        <v>7</v>
      </c>
      <c r="BC988">
        <v>17</v>
      </c>
      <c r="BD988">
        <v>15</v>
      </c>
      <c r="BE988">
        <v>3</v>
      </c>
      <c r="BF988">
        <v>6</v>
      </c>
      <c r="BG988">
        <v>6</v>
      </c>
      <c r="BH988">
        <v>16</v>
      </c>
      <c r="BI988">
        <v>16</v>
      </c>
      <c r="BJ988">
        <v>2</v>
      </c>
      <c r="BK988">
        <v>5</v>
      </c>
      <c r="BL988">
        <v>11</v>
      </c>
      <c r="BM988">
        <v>22</v>
      </c>
      <c r="BN988">
        <v>14</v>
      </c>
      <c r="BO988">
        <v>1</v>
      </c>
      <c r="BP988">
        <v>1</v>
      </c>
      <c r="BQ988">
        <v>1</v>
      </c>
      <c r="BR988">
        <v>1</v>
      </c>
      <c r="BS988">
        <v>1</v>
      </c>
      <c r="BT988">
        <v>0</v>
      </c>
      <c r="BU988">
        <v>0</v>
      </c>
      <c r="BV988">
        <v>0</v>
      </c>
      <c r="BW988">
        <v>0</v>
      </c>
      <c r="BX988">
        <v>0</v>
      </c>
      <c r="BY988">
        <v>0</v>
      </c>
      <c r="BZ988">
        <v>0</v>
      </c>
      <c r="CA988">
        <v>0</v>
      </c>
      <c r="CB988">
        <v>0</v>
      </c>
      <c r="CC988">
        <v>0</v>
      </c>
      <c r="CD988">
        <v>0</v>
      </c>
      <c r="CE988">
        <v>0</v>
      </c>
      <c r="CF988">
        <v>0</v>
      </c>
      <c r="CG988">
        <v>0</v>
      </c>
      <c r="CH988">
        <v>0</v>
      </c>
      <c r="CI988">
        <v>0</v>
      </c>
      <c r="CJ988">
        <v>0</v>
      </c>
      <c r="CK988">
        <v>0</v>
      </c>
      <c r="CL988">
        <v>0</v>
      </c>
      <c r="CM988">
        <v>0</v>
      </c>
      <c r="CN988">
        <v>0</v>
      </c>
      <c r="CO988">
        <v>0</v>
      </c>
      <c r="CP988">
        <v>0</v>
      </c>
      <c r="CQ988">
        <v>0</v>
      </c>
      <c r="CR988">
        <v>0</v>
      </c>
      <c r="CS988">
        <v>0</v>
      </c>
      <c r="CT988">
        <v>0</v>
      </c>
      <c r="CU988">
        <v>0</v>
      </c>
      <c r="CV988">
        <v>0</v>
      </c>
      <c r="CW988">
        <v>0</v>
      </c>
      <c r="CX988">
        <v>0</v>
      </c>
      <c r="CY988">
        <v>0</v>
      </c>
      <c r="CZ988">
        <v>0</v>
      </c>
      <c r="DA988">
        <v>0</v>
      </c>
      <c r="DB988">
        <v>0</v>
      </c>
      <c r="DC988">
        <v>0</v>
      </c>
      <c r="DD988">
        <v>0</v>
      </c>
      <c r="DE988">
        <v>0</v>
      </c>
      <c r="DF988">
        <v>0</v>
      </c>
      <c r="DG988" s="16">
        <f t="shared" si="82"/>
        <v>1860</v>
      </c>
      <c r="DH988" s="16">
        <f t="shared" si="83"/>
        <v>35240</v>
      </c>
      <c r="DI988" s="17">
        <f t="shared" si="84"/>
        <v>18.946236559139784</v>
      </c>
      <c r="DJ988" s="119" t="s">
        <v>4</v>
      </c>
      <c r="DK988" s="44" t="s">
        <v>4</v>
      </c>
    </row>
    <row r="989" spans="1:115" ht="15" customHeight="1">
      <c r="A989" s="32" t="str">
        <f t="shared" si="85"/>
        <v>SA Power--KIOSK MOUNTED ; &lt; ≈ 22KV ;  &gt; 600 KVA  ; MULTIPLE PHASE</v>
      </c>
      <c r="B989" s="32" t="str">
        <f t="shared" si="86"/>
        <v>SA Power</v>
      </c>
      <c r="C989" s="385"/>
      <c r="E989" t="s">
        <v>1265</v>
      </c>
      <c r="F989">
        <v>50</v>
      </c>
      <c r="G989">
        <v>7.0710678118654755</v>
      </c>
      <c r="H989">
        <v>23</v>
      </c>
      <c r="I989">
        <v>33</v>
      </c>
      <c r="J989">
        <v>41</v>
      </c>
      <c r="K989">
        <v>28</v>
      </c>
      <c r="L989">
        <v>7</v>
      </c>
      <c r="M989">
        <v>7</v>
      </c>
      <c r="N989">
        <v>8</v>
      </c>
      <c r="O989">
        <v>3</v>
      </c>
      <c r="P989">
        <v>1</v>
      </c>
      <c r="Q989">
        <v>1</v>
      </c>
      <c r="R989">
        <v>2</v>
      </c>
      <c r="S989">
        <v>3</v>
      </c>
      <c r="T989">
        <v>3</v>
      </c>
      <c r="U989">
        <v>1</v>
      </c>
      <c r="V989">
        <v>0</v>
      </c>
      <c r="W989">
        <v>5</v>
      </c>
      <c r="X989">
        <v>5</v>
      </c>
      <c r="Y989">
        <v>4</v>
      </c>
      <c r="Z989">
        <v>6</v>
      </c>
      <c r="AA989">
        <v>5</v>
      </c>
      <c r="AB989">
        <v>4</v>
      </c>
      <c r="AC989">
        <v>4</v>
      </c>
      <c r="AD989">
        <v>5</v>
      </c>
      <c r="AE989">
        <v>5</v>
      </c>
      <c r="AF989">
        <v>1</v>
      </c>
      <c r="AG989">
        <v>2</v>
      </c>
      <c r="AH989">
        <v>3</v>
      </c>
      <c r="AI989">
        <v>3</v>
      </c>
      <c r="AJ989">
        <v>2</v>
      </c>
      <c r="AK989">
        <v>1</v>
      </c>
      <c r="AL989">
        <v>3</v>
      </c>
      <c r="AM989">
        <v>4</v>
      </c>
      <c r="AN989">
        <v>4</v>
      </c>
      <c r="AO989">
        <v>3</v>
      </c>
      <c r="AP989">
        <v>2</v>
      </c>
      <c r="AQ989">
        <v>3</v>
      </c>
      <c r="AR989">
        <v>2</v>
      </c>
      <c r="AS989">
        <v>0</v>
      </c>
      <c r="AT989">
        <v>0</v>
      </c>
      <c r="AU989">
        <v>0</v>
      </c>
      <c r="AV989">
        <v>2</v>
      </c>
      <c r="AW989">
        <v>2</v>
      </c>
      <c r="AX989">
        <v>1</v>
      </c>
      <c r="AY989">
        <v>1</v>
      </c>
      <c r="AZ989">
        <v>0</v>
      </c>
      <c r="BA989">
        <v>2</v>
      </c>
      <c r="BB989">
        <v>2</v>
      </c>
      <c r="BC989">
        <v>3</v>
      </c>
      <c r="BD989">
        <v>3</v>
      </c>
      <c r="BE989">
        <v>1</v>
      </c>
      <c r="BF989">
        <v>4</v>
      </c>
      <c r="BG989">
        <v>4</v>
      </c>
      <c r="BH989">
        <v>2</v>
      </c>
      <c r="BI989">
        <v>2</v>
      </c>
      <c r="BJ989">
        <v>0</v>
      </c>
      <c r="BK989">
        <v>0</v>
      </c>
      <c r="BL989">
        <v>3</v>
      </c>
      <c r="BM989">
        <v>7</v>
      </c>
      <c r="BN989">
        <v>4</v>
      </c>
      <c r="BO989">
        <v>0</v>
      </c>
      <c r="BP989">
        <v>0</v>
      </c>
      <c r="BQ989">
        <v>0</v>
      </c>
      <c r="BR989">
        <v>1</v>
      </c>
      <c r="BS989">
        <v>1</v>
      </c>
      <c r="BT989">
        <v>0</v>
      </c>
      <c r="BU989">
        <v>0</v>
      </c>
      <c r="BV989">
        <v>0</v>
      </c>
      <c r="BW989">
        <v>0</v>
      </c>
      <c r="BX989">
        <v>0</v>
      </c>
      <c r="BY989">
        <v>0</v>
      </c>
      <c r="BZ989">
        <v>0</v>
      </c>
      <c r="CA989">
        <v>0</v>
      </c>
      <c r="CB989">
        <v>0</v>
      </c>
      <c r="CC989">
        <v>0</v>
      </c>
      <c r="CD989">
        <v>0</v>
      </c>
      <c r="CE989">
        <v>0</v>
      </c>
      <c r="CF989">
        <v>0</v>
      </c>
      <c r="CG989">
        <v>0</v>
      </c>
      <c r="CH989">
        <v>0</v>
      </c>
      <c r="CI989">
        <v>0</v>
      </c>
      <c r="CJ989">
        <v>0</v>
      </c>
      <c r="CK989">
        <v>0</v>
      </c>
      <c r="CL989">
        <v>0</v>
      </c>
      <c r="CM989">
        <v>0</v>
      </c>
      <c r="CN989">
        <v>0</v>
      </c>
      <c r="CO989">
        <v>0</v>
      </c>
      <c r="CP989">
        <v>0</v>
      </c>
      <c r="CQ989">
        <v>0</v>
      </c>
      <c r="CR989">
        <v>0</v>
      </c>
      <c r="CS989">
        <v>0</v>
      </c>
      <c r="CT989">
        <v>0</v>
      </c>
      <c r="CU989">
        <v>0</v>
      </c>
      <c r="CV989">
        <v>0</v>
      </c>
      <c r="CW989">
        <v>0</v>
      </c>
      <c r="CX989">
        <v>0</v>
      </c>
      <c r="CY989">
        <v>0</v>
      </c>
      <c r="CZ989">
        <v>0</v>
      </c>
      <c r="DA989">
        <v>0</v>
      </c>
      <c r="DB989">
        <v>0</v>
      </c>
      <c r="DC989">
        <v>0</v>
      </c>
      <c r="DD989">
        <v>0</v>
      </c>
      <c r="DE989">
        <v>0</v>
      </c>
      <c r="DF989">
        <v>0</v>
      </c>
      <c r="DG989" s="16">
        <f t="shared" si="82"/>
        <v>282</v>
      </c>
      <c r="DH989" s="16">
        <f t="shared" si="83"/>
        <v>4852</v>
      </c>
      <c r="DI989" s="17">
        <f t="shared" si="84"/>
        <v>17.205673758865249</v>
      </c>
      <c r="DJ989" s="119" t="s">
        <v>4</v>
      </c>
      <c r="DK989" s="44" t="s">
        <v>4</v>
      </c>
    </row>
    <row r="990" spans="1:115" ht="15" customHeight="1">
      <c r="A990" s="32" t="str">
        <f t="shared" si="85"/>
        <v>SA Power--KIOSK MOUNTED ; &gt; 22 kV ;  &lt; ≈ 60 kVA ; SINGLE PHASE</v>
      </c>
      <c r="B990" s="32" t="str">
        <f t="shared" si="86"/>
        <v>SA Power</v>
      </c>
      <c r="C990" s="385"/>
      <c r="E990" t="s">
        <v>1266</v>
      </c>
      <c r="F990">
        <v>50</v>
      </c>
      <c r="G990">
        <v>7.0710678118654755</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v>0</v>
      </c>
      <c r="AI990">
        <v>0</v>
      </c>
      <c r="AJ990">
        <v>0</v>
      </c>
      <c r="AK990">
        <v>0</v>
      </c>
      <c r="AL990">
        <v>0</v>
      </c>
      <c r="AM990">
        <v>0</v>
      </c>
      <c r="AN990">
        <v>0</v>
      </c>
      <c r="AO990">
        <v>0</v>
      </c>
      <c r="AP990">
        <v>0</v>
      </c>
      <c r="AQ990">
        <v>0</v>
      </c>
      <c r="AR990">
        <v>0</v>
      </c>
      <c r="AS990">
        <v>0</v>
      </c>
      <c r="AT990">
        <v>0</v>
      </c>
      <c r="AU990">
        <v>0</v>
      </c>
      <c r="AV990">
        <v>0</v>
      </c>
      <c r="AW990">
        <v>0</v>
      </c>
      <c r="AX990">
        <v>0</v>
      </c>
      <c r="AY990">
        <v>0</v>
      </c>
      <c r="AZ990">
        <v>0</v>
      </c>
      <c r="BA990">
        <v>0</v>
      </c>
      <c r="BB990">
        <v>0</v>
      </c>
      <c r="BC990">
        <v>0</v>
      </c>
      <c r="BD990">
        <v>0</v>
      </c>
      <c r="BE990">
        <v>0</v>
      </c>
      <c r="BF990">
        <v>0</v>
      </c>
      <c r="BG990">
        <v>0</v>
      </c>
      <c r="BH990">
        <v>0</v>
      </c>
      <c r="BI990">
        <v>0</v>
      </c>
      <c r="BJ990">
        <v>0</v>
      </c>
      <c r="BK990">
        <v>0</v>
      </c>
      <c r="BL990">
        <v>0</v>
      </c>
      <c r="BM990">
        <v>0</v>
      </c>
      <c r="BN990">
        <v>0</v>
      </c>
      <c r="BO990">
        <v>0</v>
      </c>
      <c r="BP990">
        <v>0</v>
      </c>
      <c r="BQ990">
        <v>0</v>
      </c>
      <c r="BR990">
        <v>0</v>
      </c>
      <c r="BS990">
        <v>0</v>
      </c>
      <c r="BT990">
        <v>0</v>
      </c>
      <c r="BU990">
        <v>0</v>
      </c>
      <c r="BV990">
        <v>0</v>
      </c>
      <c r="BW990">
        <v>0</v>
      </c>
      <c r="BX990">
        <v>0</v>
      </c>
      <c r="BY990">
        <v>0</v>
      </c>
      <c r="BZ990">
        <v>0</v>
      </c>
      <c r="CA990">
        <v>0</v>
      </c>
      <c r="CB990">
        <v>0</v>
      </c>
      <c r="CC990">
        <v>0</v>
      </c>
      <c r="CD990">
        <v>0</v>
      </c>
      <c r="CE990">
        <v>0</v>
      </c>
      <c r="CF990">
        <v>0</v>
      </c>
      <c r="CG990">
        <v>0</v>
      </c>
      <c r="CH990">
        <v>0</v>
      </c>
      <c r="CI990">
        <v>0</v>
      </c>
      <c r="CJ990">
        <v>0</v>
      </c>
      <c r="CK990">
        <v>0</v>
      </c>
      <c r="CL990">
        <v>0</v>
      </c>
      <c r="CM990">
        <v>0</v>
      </c>
      <c r="CN990">
        <v>0</v>
      </c>
      <c r="CO990">
        <v>0</v>
      </c>
      <c r="CP990">
        <v>0</v>
      </c>
      <c r="CQ990">
        <v>0</v>
      </c>
      <c r="CR990">
        <v>0</v>
      </c>
      <c r="CS990">
        <v>0</v>
      </c>
      <c r="CT990">
        <v>0</v>
      </c>
      <c r="CU990">
        <v>0</v>
      </c>
      <c r="CV990">
        <v>0</v>
      </c>
      <c r="CW990">
        <v>0</v>
      </c>
      <c r="CX990">
        <v>0</v>
      </c>
      <c r="CY990">
        <v>0</v>
      </c>
      <c r="CZ990">
        <v>0</v>
      </c>
      <c r="DA990">
        <v>0</v>
      </c>
      <c r="DB990">
        <v>0</v>
      </c>
      <c r="DC990">
        <v>0</v>
      </c>
      <c r="DD990">
        <v>0</v>
      </c>
      <c r="DE990">
        <v>0</v>
      </c>
      <c r="DF990">
        <v>0</v>
      </c>
      <c r="DG990" s="16">
        <f t="shared" si="82"/>
        <v>0</v>
      </c>
      <c r="DH990" s="16">
        <f t="shared" si="83"/>
        <v>0</v>
      </c>
      <c r="DI990" s="17" t="str">
        <f t="shared" si="84"/>
        <v/>
      </c>
      <c r="DJ990" s="119" t="s">
        <v>4</v>
      </c>
      <c r="DK990" s="44" t="s">
        <v>4</v>
      </c>
    </row>
    <row r="991" spans="1:115" ht="15" customHeight="1">
      <c r="A991" s="32" t="str">
        <f t="shared" si="85"/>
        <v>SA Power--KIOSK MOUNTED ; &gt; 22 kV ;  &gt; 60 kVA and &lt; ≈ 600 kVA ; SINGLE PHASE</v>
      </c>
      <c r="B991" s="32" t="str">
        <f t="shared" si="86"/>
        <v>SA Power</v>
      </c>
      <c r="C991" s="385"/>
      <c r="E991" t="s">
        <v>1267</v>
      </c>
      <c r="F991">
        <v>50</v>
      </c>
      <c r="G991">
        <v>7.0710678118654755</v>
      </c>
      <c r="H991">
        <v>0</v>
      </c>
      <c r="I991">
        <v>0</v>
      </c>
      <c r="J991">
        <v>0</v>
      </c>
      <c r="K991">
        <v>0</v>
      </c>
      <c r="L991">
        <v>0</v>
      </c>
      <c r="M991">
        <v>1</v>
      </c>
      <c r="N991">
        <v>1</v>
      </c>
      <c r="O991">
        <v>0</v>
      </c>
      <c r="P991">
        <v>0</v>
      </c>
      <c r="Q991">
        <v>0</v>
      </c>
      <c r="R991">
        <v>0</v>
      </c>
      <c r="S991">
        <v>0</v>
      </c>
      <c r="T991">
        <v>0</v>
      </c>
      <c r="U991">
        <v>0</v>
      </c>
      <c r="V991">
        <v>0</v>
      </c>
      <c r="W991">
        <v>1</v>
      </c>
      <c r="X991">
        <v>1</v>
      </c>
      <c r="Y991">
        <v>0</v>
      </c>
      <c r="Z991">
        <v>0</v>
      </c>
      <c r="AA991">
        <v>0</v>
      </c>
      <c r="AB991">
        <v>0</v>
      </c>
      <c r="AC991">
        <v>0</v>
      </c>
      <c r="AD991">
        <v>0</v>
      </c>
      <c r="AE991">
        <v>0</v>
      </c>
      <c r="AF991">
        <v>0</v>
      </c>
      <c r="AG991">
        <v>0</v>
      </c>
      <c r="AH991">
        <v>0</v>
      </c>
      <c r="AI991">
        <v>0</v>
      </c>
      <c r="AJ991">
        <v>0</v>
      </c>
      <c r="AK991">
        <v>0</v>
      </c>
      <c r="AL991">
        <v>0</v>
      </c>
      <c r="AM991">
        <v>0</v>
      </c>
      <c r="AN991">
        <v>0</v>
      </c>
      <c r="AO991">
        <v>0</v>
      </c>
      <c r="AP991">
        <v>0</v>
      </c>
      <c r="AQ991">
        <v>0</v>
      </c>
      <c r="AR991">
        <v>0</v>
      </c>
      <c r="AS991">
        <v>0</v>
      </c>
      <c r="AT991">
        <v>0</v>
      </c>
      <c r="AU991">
        <v>0</v>
      </c>
      <c r="AV991">
        <v>0</v>
      </c>
      <c r="AW991">
        <v>1</v>
      </c>
      <c r="AX991">
        <v>1</v>
      </c>
      <c r="AY991">
        <v>0</v>
      </c>
      <c r="AZ991">
        <v>0</v>
      </c>
      <c r="BA991">
        <v>0</v>
      </c>
      <c r="BB991">
        <v>0</v>
      </c>
      <c r="BC991">
        <v>0</v>
      </c>
      <c r="BD991">
        <v>0</v>
      </c>
      <c r="BE991">
        <v>0</v>
      </c>
      <c r="BF991">
        <v>0</v>
      </c>
      <c r="BG991">
        <v>0</v>
      </c>
      <c r="BH991">
        <v>0</v>
      </c>
      <c r="BI991">
        <v>0</v>
      </c>
      <c r="BJ991">
        <v>0</v>
      </c>
      <c r="BK991">
        <v>0</v>
      </c>
      <c r="BL991">
        <v>0</v>
      </c>
      <c r="BM991">
        <v>0</v>
      </c>
      <c r="BN991">
        <v>0</v>
      </c>
      <c r="BO991">
        <v>0</v>
      </c>
      <c r="BP991">
        <v>0</v>
      </c>
      <c r="BQ991">
        <v>0</v>
      </c>
      <c r="BR991">
        <v>0</v>
      </c>
      <c r="BS991">
        <v>0</v>
      </c>
      <c r="BT991">
        <v>0</v>
      </c>
      <c r="BU991">
        <v>0</v>
      </c>
      <c r="BV991">
        <v>0</v>
      </c>
      <c r="BW991">
        <v>0</v>
      </c>
      <c r="BX991">
        <v>0</v>
      </c>
      <c r="BY991">
        <v>0</v>
      </c>
      <c r="BZ991">
        <v>0</v>
      </c>
      <c r="CA991">
        <v>0</v>
      </c>
      <c r="CB991">
        <v>0</v>
      </c>
      <c r="CC991">
        <v>0</v>
      </c>
      <c r="CD991">
        <v>0</v>
      </c>
      <c r="CE991">
        <v>0</v>
      </c>
      <c r="CF991">
        <v>0</v>
      </c>
      <c r="CG991">
        <v>0</v>
      </c>
      <c r="CH991">
        <v>0</v>
      </c>
      <c r="CI991">
        <v>0</v>
      </c>
      <c r="CJ991">
        <v>0</v>
      </c>
      <c r="CK991">
        <v>0</v>
      </c>
      <c r="CL991">
        <v>0</v>
      </c>
      <c r="CM991">
        <v>0</v>
      </c>
      <c r="CN991">
        <v>0</v>
      </c>
      <c r="CO991">
        <v>0</v>
      </c>
      <c r="CP991">
        <v>0</v>
      </c>
      <c r="CQ991">
        <v>0</v>
      </c>
      <c r="CR991">
        <v>0</v>
      </c>
      <c r="CS991">
        <v>0</v>
      </c>
      <c r="CT991">
        <v>0</v>
      </c>
      <c r="CU991">
        <v>0</v>
      </c>
      <c r="CV991">
        <v>0</v>
      </c>
      <c r="CW991">
        <v>0</v>
      </c>
      <c r="CX991">
        <v>0</v>
      </c>
      <c r="CY991">
        <v>0</v>
      </c>
      <c r="CZ991">
        <v>0</v>
      </c>
      <c r="DA991">
        <v>0</v>
      </c>
      <c r="DB991">
        <v>0</v>
      </c>
      <c r="DC991">
        <v>0</v>
      </c>
      <c r="DD991">
        <v>0</v>
      </c>
      <c r="DE991">
        <v>0</v>
      </c>
      <c r="DF991">
        <v>0</v>
      </c>
      <c r="DG991" s="16">
        <f t="shared" si="82"/>
        <v>6</v>
      </c>
      <c r="DH991" s="16">
        <f t="shared" si="83"/>
        <v>131</v>
      </c>
      <c r="DI991" s="17">
        <f t="shared" si="84"/>
        <v>21.833333333333332</v>
      </c>
      <c r="DJ991" s="119" t="s">
        <v>4</v>
      </c>
      <c r="DK991" s="44" t="s">
        <v>4</v>
      </c>
    </row>
    <row r="992" spans="1:115" ht="15" customHeight="1">
      <c r="A992" s="32" t="str">
        <f t="shared" si="85"/>
        <v>SA Power--KIOSK MOUNTED ; &gt; 22 kV ;  &gt; 600 Kva; SINGLE PHASE</v>
      </c>
      <c r="B992" s="32" t="str">
        <f t="shared" si="86"/>
        <v>SA Power</v>
      </c>
      <c r="C992" s="385"/>
      <c r="E992" t="s">
        <v>1268</v>
      </c>
      <c r="F992">
        <v>50</v>
      </c>
      <c r="G992">
        <v>7.0710678118654755</v>
      </c>
      <c r="H992">
        <v>0</v>
      </c>
      <c r="I992">
        <v>0</v>
      </c>
      <c r="J992">
        <v>0</v>
      </c>
      <c r="K992">
        <v>1</v>
      </c>
      <c r="L992">
        <v>3</v>
      </c>
      <c r="M992">
        <v>3</v>
      </c>
      <c r="N992">
        <v>2</v>
      </c>
      <c r="O992">
        <v>2</v>
      </c>
      <c r="P992">
        <v>2</v>
      </c>
      <c r="Q992">
        <v>2</v>
      </c>
      <c r="R992">
        <v>1</v>
      </c>
      <c r="S992">
        <v>1</v>
      </c>
      <c r="T992">
        <v>2</v>
      </c>
      <c r="U992">
        <v>2</v>
      </c>
      <c r="V992">
        <v>2</v>
      </c>
      <c r="W992">
        <v>2</v>
      </c>
      <c r="X992">
        <v>1</v>
      </c>
      <c r="Y992">
        <v>0</v>
      </c>
      <c r="Z992">
        <v>0</v>
      </c>
      <c r="AA992">
        <v>0</v>
      </c>
      <c r="AB992">
        <v>0</v>
      </c>
      <c r="AC992">
        <v>0</v>
      </c>
      <c r="AD992">
        <v>0</v>
      </c>
      <c r="AE992">
        <v>0</v>
      </c>
      <c r="AF992">
        <v>1</v>
      </c>
      <c r="AG992">
        <v>2</v>
      </c>
      <c r="AH992">
        <v>1</v>
      </c>
      <c r="AI992">
        <v>0</v>
      </c>
      <c r="AJ992">
        <v>0</v>
      </c>
      <c r="AK992">
        <v>0</v>
      </c>
      <c r="AL992">
        <v>0</v>
      </c>
      <c r="AM992">
        <v>0</v>
      </c>
      <c r="AN992">
        <v>0</v>
      </c>
      <c r="AO992">
        <v>0</v>
      </c>
      <c r="AP992">
        <v>0</v>
      </c>
      <c r="AQ992">
        <v>0</v>
      </c>
      <c r="AR992">
        <v>0</v>
      </c>
      <c r="AS992">
        <v>0</v>
      </c>
      <c r="AT992">
        <v>0</v>
      </c>
      <c r="AU992">
        <v>0</v>
      </c>
      <c r="AV992">
        <v>1</v>
      </c>
      <c r="AW992">
        <v>1</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v>0</v>
      </c>
      <c r="BQ992">
        <v>0</v>
      </c>
      <c r="BR992">
        <v>0</v>
      </c>
      <c r="BS992">
        <v>0</v>
      </c>
      <c r="BT992">
        <v>0</v>
      </c>
      <c r="BU992">
        <v>0</v>
      </c>
      <c r="BV992">
        <v>0</v>
      </c>
      <c r="BW992">
        <v>0</v>
      </c>
      <c r="BX992">
        <v>0</v>
      </c>
      <c r="BY992">
        <v>0</v>
      </c>
      <c r="BZ992">
        <v>0</v>
      </c>
      <c r="CA992">
        <v>0</v>
      </c>
      <c r="CB992">
        <v>0</v>
      </c>
      <c r="CC992">
        <v>0</v>
      </c>
      <c r="CD992">
        <v>0</v>
      </c>
      <c r="CE992">
        <v>0</v>
      </c>
      <c r="CF992">
        <v>0</v>
      </c>
      <c r="CG992">
        <v>0</v>
      </c>
      <c r="CH992">
        <v>0</v>
      </c>
      <c r="CI992">
        <v>0</v>
      </c>
      <c r="CJ992">
        <v>0</v>
      </c>
      <c r="CK992">
        <v>0</v>
      </c>
      <c r="CL992">
        <v>0</v>
      </c>
      <c r="CM992">
        <v>0</v>
      </c>
      <c r="CN992">
        <v>0</v>
      </c>
      <c r="CO992">
        <v>0</v>
      </c>
      <c r="CP992">
        <v>0</v>
      </c>
      <c r="CQ992">
        <v>0</v>
      </c>
      <c r="CR992">
        <v>0</v>
      </c>
      <c r="CS992">
        <v>0</v>
      </c>
      <c r="CT992">
        <v>0</v>
      </c>
      <c r="CU992">
        <v>0</v>
      </c>
      <c r="CV992">
        <v>0</v>
      </c>
      <c r="CW992">
        <v>0</v>
      </c>
      <c r="CX992">
        <v>0</v>
      </c>
      <c r="CY992">
        <v>0</v>
      </c>
      <c r="CZ992">
        <v>0</v>
      </c>
      <c r="DA992">
        <v>0</v>
      </c>
      <c r="DB992">
        <v>0</v>
      </c>
      <c r="DC992">
        <v>0</v>
      </c>
      <c r="DD992">
        <v>0</v>
      </c>
      <c r="DE992">
        <v>0</v>
      </c>
      <c r="DF992">
        <v>0</v>
      </c>
      <c r="DG992" s="16">
        <f t="shared" si="82"/>
        <v>32</v>
      </c>
      <c r="DH992" s="16">
        <f t="shared" si="83"/>
        <v>448</v>
      </c>
      <c r="DI992" s="17">
        <f t="shared" si="84"/>
        <v>14</v>
      </c>
      <c r="DJ992" s="119" t="s">
        <v>4</v>
      </c>
      <c r="DK992" s="44" t="s">
        <v>4</v>
      </c>
    </row>
    <row r="993" spans="1:115" ht="15" customHeight="1">
      <c r="A993" s="32" t="str">
        <f t="shared" si="85"/>
        <v>SA Power--KIOSK MOUNTED ; &gt; 22 kV ;  &lt; ≈ 60 kVA ; MULTIPLE PHASE</v>
      </c>
      <c r="B993" s="32" t="str">
        <f t="shared" si="86"/>
        <v>SA Power</v>
      </c>
      <c r="C993" s="385"/>
      <c r="E993" t="s">
        <v>1269</v>
      </c>
      <c r="F993">
        <v>50</v>
      </c>
      <c r="G993">
        <v>7.0710678118654755</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0</v>
      </c>
      <c r="AR993">
        <v>0</v>
      </c>
      <c r="AS993">
        <v>0</v>
      </c>
      <c r="AT993">
        <v>0</v>
      </c>
      <c r="AU993">
        <v>0</v>
      </c>
      <c r="AV993">
        <v>0</v>
      </c>
      <c r="AW993">
        <v>0</v>
      </c>
      <c r="AX993">
        <v>0</v>
      </c>
      <c r="AY993">
        <v>0</v>
      </c>
      <c r="AZ993">
        <v>0</v>
      </c>
      <c r="BA993">
        <v>0</v>
      </c>
      <c r="BB993">
        <v>0</v>
      </c>
      <c r="BC993">
        <v>0</v>
      </c>
      <c r="BD993">
        <v>0</v>
      </c>
      <c r="BE993">
        <v>0</v>
      </c>
      <c r="BF993">
        <v>0</v>
      </c>
      <c r="BG993">
        <v>0</v>
      </c>
      <c r="BH993">
        <v>0</v>
      </c>
      <c r="BI993">
        <v>0</v>
      </c>
      <c r="BJ993">
        <v>0</v>
      </c>
      <c r="BK993">
        <v>0</v>
      </c>
      <c r="BL993">
        <v>0</v>
      </c>
      <c r="BM993">
        <v>0</v>
      </c>
      <c r="BN993">
        <v>0</v>
      </c>
      <c r="BO993">
        <v>0</v>
      </c>
      <c r="BP993">
        <v>0</v>
      </c>
      <c r="BQ993">
        <v>0</v>
      </c>
      <c r="BR993">
        <v>0</v>
      </c>
      <c r="BS993">
        <v>0</v>
      </c>
      <c r="BT993">
        <v>0</v>
      </c>
      <c r="BU993">
        <v>0</v>
      </c>
      <c r="BV993">
        <v>0</v>
      </c>
      <c r="BW993">
        <v>0</v>
      </c>
      <c r="BX993">
        <v>0</v>
      </c>
      <c r="BY993">
        <v>0</v>
      </c>
      <c r="BZ993">
        <v>0</v>
      </c>
      <c r="CA993">
        <v>0</v>
      </c>
      <c r="CB993">
        <v>0</v>
      </c>
      <c r="CC993">
        <v>0</v>
      </c>
      <c r="CD993">
        <v>0</v>
      </c>
      <c r="CE993">
        <v>0</v>
      </c>
      <c r="CF993">
        <v>0</v>
      </c>
      <c r="CG993">
        <v>0</v>
      </c>
      <c r="CH993">
        <v>0</v>
      </c>
      <c r="CI993">
        <v>0</v>
      </c>
      <c r="CJ993">
        <v>0</v>
      </c>
      <c r="CK993">
        <v>0</v>
      </c>
      <c r="CL993">
        <v>0</v>
      </c>
      <c r="CM993">
        <v>0</v>
      </c>
      <c r="CN993">
        <v>0</v>
      </c>
      <c r="CO993">
        <v>0</v>
      </c>
      <c r="CP993">
        <v>0</v>
      </c>
      <c r="CQ993">
        <v>0</v>
      </c>
      <c r="CR993">
        <v>0</v>
      </c>
      <c r="CS993">
        <v>0</v>
      </c>
      <c r="CT993">
        <v>0</v>
      </c>
      <c r="CU993">
        <v>0</v>
      </c>
      <c r="CV993">
        <v>0</v>
      </c>
      <c r="CW993">
        <v>0</v>
      </c>
      <c r="CX993">
        <v>0</v>
      </c>
      <c r="CY993">
        <v>0</v>
      </c>
      <c r="CZ993">
        <v>0</v>
      </c>
      <c r="DA993">
        <v>0</v>
      </c>
      <c r="DB993">
        <v>0</v>
      </c>
      <c r="DC993">
        <v>0</v>
      </c>
      <c r="DD993">
        <v>0</v>
      </c>
      <c r="DE993">
        <v>0</v>
      </c>
      <c r="DF993">
        <v>0</v>
      </c>
      <c r="DG993" s="16">
        <f t="shared" si="82"/>
        <v>0</v>
      </c>
      <c r="DH993" s="16">
        <f t="shared" si="83"/>
        <v>0</v>
      </c>
      <c r="DI993" s="17" t="str">
        <f t="shared" si="84"/>
        <v/>
      </c>
      <c r="DJ993" s="119" t="s">
        <v>4</v>
      </c>
      <c r="DK993" s="44" t="s">
        <v>4</v>
      </c>
    </row>
    <row r="994" spans="1:115" ht="15" customHeight="1">
      <c r="A994" s="32" t="str">
        <f t="shared" si="85"/>
        <v>SA Power--KIOSK MOUNTED ; &gt; 22 kV ;  &gt; 60 kVA and &lt; ≈ 600 Kva; MULTIPLE PHASE</v>
      </c>
      <c r="B994" s="32" t="str">
        <f t="shared" si="86"/>
        <v>SA Power</v>
      </c>
      <c r="C994" s="385"/>
      <c r="E994" t="s">
        <v>1270</v>
      </c>
      <c r="F994">
        <v>50</v>
      </c>
      <c r="G994">
        <v>7.0710678118654755</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0</v>
      </c>
      <c r="AL994">
        <v>0</v>
      </c>
      <c r="AM994">
        <v>0</v>
      </c>
      <c r="AN994">
        <v>0</v>
      </c>
      <c r="AO994">
        <v>0</v>
      </c>
      <c r="AP994">
        <v>0</v>
      </c>
      <c r="AQ994">
        <v>0</v>
      </c>
      <c r="AR994">
        <v>0</v>
      </c>
      <c r="AS994">
        <v>0</v>
      </c>
      <c r="AT994">
        <v>0</v>
      </c>
      <c r="AU994">
        <v>0</v>
      </c>
      <c r="AV994">
        <v>0</v>
      </c>
      <c r="AW994">
        <v>0</v>
      </c>
      <c r="AX994">
        <v>0</v>
      </c>
      <c r="AY994">
        <v>0</v>
      </c>
      <c r="AZ994">
        <v>0</v>
      </c>
      <c r="BA994">
        <v>0</v>
      </c>
      <c r="BB994">
        <v>0</v>
      </c>
      <c r="BC994">
        <v>0</v>
      </c>
      <c r="BD994">
        <v>0</v>
      </c>
      <c r="BE994">
        <v>0</v>
      </c>
      <c r="BF994">
        <v>0</v>
      </c>
      <c r="BG994">
        <v>0</v>
      </c>
      <c r="BH994">
        <v>0</v>
      </c>
      <c r="BI994">
        <v>0</v>
      </c>
      <c r="BJ994">
        <v>0</v>
      </c>
      <c r="BK994">
        <v>0</v>
      </c>
      <c r="BL994">
        <v>0</v>
      </c>
      <c r="BM994">
        <v>0</v>
      </c>
      <c r="BN994">
        <v>0</v>
      </c>
      <c r="BO994">
        <v>0</v>
      </c>
      <c r="BP994">
        <v>0</v>
      </c>
      <c r="BQ994">
        <v>0</v>
      </c>
      <c r="BR994">
        <v>0</v>
      </c>
      <c r="BS994">
        <v>0</v>
      </c>
      <c r="BT994">
        <v>0</v>
      </c>
      <c r="BU994">
        <v>0</v>
      </c>
      <c r="BV994">
        <v>0</v>
      </c>
      <c r="BW994">
        <v>0</v>
      </c>
      <c r="BX994">
        <v>0</v>
      </c>
      <c r="BY994">
        <v>0</v>
      </c>
      <c r="BZ994">
        <v>0</v>
      </c>
      <c r="CA994">
        <v>0</v>
      </c>
      <c r="CB994">
        <v>0</v>
      </c>
      <c r="CC994">
        <v>0</v>
      </c>
      <c r="CD994">
        <v>0</v>
      </c>
      <c r="CE994">
        <v>0</v>
      </c>
      <c r="CF994">
        <v>0</v>
      </c>
      <c r="CG994">
        <v>0</v>
      </c>
      <c r="CH994">
        <v>0</v>
      </c>
      <c r="CI994">
        <v>0</v>
      </c>
      <c r="CJ994">
        <v>0</v>
      </c>
      <c r="CK994">
        <v>0</v>
      </c>
      <c r="CL994">
        <v>0</v>
      </c>
      <c r="CM994">
        <v>0</v>
      </c>
      <c r="CN994">
        <v>0</v>
      </c>
      <c r="CO994">
        <v>0</v>
      </c>
      <c r="CP994">
        <v>0</v>
      </c>
      <c r="CQ994">
        <v>0</v>
      </c>
      <c r="CR994">
        <v>0</v>
      </c>
      <c r="CS994">
        <v>0</v>
      </c>
      <c r="CT994">
        <v>0</v>
      </c>
      <c r="CU994">
        <v>0</v>
      </c>
      <c r="CV994">
        <v>0</v>
      </c>
      <c r="CW994">
        <v>0</v>
      </c>
      <c r="CX994">
        <v>0</v>
      </c>
      <c r="CY994">
        <v>0</v>
      </c>
      <c r="CZ994">
        <v>0</v>
      </c>
      <c r="DA994">
        <v>0</v>
      </c>
      <c r="DB994">
        <v>0</v>
      </c>
      <c r="DC994">
        <v>0</v>
      </c>
      <c r="DD994">
        <v>0</v>
      </c>
      <c r="DE994">
        <v>0</v>
      </c>
      <c r="DF994">
        <v>0</v>
      </c>
      <c r="DG994" s="16">
        <f t="shared" si="82"/>
        <v>0</v>
      </c>
      <c r="DH994" s="16">
        <f t="shared" si="83"/>
        <v>0</v>
      </c>
      <c r="DI994" s="17" t="str">
        <f t="shared" si="84"/>
        <v/>
      </c>
      <c r="DJ994" s="119" t="s">
        <v>4</v>
      </c>
      <c r="DK994" s="44" t="s">
        <v>4</v>
      </c>
    </row>
    <row r="995" spans="1:115" ht="15" customHeight="1">
      <c r="A995" s="32" t="str">
        <f t="shared" si="85"/>
        <v>SA Power--KIOSK MOUNTED ; &gt; 22 kV ;  &gt;  600 Kva; MULTIPLE PHASE</v>
      </c>
      <c r="B995" s="32" t="str">
        <f t="shared" si="86"/>
        <v>SA Power</v>
      </c>
      <c r="C995" s="385"/>
      <c r="E995" t="s">
        <v>1271</v>
      </c>
      <c r="F995">
        <v>50</v>
      </c>
      <c r="G995">
        <v>7.0710678118654755</v>
      </c>
      <c r="H995">
        <v>1</v>
      </c>
      <c r="I995">
        <v>1</v>
      </c>
      <c r="J995">
        <v>1</v>
      </c>
      <c r="K995">
        <v>1</v>
      </c>
      <c r="L995">
        <v>0</v>
      </c>
      <c r="M995">
        <v>0</v>
      </c>
      <c r="N995">
        <v>1</v>
      </c>
      <c r="O995">
        <v>1</v>
      </c>
      <c r="P995">
        <v>0</v>
      </c>
      <c r="Q995">
        <v>0</v>
      </c>
      <c r="R995">
        <v>0</v>
      </c>
      <c r="S995">
        <v>0</v>
      </c>
      <c r="T995">
        <v>0</v>
      </c>
      <c r="U995">
        <v>0</v>
      </c>
      <c r="V995">
        <v>0</v>
      </c>
      <c r="W995">
        <v>0</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0</v>
      </c>
      <c r="AR995">
        <v>0</v>
      </c>
      <c r="AS995">
        <v>0</v>
      </c>
      <c r="AT995">
        <v>0</v>
      </c>
      <c r="AU995">
        <v>0</v>
      </c>
      <c r="AV995">
        <v>0</v>
      </c>
      <c r="AW995">
        <v>0</v>
      </c>
      <c r="AX995">
        <v>0</v>
      </c>
      <c r="AY995">
        <v>0</v>
      </c>
      <c r="AZ995">
        <v>0</v>
      </c>
      <c r="BA995">
        <v>0</v>
      </c>
      <c r="BB995">
        <v>0</v>
      </c>
      <c r="BC995">
        <v>0</v>
      </c>
      <c r="BD995">
        <v>0</v>
      </c>
      <c r="BE995">
        <v>0</v>
      </c>
      <c r="BF995">
        <v>0</v>
      </c>
      <c r="BG995">
        <v>0</v>
      </c>
      <c r="BH995">
        <v>0</v>
      </c>
      <c r="BI995">
        <v>0</v>
      </c>
      <c r="BJ995">
        <v>0</v>
      </c>
      <c r="BK995">
        <v>0</v>
      </c>
      <c r="BL995">
        <v>0</v>
      </c>
      <c r="BM995">
        <v>0</v>
      </c>
      <c r="BN995">
        <v>0</v>
      </c>
      <c r="BO995">
        <v>0</v>
      </c>
      <c r="BP995">
        <v>0</v>
      </c>
      <c r="BQ995">
        <v>0</v>
      </c>
      <c r="BR995">
        <v>0</v>
      </c>
      <c r="BS995">
        <v>0</v>
      </c>
      <c r="BT995">
        <v>0</v>
      </c>
      <c r="BU995">
        <v>0</v>
      </c>
      <c r="BV995">
        <v>0</v>
      </c>
      <c r="BW995">
        <v>0</v>
      </c>
      <c r="BX995">
        <v>0</v>
      </c>
      <c r="BY995">
        <v>0</v>
      </c>
      <c r="BZ995">
        <v>0</v>
      </c>
      <c r="CA995">
        <v>0</v>
      </c>
      <c r="CB995">
        <v>0</v>
      </c>
      <c r="CC995">
        <v>0</v>
      </c>
      <c r="CD995">
        <v>0</v>
      </c>
      <c r="CE995">
        <v>0</v>
      </c>
      <c r="CF995">
        <v>0</v>
      </c>
      <c r="CG995">
        <v>0</v>
      </c>
      <c r="CH995">
        <v>0</v>
      </c>
      <c r="CI995">
        <v>0</v>
      </c>
      <c r="CJ995">
        <v>0</v>
      </c>
      <c r="CK995">
        <v>0</v>
      </c>
      <c r="CL995">
        <v>0</v>
      </c>
      <c r="CM995">
        <v>0</v>
      </c>
      <c r="CN995">
        <v>0</v>
      </c>
      <c r="CO995">
        <v>0</v>
      </c>
      <c r="CP995">
        <v>0</v>
      </c>
      <c r="CQ995">
        <v>0</v>
      </c>
      <c r="CR995">
        <v>0</v>
      </c>
      <c r="CS995">
        <v>0</v>
      </c>
      <c r="CT995">
        <v>0</v>
      </c>
      <c r="CU995">
        <v>0</v>
      </c>
      <c r="CV995">
        <v>0</v>
      </c>
      <c r="CW995">
        <v>0</v>
      </c>
      <c r="CX995">
        <v>0</v>
      </c>
      <c r="CY995">
        <v>0</v>
      </c>
      <c r="CZ995">
        <v>0</v>
      </c>
      <c r="DA995">
        <v>0</v>
      </c>
      <c r="DB995">
        <v>0</v>
      </c>
      <c r="DC995">
        <v>0</v>
      </c>
      <c r="DD995">
        <v>0</v>
      </c>
      <c r="DE995">
        <v>0</v>
      </c>
      <c r="DF995">
        <v>0</v>
      </c>
      <c r="DG995" s="16">
        <f t="shared" si="82"/>
        <v>6</v>
      </c>
      <c r="DH995" s="16">
        <f t="shared" si="83"/>
        <v>25</v>
      </c>
      <c r="DI995" s="17">
        <f t="shared" si="84"/>
        <v>4.166666666666667</v>
      </c>
      <c r="DJ995" s="119" t="s">
        <v>4</v>
      </c>
      <c r="DK995" s="44" t="s">
        <v>4</v>
      </c>
    </row>
    <row r="996" spans="1:115" ht="15" customHeight="1">
      <c r="A996" s="32" t="str">
        <f t="shared" si="85"/>
        <v>SA Power--GROUND OUTDOOR / INDOOR CHAMBER MOUNTED ; ˂ 22 KV ;  &lt; ≈ 60 KVA ; SINGLE PHASE</v>
      </c>
      <c r="B996" s="32" t="str">
        <f t="shared" si="86"/>
        <v>SA Power</v>
      </c>
      <c r="C996" s="385"/>
      <c r="E996" t="s">
        <v>1272</v>
      </c>
      <c r="F996">
        <v>50</v>
      </c>
      <c r="G996">
        <v>7.0710678118654755</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0</v>
      </c>
      <c r="AG996">
        <v>1</v>
      </c>
      <c r="AH996">
        <v>2</v>
      </c>
      <c r="AI996">
        <v>1</v>
      </c>
      <c r="AJ996">
        <v>0</v>
      </c>
      <c r="AK996">
        <v>0</v>
      </c>
      <c r="AL996">
        <v>0</v>
      </c>
      <c r="AM996">
        <v>0</v>
      </c>
      <c r="AN996">
        <v>0</v>
      </c>
      <c r="AO996">
        <v>0</v>
      </c>
      <c r="AP996">
        <v>0</v>
      </c>
      <c r="AQ996">
        <v>0</v>
      </c>
      <c r="AR996">
        <v>0</v>
      </c>
      <c r="AS996">
        <v>0</v>
      </c>
      <c r="AT996">
        <v>0</v>
      </c>
      <c r="AU996">
        <v>0</v>
      </c>
      <c r="AV996">
        <v>1</v>
      </c>
      <c r="AW996">
        <v>1</v>
      </c>
      <c r="AX996">
        <v>0</v>
      </c>
      <c r="AY996">
        <v>0</v>
      </c>
      <c r="AZ996">
        <v>0</v>
      </c>
      <c r="BA996">
        <v>0</v>
      </c>
      <c r="BB996">
        <v>0</v>
      </c>
      <c r="BC996">
        <v>0</v>
      </c>
      <c r="BD996">
        <v>0</v>
      </c>
      <c r="BE996">
        <v>0</v>
      </c>
      <c r="BF996">
        <v>0</v>
      </c>
      <c r="BG996">
        <v>1</v>
      </c>
      <c r="BH996">
        <v>1</v>
      </c>
      <c r="BI996">
        <v>1</v>
      </c>
      <c r="BJ996">
        <v>0</v>
      </c>
      <c r="BK996">
        <v>0</v>
      </c>
      <c r="BL996">
        <v>0</v>
      </c>
      <c r="BM996">
        <v>1</v>
      </c>
      <c r="BN996">
        <v>1</v>
      </c>
      <c r="BO996">
        <v>0</v>
      </c>
      <c r="BP996">
        <v>0</v>
      </c>
      <c r="BQ996">
        <v>0</v>
      </c>
      <c r="BR996">
        <v>0</v>
      </c>
      <c r="BS996">
        <v>0</v>
      </c>
      <c r="BT996">
        <v>0</v>
      </c>
      <c r="BU996">
        <v>0</v>
      </c>
      <c r="BV996">
        <v>0</v>
      </c>
      <c r="BW996">
        <v>0</v>
      </c>
      <c r="BX996">
        <v>0</v>
      </c>
      <c r="BY996">
        <v>0</v>
      </c>
      <c r="BZ996">
        <v>0</v>
      </c>
      <c r="CA996">
        <v>0</v>
      </c>
      <c r="CB996">
        <v>0</v>
      </c>
      <c r="CC996">
        <v>0</v>
      </c>
      <c r="CD996">
        <v>0</v>
      </c>
      <c r="CE996">
        <v>0</v>
      </c>
      <c r="CF996">
        <v>0</v>
      </c>
      <c r="CG996">
        <v>0</v>
      </c>
      <c r="CH996">
        <v>0</v>
      </c>
      <c r="CI996">
        <v>0</v>
      </c>
      <c r="CJ996">
        <v>0</v>
      </c>
      <c r="CK996">
        <v>0</v>
      </c>
      <c r="CL996">
        <v>0</v>
      </c>
      <c r="CM996">
        <v>0</v>
      </c>
      <c r="CN996">
        <v>0</v>
      </c>
      <c r="CO996">
        <v>0</v>
      </c>
      <c r="CP996">
        <v>0</v>
      </c>
      <c r="CQ996">
        <v>0</v>
      </c>
      <c r="CR996">
        <v>0</v>
      </c>
      <c r="CS996">
        <v>0</v>
      </c>
      <c r="CT996">
        <v>0</v>
      </c>
      <c r="CU996">
        <v>0</v>
      </c>
      <c r="CV996">
        <v>0</v>
      </c>
      <c r="CW996">
        <v>0</v>
      </c>
      <c r="CX996">
        <v>0</v>
      </c>
      <c r="CY996">
        <v>0</v>
      </c>
      <c r="CZ996">
        <v>0</v>
      </c>
      <c r="DA996">
        <v>0</v>
      </c>
      <c r="DB996">
        <v>0</v>
      </c>
      <c r="DC996">
        <v>0</v>
      </c>
      <c r="DD996">
        <v>0</v>
      </c>
      <c r="DE996">
        <v>0</v>
      </c>
      <c r="DF996">
        <v>0</v>
      </c>
      <c r="DG996" s="16">
        <f t="shared" si="82"/>
        <v>11</v>
      </c>
      <c r="DH996" s="16">
        <f t="shared" si="83"/>
        <v>467</v>
      </c>
      <c r="DI996" s="17">
        <f t="shared" si="84"/>
        <v>42.454545454545453</v>
      </c>
      <c r="DJ996" s="119" t="s">
        <v>4</v>
      </c>
      <c r="DK996" s="44" t="s">
        <v>4</v>
      </c>
    </row>
    <row r="997" spans="1:115" ht="15" customHeight="1">
      <c r="A997" s="32" t="str">
        <f t="shared" si="85"/>
        <v>SA Power--GROUND OUTDOOR / INDOOR CHAMBER MOUNTED ; ˂  22 KV ;  &gt; 60 KVA  AND &lt; ≈ 600 KVA ; SINGLE PHASE</v>
      </c>
      <c r="B997" s="32" t="str">
        <f t="shared" si="86"/>
        <v>SA Power</v>
      </c>
      <c r="C997" s="385"/>
      <c r="E997" t="s">
        <v>1273</v>
      </c>
      <c r="F997">
        <v>50</v>
      </c>
      <c r="G997">
        <v>7.0710678118654755</v>
      </c>
      <c r="H997">
        <v>0</v>
      </c>
      <c r="I997">
        <v>0</v>
      </c>
      <c r="J997">
        <v>0</v>
      </c>
      <c r="K997">
        <v>1</v>
      </c>
      <c r="L997">
        <v>2</v>
      </c>
      <c r="M997">
        <v>1</v>
      </c>
      <c r="N997">
        <v>2</v>
      </c>
      <c r="O997">
        <v>2</v>
      </c>
      <c r="P997">
        <v>1</v>
      </c>
      <c r="Q997">
        <v>1</v>
      </c>
      <c r="R997">
        <v>1</v>
      </c>
      <c r="S997">
        <v>2</v>
      </c>
      <c r="T997">
        <v>3</v>
      </c>
      <c r="U997">
        <v>5</v>
      </c>
      <c r="V997">
        <v>4</v>
      </c>
      <c r="W997">
        <v>4</v>
      </c>
      <c r="X997">
        <v>2</v>
      </c>
      <c r="Y997">
        <v>1</v>
      </c>
      <c r="Z997">
        <v>1</v>
      </c>
      <c r="AA997">
        <v>1</v>
      </c>
      <c r="AB997">
        <v>2</v>
      </c>
      <c r="AC997">
        <v>3</v>
      </c>
      <c r="AD997">
        <v>2</v>
      </c>
      <c r="AE997">
        <v>2</v>
      </c>
      <c r="AF997">
        <v>3</v>
      </c>
      <c r="AG997">
        <v>5</v>
      </c>
      <c r="AH997">
        <v>7</v>
      </c>
      <c r="AI997">
        <v>9</v>
      </c>
      <c r="AJ997">
        <v>9</v>
      </c>
      <c r="AK997">
        <v>7</v>
      </c>
      <c r="AL997">
        <v>15</v>
      </c>
      <c r="AM997">
        <v>17</v>
      </c>
      <c r="AN997">
        <v>8</v>
      </c>
      <c r="AO997">
        <v>4</v>
      </c>
      <c r="AP997">
        <v>2</v>
      </c>
      <c r="AQ997">
        <v>3</v>
      </c>
      <c r="AR997">
        <v>6</v>
      </c>
      <c r="AS997">
        <v>25</v>
      </c>
      <c r="AT997">
        <v>27</v>
      </c>
      <c r="AU997">
        <v>12</v>
      </c>
      <c r="AV997">
        <v>20</v>
      </c>
      <c r="AW997">
        <v>21</v>
      </c>
      <c r="AX997">
        <v>17</v>
      </c>
      <c r="AY997">
        <v>17</v>
      </c>
      <c r="AZ997">
        <v>17</v>
      </c>
      <c r="BA997">
        <v>17</v>
      </c>
      <c r="BB997">
        <v>14</v>
      </c>
      <c r="BC997">
        <v>14</v>
      </c>
      <c r="BD997">
        <v>10</v>
      </c>
      <c r="BE997">
        <v>5</v>
      </c>
      <c r="BF997">
        <v>4</v>
      </c>
      <c r="BG997">
        <v>3</v>
      </c>
      <c r="BH997">
        <v>5</v>
      </c>
      <c r="BI997">
        <v>4</v>
      </c>
      <c r="BJ997">
        <v>1</v>
      </c>
      <c r="BK997">
        <v>3</v>
      </c>
      <c r="BL997">
        <v>5</v>
      </c>
      <c r="BM997">
        <v>6</v>
      </c>
      <c r="BN997">
        <v>3</v>
      </c>
      <c r="BO997">
        <v>0</v>
      </c>
      <c r="BP997">
        <v>0</v>
      </c>
      <c r="BQ997">
        <v>0</v>
      </c>
      <c r="BR997">
        <v>1</v>
      </c>
      <c r="BS997">
        <v>1</v>
      </c>
      <c r="BT997">
        <v>0</v>
      </c>
      <c r="BU997">
        <v>0</v>
      </c>
      <c r="BV997">
        <v>0</v>
      </c>
      <c r="BW997">
        <v>0</v>
      </c>
      <c r="BX997">
        <v>0</v>
      </c>
      <c r="BY997">
        <v>0</v>
      </c>
      <c r="BZ997">
        <v>0</v>
      </c>
      <c r="CA997">
        <v>0</v>
      </c>
      <c r="CB997">
        <v>0</v>
      </c>
      <c r="CC997">
        <v>0</v>
      </c>
      <c r="CD997">
        <v>0</v>
      </c>
      <c r="CE997">
        <v>0</v>
      </c>
      <c r="CF997">
        <v>0</v>
      </c>
      <c r="CG997">
        <v>0</v>
      </c>
      <c r="CH997">
        <v>0</v>
      </c>
      <c r="CI997">
        <v>0</v>
      </c>
      <c r="CJ997">
        <v>0</v>
      </c>
      <c r="CK997">
        <v>0</v>
      </c>
      <c r="CL997">
        <v>0</v>
      </c>
      <c r="CM997">
        <v>0</v>
      </c>
      <c r="CN997">
        <v>0</v>
      </c>
      <c r="CO997">
        <v>0</v>
      </c>
      <c r="CP997">
        <v>0</v>
      </c>
      <c r="CQ997">
        <v>0</v>
      </c>
      <c r="CR997">
        <v>0</v>
      </c>
      <c r="CS997">
        <v>0</v>
      </c>
      <c r="CT997">
        <v>0</v>
      </c>
      <c r="CU997">
        <v>0</v>
      </c>
      <c r="CV997">
        <v>0</v>
      </c>
      <c r="CW997">
        <v>0</v>
      </c>
      <c r="CX997">
        <v>0</v>
      </c>
      <c r="CY997">
        <v>0</v>
      </c>
      <c r="CZ997">
        <v>0</v>
      </c>
      <c r="DA997">
        <v>0</v>
      </c>
      <c r="DB997">
        <v>0</v>
      </c>
      <c r="DC997">
        <v>0</v>
      </c>
      <c r="DD997">
        <v>0</v>
      </c>
      <c r="DE997">
        <v>0</v>
      </c>
      <c r="DF997">
        <v>0</v>
      </c>
      <c r="DG997" s="16">
        <f t="shared" si="82"/>
        <v>390</v>
      </c>
      <c r="DH997" s="16">
        <f t="shared" si="83"/>
        <v>14838</v>
      </c>
      <c r="DI997" s="17">
        <f t="shared" si="84"/>
        <v>38.04615384615385</v>
      </c>
      <c r="DJ997" s="119" t="s">
        <v>4</v>
      </c>
      <c r="DK997" s="44" t="s">
        <v>4</v>
      </c>
    </row>
    <row r="998" spans="1:115" ht="15" customHeight="1">
      <c r="A998" s="32" t="str">
        <f t="shared" si="85"/>
        <v>SA Power--GROUND OUTDOOR / INDOOR CHAMBER MOUNTED ; ˂  22 KV ;  &gt;  600 KVA ; SINGLE PHASE</v>
      </c>
      <c r="B998" s="32" t="str">
        <f t="shared" si="86"/>
        <v>SA Power</v>
      </c>
      <c r="C998" s="385"/>
      <c r="E998" t="s">
        <v>1274</v>
      </c>
      <c r="F998">
        <v>50</v>
      </c>
      <c r="G998">
        <v>7.0710678118654755</v>
      </c>
      <c r="H998">
        <v>0</v>
      </c>
      <c r="I998">
        <v>0</v>
      </c>
      <c r="J998">
        <v>0</v>
      </c>
      <c r="K998">
        <v>0</v>
      </c>
      <c r="L998">
        <v>0</v>
      </c>
      <c r="M998">
        <v>0</v>
      </c>
      <c r="N998">
        <v>0</v>
      </c>
      <c r="O998">
        <v>0</v>
      </c>
      <c r="P998">
        <v>0</v>
      </c>
      <c r="Q998">
        <v>1</v>
      </c>
      <c r="R998">
        <v>2</v>
      </c>
      <c r="S998">
        <v>2</v>
      </c>
      <c r="T998">
        <v>2</v>
      </c>
      <c r="U998">
        <v>1</v>
      </c>
      <c r="V998">
        <v>1</v>
      </c>
      <c r="W998">
        <v>2</v>
      </c>
      <c r="X998">
        <v>2</v>
      </c>
      <c r="Y998">
        <v>4</v>
      </c>
      <c r="Z998">
        <v>5</v>
      </c>
      <c r="AA998">
        <v>4</v>
      </c>
      <c r="AB998">
        <v>3</v>
      </c>
      <c r="AC998">
        <v>3</v>
      </c>
      <c r="AD998">
        <v>2</v>
      </c>
      <c r="AE998">
        <v>5</v>
      </c>
      <c r="AF998">
        <v>5</v>
      </c>
      <c r="AG998">
        <v>4</v>
      </c>
      <c r="AH998">
        <v>8</v>
      </c>
      <c r="AI998">
        <v>7</v>
      </c>
      <c r="AJ998">
        <v>6</v>
      </c>
      <c r="AK998">
        <v>7</v>
      </c>
      <c r="AL998">
        <v>9</v>
      </c>
      <c r="AM998">
        <v>9</v>
      </c>
      <c r="AN998">
        <v>8</v>
      </c>
      <c r="AO998">
        <v>7</v>
      </c>
      <c r="AP998">
        <v>3</v>
      </c>
      <c r="AQ998">
        <v>3</v>
      </c>
      <c r="AR998">
        <v>4</v>
      </c>
      <c r="AS998">
        <v>7</v>
      </c>
      <c r="AT998">
        <v>7</v>
      </c>
      <c r="AU998">
        <v>5</v>
      </c>
      <c r="AV998">
        <v>3</v>
      </c>
      <c r="AW998">
        <v>1</v>
      </c>
      <c r="AX998">
        <v>5</v>
      </c>
      <c r="AY998">
        <v>6</v>
      </c>
      <c r="AZ998">
        <v>4</v>
      </c>
      <c r="BA998">
        <v>5</v>
      </c>
      <c r="BB998">
        <v>4</v>
      </c>
      <c r="BC998">
        <v>2</v>
      </c>
      <c r="BD998">
        <v>0</v>
      </c>
      <c r="BE998">
        <v>0</v>
      </c>
      <c r="BF998">
        <v>7</v>
      </c>
      <c r="BG998">
        <v>8</v>
      </c>
      <c r="BH998">
        <v>2</v>
      </c>
      <c r="BI998">
        <v>2</v>
      </c>
      <c r="BJ998">
        <v>0</v>
      </c>
      <c r="BK998">
        <v>0</v>
      </c>
      <c r="BL998">
        <v>2</v>
      </c>
      <c r="BM998">
        <v>2</v>
      </c>
      <c r="BN998">
        <v>0</v>
      </c>
      <c r="BO998">
        <v>0</v>
      </c>
      <c r="BP998">
        <v>1</v>
      </c>
      <c r="BQ998">
        <v>1</v>
      </c>
      <c r="BR998">
        <v>2</v>
      </c>
      <c r="BS998">
        <v>2</v>
      </c>
      <c r="BT998">
        <v>0</v>
      </c>
      <c r="BU998">
        <v>0</v>
      </c>
      <c r="BV998">
        <v>0</v>
      </c>
      <c r="BW998">
        <v>0</v>
      </c>
      <c r="BX998">
        <v>0</v>
      </c>
      <c r="BY998">
        <v>0</v>
      </c>
      <c r="BZ998">
        <v>0</v>
      </c>
      <c r="CA998">
        <v>0</v>
      </c>
      <c r="CB998">
        <v>0</v>
      </c>
      <c r="CC998">
        <v>0</v>
      </c>
      <c r="CD998">
        <v>0</v>
      </c>
      <c r="CE998">
        <v>0</v>
      </c>
      <c r="CF998">
        <v>0</v>
      </c>
      <c r="CG998">
        <v>0</v>
      </c>
      <c r="CH998">
        <v>0</v>
      </c>
      <c r="CI998">
        <v>0</v>
      </c>
      <c r="CJ998">
        <v>0</v>
      </c>
      <c r="CK998">
        <v>0</v>
      </c>
      <c r="CL998">
        <v>0</v>
      </c>
      <c r="CM998">
        <v>0</v>
      </c>
      <c r="CN998">
        <v>0</v>
      </c>
      <c r="CO998">
        <v>0</v>
      </c>
      <c r="CP998">
        <v>0</v>
      </c>
      <c r="CQ998">
        <v>0</v>
      </c>
      <c r="CR998">
        <v>0</v>
      </c>
      <c r="CS998">
        <v>0</v>
      </c>
      <c r="CT998">
        <v>0</v>
      </c>
      <c r="CU998">
        <v>0</v>
      </c>
      <c r="CV998">
        <v>0</v>
      </c>
      <c r="CW998">
        <v>0</v>
      </c>
      <c r="CX998">
        <v>0</v>
      </c>
      <c r="CY998">
        <v>0</v>
      </c>
      <c r="CZ998">
        <v>0</v>
      </c>
      <c r="DA998">
        <v>0</v>
      </c>
      <c r="DB998">
        <v>0</v>
      </c>
      <c r="DC998">
        <v>0</v>
      </c>
      <c r="DD998">
        <v>0</v>
      </c>
      <c r="DE998">
        <v>0</v>
      </c>
      <c r="DF998">
        <v>0</v>
      </c>
      <c r="DG998" s="16">
        <f t="shared" si="82"/>
        <v>197</v>
      </c>
      <c r="DH998" s="16">
        <f t="shared" si="83"/>
        <v>6845</v>
      </c>
      <c r="DI998" s="17">
        <f t="shared" si="84"/>
        <v>34.746192893401016</v>
      </c>
      <c r="DJ998" s="119" t="s">
        <v>4</v>
      </c>
      <c r="DK998" s="44" t="s">
        <v>4</v>
      </c>
    </row>
    <row r="999" spans="1:115" ht="15" customHeight="1">
      <c r="A999" s="32" t="str">
        <f t="shared" si="85"/>
        <v>SA Power--GROUND OUTDOOR / INDOOR CHAMBER MOUNTED ; ˂  22 KV ;  &lt; ≈ 60 KVA ; MULTIPLE PHASE</v>
      </c>
      <c r="B999" s="32" t="str">
        <f t="shared" si="86"/>
        <v>SA Power</v>
      </c>
      <c r="C999" s="385"/>
      <c r="E999" t="s">
        <v>1275</v>
      </c>
      <c r="F999">
        <v>50</v>
      </c>
      <c r="G999">
        <v>7.0710678118654755</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v>0</v>
      </c>
      <c r="AI999">
        <v>0</v>
      </c>
      <c r="AJ999">
        <v>0</v>
      </c>
      <c r="AK999">
        <v>0</v>
      </c>
      <c r="AL999">
        <v>0</v>
      </c>
      <c r="AM999">
        <v>0</v>
      </c>
      <c r="AN999">
        <v>0</v>
      </c>
      <c r="AO999">
        <v>0</v>
      </c>
      <c r="AP999">
        <v>0</v>
      </c>
      <c r="AQ999">
        <v>0</v>
      </c>
      <c r="AR999">
        <v>0</v>
      </c>
      <c r="AS999">
        <v>0</v>
      </c>
      <c r="AT999">
        <v>0</v>
      </c>
      <c r="AU999">
        <v>0</v>
      </c>
      <c r="AV999">
        <v>0</v>
      </c>
      <c r="AW999">
        <v>0</v>
      </c>
      <c r="AX999">
        <v>0</v>
      </c>
      <c r="AY999">
        <v>0</v>
      </c>
      <c r="AZ999">
        <v>0</v>
      </c>
      <c r="BA999">
        <v>0</v>
      </c>
      <c r="BB999">
        <v>0</v>
      </c>
      <c r="BC999">
        <v>0</v>
      </c>
      <c r="BD999">
        <v>0</v>
      </c>
      <c r="BE999">
        <v>0</v>
      </c>
      <c r="BF999">
        <v>0</v>
      </c>
      <c r="BG999">
        <v>0</v>
      </c>
      <c r="BH999">
        <v>0</v>
      </c>
      <c r="BI999">
        <v>0</v>
      </c>
      <c r="BJ999">
        <v>0</v>
      </c>
      <c r="BK999">
        <v>0</v>
      </c>
      <c r="BL999">
        <v>0</v>
      </c>
      <c r="BM999">
        <v>0</v>
      </c>
      <c r="BN999">
        <v>0</v>
      </c>
      <c r="BO999">
        <v>0</v>
      </c>
      <c r="BP999">
        <v>0</v>
      </c>
      <c r="BQ999">
        <v>0</v>
      </c>
      <c r="BR999">
        <v>0</v>
      </c>
      <c r="BS999">
        <v>0</v>
      </c>
      <c r="BT999">
        <v>0</v>
      </c>
      <c r="BU999">
        <v>0</v>
      </c>
      <c r="BV999">
        <v>0</v>
      </c>
      <c r="BW999">
        <v>0</v>
      </c>
      <c r="BX999">
        <v>0</v>
      </c>
      <c r="BY999">
        <v>0</v>
      </c>
      <c r="BZ999">
        <v>0</v>
      </c>
      <c r="CA999">
        <v>0</v>
      </c>
      <c r="CB999">
        <v>0</v>
      </c>
      <c r="CC999">
        <v>0</v>
      </c>
      <c r="CD999">
        <v>0</v>
      </c>
      <c r="CE999">
        <v>0</v>
      </c>
      <c r="CF999">
        <v>0</v>
      </c>
      <c r="CG999">
        <v>0</v>
      </c>
      <c r="CH999">
        <v>0</v>
      </c>
      <c r="CI999">
        <v>0</v>
      </c>
      <c r="CJ999">
        <v>0</v>
      </c>
      <c r="CK999">
        <v>0</v>
      </c>
      <c r="CL999">
        <v>0</v>
      </c>
      <c r="CM999">
        <v>0</v>
      </c>
      <c r="CN999">
        <v>0</v>
      </c>
      <c r="CO999">
        <v>0</v>
      </c>
      <c r="CP999">
        <v>0</v>
      </c>
      <c r="CQ999">
        <v>0</v>
      </c>
      <c r="CR999">
        <v>0</v>
      </c>
      <c r="CS999">
        <v>0</v>
      </c>
      <c r="CT999">
        <v>0</v>
      </c>
      <c r="CU999">
        <v>0</v>
      </c>
      <c r="CV999">
        <v>0</v>
      </c>
      <c r="CW999">
        <v>0</v>
      </c>
      <c r="CX999">
        <v>0</v>
      </c>
      <c r="CY999">
        <v>0</v>
      </c>
      <c r="CZ999">
        <v>0</v>
      </c>
      <c r="DA999">
        <v>0</v>
      </c>
      <c r="DB999">
        <v>0</v>
      </c>
      <c r="DC999">
        <v>0</v>
      </c>
      <c r="DD999">
        <v>0</v>
      </c>
      <c r="DE999">
        <v>0</v>
      </c>
      <c r="DF999">
        <v>0</v>
      </c>
      <c r="DG999" s="16">
        <f t="shared" si="82"/>
        <v>0</v>
      </c>
      <c r="DH999" s="16">
        <f t="shared" si="83"/>
        <v>0</v>
      </c>
      <c r="DI999" s="17" t="str">
        <f t="shared" si="84"/>
        <v/>
      </c>
      <c r="DJ999" s="119" t="s">
        <v>4</v>
      </c>
      <c r="DK999" s="44" t="s">
        <v>4</v>
      </c>
    </row>
    <row r="1000" spans="1:115" ht="15" customHeight="1">
      <c r="A1000" s="32" t="str">
        <f t="shared" si="85"/>
        <v>SA Power--GROUND OUTDOOR / INDOOR CHAMBER MOUNTED ; ˂  22 KV ;  &gt; 60 KVA  AND &lt; ≈ 600 KVA ; MULTIPLE PHASE</v>
      </c>
      <c r="B1000" s="32" t="str">
        <f t="shared" si="86"/>
        <v>SA Power</v>
      </c>
      <c r="C1000" s="385"/>
      <c r="E1000" t="s">
        <v>1276</v>
      </c>
      <c r="F1000">
        <v>64</v>
      </c>
      <c r="G1000">
        <v>8</v>
      </c>
      <c r="H1000">
        <v>0</v>
      </c>
      <c r="I1000">
        <v>0</v>
      </c>
      <c r="J1000">
        <v>0</v>
      </c>
      <c r="K1000">
        <v>0</v>
      </c>
      <c r="L1000">
        <v>0</v>
      </c>
      <c r="M1000">
        <v>1</v>
      </c>
      <c r="N1000">
        <v>1</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v>0</v>
      </c>
      <c r="AI1000">
        <v>0</v>
      </c>
      <c r="AJ1000">
        <v>0</v>
      </c>
      <c r="AK1000">
        <v>0</v>
      </c>
      <c r="AL1000">
        <v>0</v>
      </c>
      <c r="AM1000">
        <v>0</v>
      </c>
      <c r="AN1000">
        <v>0</v>
      </c>
      <c r="AO1000">
        <v>0</v>
      </c>
      <c r="AP1000">
        <v>0</v>
      </c>
      <c r="AQ1000">
        <v>0</v>
      </c>
      <c r="AR1000">
        <v>0</v>
      </c>
      <c r="AS1000">
        <v>0</v>
      </c>
      <c r="AT1000">
        <v>0</v>
      </c>
      <c r="AU1000">
        <v>0</v>
      </c>
      <c r="AV1000">
        <v>0</v>
      </c>
      <c r="AW1000">
        <v>0</v>
      </c>
      <c r="AX1000">
        <v>0</v>
      </c>
      <c r="AY1000">
        <v>0</v>
      </c>
      <c r="AZ1000">
        <v>1</v>
      </c>
      <c r="BA1000">
        <v>0</v>
      </c>
      <c r="BB1000">
        <v>0</v>
      </c>
      <c r="BC1000">
        <v>0</v>
      </c>
      <c r="BD1000">
        <v>0</v>
      </c>
      <c r="BE1000">
        <v>0</v>
      </c>
      <c r="BF1000">
        <v>0</v>
      </c>
      <c r="BG1000">
        <v>0</v>
      </c>
      <c r="BH1000">
        <v>0</v>
      </c>
      <c r="BI1000">
        <v>1</v>
      </c>
      <c r="BJ1000">
        <v>0</v>
      </c>
      <c r="BK1000">
        <v>0</v>
      </c>
      <c r="BL1000">
        <v>0</v>
      </c>
      <c r="BM1000">
        <v>0</v>
      </c>
      <c r="BN1000">
        <v>0</v>
      </c>
      <c r="BO1000">
        <v>0</v>
      </c>
      <c r="BP1000">
        <v>1</v>
      </c>
      <c r="BQ1000">
        <v>1</v>
      </c>
      <c r="BR1000">
        <v>0</v>
      </c>
      <c r="BS1000">
        <v>0</v>
      </c>
      <c r="BT1000">
        <v>0</v>
      </c>
      <c r="BU1000">
        <v>0</v>
      </c>
      <c r="BV1000">
        <v>0</v>
      </c>
      <c r="BW1000">
        <v>0</v>
      </c>
      <c r="BX1000">
        <v>0</v>
      </c>
      <c r="BY1000">
        <v>0</v>
      </c>
      <c r="BZ1000">
        <v>0</v>
      </c>
      <c r="CA1000">
        <v>0</v>
      </c>
      <c r="CB1000">
        <v>0</v>
      </c>
      <c r="CC1000">
        <v>0</v>
      </c>
      <c r="CD1000">
        <v>0</v>
      </c>
      <c r="CE1000">
        <v>0</v>
      </c>
      <c r="CF1000">
        <v>0</v>
      </c>
      <c r="CG1000">
        <v>0</v>
      </c>
      <c r="CH1000">
        <v>0</v>
      </c>
      <c r="CI1000">
        <v>0</v>
      </c>
      <c r="CJ1000">
        <v>0</v>
      </c>
      <c r="CK1000">
        <v>0</v>
      </c>
      <c r="CL1000">
        <v>0</v>
      </c>
      <c r="CM1000">
        <v>0</v>
      </c>
      <c r="CN1000">
        <v>0</v>
      </c>
      <c r="CO1000">
        <v>0</v>
      </c>
      <c r="CP1000">
        <v>0</v>
      </c>
      <c r="CQ1000">
        <v>0</v>
      </c>
      <c r="CR1000">
        <v>0</v>
      </c>
      <c r="CS1000">
        <v>0</v>
      </c>
      <c r="CT1000">
        <v>0</v>
      </c>
      <c r="CU1000">
        <v>0</v>
      </c>
      <c r="CV1000">
        <v>0</v>
      </c>
      <c r="CW1000">
        <v>0</v>
      </c>
      <c r="CX1000">
        <v>0</v>
      </c>
      <c r="CY1000">
        <v>0</v>
      </c>
      <c r="CZ1000">
        <v>0</v>
      </c>
      <c r="DA1000">
        <v>0</v>
      </c>
      <c r="DB1000">
        <v>0</v>
      </c>
      <c r="DC1000">
        <v>0</v>
      </c>
      <c r="DD1000">
        <v>0</v>
      </c>
      <c r="DE1000">
        <v>0</v>
      </c>
      <c r="DF1000">
        <v>0</v>
      </c>
      <c r="DG1000" s="16">
        <f t="shared" si="82"/>
        <v>6</v>
      </c>
      <c r="DH1000" s="16">
        <f t="shared" si="83"/>
        <v>235</v>
      </c>
      <c r="DI1000" s="17">
        <f t="shared" si="84"/>
        <v>39.166666666666664</v>
      </c>
      <c r="DJ1000" s="119" t="s">
        <v>4</v>
      </c>
      <c r="DK1000" s="44" t="s">
        <v>4</v>
      </c>
    </row>
    <row r="1001" spans="1:115" ht="15" customHeight="1">
      <c r="A1001" s="32" t="str">
        <f t="shared" si="85"/>
        <v>SA Power--GROUND OUTDOOR / INDOOR CHAMBER MOUNTED ; ˂  22 KV ;  &gt;  600 KVA ; MULTIPLE PHASE</v>
      </c>
      <c r="B1001" s="32" t="str">
        <f t="shared" si="86"/>
        <v>SA Power</v>
      </c>
      <c r="C1001" s="385"/>
      <c r="E1001" t="s">
        <v>1277</v>
      </c>
      <c r="F1001">
        <v>64</v>
      </c>
      <c r="G1001">
        <v>8</v>
      </c>
      <c r="H1001">
        <v>0</v>
      </c>
      <c r="I1001">
        <v>0</v>
      </c>
      <c r="J1001">
        <v>0</v>
      </c>
      <c r="K1001">
        <v>0</v>
      </c>
      <c r="L1001">
        <v>0</v>
      </c>
      <c r="M1001">
        <v>0</v>
      </c>
      <c r="N1001">
        <v>3</v>
      </c>
      <c r="O1001">
        <v>0</v>
      </c>
      <c r="P1001">
        <v>0</v>
      </c>
      <c r="Q1001">
        <v>0</v>
      </c>
      <c r="R1001">
        <v>0</v>
      </c>
      <c r="S1001">
        <v>0</v>
      </c>
      <c r="T1001">
        <v>0</v>
      </c>
      <c r="U1001">
        <v>2</v>
      </c>
      <c r="V1001">
        <v>0</v>
      </c>
      <c r="W1001">
        <v>0</v>
      </c>
      <c r="X1001">
        <v>0</v>
      </c>
      <c r="Y1001">
        <v>0</v>
      </c>
      <c r="Z1001">
        <v>0</v>
      </c>
      <c r="AA1001">
        <v>0</v>
      </c>
      <c r="AB1001">
        <v>0</v>
      </c>
      <c r="AC1001">
        <v>2</v>
      </c>
      <c r="AD1001">
        <v>0</v>
      </c>
      <c r="AE1001">
        <v>0</v>
      </c>
      <c r="AF1001">
        <v>4</v>
      </c>
      <c r="AG1001">
        <v>2</v>
      </c>
      <c r="AH1001">
        <v>0</v>
      </c>
      <c r="AI1001">
        <v>8</v>
      </c>
      <c r="AJ1001">
        <v>0</v>
      </c>
      <c r="AK1001">
        <v>5</v>
      </c>
      <c r="AL1001">
        <v>1</v>
      </c>
      <c r="AM1001">
        <v>2</v>
      </c>
      <c r="AN1001">
        <v>2</v>
      </c>
      <c r="AO1001">
        <v>3</v>
      </c>
      <c r="AP1001">
        <v>4</v>
      </c>
      <c r="AQ1001">
        <v>4</v>
      </c>
      <c r="AR1001">
        <v>1</v>
      </c>
      <c r="AS1001">
        <v>2</v>
      </c>
      <c r="AT1001">
        <v>2</v>
      </c>
      <c r="AU1001">
        <v>1</v>
      </c>
      <c r="AV1001">
        <v>1</v>
      </c>
      <c r="AW1001">
        <v>11</v>
      </c>
      <c r="AX1001">
        <v>5</v>
      </c>
      <c r="AY1001">
        <v>2</v>
      </c>
      <c r="AZ1001">
        <v>1</v>
      </c>
      <c r="BA1001">
        <v>5</v>
      </c>
      <c r="BB1001">
        <v>4</v>
      </c>
      <c r="BC1001">
        <v>2</v>
      </c>
      <c r="BD1001">
        <v>7</v>
      </c>
      <c r="BE1001">
        <v>1</v>
      </c>
      <c r="BF1001">
        <v>0</v>
      </c>
      <c r="BG1001">
        <v>1</v>
      </c>
      <c r="BH1001">
        <v>1</v>
      </c>
      <c r="BI1001">
        <v>2</v>
      </c>
      <c r="BJ1001">
        <v>0</v>
      </c>
      <c r="BK1001">
        <v>0</v>
      </c>
      <c r="BL1001">
        <v>0</v>
      </c>
      <c r="BM1001">
        <v>0</v>
      </c>
      <c r="BN1001">
        <v>0</v>
      </c>
      <c r="BO1001">
        <v>0</v>
      </c>
      <c r="BP1001">
        <v>0</v>
      </c>
      <c r="BQ1001">
        <v>0</v>
      </c>
      <c r="BR1001">
        <v>0</v>
      </c>
      <c r="BS1001">
        <v>0</v>
      </c>
      <c r="BT1001">
        <v>0</v>
      </c>
      <c r="BU1001">
        <v>0</v>
      </c>
      <c r="BV1001">
        <v>1</v>
      </c>
      <c r="BW1001">
        <v>0</v>
      </c>
      <c r="BX1001">
        <v>0</v>
      </c>
      <c r="BY1001">
        <v>0</v>
      </c>
      <c r="BZ1001">
        <v>0</v>
      </c>
      <c r="CA1001">
        <v>0</v>
      </c>
      <c r="CB1001">
        <v>0</v>
      </c>
      <c r="CC1001">
        <v>0</v>
      </c>
      <c r="CD1001">
        <v>0</v>
      </c>
      <c r="CE1001">
        <v>0</v>
      </c>
      <c r="CF1001">
        <v>0</v>
      </c>
      <c r="CG1001">
        <v>0</v>
      </c>
      <c r="CH1001">
        <v>0</v>
      </c>
      <c r="CI1001">
        <v>0</v>
      </c>
      <c r="CJ1001">
        <v>0</v>
      </c>
      <c r="CK1001">
        <v>0</v>
      </c>
      <c r="CL1001">
        <v>0</v>
      </c>
      <c r="CM1001">
        <v>0</v>
      </c>
      <c r="CN1001">
        <v>0</v>
      </c>
      <c r="CO1001">
        <v>0</v>
      </c>
      <c r="CP1001">
        <v>0</v>
      </c>
      <c r="CQ1001">
        <v>0</v>
      </c>
      <c r="CR1001">
        <v>0</v>
      </c>
      <c r="CS1001">
        <v>0</v>
      </c>
      <c r="CT1001">
        <v>0</v>
      </c>
      <c r="CU1001">
        <v>0</v>
      </c>
      <c r="CV1001">
        <v>0</v>
      </c>
      <c r="CW1001">
        <v>0</v>
      </c>
      <c r="CX1001">
        <v>0</v>
      </c>
      <c r="CY1001">
        <v>0</v>
      </c>
      <c r="CZ1001">
        <v>0</v>
      </c>
      <c r="DA1001">
        <v>0</v>
      </c>
      <c r="DB1001">
        <v>0</v>
      </c>
      <c r="DC1001">
        <v>0</v>
      </c>
      <c r="DD1001">
        <v>0</v>
      </c>
      <c r="DE1001">
        <v>0</v>
      </c>
      <c r="DF1001">
        <v>0</v>
      </c>
      <c r="DG1001" s="16">
        <f t="shared" si="82"/>
        <v>92</v>
      </c>
      <c r="DH1001" s="16">
        <f t="shared" si="83"/>
        <v>3435</v>
      </c>
      <c r="DI1001" s="17">
        <f t="shared" si="84"/>
        <v>37.336956521739133</v>
      </c>
      <c r="DJ1001" s="119" t="s">
        <v>4</v>
      </c>
      <c r="DK1001" s="44" t="s">
        <v>4</v>
      </c>
    </row>
    <row r="1002" spans="1:115" ht="15" customHeight="1">
      <c r="A1002" s="32" t="str">
        <f t="shared" si="85"/>
        <v>SA Power--GROUND OUTDOOR / INDOOR CHAMBER MOUNTED ; &gt; ≈ 22 KV &amp; &lt; ≈ 33 KV ;  &lt; ≈ 15 MVA</v>
      </c>
      <c r="B1002" s="32" t="str">
        <f t="shared" si="86"/>
        <v>SA Power</v>
      </c>
      <c r="C1002" s="385"/>
      <c r="E1002" t="s">
        <v>1278</v>
      </c>
      <c r="F1002">
        <v>64</v>
      </c>
      <c r="G1002">
        <v>8</v>
      </c>
      <c r="H1002">
        <v>5</v>
      </c>
      <c r="I1002">
        <v>9</v>
      </c>
      <c r="J1002">
        <v>6</v>
      </c>
      <c r="K1002">
        <v>7</v>
      </c>
      <c r="L1002">
        <v>4</v>
      </c>
      <c r="M1002">
        <v>3</v>
      </c>
      <c r="N1002">
        <v>5</v>
      </c>
      <c r="O1002">
        <v>2</v>
      </c>
      <c r="P1002">
        <v>3</v>
      </c>
      <c r="Q1002">
        <v>6</v>
      </c>
      <c r="R1002">
        <v>4</v>
      </c>
      <c r="S1002">
        <v>11</v>
      </c>
      <c r="T1002">
        <v>14</v>
      </c>
      <c r="U1002">
        <v>7</v>
      </c>
      <c r="V1002">
        <v>3</v>
      </c>
      <c r="W1002">
        <v>6</v>
      </c>
      <c r="X1002">
        <v>3</v>
      </c>
      <c r="Y1002">
        <v>5</v>
      </c>
      <c r="Z1002">
        <v>2</v>
      </c>
      <c r="AA1002">
        <v>2</v>
      </c>
      <c r="AB1002">
        <v>1</v>
      </c>
      <c r="AC1002">
        <v>16</v>
      </c>
      <c r="AD1002">
        <v>5</v>
      </c>
      <c r="AE1002">
        <v>5</v>
      </c>
      <c r="AF1002">
        <v>11</v>
      </c>
      <c r="AG1002">
        <v>38</v>
      </c>
      <c r="AH1002">
        <v>4</v>
      </c>
      <c r="AI1002">
        <v>10</v>
      </c>
      <c r="AJ1002">
        <v>1</v>
      </c>
      <c r="AK1002">
        <v>11</v>
      </c>
      <c r="AL1002">
        <v>20</v>
      </c>
      <c r="AM1002">
        <v>2</v>
      </c>
      <c r="AN1002">
        <v>4</v>
      </c>
      <c r="AO1002">
        <v>5</v>
      </c>
      <c r="AP1002">
        <v>5</v>
      </c>
      <c r="AQ1002">
        <v>2</v>
      </c>
      <c r="AR1002">
        <v>8</v>
      </c>
      <c r="AS1002">
        <v>9</v>
      </c>
      <c r="AT1002">
        <v>15</v>
      </c>
      <c r="AU1002">
        <v>2</v>
      </c>
      <c r="AV1002">
        <v>4</v>
      </c>
      <c r="AW1002">
        <v>1</v>
      </c>
      <c r="AX1002">
        <v>5</v>
      </c>
      <c r="AY1002">
        <v>21</v>
      </c>
      <c r="AZ1002">
        <v>4</v>
      </c>
      <c r="BA1002">
        <v>1</v>
      </c>
      <c r="BB1002">
        <v>17</v>
      </c>
      <c r="BC1002">
        <v>14</v>
      </c>
      <c r="BD1002">
        <v>1</v>
      </c>
      <c r="BE1002">
        <v>7</v>
      </c>
      <c r="BF1002">
        <v>9</v>
      </c>
      <c r="BG1002">
        <v>9</v>
      </c>
      <c r="BH1002">
        <v>3</v>
      </c>
      <c r="BI1002">
        <v>1</v>
      </c>
      <c r="BJ1002">
        <v>5</v>
      </c>
      <c r="BK1002">
        <v>7</v>
      </c>
      <c r="BL1002">
        <v>16</v>
      </c>
      <c r="BM1002">
        <v>13</v>
      </c>
      <c r="BN1002">
        <v>8</v>
      </c>
      <c r="BO1002">
        <v>3</v>
      </c>
      <c r="BP1002">
        <v>3</v>
      </c>
      <c r="BQ1002">
        <v>6</v>
      </c>
      <c r="BR1002">
        <v>1</v>
      </c>
      <c r="BS1002">
        <v>2</v>
      </c>
      <c r="BT1002">
        <v>0</v>
      </c>
      <c r="BU1002">
        <v>2</v>
      </c>
      <c r="BV1002">
        <v>0</v>
      </c>
      <c r="BW1002">
        <v>0</v>
      </c>
      <c r="BX1002">
        <v>0</v>
      </c>
      <c r="BY1002">
        <v>0</v>
      </c>
      <c r="BZ1002">
        <v>0</v>
      </c>
      <c r="CA1002">
        <v>0</v>
      </c>
      <c r="CB1002">
        <v>0</v>
      </c>
      <c r="CC1002">
        <v>0</v>
      </c>
      <c r="CD1002">
        <v>0</v>
      </c>
      <c r="CE1002">
        <v>0</v>
      </c>
      <c r="CF1002">
        <v>0</v>
      </c>
      <c r="CG1002">
        <v>0</v>
      </c>
      <c r="CH1002">
        <v>0</v>
      </c>
      <c r="CI1002">
        <v>0</v>
      </c>
      <c r="CJ1002">
        <v>0</v>
      </c>
      <c r="CK1002">
        <v>0</v>
      </c>
      <c r="CL1002">
        <v>0</v>
      </c>
      <c r="CM1002">
        <v>0</v>
      </c>
      <c r="CN1002">
        <v>0</v>
      </c>
      <c r="CO1002">
        <v>0</v>
      </c>
      <c r="CP1002">
        <v>0</v>
      </c>
      <c r="CQ1002">
        <v>0</v>
      </c>
      <c r="CR1002">
        <v>0</v>
      </c>
      <c r="CS1002">
        <v>0</v>
      </c>
      <c r="CT1002">
        <v>0</v>
      </c>
      <c r="CU1002">
        <v>0</v>
      </c>
      <c r="CV1002">
        <v>0</v>
      </c>
      <c r="CW1002">
        <v>0</v>
      </c>
      <c r="CX1002">
        <v>0</v>
      </c>
      <c r="CY1002">
        <v>0</v>
      </c>
      <c r="CZ1002">
        <v>0</v>
      </c>
      <c r="DA1002">
        <v>0</v>
      </c>
      <c r="DB1002">
        <v>0</v>
      </c>
      <c r="DC1002">
        <v>0</v>
      </c>
      <c r="DD1002">
        <v>0</v>
      </c>
      <c r="DE1002">
        <v>0</v>
      </c>
      <c r="DF1002">
        <v>0</v>
      </c>
      <c r="DG1002" s="16">
        <f t="shared" si="82"/>
        <v>444</v>
      </c>
      <c r="DH1002" s="16">
        <f t="shared" si="83"/>
        <v>14659</v>
      </c>
      <c r="DI1002" s="17">
        <f t="shared" si="84"/>
        <v>33.015765765765764</v>
      </c>
      <c r="DJ1002" s="119" t="s">
        <v>4</v>
      </c>
      <c r="DK1002" s="119" t="s">
        <v>1530</v>
      </c>
    </row>
    <row r="1003" spans="1:115" ht="15" customHeight="1">
      <c r="A1003" s="32" t="str">
        <f t="shared" si="85"/>
        <v>SA Power--GROUND OUTDOOR / INDOOR CHAMBER MOUNTED ; &gt; ≈ 22 KV &amp; &lt; ≈ 33 KV ;  &gt; 15 MVA AND &lt; ≈ 40 MVA</v>
      </c>
      <c r="B1003" s="32" t="str">
        <f t="shared" si="86"/>
        <v>SA Power</v>
      </c>
      <c r="C1003" s="385"/>
      <c r="E1003" t="s">
        <v>1279</v>
      </c>
      <c r="F1003">
        <v>64</v>
      </c>
      <c r="G1003">
        <v>8</v>
      </c>
      <c r="H1003">
        <v>0</v>
      </c>
      <c r="I1003">
        <v>0</v>
      </c>
      <c r="J1003">
        <v>0</v>
      </c>
      <c r="K1003">
        <v>0</v>
      </c>
      <c r="L1003">
        <v>0</v>
      </c>
      <c r="M1003">
        <v>0</v>
      </c>
      <c r="N1003">
        <v>0</v>
      </c>
      <c r="O1003">
        <v>1</v>
      </c>
      <c r="P1003">
        <v>0</v>
      </c>
      <c r="Q1003">
        <v>3</v>
      </c>
      <c r="R1003">
        <v>0</v>
      </c>
      <c r="S1003">
        <v>1</v>
      </c>
      <c r="T1003">
        <v>0</v>
      </c>
      <c r="U1003">
        <v>0</v>
      </c>
      <c r="V1003">
        <v>0</v>
      </c>
      <c r="W1003">
        <v>0</v>
      </c>
      <c r="X1003">
        <v>0</v>
      </c>
      <c r="Y1003">
        <v>0</v>
      </c>
      <c r="Z1003">
        <v>0</v>
      </c>
      <c r="AA1003">
        <v>0</v>
      </c>
      <c r="AB1003">
        <v>0</v>
      </c>
      <c r="AC1003">
        <v>0</v>
      </c>
      <c r="AD1003">
        <v>0</v>
      </c>
      <c r="AE1003">
        <v>0</v>
      </c>
      <c r="AF1003">
        <v>0</v>
      </c>
      <c r="AG1003">
        <v>1</v>
      </c>
      <c r="AH1003">
        <v>0</v>
      </c>
      <c r="AI1003">
        <v>0</v>
      </c>
      <c r="AJ1003">
        <v>0</v>
      </c>
      <c r="AK1003">
        <v>0</v>
      </c>
      <c r="AL1003">
        <v>1</v>
      </c>
      <c r="AM1003">
        <v>0</v>
      </c>
      <c r="AN1003">
        <v>0</v>
      </c>
      <c r="AO1003">
        <v>0</v>
      </c>
      <c r="AP1003">
        <v>0</v>
      </c>
      <c r="AQ1003">
        <v>0</v>
      </c>
      <c r="AR1003">
        <v>0</v>
      </c>
      <c r="AS1003">
        <v>0</v>
      </c>
      <c r="AT1003">
        <v>0</v>
      </c>
      <c r="AU1003">
        <v>0</v>
      </c>
      <c r="AV1003">
        <v>0</v>
      </c>
      <c r="AW1003">
        <v>0</v>
      </c>
      <c r="AX1003">
        <v>0</v>
      </c>
      <c r="AY1003">
        <v>0</v>
      </c>
      <c r="AZ1003">
        <v>0</v>
      </c>
      <c r="BA1003">
        <v>0</v>
      </c>
      <c r="BB1003">
        <v>0</v>
      </c>
      <c r="BC1003">
        <v>0</v>
      </c>
      <c r="BD1003">
        <v>0</v>
      </c>
      <c r="BE1003">
        <v>0</v>
      </c>
      <c r="BF1003">
        <v>0</v>
      </c>
      <c r="BG1003">
        <v>0</v>
      </c>
      <c r="BH1003">
        <v>0</v>
      </c>
      <c r="BI1003">
        <v>0</v>
      </c>
      <c r="BJ1003">
        <v>0</v>
      </c>
      <c r="BK1003">
        <v>0</v>
      </c>
      <c r="BL1003">
        <v>0</v>
      </c>
      <c r="BM1003">
        <v>0</v>
      </c>
      <c r="BN1003">
        <v>0</v>
      </c>
      <c r="BO1003">
        <v>0</v>
      </c>
      <c r="BP1003">
        <v>0</v>
      </c>
      <c r="BQ1003">
        <v>0</v>
      </c>
      <c r="BR1003">
        <v>0</v>
      </c>
      <c r="BS1003">
        <v>0</v>
      </c>
      <c r="BT1003">
        <v>0</v>
      </c>
      <c r="BU1003">
        <v>0</v>
      </c>
      <c r="BV1003">
        <v>0</v>
      </c>
      <c r="BW1003">
        <v>0</v>
      </c>
      <c r="BX1003">
        <v>0</v>
      </c>
      <c r="BY1003">
        <v>0</v>
      </c>
      <c r="BZ1003">
        <v>0</v>
      </c>
      <c r="CA1003">
        <v>0</v>
      </c>
      <c r="CB1003">
        <v>0</v>
      </c>
      <c r="CC1003">
        <v>0</v>
      </c>
      <c r="CD1003">
        <v>0</v>
      </c>
      <c r="CE1003">
        <v>0</v>
      </c>
      <c r="CF1003">
        <v>0</v>
      </c>
      <c r="CG1003">
        <v>0</v>
      </c>
      <c r="CH1003">
        <v>0</v>
      </c>
      <c r="CI1003">
        <v>0</v>
      </c>
      <c r="CJ1003">
        <v>0</v>
      </c>
      <c r="CK1003">
        <v>0</v>
      </c>
      <c r="CL1003">
        <v>0</v>
      </c>
      <c r="CM1003">
        <v>0</v>
      </c>
      <c r="CN1003">
        <v>0</v>
      </c>
      <c r="CO1003">
        <v>0</v>
      </c>
      <c r="CP1003">
        <v>0</v>
      </c>
      <c r="CQ1003">
        <v>0</v>
      </c>
      <c r="CR1003">
        <v>0</v>
      </c>
      <c r="CS1003">
        <v>0</v>
      </c>
      <c r="CT1003">
        <v>0</v>
      </c>
      <c r="CU1003">
        <v>0</v>
      </c>
      <c r="CV1003">
        <v>0</v>
      </c>
      <c r="CW1003">
        <v>0</v>
      </c>
      <c r="CX1003">
        <v>0</v>
      </c>
      <c r="CY1003">
        <v>0</v>
      </c>
      <c r="CZ1003">
        <v>0</v>
      </c>
      <c r="DA1003">
        <v>0</v>
      </c>
      <c r="DB1003">
        <v>0</v>
      </c>
      <c r="DC1003">
        <v>0</v>
      </c>
      <c r="DD1003">
        <v>0</v>
      </c>
      <c r="DE1003">
        <v>0</v>
      </c>
      <c r="DF1003">
        <v>0</v>
      </c>
      <c r="DG1003" s="16">
        <f t="shared" si="82"/>
        <v>7</v>
      </c>
      <c r="DH1003" s="16">
        <f t="shared" si="83"/>
        <v>107</v>
      </c>
      <c r="DI1003" s="17">
        <f t="shared" si="84"/>
        <v>15.285714285714286</v>
      </c>
      <c r="DJ1003" s="119" t="s">
        <v>4</v>
      </c>
      <c r="DK1003" s="119" t="s">
        <v>1530</v>
      </c>
    </row>
    <row r="1004" spans="1:115" ht="15" customHeight="1">
      <c r="A1004" s="32" t="str">
        <f t="shared" si="85"/>
        <v>SA Power--GROUND OUTDOOR / INDOOR CHAMBER MOUNTED ; &gt; ≈ 22 KV &amp; &lt; ≈ 33 KV ;  &gt; 40 MVA</v>
      </c>
      <c r="B1004" s="32" t="str">
        <f t="shared" si="86"/>
        <v>SA Power</v>
      </c>
      <c r="C1004" s="385"/>
      <c r="E1004" t="s">
        <v>1280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v>0</v>
      </c>
      <c r="BQ1004">
        <v>0</v>
      </c>
      <c r="BR1004">
        <v>0</v>
      </c>
      <c r="BS1004">
        <v>0</v>
      </c>
      <c r="BT1004">
        <v>0</v>
      </c>
      <c r="BU1004">
        <v>0</v>
      </c>
      <c r="BV1004">
        <v>0</v>
      </c>
      <c r="BW1004">
        <v>0</v>
      </c>
      <c r="BX1004">
        <v>0</v>
      </c>
      <c r="BY1004">
        <v>0</v>
      </c>
      <c r="BZ1004">
        <v>0</v>
      </c>
      <c r="CA1004">
        <v>0</v>
      </c>
      <c r="CB1004">
        <v>0</v>
      </c>
      <c r="CC1004">
        <v>0</v>
      </c>
      <c r="CD1004">
        <v>0</v>
      </c>
      <c r="CE1004">
        <v>0</v>
      </c>
      <c r="CF1004">
        <v>0</v>
      </c>
      <c r="CG1004">
        <v>0</v>
      </c>
      <c r="CH1004">
        <v>0</v>
      </c>
      <c r="CI1004">
        <v>0</v>
      </c>
      <c r="CJ1004">
        <v>0</v>
      </c>
      <c r="CK1004">
        <v>0</v>
      </c>
      <c r="CL1004">
        <v>0</v>
      </c>
      <c r="CM1004">
        <v>0</v>
      </c>
      <c r="CN1004">
        <v>0</v>
      </c>
      <c r="CO1004">
        <v>0</v>
      </c>
      <c r="CP1004">
        <v>0</v>
      </c>
      <c r="CQ1004">
        <v>0</v>
      </c>
      <c r="CR1004">
        <v>0</v>
      </c>
      <c r="CS1004">
        <v>0</v>
      </c>
      <c r="CT1004">
        <v>0</v>
      </c>
      <c r="CU1004">
        <v>0</v>
      </c>
      <c r="CV1004">
        <v>0</v>
      </c>
      <c r="CW1004">
        <v>0</v>
      </c>
      <c r="CX1004">
        <v>0</v>
      </c>
      <c r="CY1004">
        <v>0</v>
      </c>
      <c r="CZ1004">
        <v>0</v>
      </c>
      <c r="DA1004">
        <v>0</v>
      </c>
      <c r="DB1004">
        <v>0</v>
      </c>
      <c r="DC1004">
        <v>0</v>
      </c>
      <c r="DD1004">
        <v>0</v>
      </c>
      <c r="DE1004">
        <v>0</v>
      </c>
      <c r="DF1004">
        <v>0</v>
      </c>
      <c r="DG1004" s="16">
        <f t="shared" si="82"/>
        <v>0</v>
      </c>
      <c r="DH1004" s="16">
        <f t="shared" si="83"/>
        <v>0</v>
      </c>
      <c r="DI1004" s="17" t="str">
        <f t="shared" si="84"/>
        <v/>
      </c>
      <c r="DJ1004" s="119" t="s">
        <v>4</v>
      </c>
      <c r="DK1004" s="119" t="s">
        <v>1530</v>
      </c>
    </row>
    <row r="1005" spans="1:115" ht="15" customHeight="1">
      <c r="A1005" s="32" t="str">
        <f t="shared" si="85"/>
        <v>SA Power--GROUND OUTDOOR / INDOOR CHAMBER MOUNTED ; &gt; 33 KV &amp; &lt; ≈ 66 KV ;  &lt; ≈ 15 MVA</v>
      </c>
      <c r="B1005" s="32" t="str">
        <f t="shared" si="86"/>
        <v>SA Power</v>
      </c>
      <c r="C1005" s="385"/>
      <c r="E1005" t="s">
        <v>1281</v>
      </c>
      <c r="F1005">
        <v>64</v>
      </c>
      <c r="G1005">
        <v>8</v>
      </c>
      <c r="H1005">
        <v>0</v>
      </c>
      <c r="I1005">
        <v>0</v>
      </c>
      <c r="J1005">
        <v>5</v>
      </c>
      <c r="K1005">
        <v>3</v>
      </c>
      <c r="L1005">
        <v>0</v>
      </c>
      <c r="M1005">
        <v>3</v>
      </c>
      <c r="N1005">
        <v>0</v>
      </c>
      <c r="O1005">
        <v>0</v>
      </c>
      <c r="P1005">
        <v>0</v>
      </c>
      <c r="Q1005">
        <v>1</v>
      </c>
      <c r="R1005">
        <v>0</v>
      </c>
      <c r="S1005">
        <v>0</v>
      </c>
      <c r="T1005">
        <v>6</v>
      </c>
      <c r="U1005">
        <v>1</v>
      </c>
      <c r="V1005">
        <v>1</v>
      </c>
      <c r="W1005">
        <v>0</v>
      </c>
      <c r="X1005">
        <v>0</v>
      </c>
      <c r="Y1005">
        <v>0</v>
      </c>
      <c r="Z1005">
        <v>0</v>
      </c>
      <c r="AA1005">
        <v>0</v>
      </c>
      <c r="AB1005">
        <v>0</v>
      </c>
      <c r="AC1005">
        <v>3</v>
      </c>
      <c r="AD1005">
        <v>1</v>
      </c>
      <c r="AE1005">
        <v>2</v>
      </c>
      <c r="AF1005">
        <v>1</v>
      </c>
      <c r="AG1005">
        <v>2</v>
      </c>
      <c r="AH1005">
        <v>5</v>
      </c>
      <c r="AI1005">
        <v>1</v>
      </c>
      <c r="AJ1005">
        <v>0</v>
      </c>
      <c r="AK1005">
        <v>9</v>
      </c>
      <c r="AL1005">
        <v>0</v>
      </c>
      <c r="AM1005">
        <v>0</v>
      </c>
      <c r="AN1005">
        <v>0</v>
      </c>
      <c r="AO1005">
        <v>0</v>
      </c>
      <c r="AP1005">
        <v>5</v>
      </c>
      <c r="AQ1005">
        <v>5</v>
      </c>
      <c r="AR1005">
        <v>0</v>
      </c>
      <c r="AS1005">
        <v>0</v>
      </c>
      <c r="AT1005">
        <v>3</v>
      </c>
      <c r="AU1005">
        <v>0</v>
      </c>
      <c r="AV1005">
        <v>0</v>
      </c>
      <c r="AW1005">
        <v>3</v>
      </c>
      <c r="AX1005">
        <v>0</v>
      </c>
      <c r="AY1005">
        <v>11</v>
      </c>
      <c r="AZ1005">
        <v>7</v>
      </c>
      <c r="BA1005">
        <v>5</v>
      </c>
      <c r="BB1005">
        <v>8</v>
      </c>
      <c r="BC1005">
        <v>2</v>
      </c>
      <c r="BD1005">
        <v>5</v>
      </c>
      <c r="BE1005">
        <v>19</v>
      </c>
      <c r="BF1005">
        <v>5</v>
      </c>
      <c r="BG1005">
        <v>14</v>
      </c>
      <c r="BH1005">
        <v>5</v>
      </c>
      <c r="BI1005">
        <v>0</v>
      </c>
      <c r="BJ1005">
        <v>2</v>
      </c>
      <c r="BK1005">
        <v>5</v>
      </c>
      <c r="BL1005">
        <v>0</v>
      </c>
      <c r="BM1005">
        <v>2</v>
      </c>
      <c r="BN1005">
        <v>7</v>
      </c>
      <c r="BO1005">
        <v>2</v>
      </c>
      <c r="BP1005">
        <v>1</v>
      </c>
      <c r="BQ1005">
        <v>2</v>
      </c>
      <c r="BR1005">
        <v>1</v>
      </c>
      <c r="BS1005">
        <v>0</v>
      </c>
      <c r="BT1005">
        <v>0</v>
      </c>
      <c r="BU1005">
        <v>0</v>
      </c>
      <c r="BV1005">
        <v>0</v>
      </c>
      <c r="BW1005">
        <v>0</v>
      </c>
      <c r="BX1005">
        <v>0</v>
      </c>
      <c r="BY1005">
        <v>0</v>
      </c>
      <c r="BZ1005">
        <v>1</v>
      </c>
      <c r="CA1005">
        <v>0</v>
      </c>
      <c r="CB1005">
        <v>0</v>
      </c>
      <c r="CC1005">
        <v>0</v>
      </c>
      <c r="CD1005">
        <v>0</v>
      </c>
      <c r="CE1005">
        <v>0</v>
      </c>
      <c r="CF1005">
        <v>0</v>
      </c>
      <c r="CG1005">
        <v>0</v>
      </c>
      <c r="CH1005">
        <v>0</v>
      </c>
      <c r="CI1005">
        <v>0</v>
      </c>
      <c r="CJ1005">
        <v>0</v>
      </c>
      <c r="CK1005">
        <v>0</v>
      </c>
      <c r="CL1005">
        <v>0</v>
      </c>
      <c r="CM1005">
        <v>0</v>
      </c>
      <c r="CN1005">
        <v>0</v>
      </c>
      <c r="CO1005">
        <v>0</v>
      </c>
      <c r="CP1005">
        <v>0</v>
      </c>
      <c r="CQ1005">
        <v>0</v>
      </c>
      <c r="CR1005">
        <v>0</v>
      </c>
      <c r="CS1005">
        <v>0</v>
      </c>
      <c r="CT1005">
        <v>0</v>
      </c>
      <c r="CU1005">
        <v>0</v>
      </c>
      <c r="CV1005">
        <v>0</v>
      </c>
      <c r="CW1005">
        <v>0</v>
      </c>
      <c r="CX1005">
        <v>0</v>
      </c>
      <c r="CY1005">
        <v>0</v>
      </c>
      <c r="CZ1005">
        <v>0</v>
      </c>
      <c r="DA1005">
        <v>0</v>
      </c>
      <c r="DB1005">
        <v>0</v>
      </c>
      <c r="DC1005">
        <v>0</v>
      </c>
      <c r="DD1005">
        <v>0</v>
      </c>
      <c r="DE1005">
        <v>0</v>
      </c>
      <c r="DF1005">
        <v>0</v>
      </c>
      <c r="DG1005" s="16">
        <f t="shared" si="82"/>
        <v>164</v>
      </c>
      <c r="DH1005" s="16">
        <f t="shared" si="83"/>
        <v>6709</v>
      </c>
      <c r="DI1005" s="17">
        <f t="shared" si="84"/>
        <v>40.908536585365852</v>
      </c>
      <c r="DJ1005" s="119" t="s">
        <v>4</v>
      </c>
      <c r="DK1005" s="119" t="s">
        <v>1530</v>
      </c>
    </row>
    <row r="1006" spans="1:115" ht="15" customHeight="1">
      <c r="A1006" s="32" t="str">
        <f t="shared" si="85"/>
        <v>SA Power--GROUND OUTDOOR / INDOOR CHAMBER MOUNTED ; &gt; 33 KV &amp; &lt; ≈ 66 KV ;  &gt; 15 MVA AND &lt; ≈ 40 MVA</v>
      </c>
      <c r="B1006" s="32" t="str">
        <f t="shared" si="86"/>
        <v>SA Power</v>
      </c>
      <c r="C1006" s="385"/>
      <c r="E1006" t="s">
        <v>1282</v>
      </c>
      <c r="F1006">
        <v>64</v>
      </c>
      <c r="G1006">
        <v>8</v>
      </c>
      <c r="H1006">
        <v>1</v>
      </c>
      <c r="I1006">
        <v>7</v>
      </c>
      <c r="J1006">
        <v>6</v>
      </c>
      <c r="K1006">
        <v>8</v>
      </c>
      <c r="L1006">
        <v>4</v>
      </c>
      <c r="M1006">
        <v>2</v>
      </c>
      <c r="N1006">
        <v>4</v>
      </c>
      <c r="O1006">
        <v>2</v>
      </c>
      <c r="P1006">
        <v>5</v>
      </c>
      <c r="Q1006">
        <v>2</v>
      </c>
      <c r="R1006">
        <v>5</v>
      </c>
      <c r="S1006">
        <v>4</v>
      </c>
      <c r="T1006">
        <v>4</v>
      </c>
      <c r="U1006">
        <v>0</v>
      </c>
      <c r="V1006">
        <v>1</v>
      </c>
      <c r="W1006">
        <v>0</v>
      </c>
      <c r="X1006">
        <v>0</v>
      </c>
      <c r="Y1006">
        <v>2</v>
      </c>
      <c r="Z1006">
        <v>0</v>
      </c>
      <c r="AA1006">
        <v>3</v>
      </c>
      <c r="AB1006">
        <v>0</v>
      </c>
      <c r="AC1006">
        <v>1</v>
      </c>
      <c r="AD1006">
        <v>5</v>
      </c>
      <c r="AE1006">
        <v>1</v>
      </c>
      <c r="AF1006">
        <v>3</v>
      </c>
      <c r="AG1006">
        <v>0</v>
      </c>
      <c r="AH1006">
        <v>1</v>
      </c>
      <c r="AI1006">
        <v>4</v>
      </c>
      <c r="AJ1006">
        <v>0</v>
      </c>
      <c r="AK1006">
        <v>2</v>
      </c>
      <c r="AL1006">
        <v>4</v>
      </c>
      <c r="AM1006">
        <v>2</v>
      </c>
      <c r="AN1006">
        <v>0</v>
      </c>
      <c r="AO1006">
        <v>4</v>
      </c>
      <c r="AP1006">
        <v>1</v>
      </c>
      <c r="AQ1006">
        <v>4</v>
      </c>
      <c r="AR1006">
        <v>0</v>
      </c>
      <c r="AS1006">
        <v>0</v>
      </c>
      <c r="AT1006">
        <v>0</v>
      </c>
      <c r="AU1006">
        <v>0</v>
      </c>
      <c r="AV1006">
        <v>1</v>
      </c>
      <c r="AW1006">
        <v>4</v>
      </c>
      <c r="AX1006">
        <v>0</v>
      </c>
      <c r="AY1006">
        <v>5</v>
      </c>
      <c r="AZ1006">
        <v>6</v>
      </c>
      <c r="BA1006">
        <v>4</v>
      </c>
      <c r="BB1006">
        <v>3</v>
      </c>
      <c r="BC1006">
        <v>0</v>
      </c>
      <c r="BD1006">
        <v>0</v>
      </c>
      <c r="BE1006">
        <v>0</v>
      </c>
      <c r="BF1006">
        <v>0</v>
      </c>
      <c r="BG1006">
        <v>0</v>
      </c>
      <c r="BH1006">
        <v>0</v>
      </c>
      <c r="BI1006">
        <v>0</v>
      </c>
      <c r="BJ1006">
        <v>0</v>
      </c>
      <c r="BK1006">
        <v>0</v>
      </c>
      <c r="BL1006">
        <v>3</v>
      </c>
      <c r="BM1006">
        <v>3</v>
      </c>
      <c r="BN1006">
        <v>0</v>
      </c>
      <c r="BO1006">
        <v>0</v>
      </c>
      <c r="BP1006">
        <v>0</v>
      </c>
      <c r="BQ1006">
        <v>0</v>
      </c>
      <c r="BR1006">
        <v>0</v>
      </c>
      <c r="BS1006">
        <v>0</v>
      </c>
      <c r="BT1006">
        <v>0</v>
      </c>
      <c r="BU1006">
        <v>0</v>
      </c>
      <c r="BV1006">
        <v>0</v>
      </c>
      <c r="BW1006">
        <v>0</v>
      </c>
      <c r="BX1006">
        <v>0</v>
      </c>
      <c r="BY1006">
        <v>0</v>
      </c>
      <c r="BZ1006">
        <v>0</v>
      </c>
      <c r="CA1006">
        <v>0</v>
      </c>
      <c r="CB1006">
        <v>0</v>
      </c>
      <c r="CC1006">
        <v>0</v>
      </c>
      <c r="CD1006">
        <v>0</v>
      </c>
      <c r="CE1006">
        <v>0</v>
      </c>
      <c r="CF1006">
        <v>0</v>
      </c>
      <c r="CG1006">
        <v>0</v>
      </c>
      <c r="CH1006">
        <v>0</v>
      </c>
      <c r="CI1006">
        <v>0</v>
      </c>
      <c r="CJ1006">
        <v>0</v>
      </c>
      <c r="CK1006">
        <v>0</v>
      </c>
      <c r="CL1006">
        <v>0</v>
      </c>
      <c r="CM1006">
        <v>0</v>
      </c>
      <c r="CN1006">
        <v>0</v>
      </c>
      <c r="CO1006">
        <v>0</v>
      </c>
      <c r="CP1006">
        <v>0</v>
      </c>
      <c r="CQ1006">
        <v>0</v>
      </c>
      <c r="CR1006">
        <v>0</v>
      </c>
      <c r="CS1006">
        <v>0</v>
      </c>
      <c r="CT1006">
        <v>0</v>
      </c>
      <c r="CU1006">
        <v>0</v>
      </c>
      <c r="CV1006">
        <v>0</v>
      </c>
      <c r="CW1006">
        <v>0</v>
      </c>
      <c r="CX1006">
        <v>0</v>
      </c>
      <c r="CY1006">
        <v>0</v>
      </c>
      <c r="CZ1006">
        <v>0</v>
      </c>
      <c r="DA1006">
        <v>0</v>
      </c>
      <c r="DB1006">
        <v>0</v>
      </c>
      <c r="DC1006">
        <v>0</v>
      </c>
      <c r="DD1006">
        <v>0</v>
      </c>
      <c r="DE1006">
        <v>0</v>
      </c>
      <c r="DF1006">
        <v>0</v>
      </c>
      <c r="DG1006" s="16">
        <f t="shared" si="82"/>
        <v>121</v>
      </c>
      <c r="DH1006" s="16">
        <f t="shared" si="83"/>
        <v>2779</v>
      </c>
      <c r="DI1006" s="17">
        <f t="shared" si="84"/>
        <v>22.966942148760332</v>
      </c>
      <c r="DJ1006" s="119" t="s">
        <v>4</v>
      </c>
      <c r="DK1006" s="119" t="s">
        <v>1530</v>
      </c>
    </row>
    <row r="1007" spans="1:115" ht="15" customHeight="1">
      <c r="A1007" s="32" t="str">
        <f t="shared" si="85"/>
        <v>SA Power--GROUND OUTDOOR / INDOOR CHAMBER MOUNTED ; &gt; 33 KV &amp; &lt; ≈ 66 KV ;  &gt; 40 MVA</v>
      </c>
      <c r="B1007" s="32" t="str">
        <f t="shared" si="86"/>
        <v>SA Power</v>
      </c>
      <c r="C1007" s="385"/>
      <c r="E1007" t="s">
        <v>1283</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P1007">
        <v>0</v>
      </c>
      <c r="AQ1007">
        <v>0</v>
      </c>
      <c r="AR1007">
        <v>0</v>
      </c>
      <c r="AS1007">
        <v>0</v>
      </c>
      <c r="AT1007">
        <v>0</v>
      </c>
      <c r="AU1007">
        <v>0</v>
      </c>
      <c r="AV1007">
        <v>0</v>
      </c>
      <c r="AW1007">
        <v>0</v>
      </c>
      <c r="AX1007">
        <v>0</v>
      </c>
      <c r="AY1007">
        <v>0</v>
      </c>
      <c r="AZ1007">
        <v>0</v>
      </c>
      <c r="BA1007">
        <v>0</v>
      </c>
      <c r="BB1007">
        <v>0</v>
      </c>
      <c r="BC1007">
        <v>0</v>
      </c>
      <c r="BD1007">
        <v>0</v>
      </c>
      <c r="BE1007">
        <v>0</v>
      </c>
      <c r="BF1007">
        <v>0</v>
      </c>
      <c r="BG1007">
        <v>0</v>
      </c>
      <c r="BH1007">
        <v>0</v>
      </c>
      <c r="BI1007">
        <v>0</v>
      </c>
      <c r="BJ1007">
        <v>0</v>
      </c>
      <c r="BK1007">
        <v>0</v>
      </c>
      <c r="BL1007">
        <v>0</v>
      </c>
      <c r="BM1007">
        <v>0</v>
      </c>
      <c r="BN1007">
        <v>0</v>
      </c>
      <c r="BO1007">
        <v>0</v>
      </c>
      <c r="BP1007">
        <v>0</v>
      </c>
      <c r="BQ1007">
        <v>0</v>
      </c>
      <c r="BR1007">
        <v>0</v>
      </c>
      <c r="BS1007">
        <v>0</v>
      </c>
      <c r="BT1007">
        <v>0</v>
      </c>
      <c r="BU1007">
        <v>0</v>
      </c>
      <c r="BV1007">
        <v>0</v>
      </c>
      <c r="BW1007">
        <v>0</v>
      </c>
      <c r="BX1007">
        <v>0</v>
      </c>
      <c r="BY1007">
        <v>0</v>
      </c>
      <c r="BZ1007">
        <v>0</v>
      </c>
      <c r="CA1007">
        <v>0</v>
      </c>
      <c r="CB1007">
        <v>0</v>
      </c>
      <c r="CC1007">
        <v>0</v>
      </c>
      <c r="CD1007">
        <v>0</v>
      </c>
      <c r="CE1007">
        <v>0</v>
      </c>
      <c r="CF1007">
        <v>0</v>
      </c>
      <c r="CG1007">
        <v>0</v>
      </c>
      <c r="CH1007">
        <v>0</v>
      </c>
      <c r="CI1007">
        <v>0</v>
      </c>
      <c r="CJ1007">
        <v>0</v>
      </c>
      <c r="CK1007">
        <v>0</v>
      </c>
      <c r="CL1007">
        <v>0</v>
      </c>
      <c r="CM1007">
        <v>0</v>
      </c>
      <c r="CN1007">
        <v>0</v>
      </c>
      <c r="CO1007">
        <v>0</v>
      </c>
      <c r="CP1007">
        <v>0</v>
      </c>
      <c r="CQ1007">
        <v>0</v>
      </c>
      <c r="CR1007">
        <v>0</v>
      </c>
      <c r="CS1007">
        <v>0</v>
      </c>
      <c r="CT1007">
        <v>0</v>
      </c>
      <c r="CU1007">
        <v>0</v>
      </c>
      <c r="CV1007">
        <v>0</v>
      </c>
      <c r="CW1007">
        <v>0</v>
      </c>
      <c r="CX1007">
        <v>0</v>
      </c>
      <c r="CY1007">
        <v>0</v>
      </c>
      <c r="CZ1007">
        <v>0</v>
      </c>
      <c r="DA1007">
        <v>0</v>
      </c>
      <c r="DB1007">
        <v>0</v>
      </c>
      <c r="DC1007">
        <v>0</v>
      </c>
      <c r="DD1007">
        <v>0</v>
      </c>
      <c r="DE1007">
        <v>0</v>
      </c>
      <c r="DF1007">
        <v>0</v>
      </c>
      <c r="DG1007" s="16">
        <f t="shared" si="82"/>
        <v>0</v>
      </c>
      <c r="DH1007" s="16">
        <f t="shared" si="83"/>
        <v>0</v>
      </c>
      <c r="DI1007" s="17" t="str">
        <f t="shared" si="84"/>
        <v/>
      </c>
      <c r="DJ1007" s="119" t="s">
        <v>4</v>
      </c>
      <c r="DK1007" s="119" t="s">
        <v>1530</v>
      </c>
    </row>
    <row r="1008" spans="1:115" ht="15" customHeight="1">
      <c r="A1008" s="32" t="str">
        <f t="shared" si="85"/>
        <v>SA Power--GROUND OUTDOOR / INDOOR CHAMBER MOUNTED ; &gt; 66 KV &amp; &lt; ≈ 132 KV ;  &lt; ≈ 100 MVA</v>
      </c>
      <c r="B1008" s="32" t="str">
        <f t="shared" si="86"/>
        <v>SA Power</v>
      </c>
      <c r="C1008" s="385"/>
      <c r="E1008" t="s">
        <v>1284</v>
      </c>
      <c r="F1008">
        <v>64</v>
      </c>
      <c r="G1008">
        <v>8</v>
      </c>
      <c r="H1008">
        <v>0</v>
      </c>
      <c r="I1008">
        <v>0</v>
      </c>
      <c r="J1008">
        <v>0</v>
      </c>
      <c r="K1008">
        <v>0</v>
      </c>
      <c r="L1008">
        <v>0</v>
      </c>
      <c r="M1008">
        <v>0</v>
      </c>
      <c r="N1008">
        <v>1</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P1008">
        <v>0</v>
      </c>
      <c r="AQ1008">
        <v>0</v>
      </c>
      <c r="AR1008">
        <v>0</v>
      </c>
      <c r="AS1008">
        <v>0</v>
      </c>
      <c r="AT1008">
        <v>0</v>
      </c>
      <c r="AU1008">
        <v>0</v>
      </c>
      <c r="AV1008">
        <v>0</v>
      </c>
      <c r="AW1008">
        <v>0</v>
      </c>
      <c r="AX1008">
        <v>0</v>
      </c>
      <c r="AY1008">
        <v>0</v>
      </c>
      <c r="AZ1008">
        <v>0</v>
      </c>
      <c r="BA1008">
        <v>0</v>
      </c>
      <c r="BB1008">
        <v>0</v>
      </c>
      <c r="BC1008">
        <v>0</v>
      </c>
      <c r="BD1008">
        <v>0</v>
      </c>
      <c r="BE1008">
        <v>0</v>
      </c>
      <c r="BF1008">
        <v>0</v>
      </c>
      <c r="BG1008">
        <v>0</v>
      </c>
      <c r="BH1008">
        <v>0</v>
      </c>
      <c r="BI1008">
        <v>0</v>
      </c>
      <c r="BJ1008">
        <v>0</v>
      </c>
      <c r="BK1008">
        <v>0</v>
      </c>
      <c r="BL1008">
        <v>0</v>
      </c>
      <c r="BM1008">
        <v>0</v>
      </c>
      <c r="BN1008">
        <v>0</v>
      </c>
      <c r="BO1008">
        <v>0</v>
      </c>
      <c r="BP1008">
        <v>0</v>
      </c>
      <c r="BQ1008">
        <v>0</v>
      </c>
      <c r="BR1008">
        <v>0</v>
      </c>
      <c r="BS1008">
        <v>0</v>
      </c>
      <c r="BT1008">
        <v>0</v>
      </c>
      <c r="BU1008">
        <v>0</v>
      </c>
      <c r="BV1008">
        <v>0</v>
      </c>
      <c r="BW1008">
        <v>0</v>
      </c>
      <c r="BX1008">
        <v>0</v>
      </c>
      <c r="BY1008">
        <v>0</v>
      </c>
      <c r="BZ1008">
        <v>0</v>
      </c>
      <c r="CA1008">
        <v>0</v>
      </c>
      <c r="CB1008">
        <v>0</v>
      </c>
      <c r="CC1008">
        <v>0</v>
      </c>
      <c r="CD1008">
        <v>0</v>
      </c>
      <c r="CE1008">
        <v>0</v>
      </c>
      <c r="CF1008">
        <v>0</v>
      </c>
      <c r="CG1008">
        <v>0</v>
      </c>
      <c r="CH1008">
        <v>0</v>
      </c>
      <c r="CI1008">
        <v>0</v>
      </c>
      <c r="CJ1008">
        <v>0</v>
      </c>
      <c r="CK1008">
        <v>0</v>
      </c>
      <c r="CL1008">
        <v>0</v>
      </c>
      <c r="CM1008">
        <v>0</v>
      </c>
      <c r="CN1008">
        <v>0</v>
      </c>
      <c r="CO1008">
        <v>0</v>
      </c>
      <c r="CP1008">
        <v>0</v>
      </c>
      <c r="CQ1008">
        <v>0</v>
      </c>
      <c r="CR1008">
        <v>0</v>
      </c>
      <c r="CS1008">
        <v>0</v>
      </c>
      <c r="CT1008">
        <v>0</v>
      </c>
      <c r="CU1008">
        <v>0</v>
      </c>
      <c r="CV1008">
        <v>0</v>
      </c>
      <c r="CW1008">
        <v>0</v>
      </c>
      <c r="CX1008">
        <v>0</v>
      </c>
      <c r="CY1008">
        <v>0</v>
      </c>
      <c r="CZ1008">
        <v>0</v>
      </c>
      <c r="DA1008">
        <v>0</v>
      </c>
      <c r="DB1008">
        <v>0</v>
      </c>
      <c r="DC1008">
        <v>0</v>
      </c>
      <c r="DD1008">
        <v>0</v>
      </c>
      <c r="DE1008">
        <v>0</v>
      </c>
      <c r="DF1008">
        <v>0</v>
      </c>
      <c r="DG1008" s="16">
        <f t="shared" si="82"/>
        <v>1</v>
      </c>
      <c r="DH1008" s="16">
        <f t="shared" si="83"/>
        <v>7</v>
      </c>
      <c r="DI1008" s="17">
        <f t="shared" si="84"/>
        <v>7</v>
      </c>
      <c r="DJ1008" s="119" t="s">
        <v>4</v>
      </c>
      <c r="DK1008" s="119" t="s">
        <v>1530</v>
      </c>
    </row>
    <row r="1009" spans="1:115" ht="15" customHeight="1">
      <c r="A1009" s="32" t="str">
        <f t="shared" si="85"/>
        <v>SA Power--GROUND OUTDOOR / INDOOR CHAMBER MOUNTED ; &gt; 66 KV &amp; &lt; ≈ 132 KV ;  &gt; 100 MVA</v>
      </c>
      <c r="B1009" s="32" t="str">
        <f t="shared" si="86"/>
        <v>SA Power</v>
      </c>
      <c r="C1009" s="385"/>
      <c r="E1009" t="s">
        <v>1285</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c r="AJ1009">
        <v>0</v>
      </c>
      <c r="AK1009">
        <v>0</v>
      </c>
      <c r="AL1009">
        <v>0</v>
      </c>
      <c r="AM1009">
        <v>0</v>
      </c>
      <c r="AN1009">
        <v>0</v>
      </c>
      <c r="AO1009">
        <v>0</v>
      </c>
      <c r="AP1009">
        <v>0</v>
      </c>
      <c r="AQ1009">
        <v>0</v>
      </c>
      <c r="AR1009">
        <v>0</v>
      </c>
      <c r="AS1009">
        <v>0</v>
      </c>
      <c r="AT1009">
        <v>0</v>
      </c>
      <c r="AU1009">
        <v>0</v>
      </c>
      <c r="AV1009">
        <v>0</v>
      </c>
      <c r="AW1009">
        <v>0</v>
      </c>
      <c r="AX1009">
        <v>0</v>
      </c>
      <c r="AY1009">
        <v>0</v>
      </c>
      <c r="AZ1009">
        <v>0</v>
      </c>
      <c r="BA1009">
        <v>0</v>
      </c>
      <c r="BB1009">
        <v>0</v>
      </c>
      <c r="BC1009">
        <v>0</v>
      </c>
      <c r="BD1009">
        <v>0</v>
      </c>
      <c r="BE1009">
        <v>0</v>
      </c>
      <c r="BF1009">
        <v>0</v>
      </c>
      <c r="BG1009">
        <v>0</v>
      </c>
      <c r="BH1009">
        <v>0</v>
      </c>
      <c r="BI1009">
        <v>0</v>
      </c>
      <c r="BJ1009">
        <v>0</v>
      </c>
      <c r="BK1009">
        <v>0</v>
      </c>
      <c r="BL1009">
        <v>0</v>
      </c>
      <c r="BM1009">
        <v>0</v>
      </c>
      <c r="BN1009">
        <v>0</v>
      </c>
      <c r="BO1009">
        <v>0</v>
      </c>
      <c r="BP1009">
        <v>0</v>
      </c>
      <c r="BQ1009">
        <v>0</v>
      </c>
      <c r="BR1009">
        <v>0</v>
      </c>
      <c r="BS1009">
        <v>0</v>
      </c>
      <c r="BT1009">
        <v>0</v>
      </c>
      <c r="BU1009">
        <v>0</v>
      </c>
      <c r="BV1009">
        <v>0</v>
      </c>
      <c r="BW1009">
        <v>0</v>
      </c>
      <c r="BX1009">
        <v>0</v>
      </c>
      <c r="BY1009">
        <v>0</v>
      </c>
      <c r="BZ1009">
        <v>0</v>
      </c>
      <c r="CA1009">
        <v>0</v>
      </c>
      <c r="CB1009">
        <v>0</v>
      </c>
      <c r="CC1009">
        <v>0</v>
      </c>
      <c r="CD1009">
        <v>0</v>
      </c>
      <c r="CE1009">
        <v>0</v>
      </c>
      <c r="CF1009">
        <v>0</v>
      </c>
      <c r="CG1009">
        <v>0</v>
      </c>
      <c r="CH1009">
        <v>0</v>
      </c>
      <c r="CI1009">
        <v>0</v>
      </c>
      <c r="CJ1009">
        <v>0</v>
      </c>
      <c r="CK1009">
        <v>0</v>
      </c>
      <c r="CL1009">
        <v>0</v>
      </c>
      <c r="CM1009">
        <v>0</v>
      </c>
      <c r="CN1009">
        <v>0</v>
      </c>
      <c r="CO1009">
        <v>0</v>
      </c>
      <c r="CP1009">
        <v>0</v>
      </c>
      <c r="CQ1009">
        <v>0</v>
      </c>
      <c r="CR1009">
        <v>0</v>
      </c>
      <c r="CS1009">
        <v>0</v>
      </c>
      <c r="CT1009">
        <v>0</v>
      </c>
      <c r="CU1009">
        <v>0</v>
      </c>
      <c r="CV1009">
        <v>0</v>
      </c>
      <c r="CW1009">
        <v>0</v>
      </c>
      <c r="CX1009">
        <v>0</v>
      </c>
      <c r="CY1009">
        <v>0</v>
      </c>
      <c r="CZ1009">
        <v>0</v>
      </c>
      <c r="DA1009">
        <v>0</v>
      </c>
      <c r="DB1009">
        <v>0</v>
      </c>
      <c r="DC1009">
        <v>0</v>
      </c>
      <c r="DD1009">
        <v>0</v>
      </c>
      <c r="DE1009">
        <v>0</v>
      </c>
      <c r="DF1009">
        <v>0</v>
      </c>
      <c r="DG1009" s="16">
        <f t="shared" si="82"/>
        <v>0</v>
      </c>
      <c r="DH1009" s="16">
        <f t="shared" si="83"/>
        <v>0</v>
      </c>
      <c r="DI1009" s="17" t="str">
        <f t="shared" si="84"/>
        <v/>
      </c>
      <c r="DJ1009" s="119" t="s">
        <v>4</v>
      </c>
      <c r="DK1009" s="119" t="s">
        <v>1530</v>
      </c>
    </row>
    <row r="1010" spans="1:115" ht="15" customHeight="1">
      <c r="A1010" s="32" t="str">
        <f t="shared" si="85"/>
        <v>SA Power--GROUND OUTDOOR / INDOOR CHAMBER MOUNTED ; &gt; 132 KV ;  &lt; ≈ 100 MVA</v>
      </c>
      <c r="B1010" s="32" t="str">
        <f t="shared" si="86"/>
        <v>SA Power</v>
      </c>
      <c r="C1010" s="385"/>
      <c r="E1010" t="s">
        <v>1286</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0</v>
      </c>
      <c r="AK1010">
        <v>0</v>
      </c>
      <c r="AL1010">
        <v>0</v>
      </c>
      <c r="AM1010">
        <v>0</v>
      </c>
      <c r="AN1010">
        <v>0</v>
      </c>
      <c r="AO1010">
        <v>0</v>
      </c>
      <c r="AP1010">
        <v>0</v>
      </c>
      <c r="AQ1010">
        <v>0</v>
      </c>
      <c r="AR1010">
        <v>0</v>
      </c>
      <c r="AS1010">
        <v>0</v>
      </c>
      <c r="AT1010">
        <v>0</v>
      </c>
      <c r="AU1010">
        <v>0</v>
      </c>
      <c r="AV1010">
        <v>0</v>
      </c>
      <c r="AW1010">
        <v>0</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v>0</v>
      </c>
      <c r="BX1010">
        <v>0</v>
      </c>
      <c r="BY1010">
        <v>0</v>
      </c>
      <c r="BZ1010">
        <v>0</v>
      </c>
      <c r="CA1010">
        <v>0</v>
      </c>
      <c r="CB1010">
        <v>0</v>
      </c>
      <c r="CC1010">
        <v>0</v>
      </c>
      <c r="CD1010">
        <v>0</v>
      </c>
      <c r="CE1010">
        <v>0</v>
      </c>
      <c r="CF1010">
        <v>0</v>
      </c>
      <c r="CG1010">
        <v>0</v>
      </c>
      <c r="CH1010">
        <v>0</v>
      </c>
      <c r="CI1010">
        <v>0</v>
      </c>
      <c r="CJ1010">
        <v>0</v>
      </c>
      <c r="CK1010">
        <v>0</v>
      </c>
      <c r="CL1010">
        <v>0</v>
      </c>
      <c r="CM1010">
        <v>0</v>
      </c>
      <c r="CN1010">
        <v>0</v>
      </c>
      <c r="CO1010">
        <v>0</v>
      </c>
      <c r="CP1010">
        <v>0</v>
      </c>
      <c r="CQ1010">
        <v>0</v>
      </c>
      <c r="CR1010">
        <v>0</v>
      </c>
      <c r="CS1010">
        <v>0</v>
      </c>
      <c r="CT1010">
        <v>0</v>
      </c>
      <c r="CU1010">
        <v>0</v>
      </c>
      <c r="CV1010">
        <v>0</v>
      </c>
      <c r="CW1010">
        <v>0</v>
      </c>
      <c r="CX1010">
        <v>0</v>
      </c>
      <c r="CY1010">
        <v>0</v>
      </c>
      <c r="CZ1010">
        <v>0</v>
      </c>
      <c r="DA1010">
        <v>0</v>
      </c>
      <c r="DB1010">
        <v>0</v>
      </c>
      <c r="DC1010">
        <v>0</v>
      </c>
      <c r="DD1010">
        <v>0</v>
      </c>
      <c r="DE1010">
        <v>0</v>
      </c>
      <c r="DF1010">
        <v>0</v>
      </c>
      <c r="DG1010" s="16">
        <f t="shared" si="82"/>
        <v>0</v>
      </c>
      <c r="DH1010" s="16">
        <f t="shared" si="83"/>
        <v>0</v>
      </c>
      <c r="DI1010" s="17" t="str">
        <f t="shared" si="84"/>
        <v/>
      </c>
      <c r="DJ1010" s="119" t="s">
        <v>4</v>
      </c>
      <c r="DK1010" s="119" t="s">
        <v>1530</v>
      </c>
    </row>
    <row r="1011" spans="1:115" ht="15" customHeight="1">
      <c r="A1011" s="32" t="str">
        <f t="shared" si="85"/>
        <v>SA Power--GROUND OUTDOOR / INDOOR CHAMBER MOUNTED ; &gt; 132 KV ;  &gt; 100 MVA</v>
      </c>
      <c r="B1011" s="32" t="str">
        <f t="shared" si="86"/>
        <v>SA Power</v>
      </c>
      <c r="C1011" s="385"/>
      <c r="E1011" t="s">
        <v>1287</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0</v>
      </c>
      <c r="AL1011">
        <v>0</v>
      </c>
      <c r="AM1011">
        <v>0</v>
      </c>
      <c r="AN1011">
        <v>0</v>
      </c>
      <c r="AO1011">
        <v>0</v>
      </c>
      <c r="AP1011">
        <v>0</v>
      </c>
      <c r="AQ1011">
        <v>0</v>
      </c>
      <c r="AR1011">
        <v>0</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0</v>
      </c>
      <c r="BV1011">
        <v>0</v>
      </c>
      <c r="BW1011">
        <v>0</v>
      </c>
      <c r="BX1011">
        <v>0</v>
      </c>
      <c r="BY1011">
        <v>0</v>
      </c>
      <c r="BZ1011">
        <v>0</v>
      </c>
      <c r="CA1011">
        <v>0</v>
      </c>
      <c r="CB1011">
        <v>0</v>
      </c>
      <c r="CC1011">
        <v>0</v>
      </c>
      <c r="CD1011">
        <v>0</v>
      </c>
      <c r="CE1011">
        <v>0</v>
      </c>
      <c r="CF1011">
        <v>0</v>
      </c>
      <c r="CG1011">
        <v>0</v>
      </c>
      <c r="CH1011">
        <v>0</v>
      </c>
      <c r="CI1011">
        <v>0</v>
      </c>
      <c r="CJ1011">
        <v>0</v>
      </c>
      <c r="CK1011">
        <v>0</v>
      </c>
      <c r="CL1011">
        <v>0</v>
      </c>
      <c r="CM1011">
        <v>0</v>
      </c>
      <c r="CN1011">
        <v>0</v>
      </c>
      <c r="CO1011">
        <v>0</v>
      </c>
      <c r="CP1011">
        <v>0</v>
      </c>
      <c r="CQ1011">
        <v>0</v>
      </c>
      <c r="CR1011">
        <v>0</v>
      </c>
      <c r="CS1011">
        <v>0</v>
      </c>
      <c r="CT1011">
        <v>0</v>
      </c>
      <c r="CU1011">
        <v>0</v>
      </c>
      <c r="CV1011">
        <v>0</v>
      </c>
      <c r="CW1011">
        <v>0</v>
      </c>
      <c r="CX1011">
        <v>0</v>
      </c>
      <c r="CY1011">
        <v>0</v>
      </c>
      <c r="CZ1011">
        <v>0</v>
      </c>
      <c r="DA1011">
        <v>0</v>
      </c>
      <c r="DB1011">
        <v>0</v>
      </c>
      <c r="DC1011">
        <v>0</v>
      </c>
      <c r="DD1011">
        <v>0</v>
      </c>
      <c r="DE1011">
        <v>0</v>
      </c>
      <c r="DF1011">
        <v>0</v>
      </c>
      <c r="DG1011" s="16">
        <f t="shared" si="82"/>
        <v>0</v>
      </c>
      <c r="DH1011" s="16">
        <f t="shared" si="83"/>
        <v>0</v>
      </c>
      <c r="DI1011" s="17" t="str">
        <f t="shared" si="84"/>
        <v/>
      </c>
      <c r="DJ1011" s="119" t="s">
        <v>4</v>
      </c>
      <c r="DK1011" s="119" t="s">
        <v>1530</v>
      </c>
    </row>
    <row r="1012" spans="1:115" ht="15" customHeight="1">
      <c r="A1012" s="32" t="str">
        <f t="shared" si="85"/>
        <v>SA Power--OTHER - PLEASE ADD A ROW IF NECESSARY AND NOMINATE THE CATEGORY</v>
      </c>
      <c r="B1012" s="32" t="str">
        <f t="shared" si="86"/>
        <v>SA Power</v>
      </c>
      <c r="C1012" s="385"/>
      <c r="E1012" t="s">
        <v>170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0</v>
      </c>
      <c r="AK1012">
        <v>0</v>
      </c>
      <c r="AL1012">
        <v>0</v>
      </c>
      <c r="AM1012">
        <v>0</v>
      </c>
      <c r="AN1012">
        <v>0</v>
      </c>
      <c r="AO1012">
        <v>0</v>
      </c>
      <c r="AP1012">
        <v>0</v>
      </c>
      <c r="AQ1012">
        <v>0</v>
      </c>
      <c r="AR1012">
        <v>0</v>
      </c>
      <c r="AS1012">
        <v>0</v>
      </c>
      <c r="AT1012">
        <v>0</v>
      </c>
      <c r="AU1012">
        <v>0</v>
      </c>
      <c r="AV1012">
        <v>0</v>
      </c>
      <c r="AW1012">
        <v>0</v>
      </c>
      <c r="AX1012">
        <v>0</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v>0</v>
      </c>
      <c r="BQ1012">
        <v>0</v>
      </c>
      <c r="BR1012">
        <v>0</v>
      </c>
      <c r="BS1012">
        <v>0</v>
      </c>
      <c r="BT1012">
        <v>0</v>
      </c>
      <c r="BU1012">
        <v>0</v>
      </c>
      <c r="BV1012">
        <v>0</v>
      </c>
      <c r="BW1012">
        <v>0</v>
      </c>
      <c r="BX1012">
        <v>0</v>
      </c>
      <c r="BY1012">
        <v>0</v>
      </c>
      <c r="BZ1012">
        <v>0</v>
      </c>
      <c r="CA1012">
        <v>0</v>
      </c>
      <c r="CB1012">
        <v>0</v>
      </c>
      <c r="CC1012">
        <v>0</v>
      </c>
      <c r="CD1012">
        <v>0</v>
      </c>
      <c r="CE1012">
        <v>0</v>
      </c>
      <c r="CF1012">
        <v>0</v>
      </c>
      <c r="CG1012">
        <v>0</v>
      </c>
      <c r="CH1012">
        <v>0</v>
      </c>
      <c r="CI1012">
        <v>0</v>
      </c>
      <c r="CJ1012">
        <v>0</v>
      </c>
      <c r="CK1012">
        <v>0</v>
      </c>
      <c r="CL1012">
        <v>0</v>
      </c>
      <c r="CM1012">
        <v>0</v>
      </c>
      <c r="CN1012">
        <v>0</v>
      </c>
      <c r="CO1012">
        <v>0</v>
      </c>
      <c r="CP1012">
        <v>0</v>
      </c>
      <c r="CQ1012">
        <v>0</v>
      </c>
      <c r="CR1012">
        <v>0</v>
      </c>
      <c r="CS1012">
        <v>0</v>
      </c>
      <c r="CT1012">
        <v>0</v>
      </c>
      <c r="CU1012">
        <v>0</v>
      </c>
      <c r="CV1012">
        <v>0</v>
      </c>
      <c r="CW1012">
        <v>0</v>
      </c>
      <c r="CX1012">
        <v>0</v>
      </c>
      <c r="CY1012">
        <v>0</v>
      </c>
      <c r="CZ1012">
        <v>0</v>
      </c>
      <c r="DA1012">
        <v>0</v>
      </c>
      <c r="DB1012">
        <v>0</v>
      </c>
      <c r="DC1012">
        <v>0</v>
      </c>
      <c r="DD1012">
        <v>0</v>
      </c>
      <c r="DE1012">
        <v>0</v>
      </c>
      <c r="DF1012">
        <v>0</v>
      </c>
      <c r="DG1012" s="16">
        <f t="shared" si="82"/>
        <v>0</v>
      </c>
      <c r="DH1012" s="16">
        <f t="shared" si="83"/>
        <v>0</v>
      </c>
      <c r="DI1012" s="17" t="str">
        <f t="shared" si="84"/>
        <v/>
      </c>
      <c r="DJ1012" s="119" t="s">
        <v>4</v>
      </c>
      <c r="DK1012" s="44" t="s">
        <v>4</v>
      </c>
    </row>
    <row r="1013" spans="1:115" ht="15" customHeight="1">
      <c r="A1013" s="32" t="str">
        <f t="shared" si="85"/>
        <v>SA Power-SWITCHGEAR BY: 
HIGHEST OPERATING VOLTAGE ; SWITCH FUNCTION-˂ = 11 kV ;  FUSE</v>
      </c>
      <c r="B1013" s="32" t="str">
        <f t="shared" si="86"/>
        <v>SA Power</v>
      </c>
      <c r="C1013" s="385"/>
      <c r="D1013" t="s">
        <v>545</v>
      </c>
      <c r="E1013" t="s">
        <v>246</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c r="AQ1013">
        <v>0</v>
      </c>
      <c r="AR1013">
        <v>0</v>
      </c>
      <c r="AS1013">
        <v>0</v>
      </c>
      <c r="AT1013">
        <v>0</v>
      </c>
      <c r="AU1013">
        <v>0</v>
      </c>
      <c r="AV1013">
        <v>0</v>
      </c>
      <c r="AW1013">
        <v>0</v>
      </c>
      <c r="AX1013">
        <v>0</v>
      </c>
      <c r="AY1013">
        <v>0</v>
      </c>
      <c r="AZ1013">
        <v>0</v>
      </c>
      <c r="BA1013">
        <v>0</v>
      </c>
      <c r="BB1013">
        <v>0</v>
      </c>
      <c r="BC1013">
        <v>0</v>
      </c>
      <c r="BD1013">
        <v>0</v>
      </c>
      <c r="BE1013">
        <v>0</v>
      </c>
      <c r="BF1013">
        <v>0</v>
      </c>
      <c r="BG1013">
        <v>0</v>
      </c>
      <c r="BH1013">
        <v>0</v>
      </c>
      <c r="BI1013">
        <v>0</v>
      </c>
      <c r="BJ1013">
        <v>0</v>
      </c>
      <c r="BK1013">
        <v>0</v>
      </c>
      <c r="BL1013">
        <v>0</v>
      </c>
      <c r="BM1013">
        <v>0</v>
      </c>
      <c r="BN1013">
        <v>0</v>
      </c>
      <c r="BO1013">
        <v>0</v>
      </c>
      <c r="BP1013">
        <v>0</v>
      </c>
      <c r="BQ1013">
        <v>0</v>
      </c>
      <c r="BR1013">
        <v>0</v>
      </c>
      <c r="BS1013">
        <v>0</v>
      </c>
      <c r="BT1013">
        <v>0</v>
      </c>
      <c r="BU1013">
        <v>0</v>
      </c>
      <c r="BV1013">
        <v>0</v>
      </c>
      <c r="BW1013">
        <v>0</v>
      </c>
      <c r="BX1013">
        <v>0</v>
      </c>
      <c r="BY1013">
        <v>0</v>
      </c>
      <c r="BZ1013">
        <v>0</v>
      </c>
      <c r="CA1013">
        <v>0</v>
      </c>
      <c r="CB1013">
        <v>0</v>
      </c>
      <c r="CC1013">
        <v>0</v>
      </c>
      <c r="CD1013">
        <v>0</v>
      </c>
      <c r="CE1013">
        <v>0</v>
      </c>
      <c r="CF1013">
        <v>0</v>
      </c>
      <c r="CG1013">
        <v>0</v>
      </c>
      <c r="CH1013">
        <v>0</v>
      </c>
      <c r="CI1013">
        <v>0</v>
      </c>
      <c r="CJ1013">
        <v>0</v>
      </c>
      <c r="CK1013">
        <v>0</v>
      </c>
      <c r="CL1013">
        <v>0</v>
      </c>
      <c r="CM1013">
        <v>0</v>
      </c>
      <c r="CN1013">
        <v>0</v>
      </c>
      <c r="CO1013">
        <v>0</v>
      </c>
      <c r="CP1013">
        <v>0</v>
      </c>
      <c r="CQ1013">
        <v>0</v>
      </c>
      <c r="CR1013">
        <v>0</v>
      </c>
      <c r="CS1013">
        <v>0</v>
      </c>
      <c r="CT1013">
        <v>0</v>
      </c>
      <c r="CU1013">
        <v>0</v>
      </c>
      <c r="CV1013">
        <v>0</v>
      </c>
      <c r="CW1013">
        <v>0</v>
      </c>
      <c r="CX1013">
        <v>0</v>
      </c>
      <c r="CY1013">
        <v>0</v>
      </c>
      <c r="CZ1013">
        <v>0</v>
      </c>
      <c r="DA1013">
        <v>0</v>
      </c>
      <c r="DB1013">
        <v>0</v>
      </c>
      <c r="DC1013">
        <v>0</v>
      </c>
      <c r="DD1013">
        <v>0</v>
      </c>
      <c r="DE1013">
        <v>0</v>
      </c>
      <c r="DF1013">
        <v>0</v>
      </c>
      <c r="DG1013" s="16">
        <f t="shared" si="82"/>
        <v>0</v>
      </c>
      <c r="DH1013" s="16">
        <f t="shared" si="83"/>
        <v>0</v>
      </c>
      <c r="DI1013" s="17" t="str">
        <f t="shared" si="84"/>
        <v/>
      </c>
      <c r="DJ1013" s="119" t="s">
        <v>2</v>
      </c>
      <c r="DK1013" t="s">
        <v>2</v>
      </c>
    </row>
    <row r="1014" spans="1:115" ht="15" customHeight="1">
      <c r="A1014" s="32" t="str">
        <f t="shared" si="85"/>
        <v>SA Power--˂ = 11 kV  ; SWITCH</v>
      </c>
      <c r="B1014" s="32" t="str">
        <f t="shared" si="86"/>
        <v>SA Power</v>
      </c>
      <c r="C1014" s="385"/>
      <c r="E1014" t="s">
        <v>247</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c r="AP1014">
        <v>0</v>
      </c>
      <c r="AQ1014">
        <v>0</v>
      </c>
      <c r="AR1014">
        <v>0</v>
      </c>
      <c r="AS1014">
        <v>0</v>
      </c>
      <c r="AT1014">
        <v>0</v>
      </c>
      <c r="AU1014">
        <v>0</v>
      </c>
      <c r="AV1014">
        <v>0</v>
      </c>
      <c r="AW1014">
        <v>0</v>
      </c>
      <c r="AX1014">
        <v>0</v>
      </c>
      <c r="AY1014">
        <v>0</v>
      </c>
      <c r="AZ1014">
        <v>0</v>
      </c>
      <c r="BA1014">
        <v>0</v>
      </c>
      <c r="BB1014">
        <v>0</v>
      </c>
      <c r="BC1014">
        <v>0</v>
      </c>
      <c r="BD1014">
        <v>0</v>
      </c>
      <c r="BE1014">
        <v>0</v>
      </c>
      <c r="BF1014">
        <v>0</v>
      </c>
      <c r="BG1014">
        <v>0</v>
      </c>
      <c r="BH1014">
        <v>0</v>
      </c>
      <c r="BI1014">
        <v>0</v>
      </c>
      <c r="BJ1014">
        <v>0</v>
      </c>
      <c r="BK1014">
        <v>0</v>
      </c>
      <c r="BL1014">
        <v>0</v>
      </c>
      <c r="BM1014">
        <v>0</v>
      </c>
      <c r="BN1014">
        <v>0</v>
      </c>
      <c r="BO1014">
        <v>0</v>
      </c>
      <c r="BP1014">
        <v>0</v>
      </c>
      <c r="BQ1014">
        <v>0</v>
      </c>
      <c r="BR1014">
        <v>0</v>
      </c>
      <c r="BS1014">
        <v>0</v>
      </c>
      <c r="BT1014">
        <v>0</v>
      </c>
      <c r="BU1014">
        <v>0</v>
      </c>
      <c r="BV1014">
        <v>0</v>
      </c>
      <c r="BW1014">
        <v>0</v>
      </c>
      <c r="BX1014">
        <v>0</v>
      </c>
      <c r="BY1014">
        <v>0</v>
      </c>
      <c r="BZ1014">
        <v>0</v>
      </c>
      <c r="CA1014">
        <v>0</v>
      </c>
      <c r="CB1014">
        <v>0</v>
      </c>
      <c r="CC1014">
        <v>0</v>
      </c>
      <c r="CD1014">
        <v>0</v>
      </c>
      <c r="CE1014">
        <v>0</v>
      </c>
      <c r="CF1014">
        <v>0</v>
      </c>
      <c r="CG1014">
        <v>0</v>
      </c>
      <c r="CH1014">
        <v>0</v>
      </c>
      <c r="CI1014">
        <v>0</v>
      </c>
      <c r="CJ1014">
        <v>0</v>
      </c>
      <c r="CK1014">
        <v>0</v>
      </c>
      <c r="CL1014">
        <v>0</v>
      </c>
      <c r="CM1014">
        <v>0</v>
      </c>
      <c r="CN1014">
        <v>0</v>
      </c>
      <c r="CO1014">
        <v>0</v>
      </c>
      <c r="CP1014">
        <v>0</v>
      </c>
      <c r="CQ1014">
        <v>0</v>
      </c>
      <c r="CR1014">
        <v>0</v>
      </c>
      <c r="CS1014">
        <v>0</v>
      </c>
      <c r="CT1014">
        <v>0</v>
      </c>
      <c r="CU1014">
        <v>0</v>
      </c>
      <c r="CV1014">
        <v>0</v>
      </c>
      <c r="CW1014">
        <v>0</v>
      </c>
      <c r="CX1014">
        <v>0</v>
      </c>
      <c r="CY1014">
        <v>0</v>
      </c>
      <c r="CZ1014">
        <v>0</v>
      </c>
      <c r="DA1014">
        <v>0</v>
      </c>
      <c r="DB1014">
        <v>0</v>
      </c>
      <c r="DC1014">
        <v>0</v>
      </c>
      <c r="DD1014">
        <v>0</v>
      </c>
      <c r="DE1014">
        <v>0</v>
      </c>
      <c r="DF1014">
        <v>0</v>
      </c>
      <c r="DG1014" s="16">
        <f t="shared" si="82"/>
        <v>0</v>
      </c>
      <c r="DH1014" s="16">
        <f t="shared" si="83"/>
        <v>0</v>
      </c>
      <c r="DI1014" s="17" t="str">
        <f t="shared" si="84"/>
        <v/>
      </c>
      <c r="DJ1014" s="119" t="s">
        <v>2</v>
      </c>
      <c r="DK1014" s="44" t="s">
        <v>2</v>
      </c>
    </row>
    <row r="1015" spans="1:115" ht="15" customHeight="1">
      <c r="A1015" s="32" t="str">
        <f t="shared" si="85"/>
        <v>SA Power--˂ = 11 kV ;  CIRCUIT BREAKER</v>
      </c>
      <c r="B1015" s="32" t="str">
        <f t="shared" si="86"/>
        <v>SA Power</v>
      </c>
      <c r="C1015" s="385"/>
      <c r="E1015" t="s">
        <v>248</v>
      </c>
      <c r="F1015">
        <v>66</v>
      </c>
      <c r="G1015">
        <v>8</v>
      </c>
      <c r="H1015">
        <v>21</v>
      </c>
      <c r="I1015">
        <v>129</v>
      </c>
      <c r="J1015">
        <v>35</v>
      </c>
      <c r="K1015">
        <v>25</v>
      </c>
      <c r="L1015">
        <v>32</v>
      </c>
      <c r="M1015">
        <v>13</v>
      </c>
      <c r="N1015">
        <v>32</v>
      </c>
      <c r="O1015">
        <v>13</v>
      </c>
      <c r="P1015">
        <v>13</v>
      </c>
      <c r="Q1015">
        <v>17</v>
      </c>
      <c r="R1015">
        <v>29</v>
      </c>
      <c r="S1015">
        <v>31</v>
      </c>
      <c r="T1015">
        <v>11</v>
      </c>
      <c r="U1015">
        <v>4</v>
      </c>
      <c r="V1015">
        <v>31</v>
      </c>
      <c r="W1015">
        <v>11</v>
      </c>
      <c r="X1015">
        <v>10</v>
      </c>
      <c r="Y1015">
        <v>0</v>
      </c>
      <c r="Z1015">
        <v>0</v>
      </c>
      <c r="AA1015">
        <v>6</v>
      </c>
      <c r="AB1015">
        <v>4</v>
      </c>
      <c r="AC1015">
        <v>9</v>
      </c>
      <c r="AD1015">
        <v>20</v>
      </c>
      <c r="AE1015">
        <v>28</v>
      </c>
      <c r="AF1015">
        <v>0</v>
      </c>
      <c r="AG1015">
        <v>26</v>
      </c>
      <c r="AH1015">
        <v>0</v>
      </c>
      <c r="AI1015">
        <v>31</v>
      </c>
      <c r="AJ1015">
        <v>0</v>
      </c>
      <c r="AK1015">
        <v>0</v>
      </c>
      <c r="AL1015">
        <v>4</v>
      </c>
      <c r="AM1015">
        <v>0</v>
      </c>
      <c r="AN1015">
        <v>0</v>
      </c>
      <c r="AO1015">
        <v>0</v>
      </c>
      <c r="AP1015">
        <v>0</v>
      </c>
      <c r="AQ1015">
        <v>0</v>
      </c>
      <c r="AR1015">
        <v>2</v>
      </c>
      <c r="AS1015">
        <v>11</v>
      </c>
      <c r="AT1015">
        <v>0</v>
      </c>
      <c r="AU1015">
        <v>0</v>
      </c>
      <c r="AV1015">
        <v>0</v>
      </c>
      <c r="AW1015">
        <v>38</v>
      </c>
      <c r="AX1015">
        <v>42</v>
      </c>
      <c r="AY1015">
        <v>45</v>
      </c>
      <c r="AZ1015">
        <v>40</v>
      </c>
      <c r="BA1015">
        <v>14</v>
      </c>
      <c r="BB1015">
        <v>83</v>
      </c>
      <c r="BC1015">
        <v>60</v>
      </c>
      <c r="BD1015">
        <v>2</v>
      </c>
      <c r="BE1015">
        <v>85</v>
      </c>
      <c r="BF1015">
        <v>28</v>
      </c>
      <c r="BG1015">
        <v>21</v>
      </c>
      <c r="BH1015">
        <v>15</v>
      </c>
      <c r="BI1015">
        <v>0</v>
      </c>
      <c r="BJ1015">
        <v>0</v>
      </c>
      <c r="BK1015">
        <v>47</v>
      </c>
      <c r="BL1015">
        <v>2</v>
      </c>
      <c r="BM1015">
        <v>10</v>
      </c>
      <c r="BN1015">
        <v>0</v>
      </c>
      <c r="BO1015">
        <v>9</v>
      </c>
      <c r="BP1015">
        <v>21</v>
      </c>
      <c r="BQ1015">
        <v>0</v>
      </c>
      <c r="BR1015">
        <v>18</v>
      </c>
      <c r="BS1015">
        <v>0</v>
      </c>
      <c r="BT1015">
        <v>0</v>
      </c>
      <c r="BU1015">
        <v>0</v>
      </c>
      <c r="BV1015">
        <v>0</v>
      </c>
      <c r="BW1015">
        <v>0</v>
      </c>
      <c r="BX1015">
        <v>0</v>
      </c>
      <c r="BY1015">
        <v>0</v>
      </c>
      <c r="BZ1015">
        <v>0</v>
      </c>
      <c r="CA1015">
        <v>0</v>
      </c>
      <c r="CB1015">
        <v>0</v>
      </c>
      <c r="CC1015">
        <v>0</v>
      </c>
      <c r="CD1015">
        <v>0</v>
      </c>
      <c r="CE1015">
        <v>0</v>
      </c>
      <c r="CF1015">
        <v>0</v>
      </c>
      <c r="CG1015">
        <v>0</v>
      </c>
      <c r="CH1015">
        <v>0</v>
      </c>
      <c r="CI1015">
        <v>0</v>
      </c>
      <c r="CJ1015">
        <v>0</v>
      </c>
      <c r="CK1015">
        <v>0</v>
      </c>
      <c r="CL1015">
        <v>0</v>
      </c>
      <c r="CM1015">
        <v>0</v>
      </c>
      <c r="CN1015">
        <v>0</v>
      </c>
      <c r="CO1015">
        <v>0</v>
      </c>
      <c r="CP1015">
        <v>0</v>
      </c>
      <c r="CQ1015">
        <v>0</v>
      </c>
      <c r="CR1015">
        <v>0</v>
      </c>
      <c r="CS1015">
        <v>0</v>
      </c>
      <c r="CT1015">
        <v>0</v>
      </c>
      <c r="CU1015">
        <v>0</v>
      </c>
      <c r="CV1015">
        <v>0</v>
      </c>
      <c r="CW1015">
        <v>0</v>
      </c>
      <c r="CX1015">
        <v>0</v>
      </c>
      <c r="CY1015">
        <v>0</v>
      </c>
      <c r="CZ1015">
        <v>0</v>
      </c>
      <c r="DA1015">
        <v>0</v>
      </c>
      <c r="DB1015">
        <v>0</v>
      </c>
      <c r="DC1015">
        <v>0</v>
      </c>
      <c r="DD1015">
        <v>0</v>
      </c>
      <c r="DE1015">
        <v>0</v>
      </c>
      <c r="DF1015">
        <v>0</v>
      </c>
      <c r="DG1015" s="16">
        <f t="shared" si="82"/>
        <v>1178</v>
      </c>
      <c r="DH1015" s="16">
        <f t="shared" si="83"/>
        <v>35283</v>
      </c>
      <c r="DI1015" s="17">
        <f t="shared" si="84"/>
        <v>29.951612903225808</v>
      </c>
      <c r="DJ1015" s="119" t="s">
        <v>2</v>
      </c>
      <c r="DK1015" s="44" t="s">
        <v>2</v>
      </c>
    </row>
    <row r="1016" spans="1:115" ht="15" customHeight="1">
      <c r="A1016" s="32" t="str">
        <f t="shared" si="85"/>
        <v>SA Power--&gt; 11 kV &amp; &lt; ≈ 22 kV  ; LOAD BREAK SWITCH; GROUND LEVEL</v>
      </c>
      <c r="B1016" s="32" t="str">
        <f t="shared" si="86"/>
        <v>SA Power</v>
      </c>
      <c r="C1016" s="385"/>
      <c r="E1016" t="s">
        <v>1288</v>
      </c>
      <c r="F1016">
        <v>45</v>
      </c>
      <c r="G1016">
        <v>6.7823932499369999</v>
      </c>
      <c r="H1016">
        <v>239</v>
      </c>
      <c r="I1016">
        <v>319</v>
      </c>
      <c r="J1016">
        <v>354</v>
      </c>
      <c r="K1016">
        <v>393</v>
      </c>
      <c r="L1016">
        <v>389</v>
      </c>
      <c r="M1016">
        <v>344</v>
      </c>
      <c r="N1016">
        <v>480</v>
      </c>
      <c r="O1016">
        <v>478</v>
      </c>
      <c r="P1016">
        <v>274</v>
      </c>
      <c r="Q1016">
        <v>228</v>
      </c>
      <c r="R1016">
        <v>162</v>
      </c>
      <c r="S1016">
        <v>57</v>
      </c>
      <c r="T1016">
        <v>25</v>
      </c>
      <c r="U1016">
        <v>26</v>
      </c>
      <c r="V1016">
        <v>4</v>
      </c>
      <c r="W1016">
        <v>134</v>
      </c>
      <c r="X1016">
        <v>134</v>
      </c>
      <c r="Y1016">
        <v>0</v>
      </c>
      <c r="Z1016">
        <v>0</v>
      </c>
      <c r="AA1016">
        <v>1</v>
      </c>
      <c r="AB1016">
        <v>229</v>
      </c>
      <c r="AC1016">
        <v>233</v>
      </c>
      <c r="AD1016">
        <v>24</v>
      </c>
      <c r="AE1016">
        <v>45</v>
      </c>
      <c r="AF1016">
        <v>38</v>
      </c>
      <c r="AG1016">
        <v>23</v>
      </c>
      <c r="AH1016">
        <v>143</v>
      </c>
      <c r="AI1016">
        <v>133</v>
      </c>
      <c r="AJ1016">
        <v>1</v>
      </c>
      <c r="AK1016">
        <v>1</v>
      </c>
      <c r="AL1016">
        <v>0</v>
      </c>
      <c r="AM1016">
        <v>63</v>
      </c>
      <c r="AN1016">
        <v>63</v>
      </c>
      <c r="AO1016">
        <v>0</v>
      </c>
      <c r="AP1016">
        <v>0</v>
      </c>
      <c r="AQ1016">
        <v>0</v>
      </c>
      <c r="AR1016">
        <v>50</v>
      </c>
      <c r="AS1016">
        <v>50</v>
      </c>
      <c r="AT1016">
        <v>1</v>
      </c>
      <c r="AU1016">
        <v>3</v>
      </c>
      <c r="AV1016">
        <v>4</v>
      </c>
      <c r="AW1016">
        <v>4</v>
      </c>
      <c r="AX1016">
        <v>4</v>
      </c>
      <c r="AY1016">
        <v>6</v>
      </c>
      <c r="AZ1016">
        <v>8</v>
      </c>
      <c r="BA1016">
        <v>9</v>
      </c>
      <c r="BB1016">
        <v>10</v>
      </c>
      <c r="BC1016">
        <v>10</v>
      </c>
      <c r="BD1016">
        <v>10</v>
      </c>
      <c r="BE1016">
        <v>10</v>
      </c>
      <c r="BF1016">
        <v>9</v>
      </c>
      <c r="BG1016">
        <v>9</v>
      </c>
      <c r="BH1016">
        <v>10</v>
      </c>
      <c r="BI1016">
        <v>10</v>
      </c>
      <c r="BJ1016">
        <v>10</v>
      </c>
      <c r="BK1016">
        <v>10</v>
      </c>
      <c r="BL1016">
        <v>7</v>
      </c>
      <c r="BM1016">
        <v>2</v>
      </c>
      <c r="BN1016">
        <v>0</v>
      </c>
      <c r="BO1016">
        <v>0</v>
      </c>
      <c r="BP1016">
        <v>0</v>
      </c>
      <c r="BQ1016">
        <v>0</v>
      </c>
      <c r="BR1016">
        <v>0</v>
      </c>
      <c r="BS1016">
        <v>0</v>
      </c>
      <c r="BT1016">
        <v>0</v>
      </c>
      <c r="BU1016">
        <v>0</v>
      </c>
      <c r="BV1016">
        <v>0</v>
      </c>
      <c r="BW1016">
        <v>0</v>
      </c>
      <c r="BX1016">
        <v>0</v>
      </c>
      <c r="BY1016">
        <v>0</v>
      </c>
      <c r="BZ1016">
        <v>0</v>
      </c>
      <c r="CA1016">
        <v>0</v>
      </c>
      <c r="CB1016">
        <v>0</v>
      </c>
      <c r="CC1016">
        <v>0</v>
      </c>
      <c r="CD1016">
        <v>0</v>
      </c>
      <c r="CE1016">
        <v>0</v>
      </c>
      <c r="CF1016">
        <v>0</v>
      </c>
      <c r="CG1016">
        <v>0</v>
      </c>
      <c r="CH1016">
        <v>0</v>
      </c>
      <c r="CI1016">
        <v>0</v>
      </c>
      <c r="CJ1016">
        <v>0</v>
      </c>
      <c r="CK1016">
        <v>0</v>
      </c>
      <c r="CL1016">
        <v>0</v>
      </c>
      <c r="CM1016">
        <v>0</v>
      </c>
      <c r="CN1016">
        <v>0</v>
      </c>
      <c r="CO1016">
        <v>0</v>
      </c>
      <c r="CP1016">
        <v>0</v>
      </c>
      <c r="CQ1016">
        <v>0</v>
      </c>
      <c r="CR1016">
        <v>0</v>
      </c>
      <c r="CS1016">
        <v>0</v>
      </c>
      <c r="CT1016">
        <v>0</v>
      </c>
      <c r="CU1016">
        <v>0</v>
      </c>
      <c r="CV1016">
        <v>0</v>
      </c>
      <c r="CW1016">
        <v>0</v>
      </c>
      <c r="CX1016">
        <v>0</v>
      </c>
      <c r="CY1016">
        <v>0</v>
      </c>
      <c r="CZ1016">
        <v>0</v>
      </c>
      <c r="DA1016">
        <v>0</v>
      </c>
      <c r="DB1016">
        <v>0</v>
      </c>
      <c r="DC1016">
        <v>0</v>
      </c>
      <c r="DD1016">
        <v>0</v>
      </c>
      <c r="DE1016">
        <v>0</v>
      </c>
      <c r="DF1016">
        <v>0</v>
      </c>
      <c r="DG1016" s="16">
        <f t="shared" si="82"/>
        <v>5283</v>
      </c>
      <c r="DH1016" s="16">
        <f t="shared" si="83"/>
        <v>62974</v>
      </c>
      <c r="DI1016" s="17">
        <f t="shared" si="84"/>
        <v>11.920121143289798</v>
      </c>
      <c r="DJ1016" s="119" t="s">
        <v>2</v>
      </c>
      <c r="DK1016" s="44" t="s">
        <v>2</v>
      </c>
    </row>
    <row r="1017" spans="1:115" ht="15" customHeight="1">
      <c r="A1017" s="32" t="str">
        <f t="shared" si="85"/>
        <v>SA Power--&gt; 11 kV &amp; &lt; = 22 kV  ; CIRCUIT BREAKER</v>
      </c>
      <c r="B1017" s="32" t="str">
        <f t="shared" si="86"/>
        <v>SA Power</v>
      </c>
      <c r="C1017" s="385"/>
      <c r="E1017" t="s">
        <v>250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v>0</v>
      </c>
      <c r="AV1017">
        <v>0</v>
      </c>
      <c r="AW1017">
        <v>0</v>
      </c>
      <c r="AX1017">
        <v>0</v>
      </c>
      <c r="AY1017">
        <v>0</v>
      </c>
      <c r="AZ1017">
        <v>0</v>
      </c>
      <c r="BA1017">
        <v>0</v>
      </c>
      <c r="BB1017">
        <v>0</v>
      </c>
      <c r="BC1017">
        <v>0</v>
      </c>
      <c r="BD1017">
        <v>0</v>
      </c>
      <c r="BE1017">
        <v>0</v>
      </c>
      <c r="BF1017">
        <v>0</v>
      </c>
      <c r="BG1017">
        <v>0</v>
      </c>
      <c r="BH1017">
        <v>0</v>
      </c>
      <c r="BI1017">
        <v>0</v>
      </c>
      <c r="BJ1017">
        <v>0</v>
      </c>
      <c r="BK1017">
        <v>0</v>
      </c>
      <c r="BL1017">
        <v>0</v>
      </c>
      <c r="BM1017">
        <v>0</v>
      </c>
      <c r="BN1017">
        <v>0</v>
      </c>
      <c r="BO1017">
        <v>0</v>
      </c>
      <c r="BP1017">
        <v>0</v>
      </c>
      <c r="BQ1017">
        <v>0</v>
      </c>
      <c r="BR1017">
        <v>0</v>
      </c>
      <c r="BS1017">
        <v>0</v>
      </c>
      <c r="BT1017">
        <v>0</v>
      </c>
      <c r="BU1017">
        <v>0</v>
      </c>
      <c r="BV1017">
        <v>0</v>
      </c>
      <c r="BW1017">
        <v>0</v>
      </c>
      <c r="BX1017">
        <v>0</v>
      </c>
      <c r="BY1017">
        <v>0</v>
      </c>
      <c r="BZ1017">
        <v>0</v>
      </c>
      <c r="CA1017">
        <v>0</v>
      </c>
      <c r="CB1017">
        <v>0</v>
      </c>
      <c r="CC1017">
        <v>0</v>
      </c>
      <c r="CD1017">
        <v>0</v>
      </c>
      <c r="CE1017">
        <v>0</v>
      </c>
      <c r="CF1017">
        <v>0</v>
      </c>
      <c r="CG1017">
        <v>0</v>
      </c>
      <c r="CH1017">
        <v>0</v>
      </c>
      <c r="CI1017">
        <v>0</v>
      </c>
      <c r="CJ1017">
        <v>0</v>
      </c>
      <c r="CK1017">
        <v>0</v>
      </c>
      <c r="CL1017">
        <v>0</v>
      </c>
      <c r="CM1017">
        <v>0</v>
      </c>
      <c r="CN1017">
        <v>0</v>
      </c>
      <c r="CO1017">
        <v>0</v>
      </c>
      <c r="CP1017">
        <v>0</v>
      </c>
      <c r="CQ1017">
        <v>0</v>
      </c>
      <c r="CR1017">
        <v>0</v>
      </c>
      <c r="CS1017">
        <v>0</v>
      </c>
      <c r="CT1017">
        <v>0</v>
      </c>
      <c r="CU1017">
        <v>0</v>
      </c>
      <c r="CV1017">
        <v>0</v>
      </c>
      <c r="CW1017">
        <v>0</v>
      </c>
      <c r="CX1017">
        <v>0</v>
      </c>
      <c r="CY1017">
        <v>0</v>
      </c>
      <c r="CZ1017">
        <v>0</v>
      </c>
      <c r="DA1017">
        <v>0</v>
      </c>
      <c r="DB1017">
        <v>0</v>
      </c>
      <c r="DC1017">
        <v>0</v>
      </c>
      <c r="DD1017">
        <v>0</v>
      </c>
      <c r="DE1017">
        <v>0</v>
      </c>
      <c r="DF1017">
        <v>0</v>
      </c>
      <c r="DG1017" s="16">
        <f t="shared" si="82"/>
        <v>0</v>
      </c>
      <c r="DH1017" s="16">
        <f t="shared" si="83"/>
        <v>0</v>
      </c>
      <c r="DI1017" s="17" t="str">
        <f t="shared" si="84"/>
        <v/>
      </c>
      <c r="DJ1017" s="119" t="s">
        <v>2</v>
      </c>
      <c r="DK1017" s="44" t="s">
        <v>2</v>
      </c>
    </row>
    <row r="1018" spans="1:115" ht="15" customHeight="1">
      <c r="A1018" s="32" t="str">
        <f t="shared" si="85"/>
        <v>SA Power--&gt; 22 kV &amp; &lt; ≈ 33 kV  ; LOAD BREAK SWITCH; GROUND LEVEL</v>
      </c>
      <c r="B1018" s="32" t="str">
        <f t="shared" si="86"/>
        <v>SA Power</v>
      </c>
      <c r="C1018" s="385"/>
      <c r="E1018" t="s">
        <v>1289</v>
      </c>
      <c r="F1018">
        <v>45</v>
      </c>
      <c r="G1018">
        <v>6.7823932499369999</v>
      </c>
      <c r="H1018">
        <v>8</v>
      </c>
      <c r="I1018">
        <v>20</v>
      </c>
      <c r="J1018">
        <v>8</v>
      </c>
      <c r="K1018">
        <v>16</v>
      </c>
      <c r="L1018">
        <v>2</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c r="AP1018">
        <v>0</v>
      </c>
      <c r="AQ1018">
        <v>0</v>
      </c>
      <c r="AR1018">
        <v>0</v>
      </c>
      <c r="AS1018">
        <v>0</v>
      </c>
      <c r="AT1018">
        <v>0</v>
      </c>
      <c r="AU1018">
        <v>0</v>
      </c>
      <c r="AV1018">
        <v>0</v>
      </c>
      <c r="AW1018">
        <v>0</v>
      </c>
      <c r="AX1018">
        <v>0</v>
      </c>
      <c r="AY1018">
        <v>0</v>
      </c>
      <c r="AZ1018">
        <v>0</v>
      </c>
      <c r="BA1018">
        <v>0</v>
      </c>
      <c r="BB1018">
        <v>0</v>
      </c>
      <c r="BC1018">
        <v>0</v>
      </c>
      <c r="BD1018">
        <v>0</v>
      </c>
      <c r="BE1018">
        <v>0</v>
      </c>
      <c r="BF1018">
        <v>0</v>
      </c>
      <c r="BG1018">
        <v>0</v>
      </c>
      <c r="BH1018">
        <v>0</v>
      </c>
      <c r="BI1018">
        <v>0</v>
      </c>
      <c r="BJ1018">
        <v>0</v>
      </c>
      <c r="BK1018">
        <v>0</v>
      </c>
      <c r="BL1018">
        <v>0</v>
      </c>
      <c r="BM1018">
        <v>0</v>
      </c>
      <c r="BN1018">
        <v>0</v>
      </c>
      <c r="BO1018">
        <v>0</v>
      </c>
      <c r="BP1018">
        <v>0</v>
      </c>
      <c r="BQ1018">
        <v>0</v>
      </c>
      <c r="BR1018">
        <v>0</v>
      </c>
      <c r="BS1018">
        <v>0</v>
      </c>
      <c r="BT1018">
        <v>0</v>
      </c>
      <c r="BU1018">
        <v>0</v>
      </c>
      <c r="BV1018">
        <v>0</v>
      </c>
      <c r="BW1018">
        <v>0</v>
      </c>
      <c r="BX1018">
        <v>0</v>
      </c>
      <c r="BY1018">
        <v>0</v>
      </c>
      <c r="BZ1018">
        <v>0</v>
      </c>
      <c r="CA1018">
        <v>0</v>
      </c>
      <c r="CB1018">
        <v>0</v>
      </c>
      <c r="CC1018">
        <v>0</v>
      </c>
      <c r="CD1018">
        <v>0</v>
      </c>
      <c r="CE1018">
        <v>0</v>
      </c>
      <c r="CF1018">
        <v>0</v>
      </c>
      <c r="CG1018">
        <v>0</v>
      </c>
      <c r="CH1018">
        <v>0</v>
      </c>
      <c r="CI1018">
        <v>0</v>
      </c>
      <c r="CJ1018">
        <v>0</v>
      </c>
      <c r="CK1018">
        <v>0</v>
      </c>
      <c r="CL1018">
        <v>0</v>
      </c>
      <c r="CM1018">
        <v>0</v>
      </c>
      <c r="CN1018">
        <v>0</v>
      </c>
      <c r="CO1018">
        <v>0</v>
      </c>
      <c r="CP1018">
        <v>0</v>
      </c>
      <c r="CQ1018">
        <v>0</v>
      </c>
      <c r="CR1018">
        <v>0</v>
      </c>
      <c r="CS1018">
        <v>0</v>
      </c>
      <c r="CT1018">
        <v>0</v>
      </c>
      <c r="CU1018">
        <v>0</v>
      </c>
      <c r="CV1018">
        <v>0</v>
      </c>
      <c r="CW1018">
        <v>0</v>
      </c>
      <c r="CX1018">
        <v>0</v>
      </c>
      <c r="CY1018">
        <v>0</v>
      </c>
      <c r="CZ1018">
        <v>0</v>
      </c>
      <c r="DA1018">
        <v>0</v>
      </c>
      <c r="DB1018">
        <v>0</v>
      </c>
      <c r="DC1018">
        <v>0</v>
      </c>
      <c r="DD1018">
        <v>0</v>
      </c>
      <c r="DE1018">
        <v>0</v>
      </c>
      <c r="DF1018">
        <v>0</v>
      </c>
      <c r="DG1018" s="16">
        <f t="shared" si="82"/>
        <v>54</v>
      </c>
      <c r="DH1018" s="16">
        <f t="shared" si="83"/>
        <v>146</v>
      </c>
      <c r="DI1018" s="17">
        <f t="shared" si="84"/>
        <v>2.7037037037037037</v>
      </c>
      <c r="DJ1018" s="119" t="s">
        <v>2</v>
      </c>
      <c r="DK1018" s="44" t="s">
        <v>2</v>
      </c>
    </row>
    <row r="1019" spans="1:115" ht="15" customHeight="1">
      <c r="A1019" s="32" t="str">
        <f t="shared" si="85"/>
        <v>SA Power--&gt; 22 kV &amp; &lt; = 33 kV ; CIRCUIT BREAKER</v>
      </c>
      <c r="B1019" s="32" t="str">
        <f t="shared" si="86"/>
        <v>SA Power</v>
      </c>
      <c r="C1019" s="385"/>
      <c r="E1019" t="s">
        <v>252</v>
      </c>
      <c r="F1019">
        <v>66</v>
      </c>
      <c r="G1019">
        <v>8</v>
      </c>
      <c r="H1019">
        <v>13</v>
      </c>
      <c r="I1019">
        <v>16</v>
      </c>
      <c r="J1019">
        <v>15</v>
      </c>
      <c r="K1019">
        <v>9</v>
      </c>
      <c r="L1019">
        <v>5</v>
      </c>
      <c r="M1019">
        <v>5</v>
      </c>
      <c r="N1019">
        <v>7</v>
      </c>
      <c r="O1019">
        <v>7</v>
      </c>
      <c r="P1019">
        <v>6</v>
      </c>
      <c r="Q1019">
        <v>6</v>
      </c>
      <c r="R1019">
        <v>7</v>
      </c>
      <c r="S1019">
        <v>2</v>
      </c>
      <c r="T1019">
        <v>0</v>
      </c>
      <c r="U1019">
        <v>3</v>
      </c>
      <c r="V1019">
        <v>0</v>
      </c>
      <c r="W1019">
        <v>0</v>
      </c>
      <c r="X1019">
        <v>0</v>
      </c>
      <c r="Y1019">
        <v>0</v>
      </c>
      <c r="Z1019">
        <v>0</v>
      </c>
      <c r="AA1019">
        <v>0</v>
      </c>
      <c r="AB1019">
        <v>0</v>
      </c>
      <c r="AC1019">
        <v>0</v>
      </c>
      <c r="AD1019">
        <v>0</v>
      </c>
      <c r="AE1019">
        <v>10</v>
      </c>
      <c r="AF1019">
        <v>2</v>
      </c>
      <c r="AG1019">
        <v>0</v>
      </c>
      <c r="AH1019">
        <v>0</v>
      </c>
      <c r="AI1019">
        <v>0</v>
      </c>
      <c r="AJ1019">
        <v>0</v>
      </c>
      <c r="AK1019">
        <v>0</v>
      </c>
      <c r="AL1019">
        <v>0</v>
      </c>
      <c r="AM1019">
        <v>0</v>
      </c>
      <c r="AN1019">
        <v>0</v>
      </c>
      <c r="AO1019">
        <v>0</v>
      </c>
      <c r="AP1019">
        <v>0</v>
      </c>
      <c r="AQ1019">
        <v>0</v>
      </c>
      <c r="AR1019">
        <v>0</v>
      </c>
      <c r="AS1019">
        <v>0</v>
      </c>
      <c r="AT1019">
        <v>0</v>
      </c>
      <c r="AU1019">
        <v>0</v>
      </c>
      <c r="AV1019">
        <v>0</v>
      </c>
      <c r="AW1019">
        <v>0</v>
      </c>
      <c r="AX1019">
        <v>0</v>
      </c>
      <c r="AY1019">
        <v>0</v>
      </c>
      <c r="AZ1019">
        <v>0</v>
      </c>
      <c r="BA1019">
        <v>24</v>
      </c>
      <c r="BB1019">
        <v>23</v>
      </c>
      <c r="BC1019">
        <v>0</v>
      </c>
      <c r="BD1019">
        <v>5</v>
      </c>
      <c r="BE1019">
        <v>0</v>
      </c>
      <c r="BF1019">
        <v>2</v>
      </c>
      <c r="BG1019">
        <v>0</v>
      </c>
      <c r="BH1019">
        <v>9</v>
      </c>
      <c r="BI1019">
        <v>0</v>
      </c>
      <c r="BJ1019">
        <v>3</v>
      </c>
      <c r="BK1019">
        <v>27</v>
      </c>
      <c r="BL1019">
        <v>0</v>
      </c>
      <c r="BM1019">
        <v>0</v>
      </c>
      <c r="BN1019">
        <v>0</v>
      </c>
      <c r="BO1019">
        <v>21</v>
      </c>
      <c r="BP1019">
        <v>0</v>
      </c>
      <c r="BQ1019">
        <v>0</v>
      </c>
      <c r="BR1019">
        <v>6</v>
      </c>
      <c r="BS1019">
        <v>0</v>
      </c>
      <c r="BT1019">
        <v>0</v>
      </c>
      <c r="BU1019">
        <v>0</v>
      </c>
      <c r="BV1019">
        <v>7</v>
      </c>
      <c r="BW1019">
        <v>0</v>
      </c>
      <c r="BX1019">
        <v>4</v>
      </c>
      <c r="BY1019">
        <v>0</v>
      </c>
      <c r="BZ1019">
        <v>0</v>
      </c>
      <c r="CA1019">
        <v>0</v>
      </c>
      <c r="CB1019">
        <v>0</v>
      </c>
      <c r="CC1019">
        <v>0</v>
      </c>
      <c r="CD1019">
        <v>0</v>
      </c>
      <c r="CE1019">
        <v>0</v>
      </c>
      <c r="CF1019">
        <v>1</v>
      </c>
      <c r="CG1019">
        <v>0</v>
      </c>
      <c r="CH1019">
        <v>0</v>
      </c>
      <c r="CI1019">
        <v>0</v>
      </c>
      <c r="CJ1019">
        <v>0</v>
      </c>
      <c r="CK1019">
        <v>0</v>
      </c>
      <c r="CL1019">
        <v>0</v>
      </c>
      <c r="CM1019">
        <v>0</v>
      </c>
      <c r="CN1019">
        <v>0</v>
      </c>
      <c r="CO1019">
        <v>0</v>
      </c>
      <c r="CP1019">
        <v>0</v>
      </c>
      <c r="CQ1019">
        <v>0</v>
      </c>
      <c r="CR1019">
        <v>0</v>
      </c>
      <c r="CS1019">
        <v>0</v>
      </c>
      <c r="CT1019">
        <v>0</v>
      </c>
      <c r="CU1019">
        <v>0</v>
      </c>
      <c r="CV1019">
        <v>0</v>
      </c>
      <c r="CW1019">
        <v>0</v>
      </c>
      <c r="CX1019">
        <v>0</v>
      </c>
      <c r="CY1019">
        <v>0</v>
      </c>
      <c r="CZ1019">
        <v>0</v>
      </c>
      <c r="DA1019">
        <v>0</v>
      </c>
      <c r="DB1019">
        <v>0</v>
      </c>
      <c r="DC1019">
        <v>0</v>
      </c>
      <c r="DD1019">
        <v>0</v>
      </c>
      <c r="DE1019">
        <v>0</v>
      </c>
      <c r="DF1019">
        <v>0</v>
      </c>
      <c r="DG1019" s="16">
        <f t="shared" si="82"/>
        <v>245</v>
      </c>
      <c r="DH1019" s="16">
        <f t="shared" si="83"/>
        <v>7979</v>
      </c>
      <c r="DI1019" s="17">
        <f t="shared" si="84"/>
        <v>32.567346938775508</v>
      </c>
      <c r="DJ1019" s="119" t="s">
        <v>2</v>
      </c>
      <c r="DK1019" s="44" t="s">
        <v>2</v>
      </c>
    </row>
    <row r="1020" spans="1:115" ht="15" customHeight="1">
      <c r="A1020" s="32" t="str">
        <f t="shared" si="85"/>
        <v>SA Power--&gt; 33 kV &amp; &lt; = 66 kV ; SWITCH</v>
      </c>
      <c r="B1020" s="32" t="str">
        <f t="shared" si="86"/>
        <v>SA Power</v>
      </c>
      <c r="C1020" s="385"/>
      <c r="E1020" t="s">
        <v>253</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v>0</v>
      </c>
      <c r="AM1020">
        <v>0</v>
      </c>
      <c r="AN1020">
        <v>0</v>
      </c>
      <c r="AO1020">
        <v>0</v>
      </c>
      <c r="AP1020">
        <v>0</v>
      </c>
      <c r="AQ1020">
        <v>0</v>
      </c>
      <c r="AR1020">
        <v>0</v>
      </c>
      <c r="AS1020">
        <v>0</v>
      </c>
      <c r="AT1020">
        <v>0</v>
      </c>
      <c r="AU1020">
        <v>0</v>
      </c>
      <c r="AV1020">
        <v>0</v>
      </c>
      <c r="AW1020">
        <v>0</v>
      </c>
      <c r="AX1020">
        <v>0</v>
      </c>
      <c r="AY1020">
        <v>0</v>
      </c>
      <c r="AZ1020">
        <v>0</v>
      </c>
      <c r="BA1020">
        <v>0</v>
      </c>
      <c r="BB1020">
        <v>0</v>
      </c>
      <c r="BC1020">
        <v>0</v>
      </c>
      <c r="BD1020">
        <v>0</v>
      </c>
      <c r="BE1020">
        <v>0</v>
      </c>
      <c r="BF1020">
        <v>0</v>
      </c>
      <c r="BG1020">
        <v>0</v>
      </c>
      <c r="BH1020">
        <v>0</v>
      </c>
      <c r="BI1020">
        <v>0</v>
      </c>
      <c r="BJ1020">
        <v>0</v>
      </c>
      <c r="BK1020">
        <v>0</v>
      </c>
      <c r="BL1020">
        <v>0</v>
      </c>
      <c r="BM1020">
        <v>0</v>
      </c>
      <c r="BN1020">
        <v>0</v>
      </c>
      <c r="BO1020">
        <v>0</v>
      </c>
      <c r="BP1020">
        <v>0</v>
      </c>
      <c r="BQ1020">
        <v>0</v>
      </c>
      <c r="BR1020">
        <v>0</v>
      </c>
      <c r="BS1020">
        <v>0</v>
      </c>
      <c r="BT1020">
        <v>0</v>
      </c>
      <c r="BU1020">
        <v>0</v>
      </c>
      <c r="BV1020">
        <v>0</v>
      </c>
      <c r="BW1020">
        <v>0</v>
      </c>
      <c r="BX1020">
        <v>0</v>
      </c>
      <c r="BY1020">
        <v>0</v>
      </c>
      <c r="BZ1020">
        <v>0</v>
      </c>
      <c r="CA1020">
        <v>0</v>
      </c>
      <c r="CB1020">
        <v>0</v>
      </c>
      <c r="CC1020">
        <v>0</v>
      </c>
      <c r="CD1020">
        <v>0</v>
      </c>
      <c r="CE1020">
        <v>0</v>
      </c>
      <c r="CF1020">
        <v>0</v>
      </c>
      <c r="CG1020">
        <v>0</v>
      </c>
      <c r="CH1020">
        <v>0</v>
      </c>
      <c r="CI1020">
        <v>0</v>
      </c>
      <c r="CJ1020">
        <v>0</v>
      </c>
      <c r="CK1020">
        <v>0</v>
      </c>
      <c r="CL1020">
        <v>0</v>
      </c>
      <c r="CM1020">
        <v>0</v>
      </c>
      <c r="CN1020">
        <v>0</v>
      </c>
      <c r="CO1020">
        <v>0</v>
      </c>
      <c r="CP1020">
        <v>0</v>
      </c>
      <c r="CQ1020">
        <v>0</v>
      </c>
      <c r="CR1020">
        <v>0</v>
      </c>
      <c r="CS1020">
        <v>0</v>
      </c>
      <c r="CT1020">
        <v>0</v>
      </c>
      <c r="CU1020">
        <v>0</v>
      </c>
      <c r="CV1020">
        <v>0</v>
      </c>
      <c r="CW1020">
        <v>0</v>
      </c>
      <c r="CX1020">
        <v>0</v>
      </c>
      <c r="CY1020">
        <v>0</v>
      </c>
      <c r="CZ1020">
        <v>0</v>
      </c>
      <c r="DA1020">
        <v>0</v>
      </c>
      <c r="DB1020">
        <v>0</v>
      </c>
      <c r="DC1020">
        <v>0</v>
      </c>
      <c r="DD1020">
        <v>0</v>
      </c>
      <c r="DE1020">
        <v>0</v>
      </c>
      <c r="DF1020">
        <v>0</v>
      </c>
      <c r="DG1020" s="16">
        <f t="shared" si="82"/>
        <v>0</v>
      </c>
      <c r="DH1020" s="16">
        <f t="shared" si="83"/>
        <v>0</v>
      </c>
      <c r="DI1020" s="17" t="str">
        <f t="shared" si="84"/>
        <v/>
      </c>
      <c r="DJ1020" s="119" t="s">
        <v>2</v>
      </c>
      <c r="DK1020" s="44" t="s">
        <v>2</v>
      </c>
    </row>
    <row r="1021" spans="1:115" ht="15" customHeight="1">
      <c r="A1021" s="32" t="str">
        <f t="shared" si="85"/>
        <v>SA Power--&gt; 33 kV &amp; &lt; = 66 kV ; CIRCUIT BREAKER</v>
      </c>
      <c r="B1021" s="32" t="str">
        <f t="shared" si="86"/>
        <v>SA Power</v>
      </c>
      <c r="C1021" s="385"/>
      <c r="E1021" t="s">
        <v>254</v>
      </c>
      <c r="F1021">
        <v>66</v>
      </c>
      <c r="G1021">
        <v>8</v>
      </c>
      <c r="H1021">
        <v>3</v>
      </c>
      <c r="I1021">
        <v>32</v>
      </c>
      <c r="J1021">
        <v>39</v>
      </c>
      <c r="K1021">
        <v>30</v>
      </c>
      <c r="L1021">
        <v>15</v>
      </c>
      <c r="M1021">
        <v>24</v>
      </c>
      <c r="N1021">
        <v>16</v>
      </c>
      <c r="O1021">
        <v>20</v>
      </c>
      <c r="P1021">
        <v>11</v>
      </c>
      <c r="Q1021">
        <v>2</v>
      </c>
      <c r="R1021">
        <v>13</v>
      </c>
      <c r="S1021">
        <v>11</v>
      </c>
      <c r="T1021">
        <v>8</v>
      </c>
      <c r="U1021">
        <v>8</v>
      </c>
      <c r="V1021">
        <v>2</v>
      </c>
      <c r="W1021">
        <v>7</v>
      </c>
      <c r="X1021">
        <v>1</v>
      </c>
      <c r="Y1021">
        <v>2</v>
      </c>
      <c r="Z1021">
        <v>1</v>
      </c>
      <c r="AA1021">
        <v>0</v>
      </c>
      <c r="AB1021">
        <v>0</v>
      </c>
      <c r="AC1021">
        <v>2</v>
      </c>
      <c r="AD1021">
        <v>8</v>
      </c>
      <c r="AE1021">
        <v>0</v>
      </c>
      <c r="AF1021">
        <v>13</v>
      </c>
      <c r="AG1021">
        <v>6</v>
      </c>
      <c r="AH1021">
        <v>5</v>
      </c>
      <c r="AI1021">
        <v>2</v>
      </c>
      <c r="AJ1021">
        <v>12</v>
      </c>
      <c r="AK1021">
        <v>11</v>
      </c>
      <c r="AL1021">
        <v>0</v>
      </c>
      <c r="AM1021">
        <v>10</v>
      </c>
      <c r="AN1021">
        <v>0</v>
      </c>
      <c r="AO1021">
        <v>0</v>
      </c>
      <c r="AP1021">
        <v>0</v>
      </c>
      <c r="AQ1021">
        <v>0</v>
      </c>
      <c r="AR1021">
        <v>0</v>
      </c>
      <c r="AS1021">
        <v>0</v>
      </c>
      <c r="AT1021">
        <v>0</v>
      </c>
      <c r="AU1021">
        <v>0</v>
      </c>
      <c r="AV1021">
        <v>3</v>
      </c>
      <c r="AW1021">
        <v>10</v>
      </c>
      <c r="AX1021">
        <v>11</v>
      </c>
      <c r="AY1021">
        <v>24</v>
      </c>
      <c r="AZ1021">
        <v>6</v>
      </c>
      <c r="BA1021">
        <v>7</v>
      </c>
      <c r="BB1021">
        <v>3</v>
      </c>
      <c r="BC1021">
        <v>0</v>
      </c>
      <c r="BD1021">
        <v>17</v>
      </c>
      <c r="BE1021">
        <v>13</v>
      </c>
      <c r="BF1021">
        <v>0</v>
      </c>
      <c r="BG1021">
        <v>0</v>
      </c>
      <c r="BH1021">
        <v>0</v>
      </c>
      <c r="BI1021">
        <v>0</v>
      </c>
      <c r="BJ1021">
        <v>2</v>
      </c>
      <c r="BK1021">
        <v>7</v>
      </c>
      <c r="BL1021">
        <v>0</v>
      </c>
      <c r="BM1021">
        <v>0</v>
      </c>
      <c r="BN1021">
        <v>3</v>
      </c>
      <c r="BO1021">
        <v>9</v>
      </c>
      <c r="BP1021">
        <v>2</v>
      </c>
      <c r="BQ1021">
        <v>12</v>
      </c>
      <c r="BR1021">
        <v>0</v>
      </c>
      <c r="BS1021">
        <v>0</v>
      </c>
      <c r="BT1021">
        <v>0</v>
      </c>
      <c r="BU1021">
        <v>1</v>
      </c>
      <c r="BV1021">
        <v>0</v>
      </c>
      <c r="BW1021">
        <v>0</v>
      </c>
      <c r="BX1021">
        <v>0</v>
      </c>
      <c r="BY1021">
        <v>0</v>
      </c>
      <c r="BZ1021">
        <v>0</v>
      </c>
      <c r="CA1021">
        <v>0</v>
      </c>
      <c r="CB1021">
        <v>0</v>
      </c>
      <c r="CC1021">
        <v>0</v>
      </c>
      <c r="CD1021">
        <v>0</v>
      </c>
      <c r="CE1021">
        <v>0</v>
      </c>
      <c r="CF1021">
        <v>0</v>
      </c>
      <c r="CG1021">
        <v>0</v>
      </c>
      <c r="CH1021">
        <v>0</v>
      </c>
      <c r="CI1021">
        <v>0</v>
      </c>
      <c r="CJ1021">
        <v>0</v>
      </c>
      <c r="CK1021">
        <v>0</v>
      </c>
      <c r="CL1021">
        <v>0</v>
      </c>
      <c r="CM1021">
        <v>0</v>
      </c>
      <c r="CN1021">
        <v>0</v>
      </c>
      <c r="CO1021">
        <v>0</v>
      </c>
      <c r="CP1021">
        <v>0</v>
      </c>
      <c r="CQ1021">
        <v>0</v>
      </c>
      <c r="CR1021">
        <v>0</v>
      </c>
      <c r="CS1021">
        <v>0</v>
      </c>
      <c r="CT1021">
        <v>0</v>
      </c>
      <c r="CU1021">
        <v>0</v>
      </c>
      <c r="CV1021">
        <v>0</v>
      </c>
      <c r="CW1021">
        <v>0</v>
      </c>
      <c r="CX1021">
        <v>0</v>
      </c>
      <c r="CY1021">
        <v>0</v>
      </c>
      <c r="CZ1021">
        <v>0</v>
      </c>
      <c r="DA1021">
        <v>0</v>
      </c>
      <c r="DB1021">
        <v>0</v>
      </c>
      <c r="DC1021">
        <v>0</v>
      </c>
      <c r="DD1021">
        <v>0</v>
      </c>
      <c r="DE1021">
        <v>0</v>
      </c>
      <c r="DF1021">
        <v>0</v>
      </c>
      <c r="DG1021" s="16">
        <f t="shared" si="82"/>
        <v>444</v>
      </c>
      <c r="DH1021" s="16">
        <f t="shared" si="83"/>
        <v>9956</v>
      </c>
      <c r="DI1021" s="17">
        <f t="shared" si="84"/>
        <v>22.423423423423422</v>
      </c>
      <c r="DJ1021" s="119" t="s">
        <v>2</v>
      </c>
      <c r="DK1021" s="44" t="s">
        <v>2</v>
      </c>
    </row>
    <row r="1022" spans="1:115" ht="15" customHeight="1">
      <c r="A1022" s="32" t="str">
        <f t="shared" si="85"/>
        <v>SA Power--&gt; 66 kV &amp; &lt; = 132 kV ; SWITCH</v>
      </c>
      <c r="B1022" s="32" t="str">
        <f t="shared" si="86"/>
        <v>SA Power</v>
      </c>
      <c r="C1022" s="385"/>
      <c r="E1022" t="s">
        <v>255</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0</v>
      </c>
      <c r="AK1022">
        <v>0</v>
      </c>
      <c r="AL1022">
        <v>0</v>
      </c>
      <c r="AM1022">
        <v>0</v>
      </c>
      <c r="AN1022">
        <v>0</v>
      </c>
      <c r="AO1022">
        <v>0</v>
      </c>
      <c r="AP1022">
        <v>0</v>
      </c>
      <c r="AQ1022">
        <v>0</v>
      </c>
      <c r="AR1022">
        <v>0</v>
      </c>
      <c r="AS1022">
        <v>0</v>
      </c>
      <c r="AT1022">
        <v>0</v>
      </c>
      <c r="AU1022">
        <v>0</v>
      </c>
      <c r="AV1022">
        <v>0</v>
      </c>
      <c r="AW1022">
        <v>0</v>
      </c>
      <c r="AX1022">
        <v>0</v>
      </c>
      <c r="AY1022">
        <v>0</v>
      </c>
      <c r="AZ1022">
        <v>0</v>
      </c>
      <c r="BA1022">
        <v>0</v>
      </c>
      <c r="BB1022">
        <v>0</v>
      </c>
      <c r="BC1022">
        <v>0</v>
      </c>
      <c r="BD1022">
        <v>0</v>
      </c>
      <c r="BE1022">
        <v>0</v>
      </c>
      <c r="BF1022">
        <v>0</v>
      </c>
      <c r="BG1022">
        <v>0</v>
      </c>
      <c r="BH1022">
        <v>0</v>
      </c>
      <c r="BI1022">
        <v>0</v>
      </c>
      <c r="BJ1022">
        <v>0</v>
      </c>
      <c r="BK1022">
        <v>0</v>
      </c>
      <c r="BL1022">
        <v>0</v>
      </c>
      <c r="BM1022">
        <v>0</v>
      </c>
      <c r="BN1022">
        <v>0</v>
      </c>
      <c r="BO1022">
        <v>0</v>
      </c>
      <c r="BP1022">
        <v>0</v>
      </c>
      <c r="BQ1022">
        <v>0</v>
      </c>
      <c r="BR1022">
        <v>0</v>
      </c>
      <c r="BS1022">
        <v>0</v>
      </c>
      <c r="BT1022">
        <v>0</v>
      </c>
      <c r="BU1022">
        <v>0</v>
      </c>
      <c r="BV1022">
        <v>0</v>
      </c>
      <c r="BW1022">
        <v>0</v>
      </c>
      <c r="BX1022">
        <v>0</v>
      </c>
      <c r="BY1022">
        <v>0</v>
      </c>
      <c r="BZ1022">
        <v>0</v>
      </c>
      <c r="CA1022">
        <v>0</v>
      </c>
      <c r="CB1022">
        <v>0</v>
      </c>
      <c r="CC1022">
        <v>0</v>
      </c>
      <c r="CD1022">
        <v>0</v>
      </c>
      <c r="CE1022">
        <v>0</v>
      </c>
      <c r="CF1022">
        <v>0</v>
      </c>
      <c r="CG1022">
        <v>0</v>
      </c>
      <c r="CH1022">
        <v>0</v>
      </c>
      <c r="CI1022">
        <v>0</v>
      </c>
      <c r="CJ1022">
        <v>0</v>
      </c>
      <c r="CK1022">
        <v>0</v>
      </c>
      <c r="CL1022">
        <v>0</v>
      </c>
      <c r="CM1022">
        <v>0</v>
      </c>
      <c r="CN1022">
        <v>0</v>
      </c>
      <c r="CO1022">
        <v>0</v>
      </c>
      <c r="CP1022">
        <v>0</v>
      </c>
      <c r="CQ1022">
        <v>0</v>
      </c>
      <c r="CR1022">
        <v>0</v>
      </c>
      <c r="CS1022">
        <v>0</v>
      </c>
      <c r="CT1022">
        <v>0</v>
      </c>
      <c r="CU1022">
        <v>0</v>
      </c>
      <c r="CV1022">
        <v>0</v>
      </c>
      <c r="CW1022">
        <v>0</v>
      </c>
      <c r="CX1022">
        <v>0</v>
      </c>
      <c r="CY1022">
        <v>0</v>
      </c>
      <c r="CZ1022">
        <v>0</v>
      </c>
      <c r="DA1022">
        <v>0</v>
      </c>
      <c r="DB1022">
        <v>0</v>
      </c>
      <c r="DC1022">
        <v>0</v>
      </c>
      <c r="DD1022">
        <v>0</v>
      </c>
      <c r="DE1022">
        <v>0</v>
      </c>
      <c r="DF1022">
        <v>0</v>
      </c>
      <c r="DG1022" s="16">
        <f t="shared" si="82"/>
        <v>0</v>
      </c>
      <c r="DH1022" s="16">
        <f t="shared" si="83"/>
        <v>0</v>
      </c>
      <c r="DI1022" s="17" t="str">
        <f t="shared" si="84"/>
        <v/>
      </c>
      <c r="DJ1022" s="119" t="s">
        <v>2</v>
      </c>
      <c r="DK1022" s="44" t="s">
        <v>2</v>
      </c>
    </row>
    <row r="1023" spans="1:115" ht="15" customHeight="1">
      <c r="A1023" s="32" t="str">
        <f t="shared" si="85"/>
        <v>SA Power--&gt; 66 kV &amp; &lt; = 132 kV  ; CIRCUIT BREAKER</v>
      </c>
      <c r="B1023" s="32" t="str">
        <f t="shared" si="86"/>
        <v>SA Power</v>
      </c>
      <c r="C1023" s="385"/>
      <c r="E1023" t="s">
        <v>256</v>
      </c>
      <c r="F1023">
        <v>66</v>
      </c>
      <c r="G1023">
        <v>8</v>
      </c>
      <c r="H1023">
        <v>0</v>
      </c>
      <c r="I1023">
        <v>0</v>
      </c>
      <c r="J1023">
        <v>0</v>
      </c>
      <c r="K1023">
        <v>0</v>
      </c>
      <c r="L1023">
        <v>0</v>
      </c>
      <c r="M1023">
        <v>0</v>
      </c>
      <c r="N1023">
        <v>1</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c r="AQ1023">
        <v>0</v>
      </c>
      <c r="AR1023">
        <v>0</v>
      </c>
      <c r="AS1023">
        <v>0</v>
      </c>
      <c r="AT1023">
        <v>0</v>
      </c>
      <c r="AU1023">
        <v>0</v>
      </c>
      <c r="AV1023">
        <v>0</v>
      </c>
      <c r="AW1023">
        <v>0</v>
      </c>
      <c r="AX1023">
        <v>0</v>
      </c>
      <c r="AY1023">
        <v>0</v>
      </c>
      <c r="AZ1023">
        <v>0</v>
      </c>
      <c r="BA1023">
        <v>0</v>
      </c>
      <c r="BB1023">
        <v>0</v>
      </c>
      <c r="BC1023">
        <v>0</v>
      </c>
      <c r="BD1023">
        <v>0</v>
      </c>
      <c r="BE1023">
        <v>0</v>
      </c>
      <c r="BF1023">
        <v>0</v>
      </c>
      <c r="BG1023">
        <v>0</v>
      </c>
      <c r="BH1023">
        <v>0</v>
      </c>
      <c r="BI1023">
        <v>0</v>
      </c>
      <c r="BJ1023">
        <v>0</v>
      </c>
      <c r="BK1023">
        <v>0</v>
      </c>
      <c r="BL1023">
        <v>0</v>
      </c>
      <c r="BM1023">
        <v>0</v>
      </c>
      <c r="BN1023">
        <v>0</v>
      </c>
      <c r="BO1023">
        <v>0</v>
      </c>
      <c r="BP1023">
        <v>0</v>
      </c>
      <c r="BQ1023">
        <v>0</v>
      </c>
      <c r="BR1023">
        <v>0</v>
      </c>
      <c r="BS1023">
        <v>0</v>
      </c>
      <c r="BT1023">
        <v>0</v>
      </c>
      <c r="BU1023">
        <v>0</v>
      </c>
      <c r="BV1023">
        <v>0</v>
      </c>
      <c r="BW1023">
        <v>0</v>
      </c>
      <c r="BX1023">
        <v>0</v>
      </c>
      <c r="BY1023">
        <v>0</v>
      </c>
      <c r="BZ1023">
        <v>0</v>
      </c>
      <c r="CA1023">
        <v>0</v>
      </c>
      <c r="CB1023">
        <v>0</v>
      </c>
      <c r="CC1023">
        <v>0</v>
      </c>
      <c r="CD1023">
        <v>0</v>
      </c>
      <c r="CE1023">
        <v>0</v>
      </c>
      <c r="CF1023">
        <v>0</v>
      </c>
      <c r="CG1023">
        <v>0</v>
      </c>
      <c r="CH1023">
        <v>0</v>
      </c>
      <c r="CI1023">
        <v>0</v>
      </c>
      <c r="CJ1023">
        <v>0</v>
      </c>
      <c r="CK1023">
        <v>0</v>
      </c>
      <c r="CL1023">
        <v>0</v>
      </c>
      <c r="CM1023">
        <v>0</v>
      </c>
      <c r="CN1023">
        <v>0</v>
      </c>
      <c r="CO1023">
        <v>0</v>
      </c>
      <c r="CP1023">
        <v>0</v>
      </c>
      <c r="CQ1023">
        <v>0</v>
      </c>
      <c r="CR1023">
        <v>0</v>
      </c>
      <c r="CS1023">
        <v>0</v>
      </c>
      <c r="CT1023">
        <v>0</v>
      </c>
      <c r="CU1023">
        <v>0</v>
      </c>
      <c r="CV1023">
        <v>0</v>
      </c>
      <c r="CW1023">
        <v>0</v>
      </c>
      <c r="CX1023">
        <v>0</v>
      </c>
      <c r="CY1023">
        <v>0</v>
      </c>
      <c r="CZ1023">
        <v>0</v>
      </c>
      <c r="DA1023">
        <v>0</v>
      </c>
      <c r="DB1023">
        <v>0</v>
      </c>
      <c r="DC1023">
        <v>0</v>
      </c>
      <c r="DD1023">
        <v>0</v>
      </c>
      <c r="DE1023">
        <v>0</v>
      </c>
      <c r="DF1023">
        <v>0</v>
      </c>
      <c r="DG1023" s="16">
        <f t="shared" si="82"/>
        <v>1</v>
      </c>
      <c r="DH1023" s="16">
        <f t="shared" si="83"/>
        <v>7</v>
      </c>
      <c r="DI1023" s="17">
        <f t="shared" si="84"/>
        <v>7</v>
      </c>
      <c r="DJ1023" s="119" t="s">
        <v>2</v>
      </c>
      <c r="DK1023" s="44" t="s">
        <v>2</v>
      </c>
    </row>
    <row r="1024" spans="1:115" ht="15" customHeight="1">
      <c r="A1024" s="32" t="str">
        <f t="shared" si="85"/>
        <v>SA Power--&gt; 132 kV ; SWITCH</v>
      </c>
      <c r="B1024" s="32" t="str">
        <f t="shared" si="86"/>
        <v>SA Power</v>
      </c>
      <c r="C1024" s="385"/>
      <c r="E1024" t="s">
        <v>257</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0</v>
      </c>
      <c r="AR1024">
        <v>0</v>
      </c>
      <c r="AS1024">
        <v>0</v>
      </c>
      <c r="AT1024">
        <v>0</v>
      </c>
      <c r="AU1024">
        <v>0</v>
      </c>
      <c r="AV1024">
        <v>0</v>
      </c>
      <c r="AW1024">
        <v>0</v>
      </c>
      <c r="AX1024">
        <v>0</v>
      </c>
      <c r="AY1024">
        <v>0</v>
      </c>
      <c r="AZ1024">
        <v>0</v>
      </c>
      <c r="BA1024">
        <v>0</v>
      </c>
      <c r="BB1024">
        <v>0</v>
      </c>
      <c r="BC1024">
        <v>0</v>
      </c>
      <c r="BD1024">
        <v>0</v>
      </c>
      <c r="BE1024">
        <v>0</v>
      </c>
      <c r="BF1024">
        <v>0</v>
      </c>
      <c r="BG1024">
        <v>0</v>
      </c>
      <c r="BH1024">
        <v>0</v>
      </c>
      <c r="BI1024">
        <v>0</v>
      </c>
      <c r="BJ1024">
        <v>0</v>
      </c>
      <c r="BK1024">
        <v>0</v>
      </c>
      <c r="BL1024">
        <v>0</v>
      </c>
      <c r="BM1024">
        <v>0</v>
      </c>
      <c r="BN1024">
        <v>0</v>
      </c>
      <c r="BO1024">
        <v>0</v>
      </c>
      <c r="BP1024">
        <v>0</v>
      </c>
      <c r="BQ1024">
        <v>0</v>
      </c>
      <c r="BR1024">
        <v>0</v>
      </c>
      <c r="BS1024">
        <v>0</v>
      </c>
      <c r="BT1024">
        <v>0</v>
      </c>
      <c r="BU1024">
        <v>0</v>
      </c>
      <c r="BV1024">
        <v>0</v>
      </c>
      <c r="BW1024">
        <v>0</v>
      </c>
      <c r="BX1024">
        <v>0</v>
      </c>
      <c r="BY1024">
        <v>0</v>
      </c>
      <c r="BZ1024">
        <v>0</v>
      </c>
      <c r="CA1024">
        <v>0</v>
      </c>
      <c r="CB1024">
        <v>0</v>
      </c>
      <c r="CC1024">
        <v>0</v>
      </c>
      <c r="CD1024">
        <v>0</v>
      </c>
      <c r="CE1024">
        <v>0</v>
      </c>
      <c r="CF1024">
        <v>0</v>
      </c>
      <c r="CG1024">
        <v>0</v>
      </c>
      <c r="CH1024">
        <v>0</v>
      </c>
      <c r="CI1024">
        <v>0</v>
      </c>
      <c r="CJ1024">
        <v>0</v>
      </c>
      <c r="CK1024">
        <v>0</v>
      </c>
      <c r="CL1024">
        <v>0</v>
      </c>
      <c r="CM1024">
        <v>0</v>
      </c>
      <c r="CN1024">
        <v>0</v>
      </c>
      <c r="CO1024">
        <v>0</v>
      </c>
      <c r="CP1024">
        <v>0</v>
      </c>
      <c r="CQ1024">
        <v>0</v>
      </c>
      <c r="CR1024">
        <v>0</v>
      </c>
      <c r="CS1024">
        <v>0</v>
      </c>
      <c r="CT1024">
        <v>0</v>
      </c>
      <c r="CU1024">
        <v>0</v>
      </c>
      <c r="CV1024">
        <v>0</v>
      </c>
      <c r="CW1024">
        <v>0</v>
      </c>
      <c r="CX1024">
        <v>0</v>
      </c>
      <c r="CY1024">
        <v>0</v>
      </c>
      <c r="CZ1024">
        <v>0</v>
      </c>
      <c r="DA1024">
        <v>0</v>
      </c>
      <c r="DB1024">
        <v>0</v>
      </c>
      <c r="DC1024">
        <v>0</v>
      </c>
      <c r="DD1024">
        <v>0</v>
      </c>
      <c r="DE1024">
        <v>0</v>
      </c>
      <c r="DF1024">
        <v>0</v>
      </c>
      <c r="DG1024" s="16">
        <f t="shared" si="82"/>
        <v>0</v>
      </c>
      <c r="DH1024" s="16">
        <f t="shared" si="83"/>
        <v>0</v>
      </c>
      <c r="DI1024" s="17" t="str">
        <f t="shared" si="84"/>
        <v/>
      </c>
      <c r="DJ1024" s="119" t="s">
        <v>2</v>
      </c>
      <c r="DK1024" s="44" t="s">
        <v>2</v>
      </c>
    </row>
    <row r="1025" spans="1:116" ht="15" customHeight="1">
      <c r="A1025" s="32" t="str">
        <f t="shared" si="85"/>
        <v>SA Power--&gt; 132 kV ; CIRCUIT BREAKER</v>
      </c>
      <c r="B1025" s="32" t="str">
        <f t="shared" si="86"/>
        <v>SA Power</v>
      </c>
      <c r="C1025" s="385"/>
      <c r="E1025" t="s">
        <v>258</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0</v>
      </c>
      <c r="AR1025">
        <v>0</v>
      </c>
      <c r="AS1025">
        <v>0</v>
      </c>
      <c r="AT1025">
        <v>0</v>
      </c>
      <c r="AU1025">
        <v>0</v>
      </c>
      <c r="AV1025">
        <v>0</v>
      </c>
      <c r="AW1025">
        <v>0</v>
      </c>
      <c r="AX1025">
        <v>0</v>
      </c>
      <c r="AY1025">
        <v>0</v>
      </c>
      <c r="AZ1025">
        <v>0</v>
      </c>
      <c r="BA1025">
        <v>0</v>
      </c>
      <c r="BB1025">
        <v>0</v>
      </c>
      <c r="BC1025">
        <v>0</v>
      </c>
      <c r="BD1025">
        <v>0</v>
      </c>
      <c r="BE1025">
        <v>0</v>
      </c>
      <c r="BF1025">
        <v>0</v>
      </c>
      <c r="BG1025">
        <v>0</v>
      </c>
      <c r="BH1025">
        <v>0</v>
      </c>
      <c r="BI1025">
        <v>0</v>
      </c>
      <c r="BJ1025">
        <v>0</v>
      </c>
      <c r="BK1025">
        <v>0</v>
      </c>
      <c r="BL1025">
        <v>0</v>
      </c>
      <c r="BM1025">
        <v>0</v>
      </c>
      <c r="BN1025">
        <v>0</v>
      </c>
      <c r="BO1025">
        <v>0</v>
      </c>
      <c r="BP1025">
        <v>0</v>
      </c>
      <c r="BQ1025">
        <v>0</v>
      </c>
      <c r="BR1025">
        <v>0</v>
      </c>
      <c r="BS1025">
        <v>0</v>
      </c>
      <c r="BT1025">
        <v>0</v>
      </c>
      <c r="BU1025">
        <v>0</v>
      </c>
      <c r="BV1025">
        <v>0</v>
      </c>
      <c r="BW1025">
        <v>0</v>
      </c>
      <c r="BX1025">
        <v>0</v>
      </c>
      <c r="BY1025">
        <v>0</v>
      </c>
      <c r="BZ1025">
        <v>0</v>
      </c>
      <c r="CA1025">
        <v>0</v>
      </c>
      <c r="CB1025">
        <v>0</v>
      </c>
      <c r="CC1025">
        <v>0</v>
      </c>
      <c r="CD1025">
        <v>0</v>
      </c>
      <c r="CE1025">
        <v>0</v>
      </c>
      <c r="CF1025">
        <v>0</v>
      </c>
      <c r="CG1025">
        <v>0</v>
      </c>
      <c r="CH1025">
        <v>0</v>
      </c>
      <c r="CI1025">
        <v>0</v>
      </c>
      <c r="CJ1025">
        <v>0</v>
      </c>
      <c r="CK1025">
        <v>0</v>
      </c>
      <c r="CL1025">
        <v>0</v>
      </c>
      <c r="CM1025">
        <v>0</v>
      </c>
      <c r="CN1025">
        <v>0</v>
      </c>
      <c r="CO1025">
        <v>0</v>
      </c>
      <c r="CP1025">
        <v>0</v>
      </c>
      <c r="CQ1025">
        <v>0</v>
      </c>
      <c r="CR1025">
        <v>0</v>
      </c>
      <c r="CS1025">
        <v>0</v>
      </c>
      <c r="CT1025">
        <v>0</v>
      </c>
      <c r="CU1025">
        <v>0</v>
      </c>
      <c r="CV1025">
        <v>0</v>
      </c>
      <c r="CW1025">
        <v>0</v>
      </c>
      <c r="CX1025">
        <v>0</v>
      </c>
      <c r="CY1025">
        <v>0</v>
      </c>
      <c r="CZ1025">
        <v>0</v>
      </c>
      <c r="DA1025">
        <v>0</v>
      </c>
      <c r="DB1025">
        <v>0</v>
      </c>
      <c r="DC1025">
        <v>0</v>
      </c>
      <c r="DD1025">
        <v>0</v>
      </c>
      <c r="DE1025">
        <v>0</v>
      </c>
      <c r="DF1025">
        <v>0</v>
      </c>
      <c r="DG1025" s="16">
        <f t="shared" si="82"/>
        <v>0</v>
      </c>
      <c r="DH1025" s="16">
        <f t="shared" si="83"/>
        <v>0</v>
      </c>
      <c r="DI1025" s="17" t="str">
        <f t="shared" si="84"/>
        <v/>
      </c>
      <c r="DJ1025" s="119" t="s">
        <v>2</v>
      </c>
      <c r="DK1025" s="44" t="s">
        <v>2</v>
      </c>
    </row>
    <row r="1026" spans="1:116" ht="15" customHeight="1">
      <c r="A1026" s="32" t="str">
        <f t="shared" si="85"/>
        <v>SA Power--&gt; 33 kV &amp; &lt; ≈ 66 kV ; ISOLATORS, EARTHING SWITCH</v>
      </c>
      <c r="B1026" s="32" t="str">
        <f t="shared" si="86"/>
        <v>SA Power</v>
      </c>
      <c r="C1026" s="385"/>
      <c r="E1026" t="s">
        <v>1290</v>
      </c>
      <c r="F1026">
        <v>69</v>
      </c>
      <c r="G1026">
        <v>8</v>
      </c>
      <c r="H1026">
        <v>25</v>
      </c>
      <c r="I1026">
        <v>68</v>
      </c>
      <c r="J1026">
        <v>58</v>
      </c>
      <c r="K1026">
        <v>58</v>
      </c>
      <c r="L1026">
        <v>18</v>
      </c>
      <c r="M1026">
        <v>24</v>
      </c>
      <c r="N1026">
        <v>19</v>
      </c>
      <c r="O1026">
        <v>16</v>
      </c>
      <c r="P1026">
        <v>14</v>
      </c>
      <c r="Q1026">
        <v>7</v>
      </c>
      <c r="R1026">
        <v>20</v>
      </c>
      <c r="S1026">
        <v>22</v>
      </c>
      <c r="T1026">
        <v>16</v>
      </c>
      <c r="U1026">
        <v>3</v>
      </c>
      <c r="V1026">
        <v>2</v>
      </c>
      <c r="W1026">
        <v>8</v>
      </c>
      <c r="X1026">
        <v>1</v>
      </c>
      <c r="Y1026">
        <v>9</v>
      </c>
      <c r="Z1026">
        <v>0</v>
      </c>
      <c r="AA1026">
        <v>0</v>
      </c>
      <c r="AB1026">
        <v>0</v>
      </c>
      <c r="AC1026">
        <v>32</v>
      </c>
      <c r="AD1026">
        <v>22</v>
      </c>
      <c r="AE1026">
        <v>0</v>
      </c>
      <c r="AF1026">
        <v>23</v>
      </c>
      <c r="AG1026">
        <v>4</v>
      </c>
      <c r="AH1026">
        <v>10</v>
      </c>
      <c r="AI1026">
        <v>0</v>
      </c>
      <c r="AJ1026">
        <v>21</v>
      </c>
      <c r="AK1026">
        <v>0</v>
      </c>
      <c r="AL1026">
        <v>5</v>
      </c>
      <c r="AM1026">
        <v>0</v>
      </c>
      <c r="AN1026">
        <v>0</v>
      </c>
      <c r="AO1026">
        <v>20</v>
      </c>
      <c r="AP1026">
        <v>9</v>
      </c>
      <c r="AQ1026">
        <v>8</v>
      </c>
      <c r="AR1026">
        <v>8</v>
      </c>
      <c r="AS1026">
        <v>1</v>
      </c>
      <c r="AT1026">
        <v>0</v>
      </c>
      <c r="AU1026">
        <v>0</v>
      </c>
      <c r="AV1026">
        <v>13</v>
      </c>
      <c r="AW1026">
        <v>10</v>
      </c>
      <c r="AX1026">
        <v>93</v>
      </c>
      <c r="AY1026">
        <v>88</v>
      </c>
      <c r="AZ1026">
        <v>38</v>
      </c>
      <c r="BA1026">
        <v>65</v>
      </c>
      <c r="BB1026">
        <v>41</v>
      </c>
      <c r="BC1026">
        <v>68</v>
      </c>
      <c r="BD1026">
        <v>33</v>
      </c>
      <c r="BE1026">
        <v>66</v>
      </c>
      <c r="BF1026">
        <v>23</v>
      </c>
      <c r="BG1026">
        <v>23</v>
      </c>
      <c r="BH1026">
        <v>4</v>
      </c>
      <c r="BI1026">
        <v>0</v>
      </c>
      <c r="BJ1026">
        <v>31</v>
      </c>
      <c r="BK1026">
        <v>33</v>
      </c>
      <c r="BL1026">
        <v>0</v>
      </c>
      <c r="BM1026">
        <v>38</v>
      </c>
      <c r="BN1026">
        <v>15</v>
      </c>
      <c r="BO1026">
        <v>9</v>
      </c>
      <c r="BP1026">
        <v>12</v>
      </c>
      <c r="BQ1026">
        <v>0</v>
      </c>
      <c r="BR1026">
        <v>0</v>
      </c>
      <c r="BS1026">
        <v>0</v>
      </c>
      <c r="BT1026">
        <v>0</v>
      </c>
      <c r="BU1026">
        <v>0</v>
      </c>
      <c r="BV1026">
        <v>0</v>
      </c>
      <c r="BW1026">
        <v>0</v>
      </c>
      <c r="BX1026">
        <v>0</v>
      </c>
      <c r="BY1026">
        <v>0</v>
      </c>
      <c r="BZ1026">
        <v>0</v>
      </c>
      <c r="CA1026">
        <v>0</v>
      </c>
      <c r="CB1026">
        <v>8</v>
      </c>
      <c r="CC1026">
        <v>0</v>
      </c>
      <c r="CD1026">
        <v>0</v>
      </c>
      <c r="CE1026">
        <v>4</v>
      </c>
      <c r="CF1026">
        <v>15</v>
      </c>
      <c r="CG1026">
        <v>0</v>
      </c>
      <c r="CH1026">
        <v>0</v>
      </c>
      <c r="CI1026">
        <v>0</v>
      </c>
      <c r="CJ1026">
        <v>6</v>
      </c>
      <c r="CK1026">
        <v>0</v>
      </c>
      <c r="CL1026">
        <v>0</v>
      </c>
      <c r="CM1026">
        <v>0</v>
      </c>
      <c r="CN1026">
        <v>0</v>
      </c>
      <c r="CO1026">
        <v>0</v>
      </c>
      <c r="CP1026">
        <v>0</v>
      </c>
      <c r="CQ1026">
        <v>0</v>
      </c>
      <c r="CR1026">
        <v>0</v>
      </c>
      <c r="CS1026">
        <v>0</v>
      </c>
      <c r="CT1026">
        <v>0</v>
      </c>
      <c r="CU1026">
        <v>0</v>
      </c>
      <c r="CV1026">
        <v>0</v>
      </c>
      <c r="CW1026">
        <v>0</v>
      </c>
      <c r="CX1026">
        <v>0</v>
      </c>
      <c r="CY1026">
        <v>0</v>
      </c>
      <c r="CZ1026">
        <v>0</v>
      </c>
      <c r="DA1026">
        <v>0</v>
      </c>
      <c r="DB1026">
        <v>0</v>
      </c>
      <c r="DC1026">
        <v>0</v>
      </c>
      <c r="DD1026">
        <v>0</v>
      </c>
      <c r="DE1026">
        <v>0</v>
      </c>
      <c r="DF1026">
        <v>0</v>
      </c>
      <c r="DG1026" s="16">
        <f t="shared" si="82"/>
        <v>1287</v>
      </c>
      <c r="DH1026" s="16">
        <f t="shared" si="83"/>
        <v>43525</v>
      </c>
      <c r="DI1026" s="17">
        <f t="shared" si="84"/>
        <v>33.818958818958819</v>
      </c>
      <c r="DJ1026" s="119" t="s">
        <v>2</v>
      </c>
      <c r="DK1026" s="44" t="s">
        <v>2</v>
      </c>
    </row>
    <row r="1027" spans="1:116" ht="15" customHeight="1">
      <c r="A1027" s="32" t="str">
        <f t="shared" si="85"/>
        <v>SA Power--&gt; 66 kV &amp; &lt; ≈ 132 kV  ; ISOLATORS, EARTHING SWITCH</v>
      </c>
      <c r="B1027" s="32" t="str">
        <f t="shared" si="86"/>
        <v>SA Power</v>
      </c>
      <c r="C1027" s="385"/>
      <c r="E1027" t="s">
        <v>1291</v>
      </c>
      <c r="F1027">
        <v>69</v>
      </c>
      <c r="G1027">
        <v>8</v>
      </c>
      <c r="H1027">
        <v>0</v>
      </c>
      <c r="I1027">
        <v>0</v>
      </c>
      <c r="J1027">
        <v>0</v>
      </c>
      <c r="K1027">
        <v>0</v>
      </c>
      <c r="L1027">
        <v>0</v>
      </c>
      <c r="M1027">
        <v>0</v>
      </c>
      <c r="N1027">
        <v>2</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0</v>
      </c>
      <c r="BG1027">
        <v>0</v>
      </c>
      <c r="BH1027">
        <v>0</v>
      </c>
      <c r="BI1027">
        <v>0</v>
      </c>
      <c r="BJ1027">
        <v>0</v>
      </c>
      <c r="BK1027">
        <v>0</v>
      </c>
      <c r="BL1027">
        <v>0</v>
      </c>
      <c r="BM1027">
        <v>0</v>
      </c>
      <c r="BN1027">
        <v>0</v>
      </c>
      <c r="BO1027">
        <v>0</v>
      </c>
      <c r="BP1027">
        <v>0</v>
      </c>
      <c r="BQ1027">
        <v>0</v>
      </c>
      <c r="BR1027">
        <v>0</v>
      </c>
      <c r="BS1027">
        <v>0</v>
      </c>
      <c r="BT1027">
        <v>0</v>
      </c>
      <c r="BU1027">
        <v>0</v>
      </c>
      <c r="BV1027">
        <v>0</v>
      </c>
      <c r="BW1027">
        <v>0</v>
      </c>
      <c r="BX1027">
        <v>0</v>
      </c>
      <c r="BY1027">
        <v>0</v>
      </c>
      <c r="BZ1027">
        <v>0</v>
      </c>
      <c r="CA1027">
        <v>0</v>
      </c>
      <c r="CB1027">
        <v>0</v>
      </c>
      <c r="CC1027">
        <v>0</v>
      </c>
      <c r="CD1027">
        <v>0</v>
      </c>
      <c r="CE1027">
        <v>0</v>
      </c>
      <c r="CF1027">
        <v>0</v>
      </c>
      <c r="CG1027">
        <v>0</v>
      </c>
      <c r="CH1027">
        <v>0</v>
      </c>
      <c r="CI1027">
        <v>0</v>
      </c>
      <c r="CJ1027">
        <v>0</v>
      </c>
      <c r="CK1027">
        <v>0</v>
      </c>
      <c r="CL1027">
        <v>0</v>
      </c>
      <c r="CM1027">
        <v>0</v>
      </c>
      <c r="CN1027">
        <v>0</v>
      </c>
      <c r="CO1027">
        <v>0</v>
      </c>
      <c r="CP1027">
        <v>0</v>
      </c>
      <c r="CQ1027">
        <v>0</v>
      </c>
      <c r="CR1027">
        <v>0</v>
      </c>
      <c r="CS1027">
        <v>0</v>
      </c>
      <c r="CT1027">
        <v>0</v>
      </c>
      <c r="CU1027">
        <v>0</v>
      </c>
      <c r="CV1027">
        <v>0</v>
      </c>
      <c r="CW1027">
        <v>0</v>
      </c>
      <c r="CX1027">
        <v>0</v>
      </c>
      <c r="CY1027">
        <v>0</v>
      </c>
      <c r="CZ1027">
        <v>0</v>
      </c>
      <c r="DA1027">
        <v>0</v>
      </c>
      <c r="DB1027">
        <v>0</v>
      </c>
      <c r="DC1027">
        <v>0</v>
      </c>
      <c r="DD1027">
        <v>0</v>
      </c>
      <c r="DE1027">
        <v>0</v>
      </c>
      <c r="DF1027">
        <v>0</v>
      </c>
      <c r="DG1027" s="16">
        <f t="shared" si="82"/>
        <v>2</v>
      </c>
      <c r="DH1027" s="16">
        <f t="shared" si="83"/>
        <v>14</v>
      </c>
      <c r="DI1027" s="17">
        <f t="shared" si="84"/>
        <v>7</v>
      </c>
      <c r="DJ1027" s="119" t="s">
        <v>2</v>
      </c>
      <c r="DK1027" s="44" t="s">
        <v>2</v>
      </c>
    </row>
    <row r="1028" spans="1:116" ht="15" customHeight="1">
      <c r="A1028" s="32" t="str">
        <f t="shared" si="85"/>
        <v>SA Power--&lt; = 11kV ISOLATORS, EARTHING SWITCH</v>
      </c>
      <c r="B1028" s="32" t="str">
        <f t="shared" si="86"/>
        <v>SA Power</v>
      </c>
      <c r="C1028" s="385"/>
      <c r="E1028" t="s">
        <v>1292</v>
      </c>
      <c r="F1028">
        <v>69</v>
      </c>
      <c r="G1028">
        <v>8</v>
      </c>
      <c r="H1028">
        <v>17</v>
      </c>
      <c r="I1028">
        <v>3</v>
      </c>
      <c r="J1028">
        <v>3</v>
      </c>
      <c r="K1028">
        <v>5</v>
      </c>
      <c r="L1028">
        <v>4</v>
      </c>
      <c r="M1028">
        <v>15</v>
      </c>
      <c r="N1028">
        <v>1</v>
      </c>
      <c r="O1028">
        <v>1</v>
      </c>
      <c r="P1028">
        <v>8</v>
      </c>
      <c r="Q1028">
        <v>1</v>
      </c>
      <c r="R1028">
        <v>1</v>
      </c>
      <c r="S1028">
        <v>4</v>
      </c>
      <c r="T1028">
        <v>0</v>
      </c>
      <c r="U1028">
        <v>0</v>
      </c>
      <c r="V1028">
        <v>0</v>
      </c>
      <c r="W1028">
        <v>0</v>
      </c>
      <c r="X1028">
        <v>4</v>
      </c>
      <c r="Y1028">
        <v>11</v>
      </c>
      <c r="Z1028">
        <v>0</v>
      </c>
      <c r="AA1028">
        <v>2</v>
      </c>
      <c r="AB1028">
        <v>0</v>
      </c>
      <c r="AC1028">
        <v>6</v>
      </c>
      <c r="AD1028">
        <v>39</v>
      </c>
      <c r="AE1028">
        <v>1</v>
      </c>
      <c r="AF1028">
        <v>6</v>
      </c>
      <c r="AG1028">
        <v>0</v>
      </c>
      <c r="AH1028">
        <v>15</v>
      </c>
      <c r="AI1028">
        <v>0</v>
      </c>
      <c r="AJ1028">
        <v>7</v>
      </c>
      <c r="AK1028">
        <v>32</v>
      </c>
      <c r="AL1028">
        <v>21</v>
      </c>
      <c r="AM1028">
        <v>11</v>
      </c>
      <c r="AN1028">
        <v>23</v>
      </c>
      <c r="AO1028">
        <v>23</v>
      </c>
      <c r="AP1028">
        <v>0</v>
      </c>
      <c r="AQ1028">
        <v>46</v>
      </c>
      <c r="AR1028">
        <v>13</v>
      </c>
      <c r="AS1028">
        <v>23</v>
      </c>
      <c r="AT1028">
        <v>1</v>
      </c>
      <c r="AU1028">
        <v>6</v>
      </c>
      <c r="AV1028">
        <v>74</v>
      </c>
      <c r="AW1028">
        <v>46</v>
      </c>
      <c r="AX1028">
        <v>92</v>
      </c>
      <c r="AY1028">
        <v>139</v>
      </c>
      <c r="AZ1028">
        <v>81</v>
      </c>
      <c r="BA1028">
        <v>133</v>
      </c>
      <c r="BB1028">
        <v>105</v>
      </c>
      <c r="BC1028">
        <v>148</v>
      </c>
      <c r="BD1028">
        <v>24</v>
      </c>
      <c r="BE1028">
        <v>27</v>
      </c>
      <c r="BF1028">
        <v>8</v>
      </c>
      <c r="BG1028">
        <v>14</v>
      </c>
      <c r="BH1028">
        <v>2</v>
      </c>
      <c r="BI1028">
        <v>0</v>
      </c>
      <c r="BJ1028">
        <v>5</v>
      </c>
      <c r="BK1028">
        <v>79</v>
      </c>
      <c r="BL1028">
        <v>3</v>
      </c>
      <c r="BM1028">
        <v>34</v>
      </c>
      <c r="BN1028">
        <v>2</v>
      </c>
      <c r="BO1028">
        <v>0</v>
      </c>
      <c r="BP1028">
        <v>3</v>
      </c>
      <c r="BQ1028">
        <v>0</v>
      </c>
      <c r="BR1028">
        <v>3</v>
      </c>
      <c r="BS1028">
        <v>0</v>
      </c>
      <c r="BT1028">
        <v>0</v>
      </c>
      <c r="BU1028">
        <v>0</v>
      </c>
      <c r="BV1028">
        <v>0</v>
      </c>
      <c r="BW1028">
        <v>0</v>
      </c>
      <c r="BX1028">
        <v>0</v>
      </c>
      <c r="BY1028">
        <v>11</v>
      </c>
      <c r="BZ1028">
        <v>0</v>
      </c>
      <c r="CA1028">
        <v>8</v>
      </c>
      <c r="CB1028">
        <v>0</v>
      </c>
      <c r="CC1028">
        <v>0</v>
      </c>
      <c r="CD1028">
        <v>0</v>
      </c>
      <c r="CE1028">
        <v>0</v>
      </c>
      <c r="CF1028">
        <v>0</v>
      </c>
      <c r="CG1028">
        <v>0</v>
      </c>
      <c r="CH1028">
        <v>0</v>
      </c>
      <c r="CI1028">
        <v>0</v>
      </c>
      <c r="CJ1028">
        <v>0</v>
      </c>
      <c r="CK1028">
        <v>0</v>
      </c>
      <c r="CL1028">
        <v>0</v>
      </c>
      <c r="CM1028">
        <v>0</v>
      </c>
      <c r="CN1028">
        <v>0</v>
      </c>
      <c r="CO1028">
        <v>0</v>
      </c>
      <c r="CP1028">
        <v>0</v>
      </c>
      <c r="CQ1028">
        <v>0</v>
      </c>
      <c r="CR1028">
        <v>0</v>
      </c>
      <c r="CS1028">
        <v>0</v>
      </c>
      <c r="CT1028">
        <v>0</v>
      </c>
      <c r="CU1028">
        <v>0</v>
      </c>
      <c r="CV1028">
        <v>0</v>
      </c>
      <c r="CW1028">
        <v>0</v>
      </c>
      <c r="CX1028">
        <v>0</v>
      </c>
      <c r="CY1028">
        <v>0</v>
      </c>
      <c r="CZ1028">
        <v>0</v>
      </c>
      <c r="DA1028">
        <v>0</v>
      </c>
      <c r="DB1028">
        <v>0</v>
      </c>
      <c r="DC1028">
        <v>0</v>
      </c>
      <c r="DD1028">
        <v>0</v>
      </c>
      <c r="DE1028">
        <v>0</v>
      </c>
      <c r="DF1028">
        <v>0</v>
      </c>
      <c r="DG1028" s="16">
        <f t="shared" si="82"/>
        <v>1394</v>
      </c>
      <c r="DH1028" s="16">
        <f t="shared" si="83"/>
        <v>58515</v>
      </c>
      <c r="DI1028" s="17">
        <f t="shared" si="84"/>
        <v>41.976327116212339</v>
      </c>
      <c r="DJ1028" s="119" t="s">
        <v>2</v>
      </c>
      <c r="DK1028" s="44" t="s">
        <v>2</v>
      </c>
    </row>
    <row r="1029" spans="1:116" ht="15" customHeight="1">
      <c r="A1029" s="32" t="str">
        <f t="shared" si="85"/>
        <v>SA Power--&gt; 11kV &amp; &lt; = 33kV ISOLATORS, EARTHING SWITCH</v>
      </c>
      <c r="B1029" s="32" t="str">
        <f t="shared" si="86"/>
        <v>SA Power</v>
      </c>
      <c r="C1029" s="385"/>
      <c r="E1029" t="s">
        <v>1293</v>
      </c>
      <c r="F1029">
        <v>69</v>
      </c>
      <c r="G1029">
        <v>8</v>
      </c>
      <c r="H1029">
        <v>38</v>
      </c>
      <c r="I1029">
        <v>32</v>
      </c>
      <c r="J1029">
        <v>35</v>
      </c>
      <c r="K1029">
        <v>35</v>
      </c>
      <c r="L1029">
        <v>0</v>
      </c>
      <c r="M1029">
        <v>1</v>
      </c>
      <c r="N1029">
        <v>10</v>
      </c>
      <c r="O1029">
        <v>20</v>
      </c>
      <c r="P1029">
        <v>26</v>
      </c>
      <c r="Q1029">
        <v>15</v>
      </c>
      <c r="R1029">
        <v>6</v>
      </c>
      <c r="S1029">
        <v>14</v>
      </c>
      <c r="T1029">
        <v>0</v>
      </c>
      <c r="U1029">
        <v>0</v>
      </c>
      <c r="V1029">
        <v>0</v>
      </c>
      <c r="W1029">
        <v>0</v>
      </c>
      <c r="X1029">
        <v>0</v>
      </c>
      <c r="Y1029">
        <v>9</v>
      </c>
      <c r="Z1029">
        <v>0</v>
      </c>
      <c r="AA1029">
        <v>0</v>
      </c>
      <c r="AB1029">
        <v>3</v>
      </c>
      <c r="AC1029">
        <v>20</v>
      </c>
      <c r="AD1029">
        <v>16</v>
      </c>
      <c r="AE1029">
        <v>0</v>
      </c>
      <c r="AF1029">
        <v>4</v>
      </c>
      <c r="AG1029">
        <v>0</v>
      </c>
      <c r="AH1029">
        <v>12</v>
      </c>
      <c r="AI1029">
        <v>0</v>
      </c>
      <c r="AJ1029">
        <v>3</v>
      </c>
      <c r="AK1029">
        <v>14</v>
      </c>
      <c r="AL1029">
        <v>4</v>
      </c>
      <c r="AM1029">
        <v>3</v>
      </c>
      <c r="AN1029">
        <v>12</v>
      </c>
      <c r="AO1029">
        <v>7</v>
      </c>
      <c r="AP1029">
        <v>7</v>
      </c>
      <c r="AQ1029">
        <v>7</v>
      </c>
      <c r="AR1029">
        <v>6</v>
      </c>
      <c r="AS1029">
        <v>10</v>
      </c>
      <c r="AT1029">
        <v>0</v>
      </c>
      <c r="AU1029">
        <v>17</v>
      </c>
      <c r="AV1029">
        <v>51</v>
      </c>
      <c r="AW1029">
        <v>15</v>
      </c>
      <c r="AX1029">
        <v>8</v>
      </c>
      <c r="AY1029">
        <v>15</v>
      </c>
      <c r="AZ1029">
        <v>76</v>
      </c>
      <c r="BA1029">
        <v>74</v>
      </c>
      <c r="BB1029">
        <v>82</v>
      </c>
      <c r="BC1029">
        <v>69</v>
      </c>
      <c r="BD1029">
        <v>30</v>
      </c>
      <c r="BE1029">
        <v>20</v>
      </c>
      <c r="BF1029">
        <v>4</v>
      </c>
      <c r="BG1029">
        <v>3</v>
      </c>
      <c r="BH1029">
        <v>0</v>
      </c>
      <c r="BI1029">
        <v>0</v>
      </c>
      <c r="BJ1029">
        <v>7</v>
      </c>
      <c r="BK1029">
        <v>28</v>
      </c>
      <c r="BL1029">
        <v>24</v>
      </c>
      <c r="BM1029">
        <v>36</v>
      </c>
      <c r="BN1029">
        <v>10</v>
      </c>
      <c r="BO1029">
        <v>0</v>
      </c>
      <c r="BP1029">
        <v>18</v>
      </c>
      <c r="BQ1029">
        <v>13</v>
      </c>
      <c r="BR1029">
        <v>1</v>
      </c>
      <c r="BS1029">
        <v>0</v>
      </c>
      <c r="BT1029">
        <v>0</v>
      </c>
      <c r="BU1029">
        <v>0</v>
      </c>
      <c r="BV1029">
        <v>5</v>
      </c>
      <c r="BW1029">
        <v>0</v>
      </c>
      <c r="BX1029">
        <v>0</v>
      </c>
      <c r="BY1029">
        <v>4</v>
      </c>
      <c r="BZ1029">
        <v>0</v>
      </c>
      <c r="CA1029">
        <v>4</v>
      </c>
      <c r="CB1029">
        <v>4</v>
      </c>
      <c r="CC1029">
        <v>0</v>
      </c>
      <c r="CD1029">
        <v>0</v>
      </c>
      <c r="CE1029">
        <v>0</v>
      </c>
      <c r="CF1029">
        <v>0</v>
      </c>
      <c r="CG1029">
        <v>0</v>
      </c>
      <c r="CH1029">
        <v>0</v>
      </c>
      <c r="CI1029">
        <v>0</v>
      </c>
      <c r="CJ1029">
        <v>0</v>
      </c>
      <c r="CK1029">
        <v>0</v>
      </c>
      <c r="CL1029">
        <v>0</v>
      </c>
      <c r="CM1029">
        <v>0</v>
      </c>
      <c r="CN1029">
        <v>0</v>
      </c>
      <c r="CO1029">
        <v>0</v>
      </c>
      <c r="CP1029">
        <v>0</v>
      </c>
      <c r="CQ1029">
        <v>0</v>
      </c>
      <c r="CR1029">
        <v>0</v>
      </c>
      <c r="CS1029">
        <v>0</v>
      </c>
      <c r="CT1029">
        <v>0</v>
      </c>
      <c r="CU1029">
        <v>0</v>
      </c>
      <c r="CV1029">
        <v>0</v>
      </c>
      <c r="CW1029">
        <v>0</v>
      </c>
      <c r="CX1029">
        <v>0</v>
      </c>
      <c r="CY1029">
        <v>0</v>
      </c>
      <c r="CZ1029">
        <v>0</v>
      </c>
      <c r="DA1029">
        <v>0</v>
      </c>
      <c r="DB1029">
        <v>0</v>
      </c>
      <c r="DC1029">
        <v>0</v>
      </c>
      <c r="DD1029">
        <v>0</v>
      </c>
      <c r="DE1029">
        <v>0</v>
      </c>
      <c r="DF1029">
        <v>0</v>
      </c>
      <c r="DG1029" s="16">
        <f t="shared" si="82"/>
        <v>987</v>
      </c>
      <c r="DH1029" s="16">
        <f t="shared" si="83"/>
        <v>35504</v>
      </c>
      <c r="DI1029" s="17">
        <f t="shared" si="84"/>
        <v>35.971631205673759</v>
      </c>
      <c r="DJ1029" s="119" t="s">
        <v>2</v>
      </c>
      <c r="DK1029" s="44" t="s">
        <v>2</v>
      </c>
    </row>
    <row r="1030" spans="1:116" ht="15" customHeight="1">
      <c r="A1030" s="32" t="str">
        <f t="shared" si="85"/>
        <v>SA Power--Recloser (SUB)</v>
      </c>
      <c r="B1030" s="32" t="str">
        <f t="shared" si="86"/>
        <v>SA Power</v>
      </c>
      <c r="C1030" s="385"/>
      <c r="E1030" t="s">
        <v>1226</v>
      </c>
      <c r="F1030">
        <v>45</v>
      </c>
      <c r="G1030">
        <v>6.7823932499369999</v>
      </c>
      <c r="H1030">
        <v>12</v>
      </c>
      <c r="I1030">
        <v>12</v>
      </c>
      <c r="J1030">
        <v>3</v>
      </c>
      <c r="K1030">
        <v>11</v>
      </c>
      <c r="L1030">
        <v>10</v>
      </c>
      <c r="M1030">
        <v>5</v>
      </c>
      <c r="N1030">
        <v>2</v>
      </c>
      <c r="O1030">
        <v>12</v>
      </c>
      <c r="P1030">
        <v>23</v>
      </c>
      <c r="Q1030">
        <v>25</v>
      </c>
      <c r="R1030">
        <v>15</v>
      </c>
      <c r="S1030">
        <v>5</v>
      </c>
      <c r="T1030">
        <v>4</v>
      </c>
      <c r="U1030">
        <v>2</v>
      </c>
      <c r="V1030">
        <v>6</v>
      </c>
      <c r="W1030">
        <v>6</v>
      </c>
      <c r="X1030">
        <v>3</v>
      </c>
      <c r="Y1030">
        <v>6</v>
      </c>
      <c r="Z1030">
        <v>11</v>
      </c>
      <c r="AA1030">
        <v>10</v>
      </c>
      <c r="AB1030">
        <v>8</v>
      </c>
      <c r="AC1030">
        <v>6</v>
      </c>
      <c r="AD1030">
        <v>5</v>
      </c>
      <c r="AE1030">
        <v>8</v>
      </c>
      <c r="AF1030">
        <v>10</v>
      </c>
      <c r="AG1030">
        <v>7</v>
      </c>
      <c r="AH1030">
        <v>9</v>
      </c>
      <c r="AI1030">
        <v>11</v>
      </c>
      <c r="AJ1030">
        <v>8</v>
      </c>
      <c r="AK1030">
        <v>7</v>
      </c>
      <c r="AL1030">
        <v>5</v>
      </c>
      <c r="AM1030">
        <v>2</v>
      </c>
      <c r="AN1030">
        <v>9</v>
      </c>
      <c r="AO1030">
        <v>11</v>
      </c>
      <c r="AP1030">
        <v>5</v>
      </c>
      <c r="AQ1030">
        <v>7</v>
      </c>
      <c r="AR1030">
        <v>8</v>
      </c>
      <c r="AS1030">
        <v>6</v>
      </c>
      <c r="AT1030">
        <v>3</v>
      </c>
      <c r="AU1030">
        <v>4</v>
      </c>
      <c r="AV1030">
        <v>8</v>
      </c>
      <c r="AW1030">
        <v>16</v>
      </c>
      <c r="AX1030">
        <v>19</v>
      </c>
      <c r="AY1030">
        <v>17</v>
      </c>
      <c r="AZ1030">
        <v>12</v>
      </c>
      <c r="BA1030">
        <v>5</v>
      </c>
      <c r="BB1030">
        <v>2</v>
      </c>
      <c r="BC1030">
        <v>0</v>
      </c>
      <c r="BD1030">
        <v>0</v>
      </c>
      <c r="BE1030">
        <v>0</v>
      </c>
      <c r="BF1030">
        <v>0</v>
      </c>
      <c r="BG1030">
        <v>0</v>
      </c>
      <c r="BH1030">
        <v>0</v>
      </c>
      <c r="BI1030">
        <v>0</v>
      </c>
      <c r="BJ1030">
        <v>0</v>
      </c>
      <c r="BK1030">
        <v>0</v>
      </c>
      <c r="BL1030">
        <v>0</v>
      </c>
      <c r="BM1030">
        <v>0</v>
      </c>
      <c r="BN1030">
        <v>0</v>
      </c>
      <c r="BO1030">
        <v>0</v>
      </c>
      <c r="BP1030">
        <v>0</v>
      </c>
      <c r="BQ1030">
        <v>0</v>
      </c>
      <c r="BR1030">
        <v>0</v>
      </c>
      <c r="BS1030">
        <v>0</v>
      </c>
      <c r="BT1030">
        <v>0</v>
      </c>
      <c r="BU1030">
        <v>0</v>
      </c>
      <c r="BV1030">
        <v>0</v>
      </c>
      <c r="BW1030">
        <v>0</v>
      </c>
      <c r="BX1030">
        <v>0</v>
      </c>
      <c r="BY1030">
        <v>0</v>
      </c>
      <c r="BZ1030">
        <v>0</v>
      </c>
      <c r="CA1030">
        <v>0</v>
      </c>
      <c r="CB1030">
        <v>0</v>
      </c>
      <c r="CC1030">
        <v>0</v>
      </c>
      <c r="CD1030">
        <v>0</v>
      </c>
      <c r="CE1030">
        <v>0</v>
      </c>
      <c r="CF1030">
        <v>0</v>
      </c>
      <c r="CG1030">
        <v>0</v>
      </c>
      <c r="CH1030">
        <v>0</v>
      </c>
      <c r="CI1030">
        <v>0</v>
      </c>
      <c r="CJ1030">
        <v>0</v>
      </c>
      <c r="CK1030">
        <v>0</v>
      </c>
      <c r="CL1030">
        <v>0</v>
      </c>
      <c r="CM1030">
        <v>0</v>
      </c>
      <c r="CN1030">
        <v>0</v>
      </c>
      <c r="CO1030">
        <v>0</v>
      </c>
      <c r="CP1030">
        <v>0</v>
      </c>
      <c r="CQ1030">
        <v>0</v>
      </c>
      <c r="CR1030">
        <v>0</v>
      </c>
      <c r="CS1030">
        <v>0</v>
      </c>
      <c r="CT1030">
        <v>0</v>
      </c>
      <c r="CU1030">
        <v>0</v>
      </c>
      <c r="CV1030">
        <v>0</v>
      </c>
      <c r="CW1030">
        <v>0</v>
      </c>
      <c r="CX1030">
        <v>0</v>
      </c>
      <c r="CY1030">
        <v>0</v>
      </c>
      <c r="CZ1030">
        <v>0</v>
      </c>
      <c r="DA1030">
        <v>0</v>
      </c>
      <c r="DB1030">
        <v>0</v>
      </c>
      <c r="DC1030">
        <v>0</v>
      </c>
      <c r="DD1030">
        <v>0</v>
      </c>
      <c r="DE1030">
        <v>0</v>
      </c>
      <c r="DF1030">
        <v>0</v>
      </c>
      <c r="DG1030" s="16">
        <f t="shared" si="82"/>
        <v>401</v>
      </c>
      <c r="DH1030" s="16">
        <f t="shared" si="83"/>
        <v>9374</v>
      </c>
      <c r="DI1030" s="17">
        <f t="shared" si="84"/>
        <v>23.376558603491272</v>
      </c>
      <c r="DJ1030" s="119" t="s">
        <v>2</v>
      </c>
      <c r="DK1030" s="44" t="s">
        <v>2</v>
      </c>
    </row>
    <row r="1031" spans="1:116" ht="15" customHeight="1">
      <c r="A1031" s="32" t="str">
        <f t="shared" si="85"/>
        <v>SA Power--Recloser (LINE)</v>
      </c>
      <c r="B1031" s="32" t="str">
        <f t="shared" si="86"/>
        <v>SA Power</v>
      </c>
      <c r="C1031" s="385"/>
      <c r="E1031" t="s">
        <v>1225</v>
      </c>
      <c r="F1031">
        <v>45</v>
      </c>
      <c r="G1031">
        <v>7</v>
      </c>
      <c r="H1031">
        <v>208</v>
      </c>
      <c r="I1031">
        <v>181</v>
      </c>
      <c r="J1031">
        <v>96</v>
      </c>
      <c r="K1031">
        <v>103</v>
      </c>
      <c r="L1031">
        <v>286</v>
      </c>
      <c r="M1031">
        <v>71</v>
      </c>
      <c r="N1031">
        <v>6</v>
      </c>
      <c r="O1031">
        <v>8</v>
      </c>
      <c r="P1031">
        <v>65</v>
      </c>
      <c r="Q1031">
        <v>84</v>
      </c>
      <c r="R1031">
        <v>27</v>
      </c>
      <c r="S1031">
        <v>12</v>
      </c>
      <c r="T1031">
        <v>11</v>
      </c>
      <c r="U1031">
        <v>8</v>
      </c>
      <c r="V1031">
        <v>9</v>
      </c>
      <c r="W1031">
        <v>9</v>
      </c>
      <c r="X1031">
        <v>12</v>
      </c>
      <c r="Y1031">
        <v>20</v>
      </c>
      <c r="Z1031">
        <v>19</v>
      </c>
      <c r="AA1031">
        <v>12</v>
      </c>
      <c r="AB1031">
        <v>8</v>
      </c>
      <c r="AC1031">
        <v>7</v>
      </c>
      <c r="AD1031">
        <v>11</v>
      </c>
      <c r="AE1031">
        <v>14</v>
      </c>
      <c r="AF1031">
        <v>17</v>
      </c>
      <c r="AG1031">
        <v>20</v>
      </c>
      <c r="AH1031">
        <v>25</v>
      </c>
      <c r="AI1031">
        <v>21</v>
      </c>
      <c r="AJ1031">
        <v>19</v>
      </c>
      <c r="AK1031">
        <v>22</v>
      </c>
      <c r="AL1031">
        <v>14</v>
      </c>
      <c r="AM1031">
        <v>10</v>
      </c>
      <c r="AN1031">
        <v>15</v>
      </c>
      <c r="AO1031">
        <v>23</v>
      </c>
      <c r="AP1031">
        <v>17</v>
      </c>
      <c r="AQ1031">
        <v>12</v>
      </c>
      <c r="AR1031">
        <v>22</v>
      </c>
      <c r="AS1031">
        <v>26</v>
      </c>
      <c r="AT1031">
        <v>19</v>
      </c>
      <c r="AU1031">
        <v>24</v>
      </c>
      <c r="AV1031">
        <v>39</v>
      </c>
      <c r="AW1031">
        <v>53</v>
      </c>
      <c r="AX1031">
        <v>50</v>
      </c>
      <c r="AY1031">
        <v>36</v>
      </c>
      <c r="AZ1031">
        <v>23</v>
      </c>
      <c r="BA1031">
        <v>38</v>
      </c>
      <c r="BB1031">
        <v>31</v>
      </c>
      <c r="BC1031">
        <v>0</v>
      </c>
      <c r="BD1031">
        <v>0</v>
      </c>
      <c r="BE1031">
        <v>0</v>
      </c>
      <c r="BF1031">
        <v>0</v>
      </c>
      <c r="BG1031">
        <v>0</v>
      </c>
      <c r="BH1031">
        <v>0</v>
      </c>
      <c r="BI1031">
        <v>0</v>
      </c>
      <c r="BJ1031">
        <v>0</v>
      </c>
      <c r="BK1031">
        <v>0</v>
      </c>
      <c r="BL1031">
        <v>0</v>
      </c>
      <c r="BM1031">
        <v>0</v>
      </c>
      <c r="BN1031">
        <v>0</v>
      </c>
      <c r="BO1031">
        <v>0</v>
      </c>
      <c r="BP1031">
        <v>0</v>
      </c>
      <c r="BQ1031">
        <v>0</v>
      </c>
      <c r="BR1031">
        <v>0</v>
      </c>
      <c r="BS1031">
        <v>0</v>
      </c>
      <c r="BT1031">
        <v>0</v>
      </c>
      <c r="BU1031">
        <v>0</v>
      </c>
      <c r="BV1031">
        <v>0</v>
      </c>
      <c r="BW1031">
        <v>0</v>
      </c>
      <c r="BX1031">
        <v>0</v>
      </c>
      <c r="BY1031">
        <v>0</v>
      </c>
      <c r="BZ1031">
        <v>0</v>
      </c>
      <c r="CA1031">
        <v>0</v>
      </c>
      <c r="CB1031">
        <v>0</v>
      </c>
      <c r="CC1031">
        <v>0</v>
      </c>
      <c r="CD1031">
        <v>0</v>
      </c>
      <c r="CE1031">
        <v>0</v>
      </c>
      <c r="CF1031">
        <v>0</v>
      </c>
      <c r="CG1031">
        <v>0</v>
      </c>
      <c r="CH1031">
        <v>0</v>
      </c>
      <c r="CI1031">
        <v>0</v>
      </c>
      <c r="CJ1031">
        <v>0</v>
      </c>
      <c r="CK1031">
        <v>0</v>
      </c>
      <c r="CL1031">
        <v>0</v>
      </c>
      <c r="CM1031">
        <v>0</v>
      </c>
      <c r="CN1031">
        <v>0</v>
      </c>
      <c r="CO1031">
        <v>0</v>
      </c>
      <c r="CP1031">
        <v>0</v>
      </c>
      <c r="CQ1031">
        <v>0</v>
      </c>
      <c r="CR1031">
        <v>0</v>
      </c>
      <c r="CS1031">
        <v>0</v>
      </c>
      <c r="CT1031">
        <v>0</v>
      </c>
      <c r="CU1031">
        <v>0</v>
      </c>
      <c r="CV1031">
        <v>0</v>
      </c>
      <c r="CW1031">
        <v>0</v>
      </c>
      <c r="CX1031">
        <v>0</v>
      </c>
      <c r="CY1031">
        <v>0</v>
      </c>
      <c r="CZ1031">
        <v>0</v>
      </c>
      <c r="DA1031">
        <v>0</v>
      </c>
      <c r="DB1031">
        <v>0</v>
      </c>
      <c r="DC1031">
        <v>0</v>
      </c>
      <c r="DD1031">
        <v>0</v>
      </c>
      <c r="DE1031">
        <v>0</v>
      </c>
      <c r="DF1031">
        <v>0</v>
      </c>
      <c r="DG1031" s="16">
        <f t="shared" si="82"/>
        <v>1863</v>
      </c>
      <c r="DH1031" s="16">
        <f t="shared" si="83"/>
        <v>29487</v>
      </c>
      <c r="DI1031" s="17">
        <f t="shared" si="84"/>
        <v>15.827697262479871</v>
      </c>
      <c r="DJ1031" s="119" t="s">
        <v>2</v>
      </c>
      <c r="DK1031" s="44" t="s">
        <v>2</v>
      </c>
    </row>
    <row r="1032" spans="1:116" ht="15" customHeight="1">
      <c r="A1032" s="32" t="str">
        <f t="shared" si="85"/>
        <v>SA Power--Sectionaliser (&lt;=11kV)</v>
      </c>
      <c r="B1032" s="32" t="str">
        <f t="shared" si="86"/>
        <v>SA Power</v>
      </c>
      <c r="C1032" s="385"/>
      <c r="E1032" t="s">
        <v>1227</v>
      </c>
      <c r="F1032">
        <v>45</v>
      </c>
      <c r="G1032">
        <v>6.7823932499369999</v>
      </c>
      <c r="H1032">
        <v>11</v>
      </c>
      <c r="I1032">
        <v>5</v>
      </c>
      <c r="J1032">
        <v>7</v>
      </c>
      <c r="K1032">
        <v>12</v>
      </c>
      <c r="L1032">
        <v>6</v>
      </c>
      <c r="M1032">
        <v>0</v>
      </c>
      <c r="N1032">
        <v>0</v>
      </c>
      <c r="O1032">
        <v>0</v>
      </c>
      <c r="P1032">
        <v>0</v>
      </c>
      <c r="Q1032">
        <v>0</v>
      </c>
      <c r="R1032">
        <v>0</v>
      </c>
      <c r="S1032">
        <v>0</v>
      </c>
      <c r="T1032">
        <v>0</v>
      </c>
      <c r="U1032">
        <v>0</v>
      </c>
      <c r="V1032">
        <v>0</v>
      </c>
      <c r="W1032">
        <v>0</v>
      </c>
      <c r="X1032">
        <v>0</v>
      </c>
      <c r="Y1032">
        <v>0</v>
      </c>
      <c r="Z1032">
        <v>2</v>
      </c>
      <c r="AA1032">
        <v>3</v>
      </c>
      <c r="AB1032">
        <v>1</v>
      </c>
      <c r="AC1032">
        <v>1</v>
      </c>
      <c r="AD1032">
        <v>2</v>
      </c>
      <c r="AE1032">
        <v>6</v>
      </c>
      <c r="AF1032">
        <v>4</v>
      </c>
      <c r="AG1032">
        <v>3</v>
      </c>
      <c r="AH1032">
        <v>4</v>
      </c>
      <c r="AI1032">
        <v>1</v>
      </c>
      <c r="AJ1032">
        <v>4</v>
      </c>
      <c r="AK1032">
        <v>5</v>
      </c>
      <c r="AL1032">
        <v>2</v>
      </c>
      <c r="AM1032">
        <v>2</v>
      </c>
      <c r="AN1032">
        <v>7</v>
      </c>
      <c r="AO1032">
        <v>16</v>
      </c>
      <c r="AP1032">
        <v>16</v>
      </c>
      <c r="AQ1032">
        <v>9</v>
      </c>
      <c r="AR1032">
        <v>7</v>
      </c>
      <c r="AS1032">
        <v>11</v>
      </c>
      <c r="AT1032">
        <v>11</v>
      </c>
      <c r="AU1032">
        <v>6</v>
      </c>
      <c r="AV1032">
        <v>5</v>
      </c>
      <c r="AW1032">
        <v>4</v>
      </c>
      <c r="AX1032">
        <v>5</v>
      </c>
      <c r="AY1032">
        <v>9</v>
      </c>
      <c r="AZ1032">
        <v>10</v>
      </c>
      <c r="BA1032">
        <v>5</v>
      </c>
      <c r="BB1032">
        <v>0</v>
      </c>
      <c r="BC1032">
        <v>0</v>
      </c>
      <c r="BD1032">
        <v>0</v>
      </c>
      <c r="BE1032">
        <v>0</v>
      </c>
      <c r="BF1032">
        <v>0</v>
      </c>
      <c r="BG1032">
        <v>0</v>
      </c>
      <c r="BH1032">
        <v>0</v>
      </c>
      <c r="BI1032">
        <v>0</v>
      </c>
      <c r="BJ1032">
        <v>0</v>
      </c>
      <c r="BK1032">
        <v>0</v>
      </c>
      <c r="BL1032">
        <v>0</v>
      </c>
      <c r="BM1032">
        <v>0</v>
      </c>
      <c r="BN1032">
        <v>0</v>
      </c>
      <c r="BO1032">
        <v>0</v>
      </c>
      <c r="BP1032">
        <v>0</v>
      </c>
      <c r="BQ1032">
        <v>0</v>
      </c>
      <c r="BR1032">
        <v>0</v>
      </c>
      <c r="BS1032">
        <v>0</v>
      </c>
      <c r="BT1032">
        <v>0</v>
      </c>
      <c r="BU1032">
        <v>0</v>
      </c>
      <c r="BV1032">
        <v>0</v>
      </c>
      <c r="BW1032">
        <v>0</v>
      </c>
      <c r="BX1032">
        <v>0</v>
      </c>
      <c r="BY1032">
        <v>0</v>
      </c>
      <c r="BZ1032">
        <v>0</v>
      </c>
      <c r="CA1032">
        <v>0</v>
      </c>
      <c r="CB1032">
        <v>0</v>
      </c>
      <c r="CC1032">
        <v>0</v>
      </c>
      <c r="CD1032">
        <v>0</v>
      </c>
      <c r="CE1032">
        <v>0</v>
      </c>
      <c r="CF1032">
        <v>0</v>
      </c>
      <c r="CG1032">
        <v>0</v>
      </c>
      <c r="CH1032">
        <v>0</v>
      </c>
      <c r="CI1032">
        <v>0</v>
      </c>
      <c r="CJ1032">
        <v>0</v>
      </c>
      <c r="CK1032">
        <v>0</v>
      </c>
      <c r="CL1032">
        <v>0</v>
      </c>
      <c r="CM1032">
        <v>0</v>
      </c>
      <c r="CN1032">
        <v>0</v>
      </c>
      <c r="CO1032">
        <v>0</v>
      </c>
      <c r="CP1032">
        <v>0</v>
      </c>
      <c r="CQ1032">
        <v>0</v>
      </c>
      <c r="CR1032">
        <v>0</v>
      </c>
      <c r="CS1032">
        <v>0</v>
      </c>
      <c r="CT1032">
        <v>0</v>
      </c>
      <c r="CU1032">
        <v>0</v>
      </c>
      <c r="CV1032">
        <v>0</v>
      </c>
      <c r="CW1032">
        <v>0</v>
      </c>
      <c r="CX1032">
        <v>0</v>
      </c>
      <c r="CY1032">
        <v>0</v>
      </c>
      <c r="CZ1032">
        <v>0</v>
      </c>
      <c r="DA1032">
        <v>0</v>
      </c>
      <c r="DB1032">
        <v>0</v>
      </c>
      <c r="DC1032">
        <v>0</v>
      </c>
      <c r="DD1032">
        <v>0</v>
      </c>
      <c r="DE1032">
        <v>0</v>
      </c>
      <c r="DF1032">
        <v>0</v>
      </c>
      <c r="DG1032" s="16">
        <f t="shared" si="82"/>
        <v>202</v>
      </c>
      <c r="DH1032" s="16">
        <f t="shared" si="83"/>
        <v>5826</v>
      </c>
      <c r="DI1032" s="17">
        <f t="shared" si="84"/>
        <v>28.841584158415841</v>
      </c>
      <c r="DJ1032" s="119" t="s">
        <v>2</v>
      </c>
      <c r="DK1032" s="44" t="s">
        <v>2</v>
      </c>
    </row>
    <row r="1033" spans="1:116" ht="15" customHeight="1">
      <c r="A1033" s="32" t="str">
        <f t="shared" si="85"/>
        <v>SA Power--Sectionaliser (&gt;11kV ; &lt;=33kV)</v>
      </c>
      <c r="B1033" s="32" t="str">
        <f t="shared" si="86"/>
        <v>SA Power</v>
      </c>
      <c r="C1033" s="385"/>
      <c r="E1033" t="s">
        <v>1228</v>
      </c>
      <c r="F1033">
        <v>45</v>
      </c>
      <c r="G1033">
        <v>6.7823932499369999</v>
      </c>
      <c r="H1033">
        <v>24</v>
      </c>
      <c r="I1033">
        <v>33</v>
      </c>
      <c r="J1033">
        <v>26</v>
      </c>
      <c r="K1033">
        <v>33</v>
      </c>
      <c r="L1033">
        <v>27</v>
      </c>
      <c r="M1033">
        <v>4</v>
      </c>
      <c r="N1033">
        <v>4</v>
      </c>
      <c r="O1033">
        <v>5</v>
      </c>
      <c r="P1033">
        <v>21</v>
      </c>
      <c r="Q1033">
        <v>27</v>
      </c>
      <c r="R1033">
        <v>12</v>
      </c>
      <c r="S1033">
        <v>6</v>
      </c>
      <c r="T1033">
        <v>7</v>
      </c>
      <c r="U1033">
        <v>4</v>
      </c>
      <c r="V1033">
        <v>1</v>
      </c>
      <c r="W1033">
        <v>1</v>
      </c>
      <c r="X1033">
        <v>1</v>
      </c>
      <c r="Y1033">
        <v>1</v>
      </c>
      <c r="Z1033">
        <v>0</v>
      </c>
      <c r="AA1033">
        <v>3</v>
      </c>
      <c r="AB1033">
        <v>5</v>
      </c>
      <c r="AC1033">
        <v>14</v>
      </c>
      <c r="AD1033">
        <v>30</v>
      </c>
      <c r="AE1033">
        <v>30</v>
      </c>
      <c r="AF1033">
        <v>13</v>
      </c>
      <c r="AG1033">
        <v>19</v>
      </c>
      <c r="AH1033">
        <v>38</v>
      </c>
      <c r="AI1033">
        <v>22</v>
      </c>
      <c r="AJ1033">
        <v>14</v>
      </c>
      <c r="AK1033">
        <v>16</v>
      </c>
      <c r="AL1033">
        <v>33</v>
      </c>
      <c r="AM1033">
        <v>32</v>
      </c>
      <c r="AN1033">
        <v>17</v>
      </c>
      <c r="AO1033">
        <v>17</v>
      </c>
      <c r="AP1033">
        <v>21</v>
      </c>
      <c r="AQ1033">
        <v>23</v>
      </c>
      <c r="AR1033">
        <v>26</v>
      </c>
      <c r="AS1033">
        <v>31</v>
      </c>
      <c r="AT1033">
        <v>21</v>
      </c>
      <c r="AU1033">
        <v>17</v>
      </c>
      <c r="AV1033">
        <v>9</v>
      </c>
      <c r="AW1033">
        <v>9</v>
      </c>
      <c r="AX1033">
        <v>7</v>
      </c>
      <c r="AY1033">
        <v>0</v>
      </c>
      <c r="AZ1033">
        <v>0</v>
      </c>
      <c r="BA1033">
        <v>0</v>
      </c>
      <c r="BB1033">
        <v>0</v>
      </c>
      <c r="BC1033">
        <v>0</v>
      </c>
      <c r="BD1033">
        <v>0</v>
      </c>
      <c r="BE1033">
        <v>0</v>
      </c>
      <c r="BF1033">
        <v>0</v>
      </c>
      <c r="BG1033">
        <v>0</v>
      </c>
      <c r="BH1033">
        <v>0</v>
      </c>
      <c r="BI1033">
        <v>0</v>
      </c>
      <c r="BJ1033">
        <v>0</v>
      </c>
      <c r="BK1033">
        <v>0</v>
      </c>
      <c r="BL1033">
        <v>0</v>
      </c>
      <c r="BM1033">
        <v>0</v>
      </c>
      <c r="BN1033">
        <v>0</v>
      </c>
      <c r="BO1033">
        <v>0</v>
      </c>
      <c r="BP1033">
        <v>0</v>
      </c>
      <c r="BQ1033">
        <v>0</v>
      </c>
      <c r="BR1033">
        <v>0</v>
      </c>
      <c r="BS1033">
        <v>0</v>
      </c>
      <c r="BT1033">
        <v>0</v>
      </c>
      <c r="BU1033">
        <v>0</v>
      </c>
      <c r="BV1033">
        <v>0</v>
      </c>
      <c r="BW1033">
        <v>0</v>
      </c>
      <c r="BX1033">
        <v>0</v>
      </c>
      <c r="BY1033">
        <v>0</v>
      </c>
      <c r="BZ1033">
        <v>0</v>
      </c>
      <c r="CA1033">
        <v>0</v>
      </c>
      <c r="CB1033">
        <v>0</v>
      </c>
      <c r="CC1033">
        <v>0</v>
      </c>
      <c r="CD1033">
        <v>0</v>
      </c>
      <c r="CE1033">
        <v>0</v>
      </c>
      <c r="CF1033">
        <v>0</v>
      </c>
      <c r="CG1033">
        <v>0</v>
      </c>
      <c r="CH1033">
        <v>0</v>
      </c>
      <c r="CI1033">
        <v>0</v>
      </c>
      <c r="CJ1033">
        <v>0</v>
      </c>
      <c r="CK1033">
        <v>0</v>
      </c>
      <c r="CL1033">
        <v>0</v>
      </c>
      <c r="CM1033">
        <v>0</v>
      </c>
      <c r="CN1033">
        <v>0</v>
      </c>
      <c r="CO1033">
        <v>0</v>
      </c>
      <c r="CP1033">
        <v>0</v>
      </c>
      <c r="CQ1033">
        <v>0</v>
      </c>
      <c r="CR1033">
        <v>0</v>
      </c>
      <c r="CS1033">
        <v>0</v>
      </c>
      <c r="CT1033">
        <v>0</v>
      </c>
      <c r="CU1033">
        <v>0</v>
      </c>
      <c r="CV1033">
        <v>0</v>
      </c>
      <c r="CW1033">
        <v>0</v>
      </c>
      <c r="CX1033">
        <v>0</v>
      </c>
      <c r="CY1033">
        <v>0</v>
      </c>
      <c r="CZ1033">
        <v>0</v>
      </c>
      <c r="DA1033">
        <v>0</v>
      </c>
      <c r="DB1033">
        <v>0</v>
      </c>
      <c r="DC1033">
        <v>0</v>
      </c>
      <c r="DD1033">
        <v>0</v>
      </c>
      <c r="DE1033">
        <v>0</v>
      </c>
      <c r="DF1033">
        <v>0</v>
      </c>
      <c r="DG1033" s="16">
        <f t="shared" si="82"/>
        <v>704</v>
      </c>
      <c r="DH1033" s="16">
        <f t="shared" si="83"/>
        <v>16069</v>
      </c>
      <c r="DI1033" s="17">
        <f t="shared" si="84"/>
        <v>22.82528409090909</v>
      </c>
      <c r="DJ1033" s="119" t="s">
        <v>2</v>
      </c>
      <c r="DK1033" s="44" t="s">
        <v>2</v>
      </c>
    </row>
    <row r="1034" spans="1:116" ht="15" customHeight="1">
      <c r="A1034" s="32" t="str">
        <f t="shared" si="85"/>
        <v>SA Power--OTHER - PLEASE ADD A ROW IF NECESSARY AND NOMINATE THE CATEGORY</v>
      </c>
      <c r="B1034" s="32" t="str">
        <f t="shared" si="86"/>
        <v>SA Power</v>
      </c>
      <c r="C1034" s="385"/>
      <c r="E1034" t="s">
        <v>170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0</v>
      </c>
      <c r="BJ1034">
        <v>0</v>
      </c>
      <c r="BK1034">
        <v>0</v>
      </c>
      <c r="BL1034">
        <v>0</v>
      </c>
      <c r="BM1034">
        <v>0</v>
      </c>
      <c r="BN1034">
        <v>0</v>
      </c>
      <c r="BO1034">
        <v>0</v>
      </c>
      <c r="BP1034">
        <v>0</v>
      </c>
      <c r="BQ1034">
        <v>0</v>
      </c>
      <c r="BR1034">
        <v>0</v>
      </c>
      <c r="BS1034">
        <v>0</v>
      </c>
      <c r="BT1034">
        <v>0</v>
      </c>
      <c r="BU1034">
        <v>0</v>
      </c>
      <c r="BV1034">
        <v>0</v>
      </c>
      <c r="BW1034">
        <v>0</v>
      </c>
      <c r="BX1034">
        <v>0</v>
      </c>
      <c r="BY1034">
        <v>0</v>
      </c>
      <c r="BZ1034">
        <v>0</v>
      </c>
      <c r="CA1034">
        <v>0</v>
      </c>
      <c r="CB1034">
        <v>0</v>
      </c>
      <c r="CC1034">
        <v>0</v>
      </c>
      <c r="CD1034">
        <v>0</v>
      </c>
      <c r="CE1034">
        <v>0</v>
      </c>
      <c r="CF1034">
        <v>0</v>
      </c>
      <c r="CG1034">
        <v>0</v>
      </c>
      <c r="CH1034">
        <v>0</v>
      </c>
      <c r="CI1034">
        <v>0</v>
      </c>
      <c r="CJ1034">
        <v>0</v>
      </c>
      <c r="CK1034">
        <v>0</v>
      </c>
      <c r="CL1034">
        <v>0</v>
      </c>
      <c r="CM1034">
        <v>0</v>
      </c>
      <c r="CN1034">
        <v>0</v>
      </c>
      <c r="CO1034">
        <v>0</v>
      </c>
      <c r="CP1034">
        <v>0</v>
      </c>
      <c r="CQ1034">
        <v>0</v>
      </c>
      <c r="CR1034">
        <v>0</v>
      </c>
      <c r="CS1034">
        <v>0</v>
      </c>
      <c r="CT1034">
        <v>0</v>
      </c>
      <c r="CU1034">
        <v>0</v>
      </c>
      <c r="CV1034">
        <v>0</v>
      </c>
      <c r="CW1034">
        <v>0</v>
      </c>
      <c r="CX1034">
        <v>0</v>
      </c>
      <c r="CY1034">
        <v>0</v>
      </c>
      <c r="CZ1034">
        <v>0</v>
      </c>
      <c r="DA1034">
        <v>0</v>
      </c>
      <c r="DB1034">
        <v>0</v>
      </c>
      <c r="DC1034">
        <v>0</v>
      </c>
      <c r="DD1034">
        <v>0</v>
      </c>
      <c r="DE1034">
        <v>0</v>
      </c>
      <c r="DF1034">
        <v>0</v>
      </c>
      <c r="DG1034" s="16">
        <f t="shared" ref="DG1034:DG1062" si="87">SUM(H1034:DF1034)</f>
        <v>0</v>
      </c>
      <c r="DH1034" s="16">
        <f t="shared" ref="DH1034:DH1062" si="88">IFERROR(SUMPRODUCT(H1034:DF1034,$H$1:$DF$1),"")</f>
        <v>0</v>
      </c>
      <c r="DI1034" s="17" t="str">
        <f t="shared" ref="DI1034:DI1062" si="89">IFERROR(DH1034/DG1034,"")</f>
        <v/>
      </c>
      <c r="DJ1034" s="119" t="s">
        <v>2</v>
      </c>
      <c r="DK1034" s="44" t="s">
        <v>2</v>
      </c>
    </row>
    <row r="1035" spans="1:116" ht="15" customHeight="1">
      <c r="A1035" s="32" t="str">
        <f t="shared" si="85"/>
        <v>SA Power-PUBLIC LIGHTING BY: 
ASSET TYPE ; LIGHTING OBLIGATION-LUMINAIRES ;  MAJOR ROAD</v>
      </c>
      <c r="B1035" s="32" t="str">
        <f t="shared" si="86"/>
        <v>SA Power</v>
      </c>
      <c r="C1035" s="385"/>
      <c r="D1035" t="s">
        <v>547</v>
      </c>
      <c r="E1035" t="s">
        <v>262</v>
      </c>
      <c r="DG1035" s="16">
        <f t="shared" si="87"/>
        <v>0</v>
      </c>
      <c r="DH1035" s="16">
        <f t="shared" si="88"/>
        <v>0</v>
      </c>
      <c r="DI1035" s="17" t="str">
        <f t="shared" si="89"/>
        <v/>
      </c>
      <c r="DJ1035" s="119" t="s">
        <v>1323</v>
      </c>
      <c r="DK1035" s="119" t="s">
        <v>1524</v>
      </c>
      <c r="DL1035" s="119" t="s">
        <v>1523</v>
      </c>
    </row>
    <row r="1036" spans="1:116" ht="15" customHeight="1">
      <c r="A1036" s="32" t="str">
        <f t="shared" si="85"/>
        <v>SA Power--LUMINAIRES ;  MINOR ROAD</v>
      </c>
      <c r="B1036" s="32" t="str">
        <f t="shared" si="86"/>
        <v>SA Power</v>
      </c>
      <c r="C1036" s="385"/>
      <c r="E1036" t="s">
        <v>263</v>
      </c>
      <c r="DG1036" s="16">
        <f t="shared" si="87"/>
        <v>0</v>
      </c>
      <c r="DH1036" s="16">
        <f t="shared" si="88"/>
        <v>0</v>
      </c>
      <c r="DI1036" s="17" t="str">
        <f t="shared" si="89"/>
        <v/>
      </c>
      <c r="DJ1036" s="119" t="s">
        <v>1323</v>
      </c>
      <c r="DK1036" s="119" t="s">
        <v>1524</v>
      </c>
      <c r="DL1036" s="119" t="s">
        <v>1523</v>
      </c>
    </row>
    <row r="1037" spans="1:116" ht="15" customHeight="1">
      <c r="A1037" s="32" t="str">
        <f t="shared" si="85"/>
        <v>SA Power--BRACKETS ; MAJOR ROAD</v>
      </c>
      <c r="B1037" s="32" t="str">
        <f t="shared" si="86"/>
        <v>SA Power</v>
      </c>
      <c r="C1037" s="385"/>
      <c r="E1037" t="s">
        <v>264</v>
      </c>
      <c r="DG1037" s="16">
        <f t="shared" si="87"/>
        <v>0</v>
      </c>
      <c r="DH1037" s="16">
        <f t="shared" si="88"/>
        <v>0</v>
      </c>
      <c r="DI1037" s="17" t="str">
        <f t="shared" si="89"/>
        <v/>
      </c>
      <c r="DJ1037" s="119" t="s">
        <v>1323</v>
      </c>
      <c r="DK1037" s="119" t="s">
        <v>1525</v>
      </c>
    </row>
    <row r="1038" spans="1:116" ht="15" customHeight="1">
      <c r="A1038" s="32" t="str">
        <f t="shared" si="85"/>
        <v>SA Power--BRACKETS ; MINOR ROAD</v>
      </c>
      <c r="B1038" s="32" t="str">
        <f t="shared" si="86"/>
        <v>SA Power</v>
      </c>
      <c r="C1038" s="385"/>
      <c r="E1038" t="s">
        <v>265</v>
      </c>
      <c r="DG1038" s="16">
        <f t="shared" si="87"/>
        <v>0</v>
      </c>
      <c r="DH1038" s="16">
        <f t="shared" si="88"/>
        <v>0</v>
      </c>
      <c r="DI1038" s="17" t="str">
        <f t="shared" si="89"/>
        <v/>
      </c>
      <c r="DJ1038" s="119" t="s">
        <v>1323</v>
      </c>
      <c r="DK1038" s="119" t="s">
        <v>1525</v>
      </c>
    </row>
    <row r="1039" spans="1:116" ht="15" customHeight="1">
      <c r="A1039" s="32" t="str">
        <f t="shared" si="85"/>
        <v>SA Power--LAMPS ; MAJOR ROAD</v>
      </c>
      <c r="B1039" s="32" t="str">
        <f t="shared" si="86"/>
        <v>SA Power</v>
      </c>
      <c r="C1039" s="385"/>
      <c r="E1039" t="s">
        <v>266</v>
      </c>
      <c r="DG1039" s="16">
        <f t="shared" si="87"/>
        <v>0</v>
      </c>
      <c r="DH1039" s="16">
        <f t="shared" si="88"/>
        <v>0</v>
      </c>
      <c r="DI1039" s="17" t="str">
        <f t="shared" si="89"/>
        <v/>
      </c>
      <c r="DJ1039" s="119" t="s">
        <v>1323</v>
      </c>
      <c r="DK1039" s="119" t="s">
        <v>1525</v>
      </c>
    </row>
    <row r="1040" spans="1:116" ht="15" customHeight="1">
      <c r="A1040" s="32" t="str">
        <f t="shared" si="85"/>
        <v>SA Power--LAMPS ; MINOR ROAD</v>
      </c>
      <c r="B1040" s="32" t="str">
        <f t="shared" si="86"/>
        <v>SA Power</v>
      </c>
      <c r="C1040" s="385"/>
      <c r="E1040" t="s">
        <v>267</v>
      </c>
      <c r="DG1040" s="16">
        <f t="shared" si="87"/>
        <v>0</v>
      </c>
      <c r="DH1040" s="16">
        <f t="shared" si="88"/>
        <v>0</v>
      </c>
      <c r="DI1040" s="17" t="str">
        <f t="shared" si="89"/>
        <v/>
      </c>
      <c r="DJ1040" s="119" t="s">
        <v>1323</v>
      </c>
      <c r="DK1040" s="119" t="s">
        <v>1525</v>
      </c>
    </row>
    <row r="1041" spans="1:116" ht="15" customHeight="1">
      <c r="A1041" s="32" t="str">
        <f t="shared" si="85"/>
        <v>SA Power--POLES / COLUMNS ; MAJOR ROAD</v>
      </c>
      <c r="B1041" s="32" t="str">
        <f t="shared" si="86"/>
        <v>SA Power</v>
      </c>
      <c r="C1041" s="385"/>
      <c r="E1041" t="s">
        <v>268</v>
      </c>
      <c r="DG1041" s="16">
        <f t="shared" si="87"/>
        <v>0</v>
      </c>
      <c r="DH1041" s="16">
        <f t="shared" si="88"/>
        <v>0</v>
      </c>
      <c r="DI1041" s="17" t="str">
        <f t="shared" si="89"/>
        <v/>
      </c>
      <c r="DJ1041" s="119" t="s">
        <v>1323</v>
      </c>
      <c r="DK1041" s="119" t="s">
        <v>1539</v>
      </c>
      <c r="DL1041" s="119" t="s">
        <v>1522</v>
      </c>
    </row>
    <row r="1042" spans="1:116" ht="15" customHeight="1">
      <c r="A1042" s="32" t="str">
        <f t="shared" si="85"/>
        <v>SA Power--POLES / COLUMNS ; MINOR ROAD</v>
      </c>
      <c r="B1042" s="32" t="str">
        <f t="shared" si="86"/>
        <v>SA Power</v>
      </c>
      <c r="C1042" s="385"/>
      <c r="E1042" t="s">
        <v>269</v>
      </c>
      <c r="DG1042" s="16">
        <f t="shared" si="87"/>
        <v>0</v>
      </c>
      <c r="DH1042" s="16">
        <f t="shared" si="88"/>
        <v>0</v>
      </c>
      <c r="DI1042" s="17" t="str">
        <f t="shared" si="89"/>
        <v/>
      </c>
      <c r="DJ1042" s="119" t="s">
        <v>1323</v>
      </c>
      <c r="DK1042" s="119" t="s">
        <v>1539</v>
      </c>
      <c r="DL1042" s="119" t="s">
        <v>1522</v>
      </c>
    </row>
    <row r="1043" spans="1:116" ht="15" customHeight="1">
      <c r="A1043" s="32" t="str">
        <f t="shared" si="85"/>
        <v>SA Power--OTHER - PLEASE ADD A ROW IF NECESSARY AND NOMINATE THE CATEGORY</v>
      </c>
      <c r="B1043" s="32" t="str">
        <f t="shared" si="86"/>
        <v>SA Power</v>
      </c>
      <c r="C1043" s="385"/>
      <c r="E1043" t="s">
        <v>170</v>
      </c>
      <c r="DG1043" s="16">
        <f t="shared" si="87"/>
        <v>0</v>
      </c>
      <c r="DH1043" s="16">
        <f t="shared" si="88"/>
        <v>0</v>
      </c>
      <c r="DI1043" s="17" t="str">
        <f t="shared" si="89"/>
        <v/>
      </c>
      <c r="DJ1043" s="119" t="s">
        <v>1323</v>
      </c>
      <c r="DK1043" s="119" t="s">
        <v>1525</v>
      </c>
    </row>
    <row r="1044" spans="1:116" ht="15" customHeight="1">
      <c r="A1044" s="32" t="str">
        <f t="shared" si="85"/>
        <v>SA Power-SCADA, NETWORK CONTROL AND PROTECTION SYSTEMS BY: 
FUNCTION-FIELD DEVICES</v>
      </c>
      <c r="B1044" s="32" t="str">
        <f t="shared" si="86"/>
        <v>SA Power</v>
      </c>
      <c r="C1044" s="385"/>
      <c r="D1044" t="s">
        <v>548</v>
      </c>
      <c r="E1044" t="s">
        <v>272</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c r="AR1044">
        <v>0</v>
      </c>
      <c r="AS1044">
        <v>0</v>
      </c>
      <c r="AT1044">
        <v>0</v>
      </c>
      <c r="AU1044">
        <v>0</v>
      </c>
      <c r="AV1044">
        <v>0</v>
      </c>
      <c r="AW1044">
        <v>0</v>
      </c>
      <c r="AX1044">
        <v>0</v>
      </c>
      <c r="AY1044">
        <v>0</v>
      </c>
      <c r="AZ1044">
        <v>0</v>
      </c>
      <c r="BA1044">
        <v>0</v>
      </c>
      <c r="BB1044">
        <v>0</v>
      </c>
      <c r="BC1044">
        <v>0</v>
      </c>
      <c r="BD1044">
        <v>0</v>
      </c>
      <c r="BE1044">
        <v>0</v>
      </c>
      <c r="BF1044">
        <v>0</v>
      </c>
      <c r="BG1044">
        <v>0</v>
      </c>
      <c r="BH1044">
        <v>0</v>
      </c>
      <c r="BI1044">
        <v>0</v>
      </c>
      <c r="BJ1044">
        <v>0</v>
      </c>
      <c r="BK1044">
        <v>0</v>
      </c>
      <c r="BL1044">
        <v>0</v>
      </c>
      <c r="BM1044">
        <v>0</v>
      </c>
      <c r="BN1044">
        <v>0</v>
      </c>
      <c r="BO1044">
        <v>0</v>
      </c>
      <c r="BP1044">
        <v>0</v>
      </c>
      <c r="BQ1044">
        <v>0</v>
      </c>
      <c r="BR1044">
        <v>0</v>
      </c>
      <c r="BS1044">
        <v>0</v>
      </c>
      <c r="BT1044">
        <v>0</v>
      </c>
      <c r="BU1044">
        <v>0</v>
      </c>
      <c r="BV1044">
        <v>0</v>
      </c>
      <c r="BW1044">
        <v>0</v>
      </c>
      <c r="BX1044">
        <v>0</v>
      </c>
      <c r="BY1044">
        <v>0</v>
      </c>
      <c r="BZ1044">
        <v>0</v>
      </c>
      <c r="CA1044">
        <v>0</v>
      </c>
      <c r="CB1044">
        <v>0</v>
      </c>
      <c r="CC1044">
        <v>0</v>
      </c>
      <c r="CD1044">
        <v>0</v>
      </c>
      <c r="CE1044">
        <v>0</v>
      </c>
      <c r="CF1044">
        <v>0</v>
      </c>
      <c r="CG1044">
        <v>0</v>
      </c>
      <c r="CH1044">
        <v>0</v>
      </c>
      <c r="CI1044">
        <v>0</v>
      </c>
      <c r="CJ1044">
        <v>0</v>
      </c>
      <c r="CK1044">
        <v>0</v>
      </c>
      <c r="CL1044">
        <v>0</v>
      </c>
      <c r="CM1044">
        <v>0</v>
      </c>
      <c r="CN1044">
        <v>0</v>
      </c>
      <c r="CO1044">
        <v>0</v>
      </c>
      <c r="CP1044">
        <v>0</v>
      </c>
      <c r="CQ1044">
        <v>0</v>
      </c>
      <c r="CR1044">
        <v>0</v>
      </c>
      <c r="CS1044">
        <v>0</v>
      </c>
      <c r="CT1044">
        <v>0</v>
      </c>
      <c r="CU1044">
        <v>0</v>
      </c>
      <c r="CV1044">
        <v>0</v>
      </c>
      <c r="CW1044">
        <v>0</v>
      </c>
      <c r="CX1044">
        <v>0</v>
      </c>
      <c r="CY1044">
        <v>0</v>
      </c>
      <c r="CZ1044">
        <v>0</v>
      </c>
      <c r="DA1044">
        <v>0</v>
      </c>
      <c r="DB1044">
        <v>0</v>
      </c>
      <c r="DC1044">
        <v>0</v>
      </c>
      <c r="DD1044">
        <v>0</v>
      </c>
      <c r="DE1044">
        <v>0</v>
      </c>
      <c r="DF1044">
        <v>0</v>
      </c>
      <c r="DG1044" s="16">
        <f t="shared" si="87"/>
        <v>0</v>
      </c>
      <c r="DH1044" s="16">
        <f t="shared" si="88"/>
        <v>0</v>
      </c>
      <c r="DI1044" s="17" t="str">
        <f t="shared" si="89"/>
        <v/>
      </c>
      <c r="DJ1044" s="119" t="s">
        <v>659</v>
      </c>
      <c r="DK1044" t="s">
        <v>659</v>
      </c>
    </row>
    <row r="1045" spans="1:116" ht="15" customHeight="1">
      <c r="A1045" s="32" t="str">
        <f t="shared" si="85"/>
        <v>SA Power--LOCAL NETWORK WIRING ASSETS</v>
      </c>
      <c r="B1045" s="32" t="str">
        <f t="shared" si="86"/>
        <v>SA Power</v>
      </c>
      <c r="C1045" s="385"/>
      <c r="E1045" t="s">
        <v>273</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c r="AR1045">
        <v>0</v>
      </c>
      <c r="AS1045">
        <v>0</v>
      </c>
      <c r="AT1045">
        <v>0</v>
      </c>
      <c r="AU1045">
        <v>0</v>
      </c>
      <c r="AV1045">
        <v>0</v>
      </c>
      <c r="AW1045">
        <v>0</v>
      </c>
      <c r="AX1045">
        <v>0</v>
      </c>
      <c r="AY1045">
        <v>0</v>
      </c>
      <c r="AZ1045">
        <v>0</v>
      </c>
      <c r="BA1045">
        <v>0</v>
      </c>
      <c r="BB1045">
        <v>0</v>
      </c>
      <c r="BC1045">
        <v>0</v>
      </c>
      <c r="BD1045">
        <v>0</v>
      </c>
      <c r="BE1045">
        <v>0</v>
      </c>
      <c r="BF1045">
        <v>0</v>
      </c>
      <c r="BG1045">
        <v>0</v>
      </c>
      <c r="BH1045">
        <v>0</v>
      </c>
      <c r="BI1045">
        <v>0</v>
      </c>
      <c r="BJ1045">
        <v>0</v>
      </c>
      <c r="BK1045">
        <v>0</v>
      </c>
      <c r="BL1045">
        <v>0</v>
      </c>
      <c r="BM1045">
        <v>0</v>
      </c>
      <c r="BN1045">
        <v>0</v>
      </c>
      <c r="BO1045">
        <v>0</v>
      </c>
      <c r="BP1045">
        <v>0</v>
      </c>
      <c r="BQ1045">
        <v>0</v>
      </c>
      <c r="BR1045">
        <v>0</v>
      </c>
      <c r="BS1045">
        <v>0</v>
      </c>
      <c r="BT1045">
        <v>0</v>
      </c>
      <c r="BU1045">
        <v>0</v>
      </c>
      <c r="BV1045">
        <v>0</v>
      </c>
      <c r="BW1045">
        <v>0</v>
      </c>
      <c r="BX1045">
        <v>0</v>
      </c>
      <c r="BY1045">
        <v>0</v>
      </c>
      <c r="BZ1045">
        <v>0</v>
      </c>
      <c r="CA1045">
        <v>0</v>
      </c>
      <c r="CB1045">
        <v>0</v>
      </c>
      <c r="CC1045">
        <v>0</v>
      </c>
      <c r="CD1045">
        <v>0</v>
      </c>
      <c r="CE1045">
        <v>0</v>
      </c>
      <c r="CF1045">
        <v>0</v>
      </c>
      <c r="CG1045">
        <v>0</v>
      </c>
      <c r="CH1045">
        <v>0</v>
      </c>
      <c r="CI1045">
        <v>0</v>
      </c>
      <c r="CJ1045">
        <v>0</v>
      </c>
      <c r="CK1045">
        <v>0</v>
      </c>
      <c r="CL1045">
        <v>0</v>
      </c>
      <c r="CM1045">
        <v>0</v>
      </c>
      <c r="CN1045">
        <v>0</v>
      </c>
      <c r="CO1045">
        <v>0</v>
      </c>
      <c r="CP1045">
        <v>0</v>
      </c>
      <c r="CQ1045">
        <v>0</v>
      </c>
      <c r="CR1045">
        <v>0</v>
      </c>
      <c r="CS1045">
        <v>0</v>
      </c>
      <c r="CT1045">
        <v>0</v>
      </c>
      <c r="CU1045">
        <v>0</v>
      </c>
      <c r="CV1045">
        <v>0</v>
      </c>
      <c r="CW1045">
        <v>0</v>
      </c>
      <c r="CX1045">
        <v>0</v>
      </c>
      <c r="CY1045">
        <v>0</v>
      </c>
      <c r="CZ1045">
        <v>0</v>
      </c>
      <c r="DA1045">
        <v>0</v>
      </c>
      <c r="DB1045">
        <v>0</v>
      </c>
      <c r="DC1045">
        <v>0</v>
      </c>
      <c r="DD1045">
        <v>0</v>
      </c>
      <c r="DE1045">
        <v>0</v>
      </c>
      <c r="DF1045">
        <v>0</v>
      </c>
      <c r="DG1045" s="16">
        <f t="shared" si="87"/>
        <v>0</v>
      </c>
      <c r="DH1045" s="16">
        <f t="shared" si="88"/>
        <v>0</v>
      </c>
      <c r="DI1045" s="17" t="str">
        <f t="shared" si="89"/>
        <v/>
      </c>
      <c r="DJ1045" s="119" t="s">
        <v>659</v>
      </c>
      <c r="DK1045" s="44" t="s">
        <v>659</v>
      </c>
    </row>
    <row r="1046" spans="1:116" ht="15" customHeight="1">
      <c r="A1046" s="32" t="str">
        <f t="shared" si="85"/>
        <v>SA Power--COMMUNICATIONS NETWORK ASSETS - Total</v>
      </c>
      <c r="B1046" s="32" t="str">
        <f t="shared" si="86"/>
        <v>SA Power</v>
      </c>
      <c r="C1046" s="385"/>
      <c r="E1046" t="s">
        <v>1294</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0</v>
      </c>
      <c r="AR1046">
        <v>0</v>
      </c>
      <c r="AS1046">
        <v>0</v>
      </c>
      <c r="AT1046">
        <v>0</v>
      </c>
      <c r="AU1046">
        <v>0</v>
      </c>
      <c r="AV1046">
        <v>0</v>
      </c>
      <c r="AW1046">
        <v>0</v>
      </c>
      <c r="AX1046">
        <v>0</v>
      </c>
      <c r="AY1046">
        <v>0</v>
      </c>
      <c r="AZ1046">
        <v>0</v>
      </c>
      <c r="BA1046">
        <v>0</v>
      </c>
      <c r="BB1046">
        <v>0</v>
      </c>
      <c r="BC1046">
        <v>0</v>
      </c>
      <c r="BD1046">
        <v>0</v>
      </c>
      <c r="BE1046">
        <v>0</v>
      </c>
      <c r="BF1046">
        <v>0</v>
      </c>
      <c r="BG1046">
        <v>0</v>
      </c>
      <c r="BH1046">
        <v>0</v>
      </c>
      <c r="BI1046">
        <v>0</v>
      </c>
      <c r="BJ1046">
        <v>0</v>
      </c>
      <c r="BK1046">
        <v>0</v>
      </c>
      <c r="BL1046">
        <v>0</v>
      </c>
      <c r="BM1046">
        <v>0</v>
      </c>
      <c r="BN1046">
        <v>0</v>
      </c>
      <c r="BO1046">
        <v>0</v>
      </c>
      <c r="BP1046">
        <v>0</v>
      </c>
      <c r="BQ1046">
        <v>0</v>
      </c>
      <c r="BR1046">
        <v>0</v>
      </c>
      <c r="BS1046">
        <v>0</v>
      </c>
      <c r="BT1046">
        <v>0</v>
      </c>
      <c r="BU1046">
        <v>0</v>
      </c>
      <c r="BV1046">
        <v>0</v>
      </c>
      <c r="BW1046">
        <v>0</v>
      </c>
      <c r="BX1046">
        <v>0</v>
      </c>
      <c r="BY1046">
        <v>0</v>
      </c>
      <c r="BZ1046">
        <v>0</v>
      </c>
      <c r="CA1046">
        <v>0</v>
      </c>
      <c r="CB1046">
        <v>0</v>
      </c>
      <c r="CC1046">
        <v>0</v>
      </c>
      <c r="CD1046">
        <v>0</v>
      </c>
      <c r="CE1046">
        <v>0</v>
      </c>
      <c r="CF1046">
        <v>0</v>
      </c>
      <c r="CG1046">
        <v>0</v>
      </c>
      <c r="CH1046">
        <v>0</v>
      </c>
      <c r="CI1046">
        <v>0</v>
      </c>
      <c r="CJ1046">
        <v>0</v>
      </c>
      <c r="CK1046">
        <v>0</v>
      </c>
      <c r="CL1046">
        <v>0</v>
      </c>
      <c r="CM1046">
        <v>0</v>
      </c>
      <c r="CN1046">
        <v>0</v>
      </c>
      <c r="CO1046">
        <v>0</v>
      </c>
      <c r="CP1046">
        <v>0</v>
      </c>
      <c r="CQ1046">
        <v>0</v>
      </c>
      <c r="CR1046">
        <v>0</v>
      </c>
      <c r="CS1046">
        <v>0</v>
      </c>
      <c r="CT1046">
        <v>0</v>
      </c>
      <c r="CU1046">
        <v>0</v>
      </c>
      <c r="CV1046">
        <v>0</v>
      </c>
      <c r="CW1046">
        <v>0</v>
      </c>
      <c r="CX1046">
        <v>0</v>
      </c>
      <c r="CY1046">
        <v>0</v>
      </c>
      <c r="CZ1046">
        <v>0</v>
      </c>
      <c r="DA1046">
        <v>0</v>
      </c>
      <c r="DB1046">
        <v>0</v>
      </c>
      <c r="DC1046">
        <v>0</v>
      </c>
      <c r="DD1046">
        <v>0</v>
      </c>
      <c r="DE1046">
        <v>0</v>
      </c>
      <c r="DF1046">
        <v>0</v>
      </c>
      <c r="DG1046" s="16">
        <f t="shared" si="87"/>
        <v>0</v>
      </c>
      <c r="DH1046" s="16">
        <f t="shared" si="88"/>
        <v>0</v>
      </c>
      <c r="DI1046" s="17" t="str">
        <f t="shared" si="89"/>
        <v/>
      </c>
      <c r="DJ1046" s="119" t="s">
        <v>659</v>
      </c>
      <c r="DK1046" s="44" t="s">
        <v>659</v>
      </c>
    </row>
    <row r="1047" spans="1:116" ht="15" customHeight="1">
      <c r="A1047" s="32" t="str">
        <f t="shared" si="85"/>
        <v>SA Power--COMMUNICATIONS NETWORK ASSETS - Other</v>
      </c>
      <c r="B1047" s="32" t="str">
        <f t="shared" si="86"/>
        <v>SA Power</v>
      </c>
      <c r="C1047" s="385"/>
      <c r="E1047" t="s">
        <v>1295</v>
      </c>
      <c r="F1047">
        <v>10</v>
      </c>
      <c r="G1047">
        <v>3.1622776601683795</v>
      </c>
      <c r="H1047">
        <v>115</v>
      </c>
      <c r="I1047">
        <v>117</v>
      </c>
      <c r="J1047">
        <v>69</v>
      </c>
      <c r="K1047">
        <v>28</v>
      </c>
      <c r="L1047">
        <v>30</v>
      </c>
      <c r="M1047">
        <v>8</v>
      </c>
      <c r="N1047">
        <v>8</v>
      </c>
      <c r="O1047">
        <v>54</v>
      </c>
      <c r="P1047">
        <v>16</v>
      </c>
      <c r="Q1047">
        <v>14</v>
      </c>
      <c r="R1047">
        <v>15</v>
      </c>
      <c r="S1047">
        <v>15</v>
      </c>
      <c r="T1047">
        <v>0</v>
      </c>
      <c r="U1047">
        <v>0</v>
      </c>
      <c r="V1047">
        <v>2</v>
      </c>
      <c r="W1047">
        <v>2</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c r="AQ1047">
        <v>0</v>
      </c>
      <c r="AR1047">
        <v>0</v>
      </c>
      <c r="AS1047">
        <v>0</v>
      </c>
      <c r="AT1047">
        <v>0</v>
      </c>
      <c r="AU1047">
        <v>0</v>
      </c>
      <c r="AV1047">
        <v>0</v>
      </c>
      <c r="AW1047">
        <v>0</v>
      </c>
      <c r="AX1047">
        <v>0</v>
      </c>
      <c r="AY1047">
        <v>0</v>
      </c>
      <c r="AZ1047">
        <v>0</v>
      </c>
      <c r="BA1047">
        <v>0</v>
      </c>
      <c r="BB1047">
        <v>0</v>
      </c>
      <c r="BC1047">
        <v>0</v>
      </c>
      <c r="BD1047">
        <v>0</v>
      </c>
      <c r="BE1047">
        <v>0</v>
      </c>
      <c r="BF1047">
        <v>0</v>
      </c>
      <c r="BG1047">
        <v>0</v>
      </c>
      <c r="BH1047">
        <v>0</v>
      </c>
      <c r="BI1047">
        <v>0</v>
      </c>
      <c r="BJ1047">
        <v>0</v>
      </c>
      <c r="BK1047">
        <v>0</v>
      </c>
      <c r="BL1047">
        <v>0</v>
      </c>
      <c r="BM1047">
        <v>0</v>
      </c>
      <c r="BN1047">
        <v>0</v>
      </c>
      <c r="BO1047">
        <v>0</v>
      </c>
      <c r="BP1047">
        <v>0</v>
      </c>
      <c r="BQ1047">
        <v>0</v>
      </c>
      <c r="BR1047">
        <v>0</v>
      </c>
      <c r="BS1047">
        <v>0</v>
      </c>
      <c r="BT1047">
        <v>0</v>
      </c>
      <c r="BU1047">
        <v>0</v>
      </c>
      <c r="BV1047">
        <v>0</v>
      </c>
      <c r="BW1047">
        <v>0</v>
      </c>
      <c r="BX1047">
        <v>0</v>
      </c>
      <c r="BY1047">
        <v>0</v>
      </c>
      <c r="BZ1047">
        <v>0</v>
      </c>
      <c r="CA1047">
        <v>0</v>
      </c>
      <c r="CB1047">
        <v>0</v>
      </c>
      <c r="CC1047">
        <v>0</v>
      </c>
      <c r="CD1047">
        <v>0</v>
      </c>
      <c r="CE1047">
        <v>0</v>
      </c>
      <c r="CF1047">
        <v>0</v>
      </c>
      <c r="CG1047">
        <v>0</v>
      </c>
      <c r="CH1047">
        <v>0</v>
      </c>
      <c r="CI1047">
        <v>0</v>
      </c>
      <c r="CJ1047">
        <v>0</v>
      </c>
      <c r="CK1047">
        <v>0</v>
      </c>
      <c r="CL1047">
        <v>0</v>
      </c>
      <c r="CM1047">
        <v>0</v>
      </c>
      <c r="CN1047">
        <v>0</v>
      </c>
      <c r="CO1047">
        <v>0</v>
      </c>
      <c r="CP1047">
        <v>0</v>
      </c>
      <c r="CQ1047">
        <v>0</v>
      </c>
      <c r="CR1047">
        <v>0</v>
      </c>
      <c r="CS1047">
        <v>0</v>
      </c>
      <c r="CT1047">
        <v>0</v>
      </c>
      <c r="CU1047">
        <v>0</v>
      </c>
      <c r="CV1047">
        <v>0</v>
      </c>
      <c r="CW1047">
        <v>0</v>
      </c>
      <c r="CX1047">
        <v>0</v>
      </c>
      <c r="CY1047">
        <v>0</v>
      </c>
      <c r="CZ1047">
        <v>0</v>
      </c>
      <c r="DA1047">
        <v>0</v>
      </c>
      <c r="DB1047">
        <v>0</v>
      </c>
      <c r="DC1047">
        <v>0</v>
      </c>
      <c r="DD1047">
        <v>0</v>
      </c>
      <c r="DE1047">
        <v>0</v>
      </c>
      <c r="DF1047">
        <v>0</v>
      </c>
      <c r="DG1047" s="16">
        <f t="shared" si="87"/>
        <v>493</v>
      </c>
      <c r="DH1047" s="16">
        <f t="shared" si="88"/>
        <v>2045</v>
      </c>
      <c r="DI1047" s="17">
        <f t="shared" si="89"/>
        <v>4.1480730223123734</v>
      </c>
      <c r="DJ1047" s="119" t="s">
        <v>659</v>
      </c>
      <c r="DK1047" s="44" t="s">
        <v>659</v>
      </c>
    </row>
    <row r="1048" spans="1:116" ht="15" customHeight="1">
      <c r="A1048" s="32" t="str">
        <f t="shared" ref="A1048:A1111" si="90">B1048&amp;"-"&amp;D1048&amp;"-"&amp;E1048</f>
        <v>SA Power--COMMUNICATIONS NETWORK ASSETS - DC Systems</v>
      </c>
      <c r="B1048" s="32" t="str">
        <f t="shared" ref="B1048:B1111" si="91">IF(C1048&gt;0,C1048,B1047)</f>
        <v>SA Power</v>
      </c>
      <c r="C1048" s="385"/>
      <c r="E1048" t="s">
        <v>1296</v>
      </c>
      <c r="F1048">
        <v>10</v>
      </c>
      <c r="G1048">
        <v>3.1622776601683795</v>
      </c>
      <c r="H1048">
        <v>57</v>
      </c>
      <c r="I1048">
        <v>28</v>
      </c>
      <c r="J1048">
        <v>38</v>
      </c>
      <c r="K1048">
        <v>28</v>
      </c>
      <c r="L1048">
        <v>10</v>
      </c>
      <c r="M1048">
        <v>22</v>
      </c>
      <c r="N1048">
        <v>28</v>
      </c>
      <c r="O1048">
        <v>21</v>
      </c>
      <c r="P1048">
        <v>3</v>
      </c>
      <c r="Q1048">
        <v>3</v>
      </c>
      <c r="R1048">
        <v>1</v>
      </c>
      <c r="S1048">
        <v>1</v>
      </c>
      <c r="T1048">
        <v>0</v>
      </c>
      <c r="U1048">
        <v>0</v>
      </c>
      <c r="V1048">
        <v>0</v>
      </c>
      <c r="W1048">
        <v>2</v>
      </c>
      <c r="X1048">
        <v>0</v>
      </c>
      <c r="Y1048">
        <v>0</v>
      </c>
      <c r="Z1048">
        <v>0</v>
      </c>
      <c r="AA1048">
        <v>1</v>
      </c>
      <c r="AB1048">
        <v>7</v>
      </c>
      <c r="AC1048">
        <v>1</v>
      </c>
      <c r="AD1048">
        <v>0</v>
      </c>
      <c r="AE1048">
        <v>2</v>
      </c>
      <c r="AF1048">
        <v>0</v>
      </c>
      <c r="AG1048">
        <v>0</v>
      </c>
      <c r="AH1048">
        <v>0</v>
      </c>
      <c r="AI1048">
        <v>7</v>
      </c>
      <c r="AJ1048">
        <v>1</v>
      </c>
      <c r="AK1048">
        <v>4</v>
      </c>
      <c r="AL1048">
        <v>3</v>
      </c>
      <c r="AM1048">
        <v>3</v>
      </c>
      <c r="AN1048">
        <v>0</v>
      </c>
      <c r="AO1048">
        <v>0</v>
      </c>
      <c r="AP1048">
        <v>0</v>
      </c>
      <c r="AQ1048">
        <v>0</v>
      </c>
      <c r="AR1048">
        <v>0</v>
      </c>
      <c r="AS1048">
        <v>0</v>
      </c>
      <c r="AT1048">
        <v>0</v>
      </c>
      <c r="AU1048">
        <v>0</v>
      </c>
      <c r="AV1048">
        <v>0</v>
      </c>
      <c r="AW1048">
        <v>0</v>
      </c>
      <c r="AX1048">
        <v>0</v>
      </c>
      <c r="AY1048">
        <v>0</v>
      </c>
      <c r="AZ1048">
        <v>0</v>
      </c>
      <c r="BA1048">
        <v>0</v>
      </c>
      <c r="BB1048">
        <v>0</v>
      </c>
      <c r="BC1048">
        <v>0</v>
      </c>
      <c r="BD1048">
        <v>0</v>
      </c>
      <c r="BE1048">
        <v>0</v>
      </c>
      <c r="BF1048">
        <v>0</v>
      </c>
      <c r="BG1048">
        <v>0</v>
      </c>
      <c r="BH1048">
        <v>0</v>
      </c>
      <c r="BI1048">
        <v>0</v>
      </c>
      <c r="BJ1048">
        <v>0</v>
      </c>
      <c r="BK1048">
        <v>0</v>
      </c>
      <c r="BL1048">
        <v>0</v>
      </c>
      <c r="BM1048">
        <v>0</v>
      </c>
      <c r="BN1048">
        <v>0</v>
      </c>
      <c r="BO1048">
        <v>0</v>
      </c>
      <c r="BP1048">
        <v>0</v>
      </c>
      <c r="BQ1048">
        <v>0</v>
      </c>
      <c r="BR1048">
        <v>0</v>
      </c>
      <c r="BS1048">
        <v>0</v>
      </c>
      <c r="BT1048">
        <v>0</v>
      </c>
      <c r="BU1048">
        <v>0</v>
      </c>
      <c r="BV1048">
        <v>0</v>
      </c>
      <c r="BW1048">
        <v>0</v>
      </c>
      <c r="BX1048">
        <v>0</v>
      </c>
      <c r="BY1048">
        <v>0</v>
      </c>
      <c r="BZ1048">
        <v>0</v>
      </c>
      <c r="CA1048">
        <v>0</v>
      </c>
      <c r="CB1048">
        <v>0</v>
      </c>
      <c r="CC1048">
        <v>0</v>
      </c>
      <c r="CD1048">
        <v>0</v>
      </c>
      <c r="CE1048">
        <v>0</v>
      </c>
      <c r="CF1048">
        <v>0</v>
      </c>
      <c r="CG1048">
        <v>0</v>
      </c>
      <c r="CH1048">
        <v>0</v>
      </c>
      <c r="CI1048">
        <v>0</v>
      </c>
      <c r="CJ1048">
        <v>0</v>
      </c>
      <c r="CK1048">
        <v>0</v>
      </c>
      <c r="CL1048">
        <v>0</v>
      </c>
      <c r="CM1048">
        <v>0</v>
      </c>
      <c r="CN1048">
        <v>0</v>
      </c>
      <c r="CO1048">
        <v>0</v>
      </c>
      <c r="CP1048">
        <v>0</v>
      </c>
      <c r="CQ1048">
        <v>0</v>
      </c>
      <c r="CR1048">
        <v>0</v>
      </c>
      <c r="CS1048">
        <v>0</v>
      </c>
      <c r="CT1048">
        <v>0</v>
      </c>
      <c r="CU1048">
        <v>0</v>
      </c>
      <c r="CV1048">
        <v>0</v>
      </c>
      <c r="CW1048">
        <v>0</v>
      </c>
      <c r="CX1048">
        <v>0</v>
      </c>
      <c r="CY1048">
        <v>0</v>
      </c>
      <c r="CZ1048">
        <v>0</v>
      </c>
      <c r="DA1048">
        <v>0</v>
      </c>
      <c r="DB1048">
        <v>0</v>
      </c>
      <c r="DC1048">
        <v>0</v>
      </c>
      <c r="DD1048">
        <v>0</v>
      </c>
      <c r="DE1048">
        <v>0</v>
      </c>
      <c r="DF1048">
        <v>0</v>
      </c>
      <c r="DG1048" s="16">
        <f t="shared" si="87"/>
        <v>271</v>
      </c>
      <c r="DH1048" s="16">
        <f t="shared" si="88"/>
        <v>1768</v>
      </c>
      <c r="DI1048" s="17">
        <f t="shared" si="89"/>
        <v>6.5239852398523981</v>
      </c>
      <c r="DJ1048" s="119" t="s">
        <v>659</v>
      </c>
      <c r="DK1048" s="44" t="s">
        <v>659</v>
      </c>
    </row>
    <row r="1049" spans="1:116" ht="15" customHeight="1">
      <c r="A1049" s="32" t="str">
        <f t="shared" si="90"/>
        <v>SA Power--COMMUNICATIONS NETWORK ASSETS - DC Batteries</v>
      </c>
      <c r="B1049" s="32" t="str">
        <f t="shared" si="91"/>
        <v>SA Power</v>
      </c>
      <c r="C1049" s="385"/>
      <c r="E1049" t="s">
        <v>1297</v>
      </c>
      <c r="F1049">
        <v>10</v>
      </c>
      <c r="G1049">
        <v>3.1622776601683795</v>
      </c>
      <c r="H1049">
        <v>243</v>
      </c>
      <c r="I1049">
        <v>130</v>
      </c>
      <c r="J1049">
        <v>176</v>
      </c>
      <c r="K1049">
        <v>146</v>
      </c>
      <c r="L1049">
        <v>48</v>
      </c>
      <c r="M1049">
        <v>33</v>
      </c>
      <c r="N1049">
        <v>247</v>
      </c>
      <c r="O1049">
        <v>120</v>
      </c>
      <c r="P1049">
        <v>25</v>
      </c>
      <c r="Q1049">
        <v>48</v>
      </c>
      <c r="R1049">
        <v>0</v>
      </c>
      <c r="S1049">
        <v>8</v>
      </c>
      <c r="T1049">
        <v>0</v>
      </c>
      <c r="U1049">
        <v>0</v>
      </c>
      <c r="V1049">
        <v>0</v>
      </c>
      <c r="W1049">
        <v>8</v>
      </c>
      <c r="X1049">
        <v>0</v>
      </c>
      <c r="Y1049">
        <v>0</v>
      </c>
      <c r="Z1049">
        <v>0</v>
      </c>
      <c r="AA1049">
        <v>0</v>
      </c>
      <c r="AB1049">
        <v>0</v>
      </c>
      <c r="AC1049">
        <v>0</v>
      </c>
      <c r="AD1049">
        <v>0</v>
      </c>
      <c r="AE1049">
        <v>2</v>
      </c>
      <c r="AF1049">
        <v>0</v>
      </c>
      <c r="AG1049">
        <v>0</v>
      </c>
      <c r="AH1049">
        <v>0</v>
      </c>
      <c r="AI1049">
        <v>0</v>
      </c>
      <c r="AJ1049">
        <v>0</v>
      </c>
      <c r="AK1049">
        <v>0</v>
      </c>
      <c r="AL1049">
        <v>0</v>
      </c>
      <c r="AM1049">
        <v>0</v>
      </c>
      <c r="AN1049">
        <v>0</v>
      </c>
      <c r="AO1049">
        <v>0</v>
      </c>
      <c r="AP1049">
        <v>0</v>
      </c>
      <c r="AQ1049">
        <v>0</v>
      </c>
      <c r="AR1049">
        <v>0</v>
      </c>
      <c r="AS1049">
        <v>0</v>
      </c>
      <c r="AT1049">
        <v>0</v>
      </c>
      <c r="AU1049">
        <v>0</v>
      </c>
      <c r="AV1049">
        <v>0</v>
      </c>
      <c r="AW1049">
        <v>0</v>
      </c>
      <c r="AX1049">
        <v>0</v>
      </c>
      <c r="AY1049">
        <v>0</v>
      </c>
      <c r="AZ1049">
        <v>0</v>
      </c>
      <c r="BA1049">
        <v>0</v>
      </c>
      <c r="BB1049">
        <v>0</v>
      </c>
      <c r="BC1049">
        <v>0</v>
      </c>
      <c r="BD1049">
        <v>0</v>
      </c>
      <c r="BE1049">
        <v>0</v>
      </c>
      <c r="BF1049">
        <v>0</v>
      </c>
      <c r="BG1049">
        <v>0</v>
      </c>
      <c r="BH1049">
        <v>0</v>
      </c>
      <c r="BI1049">
        <v>0</v>
      </c>
      <c r="BJ1049">
        <v>0</v>
      </c>
      <c r="BK1049">
        <v>0</v>
      </c>
      <c r="BL1049">
        <v>0</v>
      </c>
      <c r="BM1049">
        <v>0</v>
      </c>
      <c r="BN1049">
        <v>0</v>
      </c>
      <c r="BO1049">
        <v>0</v>
      </c>
      <c r="BP1049">
        <v>0</v>
      </c>
      <c r="BQ1049">
        <v>0</v>
      </c>
      <c r="BR1049">
        <v>0</v>
      </c>
      <c r="BS1049">
        <v>0</v>
      </c>
      <c r="BT1049">
        <v>0</v>
      </c>
      <c r="BU1049">
        <v>0</v>
      </c>
      <c r="BV1049">
        <v>0</v>
      </c>
      <c r="BW1049">
        <v>0</v>
      </c>
      <c r="BX1049">
        <v>0</v>
      </c>
      <c r="BY1049">
        <v>0</v>
      </c>
      <c r="BZ1049">
        <v>0</v>
      </c>
      <c r="CA1049">
        <v>0</v>
      </c>
      <c r="CB1049">
        <v>0</v>
      </c>
      <c r="CC1049">
        <v>0</v>
      </c>
      <c r="CD1049">
        <v>0</v>
      </c>
      <c r="CE1049">
        <v>0</v>
      </c>
      <c r="CF1049">
        <v>0</v>
      </c>
      <c r="CG1049">
        <v>0</v>
      </c>
      <c r="CH1049">
        <v>0</v>
      </c>
      <c r="CI1049">
        <v>0</v>
      </c>
      <c r="CJ1049">
        <v>0</v>
      </c>
      <c r="CK1049">
        <v>0</v>
      </c>
      <c r="CL1049">
        <v>0</v>
      </c>
      <c r="CM1049">
        <v>0</v>
      </c>
      <c r="CN1049">
        <v>0</v>
      </c>
      <c r="CO1049">
        <v>0</v>
      </c>
      <c r="CP1049">
        <v>0</v>
      </c>
      <c r="CQ1049">
        <v>0</v>
      </c>
      <c r="CR1049">
        <v>0</v>
      </c>
      <c r="CS1049">
        <v>0</v>
      </c>
      <c r="CT1049">
        <v>0</v>
      </c>
      <c r="CU1049">
        <v>0</v>
      </c>
      <c r="CV1049">
        <v>0</v>
      </c>
      <c r="CW1049">
        <v>0</v>
      </c>
      <c r="CX1049">
        <v>0</v>
      </c>
      <c r="CY1049">
        <v>0</v>
      </c>
      <c r="CZ1049">
        <v>0</v>
      </c>
      <c r="DA1049">
        <v>0</v>
      </c>
      <c r="DB1049">
        <v>0</v>
      </c>
      <c r="DC1049">
        <v>0</v>
      </c>
      <c r="DD1049">
        <v>0</v>
      </c>
      <c r="DE1049">
        <v>0</v>
      </c>
      <c r="DF1049">
        <v>0</v>
      </c>
      <c r="DG1049" s="16">
        <f t="shared" si="87"/>
        <v>1234</v>
      </c>
      <c r="DH1049" s="16">
        <f t="shared" si="88"/>
        <v>5719</v>
      </c>
      <c r="DI1049" s="17">
        <f t="shared" si="89"/>
        <v>4.6345218800648302</v>
      </c>
      <c r="DJ1049" s="119" t="s">
        <v>659</v>
      </c>
      <c r="DK1049" s="44" t="s">
        <v>659</v>
      </c>
    </row>
    <row r="1050" spans="1:116" ht="15" customHeight="1">
      <c r="A1050" s="32" t="str">
        <f t="shared" si="90"/>
        <v>SA Power--COMMUNICATIONS NETWORK ASSETS - Towers</v>
      </c>
      <c r="B1050" s="32" t="str">
        <f t="shared" si="91"/>
        <v>SA Power</v>
      </c>
      <c r="C1050" s="385"/>
      <c r="E1050" t="s">
        <v>1298</v>
      </c>
      <c r="F1050">
        <v>25</v>
      </c>
      <c r="G1050">
        <v>5</v>
      </c>
      <c r="H1050">
        <v>0</v>
      </c>
      <c r="I1050">
        <v>1</v>
      </c>
      <c r="J1050">
        <v>0</v>
      </c>
      <c r="K1050">
        <v>0</v>
      </c>
      <c r="L1050">
        <v>1</v>
      </c>
      <c r="M1050">
        <v>3</v>
      </c>
      <c r="N1050">
        <v>7</v>
      </c>
      <c r="O1050">
        <v>0</v>
      </c>
      <c r="P1050">
        <v>5</v>
      </c>
      <c r="Q1050">
        <v>8</v>
      </c>
      <c r="R1050">
        <v>5</v>
      </c>
      <c r="S1050">
        <v>2</v>
      </c>
      <c r="T1050">
        <v>0</v>
      </c>
      <c r="U1050">
        <v>0</v>
      </c>
      <c r="V1050">
        <v>1</v>
      </c>
      <c r="W1050">
        <v>0</v>
      </c>
      <c r="X1050">
        <v>0</v>
      </c>
      <c r="Y1050">
        <v>0</v>
      </c>
      <c r="Z1050">
        <v>0</v>
      </c>
      <c r="AA1050">
        <v>0</v>
      </c>
      <c r="AB1050">
        <v>0</v>
      </c>
      <c r="AC1050">
        <v>2</v>
      </c>
      <c r="AD1050">
        <v>1</v>
      </c>
      <c r="AE1050">
        <v>4</v>
      </c>
      <c r="AF1050">
        <v>1</v>
      </c>
      <c r="AG1050">
        <v>7</v>
      </c>
      <c r="AI1050">
        <v>3</v>
      </c>
      <c r="AJ1050">
        <v>1</v>
      </c>
      <c r="AK1050">
        <v>1</v>
      </c>
      <c r="AL1050">
        <v>0</v>
      </c>
      <c r="AM1050">
        <v>0</v>
      </c>
      <c r="AN1050">
        <v>6</v>
      </c>
      <c r="AO1050">
        <v>0</v>
      </c>
      <c r="AP1050">
        <v>1</v>
      </c>
      <c r="AQ1050">
        <v>0</v>
      </c>
      <c r="AR1050">
        <v>1</v>
      </c>
      <c r="AS1050">
        <v>1</v>
      </c>
      <c r="AT1050">
        <v>1</v>
      </c>
      <c r="AU1050">
        <v>0</v>
      </c>
      <c r="AV1050">
        <v>0</v>
      </c>
      <c r="AW1050">
        <v>0</v>
      </c>
      <c r="AX1050">
        <v>2</v>
      </c>
      <c r="AY1050">
        <v>0</v>
      </c>
      <c r="AZ1050">
        <v>1</v>
      </c>
      <c r="BA1050">
        <v>0</v>
      </c>
      <c r="BB1050">
        <v>0</v>
      </c>
      <c r="BC1050">
        <v>0</v>
      </c>
      <c r="BD1050">
        <v>0</v>
      </c>
      <c r="BE1050">
        <v>0</v>
      </c>
      <c r="BF1050">
        <v>0</v>
      </c>
      <c r="BG1050">
        <v>0</v>
      </c>
      <c r="BH1050">
        <v>0</v>
      </c>
      <c r="BI1050">
        <v>0</v>
      </c>
      <c r="BJ1050">
        <v>0</v>
      </c>
      <c r="BK1050">
        <v>0</v>
      </c>
      <c r="BL1050">
        <v>0</v>
      </c>
      <c r="BM1050">
        <v>0</v>
      </c>
      <c r="BN1050">
        <v>0</v>
      </c>
      <c r="BO1050">
        <v>0</v>
      </c>
      <c r="BP1050">
        <v>0</v>
      </c>
      <c r="BQ1050">
        <v>0</v>
      </c>
      <c r="BR1050">
        <v>0</v>
      </c>
      <c r="BS1050">
        <v>0</v>
      </c>
      <c r="BT1050">
        <v>0</v>
      </c>
      <c r="BU1050">
        <v>0</v>
      </c>
      <c r="BV1050">
        <v>0</v>
      </c>
      <c r="BW1050">
        <v>0</v>
      </c>
      <c r="BX1050">
        <v>0</v>
      </c>
      <c r="BY1050">
        <v>0</v>
      </c>
      <c r="BZ1050">
        <v>0</v>
      </c>
      <c r="CA1050">
        <v>0</v>
      </c>
      <c r="CB1050">
        <v>0</v>
      </c>
      <c r="CC1050">
        <v>0</v>
      </c>
      <c r="CD1050">
        <v>0</v>
      </c>
      <c r="CE1050">
        <v>0</v>
      </c>
      <c r="CF1050">
        <v>0</v>
      </c>
      <c r="CG1050">
        <v>0</v>
      </c>
      <c r="CH1050">
        <v>0</v>
      </c>
      <c r="CI1050">
        <v>0</v>
      </c>
      <c r="CJ1050">
        <v>0</v>
      </c>
      <c r="CK1050">
        <v>0</v>
      </c>
      <c r="CL1050">
        <v>0</v>
      </c>
      <c r="CM1050">
        <v>0</v>
      </c>
      <c r="CN1050">
        <v>0</v>
      </c>
      <c r="CO1050">
        <v>0</v>
      </c>
      <c r="CP1050">
        <v>0</v>
      </c>
      <c r="CQ1050">
        <v>0</v>
      </c>
      <c r="CR1050">
        <v>0</v>
      </c>
      <c r="CS1050">
        <v>0</v>
      </c>
      <c r="CT1050">
        <v>0</v>
      </c>
      <c r="CU1050">
        <v>0</v>
      </c>
      <c r="CV1050">
        <v>0</v>
      </c>
      <c r="CW1050">
        <v>0</v>
      </c>
      <c r="CX1050">
        <v>0</v>
      </c>
      <c r="CY1050">
        <v>0</v>
      </c>
      <c r="CZ1050">
        <v>0</v>
      </c>
      <c r="DA1050">
        <v>0</v>
      </c>
      <c r="DB1050">
        <v>0</v>
      </c>
      <c r="DC1050">
        <v>0</v>
      </c>
      <c r="DD1050">
        <v>0</v>
      </c>
      <c r="DE1050">
        <v>0</v>
      </c>
      <c r="DF1050">
        <v>0</v>
      </c>
      <c r="DG1050" s="16">
        <f t="shared" si="87"/>
        <v>66</v>
      </c>
      <c r="DH1050" s="16">
        <f t="shared" si="88"/>
        <v>1284</v>
      </c>
      <c r="DI1050" s="17">
        <f t="shared" si="89"/>
        <v>19.454545454545453</v>
      </c>
      <c r="DJ1050" s="119" t="s">
        <v>659</v>
      </c>
      <c r="DK1050" s="44" t="s">
        <v>659</v>
      </c>
    </row>
    <row r="1051" spans="1:116" ht="15" customHeight="1">
      <c r="A1051" s="32" t="str">
        <f t="shared" si="90"/>
        <v>SA Power--COMMUNICATIONS NETWORK ASSETS - Pilot Cable (per km)</v>
      </c>
      <c r="B1051" s="32" t="str">
        <f t="shared" si="91"/>
        <v>SA Power</v>
      </c>
      <c r="C1051" s="385"/>
      <c r="E1051" t="s">
        <v>1299</v>
      </c>
      <c r="F1051">
        <v>35</v>
      </c>
      <c r="G1051">
        <v>5.9160797830996161</v>
      </c>
      <c r="H1051">
        <v>0</v>
      </c>
      <c r="I1051">
        <v>0</v>
      </c>
      <c r="J1051">
        <v>0</v>
      </c>
      <c r="K1051">
        <v>0</v>
      </c>
      <c r="L1051">
        <v>0</v>
      </c>
      <c r="M1051">
        <v>0</v>
      </c>
      <c r="N1051">
        <v>0</v>
      </c>
      <c r="O1051">
        <v>0</v>
      </c>
      <c r="P1051">
        <v>0</v>
      </c>
      <c r="Q1051">
        <v>0</v>
      </c>
      <c r="R1051">
        <v>0</v>
      </c>
      <c r="S1051">
        <v>2.91</v>
      </c>
      <c r="T1051">
        <v>5.83</v>
      </c>
      <c r="U1051">
        <v>2.91</v>
      </c>
      <c r="V1051">
        <v>2.91</v>
      </c>
      <c r="W1051">
        <v>11.65</v>
      </c>
      <c r="X1051">
        <v>8.74</v>
      </c>
      <c r="Y1051">
        <v>1.46</v>
      </c>
      <c r="Z1051">
        <v>2.91</v>
      </c>
      <c r="AA1051">
        <v>4.37</v>
      </c>
      <c r="AB1051">
        <v>4.37</v>
      </c>
      <c r="AC1051">
        <v>7.28</v>
      </c>
      <c r="AD1051">
        <v>26.22</v>
      </c>
      <c r="AE1051">
        <v>4.37</v>
      </c>
      <c r="AF1051">
        <v>7.28</v>
      </c>
      <c r="AG1051">
        <v>5.83</v>
      </c>
      <c r="AH1051">
        <v>5.83</v>
      </c>
      <c r="AI1051">
        <v>2.91</v>
      </c>
      <c r="AJ1051">
        <v>2.91</v>
      </c>
      <c r="AK1051">
        <v>11.65</v>
      </c>
      <c r="AL1051">
        <v>8.74</v>
      </c>
      <c r="AM1051">
        <v>10.199999999999999</v>
      </c>
      <c r="AN1051">
        <v>2.91</v>
      </c>
      <c r="AO1051">
        <v>5.83</v>
      </c>
      <c r="AP1051">
        <v>17.48</v>
      </c>
      <c r="AQ1051">
        <v>17.48</v>
      </c>
      <c r="AR1051">
        <v>13.11</v>
      </c>
      <c r="AS1051">
        <v>8.74</v>
      </c>
      <c r="AT1051">
        <v>1.46</v>
      </c>
      <c r="AU1051">
        <v>0</v>
      </c>
      <c r="AV1051">
        <v>1.46</v>
      </c>
      <c r="AW1051">
        <v>16.02</v>
      </c>
      <c r="AX1051">
        <v>29.13</v>
      </c>
      <c r="AY1051">
        <v>29.13</v>
      </c>
      <c r="AZ1051">
        <v>21.85</v>
      </c>
      <c r="BA1051">
        <v>23.31</v>
      </c>
      <c r="BB1051">
        <v>13.11</v>
      </c>
      <c r="BC1051">
        <v>32.049999999999997</v>
      </c>
      <c r="BD1051">
        <v>7.28</v>
      </c>
      <c r="BE1051">
        <v>1.46</v>
      </c>
      <c r="BF1051">
        <v>13.11</v>
      </c>
      <c r="BG1051">
        <v>14.57</v>
      </c>
      <c r="BH1051">
        <v>7.28</v>
      </c>
      <c r="BI1051">
        <v>0</v>
      </c>
      <c r="BJ1051">
        <v>1.46</v>
      </c>
      <c r="BK1051">
        <v>7.28</v>
      </c>
      <c r="BL1051">
        <v>5.83</v>
      </c>
      <c r="BM1051">
        <v>11.65</v>
      </c>
      <c r="BN1051">
        <v>0</v>
      </c>
      <c r="BO1051">
        <v>0</v>
      </c>
      <c r="BP1051">
        <v>0</v>
      </c>
      <c r="BQ1051">
        <v>0</v>
      </c>
      <c r="BR1051">
        <v>0</v>
      </c>
      <c r="BS1051">
        <v>0</v>
      </c>
      <c r="BT1051">
        <v>0</v>
      </c>
      <c r="BU1051">
        <v>0</v>
      </c>
      <c r="BV1051">
        <v>0</v>
      </c>
      <c r="BW1051">
        <v>8.74</v>
      </c>
      <c r="BX1051">
        <v>0</v>
      </c>
      <c r="BY1051">
        <v>0</v>
      </c>
      <c r="BZ1051">
        <v>0</v>
      </c>
      <c r="CA1051">
        <v>0</v>
      </c>
      <c r="CB1051">
        <v>0</v>
      </c>
      <c r="CC1051">
        <v>0</v>
      </c>
      <c r="CD1051">
        <v>0</v>
      </c>
      <c r="CE1051">
        <v>0</v>
      </c>
      <c r="CF1051">
        <v>0</v>
      </c>
      <c r="CG1051">
        <v>0</v>
      </c>
      <c r="CH1051">
        <v>0</v>
      </c>
      <c r="CI1051">
        <v>0</v>
      </c>
      <c r="CJ1051">
        <v>0</v>
      </c>
      <c r="CK1051">
        <v>0</v>
      </c>
      <c r="CL1051">
        <v>0</v>
      </c>
      <c r="CM1051">
        <v>0</v>
      </c>
      <c r="CN1051">
        <v>0</v>
      </c>
      <c r="CO1051">
        <v>0</v>
      </c>
      <c r="CP1051">
        <v>0</v>
      </c>
      <c r="CQ1051">
        <v>0</v>
      </c>
      <c r="CR1051">
        <v>0</v>
      </c>
      <c r="CS1051">
        <v>0</v>
      </c>
      <c r="CT1051">
        <v>0</v>
      </c>
      <c r="CU1051">
        <v>0</v>
      </c>
      <c r="CV1051">
        <v>0</v>
      </c>
      <c r="CW1051">
        <v>0</v>
      </c>
      <c r="CX1051">
        <v>0</v>
      </c>
      <c r="CY1051">
        <v>0</v>
      </c>
      <c r="CZ1051">
        <v>0</v>
      </c>
      <c r="DA1051">
        <v>0</v>
      </c>
      <c r="DB1051">
        <v>0</v>
      </c>
      <c r="DC1051">
        <v>0</v>
      </c>
      <c r="DD1051">
        <v>0</v>
      </c>
      <c r="DE1051">
        <v>0</v>
      </c>
      <c r="DF1051">
        <v>0</v>
      </c>
      <c r="DG1051" s="16">
        <f t="shared" si="87"/>
        <v>453.00999999999993</v>
      </c>
      <c r="DH1051" s="16">
        <f t="shared" si="88"/>
        <v>17481.289999999997</v>
      </c>
      <c r="DI1051" s="17">
        <f t="shared" si="89"/>
        <v>38.589192291560892</v>
      </c>
      <c r="DJ1051" s="119" t="s">
        <v>659</v>
      </c>
      <c r="DK1051" s="44" t="s">
        <v>659</v>
      </c>
    </row>
    <row r="1052" spans="1:116" ht="15" customHeight="1">
      <c r="A1052" s="32" t="str">
        <f t="shared" si="90"/>
        <v>SA Power--COMMUNICATIONS NETWORK ASSETS - Fibre Cable (per km)</v>
      </c>
      <c r="B1052" s="32" t="str">
        <f t="shared" si="91"/>
        <v>SA Power</v>
      </c>
      <c r="C1052" s="385"/>
      <c r="E1052" t="s">
        <v>1300</v>
      </c>
      <c r="F1052">
        <v>30</v>
      </c>
      <c r="G1052">
        <v>5.4772255750516612</v>
      </c>
      <c r="H1052">
        <v>210.8</v>
      </c>
      <c r="I1052">
        <v>205.9</v>
      </c>
      <c r="J1052">
        <v>186.56</v>
      </c>
      <c r="K1052">
        <v>180.9</v>
      </c>
      <c r="L1052">
        <v>172.8</v>
      </c>
      <c r="M1052">
        <v>157.9</v>
      </c>
      <c r="N1052">
        <v>182</v>
      </c>
      <c r="O1052">
        <v>163.9</v>
      </c>
      <c r="P1052">
        <v>154.80000000000001</v>
      </c>
      <c r="Q1052">
        <v>170.4</v>
      </c>
      <c r="R1052">
        <v>90.8</v>
      </c>
      <c r="S1052">
        <v>80</v>
      </c>
      <c r="T1052">
        <v>20.8</v>
      </c>
      <c r="U1052">
        <v>22.3</v>
      </c>
      <c r="V1052">
        <v>20.399999999999999</v>
      </c>
      <c r="W1052">
        <v>12.9</v>
      </c>
      <c r="X1052">
        <v>0</v>
      </c>
      <c r="Y1052">
        <v>0</v>
      </c>
      <c r="Z1052">
        <v>0</v>
      </c>
      <c r="AA1052">
        <v>0</v>
      </c>
      <c r="AB1052">
        <v>0</v>
      </c>
      <c r="AC1052">
        <v>0</v>
      </c>
      <c r="AD1052">
        <v>0</v>
      </c>
      <c r="AE1052">
        <v>0</v>
      </c>
      <c r="AF1052">
        <v>0</v>
      </c>
      <c r="AG1052">
        <v>0</v>
      </c>
      <c r="AH1052">
        <v>0</v>
      </c>
      <c r="AI1052">
        <v>0</v>
      </c>
      <c r="AJ1052">
        <v>0</v>
      </c>
      <c r="AK1052">
        <v>0</v>
      </c>
      <c r="AL1052">
        <v>0</v>
      </c>
      <c r="AM1052">
        <v>0</v>
      </c>
      <c r="AN1052">
        <v>0</v>
      </c>
      <c r="AO1052">
        <v>0</v>
      </c>
      <c r="AP1052">
        <v>0</v>
      </c>
      <c r="AQ1052">
        <v>0</v>
      </c>
      <c r="AR1052">
        <v>0</v>
      </c>
      <c r="AS1052">
        <v>0</v>
      </c>
      <c r="AT1052">
        <v>0</v>
      </c>
      <c r="AU1052">
        <v>0</v>
      </c>
      <c r="AV1052">
        <v>0</v>
      </c>
      <c r="AW1052">
        <v>0</v>
      </c>
      <c r="AX1052">
        <v>0</v>
      </c>
      <c r="AY1052">
        <v>0</v>
      </c>
      <c r="AZ1052">
        <v>0</v>
      </c>
      <c r="BA1052">
        <v>0</v>
      </c>
      <c r="BB1052">
        <v>0</v>
      </c>
      <c r="BC1052">
        <v>0</v>
      </c>
      <c r="BD1052">
        <v>0</v>
      </c>
      <c r="BE1052">
        <v>0</v>
      </c>
      <c r="BF1052">
        <v>0</v>
      </c>
      <c r="BG1052">
        <v>0</v>
      </c>
      <c r="BH1052">
        <v>0</v>
      </c>
      <c r="BI1052">
        <v>0</v>
      </c>
      <c r="BJ1052">
        <v>0</v>
      </c>
      <c r="BK1052">
        <v>0</v>
      </c>
      <c r="BL1052">
        <v>0</v>
      </c>
      <c r="BM1052">
        <v>0</v>
      </c>
      <c r="BN1052">
        <v>0</v>
      </c>
      <c r="BO1052">
        <v>0</v>
      </c>
      <c r="BP1052">
        <v>0</v>
      </c>
      <c r="BQ1052">
        <v>0</v>
      </c>
      <c r="BR1052">
        <v>0</v>
      </c>
      <c r="BS1052">
        <v>0</v>
      </c>
      <c r="BT1052">
        <v>0</v>
      </c>
      <c r="BU1052">
        <v>0</v>
      </c>
      <c r="BV1052">
        <v>0</v>
      </c>
      <c r="BW1052">
        <v>0</v>
      </c>
      <c r="BX1052">
        <v>0</v>
      </c>
      <c r="BY1052">
        <v>0</v>
      </c>
      <c r="BZ1052">
        <v>0</v>
      </c>
      <c r="CA1052">
        <v>0</v>
      </c>
      <c r="CB1052">
        <v>0</v>
      </c>
      <c r="CC1052">
        <v>0</v>
      </c>
      <c r="CD1052">
        <v>0</v>
      </c>
      <c r="CE1052">
        <v>0</v>
      </c>
      <c r="CF1052">
        <v>0</v>
      </c>
      <c r="CG1052">
        <v>0</v>
      </c>
      <c r="CH1052">
        <v>0</v>
      </c>
      <c r="CI1052">
        <v>0</v>
      </c>
      <c r="CJ1052">
        <v>0</v>
      </c>
      <c r="CK1052">
        <v>0</v>
      </c>
      <c r="CL1052">
        <v>0</v>
      </c>
      <c r="CM1052">
        <v>0</v>
      </c>
      <c r="CN1052">
        <v>0</v>
      </c>
      <c r="CO1052">
        <v>0</v>
      </c>
      <c r="CP1052">
        <v>0</v>
      </c>
      <c r="CQ1052">
        <v>0</v>
      </c>
      <c r="CR1052">
        <v>0</v>
      </c>
      <c r="CS1052">
        <v>0</v>
      </c>
      <c r="CT1052">
        <v>0</v>
      </c>
      <c r="CU1052">
        <v>0</v>
      </c>
      <c r="CV1052">
        <v>0</v>
      </c>
      <c r="CW1052">
        <v>0</v>
      </c>
      <c r="CX1052">
        <v>0</v>
      </c>
      <c r="CY1052">
        <v>0</v>
      </c>
      <c r="CZ1052">
        <v>0</v>
      </c>
      <c r="DA1052">
        <v>0</v>
      </c>
      <c r="DB1052">
        <v>0</v>
      </c>
      <c r="DC1052">
        <v>0</v>
      </c>
      <c r="DD1052">
        <v>0</v>
      </c>
      <c r="DE1052">
        <v>0</v>
      </c>
      <c r="DF1052">
        <v>0</v>
      </c>
      <c r="DG1052" s="16">
        <f t="shared" si="87"/>
        <v>2033.1600000000003</v>
      </c>
      <c r="DH1052" s="16">
        <f t="shared" si="88"/>
        <v>12453.48</v>
      </c>
      <c r="DI1052" s="17">
        <f t="shared" si="89"/>
        <v>6.1251844419524275</v>
      </c>
      <c r="DJ1052" s="119" t="s">
        <v>659</v>
      </c>
      <c r="DK1052" s="44" t="s">
        <v>659</v>
      </c>
    </row>
    <row r="1053" spans="1:116" ht="15" customHeight="1">
      <c r="A1053" s="32" t="str">
        <f t="shared" si="90"/>
        <v>SA Power--MASTER STATION ASSETS</v>
      </c>
      <c r="B1053" s="32" t="str">
        <f t="shared" si="91"/>
        <v>SA Power</v>
      </c>
      <c r="C1053" s="385"/>
      <c r="E1053" t="s">
        <v>275</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0</v>
      </c>
      <c r="AR1053">
        <v>0</v>
      </c>
      <c r="AS1053">
        <v>0</v>
      </c>
      <c r="AT1053">
        <v>0</v>
      </c>
      <c r="AU1053">
        <v>0</v>
      </c>
      <c r="AV1053">
        <v>0</v>
      </c>
      <c r="AW1053">
        <v>0</v>
      </c>
      <c r="AX1053">
        <v>0</v>
      </c>
      <c r="AY1053">
        <v>0</v>
      </c>
      <c r="AZ1053">
        <v>0</v>
      </c>
      <c r="BA1053">
        <v>0</v>
      </c>
      <c r="BB1053">
        <v>0</v>
      </c>
      <c r="BC1053">
        <v>0</v>
      </c>
      <c r="BD1053">
        <v>0</v>
      </c>
      <c r="BE1053">
        <v>0</v>
      </c>
      <c r="BF1053">
        <v>0</v>
      </c>
      <c r="BG1053">
        <v>0</v>
      </c>
      <c r="BH1053">
        <v>0</v>
      </c>
      <c r="BI1053">
        <v>0</v>
      </c>
      <c r="BJ1053">
        <v>0</v>
      </c>
      <c r="BK1053">
        <v>0</v>
      </c>
      <c r="BL1053">
        <v>0</v>
      </c>
      <c r="BM1053">
        <v>0</v>
      </c>
      <c r="BN1053">
        <v>0</v>
      </c>
      <c r="BO1053">
        <v>0</v>
      </c>
      <c r="BP1053">
        <v>0</v>
      </c>
      <c r="BQ1053">
        <v>0</v>
      </c>
      <c r="BR1053">
        <v>0</v>
      </c>
      <c r="BS1053">
        <v>0</v>
      </c>
      <c r="BT1053">
        <v>0</v>
      </c>
      <c r="BU1053">
        <v>0</v>
      </c>
      <c r="BV1053">
        <v>0</v>
      </c>
      <c r="BW1053">
        <v>0</v>
      </c>
      <c r="BX1053">
        <v>0</v>
      </c>
      <c r="BY1053">
        <v>0</v>
      </c>
      <c r="BZ1053">
        <v>0</v>
      </c>
      <c r="CA1053">
        <v>0</v>
      </c>
      <c r="CB1053">
        <v>0</v>
      </c>
      <c r="CC1053">
        <v>0</v>
      </c>
      <c r="CD1053">
        <v>0</v>
      </c>
      <c r="CE1053">
        <v>0</v>
      </c>
      <c r="CF1053">
        <v>0</v>
      </c>
      <c r="CG1053">
        <v>0</v>
      </c>
      <c r="CH1053">
        <v>0</v>
      </c>
      <c r="CI1053">
        <v>0</v>
      </c>
      <c r="CJ1053">
        <v>0</v>
      </c>
      <c r="CK1053">
        <v>0</v>
      </c>
      <c r="CL1053">
        <v>0</v>
      </c>
      <c r="CM1053">
        <v>0</v>
      </c>
      <c r="CN1053">
        <v>0</v>
      </c>
      <c r="CO1053">
        <v>0</v>
      </c>
      <c r="CP1053">
        <v>0</v>
      </c>
      <c r="CQ1053">
        <v>0</v>
      </c>
      <c r="CR1053">
        <v>0</v>
      </c>
      <c r="CS1053">
        <v>0</v>
      </c>
      <c r="CT1053">
        <v>0</v>
      </c>
      <c r="CU1053">
        <v>0</v>
      </c>
      <c r="CV1053">
        <v>0</v>
      </c>
      <c r="CW1053">
        <v>0</v>
      </c>
      <c r="CX1053">
        <v>0</v>
      </c>
      <c r="CY1053">
        <v>0</v>
      </c>
      <c r="CZ1053">
        <v>0</v>
      </c>
      <c r="DA1053">
        <v>0</v>
      </c>
      <c r="DB1053">
        <v>0</v>
      </c>
      <c r="DC1053">
        <v>0</v>
      </c>
      <c r="DD1053">
        <v>0</v>
      </c>
      <c r="DE1053">
        <v>0</v>
      </c>
      <c r="DF1053">
        <v>0</v>
      </c>
      <c r="DG1053" s="16">
        <f t="shared" si="87"/>
        <v>0</v>
      </c>
      <c r="DH1053" s="16">
        <f t="shared" si="88"/>
        <v>0</v>
      </c>
      <c r="DI1053" s="17" t="str">
        <f t="shared" si="89"/>
        <v/>
      </c>
      <c r="DJ1053" s="119" t="s">
        <v>659</v>
      </c>
      <c r="DK1053" s="44" t="s">
        <v>659</v>
      </c>
    </row>
    <row r="1054" spans="1:116" ht="15" customHeight="1">
      <c r="A1054" s="32" t="str">
        <f t="shared" si="90"/>
        <v>SA Power--PROTECTION RELAYS</v>
      </c>
      <c r="B1054" s="32" t="str">
        <f t="shared" si="91"/>
        <v>SA Power</v>
      </c>
      <c r="C1054" s="385"/>
      <c r="E1054" t="s">
        <v>1301</v>
      </c>
      <c r="F1054">
        <v>36.105948693511237</v>
      </c>
      <c r="G1054">
        <v>15.970239902301314</v>
      </c>
      <c r="H1054">
        <v>151</v>
      </c>
      <c r="I1054">
        <v>149</v>
      </c>
      <c r="J1054">
        <v>154</v>
      </c>
      <c r="K1054">
        <v>156</v>
      </c>
      <c r="L1054">
        <v>155</v>
      </c>
      <c r="M1054">
        <v>160</v>
      </c>
      <c r="N1054">
        <v>159</v>
      </c>
      <c r="O1054">
        <v>174</v>
      </c>
      <c r="P1054">
        <v>126</v>
      </c>
      <c r="Q1054">
        <v>141</v>
      </c>
      <c r="R1054">
        <v>141</v>
      </c>
      <c r="S1054">
        <v>125</v>
      </c>
      <c r="T1054">
        <v>98</v>
      </c>
      <c r="U1054">
        <v>151</v>
      </c>
      <c r="V1054">
        <v>44</v>
      </c>
      <c r="W1054">
        <v>46</v>
      </c>
      <c r="X1054">
        <v>15</v>
      </c>
      <c r="Y1054">
        <v>37</v>
      </c>
      <c r="Z1054">
        <v>46</v>
      </c>
      <c r="AA1054">
        <v>194</v>
      </c>
      <c r="AB1054">
        <v>442</v>
      </c>
      <c r="AC1054">
        <v>383</v>
      </c>
      <c r="AD1054">
        <v>350</v>
      </c>
      <c r="AE1054">
        <v>364</v>
      </c>
      <c r="AF1054">
        <v>342</v>
      </c>
      <c r="AG1054">
        <v>287</v>
      </c>
      <c r="AH1054">
        <v>293</v>
      </c>
      <c r="AI1054">
        <v>251</v>
      </c>
      <c r="AJ1054">
        <v>252</v>
      </c>
      <c r="AK1054">
        <v>205</v>
      </c>
      <c r="AL1054">
        <v>188</v>
      </c>
      <c r="AM1054">
        <v>187</v>
      </c>
      <c r="AN1054">
        <v>215</v>
      </c>
      <c r="AO1054">
        <v>218</v>
      </c>
      <c r="AP1054">
        <v>212</v>
      </c>
      <c r="AQ1054">
        <v>215</v>
      </c>
      <c r="AR1054">
        <v>232</v>
      </c>
      <c r="AS1054">
        <v>202</v>
      </c>
      <c r="AT1054">
        <v>191</v>
      </c>
      <c r="AU1054">
        <v>242</v>
      </c>
      <c r="AV1054">
        <v>297</v>
      </c>
      <c r="AW1054">
        <v>301</v>
      </c>
      <c r="AX1054">
        <v>315</v>
      </c>
      <c r="AY1054">
        <v>302</v>
      </c>
      <c r="AZ1054">
        <v>516</v>
      </c>
      <c r="BA1054">
        <v>456</v>
      </c>
      <c r="BB1054">
        <v>753</v>
      </c>
      <c r="BC1054">
        <v>616</v>
      </c>
      <c r="BD1054">
        <v>241</v>
      </c>
      <c r="BE1054">
        <v>171</v>
      </c>
      <c r="BF1054">
        <v>133</v>
      </c>
      <c r="BG1054">
        <v>123</v>
      </c>
      <c r="BH1054">
        <v>121</v>
      </c>
      <c r="BI1054">
        <v>122</v>
      </c>
      <c r="BJ1054">
        <v>111</v>
      </c>
      <c r="BK1054">
        <v>96</v>
      </c>
      <c r="BL1054">
        <v>12</v>
      </c>
      <c r="BM1054">
        <v>21</v>
      </c>
      <c r="BN1054">
        <v>2</v>
      </c>
      <c r="BO1054">
        <v>1</v>
      </c>
      <c r="BP1054">
        <v>0</v>
      </c>
      <c r="BQ1054">
        <v>1</v>
      </c>
      <c r="BR1054">
        <v>0</v>
      </c>
      <c r="BS1054">
        <v>1</v>
      </c>
      <c r="BT1054">
        <v>0</v>
      </c>
      <c r="BU1054">
        <v>1</v>
      </c>
      <c r="BV1054">
        <v>0</v>
      </c>
      <c r="BW1054">
        <v>0</v>
      </c>
      <c r="BX1054">
        <v>0</v>
      </c>
      <c r="BY1054">
        <v>0</v>
      </c>
      <c r="BZ1054">
        <v>0</v>
      </c>
      <c r="CA1054">
        <v>0</v>
      </c>
      <c r="CB1054">
        <v>0</v>
      </c>
      <c r="CC1054">
        <v>0</v>
      </c>
      <c r="CD1054">
        <v>1</v>
      </c>
      <c r="CE1054">
        <v>2</v>
      </c>
      <c r="CF1054">
        <v>1</v>
      </c>
      <c r="CG1054">
        <v>2</v>
      </c>
      <c r="CH1054">
        <v>0</v>
      </c>
      <c r="CI1054">
        <v>2</v>
      </c>
      <c r="CJ1054">
        <v>0</v>
      </c>
      <c r="CK1054">
        <v>1</v>
      </c>
      <c r="CL1054">
        <v>0</v>
      </c>
      <c r="CM1054">
        <v>1</v>
      </c>
      <c r="CN1054">
        <v>0</v>
      </c>
      <c r="CO1054">
        <v>10</v>
      </c>
      <c r="CP1054">
        <v>0</v>
      </c>
      <c r="CQ1054">
        <v>0</v>
      </c>
      <c r="CR1054">
        <v>0</v>
      </c>
      <c r="CS1054">
        <v>0</v>
      </c>
      <c r="CT1054">
        <v>0</v>
      </c>
      <c r="CU1054">
        <v>0</v>
      </c>
      <c r="CV1054">
        <v>0</v>
      </c>
      <c r="CW1054">
        <v>0</v>
      </c>
      <c r="CX1054">
        <v>0</v>
      </c>
      <c r="CY1054">
        <v>0</v>
      </c>
      <c r="CZ1054">
        <v>0</v>
      </c>
      <c r="DA1054">
        <v>0</v>
      </c>
      <c r="DB1054">
        <v>0</v>
      </c>
      <c r="DC1054">
        <v>0</v>
      </c>
      <c r="DD1054">
        <v>0</v>
      </c>
      <c r="DE1054">
        <v>0</v>
      </c>
      <c r="DF1054">
        <v>0</v>
      </c>
      <c r="DG1054" s="16">
        <f t="shared" si="87"/>
        <v>12426</v>
      </c>
      <c r="DH1054" s="16">
        <f t="shared" si="88"/>
        <v>398345</v>
      </c>
      <c r="DI1054" s="17">
        <f t="shared" si="89"/>
        <v>32.057379687751492</v>
      </c>
      <c r="DJ1054" s="119" t="s">
        <v>659</v>
      </c>
      <c r="DK1054" s="44" t="s">
        <v>659</v>
      </c>
    </row>
    <row r="1055" spans="1:116" ht="15" customHeight="1">
      <c r="A1055" s="32" t="str">
        <f t="shared" si="90"/>
        <v>SA Power--TELEPHONE DIALLING UNIT - TYPE 12</v>
      </c>
      <c r="B1055" s="32" t="str">
        <f t="shared" si="91"/>
        <v>SA Power</v>
      </c>
      <c r="C1055" s="385"/>
      <c r="E1055" t="s">
        <v>1302</v>
      </c>
      <c r="F1055">
        <v>10</v>
      </c>
      <c r="G1055">
        <v>3.1622776601683795</v>
      </c>
      <c r="H1055">
        <v>0</v>
      </c>
      <c r="I1055">
        <v>0</v>
      </c>
      <c r="J1055">
        <v>0</v>
      </c>
      <c r="K1055">
        <v>0</v>
      </c>
      <c r="L1055">
        <v>0</v>
      </c>
      <c r="M1055">
        <v>0</v>
      </c>
      <c r="N1055">
        <v>0</v>
      </c>
      <c r="O1055">
        <v>0</v>
      </c>
      <c r="P1055">
        <v>3</v>
      </c>
      <c r="Q1055">
        <v>3</v>
      </c>
      <c r="R1055">
        <v>4</v>
      </c>
      <c r="S1055">
        <v>0</v>
      </c>
      <c r="T1055">
        <v>0</v>
      </c>
      <c r="U1055">
        <v>0</v>
      </c>
      <c r="V1055">
        <v>0</v>
      </c>
      <c r="W1055">
        <v>0</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0</v>
      </c>
      <c r="AR1055">
        <v>0</v>
      </c>
      <c r="AS1055">
        <v>0</v>
      </c>
      <c r="AT1055">
        <v>0</v>
      </c>
      <c r="AU1055">
        <v>0</v>
      </c>
      <c r="AV1055">
        <v>0</v>
      </c>
      <c r="AW1055">
        <v>0</v>
      </c>
      <c r="AX1055">
        <v>0</v>
      </c>
      <c r="AY1055">
        <v>0</v>
      </c>
      <c r="AZ1055">
        <v>0</v>
      </c>
      <c r="BA1055">
        <v>0</v>
      </c>
      <c r="BB1055">
        <v>0</v>
      </c>
      <c r="BC1055">
        <v>0</v>
      </c>
      <c r="BD1055">
        <v>0</v>
      </c>
      <c r="BE1055">
        <v>0</v>
      </c>
      <c r="BF1055">
        <v>0</v>
      </c>
      <c r="BG1055">
        <v>0</v>
      </c>
      <c r="BH1055">
        <v>0</v>
      </c>
      <c r="BI1055">
        <v>0</v>
      </c>
      <c r="BJ1055">
        <v>0</v>
      </c>
      <c r="BK1055">
        <v>0</v>
      </c>
      <c r="BL1055">
        <v>0</v>
      </c>
      <c r="BM1055">
        <v>0</v>
      </c>
      <c r="BN1055">
        <v>0</v>
      </c>
      <c r="BO1055">
        <v>0</v>
      </c>
      <c r="BP1055">
        <v>0</v>
      </c>
      <c r="BQ1055">
        <v>0</v>
      </c>
      <c r="BR1055">
        <v>0</v>
      </c>
      <c r="BS1055">
        <v>0</v>
      </c>
      <c r="BT1055">
        <v>0</v>
      </c>
      <c r="BU1055">
        <v>0</v>
      </c>
      <c r="BV1055">
        <v>0</v>
      </c>
      <c r="BW1055">
        <v>0</v>
      </c>
      <c r="BX1055">
        <v>0</v>
      </c>
      <c r="BY1055">
        <v>0</v>
      </c>
      <c r="BZ1055">
        <v>0</v>
      </c>
      <c r="CA1055">
        <v>0</v>
      </c>
      <c r="CB1055">
        <v>0</v>
      </c>
      <c r="CC1055">
        <v>0</v>
      </c>
      <c r="CD1055">
        <v>0</v>
      </c>
      <c r="CE1055">
        <v>0</v>
      </c>
      <c r="CF1055">
        <v>0</v>
      </c>
      <c r="CG1055">
        <v>0</v>
      </c>
      <c r="CH1055">
        <v>0</v>
      </c>
      <c r="CI1055">
        <v>0</v>
      </c>
      <c r="CJ1055">
        <v>0</v>
      </c>
      <c r="CK1055">
        <v>0</v>
      </c>
      <c r="CL1055">
        <v>0</v>
      </c>
      <c r="CM1055">
        <v>0</v>
      </c>
      <c r="CN1055">
        <v>0</v>
      </c>
      <c r="CO1055">
        <v>0</v>
      </c>
      <c r="CP1055">
        <v>0</v>
      </c>
      <c r="CQ1055">
        <v>0</v>
      </c>
      <c r="CR1055">
        <v>0</v>
      </c>
      <c r="CS1055">
        <v>0</v>
      </c>
      <c r="CT1055">
        <v>0</v>
      </c>
      <c r="CU1055">
        <v>0</v>
      </c>
      <c r="CV1055">
        <v>0</v>
      </c>
      <c r="CW1055">
        <v>0</v>
      </c>
      <c r="CX1055">
        <v>0</v>
      </c>
      <c r="CY1055">
        <v>0</v>
      </c>
      <c r="CZ1055">
        <v>0</v>
      </c>
      <c r="DA1055">
        <v>0</v>
      </c>
      <c r="DB1055">
        <v>0</v>
      </c>
      <c r="DC1055">
        <v>0</v>
      </c>
      <c r="DD1055">
        <v>0</v>
      </c>
      <c r="DE1055">
        <v>0</v>
      </c>
      <c r="DF1055">
        <v>0</v>
      </c>
      <c r="DG1055" s="16">
        <f t="shared" si="87"/>
        <v>10</v>
      </c>
      <c r="DH1055" s="16">
        <f t="shared" si="88"/>
        <v>101</v>
      </c>
      <c r="DI1055" s="17">
        <f t="shared" si="89"/>
        <v>10.1</v>
      </c>
      <c r="DJ1055" s="119" t="s">
        <v>659</v>
      </c>
      <c r="DK1055" s="44" t="s">
        <v>659</v>
      </c>
    </row>
    <row r="1056" spans="1:116" ht="15" customHeight="1">
      <c r="A1056" s="32" t="str">
        <f t="shared" si="90"/>
        <v>SA Power--TELEPHONE DIALLING UNIT - TYPE 14</v>
      </c>
      <c r="B1056" s="32" t="str">
        <f t="shared" si="91"/>
        <v>SA Power</v>
      </c>
      <c r="C1056" s="385"/>
      <c r="E1056" t="s">
        <v>1303</v>
      </c>
      <c r="F1056">
        <v>10</v>
      </c>
      <c r="G1056">
        <v>3.1622776601683795</v>
      </c>
      <c r="H1056">
        <v>0</v>
      </c>
      <c r="I1056">
        <v>0</v>
      </c>
      <c r="J1056">
        <v>0</v>
      </c>
      <c r="K1056">
        <v>0</v>
      </c>
      <c r="L1056">
        <v>0</v>
      </c>
      <c r="M1056">
        <v>0</v>
      </c>
      <c r="N1056">
        <v>0</v>
      </c>
      <c r="O1056">
        <v>0</v>
      </c>
      <c r="P1056">
        <v>0</v>
      </c>
      <c r="Q1056">
        <v>0</v>
      </c>
      <c r="R1056">
        <v>5</v>
      </c>
      <c r="S1056">
        <v>6</v>
      </c>
      <c r="T1056">
        <v>6</v>
      </c>
      <c r="U1056">
        <v>6</v>
      </c>
      <c r="V1056">
        <v>1</v>
      </c>
      <c r="W1056">
        <v>0</v>
      </c>
      <c r="X1056">
        <v>0</v>
      </c>
      <c r="Y1056">
        <v>0</v>
      </c>
      <c r="Z1056">
        <v>0</v>
      </c>
      <c r="AA1056">
        <v>0</v>
      </c>
      <c r="AB1056">
        <v>0</v>
      </c>
      <c r="AC1056">
        <v>0</v>
      </c>
      <c r="AD1056">
        <v>0</v>
      </c>
      <c r="AE1056">
        <v>0</v>
      </c>
      <c r="AF1056">
        <v>0</v>
      </c>
      <c r="AG1056">
        <v>0</v>
      </c>
      <c r="AH1056">
        <v>0</v>
      </c>
      <c r="AI1056">
        <v>0</v>
      </c>
      <c r="AJ1056">
        <v>0</v>
      </c>
      <c r="AK1056">
        <v>0</v>
      </c>
      <c r="AL1056">
        <v>0</v>
      </c>
      <c r="AM1056">
        <v>0</v>
      </c>
      <c r="AN1056">
        <v>0</v>
      </c>
      <c r="AO1056">
        <v>0</v>
      </c>
      <c r="AP1056">
        <v>0</v>
      </c>
      <c r="AQ1056">
        <v>0</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v>0</v>
      </c>
      <c r="BK1056">
        <v>0</v>
      </c>
      <c r="BL1056">
        <v>0</v>
      </c>
      <c r="BM1056">
        <v>0</v>
      </c>
      <c r="BN1056">
        <v>0</v>
      </c>
      <c r="BO1056">
        <v>0</v>
      </c>
      <c r="BP1056">
        <v>0</v>
      </c>
      <c r="BQ1056">
        <v>0</v>
      </c>
      <c r="BR1056">
        <v>0</v>
      </c>
      <c r="BS1056">
        <v>0</v>
      </c>
      <c r="BT1056">
        <v>0</v>
      </c>
      <c r="BU1056">
        <v>0</v>
      </c>
      <c r="BV1056">
        <v>0</v>
      </c>
      <c r="BW1056">
        <v>0</v>
      </c>
      <c r="BX1056">
        <v>0</v>
      </c>
      <c r="BY1056">
        <v>0</v>
      </c>
      <c r="BZ1056">
        <v>0</v>
      </c>
      <c r="CA1056">
        <v>0</v>
      </c>
      <c r="CB1056">
        <v>0</v>
      </c>
      <c r="CC1056">
        <v>0</v>
      </c>
      <c r="CD1056">
        <v>0</v>
      </c>
      <c r="CE1056">
        <v>0</v>
      </c>
      <c r="CF1056">
        <v>0</v>
      </c>
      <c r="CG1056">
        <v>0</v>
      </c>
      <c r="CH1056">
        <v>0</v>
      </c>
      <c r="CI1056">
        <v>0</v>
      </c>
      <c r="CJ1056">
        <v>0</v>
      </c>
      <c r="CK1056">
        <v>0</v>
      </c>
      <c r="CL1056">
        <v>0</v>
      </c>
      <c r="CM1056">
        <v>0</v>
      </c>
      <c r="CN1056">
        <v>0</v>
      </c>
      <c r="CO1056">
        <v>0</v>
      </c>
      <c r="CP1056">
        <v>0</v>
      </c>
      <c r="CQ1056">
        <v>0</v>
      </c>
      <c r="CR1056">
        <v>0</v>
      </c>
      <c r="CS1056">
        <v>0</v>
      </c>
      <c r="CT1056">
        <v>0</v>
      </c>
      <c r="CU1056">
        <v>0</v>
      </c>
      <c r="CV1056">
        <v>0</v>
      </c>
      <c r="CW1056">
        <v>0</v>
      </c>
      <c r="CX1056">
        <v>0</v>
      </c>
      <c r="CY1056">
        <v>0</v>
      </c>
      <c r="CZ1056">
        <v>0</v>
      </c>
      <c r="DA1056">
        <v>0</v>
      </c>
      <c r="DB1056">
        <v>0</v>
      </c>
      <c r="DC1056">
        <v>0</v>
      </c>
      <c r="DD1056">
        <v>0</v>
      </c>
      <c r="DE1056">
        <v>0</v>
      </c>
      <c r="DF1056">
        <v>0</v>
      </c>
      <c r="DG1056" s="16">
        <f t="shared" si="87"/>
        <v>24</v>
      </c>
      <c r="DH1056" s="16">
        <f t="shared" si="88"/>
        <v>304</v>
      </c>
      <c r="DI1056" s="17">
        <f t="shared" si="89"/>
        <v>12.666666666666666</v>
      </c>
      <c r="DJ1056" s="119" t="s">
        <v>659</v>
      </c>
      <c r="DK1056" s="44" t="s">
        <v>659</v>
      </c>
    </row>
    <row r="1057" spans="1:116" ht="15" customHeight="1">
      <c r="A1057" s="32" t="str">
        <f t="shared" si="90"/>
        <v>SA Power--TELEPHONE DIALLING UNIT - TYPE 16</v>
      </c>
      <c r="B1057" s="32" t="str">
        <f t="shared" si="91"/>
        <v>SA Power</v>
      </c>
      <c r="C1057" s="385"/>
      <c r="E1057" t="s">
        <v>1304</v>
      </c>
      <c r="F1057">
        <v>15</v>
      </c>
      <c r="G1057">
        <v>3.872983346207417</v>
      </c>
      <c r="H1057">
        <v>0</v>
      </c>
      <c r="I1057">
        <v>0</v>
      </c>
      <c r="J1057">
        <v>0</v>
      </c>
      <c r="K1057">
        <v>0</v>
      </c>
      <c r="L1057">
        <v>0</v>
      </c>
      <c r="M1057">
        <v>0</v>
      </c>
      <c r="N1057">
        <v>0</v>
      </c>
      <c r="O1057">
        <v>0</v>
      </c>
      <c r="P1057">
        <v>0</v>
      </c>
      <c r="Q1057">
        <v>0</v>
      </c>
      <c r="R1057">
        <v>0</v>
      </c>
      <c r="S1057">
        <v>0</v>
      </c>
      <c r="T1057">
        <v>1</v>
      </c>
      <c r="U1057">
        <v>0</v>
      </c>
      <c r="V1057">
        <v>0</v>
      </c>
      <c r="W1057">
        <v>0</v>
      </c>
      <c r="X1057">
        <v>0</v>
      </c>
      <c r="Y1057">
        <v>0</v>
      </c>
      <c r="Z1057">
        <v>0</v>
      </c>
      <c r="AA1057">
        <v>0</v>
      </c>
      <c r="AB1057">
        <v>0</v>
      </c>
      <c r="AC1057">
        <v>0</v>
      </c>
      <c r="AD1057">
        <v>0</v>
      </c>
      <c r="AE1057">
        <v>0</v>
      </c>
      <c r="AF1057">
        <v>0</v>
      </c>
      <c r="AG1057">
        <v>0</v>
      </c>
      <c r="AH1057">
        <v>0</v>
      </c>
      <c r="AI1057">
        <v>0</v>
      </c>
      <c r="AJ1057">
        <v>0</v>
      </c>
      <c r="AK1057">
        <v>0</v>
      </c>
      <c r="AL1057">
        <v>0</v>
      </c>
      <c r="AM1057">
        <v>0</v>
      </c>
      <c r="AN1057">
        <v>0</v>
      </c>
      <c r="AO1057">
        <v>0</v>
      </c>
      <c r="AP1057">
        <v>0</v>
      </c>
      <c r="AQ1057">
        <v>0</v>
      </c>
      <c r="AR1057">
        <v>0</v>
      </c>
      <c r="AS1057">
        <v>0</v>
      </c>
      <c r="AT1057">
        <v>0</v>
      </c>
      <c r="AU1057">
        <v>0</v>
      </c>
      <c r="AV1057">
        <v>0</v>
      </c>
      <c r="AW1057">
        <v>0</v>
      </c>
      <c r="AX1057">
        <v>0</v>
      </c>
      <c r="AY1057">
        <v>0</v>
      </c>
      <c r="AZ1057">
        <v>0</v>
      </c>
      <c r="BA1057">
        <v>0</v>
      </c>
      <c r="BB1057">
        <v>0</v>
      </c>
      <c r="BC1057">
        <v>0</v>
      </c>
      <c r="BD1057">
        <v>0</v>
      </c>
      <c r="BE1057">
        <v>0</v>
      </c>
      <c r="BF1057">
        <v>0</v>
      </c>
      <c r="BG1057">
        <v>0</v>
      </c>
      <c r="BH1057">
        <v>0</v>
      </c>
      <c r="BI1057">
        <v>0</v>
      </c>
      <c r="BJ1057">
        <v>0</v>
      </c>
      <c r="BK1057">
        <v>0</v>
      </c>
      <c r="BL1057">
        <v>0</v>
      </c>
      <c r="BM1057">
        <v>0</v>
      </c>
      <c r="BN1057">
        <v>0</v>
      </c>
      <c r="BO1057">
        <v>0</v>
      </c>
      <c r="BP1057">
        <v>0</v>
      </c>
      <c r="BQ1057">
        <v>0</v>
      </c>
      <c r="BR1057">
        <v>0</v>
      </c>
      <c r="BS1057">
        <v>0</v>
      </c>
      <c r="BT1057">
        <v>0</v>
      </c>
      <c r="BU1057">
        <v>0</v>
      </c>
      <c r="BV1057">
        <v>0</v>
      </c>
      <c r="BW1057">
        <v>0</v>
      </c>
      <c r="BX1057">
        <v>0</v>
      </c>
      <c r="BY1057">
        <v>0</v>
      </c>
      <c r="BZ1057">
        <v>0</v>
      </c>
      <c r="CA1057">
        <v>0</v>
      </c>
      <c r="CB1057">
        <v>0</v>
      </c>
      <c r="CC1057">
        <v>0</v>
      </c>
      <c r="CD1057">
        <v>0</v>
      </c>
      <c r="CE1057">
        <v>0</v>
      </c>
      <c r="CF1057">
        <v>0</v>
      </c>
      <c r="CG1057">
        <v>0</v>
      </c>
      <c r="CH1057">
        <v>0</v>
      </c>
      <c r="CI1057">
        <v>0</v>
      </c>
      <c r="CJ1057">
        <v>0</v>
      </c>
      <c r="CK1057">
        <v>0</v>
      </c>
      <c r="CL1057">
        <v>0</v>
      </c>
      <c r="CM1057">
        <v>0</v>
      </c>
      <c r="CN1057">
        <v>0</v>
      </c>
      <c r="CO1057">
        <v>0</v>
      </c>
      <c r="CP1057">
        <v>0</v>
      </c>
      <c r="CQ1057">
        <v>0</v>
      </c>
      <c r="CR1057">
        <v>0</v>
      </c>
      <c r="CS1057">
        <v>0</v>
      </c>
      <c r="CT1057">
        <v>0</v>
      </c>
      <c r="CU1057">
        <v>0</v>
      </c>
      <c r="CV1057">
        <v>0</v>
      </c>
      <c r="CW1057">
        <v>0</v>
      </c>
      <c r="CX1057">
        <v>0</v>
      </c>
      <c r="CY1057">
        <v>0</v>
      </c>
      <c r="CZ1057">
        <v>0</v>
      </c>
      <c r="DA1057">
        <v>0</v>
      </c>
      <c r="DB1057">
        <v>0</v>
      </c>
      <c r="DC1057">
        <v>0</v>
      </c>
      <c r="DD1057">
        <v>0</v>
      </c>
      <c r="DE1057">
        <v>0</v>
      </c>
      <c r="DF1057">
        <v>0</v>
      </c>
      <c r="DG1057" s="16">
        <f t="shared" si="87"/>
        <v>1</v>
      </c>
      <c r="DH1057" s="16">
        <f t="shared" si="88"/>
        <v>13</v>
      </c>
      <c r="DI1057" s="17">
        <f t="shared" si="89"/>
        <v>13</v>
      </c>
      <c r="DJ1057" s="119" t="s">
        <v>659</v>
      </c>
      <c r="DK1057" s="44" t="s">
        <v>659</v>
      </c>
    </row>
    <row r="1058" spans="1:116" ht="15" customHeight="1">
      <c r="A1058" s="32" t="str">
        <f t="shared" si="90"/>
        <v>SA Power--REMOTE TERMINAL UNIT - WESTINGHOUSE</v>
      </c>
      <c r="B1058" s="32" t="str">
        <f t="shared" si="91"/>
        <v>SA Power</v>
      </c>
      <c r="C1058" s="385"/>
      <c r="E1058" t="s">
        <v>1305</v>
      </c>
      <c r="F1058">
        <v>10</v>
      </c>
      <c r="G1058">
        <v>3.1622776601683795</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1</v>
      </c>
      <c r="AA1058">
        <v>0</v>
      </c>
      <c r="AB1058">
        <v>0</v>
      </c>
      <c r="AC1058">
        <v>0</v>
      </c>
      <c r="AD1058">
        <v>0</v>
      </c>
      <c r="AE1058">
        <v>0</v>
      </c>
      <c r="AF1058">
        <v>0</v>
      </c>
      <c r="AG1058">
        <v>0</v>
      </c>
      <c r="AH1058">
        <v>0</v>
      </c>
      <c r="AI1058">
        <v>0</v>
      </c>
      <c r="AJ1058">
        <v>0</v>
      </c>
      <c r="AK1058">
        <v>0</v>
      </c>
      <c r="AL1058">
        <v>0</v>
      </c>
      <c r="AM1058">
        <v>0</v>
      </c>
      <c r="AN1058">
        <v>0</v>
      </c>
      <c r="AO1058">
        <v>0</v>
      </c>
      <c r="AP1058">
        <v>0</v>
      </c>
      <c r="AQ1058">
        <v>0</v>
      </c>
      <c r="AR1058">
        <v>0</v>
      </c>
      <c r="AS1058">
        <v>0</v>
      </c>
      <c r="AT1058">
        <v>0</v>
      </c>
      <c r="AU1058">
        <v>0</v>
      </c>
      <c r="AV1058">
        <v>0</v>
      </c>
      <c r="AW1058">
        <v>0</v>
      </c>
      <c r="AX1058">
        <v>0</v>
      </c>
      <c r="AY1058">
        <v>0</v>
      </c>
      <c r="AZ1058">
        <v>0</v>
      </c>
      <c r="BA1058">
        <v>0</v>
      </c>
      <c r="BB1058">
        <v>0</v>
      </c>
      <c r="BC1058">
        <v>0</v>
      </c>
      <c r="BD1058">
        <v>0</v>
      </c>
      <c r="BE1058">
        <v>0</v>
      </c>
      <c r="BF1058">
        <v>0</v>
      </c>
      <c r="BG1058">
        <v>0</v>
      </c>
      <c r="BH1058">
        <v>0</v>
      </c>
      <c r="BI1058">
        <v>0</v>
      </c>
      <c r="BJ1058">
        <v>0</v>
      </c>
      <c r="BK1058">
        <v>0</v>
      </c>
      <c r="BL1058">
        <v>0</v>
      </c>
      <c r="BM1058">
        <v>0</v>
      </c>
      <c r="BN1058">
        <v>0</v>
      </c>
      <c r="BO1058">
        <v>0</v>
      </c>
      <c r="BP1058">
        <v>0</v>
      </c>
      <c r="BQ1058">
        <v>0</v>
      </c>
      <c r="BR1058">
        <v>0</v>
      </c>
      <c r="BS1058">
        <v>0</v>
      </c>
      <c r="BT1058">
        <v>0</v>
      </c>
      <c r="BU1058">
        <v>0</v>
      </c>
      <c r="BV1058">
        <v>0</v>
      </c>
      <c r="BW1058">
        <v>0</v>
      </c>
      <c r="BX1058">
        <v>0</v>
      </c>
      <c r="BY1058">
        <v>0</v>
      </c>
      <c r="BZ1058">
        <v>0</v>
      </c>
      <c r="CA1058">
        <v>0</v>
      </c>
      <c r="CB1058">
        <v>0</v>
      </c>
      <c r="CC1058">
        <v>0</v>
      </c>
      <c r="CD1058">
        <v>0</v>
      </c>
      <c r="CE1058">
        <v>0</v>
      </c>
      <c r="CF1058">
        <v>0</v>
      </c>
      <c r="CG1058">
        <v>0</v>
      </c>
      <c r="CH1058">
        <v>0</v>
      </c>
      <c r="CI1058">
        <v>0</v>
      </c>
      <c r="CJ1058">
        <v>0</v>
      </c>
      <c r="CK1058">
        <v>0</v>
      </c>
      <c r="CL1058">
        <v>0</v>
      </c>
      <c r="CM1058">
        <v>0</v>
      </c>
      <c r="CN1058">
        <v>0</v>
      </c>
      <c r="CO1058">
        <v>0</v>
      </c>
      <c r="CP1058">
        <v>0</v>
      </c>
      <c r="CQ1058">
        <v>0</v>
      </c>
      <c r="CR1058">
        <v>0</v>
      </c>
      <c r="CS1058">
        <v>0</v>
      </c>
      <c r="CT1058">
        <v>0</v>
      </c>
      <c r="CU1058">
        <v>0</v>
      </c>
      <c r="CV1058">
        <v>0</v>
      </c>
      <c r="CW1058">
        <v>0</v>
      </c>
      <c r="CX1058">
        <v>0</v>
      </c>
      <c r="CY1058">
        <v>0</v>
      </c>
      <c r="CZ1058">
        <v>0</v>
      </c>
      <c r="DA1058">
        <v>0</v>
      </c>
      <c r="DB1058">
        <v>0</v>
      </c>
      <c r="DC1058">
        <v>0</v>
      </c>
      <c r="DD1058">
        <v>0</v>
      </c>
      <c r="DE1058">
        <v>0</v>
      </c>
      <c r="DF1058">
        <v>0</v>
      </c>
      <c r="DG1058" s="16">
        <f t="shared" si="87"/>
        <v>1</v>
      </c>
      <c r="DH1058" s="16">
        <f t="shared" si="88"/>
        <v>19</v>
      </c>
      <c r="DI1058" s="17">
        <f t="shared" si="89"/>
        <v>19</v>
      </c>
      <c r="DJ1058" s="119" t="s">
        <v>659</v>
      </c>
      <c r="DK1058" s="44" t="s">
        <v>659</v>
      </c>
    </row>
    <row r="1059" spans="1:116" ht="15" customHeight="1">
      <c r="A1059" s="32" t="str">
        <f t="shared" si="90"/>
        <v>SA Power--REMOTE TERMINAL UNIT - GE HARRIS IBOX</v>
      </c>
      <c r="B1059" s="32" t="str">
        <f t="shared" si="91"/>
        <v>SA Power</v>
      </c>
      <c r="C1059" s="385"/>
      <c r="E1059" t="s">
        <v>1306</v>
      </c>
      <c r="F1059">
        <v>10</v>
      </c>
      <c r="G1059">
        <v>3.1622776601683795</v>
      </c>
      <c r="H1059">
        <v>5</v>
      </c>
      <c r="I1059">
        <v>5</v>
      </c>
      <c r="J1059">
        <v>5</v>
      </c>
      <c r="K1059">
        <v>4</v>
      </c>
      <c r="L1059">
        <v>4</v>
      </c>
      <c r="M1059">
        <v>4</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c r="AR1059">
        <v>0</v>
      </c>
      <c r="AS1059">
        <v>0</v>
      </c>
      <c r="AT1059">
        <v>0</v>
      </c>
      <c r="AU1059">
        <v>0</v>
      </c>
      <c r="AV1059">
        <v>0</v>
      </c>
      <c r="AW1059">
        <v>0</v>
      </c>
      <c r="AX1059">
        <v>0</v>
      </c>
      <c r="AY1059">
        <v>0</v>
      </c>
      <c r="AZ1059">
        <v>0</v>
      </c>
      <c r="BA1059">
        <v>0</v>
      </c>
      <c r="BB1059">
        <v>0</v>
      </c>
      <c r="BC1059">
        <v>0</v>
      </c>
      <c r="BD1059">
        <v>0</v>
      </c>
      <c r="BE1059">
        <v>0</v>
      </c>
      <c r="BF1059">
        <v>0</v>
      </c>
      <c r="BG1059">
        <v>0</v>
      </c>
      <c r="BH1059">
        <v>0</v>
      </c>
      <c r="BI1059">
        <v>0</v>
      </c>
      <c r="BJ1059">
        <v>0</v>
      </c>
      <c r="BK1059">
        <v>0</v>
      </c>
      <c r="BL1059">
        <v>0</v>
      </c>
      <c r="BM1059">
        <v>0</v>
      </c>
      <c r="BN1059">
        <v>0</v>
      </c>
      <c r="BO1059">
        <v>0</v>
      </c>
      <c r="BP1059">
        <v>0</v>
      </c>
      <c r="BQ1059">
        <v>0</v>
      </c>
      <c r="BR1059">
        <v>0</v>
      </c>
      <c r="BS1059">
        <v>0</v>
      </c>
      <c r="BT1059">
        <v>0</v>
      </c>
      <c r="BU1059">
        <v>0</v>
      </c>
      <c r="BV1059">
        <v>0</v>
      </c>
      <c r="BW1059">
        <v>0</v>
      </c>
      <c r="BX1059">
        <v>0</v>
      </c>
      <c r="BY1059">
        <v>0</v>
      </c>
      <c r="BZ1059">
        <v>0</v>
      </c>
      <c r="CA1059">
        <v>0</v>
      </c>
      <c r="CB1059">
        <v>0</v>
      </c>
      <c r="CC1059">
        <v>0</v>
      </c>
      <c r="CD1059">
        <v>0</v>
      </c>
      <c r="CE1059">
        <v>0</v>
      </c>
      <c r="CF1059">
        <v>0</v>
      </c>
      <c r="CG1059">
        <v>0</v>
      </c>
      <c r="CH1059">
        <v>0</v>
      </c>
      <c r="CI1059">
        <v>0</v>
      </c>
      <c r="CJ1059">
        <v>0</v>
      </c>
      <c r="CK1059">
        <v>0</v>
      </c>
      <c r="CL1059">
        <v>0</v>
      </c>
      <c r="CM1059">
        <v>0</v>
      </c>
      <c r="CN1059">
        <v>0</v>
      </c>
      <c r="CO1059">
        <v>0</v>
      </c>
      <c r="CP1059">
        <v>0</v>
      </c>
      <c r="CQ1059">
        <v>0</v>
      </c>
      <c r="CR1059">
        <v>0</v>
      </c>
      <c r="CS1059">
        <v>0</v>
      </c>
      <c r="CT1059">
        <v>0</v>
      </c>
      <c r="CU1059">
        <v>0</v>
      </c>
      <c r="CV1059">
        <v>0</v>
      </c>
      <c r="CW1059">
        <v>0</v>
      </c>
      <c r="CX1059">
        <v>0</v>
      </c>
      <c r="CY1059">
        <v>0</v>
      </c>
      <c r="CZ1059">
        <v>0</v>
      </c>
      <c r="DA1059">
        <v>0</v>
      </c>
      <c r="DB1059">
        <v>0</v>
      </c>
      <c r="DC1059">
        <v>0</v>
      </c>
      <c r="DD1059">
        <v>0</v>
      </c>
      <c r="DE1059">
        <v>0</v>
      </c>
      <c r="DF1059">
        <v>0</v>
      </c>
      <c r="DG1059" s="16">
        <f t="shared" si="87"/>
        <v>27</v>
      </c>
      <c r="DH1059" s="16">
        <f t="shared" si="88"/>
        <v>90</v>
      </c>
      <c r="DI1059" s="17">
        <f t="shared" si="89"/>
        <v>3.3333333333333335</v>
      </c>
      <c r="DJ1059" s="119" t="s">
        <v>659</v>
      </c>
      <c r="DK1059" s="44" t="s">
        <v>659</v>
      </c>
    </row>
    <row r="1060" spans="1:116" ht="15" customHeight="1">
      <c r="A1060" s="32" t="str">
        <f t="shared" si="90"/>
        <v>SA Power--REMOTE TERMINAL UNIT - GE HARRIS D25</v>
      </c>
      <c r="B1060" s="32" t="str">
        <f t="shared" si="91"/>
        <v>SA Power</v>
      </c>
      <c r="C1060" s="385"/>
      <c r="E1060" t="s">
        <v>1307</v>
      </c>
      <c r="F1060">
        <v>10</v>
      </c>
      <c r="G1060">
        <v>3.1622776601683795</v>
      </c>
      <c r="H1060">
        <v>3</v>
      </c>
      <c r="I1060">
        <v>3</v>
      </c>
      <c r="J1060">
        <v>2</v>
      </c>
      <c r="K1060">
        <v>1</v>
      </c>
      <c r="L1060">
        <v>1</v>
      </c>
      <c r="M1060">
        <v>1</v>
      </c>
      <c r="N1060">
        <v>1</v>
      </c>
      <c r="O1060">
        <v>9</v>
      </c>
      <c r="P1060">
        <v>16</v>
      </c>
      <c r="Q1060">
        <v>11</v>
      </c>
      <c r="R1060">
        <v>6</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0</v>
      </c>
      <c r="AR1060">
        <v>0</v>
      </c>
      <c r="AS1060">
        <v>0</v>
      </c>
      <c r="AT1060">
        <v>0</v>
      </c>
      <c r="AU1060">
        <v>0</v>
      </c>
      <c r="AV1060">
        <v>0</v>
      </c>
      <c r="AW1060">
        <v>0</v>
      </c>
      <c r="AX1060">
        <v>0</v>
      </c>
      <c r="AY1060">
        <v>0</v>
      </c>
      <c r="AZ1060">
        <v>0</v>
      </c>
      <c r="BA1060">
        <v>0</v>
      </c>
      <c r="BB1060">
        <v>0</v>
      </c>
      <c r="BC1060">
        <v>0</v>
      </c>
      <c r="BD1060">
        <v>0</v>
      </c>
      <c r="BE1060">
        <v>0</v>
      </c>
      <c r="BF1060">
        <v>0</v>
      </c>
      <c r="BG1060">
        <v>0</v>
      </c>
      <c r="BH1060">
        <v>0</v>
      </c>
      <c r="BI1060">
        <v>0</v>
      </c>
      <c r="BJ1060">
        <v>0</v>
      </c>
      <c r="BK1060">
        <v>0</v>
      </c>
      <c r="BL1060">
        <v>0</v>
      </c>
      <c r="BM1060">
        <v>0</v>
      </c>
      <c r="BN1060">
        <v>0</v>
      </c>
      <c r="BO1060">
        <v>0</v>
      </c>
      <c r="BP1060">
        <v>0</v>
      </c>
      <c r="BQ1060">
        <v>0</v>
      </c>
      <c r="BR1060">
        <v>0</v>
      </c>
      <c r="BS1060">
        <v>0</v>
      </c>
      <c r="BT1060">
        <v>0</v>
      </c>
      <c r="BU1060">
        <v>0</v>
      </c>
      <c r="BV1060">
        <v>0</v>
      </c>
      <c r="BW1060">
        <v>0</v>
      </c>
      <c r="BX1060">
        <v>0</v>
      </c>
      <c r="BY1060">
        <v>0</v>
      </c>
      <c r="BZ1060">
        <v>0</v>
      </c>
      <c r="CA1060">
        <v>0</v>
      </c>
      <c r="CB1060">
        <v>0</v>
      </c>
      <c r="CC1060">
        <v>0</v>
      </c>
      <c r="CD1060">
        <v>0</v>
      </c>
      <c r="CE1060">
        <v>0</v>
      </c>
      <c r="CF1060">
        <v>0</v>
      </c>
      <c r="CG1060">
        <v>0</v>
      </c>
      <c r="CH1060">
        <v>0</v>
      </c>
      <c r="CI1060">
        <v>0</v>
      </c>
      <c r="CJ1060">
        <v>0</v>
      </c>
      <c r="CK1060">
        <v>0</v>
      </c>
      <c r="CL1060">
        <v>0</v>
      </c>
      <c r="CM1060">
        <v>0</v>
      </c>
      <c r="CN1060">
        <v>0</v>
      </c>
      <c r="CO1060">
        <v>0</v>
      </c>
      <c r="CP1060">
        <v>0</v>
      </c>
      <c r="CQ1060">
        <v>0</v>
      </c>
      <c r="CR1060">
        <v>0</v>
      </c>
      <c r="CS1060">
        <v>0</v>
      </c>
      <c r="CT1060">
        <v>0</v>
      </c>
      <c r="CU1060">
        <v>0</v>
      </c>
      <c r="CV1060">
        <v>0</v>
      </c>
      <c r="CW1060">
        <v>0</v>
      </c>
      <c r="CX1060">
        <v>0</v>
      </c>
      <c r="CY1060">
        <v>0</v>
      </c>
      <c r="CZ1060">
        <v>0</v>
      </c>
      <c r="DA1060">
        <v>0</v>
      </c>
      <c r="DB1060">
        <v>0</v>
      </c>
      <c r="DC1060">
        <v>0</v>
      </c>
      <c r="DD1060">
        <v>0</v>
      </c>
      <c r="DE1060">
        <v>0</v>
      </c>
      <c r="DF1060">
        <v>0</v>
      </c>
      <c r="DG1060" s="16">
        <f t="shared" si="87"/>
        <v>54</v>
      </c>
      <c r="DH1060" s="16">
        <f t="shared" si="88"/>
        <v>429</v>
      </c>
      <c r="DI1060" s="17">
        <f t="shared" si="89"/>
        <v>7.9444444444444446</v>
      </c>
      <c r="DJ1060" s="119" t="s">
        <v>659</v>
      </c>
      <c r="DK1060" s="44" t="s">
        <v>659</v>
      </c>
    </row>
    <row r="1061" spans="1:116" ht="15" customHeight="1">
      <c r="A1061" s="32" t="str">
        <f t="shared" si="90"/>
        <v>SA Power--REMOTE TERMINAL UNIT - GE HARRIS D20</v>
      </c>
      <c r="B1061" s="32" t="str">
        <f t="shared" si="91"/>
        <v>SA Power</v>
      </c>
      <c r="C1061" s="385"/>
      <c r="E1061" t="s">
        <v>1308</v>
      </c>
      <c r="F1061">
        <v>10</v>
      </c>
      <c r="G1061">
        <v>3.1622776601683795</v>
      </c>
      <c r="H1061">
        <v>15</v>
      </c>
      <c r="I1061">
        <v>14</v>
      </c>
      <c r="J1061">
        <v>7</v>
      </c>
      <c r="K1061">
        <v>3</v>
      </c>
      <c r="L1061">
        <v>3</v>
      </c>
      <c r="M1061">
        <v>2</v>
      </c>
      <c r="N1061">
        <v>3</v>
      </c>
      <c r="O1061">
        <v>2</v>
      </c>
      <c r="P1061">
        <v>2</v>
      </c>
      <c r="Q1061">
        <v>3</v>
      </c>
      <c r="R1061">
        <v>0</v>
      </c>
      <c r="S1061">
        <v>0</v>
      </c>
      <c r="T1061">
        <v>0</v>
      </c>
      <c r="U1061">
        <v>0</v>
      </c>
      <c r="V1061">
        <v>0</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c r="AS1061">
        <v>0</v>
      </c>
      <c r="AT1061">
        <v>0</v>
      </c>
      <c r="AU1061">
        <v>0</v>
      </c>
      <c r="AV1061">
        <v>0</v>
      </c>
      <c r="AW1061">
        <v>0</v>
      </c>
      <c r="AX1061">
        <v>0</v>
      </c>
      <c r="AY1061">
        <v>0</v>
      </c>
      <c r="AZ1061">
        <v>0</v>
      </c>
      <c r="BA1061">
        <v>0</v>
      </c>
      <c r="BB1061">
        <v>0</v>
      </c>
      <c r="BC1061">
        <v>0</v>
      </c>
      <c r="BD1061">
        <v>0</v>
      </c>
      <c r="BE1061">
        <v>0</v>
      </c>
      <c r="BF1061">
        <v>0</v>
      </c>
      <c r="BG1061">
        <v>0</v>
      </c>
      <c r="BH1061">
        <v>0</v>
      </c>
      <c r="BI1061">
        <v>0</v>
      </c>
      <c r="BJ1061">
        <v>0</v>
      </c>
      <c r="BK1061">
        <v>0</v>
      </c>
      <c r="BL1061">
        <v>0</v>
      </c>
      <c r="BM1061">
        <v>0</v>
      </c>
      <c r="BN1061">
        <v>0</v>
      </c>
      <c r="BO1061">
        <v>0</v>
      </c>
      <c r="BP1061">
        <v>0</v>
      </c>
      <c r="BQ1061">
        <v>0</v>
      </c>
      <c r="BR1061">
        <v>0</v>
      </c>
      <c r="BS1061">
        <v>0</v>
      </c>
      <c r="BT1061">
        <v>0</v>
      </c>
      <c r="BU1061">
        <v>0</v>
      </c>
      <c r="BV1061">
        <v>0</v>
      </c>
      <c r="BW1061">
        <v>0</v>
      </c>
      <c r="BX1061">
        <v>0</v>
      </c>
      <c r="BY1061">
        <v>0</v>
      </c>
      <c r="BZ1061">
        <v>0</v>
      </c>
      <c r="CA1061">
        <v>0</v>
      </c>
      <c r="CB1061">
        <v>0</v>
      </c>
      <c r="CC1061">
        <v>0</v>
      </c>
      <c r="CD1061">
        <v>0</v>
      </c>
      <c r="CE1061">
        <v>0</v>
      </c>
      <c r="CF1061">
        <v>0</v>
      </c>
      <c r="CG1061">
        <v>0</v>
      </c>
      <c r="CH1061">
        <v>0</v>
      </c>
      <c r="CI1061">
        <v>0</v>
      </c>
      <c r="CJ1061">
        <v>0</v>
      </c>
      <c r="CK1061">
        <v>0</v>
      </c>
      <c r="CL1061">
        <v>0</v>
      </c>
      <c r="CM1061">
        <v>0</v>
      </c>
      <c r="CN1061">
        <v>0</v>
      </c>
      <c r="CO1061">
        <v>0</v>
      </c>
      <c r="CP1061">
        <v>0</v>
      </c>
      <c r="CQ1061">
        <v>0</v>
      </c>
      <c r="CR1061">
        <v>0</v>
      </c>
      <c r="CS1061">
        <v>0</v>
      </c>
      <c r="CT1061">
        <v>0</v>
      </c>
      <c r="CU1061">
        <v>0</v>
      </c>
      <c r="CV1061">
        <v>0</v>
      </c>
      <c r="CW1061">
        <v>0</v>
      </c>
      <c r="CX1061">
        <v>0</v>
      </c>
      <c r="CY1061">
        <v>0</v>
      </c>
      <c r="CZ1061">
        <v>0</v>
      </c>
      <c r="DA1061">
        <v>0</v>
      </c>
      <c r="DB1061">
        <v>0</v>
      </c>
      <c r="DC1061">
        <v>0</v>
      </c>
      <c r="DD1061">
        <v>0</v>
      </c>
      <c r="DE1061">
        <v>0</v>
      </c>
      <c r="DF1061">
        <v>0</v>
      </c>
      <c r="DG1061" s="16">
        <f t="shared" si="87"/>
        <v>54</v>
      </c>
      <c r="DH1061" s="16">
        <f t="shared" si="88"/>
        <v>188</v>
      </c>
      <c r="DI1061" s="17">
        <f t="shared" si="89"/>
        <v>3.4814814814814814</v>
      </c>
      <c r="DJ1061" s="119" t="s">
        <v>659</v>
      </c>
      <c r="DK1061" s="44" t="s">
        <v>659</v>
      </c>
    </row>
    <row r="1062" spans="1:116">
      <c r="A1062" s="32" t="str">
        <f t="shared" si="90"/>
        <v>SA Power-OTHER BY: 
DNSP DEFINED-PLEASE ADD A ROW IF NECESSARY AND NOMINATE THE CATEGORY</v>
      </c>
      <c r="B1062" s="32" t="str">
        <f t="shared" si="91"/>
        <v>SA Power</v>
      </c>
      <c r="C1062" s="385"/>
      <c r="D1062" t="s">
        <v>567</v>
      </c>
      <c r="E1062" t="s">
        <v>277</v>
      </c>
      <c r="DG1062" s="16">
        <f t="shared" si="87"/>
        <v>0</v>
      </c>
      <c r="DH1062" s="16">
        <f t="shared" si="88"/>
        <v>0</v>
      </c>
      <c r="DI1062" s="17" t="str">
        <f t="shared" si="89"/>
        <v/>
      </c>
      <c r="DJ1062" s="119" t="s">
        <v>720</v>
      </c>
      <c r="DK1062" t="s">
        <v>720</v>
      </c>
    </row>
    <row r="1063" spans="1:116" ht="15" customHeight="1">
      <c r="A1063" s="32" t="str">
        <f t="shared" si="90"/>
        <v>Essential-POLES BY: 
HIGHEST OPERATING VOLTAGE ; MATERIAL TYPE;  STAKING (IF WOOD)-STAKING OF A WOODEN POLE</v>
      </c>
      <c r="B1063" s="32" t="str">
        <f t="shared" si="91"/>
        <v>Essential</v>
      </c>
      <c r="C1063" s="383" t="s">
        <v>0</v>
      </c>
      <c r="D1063" t="s">
        <v>311</v>
      </c>
      <c r="E1063" t="s">
        <v>117</v>
      </c>
      <c r="F1063">
        <v>53.8</v>
      </c>
      <c r="G1063">
        <v>7.334848328356899</v>
      </c>
      <c r="H1063">
        <v>3</v>
      </c>
      <c r="I1063">
        <v>9</v>
      </c>
      <c r="J1063">
        <v>6</v>
      </c>
      <c r="K1063">
        <v>26</v>
      </c>
      <c r="L1063">
        <v>18</v>
      </c>
      <c r="M1063">
        <v>28</v>
      </c>
      <c r="N1063">
        <v>30</v>
      </c>
      <c r="O1063">
        <v>25</v>
      </c>
      <c r="P1063">
        <v>73</v>
      </c>
      <c r="Q1063">
        <v>42</v>
      </c>
      <c r="R1063">
        <v>8</v>
      </c>
      <c r="S1063">
        <v>14</v>
      </c>
      <c r="T1063">
        <v>5</v>
      </c>
      <c r="U1063">
        <v>7</v>
      </c>
      <c r="V1063">
        <v>3</v>
      </c>
      <c r="W1063">
        <v>4</v>
      </c>
      <c r="X1063">
        <v>4</v>
      </c>
      <c r="Y1063">
        <v>18</v>
      </c>
      <c r="Z1063">
        <v>26</v>
      </c>
      <c r="AA1063">
        <v>31</v>
      </c>
      <c r="AB1063">
        <v>75</v>
      </c>
      <c r="AC1063">
        <v>159</v>
      </c>
      <c r="AD1063">
        <v>122</v>
      </c>
      <c r="AE1063">
        <v>122</v>
      </c>
      <c r="AF1063">
        <v>36</v>
      </c>
      <c r="AG1063">
        <v>78</v>
      </c>
      <c r="AH1063">
        <v>55</v>
      </c>
      <c r="AI1063">
        <v>45</v>
      </c>
      <c r="AJ1063">
        <v>56</v>
      </c>
      <c r="AK1063">
        <v>49</v>
      </c>
      <c r="AL1063">
        <v>125</v>
      </c>
      <c r="AM1063">
        <v>243</v>
      </c>
      <c r="AN1063">
        <v>131</v>
      </c>
      <c r="AO1063">
        <v>87</v>
      </c>
      <c r="AP1063">
        <v>123</v>
      </c>
      <c r="AQ1063">
        <v>120</v>
      </c>
      <c r="AR1063">
        <v>113</v>
      </c>
      <c r="AS1063">
        <v>149</v>
      </c>
      <c r="AT1063">
        <v>130</v>
      </c>
      <c r="AU1063">
        <v>152</v>
      </c>
      <c r="AV1063">
        <v>136</v>
      </c>
      <c r="AW1063">
        <v>258</v>
      </c>
      <c r="AX1063">
        <v>370</v>
      </c>
      <c r="AY1063">
        <v>124</v>
      </c>
      <c r="AZ1063">
        <v>165</v>
      </c>
      <c r="BA1063">
        <v>287</v>
      </c>
      <c r="BB1063">
        <v>689</v>
      </c>
      <c r="BC1063">
        <v>447</v>
      </c>
      <c r="BD1063">
        <v>176</v>
      </c>
      <c r="BE1063">
        <v>152</v>
      </c>
      <c r="BF1063">
        <v>82</v>
      </c>
      <c r="BG1063">
        <v>232</v>
      </c>
      <c r="BH1063">
        <v>561</v>
      </c>
      <c r="BI1063">
        <v>71</v>
      </c>
      <c r="BJ1063">
        <v>161</v>
      </c>
      <c r="BK1063">
        <v>50</v>
      </c>
      <c r="BL1063">
        <v>123</v>
      </c>
      <c r="BM1063">
        <v>568</v>
      </c>
      <c r="BN1063">
        <v>115</v>
      </c>
      <c r="BO1063">
        <v>153</v>
      </c>
      <c r="BP1063">
        <v>95</v>
      </c>
      <c r="BQ1063">
        <v>5</v>
      </c>
      <c r="BR1063">
        <v>260</v>
      </c>
      <c r="BS1063">
        <v>18</v>
      </c>
      <c r="BT1063">
        <v>4</v>
      </c>
      <c r="BU1063">
        <v>4</v>
      </c>
      <c r="BV1063">
        <v>5</v>
      </c>
      <c r="BW1063">
        <v>6</v>
      </c>
      <c r="BX1063">
        <v>0</v>
      </c>
      <c r="BY1063">
        <v>0</v>
      </c>
      <c r="BZ1063">
        <v>1</v>
      </c>
      <c r="CA1063">
        <v>0</v>
      </c>
      <c r="CB1063">
        <v>1</v>
      </c>
      <c r="CC1063">
        <v>10</v>
      </c>
      <c r="CD1063">
        <v>1</v>
      </c>
      <c r="CE1063">
        <v>0</v>
      </c>
      <c r="CF1063">
        <v>2</v>
      </c>
      <c r="CG1063">
        <v>1</v>
      </c>
      <c r="CH1063">
        <v>0</v>
      </c>
      <c r="CI1063">
        <v>0</v>
      </c>
      <c r="CJ1063">
        <v>0</v>
      </c>
      <c r="CK1063">
        <v>0</v>
      </c>
      <c r="CL1063">
        <v>10</v>
      </c>
      <c r="CM1063">
        <v>0</v>
      </c>
      <c r="CN1063">
        <v>0</v>
      </c>
      <c r="CO1063">
        <v>0</v>
      </c>
      <c r="CP1063">
        <v>0</v>
      </c>
      <c r="CQ1063">
        <v>2</v>
      </c>
      <c r="CR1063">
        <v>0</v>
      </c>
      <c r="CS1063">
        <v>0</v>
      </c>
      <c r="CT1063">
        <v>0</v>
      </c>
      <c r="CU1063">
        <v>0</v>
      </c>
      <c r="CV1063">
        <v>0</v>
      </c>
      <c r="CW1063">
        <v>0</v>
      </c>
      <c r="CX1063">
        <v>0</v>
      </c>
      <c r="CY1063">
        <v>0</v>
      </c>
      <c r="CZ1063">
        <v>0</v>
      </c>
      <c r="DA1063">
        <v>0</v>
      </c>
      <c r="DB1063">
        <v>0</v>
      </c>
      <c r="DC1063">
        <v>0</v>
      </c>
      <c r="DD1063">
        <v>0</v>
      </c>
      <c r="DE1063">
        <v>0</v>
      </c>
      <c r="DF1063">
        <v>0</v>
      </c>
      <c r="DG1063" s="16">
        <f t="shared" ref="DG1063:DG1122" si="92">SUM(H1063:DF1063)</f>
        <v>7895</v>
      </c>
      <c r="DH1063" s="16">
        <f t="shared" ref="DH1063:DH1122" si="93">IFERROR(SUMPRODUCT(H1063:DF1063,$H$1:$DF$1),"")</f>
        <v>345003</v>
      </c>
      <c r="DI1063" s="17">
        <f t="shared" ref="DI1063:DI1122" si="94">IFERROR(DH1063/DG1063,"")</f>
        <v>43.698923369221028</v>
      </c>
      <c r="DJ1063" s="119" t="s">
        <v>1</v>
      </c>
      <c r="DK1063" s="119" t="s">
        <v>1</v>
      </c>
      <c r="DL1063" s="119" t="s">
        <v>117</v>
      </c>
    </row>
    <row r="1064" spans="1:116">
      <c r="A1064" s="32" t="str">
        <f t="shared" si="90"/>
        <v>Essential--˂ = 1 KV; WOOD</v>
      </c>
      <c r="B1064" s="32" t="str">
        <f t="shared" si="91"/>
        <v>Essential</v>
      </c>
      <c r="C1064" s="384"/>
      <c r="E1064" t="s">
        <v>312</v>
      </c>
      <c r="F1064">
        <v>53.8</v>
      </c>
      <c r="G1064">
        <v>7.334848328356899</v>
      </c>
      <c r="H1064">
        <v>2298</v>
      </c>
      <c r="I1064">
        <v>2185</v>
      </c>
      <c r="J1064">
        <v>2207</v>
      </c>
      <c r="K1064">
        <v>2016</v>
      </c>
      <c r="L1064">
        <v>2302</v>
      </c>
      <c r="M1064">
        <v>2718</v>
      </c>
      <c r="N1064">
        <v>2852</v>
      </c>
      <c r="O1064">
        <v>2702</v>
      </c>
      <c r="P1064">
        <v>3180</v>
      </c>
      <c r="Q1064">
        <v>3690</v>
      </c>
      <c r="R1064">
        <v>2974</v>
      </c>
      <c r="S1064">
        <v>2786</v>
      </c>
      <c r="T1064">
        <v>3155</v>
      </c>
      <c r="U1064">
        <v>3558</v>
      </c>
      <c r="V1064">
        <v>2675</v>
      </c>
      <c r="W1064">
        <v>2612</v>
      </c>
      <c r="X1064">
        <v>2594</v>
      </c>
      <c r="Y1064">
        <v>3895</v>
      </c>
      <c r="Z1064">
        <v>5050</v>
      </c>
      <c r="AA1064">
        <v>5791</v>
      </c>
      <c r="AB1064">
        <v>6010</v>
      </c>
      <c r="AC1064">
        <v>5903</v>
      </c>
      <c r="AD1064">
        <v>7608</v>
      </c>
      <c r="AE1064">
        <v>8601</v>
      </c>
      <c r="AF1064">
        <v>7049</v>
      </c>
      <c r="AG1064">
        <v>7436</v>
      </c>
      <c r="AH1064">
        <v>9213</v>
      </c>
      <c r="AI1064">
        <v>6829</v>
      </c>
      <c r="AJ1064">
        <v>6581</v>
      </c>
      <c r="AK1064">
        <v>6030</v>
      </c>
      <c r="AL1064">
        <v>4505</v>
      </c>
      <c r="AM1064">
        <v>6122</v>
      </c>
      <c r="AN1064">
        <v>6264</v>
      </c>
      <c r="AO1064">
        <v>8368</v>
      </c>
      <c r="AP1064">
        <v>5226</v>
      </c>
      <c r="AQ1064">
        <v>6038</v>
      </c>
      <c r="AR1064">
        <v>7266</v>
      </c>
      <c r="AS1064">
        <v>4717</v>
      </c>
      <c r="AT1064">
        <v>7150</v>
      </c>
      <c r="AU1064">
        <v>5962</v>
      </c>
      <c r="AV1064">
        <v>6691</v>
      </c>
      <c r="AW1064">
        <v>5511</v>
      </c>
      <c r="AX1064">
        <v>8656</v>
      </c>
      <c r="AY1064">
        <v>14647</v>
      </c>
      <c r="AZ1064">
        <v>6072</v>
      </c>
      <c r="BA1064">
        <v>5092</v>
      </c>
      <c r="BB1064">
        <v>6269</v>
      </c>
      <c r="BC1064">
        <v>14324</v>
      </c>
      <c r="BD1064">
        <v>9306</v>
      </c>
      <c r="BE1064">
        <v>3290</v>
      </c>
      <c r="BF1064">
        <v>3248</v>
      </c>
      <c r="BG1064">
        <v>1392</v>
      </c>
      <c r="BH1064">
        <v>6961</v>
      </c>
      <c r="BI1064">
        <v>19709</v>
      </c>
      <c r="BJ1064">
        <v>1439</v>
      </c>
      <c r="BK1064">
        <v>3404</v>
      </c>
      <c r="BL1064">
        <v>1548</v>
      </c>
      <c r="BM1064">
        <v>2063</v>
      </c>
      <c r="BN1064">
        <v>7363</v>
      </c>
      <c r="BO1064">
        <v>1092</v>
      </c>
      <c r="BP1064">
        <v>1482</v>
      </c>
      <c r="BQ1064">
        <v>3457</v>
      </c>
      <c r="BR1064">
        <v>240</v>
      </c>
      <c r="BS1064">
        <v>12527</v>
      </c>
      <c r="BT1064">
        <v>598</v>
      </c>
      <c r="BU1064">
        <v>391</v>
      </c>
      <c r="BV1064">
        <v>358</v>
      </c>
      <c r="BW1064">
        <v>215</v>
      </c>
      <c r="BX1064">
        <v>105</v>
      </c>
      <c r="BY1064">
        <v>30</v>
      </c>
      <c r="BZ1064">
        <v>0</v>
      </c>
      <c r="CA1064">
        <v>35</v>
      </c>
      <c r="CB1064">
        <v>1</v>
      </c>
      <c r="CC1064">
        <v>321</v>
      </c>
      <c r="CD1064">
        <v>61</v>
      </c>
      <c r="CE1064">
        <v>66</v>
      </c>
      <c r="CF1064">
        <v>37</v>
      </c>
      <c r="CG1064">
        <v>92</v>
      </c>
      <c r="CH1064">
        <v>43</v>
      </c>
      <c r="CI1064">
        <v>13</v>
      </c>
      <c r="CJ1064">
        <v>1</v>
      </c>
      <c r="CK1064">
        <v>1</v>
      </c>
      <c r="CL1064">
        <v>15</v>
      </c>
      <c r="CM1064">
        <v>1632</v>
      </c>
      <c r="CN1064">
        <v>0</v>
      </c>
      <c r="CO1064">
        <v>10</v>
      </c>
      <c r="CP1064">
        <v>1</v>
      </c>
      <c r="CQ1064">
        <v>0</v>
      </c>
      <c r="CR1064">
        <v>46</v>
      </c>
      <c r="CS1064">
        <v>0</v>
      </c>
      <c r="CT1064">
        <v>1</v>
      </c>
      <c r="CU1064">
        <v>0</v>
      </c>
      <c r="CV1064">
        <v>0</v>
      </c>
      <c r="CW1064">
        <v>6</v>
      </c>
      <c r="CX1064">
        <v>0</v>
      </c>
      <c r="CY1064">
        <v>0</v>
      </c>
      <c r="CZ1064">
        <v>0</v>
      </c>
      <c r="DA1064">
        <v>0</v>
      </c>
      <c r="DB1064">
        <v>0</v>
      </c>
      <c r="DC1064">
        <v>0</v>
      </c>
      <c r="DD1064">
        <v>0</v>
      </c>
      <c r="DE1064">
        <v>0</v>
      </c>
      <c r="DF1064">
        <v>0</v>
      </c>
      <c r="DG1064" s="16">
        <f t="shared" si="92"/>
        <v>343980</v>
      </c>
      <c r="DH1064" s="16">
        <f t="shared" si="93"/>
        <v>12442655</v>
      </c>
      <c r="DI1064" s="17">
        <f t="shared" si="94"/>
        <v>36.172611779754639</v>
      </c>
      <c r="DJ1064" s="119" t="s">
        <v>1</v>
      </c>
      <c r="DK1064" s="119" t="s">
        <v>1</v>
      </c>
      <c r="DL1064" s="119" t="s">
        <v>1328</v>
      </c>
    </row>
    <row r="1065" spans="1:116">
      <c r="A1065" s="32" t="str">
        <f t="shared" si="90"/>
        <v>Essential--&gt; 1 KV &amp; &lt; = 11 KV; WOOD</v>
      </c>
      <c r="B1065" s="32" t="str">
        <f t="shared" si="91"/>
        <v>Essential</v>
      </c>
      <c r="C1065" s="384"/>
      <c r="E1065" t="s">
        <v>313</v>
      </c>
      <c r="F1065">
        <v>53.8</v>
      </c>
      <c r="G1065">
        <v>7.334848328356899</v>
      </c>
      <c r="H1065">
        <v>5444</v>
      </c>
      <c r="I1065">
        <v>6433</v>
      </c>
      <c r="J1065">
        <v>6775</v>
      </c>
      <c r="K1065">
        <v>5139</v>
      </c>
      <c r="L1065">
        <v>5205</v>
      </c>
      <c r="M1065">
        <v>6009</v>
      </c>
      <c r="N1065">
        <v>5518</v>
      </c>
      <c r="O1065">
        <v>6093</v>
      </c>
      <c r="P1065">
        <v>5869</v>
      </c>
      <c r="Q1065">
        <v>6534</v>
      </c>
      <c r="R1065">
        <v>5808</v>
      </c>
      <c r="S1065">
        <v>5565</v>
      </c>
      <c r="T1065">
        <v>5345</v>
      </c>
      <c r="U1065">
        <v>5261</v>
      </c>
      <c r="V1065">
        <v>3965</v>
      </c>
      <c r="W1065">
        <v>3708</v>
      </c>
      <c r="X1065">
        <v>3883</v>
      </c>
      <c r="Y1065">
        <v>5067</v>
      </c>
      <c r="Z1065">
        <v>6429</v>
      </c>
      <c r="AA1065">
        <v>7681</v>
      </c>
      <c r="AB1065">
        <v>7046</v>
      </c>
      <c r="AC1065">
        <v>7428</v>
      </c>
      <c r="AD1065">
        <v>9200</v>
      </c>
      <c r="AE1065">
        <v>8610</v>
      </c>
      <c r="AF1065">
        <v>8058</v>
      </c>
      <c r="AG1065">
        <v>8652</v>
      </c>
      <c r="AH1065">
        <v>11042</v>
      </c>
      <c r="AI1065">
        <v>9188</v>
      </c>
      <c r="AJ1065">
        <v>8084</v>
      </c>
      <c r="AK1065">
        <v>6630</v>
      </c>
      <c r="AL1065">
        <v>5737</v>
      </c>
      <c r="AM1065">
        <v>7911</v>
      </c>
      <c r="AN1065">
        <v>7656</v>
      </c>
      <c r="AO1065">
        <v>8958</v>
      </c>
      <c r="AP1065">
        <v>5510</v>
      </c>
      <c r="AQ1065">
        <v>6708</v>
      </c>
      <c r="AR1065">
        <v>8451</v>
      </c>
      <c r="AS1065">
        <v>5981</v>
      </c>
      <c r="AT1065">
        <v>7292</v>
      </c>
      <c r="AU1065">
        <v>5519</v>
      </c>
      <c r="AV1065">
        <v>5261</v>
      </c>
      <c r="AW1065">
        <v>6184</v>
      </c>
      <c r="AX1065">
        <v>9446</v>
      </c>
      <c r="AY1065">
        <v>18148</v>
      </c>
      <c r="AZ1065">
        <v>9671</v>
      </c>
      <c r="BA1065">
        <v>4953</v>
      </c>
      <c r="BB1065">
        <v>8064</v>
      </c>
      <c r="BC1065">
        <v>11685</v>
      </c>
      <c r="BD1065">
        <v>8339</v>
      </c>
      <c r="BE1065">
        <v>3150</v>
      </c>
      <c r="BF1065">
        <v>5230</v>
      </c>
      <c r="BG1065">
        <v>4050</v>
      </c>
      <c r="BH1065">
        <v>9766</v>
      </c>
      <c r="BI1065">
        <v>31249</v>
      </c>
      <c r="BJ1065">
        <v>3278</v>
      </c>
      <c r="BK1065">
        <v>3252</v>
      </c>
      <c r="BL1065">
        <v>3291</v>
      </c>
      <c r="BM1065">
        <v>3195</v>
      </c>
      <c r="BN1065">
        <v>10387</v>
      </c>
      <c r="BO1065">
        <v>1017</v>
      </c>
      <c r="BP1065">
        <v>3754</v>
      </c>
      <c r="BQ1065">
        <v>5312</v>
      </c>
      <c r="BR1065">
        <v>264</v>
      </c>
      <c r="BS1065">
        <v>20789</v>
      </c>
      <c r="BT1065">
        <v>469</v>
      </c>
      <c r="BU1065">
        <v>335</v>
      </c>
      <c r="BV1065">
        <v>399</v>
      </c>
      <c r="BW1065">
        <v>210</v>
      </c>
      <c r="BX1065">
        <v>56</v>
      </c>
      <c r="BY1065">
        <v>21</v>
      </c>
      <c r="BZ1065">
        <v>0</v>
      </c>
      <c r="CA1065">
        <v>0</v>
      </c>
      <c r="CB1065">
        <v>1</v>
      </c>
      <c r="CC1065">
        <v>227</v>
      </c>
      <c r="CD1065">
        <v>157</v>
      </c>
      <c r="CE1065">
        <v>103</v>
      </c>
      <c r="CF1065">
        <v>9</v>
      </c>
      <c r="CG1065">
        <v>209</v>
      </c>
      <c r="CH1065">
        <v>8</v>
      </c>
      <c r="CI1065">
        <v>8</v>
      </c>
      <c r="CJ1065">
        <v>1</v>
      </c>
      <c r="CK1065">
        <v>0</v>
      </c>
      <c r="CL1065">
        <v>2</v>
      </c>
      <c r="CM1065">
        <v>72</v>
      </c>
      <c r="CN1065">
        <v>0</v>
      </c>
      <c r="CO1065">
        <v>0</v>
      </c>
      <c r="CP1065">
        <v>0</v>
      </c>
      <c r="CQ1065">
        <v>0</v>
      </c>
      <c r="CR1065">
        <v>0</v>
      </c>
      <c r="CS1065">
        <v>0</v>
      </c>
      <c r="CT1065">
        <v>0</v>
      </c>
      <c r="CU1065">
        <v>0</v>
      </c>
      <c r="CV1065">
        <v>0</v>
      </c>
      <c r="CW1065">
        <v>0</v>
      </c>
      <c r="CX1065">
        <v>0</v>
      </c>
      <c r="CY1065">
        <v>0</v>
      </c>
      <c r="CZ1065">
        <v>0</v>
      </c>
      <c r="DA1065">
        <v>0</v>
      </c>
      <c r="DB1065">
        <v>0</v>
      </c>
      <c r="DC1065">
        <v>0</v>
      </c>
      <c r="DD1065">
        <v>0</v>
      </c>
      <c r="DE1065">
        <v>0</v>
      </c>
      <c r="DF1065">
        <v>0</v>
      </c>
      <c r="DG1065" s="16">
        <f t="shared" si="92"/>
        <v>457414</v>
      </c>
      <c r="DH1065" s="16">
        <f t="shared" si="93"/>
        <v>15770948</v>
      </c>
      <c r="DI1065" s="17">
        <f t="shared" si="94"/>
        <v>34.478498690464221</v>
      </c>
      <c r="DJ1065" s="119" t="s">
        <v>1</v>
      </c>
      <c r="DK1065" s="119" t="s">
        <v>1</v>
      </c>
      <c r="DL1065" s="119" t="s">
        <v>1328</v>
      </c>
    </row>
    <row r="1066" spans="1:116">
      <c r="A1066" s="32" t="str">
        <f t="shared" si="90"/>
        <v>Essential--˃ 11 KV &amp; &lt; = 22 KV; WOOD</v>
      </c>
      <c r="B1066" s="32" t="str">
        <f t="shared" si="91"/>
        <v>Essential</v>
      </c>
      <c r="C1066" s="384"/>
      <c r="E1066" t="s">
        <v>314</v>
      </c>
      <c r="F1066">
        <v>54.9</v>
      </c>
      <c r="G1066">
        <v>7.4094534211370817</v>
      </c>
      <c r="H1066">
        <v>2654</v>
      </c>
      <c r="I1066">
        <v>2560</v>
      </c>
      <c r="J1066">
        <v>2247</v>
      </c>
      <c r="K1066">
        <v>1926</v>
      </c>
      <c r="L1066">
        <v>1939</v>
      </c>
      <c r="M1066">
        <v>2239</v>
      </c>
      <c r="N1066">
        <v>2080</v>
      </c>
      <c r="O1066">
        <v>2473</v>
      </c>
      <c r="P1066">
        <v>2524</v>
      </c>
      <c r="Q1066">
        <v>2789</v>
      </c>
      <c r="R1066">
        <v>2378</v>
      </c>
      <c r="S1066">
        <v>2686</v>
      </c>
      <c r="T1066">
        <v>3867</v>
      </c>
      <c r="U1066">
        <v>3029</v>
      </c>
      <c r="V1066">
        <v>2388</v>
      </c>
      <c r="W1066">
        <v>1676</v>
      </c>
      <c r="X1066">
        <v>2265</v>
      </c>
      <c r="Y1066">
        <v>2555</v>
      </c>
      <c r="Z1066">
        <v>4211</v>
      </c>
      <c r="AA1066">
        <v>4216</v>
      </c>
      <c r="AB1066">
        <v>2813</v>
      </c>
      <c r="AC1066">
        <v>4556</v>
      </c>
      <c r="AD1066">
        <v>5202</v>
      </c>
      <c r="AE1066">
        <v>5280</v>
      </c>
      <c r="AF1066">
        <v>4243</v>
      </c>
      <c r="AG1066">
        <v>5115</v>
      </c>
      <c r="AH1066">
        <v>7940</v>
      </c>
      <c r="AI1066">
        <v>5406</v>
      </c>
      <c r="AJ1066">
        <v>4836</v>
      </c>
      <c r="AK1066">
        <v>4410</v>
      </c>
      <c r="AL1066">
        <v>3995</v>
      </c>
      <c r="AM1066">
        <v>9739</v>
      </c>
      <c r="AN1066">
        <v>7121</v>
      </c>
      <c r="AO1066">
        <v>7672</v>
      </c>
      <c r="AP1066">
        <v>4277</v>
      </c>
      <c r="AQ1066">
        <v>5639</v>
      </c>
      <c r="AR1066">
        <v>4618</v>
      </c>
      <c r="AS1066">
        <v>3994</v>
      </c>
      <c r="AT1066">
        <v>3763</v>
      </c>
      <c r="AU1066">
        <v>3958</v>
      </c>
      <c r="AV1066">
        <v>3538</v>
      </c>
      <c r="AW1066">
        <v>3064</v>
      </c>
      <c r="AX1066">
        <v>3351</v>
      </c>
      <c r="AY1066">
        <v>7390</v>
      </c>
      <c r="AZ1066">
        <v>4581</v>
      </c>
      <c r="BA1066">
        <v>6404</v>
      </c>
      <c r="BB1066">
        <v>4982</v>
      </c>
      <c r="BC1066">
        <v>13618</v>
      </c>
      <c r="BD1066">
        <v>16860</v>
      </c>
      <c r="BE1066">
        <v>6696</v>
      </c>
      <c r="BF1066">
        <v>3883</v>
      </c>
      <c r="BG1066">
        <v>1582</v>
      </c>
      <c r="BH1066">
        <v>12474</v>
      </c>
      <c r="BI1066">
        <v>10198</v>
      </c>
      <c r="BJ1066">
        <v>3641</v>
      </c>
      <c r="BK1066">
        <v>4450</v>
      </c>
      <c r="BL1066">
        <v>369</v>
      </c>
      <c r="BM1066">
        <v>2411</v>
      </c>
      <c r="BN1066">
        <v>9137</v>
      </c>
      <c r="BO1066">
        <v>2691</v>
      </c>
      <c r="BP1066">
        <v>971</v>
      </c>
      <c r="BQ1066">
        <v>818</v>
      </c>
      <c r="BR1066">
        <v>519</v>
      </c>
      <c r="BS1066">
        <v>2379</v>
      </c>
      <c r="BT1066">
        <v>144</v>
      </c>
      <c r="BU1066">
        <v>179</v>
      </c>
      <c r="BV1066">
        <v>35</v>
      </c>
      <c r="BW1066">
        <v>18</v>
      </c>
      <c r="BX1066">
        <v>63</v>
      </c>
      <c r="BY1066">
        <v>46</v>
      </c>
      <c r="BZ1066">
        <v>3</v>
      </c>
      <c r="CA1066">
        <v>10</v>
      </c>
      <c r="CB1066">
        <v>1</v>
      </c>
      <c r="CC1066">
        <v>269</v>
      </c>
      <c r="CD1066">
        <v>1</v>
      </c>
      <c r="CE1066">
        <v>16</v>
      </c>
      <c r="CF1066">
        <v>25</v>
      </c>
      <c r="CG1066">
        <v>0</v>
      </c>
      <c r="CH1066">
        <v>0</v>
      </c>
      <c r="CI1066">
        <v>1</v>
      </c>
      <c r="CJ1066">
        <v>1</v>
      </c>
      <c r="CK1066">
        <v>5</v>
      </c>
      <c r="CL1066">
        <v>0</v>
      </c>
      <c r="CM1066">
        <v>3112</v>
      </c>
      <c r="CN1066">
        <v>0</v>
      </c>
      <c r="CO1066">
        <v>0</v>
      </c>
      <c r="CP1066">
        <v>0</v>
      </c>
      <c r="CQ1066">
        <v>0</v>
      </c>
      <c r="CR1066">
        <v>0</v>
      </c>
      <c r="CS1066">
        <v>0</v>
      </c>
      <c r="CT1066">
        <v>0</v>
      </c>
      <c r="CU1066">
        <v>0</v>
      </c>
      <c r="CV1066">
        <v>0</v>
      </c>
      <c r="CW1066">
        <v>1</v>
      </c>
      <c r="CX1066">
        <v>0</v>
      </c>
      <c r="CY1066">
        <v>0</v>
      </c>
      <c r="CZ1066">
        <v>0</v>
      </c>
      <c r="DA1066">
        <v>0</v>
      </c>
      <c r="DB1066">
        <v>0</v>
      </c>
      <c r="DC1066">
        <v>0</v>
      </c>
      <c r="DD1066">
        <v>0</v>
      </c>
      <c r="DE1066">
        <v>0</v>
      </c>
      <c r="DF1066">
        <v>0</v>
      </c>
      <c r="DG1066" s="16">
        <f t="shared" si="92"/>
        <v>287216</v>
      </c>
      <c r="DH1066" s="16">
        <f t="shared" si="93"/>
        <v>10496478</v>
      </c>
      <c r="DI1066" s="17">
        <f t="shared" si="94"/>
        <v>36.545589382207119</v>
      </c>
      <c r="DJ1066" s="119" t="s">
        <v>1</v>
      </c>
      <c r="DK1066" s="119" t="s">
        <v>1</v>
      </c>
      <c r="DL1066" s="119" t="s">
        <v>1328</v>
      </c>
    </row>
    <row r="1067" spans="1:116">
      <c r="A1067" s="32" t="str">
        <f t="shared" si="90"/>
        <v>Essential--&gt; 22 KV &amp; &lt; = 66 KV; WOOD</v>
      </c>
      <c r="B1067" s="32" t="str">
        <f t="shared" si="91"/>
        <v>Essential</v>
      </c>
      <c r="C1067" s="384"/>
      <c r="E1067" t="s">
        <v>315</v>
      </c>
      <c r="F1067">
        <v>54.9</v>
      </c>
      <c r="G1067">
        <v>7.4094534211370817</v>
      </c>
      <c r="H1067">
        <v>172</v>
      </c>
      <c r="I1067">
        <v>164</v>
      </c>
      <c r="J1067">
        <v>126</v>
      </c>
      <c r="K1067">
        <v>236</v>
      </c>
      <c r="L1067">
        <v>120</v>
      </c>
      <c r="M1067">
        <v>147</v>
      </c>
      <c r="N1067">
        <v>229</v>
      </c>
      <c r="O1067">
        <v>151</v>
      </c>
      <c r="P1067">
        <v>197</v>
      </c>
      <c r="Q1067">
        <v>229</v>
      </c>
      <c r="R1067">
        <v>397</v>
      </c>
      <c r="S1067">
        <v>273</v>
      </c>
      <c r="T1067">
        <v>370</v>
      </c>
      <c r="U1067">
        <v>372</v>
      </c>
      <c r="V1067">
        <v>106</v>
      </c>
      <c r="W1067">
        <v>98</v>
      </c>
      <c r="X1067">
        <v>140</v>
      </c>
      <c r="Y1067">
        <v>139</v>
      </c>
      <c r="Z1067">
        <v>134</v>
      </c>
      <c r="AA1067">
        <v>428</v>
      </c>
      <c r="AB1067">
        <v>270</v>
      </c>
      <c r="AC1067">
        <v>557</v>
      </c>
      <c r="AD1067">
        <v>292</v>
      </c>
      <c r="AE1067">
        <v>225</v>
      </c>
      <c r="AF1067">
        <v>570</v>
      </c>
      <c r="AG1067">
        <v>498</v>
      </c>
      <c r="AH1067">
        <v>334</v>
      </c>
      <c r="AI1067">
        <v>488</v>
      </c>
      <c r="AJ1067">
        <v>409</v>
      </c>
      <c r="AK1067">
        <v>646</v>
      </c>
      <c r="AL1067">
        <v>368</v>
      </c>
      <c r="AM1067">
        <v>722</v>
      </c>
      <c r="AN1067">
        <v>1090</v>
      </c>
      <c r="AO1067">
        <v>689</v>
      </c>
      <c r="AP1067">
        <v>248</v>
      </c>
      <c r="AQ1067">
        <v>798</v>
      </c>
      <c r="AR1067">
        <v>389</v>
      </c>
      <c r="AS1067">
        <v>326</v>
      </c>
      <c r="AT1067">
        <v>312</v>
      </c>
      <c r="AU1067">
        <v>312</v>
      </c>
      <c r="AV1067">
        <v>240</v>
      </c>
      <c r="AW1067">
        <v>267</v>
      </c>
      <c r="AX1067">
        <v>1376</v>
      </c>
      <c r="AY1067">
        <v>1000</v>
      </c>
      <c r="AZ1067">
        <v>885</v>
      </c>
      <c r="BA1067">
        <v>795</v>
      </c>
      <c r="BB1067">
        <v>666</v>
      </c>
      <c r="BC1067">
        <v>1124</v>
      </c>
      <c r="BD1067">
        <v>855</v>
      </c>
      <c r="BE1067">
        <v>265</v>
      </c>
      <c r="BF1067">
        <v>61</v>
      </c>
      <c r="BG1067">
        <v>527</v>
      </c>
      <c r="BH1067">
        <v>648</v>
      </c>
      <c r="BI1067">
        <v>1370</v>
      </c>
      <c r="BJ1067">
        <v>79</v>
      </c>
      <c r="BK1067">
        <v>136</v>
      </c>
      <c r="BL1067">
        <v>122</v>
      </c>
      <c r="BM1067">
        <v>163</v>
      </c>
      <c r="BN1067">
        <v>152</v>
      </c>
      <c r="BO1067">
        <v>6</v>
      </c>
      <c r="BP1067">
        <v>9</v>
      </c>
      <c r="BQ1067">
        <v>-20</v>
      </c>
      <c r="BR1067">
        <v>18</v>
      </c>
      <c r="BS1067">
        <v>383</v>
      </c>
      <c r="BT1067">
        <v>1</v>
      </c>
      <c r="BU1067">
        <v>1</v>
      </c>
      <c r="BV1067">
        <v>51</v>
      </c>
      <c r="BW1067">
        <v>171</v>
      </c>
      <c r="BX1067">
        <v>41</v>
      </c>
      <c r="BY1067">
        <v>0</v>
      </c>
      <c r="BZ1067">
        <v>0</v>
      </c>
      <c r="CA1067">
        <v>0</v>
      </c>
      <c r="CB1067">
        <v>0</v>
      </c>
      <c r="CC1067">
        <v>0</v>
      </c>
      <c r="CD1067">
        <v>0</v>
      </c>
      <c r="CE1067">
        <v>0</v>
      </c>
      <c r="CF1067">
        <v>3</v>
      </c>
      <c r="CG1067">
        <v>1</v>
      </c>
      <c r="CH1067">
        <v>1</v>
      </c>
      <c r="CI1067">
        <v>0</v>
      </c>
      <c r="CJ1067">
        <v>0</v>
      </c>
      <c r="CK1067">
        <v>0</v>
      </c>
      <c r="CL1067">
        <v>0</v>
      </c>
      <c r="CM1067">
        <v>1</v>
      </c>
      <c r="CN1067">
        <v>0</v>
      </c>
      <c r="CO1067">
        <v>0</v>
      </c>
      <c r="CP1067">
        <v>0</v>
      </c>
      <c r="CQ1067">
        <v>0</v>
      </c>
      <c r="CR1067">
        <v>1</v>
      </c>
      <c r="CS1067">
        <v>0</v>
      </c>
      <c r="CT1067">
        <v>2</v>
      </c>
      <c r="CU1067">
        <v>0</v>
      </c>
      <c r="CV1067">
        <v>0</v>
      </c>
      <c r="CW1067">
        <v>0</v>
      </c>
      <c r="CX1067">
        <v>0</v>
      </c>
      <c r="CY1067">
        <v>0</v>
      </c>
      <c r="CZ1067">
        <v>0</v>
      </c>
      <c r="DA1067">
        <v>0</v>
      </c>
      <c r="DB1067">
        <v>0</v>
      </c>
      <c r="DC1067">
        <v>0</v>
      </c>
      <c r="DD1067">
        <v>0</v>
      </c>
      <c r="DE1067">
        <v>0</v>
      </c>
      <c r="DF1067">
        <v>0</v>
      </c>
      <c r="DG1067" s="16">
        <f t="shared" si="92"/>
        <v>25172</v>
      </c>
      <c r="DH1067" s="16">
        <f t="shared" si="93"/>
        <v>902146</v>
      </c>
      <c r="DI1067" s="17">
        <f t="shared" si="94"/>
        <v>35.839265850945495</v>
      </c>
      <c r="DJ1067" s="119" t="s">
        <v>1</v>
      </c>
      <c r="DK1067" s="119" t="s">
        <v>1</v>
      </c>
      <c r="DL1067" s="119" t="s">
        <v>1328</v>
      </c>
    </row>
    <row r="1068" spans="1:116">
      <c r="A1068" s="32" t="str">
        <f t="shared" si="90"/>
        <v>Essential--&gt; 66 KV &amp; &lt; = 132 KV; WOOD</v>
      </c>
      <c r="B1068" s="32" t="str">
        <f t="shared" si="91"/>
        <v>Essential</v>
      </c>
      <c r="C1068" s="384"/>
      <c r="E1068" t="s">
        <v>316</v>
      </c>
      <c r="F1068">
        <v>54.9</v>
      </c>
      <c r="G1068">
        <v>7.4094534211370817</v>
      </c>
      <c r="H1068">
        <v>306</v>
      </c>
      <c r="I1068">
        <v>184</v>
      </c>
      <c r="J1068">
        <v>176</v>
      </c>
      <c r="K1068">
        <v>117</v>
      </c>
      <c r="L1068">
        <v>144</v>
      </c>
      <c r="M1068">
        <v>182</v>
      </c>
      <c r="N1068">
        <v>409</v>
      </c>
      <c r="O1068">
        <v>282</v>
      </c>
      <c r="P1068">
        <v>329</v>
      </c>
      <c r="Q1068">
        <v>302</v>
      </c>
      <c r="R1068">
        <v>196</v>
      </c>
      <c r="S1068">
        <v>295</v>
      </c>
      <c r="T1068">
        <v>248</v>
      </c>
      <c r="U1068">
        <v>276</v>
      </c>
      <c r="V1068">
        <v>198</v>
      </c>
      <c r="W1068">
        <v>173</v>
      </c>
      <c r="X1068">
        <v>231</v>
      </c>
      <c r="Y1068">
        <v>218</v>
      </c>
      <c r="Z1068">
        <v>370</v>
      </c>
      <c r="AA1068">
        <v>243</v>
      </c>
      <c r="AB1068">
        <v>206</v>
      </c>
      <c r="AC1068">
        <v>604</v>
      </c>
      <c r="AD1068">
        <v>634</v>
      </c>
      <c r="AE1068">
        <v>652</v>
      </c>
      <c r="AF1068">
        <v>362</v>
      </c>
      <c r="AG1068">
        <v>267</v>
      </c>
      <c r="AH1068">
        <v>541</v>
      </c>
      <c r="AI1068">
        <v>333</v>
      </c>
      <c r="AJ1068">
        <v>162</v>
      </c>
      <c r="AK1068">
        <v>686</v>
      </c>
      <c r="AL1068">
        <v>818</v>
      </c>
      <c r="AM1068">
        <v>3088</v>
      </c>
      <c r="AN1068">
        <v>1078</v>
      </c>
      <c r="AO1068">
        <v>624</v>
      </c>
      <c r="AP1068">
        <v>599</v>
      </c>
      <c r="AQ1068">
        <v>635</v>
      </c>
      <c r="AR1068">
        <v>1252</v>
      </c>
      <c r="AS1068">
        <v>359</v>
      </c>
      <c r="AT1068">
        <v>258</v>
      </c>
      <c r="AU1068">
        <v>500</v>
      </c>
      <c r="AV1068">
        <v>286</v>
      </c>
      <c r="AW1068">
        <v>687</v>
      </c>
      <c r="AX1068">
        <v>1463</v>
      </c>
      <c r="AY1068">
        <v>2342</v>
      </c>
      <c r="AZ1068">
        <v>849</v>
      </c>
      <c r="BA1068">
        <v>1826</v>
      </c>
      <c r="BB1068">
        <v>2658</v>
      </c>
      <c r="BC1068">
        <v>3058</v>
      </c>
      <c r="BD1068">
        <v>4470</v>
      </c>
      <c r="BE1068">
        <v>1736</v>
      </c>
      <c r="BF1068">
        <v>1064</v>
      </c>
      <c r="BG1068">
        <v>404</v>
      </c>
      <c r="BH1068">
        <v>1312</v>
      </c>
      <c r="BI1068">
        <v>3183</v>
      </c>
      <c r="BJ1068">
        <v>92</v>
      </c>
      <c r="BK1068">
        <v>114</v>
      </c>
      <c r="BL1068">
        <v>15</v>
      </c>
      <c r="BM1068">
        <v>134</v>
      </c>
      <c r="BN1068">
        <v>1168</v>
      </c>
      <c r="BO1068">
        <v>142</v>
      </c>
      <c r="BP1068">
        <v>3</v>
      </c>
      <c r="BQ1068">
        <v>614</v>
      </c>
      <c r="BR1068">
        <v>2</v>
      </c>
      <c r="BS1068">
        <v>1105</v>
      </c>
      <c r="BT1068">
        <v>0</v>
      </c>
      <c r="BU1068">
        <v>61</v>
      </c>
      <c r="BV1068">
        <v>161</v>
      </c>
      <c r="BW1068">
        <v>36</v>
      </c>
      <c r="BX1068">
        <v>164</v>
      </c>
      <c r="BY1068">
        <v>0</v>
      </c>
      <c r="BZ1068">
        <v>29</v>
      </c>
      <c r="CA1068">
        <v>0</v>
      </c>
      <c r="CB1068">
        <v>0</v>
      </c>
      <c r="CC1068">
        <v>81</v>
      </c>
      <c r="CD1068">
        <v>0</v>
      </c>
      <c r="CE1068">
        <v>0</v>
      </c>
      <c r="CF1068">
        <v>107</v>
      </c>
      <c r="CG1068">
        <v>15</v>
      </c>
      <c r="CH1068">
        <v>94</v>
      </c>
      <c r="CI1068">
        <v>0</v>
      </c>
      <c r="CJ1068">
        <v>0</v>
      </c>
      <c r="CK1068">
        <v>0</v>
      </c>
      <c r="CL1068">
        <v>0</v>
      </c>
      <c r="CM1068">
        <v>805</v>
      </c>
      <c r="CN1068">
        <v>0</v>
      </c>
      <c r="CO1068">
        <v>0</v>
      </c>
      <c r="CP1068">
        <v>0</v>
      </c>
      <c r="CQ1068">
        <v>0</v>
      </c>
      <c r="CR1068">
        <v>0</v>
      </c>
      <c r="CS1068">
        <v>0</v>
      </c>
      <c r="CT1068">
        <v>0</v>
      </c>
      <c r="CU1068">
        <v>0</v>
      </c>
      <c r="CV1068">
        <v>0</v>
      </c>
      <c r="CW1068">
        <v>0</v>
      </c>
      <c r="CX1068">
        <v>0</v>
      </c>
      <c r="CY1068">
        <v>0</v>
      </c>
      <c r="CZ1068">
        <v>0</v>
      </c>
      <c r="DA1068">
        <v>0</v>
      </c>
      <c r="DB1068">
        <v>0</v>
      </c>
      <c r="DC1068">
        <v>0</v>
      </c>
      <c r="DD1068">
        <v>0</v>
      </c>
      <c r="DE1068">
        <v>0</v>
      </c>
      <c r="DF1068">
        <v>0</v>
      </c>
      <c r="DG1068" s="16">
        <f t="shared" si="92"/>
        <v>48817</v>
      </c>
      <c r="DH1068" s="16">
        <f t="shared" si="93"/>
        <v>2031360</v>
      </c>
      <c r="DI1068" s="17">
        <f t="shared" si="94"/>
        <v>41.611733617387387</v>
      </c>
      <c r="DJ1068" s="119" t="s">
        <v>1</v>
      </c>
      <c r="DK1068" s="119" t="s">
        <v>1</v>
      </c>
      <c r="DL1068" s="119" t="s">
        <v>1328</v>
      </c>
    </row>
    <row r="1069" spans="1:116">
      <c r="A1069" s="32" t="str">
        <f t="shared" si="90"/>
        <v>Essential--&gt; 132 KV; WOOD</v>
      </c>
      <c r="B1069" s="32" t="str">
        <f t="shared" si="91"/>
        <v>Essential</v>
      </c>
      <c r="C1069" s="384"/>
      <c r="E1069" t="s">
        <v>317</v>
      </c>
      <c r="F1069">
        <v>53.8</v>
      </c>
      <c r="G1069">
        <v>7.334848328356899</v>
      </c>
      <c r="H1069">
        <v>0</v>
      </c>
      <c r="I1069">
        <v>0</v>
      </c>
      <c r="J1069">
        <v>0</v>
      </c>
      <c r="K1069">
        <v>0</v>
      </c>
      <c r="L1069">
        <v>0</v>
      </c>
      <c r="M1069">
        <v>1</v>
      </c>
      <c r="N1069">
        <v>0</v>
      </c>
      <c r="O1069">
        <v>0</v>
      </c>
      <c r="P1069">
        <v>0</v>
      </c>
      <c r="Q1069">
        <v>0</v>
      </c>
      <c r="R1069">
        <v>2</v>
      </c>
      <c r="S1069">
        <v>0</v>
      </c>
      <c r="T1069">
        <v>0</v>
      </c>
      <c r="U1069">
        <v>0</v>
      </c>
      <c r="V1069">
        <v>0</v>
      </c>
      <c r="W1069">
        <v>0</v>
      </c>
      <c r="X1069">
        <v>0</v>
      </c>
      <c r="Y1069">
        <v>2</v>
      </c>
      <c r="Z1069">
        <v>1</v>
      </c>
      <c r="AA1069">
        <v>0</v>
      </c>
      <c r="AB1069">
        <v>0</v>
      </c>
      <c r="AC1069">
        <v>1</v>
      </c>
      <c r="AD1069">
        <v>0</v>
      </c>
      <c r="AE1069">
        <v>2</v>
      </c>
      <c r="AF1069">
        <v>0</v>
      </c>
      <c r="AG1069">
        <v>1</v>
      </c>
      <c r="AH1069">
        <v>1</v>
      </c>
      <c r="AI1069">
        <v>1</v>
      </c>
      <c r="AJ1069">
        <v>0</v>
      </c>
      <c r="AK1069">
        <v>1</v>
      </c>
      <c r="AL1069">
        <v>0</v>
      </c>
      <c r="AM1069">
        <v>0</v>
      </c>
      <c r="AN1069">
        <v>0</v>
      </c>
      <c r="AO1069">
        <v>0</v>
      </c>
      <c r="AP1069">
        <v>0</v>
      </c>
      <c r="AQ1069">
        <v>0</v>
      </c>
      <c r="AR1069">
        <v>0</v>
      </c>
      <c r="AS1069">
        <v>0</v>
      </c>
      <c r="AT1069">
        <v>0</v>
      </c>
      <c r="AU1069">
        <v>1</v>
      </c>
      <c r="AV1069">
        <v>0</v>
      </c>
      <c r="AW1069">
        <v>0</v>
      </c>
      <c r="AX1069">
        <v>1</v>
      </c>
      <c r="AY1069">
        <v>0</v>
      </c>
      <c r="AZ1069">
        <v>1</v>
      </c>
      <c r="BA1069">
        <v>0</v>
      </c>
      <c r="BB1069">
        <v>0</v>
      </c>
      <c r="BC1069">
        <v>0</v>
      </c>
      <c r="BD1069">
        <v>0</v>
      </c>
      <c r="BE1069">
        <v>1</v>
      </c>
      <c r="BF1069">
        <v>1</v>
      </c>
      <c r="BG1069">
        <v>0</v>
      </c>
      <c r="BH1069">
        <v>4</v>
      </c>
      <c r="BI1069">
        <v>0</v>
      </c>
      <c r="BJ1069">
        <v>0</v>
      </c>
      <c r="BK1069">
        <v>1</v>
      </c>
      <c r="BL1069">
        <v>0</v>
      </c>
      <c r="BM1069">
        <v>0</v>
      </c>
      <c r="BN1069">
        <v>0</v>
      </c>
      <c r="BO1069">
        <v>0</v>
      </c>
      <c r="BP1069">
        <v>0</v>
      </c>
      <c r="BQ1069">
        <v>0</v>
      </c>
      <c r="BR1069">
        <v>0</v>
      </c>
      <c r="BS1069">
        <v>0</v>
      </c>
      <c r="BT1069">
        <v>0</v>
      </c>
      <c r="BU1069">
        <v>0</v>
      </c>
      <c r="BV1069">
        <v>0</v>
      </c>
      <c r="BW1069">
        <v>0</v>
      </c>
      <c r="BX1069">
        <v>0</v>
      </c>
      <c r="BY1069">
        <v>0</v>
      </c>
      <c r="BZ1069">
        <v>0</v>
      </c>
      <c r="CA1069">
        <v>0</v>
      </c>
      <c r="CB1069">
        <v>0</v>
      </c>
      <c r="CC1069">
        <v>0</v>
      </c>
      <c r="CD1069">
        <v>0</v>
      </c>
      <c r="CE1069">
        <v>0</v>
      </c>
      <c r="CF1069">
        <v>0</v>
      </c>
      <c r="CG1069">
        <v>0</v>
      </c>
      <c r="CH1069">
        <v>0</v>
      </c>
      <c r="CI1069">
        <v>0</v>
      </c>
      <c r="CJ1069">
        <v>0</v>
      </c>
      <c r="CK1069">
        <v>0</v>
      </c>
      <c r="CL1069">
        <v>0</v>
      </c>
      <c r="CM1069">
        <v>0</v>
      </c>
      <c r="CN1069">
        <v>0</v>
      </c>
      <c r="CO1069">
        <v>0</v>
      </c>
      <c r="CP1069">
        <v>0</v>
      </c>
      <c r="CQ1069">
        <v>0</v>
      </c>
      <c r="CR1069">
        <v>0</v>
      </c>
      <c r="CS1069">
        <v>0</v>
      </c>
      <c r="CT1069">
        <v>0</v>
      </c>
      <c r="CU1069">
        <v>0</v>
      </c>
      <c r="CV1069">
        <v>0</v>
      </c>
      <c r="CW1069">
        <v>0</v>
      </c>
      <c r="CX1069">
        <v>0</v>
      </c>
      <c r="CY1069">
        <v>0</v>
      </c>
      <c r="CZ1069">
        <v>0</v>
      </c>
      <c r="DA1069">
        <v>0</v>
      </c>
      <c r="DB1069">
        <v>0</v>
      </c>
      <c r="DC1069">
        <v>0</v>
      </c>
      <c r="DD1069">
        <v>0</v>
      </c>
      <c r="DE1069">
        <v>0</v>
      </c>
      <c r="DF1069">
        <v>0</v>
      </c>
      <c r="DG1069" s="16">
        <f t="shared" si="92"/>
        <v>23</v>
      </c>
      <c r="DH1069" s="16">
        <f t="shared" si="93"/>
        <v>761</v>
      </c>
      <c r="DI1069" s="17">
        <f t="shared" si="94"/>
        <v>33.086956521739133</v>
      </c>
      <c r="DJ1069" s="119" t="s">
        <v>1</v>
      </c>
      <c r="DK1069" s="119" t="s">
        <v>1</v>
      </c>
      <c r="DL1069" s="119" t="s">
        <v>1328</v>
      </c>
    </row>
    <row r="1070" spans="1:116">
      <c r="A1070" s="32" t="str">
        <f t="shared" si="90"/>
        <v>Essential--˂ = 1 KV; CONCRETE</v>
      </c>
      <c r="B1070" s="32" t="str">
        <f t="shared" si="91"/>
        <v>Essential</v>
      </c>
      <c r="C1070" s="384"/>
      <c r="E1070" t="s">
        <v>318</v>
      </c>
      <c r="F1070">
        <v>53.8</v>
      </c>
      <c r="G1070">
        <v>7.334848328356899</v>
      </c>
      <c r="H1070">
        <v>176</v>
      </c>
      <c r="I1070">
        <v>238</v>
      </c>
      <c r="J1070">
        <v>326</v>
      </c>
      <c r="K1070">
        <v>267</v>
      </c>
      <c r="L1070">
        <v>272</v>
      </c>
      <c r="M1070">
        <v>309</v>
      </c>
      <c r="N1070">
        <v>290</v>
      </c>
      <c r="O1070">
        <v>192</v>
      </c>
      <c r="P1070">
        <v>285</v>
      </c>
      <c r="Q1070">
        <v>248</v>
      </c>
      <c r="R1070">
        <v>272</v>
      </c>
      <c r="S1070">
        <v>360</v>
      </c>
      <c r="T1070">
        <v>353</v>
      </c>
      <c r="U1070">
        <v>547</v>
      </c>
      <c r="V1070">
        <v>175</v>
      </c>
      <c r="W1070">
        <v>288</v>
      </c>
      <c r="X1070">
        <v>285</v>
      </c>
      <c r="Y1070">
        <v>423</v>
      </c>
      <c r="Z1070">
        <v>798</v>
      </c>
      <c r="AA1070">
        <v>592</v>
      </c>
      <c r="AB1070">
        <v>601</v>
      </c>
      <c r="AC1070">
        <v>484</v>
      </c>
      <c r="AD1070">
        <v>635</v>
      </c>
      <c r="AE1070">
        <v>488</v>
      </c>
      <c r="AF1070">
        <v>571</v>
      </c>
      <c r="AG1070">
        <v>386</v>
      </c>
      <c r="AH1070">
        <v>319</v>
      </c>
      <c r="AI1070">
        <v>368</v>
      </c>
      <c r="AJ1070">
        <v>173</v>
      </c>
      <c r="AK1070">
        <v>94</v>
      </c>
      <c r="AL1070">
        <v>72</v>
      </c>
      <c r="AM1070">
        <v>20</v>
      </c>
      <c r="AN1070">
        <v>42</v>
      </c>
      <c r="AO1070">
        <v>83</v>
      </c>
      <c r="AP1070">
        <v>20</v>
      </c>
      <c r="AQ1070">
        <v>15</v>
      </c>
      <c r="AR1070">
        <v>13</v>
      </c>
      <c r="AS1070">
        <v>5</v>
      </c>
      <c r="AT1070">
        <v>9</v>
      </c>
      <c r="AU1070">
        <v>1</v>
      </c>
      <c r="AV1070">
        <v>15</v>
      </c>
      <c r="AW1070">
        <v>0</v>
      </c>
      <c r="AX1070">
        <v>19</v>
      </c>
      <c r="AY1070">
        <v>12</v>
      </c>
      <c r="AZ1070">
        <v>5</v>
      </c>
      <c r="BA1070">
        <v>9</v>
      </c>
      <c r="BB1070">
        <v>3</v>
      </c>
      <c r="BC1070">
        <v>32</v>
      </c>
      <c r="BD1070">
        <v>35</v>
      </c>
      <c r="BE1070">
        <v>2</v>
      </c>
      <c r="BF1070">
        <v>2</v>
      </c>
      <c r="BG1070">
        <v>1</v>
      </c>
      <c r="BH1070">
        <v>10</v>
      </c>
      <c r="BI1070">
        <v>83</v>
      </c>
      <c r="BJ1070">
        <v>0</v>
      </c>
      <c r="BK1070">
        <v>5</v>
      </c>
      <c r="BL1070">
        <v>1</v>
      </c>
      <c r="BM1070">
        <v>4</v>
      </c>
      <c r="BN1070">
        <v>4</v>
      </c>
      <c r="BO1070">
        <v>0</v>
      </c>
      <c r="BP1070">
        <v>0</v>
      </c>
      <c r="BQ1070">
        <v>5</v>
      </c>
      <c r="BR1070">
        <v>0</v>
      </c>
      <c r="BS1070">
        <v>33</v>
      </c>
      <c r="BT1070">
        <v>0</v>
      </c>
      <c r="BU1070">
        <v>4</v>
      </c>
      <c r="BV1070">
        <v>0</v>
      </c>
      <c r="BW1070">
        <v>0</v>
      </c>
      <c r="BX1070">
        <v>0</v>
      </c>
      <c r="BY1070">
        <v>0</v>
      </c>
      <c r="BZ1070">
        <v>0</v>
      </c>
      <c r="CA1070">
        <v>0</v>
      </c>
      <c r="CB1070">
        <v>0</v>
      </c>
      <c r="CC1070">
        <v>4</v>
      </c>
      <c r="CD1070">
        <v>0</v>
      </c>
      <c r="CE1070">
        <v>0</v>
      </c>
      <c r="CF1070">
        <v>0</v>
      </c>
      <c r="CG1070">
        <v>0</v>
      </c>
      <c r="CH1070">
        <v>0</v>
      </c>
      <c r="CI1070">
        <v>0</v>
      </c>
      <c r="CJ1070">
        <v>0</v>
      </c>
      <c r="CK1070">
        <v>0</v>
      </c>
      <c r="CL1070">
        <v>0</v>
      </c>
      <c r="CM1070">
        <v>2</v>
      </c>
      <c r="CN1070">
        <v>0</v>
      </c>
      <c r="CO1070">
        <v>0</v>
      </c>
      <c r="CP1070">
        <v>0</v>
      </c>
      <c r="CQ1070">
        <v>0</v>
      </c>
      <c r="CR1070">
        <v>0</v>
      </c>
      <c r="CS1070">
        <v>0</v>
      </c>
      <c r="CT1070">
        <v>0</v>
      </c>
      <c r="CU1070">
        <v>0</v>
      </c>
      <c r="CV1070">
        <v>0</v>
      </c>
      <c r="CW1070">
        <v>0</v>
      </c>
      <c r="CX1070">
        <v>0</v>
      </c>
      <c r="CY1070">
        <v>0</v>
      </c>
      <c r="CZ1070">
        <v>0</v>
      </c>
      <c r="DA1070">
        <v>0</v>
      </c>
      <c r="DB1070">
        <v>0</v>
      </c>
      <c r="DC1070">
        <v>0</v>
      </c>
      <c r="DD1070">
        <v>0</v>
      </c>
      <c r="DE1070">
        <v>0</v>
      </c>
      <c r="DF1070">
        <v>0</v>
      </c>
      <c r="DG1070" s="16">
        <f t="shared" si="92"/>
        <v>11385</v>
      </c>
      <c r="DH1070" s="16">
        <f t="shared" si="93"/>
        <v>206021</v>
      </c>
      <c r="DI1070" s="17">
        <f t="shared" si="94"/>
        <v>18.095827843653932</v>
      </c>
      <c r="DJ1070" s="119" t="s">
        <v>1</v>
      </c>
      <c r="DK1070" s="119" t="s">
        <v>1</v>
      </c>
      <c r="DL1070" s="119" t="s">
        <v>1329</v>
      </c>
    </row>
    <row r="1071" spans="1:116">
      <c r="A1071" s="32" t="str">
        <f t="shared" si="90"/>
        <v>Essential--&gt; 1 KV &amp; &lt; = 11 KV; CONCRETE</v>
      </c>
      <c r="B1071" s="32" t="str">
        <f t="shared" si="91"/>
        <v>Essential</v>
      </c>
      <c r="C1071" s="384"/>
      <c r="E1071" t="s">
        <v>319</v>
      </c>
      <c r="F1071">
        <v>53.8</v>
      </c>
      <c r="G1071">
        <v>7.334848328356899</v>
      </c>
      <c r="H1071">
        <v>218</v>
      </c>
      <c r="I1071">
        <v>463</v>
      </c>
      <c r="J1071">
        <v>397</v>
      </c>
      <c r="K1071">
        <v>320</v>
      </c>
      <c r="L1071">
        <v>378</v>
      </c>
      <c r="M1071">
        <v>518</v>
      </c>
      <c r="N1071">
        <v>558</v>
      </c>
      <c r="O1071">
        <v>552</v>
      </c>
      <c r="P1071">
        <v>691</v>
      </c>
      <c r="Q1071">
        <v>552</v>
      </c>
      <c r="R1071">
        <v>603</v>
      </c>
      <c r="S1071">
        <v>739</v>
      </c>
      <c r="T1071">
        <v>732</v>
      </c>
      <c r="U1071">
        <v>823</v>
      </c>
      <c r="V1071">
        <v>424</v>
      </c>
      <c r="W1071">
        <v>456</v>
      </c>
      <c r="X1071">
        <v>521</v>
      </c>
      <c r="Y1071">
        <v>701</v>
      </c>
      <c r="Z1071">
        <v>1088</v>
      </c>
      <c r="AA1071">
        <v>1243</v>
      </c>
      <c r="AB1071">
        <v>1152</v>
      </c>
      <c r="AC1071">
        <v>845</v>
      </c>
      <c r="AD1071">
        <v>1673</v>
      </c>
      <c r="AE1071">
        <v>1072</v>
      </c>
      <c r="AF1071">
        <v>986</v>
      </c>
      <c r="AG1071">
        <v>1377</v>
      </c>
      <c r="AH1071">
        <v>1465</v>
      </c>
      <c r="AI1071">
        <v>754</v>
      </c>
      <c r="AJ1071">
        <v>412</v>
      </c>
      <c r="AK1071">
        <v>186</v>
      </c>
      <c r="AL1071">
        <v>211</v>
      </c>
      <c r="AM1071">
        <v>81</v>
      </c>
      <c r="AN1071">
        <v>22</v>
      </c>
      <c r="AO1071">
        <v>76</v>
      </c>
      <c r="AP1071">
        <v>8</v>
      </c>
      <c r="AQ1071">
        <v>5</v>
      </c>
      <c r="AR1071">
        <v>5</v>
      </c>
      <c r="AS1071">
        <v>3</v>
      </c>
      <c r="AT1071">
        <v>3</v>
      </c>
      <c r="AU1071">
        <v>3</v>
      </c>
      <c r="AV1071">
        <v>2</v>
      </c>
      <c r="AW1071">
        <v>1</v>
      </c>
      <c r="AX1071">
        <v>2</v>
      </c>
      <c r="AY1071">
        <v>3</v>
      </c>
      <c r="AZ1071">
        <v>3</v>
      </c>
      <c r="BA1071">
        <v>3</v>
      </c>
      <c r="BB1071">
        <v>8</v>
      </c>
      <c r="BC1071">
        <v>26</v>
      </c>
      <c r="BD1071">
        <v>5</v>
      </c>
      <c r="BE1071">
        <v>1</v>
      </c>
      <c r="BF1071">
        <v>0</v>
      </c>
      <c r="BG1071">
        <v>5</v>
      </c>
      <c r="BH1071">
        <v>79</v>
      </c>
      <c r="BI1071">
        <v>14</v>
      </c>
      <c r="BJ1071">
        <v>2</v>
      </c>
      <c r="BK1071">
        <v>0</v>
      </c>
      <c r="BL1071">
        <v>3</v>
      </c>
      <c r="BM1071">
        <v>0</v>
      </c>
      <c r="BN1071">
        <v>0</v>
      </c>
      <c r="BO1071">
        <v>0</v>
      </c>
      <c r="BP1071">
        <v>1</v>
      </c>
      <c r="BQ1071">
        <v>23</v>
      </c>
      <c r="BR1071">
        <v>1</v>
      </c>
      <c r="BS1071">
        <v>39</v>
      </c>
      <c r="BT1071">
        <v>0</v>
      </c>
      <c r="BU1071">
        <v>0</v>
      </c>
      <c r="BV1071">
        <v>0</v>
      </c>
      <c r="BW1071">
        <v>0</v>
      </c>
      <c r="BX1071">
        <v>0</v>
      </c>
      <c r="BY1071">
        <v>0</v>
      </c>
      <c r="BZ1071">
        <v>0</v>
      </c>
      <c r="CA1071">
        <v>0</v>
      </c>
      <c r="CB1071">
        <v>0</v>
      </c>
      <c r="CC1071">
        <v>8</v>
      </c>
      <c r="CD1071">
        <v>0</v>
      </c>
      <c r="CE1071">
        <v>0</v>
      </c>
      <c r="CF1071">
        <v>0</v>
      </c>
      <c r="CG1071">
        <v>0</v>
      </c>
      <c r="CH1071">
        <v>0</v>
      </c>
      <c r="CI1071">
        <v>0</v>
      </c>
      <c r="CJ1071">
        <v>0</v>
      </c>
      <c r="CK1071">
        <v>0</v>
      </c>
      <c r="CL1071">
        <v>0</v>
      </c>
      <c r="CM1071">
        <v>4</v>
      </c>
      <c r="CN1071">
        <v>0</v>
      </c>
      <c r="CO1071">
        <v>0</v>
      </c>
      <c r="CP1071">
        <v>0</v>
      </c>
      <c r="CQ1071">
        <v>0</v>
      </c>
      <c r="CR1071">
        <v>0</v>
      </c>
      <c r="CS1071">
        <v>0</v>
      </c>
      <c r="CT1071">
        <v>0</v>
      </c>
      <c r="CU1071">
        <v>0</v>
      </c>
      <c r="CV1071">
        <v>0</v>
      </c>
      <c r="CW1071">
        <v>0</v>
      </c>
      <c r="CX1071">
        <v>0</v>
      </c>
      <c r="CY1071">
        <v>0</v>
      </c>
      <c r="CZ1071">
        <v>0</v>
      </c>
      <c r="DA1071">
        <v>0</v>
      </c>
      <c r="DB1071">
        <v>0</v>
      </c>
      <c r="DC1071">
        <v>0</v>
      </c>
      <c r="DD1071">
        <v>0</v>
      </c>
      <c r="DE1071">
        <v>0</v>
      </c>
      <c r="DF1071">
        <v>0</v>
      </c>
      <c r="DG1071" s="16">
        <f t="shared" si="92"/>
        <v>22549</v>
      </c>
      <c r="DH1071" s="16">
        <f t="shared" si="93"/>
        <v>417943</v>
      </c>
      <c r="DI1071" s="17">
        <f t="shared" si="94"/>
        <v>18.534879595547473</v>
      </c>
      <c r="DJ1071" s="119" t="s">
        <v>1</v>
      </c>
      <c r="DK1071" s="119" t="s">
        <v>1</v>
      </c>
      <c r="DL1071" s="119" t="s">
        <v>1329</v>
      </c>
    </row>
    <row r="1072" spans="1:116">
      <c r="A1072" s="32" t="str">
        <f t="shared" si="90"/>
        <v>Essential--˃ 11 KV &amp; &lt; = 22 KV; CONCRETE</v>
      </c>
      <c r="B1072" s="32" t="str">
        <f t="shared" si="91"/>
        <v>Essential</v>
      </c>
      <c r="C1072" s="384"/>
      <c r="E1072" t="s">
        <v>321</v>
      </c>
      <c r="F1072">
        <v>54.9</v>
      </c>
      <c r="G1072">
        <v>7.4094534211370817</v>
      </c>
      <c r="H1072">
        <v>217</v>
      </c>
      <c r="I1072">
        <v>483</v>
      </c>
      <c r="J1072">
        <v>694</v>
      </c>
      <c r="K1072">
        <v>512</v>
      </c>
      <c r="L1072">
        <v>603</v>
      </c>
      <c r="M1072">
        <v>648</v>
      </c>
      <c r="N1072">
        <v>890</v>
      </c>
      <c r="O1072">
        <v>1247</v>
      </c>
      <c r="P1072">
        <v>955</v>
      </c>
      <c r="Q1072">
        <v>875</v>
      </c>
      <c r="R1072">
        <v>742</v>
      </c>
      <c r="S1072">
        <v>1080</v>
      </c>
      <c r="T1072">
        <v>1212</v>
      </c>
      <c r="U1072">
        <v>1005</v>
      </c>
      <c r="V1072">
        <v>475</v>
      </c>
      <c r="W1072">
        <v>658</v>
      </c>
      <c r="X1072">
        <v>786</v>
      </c>
      <c r="Y1072">
        <v>905</v>
      </c>
      <c r="Z1072">
        <v>3580</v>
      </c>
      <c r="AA1072">
        <v>5019</v>
      </c>
      <c r="AB1072">
        <v>1996</v>
      </c>
      <c r="AC1072">
        <v>2352</v>
      </c>
      <c r="AD1072">
        <v>403</v>
      </c>
      <c r="AE1072">
        <v>743</v>
      </c>
      <c r="AF1072">
        <v>3277</v>
      </c>
      <c r="AG1072">
        <v>3904</v>
      </c>
      <c r="AH1072">
        <v>2714</v>
      </c>
      <c r="AI1072">
        <v>2379</v>
      </c>
      <c r="AJ1072">
        <v>1920</v>
      </c>
      <c r="AK1072">
        <v>1639</v>
      </c>
      <c r="AL1072">
        <v>440</v>
      </c>
      <c r="AM1072">
        <v>543</v>
      </c>
      <c r="AN1072">
        <v>86</v>
      </c>
      <c r="AO1072">
        <v>249</v>
      </c>
      <c r="AP1072">
        <v>15</v>
      </c>
      <c r="AQ1072">
        <v>12</v>
      </c>
      <c r="AR1072">
        <v>22</v>
      </c>
      <c r="AS1072">
        <v>6</v>
      </c>
      <c r="AT1072">
        <v>9</v>
      </c>
      <c r="AU1072">
        <v>10</v>
      </c>
      <c r="AV1072">
        <v>9</v>
      </c>
      <c r="AW1072">
        <v>9</v>
      </c>
      <c r="AX1072">
        <v>15</v>
      </c>
      <c r="AY1072">
        <v>19</v>
      </c>
      <c r="AZ1072">
        <v>14</v>
      </c>
      <c r="BA1072">
        <v>40</v>
      </c>
      <c r="BB1072">
        <v>7</v>
      </c>
      <c r="BC1072">
        <v>25</v>
      </c>
      <c r="BD1072">
        <v>158</v>
      </c>
      <c r="BE1072">
        <v>7</v>
      </c>
      <c r="BF1072">
        <v>2</v>
      </c>
      <c r="BG1072">
        <v>1</v>
      </c>
      <c r="BH1072">
        <v>3</v>
      </c>
      <c r="BI1072">
        <v>45</v>
      </c>
      <c r="BJ1072">
        <v>19</v>
      </c>
      <c r="BK1072">
        <v>25</v>
      </c>
      <c r="BL1072">
        <v>0</v>
      </c>
      <c r="BM1072">
        <v>0</v>
      </c>
      <c r="BN1072">
        <v>4</v>
      </c>
      <c r="BO1072">
        <v>0</v>
      </c>
      <c r="BP1072">
        <v>0</v>
      </c>
      <c r="BQ1072">
        <v>1</v>
      </c>
      <c r="BR1072">
        <v>0</v>
      </c>
      <c r="BS1072">
        <v>12</v>
      </c>
      <c r="BT1072">
        <v>1</v>
      </c>
      <c r="BU1072">
        <v>0</v>
      </c>
      <c r="BV1072">
        <v>0</v>
      </c>
      <c r="BW1072">
        <v>0</v>
      </c>
      <c r="BX1072">
        <v>0</v>
      </c>
      <c r="BY1072">
        <v>0</v>
      </c>
      <c r="BZ1072">
        <v>0</v>
      </c>
      <c r="CA1072">
        <v>0</v>
      </c>
      <c r="CB1072">
        <v>0</v>
      </c>
      <c r="CC1072">
        <v>35</v>
      </c>
      <c r="CD1072">
        <v>0</v>
      </c>
      <c r="CE1072">
        <v>0</v>
      </c>
      <c r="CF1072">
        <v>0</v>
      </c>
      <c r="CG1072">
        <v>0</v>
      </c>
      <c r="CH1072">
        <v>0</v>
      </c>
      <c r="CI1072">
        <v>0</v>
      </c>
      <c r="CJ1072">
        <v>0</v>
      </c>
      <c r="CK1072">
        <v>0</v>
      </c>
      <c r="CL1072">
        <v>0</v>
      </c>
      <c r="CM1072">
        <v>1</v>
      </c>
      <c r="CN1072">
        <v>0</v>
      </c>
      <c r="CO1072">
        <v>0</v>
      </c>
      <c r="CP1072">
        <v>0</v>
      </c>
      <c r="CQ1072">
        <v>0</v>
      </c>
      <c r="CR1072">
        <v>0</v>
      </c>
      <c r="CS1072">
        <v>0</v>
      </c>
      <c r="CT1072">
        <v>0</v>
      </c>
      <c r="CU1072">
        <v>0</v>
      </c>
      <c r="CV1072">
        <v>0</v>
      </c>
      <c r="CW1072">
        <v>0</v>
      </c>
      <c r="CX1072">
        <v>0</v>
      </c>
      <c r="CY1072">
        <v>0</v>
      </c>
      <c r="CZ1072">
        <v>0</v>
      </c>
      <c r="DA1072">
        <v>0</v>
      </c>
      <c r="DB1072">
        <v>0</v>
      </c>
      <c r="DC1072">
        <v>0</v>
      </c>
      <c r="DD1072">
        <v>0</v>
      </c>
      <c r="DE1072">
        <v>0</v>
      </c>
      <c r="DF1072">
        <v>0</v>
      </c>
      <c r="DG1072" s="16">
        <f t="shared" si="92"/>
        <v>45757</v>
      </c>
      <c r="DH1072" s="16">
        <f t="shared" si="93"/>
        <v>929732</v>
      </c>
      <c r="DI1072" s="17">
        <f t="shared" si="94"/>
        <v>20.318902025919531</v>
      </c>
      <c r="DJ1072" s="119" t="s">
        <v>1</v>
      </c>
      <c r="DK1072" s="119" t="s">
        <v>1</v>
      </c>
      <c r="DL1072" s="119" t="s">
        <v>1329</v>
      </c>
    </row>
    <row r="1073" spans="1:116">
      <c r="A1073" s="32" t="str">
        <f t="shared" si="90"/>
        <v>Essential--&gt; 22 KV &amp; &lt; = 66 KV; CONCRETE</v>
      </c>
      <c r="B1073" s="32" t="str">
        <f t="shared" si="91"/>
        <v>Essential</v>
      </c>
      <c r="C1073" s="384"/>
      <c r="E1073" t="s">
        <v>323</v>
      </c>
      <c r="F1073">
        <v>54.9</v>
      </c>
      <c r="G1073">
        <v>7.4094534211370817</v>
      </c>
      <c r="H1073">
        <v>123</v>
      </c>
      <c r="I1073">
        <v>124</v>
      </c>
      <c r="J1073">
        <v>190</v>
      </c>
      <c r="K1073">
        <v>325</v>
      </c>
      <c r="L1073">
        <v>283</v>
      </c>
      <c r="M1073">
        <v>271</v>
      </c>
      <c r="N1073">
        <v>187</v>
      </c>
      <c r="O1073">
        <v>238</v>
      </c>
      <c r="P1073">
        <v>222</v>
      </c>
      <c r="Q1073">
        <v>131</v>
      </c>
      <c r="R1073">
        <v>132</v>
      </c>
      <c r="S1073">
        <v>213</v>
      </c>
      <c r="T1073">
        <v>381</v>
      </c>
      <c r="U1073">
        <v>548</v>
      </c>
      <c r="V1073">
        <v>138</v>
      </c>
      <c r="W1073">
        <v>182</v>
      </c>
      <c r="X1073">
        <v>117</v>
      </c>
      <c r="Y1073">
        <v>73</v>
      </c>
      <c r="Z1073">
        <v>637</v>
      </c>
      <c r="AA1073">
        <v>1291</v>
      </c>
      <c r="AB1073">
        <v>793</v>
      </c>
      <c r="AC1073">
        <v>579</v>
      </c>
      <c r="AD1073">
        <v>367</v>
      </c>
      <c r="AE1073">
        <v>293</v>
      </c>
      <c r="AF1073">
        <v>239</v>
      </c>
      <c r="AG1073">
        <v>140</v>
      </c>
      <c r="AH1073">
        <v>614</v>
      </c>
      <c r="AI1073">
        <v>148</v>
      </c>
      <c r="AJ1073">
        <v>204</v>
      </c>
      <c r="AK1073">
        <v>151</v>
      </c>
      <c r="AL1073">
        <v>3</v>
      </c>
      <c r="AM1073">
        <v>672</v>
      </c>
      <c r="AN1073">
        <v>9</v>
      </c>
      <c r="AO1073">
        <v>2</v>
      </c>
      <c r="AP1073">
        <v>0</v>
      </c>
      <c r="AQ1073">
        <v>2</v>
      </c>
      <c r="AR1073">
        <v>0</v>
      </c>
      <c r="AS1073">
        <v>9</v>
      </c>
      <c r="AT1073">
        <v>1</v>
      </c>
      <c r="AU1073">
        <v>1</v>
      </c>
      <c r="AV1073">
        <v>0</v>
      </c>
      <c r="AW1073">
        <v>0</v>
      </c>
      <c r="AX1073">
        <v>2</v>
      </c>
      <c r="AY1073">
        <v>3</v>
      </c>
      <c r="AZ1073">
        <v>0</v>
      </c>
      <c r="BA1073">
        <v>5</v>
      </c>
      <c r="BB1073">
        <v>10</v>
      </c>
      <c r="BC1073">
        <v>8</v>
      </c>
      <c r="BD1073">
        <v>2</v>
      </c>
      <c r="BE1073">
        <v>0</v>
      </c>
      <c r="BF1073">
        <v>1</v>
      </c>
      <c r="BG1073">
        <v>0</v>
      </c>
      <c r="BH1073">
        <v>1</v>
      </c>
      <c r="BI1073">
        <v>0</v>
      </c>
      <c r="BJ1073">
        <v>1</v>
      </c>
      <c r="BK1073">
        <v>0</v>
      </c>
      <c r="BL1073">
        <v>0</v>
      </c>
      <c r="BM1073">
        <v>2</v>
      </c>
      <c r="BN1073">
        <v>0</v>
      </c>
      <c r="BO1073">
        <v>0</v>
      </c>
      <c r="BP1073">
        <v>0</v>
      </c>
      <c r="BQ1073">
        <v>0</v>
      </c>
      <c r="BR1073">
        <v>0</v>
      </c>
      <c r="BS1073">
        <v>0</v>
      </c>
      <c r="BT1073">
        <v>0</v>
      </c>
      <c r="BU1073">
        <v>0</v>
      </c>
      <c r="BV1073">
        <v>0</v>
      </c>
      <c r="BW1073">
        <v>0</v>
      </c>
      <c r="BX1073">
        <v>0</v>
      </c>
      <c r="BY1073">
        <v>0</v>
      </c>
      <c r="BZ1073">
        <v>0</v>
      </c>
      <c r="CA1073">
        <v>0</v>
      </c>
      <c r="CB1073">
        <v>0</v>
      </c>
      <c r="CC1073">
        <v>0</v>
      </c>
      <c r="CD1073">
        <v>0</v>
      </c>
      <c r="CE1073">
        <v>0</v>
      </c>
      <c r="CF1073">
        <v>0</v>
      </c>
      <c r="CG1073">
        <v>0</v>
      </c>
      <c r="CH1073">
        <v>0</v>
      </c>
      <c r="CI1073">
        <v>0</v>
      </c>
      <c r="CJ1073">
        <v>0</v>
      </c>
      <c r="CK1073">
        <v>0</v>
      </c>
      <c r="CL1073">
        <v>0</v>
      </c>
      <c r="CM1073">
        <v>0</v>
      </c>
      <c r="CN1073">
        <v>0</v>
      </c>
      <c r="CO1073">
        <v>0</v>
      </c>
      <c r="CP1073">
        <v>0</v>
      </c>
      <c r="CQ1073">
        <v>0</v>
      </c>
      <c r="CR1073">
        <v>0</v>
      </c>
      <c r="CS1073">
        <v>0</v>
      </c>
      <c r="CT1073">
        <v>0</v>
      </c>
      <c r="CU1073">
        <v>0</v>
      </c>
      <c r="CV1073">
        <v>0</v>
      </c>
      <c r="CW1073">
        <v>0</v>
      </c>
      <c r="CX1073">
        <v>0</v>
      </c>
      <c r="CY1073">
        <v>0</v>
      </c>
      <c r="CZ1073">
        <v>0</v>
      </c>
      <c r="DA1073">
        <v>0</v>
      </c>
      <c r="DB1073">
        <v>0</v>
      </c>
      <c r="DC1073">
        <v>0</v>
      </c>
      <c r="DD1073">
        <v>0</v>
      </c>
      <c r="DE1073">
        <v>0</v>
      </c>
      <c r="DF1073">
        <v>0</v>
      </c>
      <c r="DG1073" s="16">
        <f t="shared" si="92"/>
        <v>10068</v>
      </c>
      <c r="DH1073" s="16">
        <f t="shared" si="93"/>
        <v>184421</v>
      </c>
      <c r="DI1073" s="17">
        <f t="shared" si="94"/>
        <v>18.317540723083034</v>
      </c>
      <c r="DJ1073" s="119" t="s">
        <v>1</v>
      </c>
      <c r="DK1073" s="119" t="s">
        <v>1</v>
      </c>
      <c r="DL1073" s="119" t="s">
        <v>1329</v>
      </c>
    </row>
    <row r="1074" spans="1:116">
      <c r="A1074" s="32" t="str">
        <f t="shared" si="90"/>
        <v>Essential--&gt; 66 KV &amp; &lt; = 132 KV; CONCRETE</v>
      </c>
      <c r="B1074" s="32" t="str">
        <f t="shared" si="91"/>
        <v>Essential</v>
      </c>
      <c r="C1074" s="384"/>
      <c r="E1074" t="s">
        <v>325</v>
      </c>
      <c r="F1074">
        <v>54.9</v>
      </c>
      <c r="G1074">
        <v>7.4094534211370817</v>
      </c>
      <c r="H1074">
        <v>411</v>
      </c>
      <c r="I1074">
        <v>176</v>
      </c>
      <c r="J1074">
        <v>608</v>
      </c>
      <c r="K1074">
        <v>55</v>
      </c>
      <c r="L1074">
        <v>148</v>
      </c>
      <c r="M1074">
        <v>103</v>
      </c>
      <c r="N1074">
        <v>99</v>
      </c>
      <c r="O1074">
        <v>212</v>
      </c>
      <c r="P1074">
        <v>615</v>
      </c>
      <c r="Q1074">
        <v>786</v>
      </c>
      <c r="R1074">
        <v>47</v>
      </c>
      <c r="S1074">
        <v>91</v>
      </c>
      <c r="T1074">
        <v>71</v>
      </c>
      <c r="U1074">
        <v>80</v>
      </c>
      <c r="V1074">
        <v>5</v>
      </c>
      <c r="W1074">
        <v>44</v>
      </c>
      <c r="X1074">
        <v>379</v>
      </c>
      <c r="Y1074">
        <v>102</v>
      </c>
      <c r="Z1074">
        <v>77</v>
      </c>
      <c r="AA1074">
        <v>95</v>
      </c>
      <c r="AB1074">
        <v>442</v>
      </c>
      <c r="AC1074">
        <v>217</v>
      </c>
      <c r="AD1074">
        <v>1418</v>
      </c>
      <c r="AE1074">
        <v>177</v>
      </c>
      <c r="AF1074">
        <v>265</v>
      </c>
      <c r="AG1074">
        <v>1459</v>
      </c>
      <c r="AH1074">
        <v>633</v>
      </c>
      <c r="AI1074">
        <v>166</v>
      </c>
      <c r="AJ1074">
        <v>1222</v>
      </c>
      <c r="AK1074">
        <v>360</v>
      </c>
      <c r="AL1074">
        <v>86</v>
      </c>
      <c r="AM1074">
        <v>518</v>
      </c>
      <c r="AN1074">
        <v>123</v>
      </c>
      <c r="AO1074">
        <v>7</v>
      </c>
      <c r="AP1074">
        <v>1</v>
      </c>
      <c r="AQ1074">
        <v>3</v>
      </c>
      <c r="AR1074">
        <v>1</v>
      </c>
      <c r="AS1074">
        <v>0</v>
      </c>
      <c r="AT1074">
        <v>0</v>
      </c>
      <c r="AU1074">
        <v>1</v>
      </c>
      <c r="AV1074">
        <v>5</v>
      </c>
      <c r="AW1074">
        <v>0</v>
      </c>
      <c r="AX1074">
        <v>0</v>
      </c>
      <c r="AY1074">
        <v>2</v>
      </c>
      <c r="AZ1074">
        <v>1</v>
      </c>
      <c r="BA1074">
        <v>1</v>
      </c>
      <c r="BB1074">
        <v>2</v>
      </c>
      <c r="BC1074">
        <v>9</v>
      </c>
      <c r="BD1074">
        <v>8</v>
      </c>
      <c r="BE1074">
        <v>3</v>
      </c>
      <c r="BF1074">
        <v>1</v>
      </c>
      <c r="BG1074">
        <v>0</v>
      </c>
      <c r="BH1074">
        <v>1</v>
      </c>
      <c r="BI1074">
        <v>0</v>
      </c>
      <c r="BJ1074">
        <v>0</v>
      </c>
      <c r="BK1074">
        <v>0</v>
      </c>
      <c r="BL1074">
        <v>0</v>
      </c>
      <c r="BM1074">
        <v>0</v>
      </c>
      <c r="BN1074">
        <v>0</v>
      </c>
      <c r="BO1074">
        <v>0</v>
      </c>
      <c r="BP1074">
        <v>0</v>
      </c>
      <c r="BQ1074">
        <v>0</v>
      </c>
      <c r="BR1074">
        <v>0</v>
      </c>
      <c r="BS1074">
        <v>1</v>
      </c>
      <c r="BT1074">
        <v>0</v>
      </c>
      <c r="BU1074">
        <v>0</v>
      </c>
      <c r="BV1074">
        <v>0</v>
      </c>
      <c r="BW1074">
        <v>0</v>
      </c>
      <c r="BX1074">
        <v>0</v>
      </c>
      <c r="BY1074">
        <v>0</v>
      </c>
      <c r="BZ1074">
        <v>0</v>
      </c>
      <c r="CA1074">
        <v>0</v>
      </c>
      <c r="CB1074">
        <v>0</v>
      </c>
      <c r="CC1074">
        <v>5</v>
      </c>
      <c r="CD1074">
        <v>0</v>
      </c>
      <c r="CE1074">
        <v>0</v>
      </c>
      <c r="CF1074">
        <v>0</v>
      </c>
      <c r="CG1074">
        <v>0</v>
      </c>
      <c r="CH1074">
        <v>0</v>
      </c>
      <c r="CI1074">
        <v>0</v>
      </c>
      <c r="CJ1074">
        <v>0</v>
      </c>
      <c r="CK1074">
        <v>0</v>
      </c>
      <c r="CL1074">
        <v>0</v>
      </c>
      <c r="CM1074">
        <v>0</v>
      </c>
      <c r="CN1074">
        <v>0</v>
      </c>
      <c r="CO1074">
        <v>0</v>
      </c>
      <c r="CP1074">
        <v>0</v>
      </c>
      <c r="CQ1074">
        <v>0</v>
      </c>
      <c r="CR1074">
        <v>0</v>
      </c>
      <c r="CS1074">
        <v>0</v>
      </c>
      <c r="CT1074">
        <v>0</v>
      </c>
      <c r="CU1074">
        <v>0</v>
      </c>
      <c r="CV1074">
        <v>0</v>
      </c>
      <c r="CW1074">
        <v>0</v>
      </c>
      <c r="CX1074">
        <v>0</v>
      </c>
      <c r="CY1074">
        <v>0</v>
      </c>
      <c r="CZ1074">
        <v>0</v>
      </c>
      <c r="DA1074">
        <v>0</v>
      </c>
      <c r="DB1074">
        <v>0</v>
      </c>
      <c r="DC1074">
        <v>0</v>
      </c>
      <c r="DD1074">
        <v>0</v>
      </c>
      <c r="DE1074">
        <v>0</v>
      </c>
      <c r="DF1074">
        <v>0</v>
      </c>
      <c r="DG1074" s="16">
        <f t="shared" si="92"/>
        <v>11342</v>
      </c>
      <c r="DH1074" s="16">
        <f t="shared" si="93"/>
        <v>225225</v>
      </c>
      <c r="DI1074" s="17">
        <f t="shared" si="94"/>
        <v>19.857608887321462</v>
      </c>
      <c r="DJ1074" s="119" t="s">
        <v>1</v>
      </c>
      <c r="DK1074" s="119" t="s">
        <v>1</v>
      </c>
      <c r="DL1074" s="119" t="s">
        <v>1329</v>
      </c>
    </row>
    <row r="1075" spans="1:116">
      <c r="A1075" s="32" t="str">
        <f t="shared" si="90"/>
        <v>Essential--&gt; 132 KV; CONCRETE</v>
      </c>
      <c r="B1075" s="32" t="str">
        <f t="shared" si="91"/>
        <v>Essential</v>
      </c>
      <c r="C1075" s="384"/>
      <c r="E1075" t="s">
        <v>327</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c r="AJ1075">
        <v>0</v>
      </c>
      <c r="AK1075">
        <v>0</v>
      </c>
      <c r="AL1075">
        <v>0</v>
      </c>
      <c r="AM1075">
        <v>0</v>
      </c>
      <c r="AN1075">
        <v>0</v>
      </c>
      <c r="AO1075">
        <v>0</v>
      </c>
      <c r="AP1075">
        <v>0</v>
      </c>
      <c r="AQ1075">
        <v>0</v>
      </c>
      <c r="AR1075">
        <v>0</v>
      </c>
      <c r="AS1075">
        <v>0</v>
      </c>
      <c r="AT1075">
        <v>0</v>
      </c>
      <c r="AU1075">
        <v>0</v>
      </c>
      <c r="AV1075">
        <v>0</v>
      </c>
      <c r="AW1075">
        <v>0</v>
      </c>
      <c r="AX1075">
        <v>0</v>
      </c>
      <c r="AY1075">
        <v>0</v>
      </c>
      <c r="AZ1075">
        <v>0</v>
      </c>
      <c r="BA1075">
        <v>0</v>
      </c>
      <c r="BB1075">
        <v>0</v>
      </c>
      <c r="BC1075">
        <v>0</v>
      </c>
      <c r="BD1075">
        <v>0</v>
      </c>
      <c r="BE1075">
        <v>0</v>
      </c>
      <c r="BF1075">
        <v>0</v>
      </c>
      <c r="BG1075">
        <v>0</v>
      </c>
      <c r="BH1075">
        <v>0</v>
      </c>
      <c r="BI1075">
        <v>0</v>
      </c>
      <c r="BJ1075">
        <v>0</v>
      </c>
      <c r="BK1075">
        <v>0</v>
      </c>
      <c r="BL1075">
        <v>0</v>
      </c>
      <c r="BM1075">
        <v>0</v>
      </c>
      <c r="BN1075">
        <v>0</v>
      </c>
      <c r="BO1075">
        <v>0</v>
      </c>
      <c r="BP1075">
        <v>0</v>
      </c>
      <c r="BQ1075">
        <v>0</v>
      </c>
      <c r="BR1075">
        <v>0</v>
      </c>
      <c r="BS1075">
        <v>0</v>
      </c>
      <c r="BT1075">
        <v>0</v>
      </c>
      <c r="BU1075">
        <v>0</v>
      </c>
      <c r="BV1075">
        <v>0</v>
      </c>
      <c r="BW1075">
        <v>0</v>
      </c>
      <c r="BX1075">
        <v>0</v>
      </c>
      <c r="BY1075">
        <v>0</v>
      </c>
      <c r="BZ1075">
        <v>0</v>
      </c>
      <c r="CA1075">
        <v>0</v>
      </c>
      <c r="CB1075">
        <v>0</v>
      </c>
      <c r="CC1075">
        <v>0</v>
      </c>
      <c r="CD1075">
        <v>0</v>
      </c>
      <c r="CE1075">
        <v>0</v>
      </c>
      <c r="CF1075">
        <v>0</v>
      </c>
      <c r="CG1075">
        <v>0</v>
      </c>
      <c r="CH1075">
        <v>0</v>
      </c>
      <c r="CI1075">
        <v>0</v>
      </c>
      <c r="CJ1075">
        <v>0</v>
      </c>
      <c r="CK1075">
        <v>0</v>
      </c>
      <c r="CL1075">
        <v>0</v>
      </c>
      <c r="CM1075">
        <v>0</v>
      </c>
      <c r="CN1075">
        <v>0</v>
      </c>
      <c r="CO1075">
        <v>0</v>
      </c>
      <c r="CP1075">
        <v>0</v>
      </c>
      <c r="CQ1075">
        <v>0</v>
      </c>
      <c r="CR1075">
        <v>0</v>
      </c>
      <c r="CS1075">
        <v>0</v>
      </c>
      <c r="CT1075">
        <v>0</v>
      </c>
      <c r="CU1075">
        <v>0</v>
      </c>
      <c r="CV1075">
        <v>0</v>
      </c>
      <c r="CW1075">
        <v>0</v>
      </c>
      <c r="CX1075">
        <v>0</v>
      </c>
      <c r="CY1075">
        <v>0</v>
      </c>
      <c r="CZ1075">
        <v>0</v>
      </c>
      <c r="DA1075">
        <v>0</v>
      </c>
      <c r="DB1075">
        <v>0</v>
      </c>
      <c r="DC1075">
        <v>0</v>
      </c>
      <c r="DD1075">
        <v>0</v>
      </c>
      <c r="DE1075">
        <v>0</v>
      </c>
      <c r="DF1075">
        <v>0</v>
      </c>
      <c r="DG1075" s="16">
        <f t="shared" si="92"/>
        <v>0</v>
      </c>
      <c r="DH1075" s="16">
        <f t="shared" si="93"/>
        <v>0</v>
      </c>
      <c r="DI1075" s="17" t="str">
        <f t="shared" si="94"/>
        <v/>
      </c>
      <c r="DJ1075" s="119" t="s">
        <v>1</v>
      </c>
      <c r="DK1075" s="119" t="s">
        <v>1</v>
      </c>
      <c r="DL1075" s="119" t="s">
        <v>1329</v>
      </c>
    </row>
    <row r="1076" spans="1:116">
      <c r="A1076" s="32" t="str">
        <f t="shared" si="90"/>
        <v>Essential--˂ = 1 KV; STEEL</v>
      </c>
      <c r="B1076" s="32" t="str">
        <f t="shared" si="91"/>
        <v>Essential</v>
      </c>
      <c r="C1076" s="384"/>
      <c r="E1076" t="s">
        <v>329</v>
      </c>
      <c r="F1076">
        <v>53.8</v>
      </c>
      <c r="G1076">
        <v>7.334848328356899</v>
      </c>
      <c r="H1076">
        <v>479</v>
      </c>
      <c r="I1076">
        <v>91</v>
      </c>
      <c r="J1076">
        <v>298</v>
      </c>
      <c r="K1076">
        <v>404</v>
      </c>
      <c r="L1076">
        <v>408</v>
      </c>
      <c r="M1076">
        <v>694</v>
      </c>
      <c r="N1076">
        <v>166</v>
      </c>
      <c r="O1076">
        <v>233</v>
      </c>
      <c r="P1076">
        <v>210</v>
      </c>
      <c r="Q1076">
        <v>350</v>
      </c>
      <c r="R1076">
        <v>251</v>
      </c>
      <c r="S1076">
        <v>399</v>
      </c>
      <c r="T1076">
        <v>308</v>
      </c>
      <c r="U1076">
        <v>1533</v>
      </c>
      <c r="V1076">
        <v>503</v>
      </c>
      <c r="W1076">
        <v>150</v>
      </c>
      <c r="X1076">
        <v>97</v>
      </c>
      <c r="Y1076">
        <v>181</v>
      </c>
      <c r="Z1076">
        <v>468</v>
      </c>
      <c r="AA1076">
        <v>115</v>
      </c>
      <c r="AB1076">
        <v>207</v>
      </c>
      <c r="AC1076">
        <v>218</v>
      </c>
      <c r="AD1076">
        <v>153</v>
      </c>
      <c r="AE1076">
        <v>730</v>
      </c>
      <c r="AF1076">
        <v>145</v>
      </c>
      <c r="AG1076">
        <v>128</v>
      </c>
      <c r="AH1076">
        <v>64</v>
      </c>
      <c r="AI1076">
        <v>44</v>
      </c>
      <c r="AJ1076">
        <v>217</v>
      </c>
      <c r="AK1076">
        <v>84</v>
      </c>
      <c r="AL1076">
        <v>34</v>
      </c>
      <c r="AM1076">
        <v>49</v>
      </c>
      <c r="AN1076">
        <v>57</v>
      </c>
      <c r="AO1076">
        <v>1266</v>
      </c>
      <c r="AP1076">
        <v>30</v>
      </c>
      <c r="AQ1076">
        <v>26</v>
      </c>
      <c r="AR1076">
        <v>145</v>
      </c>
      <c r="AS1076">
        <v>28</v>
      </c>
      <c r="AT1076">
        <v>116</v>
      </c>
      <c r="AU1076">
        <v>48</v>
      </c>
      <c r="AV1076">
        <v>28</v>
      </c>
      <c r="AW1076">
        <v>18</v>
      </c>
      <c r="AX1076">
        <v>21</v>
      </c>
      <c r="AY1076">
        <v>390</v>
      </c>
      <c r="AZ1076">
        <v>50</v>
      </c>
      <c r="BA1076">
        <v>28</v>
      </c>
      <c r="BB1076">
        <v>31</v>
      </c>
      <c r="BC1076">
        <v>334</v>
      </c>
      <c r="BD1076">
        <v>252</v>
      </c>
      <c r="BE1076">
        <v>49</v>
      </c>
      <c r="BF1076">
        <v>51</v>
      </c>
      <c r="BG1076">
        <v>8</v>
      </c>
      <c r="BH1076">
        <v>33</v>
      </c>
      <c r="BI1076">
        <v>269</v>
      </c>
      <c r="BJ1076">
        <v>17</v>
      </c>
      <c r="BK1076">
        <v>22</v>
      </c>
      <c r="BL1076">
        <v>40</v>
      </c>
      <c r="BM1076">
        <v>19</v>
      </c>
      <c r="BN1076">
        <v>60</v>
      </c>
      <c r="BO1076">
        <v>0</v>
      </c>
      <c r="BP1076">
        <v>61</v>
      </c>
      <c r="BQ1076">
        <v>33</v>
      </c>
      <c r="BR1076">
        <v>0</v>
      </c>
      <c r="BS1076">
        <v>340</v>
      </c>
      <c r="BT1076">
        <v>1</v>
      </c>
      <c r="BU1076">
        <v>6</v>
      </c>
      <c r="BV1076">
        <v>13</v>
      </c>
      <c r="BW1076">
        <v>7</v>
      </c>
      <c r="BX1076">
        <v>0</v>
      </c>
      <c r="BY1076">
        <v>0</v>
      </c>
      <c r="BZ1076">
        <v>0</v>
      </c>
      <c r="CA1076">
        <v>0</v>
      </c>
      <c r="CB1076">
        <v>0</v>
      </c>
      <c r="CC1076">
        <v>482</v>
      </c>
      <c r="CD1076">
        <v>0</v>
      </c>
      <c r="CE1076">
        <v>0</v>
      </c>
      <c r="CF1076">
        <v>0</v>
      </c>
      <c r="CG1076">
        <v>0</v>
      </c>
      <c r="CH1076">
        <v>0</v>
      </c>
      <c r="CI1076">
        <v>0</v>
      </c>
      <c r="CJ1076">
        <v>0</v>
      </c>
      <c r="CK1076">
        <v>0</v>
      </c>
      <c r="CL1076">
        <v>0</v>
      </c>
      <c r="CM1076">
        <v>10</v>
      </c>
      <c r="CN1076">
        <v>0</v>
      </c>
      <c r="CO1076">
        <v>0</v>
      </c>
      <c r="CP1076">
        <v>0</v>
      </c>
      <c r="CQ1076">
        <v>0</v>
      </c>
      <c r="CR1076">
        <v>1</v>
      </c>
      <c r="CS1076">
        <v>0</v>
      </c>
      <c r="CT1076">
        <v>1</v>
      </c>
      <c r="CU1076">
        <v>0</v>
      </c>
      <c r="CV1076">
        <v>0</v>
      </c>
      <c r="CW1076">
        <v>0</v>
      </c>
      <c r="CX1076">
        <v>0</v>
      </c>
      <c r="CY1076">
        <v>0</v>
      </c>
      <c r="CZ1076">
        <v>0</v>
      </c>
      <c r="DA1076">
        <v>0</v>
      </c>
      <c r="DB1076">
        <v>0</v>
      </c>
      <c r="DC1076">
        <v>0</v>
      </c>
      <c r="DD1076">
        <v>0</v>
      </c>
      <c r="DE1076">
        <v>0</v>
      </c>
      <c r="DF1076">
        <v>0</v>
      </c>
      <c r="DG1076" s="16">
        <f t="shared" si="92"/>
        <v>13802</v>
      </c>
      <c r="DH1076" s="16">
        <f t="shared" si="93"/>
        <v>338360</v>
      </c>
      <c r="DI1076" s="17">
        <f t="shared" si="94"/>
        <v>24.51528763947254</v>
      </c>
      <c r="DJ1076" s="119" t="s">
        <v>1</v>
      </c>
      <c r="DK1076" s="119" t="s">
        <v>1</v>
      </c>
      <c r="DL1076" s="119" t="s">
        <v>1330</v>
      </c>
    </row>
    <row r="1077" spans="1:116">
      <c r="A1077" s="32" t="str">
        <f t="shared" si="90"/>
        <v>Essential--&gt; 1 KV &amp; &lt; = 11 KV; STEEL</v>
      </c>
      <c r="B1077" s="32" t="str">
        <f t="shared" si="91"/>
        <v>Essential</v>
      </c>
      <c r="C1077" s="384"/>
      <c r="E1077" t="s">
        <v>331</v>
      </c>
      <c r="F1077">
        <v>53.8</v>
      </c>
      <c r="G1077">
        <v>7.334848328356899</v>
      </c>
      <c r="H1077">
        <v>761</v>
      </c>
      <c r="I1077">
        <v>1382</v>
      </c>
      <c r="J1077">
        <v>936</v>
      </c>
      <c r="K1077">
        <v>633</v>
      </c>
      <c r="L1077">
        <v>1022</v>
      </c>
      <c r="M1077">
        <v>544</v>
      </c>
      <c r="N1077">
        <v>273</v>
      </c>
      <c r="O1077">
        <v>51</v>
      </c>
      <c r="P1077">
        <v>8</v>
      </c>
      <c r="Q1077">
        <v>14</v>
      </c>
      <c r="R1077">
        <v>6</v>
      </c>
      <c r="S1077">
        <v>0</v>
      </c>
      <c r="T1077">
        <v>5</v>
      </c>
      <c r="U1077">
        <v>22</v>
      </c>
      <c r="V1077">
        <v>9</v>
      </c>
      <c r="W1077">
        <v>9</v>
      </c>
      <c r="X1077">
        <v>13</v>
      </c>
      <c r="Y1077">
        <v>3</v>
      </c>
      <c r="Z1077">
        <v>1</v>
      </c>
      <c r="AA1077">
        <v>2</v>
      </c>
      <c r="AB1077">
        <v>3</v>
      </c>
      <c r="AC1077">
        <v>1</v>
      </c>
      <c r="AD1077">
        <v>0</v>
      </c>
      <c r="AE1077">
        <v>15</v>
      </c>
      <c r="AF1077">
        <v>3</v>
      </c>
      <c r="AG1077">
        <v>4</v>
      </c>
      <c r="AH1077">
        <v>4</v>
      </c>
      <c r="AI1077">
        <v>2</v>
      </c>
      <c r="AJ1077">
        <v>3</v>
      </c>
      <c r="AK1077">
        <v>1</v>
      </c>
      <c r="AL1077">
        <v>2</v>
      </c>
      <c r="AM1077">
        <v>1</v>
      </c>
      <c r="AN1077">
        <v>0</v>
      </c>
      <c r="AO1077">
        <v>12</v>
      </c>
      <c r="AP1077">
        <v>0</v>
      </c>
      <c r="AQ1077">
        <v>0</v>
      </c>
      <c r="AR1077">
        <v>15</v>
      </c>
      <c r="AS1077">
        <v>2</v>
      </c>
      <c r="AT1077">
        <v>4</v>
      </c>
      <c r="AU1077">
        <v>0</v>
      </c>
      <c r="AV1077">
        <v>1</v>
      </c>
      <c r="AW1077">
        <v>1</v>
      </c>
      <c r="AX1077">
        <v>3</v>
      </c>
      <c r="AY1077">
        <v>9</v>
      </c>
      <c r="AZ1077">
        <v>1</v>
      </c>
      <c r="BA1077">
        <v>1</v>
      </c>
      <c r="BB1077">
        <v>1</v>
      </c>
      <c r="BC1077">
        <v>59</v>
      </c>
      <c r="BD1077">
        <v>5</v>
      </c>
      <c r="BE1077">
        <v>0</v>
      </c>
      <c r="BF1077">
        <v>0</v>
      </c>
      <c r="BG1077">
        <v>19</v>
      </c>
      <c r="BH1077">
        <v>4</v>
      </c>
      <c r="BI1077">
        <v>13</v>
      </c>
      <c r="BJ1077">
        <v>0</v>
      </c>
      <c r="BK1077">
        <v>10</v>
      </c>
      <c r="BL1077">
        <v>0</v>
      </c>
      <c r="BM1077">
        <v>1</v>
      </c>
      <c r="BN1077">
        <v>8</v>
      </c>
      <c r="BO1077">
        <v>0</v>
      </c>
      <c r="BP1077">
        <v>0</v>
      </c>
      <c r="BQ1077">
        <v>3</v>
      </c>
      <c r="BR1077">
        <v>0</v>
      </c>
      <c r="BS1077">
        <v>8</v>
      </c>
      <c r="BT1077">
        <v>0</v>
      </c>
      <c r="BU1077">
        <v>0</v>
      </c>
      <c r="BV1077">
        <v>0</v>
      </c>
      <c r="BW1077">
        <v>0</v>
      </c>
      <c r="BX1077">
        <v>0</v>
      </c>
      <c r="BY1077">
        <v>0</v>
      </c>
      <c r="BZ1077">
        <v>0</v>
      </c>
      <c r="CA1077">
        <v>0</v>
      </c>
      <c r="CB1077">
        <v>0</v>
      </c>
      <c r="CC1077">
        <v>0</v>
      </c>
      <c r="CD1077">
        <v>0</v>
      </c>
      <c r="CE1077">
        <v>0</v>
      </c>
      <c r="CF1077">
        <v>0</v>
      </c>
      <c r="CG1077">
        <v>0</v>
      </c>
      <c r="CH1077">
        <v>0</v>
      </c>
      <c r="CI1077">
        <v>0</v>
      </c>
      <c r="CJ1077">
        <v>0</v>
      </c>
      <c r="CK1077">
        <v>0</v>
      </c>
      <c r="CL1077">
        <v>0</v>
      </c>
      <c r="CM1077">
        <v>0</v>
      </c>
      <c r="CN1077">
        <v>0</v>
      </c>
      <c r="CO1077">
        <v>0</v>
      </c>
      <c r="CP1077">
        <v>0</v>
      </c>
      <c r="CQ1077">
        <v>0</v>
      </c>
      <c r="CR1077">
        <v>0</v>
      </c>
      <c r="CS1077">
        <v>0</v>
      </c>
      <c r="CT1077">
        <v>0</v>
      </c>
      <c r="CU1077">
        <v>0</v>
      </c>
      <c r="CV1077">
        <v>0</v>
      </c>
      <c r="CW1077">
        <v>0</v>
      </c>
      <c r="CX1077">
        <v>0</v>
      </c>
      <c r="CY1077">
        <v>0</v>
      </c>
      <c r="CZ1077">
        <v>0</v>
      </c>
      <c r="DA1077">
        <v>0</v>
      </c>
      <c r="DB1077">
        <v>0</v>
      </c>
      <c r="DC1077">
        <v>0</v>
      </c>
      <c r="DD1077">
        <v>0</v>
      </c>
      <c r="DE1077">
        <v>0</v>
      </c>
      <c r="DF1077">
        <v>0</v>
      </c>
      <c r="DG1077" s="16">
        <f t="shared" si="92"/>
        <v>5913</v>
      </c>
      <c r="DH1077" s="16">
        <f t="shared" si="93"/>
        <v>30529</v>
      </c>
      <c r="DI1077" s="17">
        <f t="shared" si="94"/>
        <v>5.1630306105191952</v>
      </c>
      <c r="DJ1077" s="119" t="s">
        <v>1</v>
      </c>
      <c r="DK1077" s="119" t="s">
        <v>1</v>
      </c>
      <c r="DL1077" s="119" t="s">
        <v>1330</v>
      </c>
    </row>
    <row r="1078" spans="1:116">
      <c r="A1078" s="32" t="str">
        <f t="shared" si="90"/>
        <v>Essential--˃ 11 KV &amp; &lt; = 22 KV; STEEL</v>
      </c>
      <c r="B1078" s="32" t="str">
        <f t="shared" si="91"/>
        <v>Essential</v>
      </c>
      <c r="C1078" s="384"/>
      <c r="E1078" t="s">
        <v>333</v>
      </c>
      <c r="F1078">
        <v>54.9</v>
      </c>
      <c r="G1078">
        <v>7.4094534211370817</v>
      </c>
      <c r="H1078">
        <v>1584</v>
      </c>
      <c r="I1078">
        <v>2206</v>
      </c>
      <c r="J1078">
        <v>1711</v>
      </c>
      <c r="K1078">
        <v>785</v>
      </c>
      <c r="L1078">
        <v>1134</v>
      </c>
      <c r="M1078">
        <v>775</v>
      </c>
      <c r="N1078">
        <v>449</v>
      </c>
      <c r="O1078">
        <v>220</v>
      </c>
      <c r="P1078">
        <v>5</v>
      </c>
      <c r="Q1078">
        <v>1</v>
      </c>
      <c r="R1078">
        <v>2</v>
      </c>
      <c r="S1078">
        <v>3</v>
      </c>
      <c r="T1078">
        <v>3</v>
      </c>
      <c r="U1078">
        <v>24</v>
      </c>
      <c r="V1078">
        <v>0</v>
      </c>
      <c r="W1078">
        <v>1</v>
      </c>
      <c r="X1078">
        <v>0</v>
      </c>
      <c r="Y1078">
        <v>1</v>
      </c>
      <c r="Z1078">
        <v>3</v>
      </c>
      <c r="AA1078">
        <v>3</v>
      </c>
      <c r="AB1078">
        <v>3</v>
      </c>
      <c r="AC1078">
        <v>1</v>
      </c>
      <c r="AD1078">
        <v>1</v>
      </c>
      <c r="AE1078">
        <v>10</v>
      </c>
      <c r="AF1078">
        <v>0</v>
      </c>
      <c r="AG1078">
        <v>3</v>
      </c>
      <c r="AH1078">
        <v>8</v>
      </c>
      <c r="AI1078">
        <v>2</v>
      </c>
      <c r="AJ1078">
        <v>2</v>
      </c>
      <c r="AK1078">
        <v>2</v>
      </c>
      <c r="AL1078">
        <v>1</v>
      </c>
      <c r="AM1078">
        <v>8</v>
      </c>
      <c r="AN1078">
        <v>9</v>
      </c>
      <c r="AO1078">
        <v>48</v>
      </c>
      <c r="AP1078">
        <v>1</v>
      </c>
      <c r="AQ1078">
        <v>3</v>
      </c>
      <c r="AR1078">
        <v>4</v>
      </c>
      <c r="AS1078">
        <v>2</v>
      </c>
      <c r="AT1078">
        <v>12</v>
      </c>
      <c r="AU1078">
        <v>3</v>
      </c>
      <c r="AV1078">
        <v>1</v>
      </c>
      <c r="AW1078">
        <v>0</v>
      </c>
      <c r="AX1078">
        <v>0</v>
      </c>
      <c r="AY1078">
        <v>6</v>
      </c>
      <c r="AZ1078">
        <v>4</v>
      </c>
      <c r="BA1078">
        <v>7</v>
      </c>
      <c r="BB1078">
        <v>43</v>
      </c>
      <c r="BC1078">
        <v>3</v>
      </c>
      <c r="BD1078">
        <v>16</v>
      </c>
      <c r="BE1078">
        <v>5</v>
      </c>
      <c r="BF1078">
        <v>0</v>
      </c>
      <c r="BG1078">
        <v>4</v>
      </c>
      <c r="BH1078">
        <v>5</v>
      </c>
      <c r="BI1078">
        <v>23</v>
      </c>
      <c r="BJ1078">
        <v>3</v>
      </c>
      <c r="BK1078">
        <v>5</v>
      </c>
      <c r="BL1078">
        <v>0</v>
      </c>
      <c r="BM1078">
        <v>1</v>
      </c>
      <c r="BN1078">
        <v>1</v>
      </c>
      <c r="BO1078">
        <v>0</v>
      </c>
      <c r="BP1078">
        <v>0</v>
      </c>
      <c r="BQ1078">
        <v>0</v>
      </c>
      <c r="BR1078">
        <v>0</v>
      </c>
      <c r="BS1078">
        <v>1</v>
      </c>
      <c r="BT1078">
        <v>0</v>
      </c>
      <c r="BU1078">
        <v>0</v>
      </c>
      <c r="BV1078">
        <v>0</v>
      </c>
      <c r="BW1078">
        <v>0</v>
      </c>
      <c r="BX1078">
        <v>0</v>
      </c>
      <c r="BY1078">
        <v>0</v>
      </c>
      <c r="BZ1078">
        <v>0</v>
      </c>
      <c r="CA1078">
        <v>0</v>
      </c>
      <c r="CB1078">
        <v>0</v>
      </c>
      <c r="CC1078">
        <v>10</v>
      </c>
      <c r="CD1078">
        <v>0</v>
      </c>
      <c r="CE1078">
        <v>0</v>
      </c>
      <c r="CF1078">
        <v>0</v>
      </c>
      <c r="CG1078">
        <v>0</v>
      </c>
      <c r="CH1078">
        <v>0</v>
      </c>
      <c r="CI1078">
        <v>0</v>
      </c>
      <c r="CJ1078">
        <v>0</v>
      </c>
      <c r="CK1078">
        <v>0</v>
      </c>
      <c r="CL1078">
        <v>0</v>
      </c>
      <c r="CM1078">
        <v>0</v>
      </c>
      <c r="CN1078">
        <v>0</v>
      </c>
      <c r="CO1078">
        <v>0</v>
      </c>
      <c r="CP1078">
        <v>0</v>
      </c>
      <c r="CQ1078">
        <v>0</v>
      </c>
      <c r="CR1078">
        <v>0</v>
      </c>
      <c r="CS1078">
        <v>0</v>
      </c>
      <c r="CT1078">
        <v>0</v>
      </c>
      <c r="CU1078">
        <v>0</v>
      </c>
      <c r="CV1078">
        <v>0</v>
      </c>
      <c r="CW1078">
        <v>0</v>
      </c>
      <c r="CX1078">
        <v>0</v>
      </c>
      <c r="CY1078">
        <v>0</v>
      </c>
      <c r="CZ1078">
        <v>0</v>
      </c>
      <c r="DA1078">
        <v>0</v>
      </c>
      <c r="DB1078">
        <v>0</v>
      </c>
      <c r="DC1078">
        <v>0</v>
      </c>
      <c r="DD1078">
        <v>0</v>
      </c>
      <c r="DE1078">
        <v>0</v>
      </c>
      <c r="DF1078">
        <v>0</v>
      </c>
      <c r="DG1078" s="16">
        <f t="shared" si="92"/>
        <v>9171</v>
      </c>
      <c r="DH1078" s="16">
        <f t="shared" si="93"/>
        <v>41205</v>
      </c>
      <c r="DI1078" s="17">
        <f t="shared" si="94"/>
        <v>4.4929669610729475</v>
      </c>
      <c r="DJ1078" s="119" t="s">
        <v>1</v>
      </c>
      <c r="DK1078" s="119" t="s">
        <v>1</v>
      </c>
      <c r="DL1078" s="119" t="s">
        <v>1330</v>
      </c>
    </row>
    <row r="1079" spans="1:116">
      <c r="A1079" s="32" t="str">
        <f t="shared" si="90"/>
        <v>Essential--&gt; 22 KV &amp; &lt; = 66 KV; STEEL</v>
      </c>
      <c r="B1079" s="32" t="str">
        <f t="shared" si="91"/>
        <v>Essential</v>
      </c>
      <c r="C1079" s="384"/>
      <c r="E1079" t="s">
        <v>334</v>
      </c>
      <c r="F1079">
        <v>54.9</v>
      </c>
      <c r="G1079">
        <v>7.4094534211370817</v>
      </c>
      <c r="H1079">
        <v>106</v>
      </c>
      <c r="I1079">
        <v>84</v>
      </c>
      <c r="J1079">
        <v>266</v>
      </c>
      <c r="K1079">
        <v>64</v>
      </c>
      <c r="L1079">
        <v>30</v>
      </c>
      <c r="M1079">
        <v>34</v>
      </c>
      <c r="N1079">
        <v>272</v>
      </c>
      <c r="O1079">
        <v>86</v>
      </c>
      <c r="P1079">
        <v>9</v>
      </c>
      <c r="Q1079">
        <v>1</v>
      </c>
      <c r="R1079">
        <v>1</v>
      </c>
      <c r="S1079">
        <v>0</v>
      </c>
      <c r="T1079">
        <v>0</v>
      </c>
      <c r="U1079">
        <v>23</v>
      </c>
      <c r="V1079">
        <v>2</v>
      </c>
      <c r="W1079">
        <v>1</v>
      </c>
      <c r="X1079">
        <v>1</v>
      </c>
      <c r="Y1079">
        <v>0</v>
      </c>
      <c r="Z1079">
        <v>7</v>
      </c>
      <c r="AA1079">
        <v>1</v>
      </c>
      <c r="AB1079">
        <v>10</v>
      </c>
      <c r="AC1079">
        <v>0</v>
      </c>
      <c r="AD1079">
        <v>0</v>
      </c>
      <c r="AE1079">
        <v>1</v>
      </c>
      <c r="AF1079">
        <v>0</v>
      </c>
      <c r="AG1079">
        <v>0</v>
      </c>
      <c r="AH1079">
        <v>0</v>
      </c>
      <c r="AI1079">
        <v>0</v>
      </c>
      <c r="AJ1079">
        <v>0</v>
      </c>
      <c r="AK1079">
        <v>0</v>
      </c>
      <c r="AL1079">
        <v>0</v>
      </c>
      <c r="AM1079">
        <v>0</v>
      </c>
      <c r="AN1079">
        <v>0</v>
      </c>
      <c r="AO1079">
        <v>0</v>
      </c>
      <c r="AP1079">
        <v>0</v>
      </c>
      <c r="AQ1079">
        <v>0</v>
      </c>
      <c r="AR1079">
        <v>0</v>
      </c>
      <c r="AS1079">
        <v>0</v>
      </c>
      <c r="AT1079">
        <v>0</v>
      </c>
      <c r="AU1079">
        <v>1</v>
      </c>
      <c r="AV1079">
        <v>0</v>
      </c>
      <c r="AW1079">
        <v>0</v>
      </c>
      <c r="AX1079">
        <v>0</v>
      </c>
      <c r="AY1079">
        <v>2</v>
      </c>
      <c r="AZ1079">
        <v>0</v>
      </c>
      <c r="BA1079">
        <v>2</v>
      </c>
      <c r="BB1079">
        <v>0</v>
      </c>
      <c r="BC1079">
        <v>0</v>
      </c>
      <c r="BD1079">
        <v>0</v>
      </c>
      <c r="BE1079">
        <v>0</v>
      </c>
      <c r="BF1079">
        <v>0</v>
      </c>
      <c r="BG1079">
        <v>0</v>
      </c>
      <c r="BH1079">
        <v>0</v>
      </c>
      <c r="BI1079">
        <v>0</v>
      </c>
      <c r="BJ1079">
        <v>2</v>
      </c>
      <c r="BK1079">
        <v>0</v>
      </c>
      <c r="BL1079">
        <v>0</v>
      </c>
      <c r="BM1079">
        <v>0</v>
      </c>
      <c r="BN1079">
        <v>1</v>
      </c>
      <c r="BO1079">
        <v>0</v>
      </c>
      <c r="BP1079">
        <v>0</v>
      </c>
      <c r="BQ1079">
        <v>0</v>
      </c>
      <c r="BR1079">
        <v>0</v>
      </c>
      <c r="BS1079">
        <v>0</v>
      </c>
      <c r="BT1079">
        <v>0</v>
      </c>
      <c r="BU1079">
        <v>0</v>
      </c>
      <c r="BV1079">
        <v>0</v>
      </c>
      <c r="BW1079">
        <v>0</v>
      </c>
      <c r="BX1079">
        <v>0</v>
      </c>
      <c r="BY1079">
        <v>0</v>
      </c>
      <c r="BZ1079">
        <v>0</v>
      </c>
      <c r="CA1079">
        <v>0</v>
      </c>
      <c r="CB1079">
        <v>0</v>
      </c>
      <c r="CC1079">
        <v>0</v>
      </c>
      <c r="CD1079">
        <v>0</v>
      </c>
      <c r="CE1079">
        <v>0</v>
      </c>
      <c r="CF1079">
        <v>4</v>
      </c>
      <c r="CG1079">
        <v>0</v>
      </c>
      <c r="CH1079">
        <v>0</v>
      </c>
      <c r="CI1079">
        <v>0</v>
      </c>
      <c r="CJ1079">
        <v>0</v>
      </c>
      <c r="CK1079">
        <v>0</v>
      </c>
      <c r="CL1079">
        <v>0</v>
      </c>
      <c r="CM1079">
        <v>0</v>
      </c>
      <c r="CN1079">
        <v>0</v>
      </c>
      <c r="CO1079">
        <v>0</v>
      </c>
      <c r="CP1079">
        <v>0</v>
      </c>
      <c r="CQ1079">
        <v>0</v>
      </c>
      <c r="CR1079">
        <v>0</v>
      </c>
      <c r="CS1079">
        <v>0</v>
      </c>
      <c r="CT1079">
        <v>0</v>
      </c>
      <c r="CU1079">
        <v>0</v>
      </c>
      <c r="CV1079">
        <v>0</v>
      </c>
      <c r="CW1079">
        <v>0</v>
      </c>
      <c r="CX1079">
        <v>0</v>
      </c>
      <c r="CY1079">
        <v>0</v>
      </c>
      <c r="CZ1079">
        <v>0</v>
      </c>
      <c r="DA1079">
        <v>0</v>
      </c>
      <c r="DB1079">
        <v>0</v>
      </c>
      <c r="DC1079">
        <v>0</v>
      </c>
      <c r="DD1079">
        <v>0</v>
      </c>
      <c r="DE1079">
        <v>0</v>
      </c>
      <c r="DF1079">
        <v>0</v>
      </c>
      <c r="DG1079" s="16">
        <f t="shared" si="92"/>
        <v>1011</v>
      </c>
      <c r="DH1079" s="16">
        <f t="shared" si="93"/>
        <v>5845</v>
      </c>
      <c r="DI1079" s="17">
        <f t="shared" si="94"/>
        <v>5.781404549950544</v>
      </c>
      <c r="DJ1079" s="119" t="s">
        <v>1</v>
      </c>
      <c r="DK1079" s="119" t="s">
        <v>1</v>
      </c>
      <c r="DL1079" s="119" t="s">
        <v>1330</v>
      </c>
    </row>
    <row r="1080" spans="1:116">
      <c r="A1080" s="32" t="str">
        <f t="shared" si="90"/>
        <v>Essential--&gt; 66 KV &amp; &lt; = 132 KV; STEEL</v>
      </c>
      <c r="B1080" s="32" t="str">
        <f t="shared" si="91"/>
        <v>Essential</v>
      </c>
      <c r="C1080" s="384"/>
      <c r="E1080" t="s">
        <v>335</v>
      </c>
      <c r="F1080">
        <v>54.9</v>
      </c>
      <c r="G1080">
        <v>7.4094534211370817</v>
      </c>
      <c r="H1080">
        <v>322</v>
      </c>
      <c r="I1080">
        <v>406</v>
      </c>
      <c r="J1080">
        <v>545</v>
      </c>
      <c r="K1080">
        <v>108</v>
      </c>
      <c r="L1080">
        <v>217</v>
      </c>
      <c r="M1080">
        <v>210</v>
      </c>
      <c r="N1080">
        <v>72</v>
      </c>
      <c r="O1080">
        <v>15</v>
      </c>
      <c r="P1080">
        <v>301</v>
      </c>
      <c r="Q1080">
        <v>2</v>
      </c>
      <c r="R1080">
        <v>0</v>
      </c>
      <c r="S1080">
        <v>0</v>
      </c>
      <c r="T1080">
        <v>0</v>
      </c>
      <c r="U1080">
        <v>4</v>
      </c>
      <c r="V1080">
        <v>0</v>
      </c>
      <c r="W1080">
        <v>2</v>
      </c>
      <c r="X1080">
        <v>0</v>
      </c>
      <c r="Y1080">
        <v>0</v>
      </c>
      <c r="Z1080">
        <v>0</v>
      </c>
      <c r="AA1080">
        <v>30</v>
      </c>
      <c r="AB1080">
        <v>0</v>
      </c>
      <c r="AC1080">
        <v>2</v>
      </c>
      <c r="AD1080">
        <v>0</v>
      </c>
      <c r="AE1080">
        <v>2</v>
      </c>
      <c r="AF1080">
        <v>0</v>
      </c>
      <c r="AG1080">
        <v>2</v>
      </c>
      <c r="AH1080">
        <v>0</v>
      </c>
      <c r="AI1080">
        <v>0</v>
      </c>
      <c r="AJ1080">
        <v>2</v>
      </c>
      <c r="AK1080">
        <v>0</v>
      </c>
      <c r="AL1080">
        <v>0</v>
      </c>
      <c r="AM1080">
        <v>0</v>
      </c>
      <c r="AN1080">
        <v>0</v>
      </c>
      <c r="AO1080">
        <v>2</v>
      </c>
      <c r="AP1080">
        <v>0</v>
      </c>
      <c r="AQ1080">
        <v>3</v>
      </c>
      <c r="AR1080">
        <v>0</v>
      </c>
      <c r="AS1080">
        <v>0</v>
      </c>
      <c r="AT1080">
        <v>2</v>
      </c>
      <c r="AU1080">
        <v>0</v>
      </c>
      <c r="AV1080">
        <v>25</v>
      </c>
      <c r="AW1080">
        <v>0</v>
      </c>
      <c r="AX1080">
        <v>1</v>
      </c>
      <c r="AY1080">
        <v>1</v>
      </c>
      <c r="AZ1080">
        <v>0</v>
      </c>
      <c r="BA1080">
        <v>1</v>
      </c>
      <c r="BB1080">
        <v>0</v>
      </c>
      <c r="BC1080">
        <v>5</v>
      </c>
      <c r="BD1080">
        <v>0</v>
      </c>
      <c r="BE1080">
        <v>6</v>
      </c>
      <c r="BF1080">
        <v>2</v>
      </c>
      <c r="BG1080">
        <v>0</v>
      </c>
      <c r="BH1080">
        <v>1</v>
      </c>
      <c r="BI1080">
        <v>11</v>
      </c>
      <c r="BJ1080">
        <v>0</v>
      </c>
      <c r="BK1080">
        <v>0</v>
      </c>
      <c r="BL1080">
        <v>0</v>
      </c>
      <c r="BM1080">
        <v>0</v>
      </c>
      <c r="BN1080">
        <v>2</v>
      </c>
      <c r="BO1080">
        <v>0</v>
      </c>
      <c r="BP1080">
        <v>0</v>
      </c>
      <c r="BQ1080">
        <v>0</v>
      </c>
      <c r="BR1080">
        <v>0</v>
      </c>
      <c r="BS1080">
        <v>71</v>
      </c>
      <c r="BT1080">
        <v>0</v>
      </c>
      <c r="BU1080">
        <v>0</v>
      </c>
      <c r="BV1080">
        <v>0</v>
      </c>
      <c r="BW1080">
        <v>0</v>
      </c>
      <c r="BX1080">
        <v>0</v>
      </c>
      <c r="BY1080">
        <v>0</v>
      </c>
      <c r="BZ1080">
        <v>0</v>
      </c>
      <c r="CA1080">
        <v>0</v>
      </c>
      <c r="CB1080">
        <v>0</v>
      </c>
      <c r="CC1080">
        <v>0</v>
      </c>
      <c r="CD1080">
        <v>0</v>
      </c>
      <c r="CE1080">
        <v>0</v>
      </c>
      <c r="CF1080">
        <v>0</v>
      </c>
      <c r="CG1080">
        <v>0</v>
      </c>
      <c r="CH1080">
        <v>0</v>
      </c>
      <c r="CI1080">
        <v>0</v>
      </c>
      <c r="CJ1080">
        <v>0</v>
      </c>
      <c r="CK1080">
        <v>0</v>
      </c>
      <c r="CL1080">
        <v>0</v>
      </c>
      <c r="CM1080">
        <v>0</v>
      </c>
      <c r="CN1080">
        <v>0</v>
      </c>
      <c r="CO1080">
        <v>9</v>
      </c>
      <c r="CP1080">
        <v>0</v>
      </c>
      <c r="CQ1080">
        <v>0</v>
      </c>
      <c r="CR1080">
        <v>0</v>
      </c>
      <c r="CS1080">
        <v>0</v>
      </c>
      <c r="CT1080">
        <v>0</v>
      </c>
      <c r="CU1080">
        <v>0</v>
      </c>
      <c r="CV1080">
        <v>0</v>
      </c>
      <c r="CW1080">
        <v>0</v>
      </c>
      <c r="CX1080">
        <v>0</v>
      </c>
      <c r="CY1080">
        <v>0</v>
      </c>
      <c r="CZ1080">
        <v>0</v>
      </c>
      <c r="DA1080">
        <v>0</v>
      </c>
      <c r="DB1080">
        <v>0</v>
      </c>
      <c r="DC1080">
        <v>0</v>
      </c>
      <c r="DD1080">
        <v>0</v>
      </c>
      <c r="DE1080">
        <v>0</v>
      </c>
      <c r="DF1080">
        <v>0</v>
      </c>
      <c r="DG1080" s="16">
        <f t="shared" si="92"/>
        <v>2384</v>
      </c>
      <c r="DH1080" s="16">
        <f t="shared" si="93"/>
        <v>17926</v>
      </c>
      <c r="DI1080" s="17">
        <f t="shared" si="94"/>
        <v>7.5192953020134228</v>
      </c>
      <c r="DJ1080" s="119" t="s">
        <v>1</v>
      </c>
      <c r="DK1080" s="119" t="s">
        <v>1</v>
      </c>
      <c r="DL1080" s="119" t="s">
        <v>1330</v>
      </c>
    </row>
    <row r="1081" spans="1:116">
      <c r="A1081" s="32" t="str">
        <f t="shared" si="90"/>
        <v>Essential--&gt; 132 KV; STEEL</v>
      </c>
      <c r="B1081" s="32" t="str">
        <f t="shared" si="91"/>
        <v>Essential</v>
      </c>
      <c r="C1081" s="384"/>
      <c r="E1081" t="s">
        <v>336</v>
      </c>
      <c r="F1081">
        <v>53.8</v>
      </c>
      <c r="G1081">
        <v>7.334848328356899</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c r="AJ1081">
        <v>0</v>
      </c>
      <c r="AK1081">
        <v>0</v>
      </c>
      <c r="AL1081">
        <v>0</v>
      </c>
      <c r="AM1081">
        <v>0</v>
      </c>
      <c r="AN1081">
        <v>0</v>
      </c>
      <c r="AO1081">
        <v>0</v>
      </c>
      <c r="AP1081">
        <v>0</v>
      </c>
      <c r="AQ1081">
        <v>0</v>
      </c>
      <c r="AR1081">
        <v>0</v>
      </c>
      <c r="AS1081">
        <v>0</v>
      </c>
      <c r="AT1081">
        <v>0</v>
      </c>
      <c r="AU1081">
        <v>0</v>
      </c>
      <c r="AV1081">
        <v>0</v>
      </c>
      <c r="AW1081">
        <v>0</v>
      </c>
      <c r="AX1081">
        <v>0</v>
      </c>
      <c r="AY1081">
        <v>0</v>
      </c>
      <c r="AZ1081">
        <v>0</v>
      </c>
      <c r="BA1081">
        <v>0</v>
      </c>
      <c r="BB1081">
        <v>0</v>
      </c>
      <c r="BC1081">
        <v>0</v>
      </c>
      <c r="BD1081">
        <v>10</v>
      </c>
      <c r="BE1081">
        <v>0</v>
      </c>
      <c r="BF1081">
        <v>0</v>
      </c>
      <c r="BG1081">
        <v>0</v>
      </c>
      <c r="BH1081">
        <v>0</v>
      </c>
      <c r="BI1081">
        <v>0</v>
      </c>
      <c r="BJ1081">
        <v>0</v>
      </c>
      <c r="BK1081">
        <v>0</v>
      </c>
      <c r="BL1081">
        <v>0</v>
      </c>
      <c r="BM1081">
        <v>0</v>
      </c>
      <c r="BN1081">
        <v>0</v>
      </c>
      <c r="BO1081">
        <v>0</v>
      </c>
      <c r="BP1081">
        <v>0</v>
      </c>
      <c r="BQ1081">
        <v>0</v>
      </c>
      <c r="BR1081">
        <v>0</v>
      </c>
      <c r="BS1081">
        <v>0</v>
      </c>
      <c r="BT1081">
        <v>0</v>
      </c>
      <c r="BU1081">
        <v>0</v>
      </c>
      <c r="BV1081">
        <v>0</v>
      </c>
      <c r="BW1081">
        <v>0</v>
      </c>
      <c r="BX1081">
        <v>0</v>
      </c>
      <c r="BY1081">
        <v>0</v>
      </c>
      <c r="BZ1081">
        <v>0</v>
      </c>
      <c r="CA1081">
        <v>0</v>
      </c>
      <c r="CB1081">
        <v>0</v>
      </c>
      <c r="CC1081">
        <v>0</v>
      </c>
      <c r="CD1081">
        <v>0</v>
      </c>
      <c r="CE1081">
        <v>0</v>
      </c>
      <c r="CF1081">
        <v>0</v>
      </c>
      <c r="CG1081">
        <v>0</v>
      </c>
      <c r="CH1081">
        <v>0</v>
      </c>
      <c r="CI1081">
        <v>0</v>
      </c>
      <c r="CJ1081">
        <v>0</v>
      </c>
      <c r="CK1081">
        <v>0</v>
      </c>
      <c r="CL1081">
        <v>0</v>
      </c>
      <c r="CM1081">
        <v>0</v>
      </c>
      <c r="CN1081">
        <v>0</v>
      </c>
      <c r="CO1081">
        <v>0</v>
      </c>
      <c r="CP1081">
        <v>0</v>
      </c>
      <c r="CQ1081">
        <v>0</v>
      </c>
      <c r="CR1081">
        <v>0</v>
      </c>
      <c r="CS1081">
        <v>0</v>
      </c>
      <c r="CT1081">
        <v>0</v>
      </c>
      <c r="CU1081">
        <v>0</v>
      </c>
      <c r="CV1081">
        <v>0</v>
      </c>
      <c r="CW1081">
        <v>0</v>
      </c>
      <c r="CX1081">
        <v>0</v>
      </c>
      <c r="CY1081">
        <v>0</v>
      </c>
      <c r="CZ1081">
        <v>0</v>
      </c>
      <c r="DA1081">
        <v>0</v>
      </c>
      <c r="DB1081">
        <v>0</v>
      </c>
      <c r="DC1081">
        <v>0</v>
      </c>
      <c r="DD1081">
        <v>0</v>
      </c>
      <c r="DE1081">
        <v>0</v>
      </c>
      <c r="DF1081">
        <v>0</v>
      </c>
      <c r="DG1081" s="16">
        <f t="shared" si="92"/>
        <v>10</v>
      </c>
      <c r="DH1081" s="16">
        <f t="shared" si="93"/>
        <v>490</v>
      </c>
      <c r="DI1081" s="17">
        <f t="shared" si="94"/>
        <v>49</v>
      </c>
      <c r="DJ1081" s="119" t="s">
        <v>1</v>
      </c>
      <c r="DK1081" s="119" t="s">
        <v>1</v>
      </c>
      <c r="DL1081" s="119" t="s">
        <v>1330</v>
      </c>
    </row>
    <row r="1082" spans="1:116">
      <c r="A1082" s="32" t="str">
        <f t="shared" si="90"/>
        <v>Essential--OTHER - BOLLARDS</v>
      </c>
      <c r="B1082" s="32" t="str">
        <f t="shared" si="91"/>
        <v>Essential</v>
      </c>
      <c r="C1082" s="384"/>
      <c r="E1082" t="s">
        <v>1445</v>
      </c>
      <c r="F1082">
        <v>53.8</v>
      </c>
      <c r="G1082">
        <v>7.334848328356899</v>
      </c>
      <c r="H1082">
        <v>172</v>
      </c>
      <c r="I1082">
        <v>186</v>
      </c>
      <c r="J1082">
        <v>123</v>
      </c>
      <c r="K1082">
        <v>82</v>
      </c>
      <c r="L1082">
        <v>126</v>
      </c>
      <c r="M1082">
        <v>118</v>
      </c>
      <c r="N1082">
        <v>120</v>
      </c>
      <c r="O1082">
        <v>101</v>
      </c>
      <c r="P1082">
        <v>128</v>
      </c>
      <c r="Q1082">
        <v>159</v>
      </c>
      <c r="R1082">
        <v>116</v>
      </c>
      <c r="S1082">
        <v>118</v>
      </c>
      <c r="T1082">
        <v>106</v>
      </c>
      <c r="U1082">
        <v>154</v>
      </c>
      <c r="V1082">
        <v>100</v>
      </c>
      <c r="W1082">
        <v>114</v>
      </c>
      <c r="X1082">
        <v>94</v>
      </c>
      <c r="Y1082">
        <v>108</v>
      </c>
      <c r="Z1082">
        <v>176</v>
      </c>
      <c r="AA1082">
        <v>225</v>
      </c>
      <c r="AB1082">
        <v>234</v>
      </c>
      <c r="AC1082">
        <v>252</v>
      </c>
      <c r="AD1082">
        <v>305</v>
      </c>
      <c r="AE1082">
        <v>285</v>
      </c>
      <c r="AF1082">
        <v>295</v>
      </c>
      <c r="AG1082">
        <v>241</v>
      </c>
      <c r="AH1082">
        <v>312</v>
      </c>
      <c r="AI1082">
        <v>260</v>
      </c>
      <c r="AJ1082">
        <v>216</v>
      </c>
      <c r="AK1082">
        <v>191</v>
      </c>
      <c r="AL1082">
        <v>143</v>
      </c>
      <c r="AM1082">
        <v>262</v>
      </c>
      <c r="AN1082">
        <v>234</v>
      </c>
      <c r="AO1082">
        <v>321</v>
      </c>
      <c r="AP1082">
        <v>193</v>
      </c>
      <c r="AQ1082">
        <v>173</v>
      </c>
      <c r="AR1082">
        <v>246</v>
      </c>
      <c r="AS1082">
        <v>143</v>
      </c>
      <c r="AT1082">
        <v>246</v>
      </c>
      <c r="AU1082">
        <v>181</v>
      </c>
      <c r="AV1082">
        <v>215</v>
      </c>
      <c r="AW1082">
        <v>183</v>
      </c>
      <c r="AX1082">
        <v>311</v>
      </c>
      <c r="AY1082">
        <v>474</v>
      </c>
      <c r="AZ1082">
        <v>312</v>
      </c>
      <c r="BA1082">
        <v>235</v>
      </c>
      <c r="BB1082">
        <v>174</v>
      </c>
      <c r="BC1082">
        <v>449</v>
      </c>
      <c r="BD1082">
        <v>290</v>
      </c>
      <c r="BE1082">
        <v>89</v>
      </c>
      <c r="BF1082">
        <v>91</v>
      </c>
      <c r="BG1082">
        <v>60</v>
      </c>
      <c r="BH1082">
        <v>148</v>
      </c>
      <c r="BI1082">
        <v>471</v>
      </c>
      <c r="BJ1082">
        <v>37</v>
      </c>
      <c r="BK1082">
        <v>50</v>
      </c>
      <c r="BL1082">
        <v>30</v>
      </c>
      <c r="BM1082">
        <v>38</v>
      </c>
      <c r="BN1082">
        <v>206</v>
      </c>
      <c r="BO1082">
        <v>38</v>
      </c>
      <c r="BP1082">
        <v>20</v>
      </c>
      <c r="BQ1082">
        <v>126</v>
      </c>
      <c r="BR1082">
        <v>8</v>
      </c>
      <c r="BS1082">
        <v>354</v>
      </c>
      <c r="BT1082">
        <v>24</v>
      </c>
      <c r="BU1082">
        <v>5</v>
      </c>
      <c r="BV1082">
        <v>8</v>
      </c>
      <c r="BW1082">
        <v>6</v>
      </c>
      <c r="BX1082">
        <v>3</v>
      </c>
      <c r="BY1082">
        <v>2</v>
      </c>
      <c r="BZ1082">
        <v>1</v>
      </c>
      <c r="CA1082">
        <v>3</v>
      </c>
      <c r="CB1082">
        <v>0</v>
      </c>
      <c r="CC1082">
        <v>14</v>
      </c>
      <c r="CD1082">
        <v>2</v>
      </c>
      <c r="CE1082">
        <v>2</v>
      </c>
      <c r="CF1082">
        <v>0</v>
      </c>
      <c r="CG1082">
        <v>3</v>
      </c>
      <c r="CH1082">
        <v>0</v>
      </c>
      <c r="CI1082">
        <v>0</v>
      </c>
      <c r="CJ1082">
        <v>0</v>
      </c>
      <c r="CK1082">
        <v>0</v>
      </c>
      <c r="CL1082">
        <v>0</v>
      </c>
      <c r="CM1082">
        <v>61</v>
      </c>
      <c r="CN1082">
        <v>0</v>
      </c>
      <c r="CO1082">
        <v>0</v>
      </c>
      <c r="CP1082">
        <v>0</v>
      </c>
      <c r="CQ1082">
        <v>0</v>
      </c>
      <c r="CR1082">
        <v>0</v>
      </c>
      <c r="CS1082">
        <v>0</v>
      </c>
      <c r="CT1082">
        <v>0</v>
      </c>
      <c r="CU1082">
        <v>0</v>
      </c>
      <c r="CV1082">
        <v>0</v>
      </c>
      <c r="CW1082">
        <v>0</v>
      </c>
      <c r="CX1082">
        <v>0</v>
      </c>
      <c r="CY1082">
        <v>0</v>
      </c>
      <c r="CZ1082">
        <v>0</v>
      </c>
      <c r="DA1082">
        <v>0</v>
      </c>
      <c r="DB1082">
        <v>0</v>
      </c>
      <c r="DC1082">
        <v>0</v>
      </c>
      <c r="DD1082">
        <v>0</v>
      </c>
      <c r="DE1082">
        <v>0</v>
      </c>
      <c r="DF1082">
        <v>0</v>
      </c>
      <c r="DG1082" s="16">
        <f t="shared" si="92"/>
        <v>11902</v>
      </c>
      <c r="DH1082" s="16">
        <f t="shared" si="93"/>
        <v>399911</v>
      </c>
      <c r="DI1082" s="17">
        <f t="shared" si="94"/>
        <v>33.600319274071587</v>
      </c>
      <c r="DJ1082" s="119" t="s">
        <v>1</v>
      </c>
      <c r="DK1082" s="119" t="s">
        <v>1</v>
      </c>
      <c r="DL1082" s="119" t="s">
        <v>720</v>
      </c>
    </row>
    <row r="1083" spans="1:116">
      <c r="A1083" s="32" t="str">
        <f t="shared" si="90"/>
        <v>Essential-OVERHEAD CONDUCTORS BY: 
HIGHEST OPERATING VOLTAGE; NUMBER OF PHASES (AT HV)-˂ = 1 KV</v>
      </c>
      <c r="B1083" s="32" t="str">
        <f t="shared" si="91"/>
        <v>Essential</v>
      </c>
      <c r="C1083" s="384"/>
      <c r="D1083" t="s">
        <v>538</v>
      </c>
      <c r="E1083" t="s">
        <v>1446</v>
      </c>
      <c r="F1083">
        <v>53.8</v>
      </c>
      <c r="G1083">
        <v>7.334848328356899</v>
      </c>
      <c r="H1083">
        <v>482.59253537130019</v>
      </c>
      <c r="I1083">
        <v>662.07738472658446</v>
      </c>
      <c r="J1083">
        <v>648.22164627507641</v>
      </c>
      <c r="K1083">
        <v>585.35708967341395</v>
      </c>
      <c r="L1083">
        <v>688.7257689676095</v>
      </c>
      <c r="M1083">
        <v>573.37279461399248</v>
      </c>
      <c r="N1083">
        <v>531.38864101362503</v>
      </c>
      <c r="O1083">
        <v>613.42649744572327</v>
      </c>
      <c r="P1083">
        <v>524.59144013941716</v>
      </c>
      <c r="Q1083">
        <v>552.45195166083954</v>
      </c>
      <c r="R1083">
        <v>534.96890674849658</v>
      </c>
      <c r="S1083">
        <v>476.49577970720406</v>
      </c>
      <c r="T1083">
        <v>1388.4304947194782</v>
      </c>
      <c r="U1083">
        <v>249.68277335439501</v>
      </c>
      <c r="V1083">
        <v>217.29903224537327</v>
      </c>
      <c r="W1083">
        <v>213.14782343686466</v>
      </c>
      <c r="X1083">
        <v>246.11162173511818</v>
      </c>
      <c r="Y1083">
        <v>314.4380690158892</v>
      </c>
      <c r="Z1083">
        <v>516.25064765224897</v>
      </c>
      <c r="AA1083">
        <v>548.59252928671572</v>
      </c>
      <c r="AB1083">
        <v>536.44636918434128</v>
      </c>
      <c r="AC1083">
        <v>938.02693588231978</v>
      </c>
      <c r="AD1083">
        <v>592.31195330527487</v>
      </c>
      <c r="AE1083">
        <v>644.31534418890749</v>
      </c>
      <c r="AF1083">
        <v>547.87867376877364</v>
      </c>
      <c r="AG1083">
        <v>486.36695720986643</v>
      </c>
      <c r="AH1083">
        <v>597.39863698689408</v>
      </c>
      <c r="AI1083">
        <v>520.10359022329089</v>
      </c>
      <c r="AJ1083">
        <v>506.98629847269018</v>
      </c>
      <c r="AK1083">
        <v>476.20346697124808</v>
      </c>
      <c r="AL1083">
        <v>342.29528121928757</v>
      </c>
      <c r="AM1083">
        <v>523.74089039376202</v>
      </c>
      <c r="AN1083">
        <v>603.10781472913879</v>
      </c>
      <c r="AO1083">
        <v>568.79453010737075</v>
      </c>
      <c r="AP1083">
        <v>374.89444380842832</v>
      </c>
      <c r="AQ1083">
        <v>405.43770963866172</v>
      </c>
      <c r="AR1083">
        <v>520.39302932453586</v>
      </c>
      <c r="AS1083">
        <v>371.23277395147693</v>
      </c>
      <c r="AT1083">
        <v>397.21908059701587</v>
      </c>
      <c r="AU1083">
        <v>395.35426728393531</v>
      </c>
      <c r="AV1083">
        <v>304.36963096443191</v>
      </c>
      <c r="AW1083">
        <v>368.36553121779627</v>
      </c>
      <c r="AX1083">
        <v>593.7105186139496</v>
      </c>
      <c r="AY1083">
        <v>603.34405989121251</v>
      </c>
      <c r="AZ1083">
        <v>482.36994034266775</v>
      </c>
      <c r="BA1083">
        <v>410.56009918914549</v>
      </c>
      <c r="BB1083">
        <v>326.0649704354089</v>
      </c>
      <c r="BC1083">
        <v>559.5081309597258</v>
      </c>
      <c r="BD1083">
        <v>416.40295097616678</v>
      </c>
      <c r="BE1083">
        <v>278.26171664967552</v>
      </c>
      <c r="BF1083">
        <v>156.9149909702511</v>
      </c>
      <c r="BG1083">
        <v>209.04205346298431</v>
      </c>
      <c r="BH1083">
        <v>408.59363612533383</v>
      </c>
      <c r="BI1083">
        <v>749.07894507322726</v>
      </c>
      <c r="BJ1083">
        <v>132.36214971605585</v>
      </c>
      <c r="BK1083">
        <v>118.06973773136599</v>
      </c>
      <c r="BL1083">
        <v>140.92498394802854</v>
      </c>
      <c r="BM1083">
        <v>71.81059982382699</v>
      </c>
      <c r="BN1083">
        <v>292.65471169156984</v>
      </c>
      <c r="BO1083">
        <v>45.132670115417071</v>
      </c>
      <c r="BP1083">
        <v>17.222115842052332</v>
      </c>
      <c r="BQ1083">
        <v>19.418037624994255</v>
      </c>
      <c r="BR1083">
        <v>8.5559300871605064</v>
      </c>
      <c r="BS1083">
        <v>481.95425686324245</v>
      </c>
      <c r="BT1083">
        <v>23.29765017374897</v>
      </c>
      <c r="BU1083">
        <v>2.9230317699135755</v>
      </c>
      <c r="BV1083">
        <v>6.2189536584604239</v>
      </c>
      <c r="BW1083">
        <v>8.5903664559671693</v>
      </c>
      <c r="BX1083">
        <v>10.802527384252976</v>
      </c>
      <c r="BY1083">
        <v>0</v>
      </c>
      <c r="BZ1083">
        <v>1.7609128221923396</v>
      </c>
      <c r="CA1083">
        <v>1.8532726885742332</v>
      </c>
      <c r="CB1083">
        <v>10.693375669560528</v>
      </c>
      <c r="CC1083">
        <v>5.0184073493410128</v>
      </c>
      <c r="CD1083">
        <v>2.0107420432507537</v>
      </c>
      <c r="CE1083">
        <v>0.95527854605384854</v>
      </c>
      <c r="CF1083">
        <v>0</v>
      </c>
      <c r="CG1083">
        <v>3.4948382217958738</v>
      </c>
      <c r="CH1083">
        <v>0</v>
      </c>
      <c r="CI1083">
        <v>0</v>
      </c>
      <c r="CJ1083">
        <v>0</v>
      </c>
      <c r="CK1083">
        <v>0.14317907463582999</v>
      </c>
      <c r="CL1083">
        <v>0</v>
      </c>
      <c r="CM1083">
        <v>57.7132446337787</v>
      </c>
      <c r="CN1083">
        <v>0</v>
      </c>
      <c r="CO1083">
        <v>0</v>
      </c>
      <c r="CP1083">
        <v>0</v>
      </c>
      <c r="CQ1083">
        <v>0</v>
      </c>
      <c r="CR1083">
        <v>0</v>
      </c>
      <c r="CS1083">
        <v>0</v>
      </c>
      <c r="CT1083">
        <v>0</v>
      </c>
      <c r="CU1083">
        <v>0</v>
      </c>
      <c r="CV1083">
        <v>0</v>
      </c>
      <c r="CW1083">
        <v>0</v>
      </c>
      <c r="CX1083">
        <v>0</v>
      </c>
      <c r="CY1083">
        <v>0</v>
      </c>
      <c r="CZ1083">
        <v>0</v>
      </c>
      <c r="DA1083">
        <v>0</v>
      </c>
      <c r="DB1083">
        <v>0</v>
      </c>
      <c r="DC1083">
        <v>0</v>
      </c>
      <c r="DD1083">
        <v>0</v>
      </c>
      <c r="DE1083">
        <v>0.21643547548300465</v>
      </c>
      <c r="DF1083">
        <v>1.2079406802704764</v>
      </c>
      <c r="DG1083" s="16">
        <f t="shared" si="92"/>
        <v>28247.723999999555</v>
      </c>
      <c r="DH1083" s="16">
        <f t="shared" si="93"/>
        <v>776466.10005202424</v>
      </c>
      <c r="DI1083" s="17">
        <f t="shared" si="94"/>
        <v>27.487740253056725</v>
      </c>
      <c r="DJ1083" s="119" t="s">
        <v>718</v>
      </c>
      <c r="DK1083" s="119" t="s">
        <v>718</v>
      </c>
      <c r="DL1083" s="119"/>
    </row>
    <row r="1084" spans="1:116">
      <c r="A1084" s="32" t="str">
        <f t="shared" si="90"/>
        <v>Essential--&gt; 1 KV &amp; &lt; = 11 KV</v>
      </c>
      <c r="B1084" s="32" t="str">
        <f t="shared" si="91"/>
        <v>Essential</v>
      </c>
      <c r="C1084" s="384"/>
      <c r="E1084" t="s">
        <v>1447</v>
      </c>
      <c r="F1084">
        <v>53.8</v>
      </c>
      <c r="G1084">
        <v>7.334848328356899</v>
      </c>
      <c r="H1084">
        <v>967.31113166871319</v>
      </c>
      <c r="I1084">
        <v>929.89394171328968</v>
      </c>
      <c r="J1084">
        <v>765.19374672351876</v>
      </c>
      <c r="K1084">
        <v>740.36477479543873</v>
      </c>
      <c r="L1084">
        <v>693.26928762096111</v>
      </c>
      <c r="M1084">
        <v>512.46157468697993</v>
      </c>
      <c r="N1084">
        <v>467.20956476563151</v>
      </c>
      <c r="O1084">
        <v>617.1184956883551</v>
      </c>
      <c r="P1084">
        <v>695.59953345761528</v>
      </c>
      <c r="Q1084">
        <v>614.15482190260013</v>
      </c>
      <c r="R1084">
        <v>616.4457312244781</v>
      </c>
      <c r="S1084">
        <v>1043.6951686690736</v>
      </c>
      <c r="T1084">
        <v>670.39687847322978</v>
      </c>
      <c r="U1084">
        <v>146.19200113205477</v>
      </c>
      <c r="V1084">
        <v>55.547780120002372</v>
      </c>
      <c r="W1084">
        <v>57.255051790330064</v>
      </c>
      <c r="X1084">
        <v>75.604573123417566</v>
      </c>
      <c r="Y1084">
        <v>93.091670060421976</v>
      </c>
      <c r="Z1084">
        <v>146.46717943698786</v>
      </c>
      <c r="AA1084">
        <v>174.30477763451611</v>
      </c>
      <c r="AB1084">
        <v>149.25842941561243</v>
      </c>
      <c r="AC1084">
        <v>191.05164656737816</v>
      </c>
      <c r="AD1084">
        <v>234.1804333865181</v>
      </c>
      <c r="AE1084">
        <v>287.08973047715239</v>
      </c>
      <c r="AF1084">
        <v>249.24301220632745</v>
      </c>
      <c r="AG1084">
        <v>310.27265911026706</v>
      </c>
      <c r="AH1084">
        <v>319.85531215411567</v>
      </c>
      <c r="AI1084">
        <v>275.71959590657951</v>
      </c>
      <c r="AJ1084">
        <v>217.93502408570754</v>
      </c>
      <c r="AK1084">
        <v>164.76128812723027</v>
      </c>
      <c r="AL1084">
        <v>228.85601890842148</v>
      </c>
      <c r="AM1084">
        <v>246.36277207943149</v>
      </c>
      <c r="AN1084">
        <v>266.10021653620186</v>
      </c>
      <c r="AO1084">
        <v>332.74007600256374</v>
      </c>
      <c r="AP1084">
        <v>222.92615576255503</v>
      </c>
      <c r="AQ1084">
        <v>279.40476358546584</v>
      </c>
      <c r="AR1084">
        <v>629.37976692565121</v>
      </c>
      <c r="AS1084">
        <v>334.95634406927115</v>
      </c>
      <c r="AT1084">
        <v>428.78050679992418</v>
      </c>
      <c r="AU1084">
        <v>469.53224845346745</v>
      </c>
      <c r="AV1084">
        <v>463.75785117617772</v>
      </c>
      <c r="AW1084">
        <v>694.51520751262967</v>
      </c>
      <c r="AX1084">
        <v>1076.798604106745</v>
      </c>
      <c r="AY1084">
        <v>2174.4495249593624</v>
      </c>
      <c r="AZ1084">
        <v>1664.6779313136517</v>
      </c>
      <c r="BA1084">
        <v>804.45213685250008</v>
      </c>
      <c r="BB1084">
        <v>3064.4139043035875</v>
      </c>
      <c r="BC1084">
        <v>1287.628561939398</v>
      </c>
      <c r="BD1084">
        <v>2150.834772747799</v>
      </c>
      <c r="BE1084">
        <v>1567.4501046520522</v>
      </c>
      <c r="BF1084">
        <v>791.31899201453336</v>
      </c>
      <c r="BG1084">
        <v>1185.9056857344326</v>
      </c>
      <c r="BH1084">
        <v>4535.3175789972902</v>
      </c>
      <c r="BI1084">
        <v>8674.2453471573754</v>
      </c>
      <c r="BJ1084">
        <v>817.988289883677</v>
      </c>
      <c r="BK1084">
        <v>1245.7366081644464</v>
      </c>
      <c r="BL1084">
        <v>921.33497651043581</v>
      </c>
      <c r="BM1084">
        <v>996.04906813628304</v>
      </c>
      <c r="BN1084">
        <v>3773.5465118286911</v>
      </c>
      <c r="BO1084">
        <v>429.6598742865437</v>
      </c>
      <c r="BP1084">
        <v>1374.827119014876</v>
      </c>
      <c r="BQ1084">
        <v>1835.4865657106229</v>
      </c>
      <c r="BR1084">
        <v>1167.0933245370175</v>
      </c>
      <c r="BS1084">
        <v>9671.8937219277504</v>
      </c>
      <c r="BT1084">
        <v>143.20612426274403</v>
      </c>
      <c r="BU1084">
        <v>180.74416065435628</v>
      </c>
      <c r="BV1084">
        <v>204.81242185636154</v>
      </c>
      <c r="BW1084">
        <v>173.69227405216242</v>
      </c>
      <c r="BX1084">
        <v>90.063487532144435</v>
      </c>
      <c r="BY1084">
        <v>32.083873203497632</v>
      </c>
      <c r="BZ1084">
        <v>0</v>
      </c>
      <c r="CA1084">
        <v>0</v>
      </c>
      <c r="CB1084">
        <v>31.596481425516131</v>
      </c>
      <c r="CC1084">
        <v>513.75485769233126</v>
      </c>
      <c r="CD1084">
        <v>132.44626855640084</v>
      </c>
      <c r="CE1084">
        <v>124.41563549501237</v>
      </c>
      <c r="CF1084">
        <v>46.393895700801842</v>
      </c>
      <c r="CG1084">
        <v>140.97617409417617</v>
      </c>
      <c r="CH1084">
        <v>18.034723599205957</v>
      </c>
      <c r="CI1084">
        <v>3.9621776662490324</v>
      </c>
      <c r="CJ1084">
        <v>63.338434504929076</v>
      </c>
      <c r="CK1084">
        <v>0.96838027338346822</v>
      </c>
      <c r="CL1084">
        <v>37.905917090417049</v>
      </c>
      <c r="CM1084">
        <v>81.09327255621136</v>
      </c>
      <c r="CN1084">
        <v>0</v>
      </c>
      <c r="CO1084">
        <v>0</v>
      </c>
      <c r="CP1084">
        <v>0</v>
      </c>
      <c r="CQ1084">
        <v>0</v>
      </c>
      <c r="CR1084">
        <v>0</v>
      </c>
      <c r="CS1084">
        <v>0</v>
      </c>
      <c r="CT1084">
        <v>0</v>
      </c>
      <c r="CU1084">
        <v>0</v>
      </c>
      <c r="CV1084">
        <v>0</v>
      </c>
      <c r="CW1084">
        <v>0</v>
      </c>
      <c r="CX1084">
        <v>0</v>
      </c>
      <c r="CY1084">
        <v>0</v>
      </c>
      <c r="CZ1084">
        <v>0</v>
      </c>
      <c r="DA1084">
        <v>0</v>
      </c>
      <c r="DB1084">
        <v>0</v>
      </c>
      <c r="DC1084">
        <v>0</v>
      </c>
      <c r="DD1084">
        <v>0</v>
      </c>
      <c r="DE1084">
        <v>0</v>
      </c>
      <c r="DF1084">
        <v>0</v>
      </c>
      <c r="DG1084" s="16">
        <f t="shared" si="92"/>
        <v>70308.854508931254</v>
      </c>
      <c r="DH1084" s="16">
        <f t="shared" si="93"/>
        <v>3274816.3178518326</v>
      </c>
      <c r="DI1084" s="17">
        <f t="shared" si="94"/>
        <v>46.577580316513853</v>
      </c>
      <c r="DJ1084" s="119" t="s">
        <v>718</v>
      </c>
      <c r="DK1084" s="119" t="s">
        <v>718</v>
      </c>
      <c r="DL1084" s="119"/>
    </row>
    <row r="1085" spans="1:116">
      <c r="A1085" s="32" t="str">
        <f t="shared" si="90"/>
        <v>Essential--˃ 11 KV &amp; &lt; = 22 KV  ; SWER</v>
      </c>
      <c r="B1085" s="32" t="str">
        <f t="shared" si="91"/>
        <v>Essential</v>
      </c>
      <c r="C1085" s="384"/>
      <c r="E1085" t="s">
        <v>1448</v>
      </c>
      <c r="F1085">
        <v>53.8</v>
      </c>
      <c r="G1085">
        <v>7.334848328356899</v>
      </c>
      <c r="H1085">
        <v>36.351702791587769</v>
      </c>
      <c r="I1085">
        <v>25.380299347223989</v>
      </c>
      <c r="J1085">
        <v>11.156921086567412</v>
      </c>
      <c r="K1085">
        <v>28.199815210887738</v>
      </c>
      <c r="L1085">
        <v>18.531960122416166</v>
      </c>
      <c r="M1085">
        <v>132.54579294238636</v>
      </c>
      <c r="N1085">
        <v>215.26206725712851</v>
      </c>
      <c r="O1085">
        <v>115.63535652238836</v>
      </c>
      <c r="P1085">
        <v>33.358142165558966</v>
      </c>
      <c r="Q1085">
        <v>27.236639064561679</v>
      </c>
      <c r="R1085">
        <v>193.10199797405616</v>
      </c>
      <c r="S1085">
        <v>211.82099654790662</v>
      </c>
      <c r="T1085">
        <v>106.16689867753915</v>
      </c>
      <c r="U1085">
        <v>27.263494330256272</v>
      </c>
      <c r="V1085">
        <v>5.955550886920653</v>
      </c>
      <c r="W1085">
        <v>14.597769105061962</v>
      </c>
      <c r="X1085">
        <v>9.5664336619343704</v>
      </c>
      <c r="Y1085">
        <v>60.648962222799923</v>
      </c>
      <c r="Z1085">
        <v>1609.7521020260267</v>
      </c>
      <c r="AA1085">
        <v>966.35614043234943</v>
      </c>
      <c r="AB1085">
        <v>940.60050790714422</v>
      </c>
      <c r="AC1085">
        <v>129.45008437771696</v>
      </c>
      <c r="AD1085">
        <v>34.516547029049768</v>
      </c>
      <c r="AE1085">
        <v>128.79620726315585</v>
      </c>
      <c r="AF1085">
        <v>328.32070181428253</v>
      </c>
      <c r="AG1085">
        <v>691.85240786118516</v>
      </c>
      <c r="AH1085">
        <v>92.618479262860859</v>
      </c>
      <c r="AI1085">
        <v>132.70977566916343</v>
      </c>
      <c r="AJ1085">
        <v>223.9234711991345</v>
      </c>
      <c r="AK1085">
        <v>352.96510081513435</v>
      </c>
      <c r="AL1085">
        <v>444.29018976213206</v>
      </c>
      <c r="AM1085">
        <v>602.72605053500172</v>
      </c>
      <c r="AN1085">
        <v>952.56258284610749</v>
      </c>
      <c r="AO1085">
        <v>920.8569833659916</v>
      </c>
      <c r="AP1085">
        <v>33.413013690514944</v>
      </c>
      <c r="AQ1085">
        <v>500.80718422118292</v>
      </c>
      <c r="AR1085">
        <v>119.88924367400355</v>
      </c>
      <c r="AS1085">
        <v>195.01805568254392</v>
      </c>
      <c r="AT1085">
        <v>214.11508495993903</v>
      </c>
      <c r="AU1085">
        <v>398.25142105651878</v>
      </c>
      <c r="AV1085">
        <v>85.759965789399004</v>
      </c>
      <c r="AW1085">
        <v>129.04937903023549</v>
      </c>
      <c r="AX1085">
        <v>471.34119926753743</v>
      </c>
      <c r="AY1085">
        <v>445.11000171351236</v>
      </c>
      <c r="AZ1085">
        <v>173.0443089297348</v>
      </c>
      <c r="BA1085">
        <v>137.07954540731819</v>
      </c>
      <c r="BB1085">
        <v>1294.1015327306541</v>
      </c>
      <c r="BC1085">
        <v>1372.4354290528784</v>
      </c>
      <c r="BD1085">
        <v>2493.10512190702</v>
      </c>
      <c r="BE1085">
        <v>2496.6026798795797</v>
      </c>
      <c r="BF1085">
        <v>811.63939487127504</v>
      </c>
      <c r="BG1085">
        <v>459.2680782039676</v>
      </c>
      <c r="BH1085">
        <v>1798.2803999900716</v>
      </c>
      <c r="BI1085">
        <v>2026.1775122009419</v>
      </c>
      <c r="BJ1085">
        <v>59.792780819230316</v>
      </c>
      <c r="BK1085">
        <v>294.249836558472</v>
      </c>
      <c r="BL1085">
        <v>6.1048922042095732</v>
      </c>
      <c r="BM1085">
        <v>266.37222625997634</v>
      </c>
      <c r="BN1085">
        <v>389.35974438498079</v>
      </c>
      <c r="BO1085">
        <v>36.970533526247927</v>
      </c>
      <c r="BP1085">
        <v>646.14164122783313</v>
      </c>
      <c r="BQ1085">
        <v>303.388904581529</v>
      </c>
      <c r="BR1085">
        <v>182.60494329759541</v>
      </c>
      <c r="BS1085">
        <v>452.43867805452714</v>
      </c>
      <c r="BT1085">
        <v>0</v>
      </c>
      <c r="BU1085">
        <v>54.422373285798443</v>
      </c>
      <c r="BV1085">
        <v>0</v>
      </c>
      <c r="BW1085">
        <v>0</v>
      </c>
      <c r="BX1085">
        <v>34.07984548812162</v>
      </c>
      <c r="BY1085">
        <v>0</v>
      </c>
      <c r="BZ1085">
        <v>0</v>
      </c>
      <c r="CA1085">
        <v>0</v>
      </c>
      <c r="CB1085">
        <v>0</v>
      </c>
      <c r="CC1085">
        <v>1287.0207547820632</v>
      </c>
      <c r="CD1085">
        <v>0</v>
      </c>
      <c r="CE1085">
        <v>0</v>
      </c>
      <c r="CF1085">
        <v>0</v>
      </c>
      <c r="CG1085">
        <v>0</v>
      </c>
      <c r="CH1085">
        <v>0</v>
      </c>
      <c r="CI1085">
        <v>0</v>
      </c>
      <c r="CJ1085">
        <v>0</v>
      </c>
      <c r="CK1085">
        <v>0</v>
      </c>
      <c r="CL1085">
        <v>206.11577183775776</v>
      </c>
      <c r="CM1085">
        <v>0</v>
      </c>
      <c r="CN1085">
        <v>0</v>
      </c>
      <c r="CO1085">
        <v>0</v>
      </c>
      <c r="CP1085">
        <v>0</v>
      </c>
      <c r="CQ1085">
        <v>0</v>
      </c>
      <c r="CR1085">
        <v>0</v>
      </c>
      <c r="CS1085">
        <v>0</v>
      </c>
      <c r="CT1085">
        <v>0</v>
      </c>
      <c r="CU1085">
        <v>0</v>
      </c>
      <c r="CV1085">
        <v>0</v>
      </c>
      <c r="CW1085">
        <v>0</v>
      </c>
      <c r="CX1085">
        <v>0</v>
      </c>
      <c r="CY1085">
        <v>0</v>
      </c>
      <c r="CZ1085">
        <v>0</v>
      </c>
      <c r="DA1085">
        <v>0</v>
      </c>
      <c r="DB1085">
        <v>0</v>
      </c>
      <c r="DC1085">
        <v>0</v>
      </c>
      <c r="DD1085">
        <v>0</v>
      </c>
      <c r="DE1085">
        <v>0</v>
      </c>
      <c r="DF1085">
        <v>0</v>
      </c>
      <c r="DG1085" s="16">
        <f t="shared" si="92"/>
        <v>29698.629610650798</v>
      </c>
      <c r="DH1085" s="16">
        <f t="shared" si="93"/>
        <v>1273455.284998307</v>
      </c>
      <c r="DI1085" s="17">
        <f t="shared" si="94"/>
        <v>42.879260817529733</v>
      </c>
      <c r="DJ1085" s="119" t="s">
        <v>718</v>
      </c>
      <c r="DK1085" s="119" t="s">
        <v>718</v>
      </c>
      <c r="DL1085" s="119"/>
    </row>
    <row r="1086" spans="1:116">
      <c r="A1086" s="32" t="str">
        <f t="shared" si="90"/>
        <v>Essential--˃ 11 KV &amp; &lt; = 22 KV ; SINGLE-PHASE</v>
      </c>
      <c r="B1086" s="32" t="str">
        <f t="shared" si="91"/>
        <v>Essential</v>
      </c>
      <c r="C1086" s="384"/>
      <c r="E1086" t="s">
        <v>1449</v>
      </c>
      <c r="F1086">
        <v>53.8</v>
      </c>
      <c r="G1086">
        <v>7.334848328356899</v>
      </c>
      <c r="H1086">
        <v>73.772988585441041</v>
      </c>
      <c r="I1086">
        <v>76.962447663956141</v>
      </c>
      <c r="J1086">
        <v>30.737326939943529</v>
      </c>
      <c r="K1086">
        <v>62.886396467602751</v>
      </c>
      <c r="L1086">
        <v>63.340986773373729</v>
      </c>
      <c r="M1086">
        <v>145.24937226578967</v>
      </c>
      <c r="N1086">
        <v>187.51525562309729</v>
      </c>
      <c r="O1086">
        <v>124.59237499823942</v>
      </c>
      <c r="P1086">
        <v>132.2856463443166</v>
      </c>
      <c r="Q1086">
        <v>108.79739066177252</v>
      </c>
      <c r="R1086">
        <v>88.891073734120013</v>
      </c>
      <c r="S1086">
        <v>194.58171217951596</v>
      </c>
      <c r="T1086">
        <v>138.32646308789944</v>
      </c>
      <c r="U1086">
        <v>29.4741972887674</v>
      </c>
      <c r="V1086">
        <v>16.699814654158789</v>
      </c>
      <c r="W1086">
        <v>9.5680030025069467</v>
      </c>
      <c r="X1086">
        <v>20.932338531088956</v>
      </c>
      <c r="Y1086">
        <v>36.313627823449295</v>
      </c>
      <c r="Z1086">
        <v>42.602857247677449</v>
      </c>
      <c r="AA1086">
        <v>33.729012703028118</v>
      </c>
      <c r="AB1086">
        <v>28.40528666844201</v>
      </c>
      <c r="AC1086">
        <v>42.349542336945142</v>
      </c>
      <c r="AD1086">
        <v>46.082512809274185</v>
      </c>
      <c r="AE1086">
        <v>47.008172130514687</v>
      </c>
      <c r="AF1086">
        <v>77.911716482081218</v>
      </c>
      <c r="AG1086">
        <v>67.366463117492472</v>
      </c>
      <c r="AH1086">
        <v>103.81170614715376</v>
      </c>
      <c r="AI1086">
        <v>61.638805420262223</v>
      </c>
      <c r="AJ1086">
        <v>45.80689314113134</v>
      </c>
      <c r="AK1086">
        <v>61.731689122780267</v>
      </c>
      <c r="AL1086">
        <v>67.285956421845739</v>
      </c>
      <c r="AM1086">
        <v>85.770910245709644</v>
      </c>
      <c r="AN1086">
        <v>77.932319647283776</v>
      </c>
      <c r="AO1086">
        <v>432.58694034915078</v>
      </c>
      <c r="AP1086">
        <v>61.836853663639147</v>
      </c>
      <c r="AQ1086">
        <v>119.03639314863371</v>
      </c>
      <c r="AR1086">
        <v>89.262292991415038</v>
      </c>
      <c r="AS1086">
        <v>99.268420118678847</v>
      </c>
      <c r="AT1086">
        <v>108.58741963051962</v>
      </c>
      <c r="AU1086">
        <v>86.085735340403986</v>
      </c>
      <c r="AV1086">
        <v>93.123501808373547</v>
      </c>
      <c r="AW1086">
        <v>100.35693731539354</v>
      </c>
      <c r="AX1086">
        <v>152.23397365918771</v>
      </c>
      <c r="AY1086">
        <v>336.19606521801541</v>
      </c>
      <c r="AZ1086">
        <v>251.10781984937165</v>
      </c>
      <c r="BA1086">
        <v>338.09792812326521</v>
      </c>
      <c r="BB1086">
        <v>1149.23449694326</v>
      </c>
      <c r="BC1086">
        <v>1161.0499172368197</v>
      </c>
      <c r="BD1086">
        <v>951.53677444731363</v>
      </c>
      <c r="BE1086">
        <v>508.63189369393564</v>
      </c>
      <c r="BF1086">
        <v>303.57348680991021</v>
      </c>
      <c r="BG1086">
        <v>446.05613663696562</v>
      </c>
      <c r="BH1086">
        <v>1810.2470612038117</v>
      </c>
      <c r="BI1086">
        <v>1977.23543540184</v>
      </c>
      <c r="BJ1086">
        <v>1026.9923990085222</v>
      </c>
      <c r="BK1086">
        <v>555.15532608904721</v>
      </c>
      <c r="BL1086">
        <v>260.98141400984679</v>
      </c>
      <c r="BM1086">
        <v>879.21021177827174</v>
      </c>
      <c r="BN1086">
        <v>1853.114652728704</v>
      </c>
      <c r="BO1086">
        <v>693.39674174344862</v>
      </c>
      <c r="BP1086">
        <v>155.9282712865367</v>
      </c>
      <c r="BQ1086">
        <v>121.74542910455068</v>
      </c>
      <c r="BR1086">
        <v>31.242592943097574</v>
      </c>
      <c r="BS1086">
        <v>1506.8959063332766</v>
      </c>
      <c r="BT1086">
        <v>60.398915008261895</v>
      </c>
      <c r="BU1086">
        <v>10.25586290369851</v>
      </c>
      <c r="BV1086">
        <v>3.7091304771978164</v>
      </c>
      <c r="BW1086">
        <v>6.9511834883698764</v>
      </c>
      <c r="BX1086">
        <v>12.289073993180065</v>
      </c>
      <c r="BY1086">
        <v>34.859645432022013</v>
      </c>
      <c r="BZ1086">
        <v>0</v>
      </c>
      <c r="CA1086">
        <v>0</v>
      </c>
      <c r="CB1086">
        <v>1.3776120357883208</v>
      </c>
      <c r="CC1086">
        <v>238.38026098792906</v>
      </c>
      <c r="CD1086">
        <v>15.384415640173502</v>
      </c>
      <c r="CE1086">
        <v>0</v>
      </c>
      <c r="CF1086">
        <v>9.7256775516754317</v>
      </c>
      <c r="CG1086">
        <v>0</v>
      </c>
      <c r="CH1086">
        <v>0</v>
      </c>
      <c r="CI1086">
        <v>0</v>
      </c>
      <c r="CJ1086">
        <v>0</v>
      </c>
      <c r="CK1086">
        <v>0</v>
      </c>
      <c r="CL1086">
        <v>505.84078272410562</v>
      </c>
      <c r="CM1086">
        <v>131.7694058737361</v>
      </c>
      <c r="CN1086">
        <v>0</v>
      </c>
      <c r="CO1086">
        <v>0</v>
      </c>
      <c r="CP1086">
        <v>0</v>
      </c>
      <c r="CQ1086">
        <v>0</v>
      </c>
      <c r="CR1086">
        <v>0</v>
      </c>
      <c r="CS1086">
        <v>0</v>
      </c>
      <c r="CT1086">
        <v>0</v>
      </c>
      <c r="CU1086">
        <v>0</v>
      </c>
      <c r="CV1086">
        <v>0</v>
      </c>
      <c r="CW1086">
        <v>0</v>
      </c>
      <c r="CX1086">
        <v>0</v>
      </c>
      <c r="CY1086">
        <v>0</v>
      </c>
      <c r="CZ1086">
        <v>0</v>
      </c>
      <c r="DA1086">
        <v>0</v>
      </c>
      <c r="DB1086">
        <v>0</v>
      </c>
      <c r="DC1086">
        <v>0</v>
      </c>
      <c r="DD1086">
        <v>0</v>
      </c>
      <c r="DE1086">
        <v>0</v>
      </c>
      <c r="DF1086">
        <v>0</v>
      </c>
      <c r="DG1086" s="16">
        <f t="shared" si="92"/>
        <v>21121.311654997997</v>
      </c>
      <c r="DH1086" s="16">
        <f t="shared" si="93"/>
        <v>1053781.9869867475</v>
      </c>
      <c r="DI1086" s="17">
        <f t="shared" si="94"/>
        <v>49.891881915268648</v>
      </c>
      <c r="DJ1086" s="119" t="s">
        <v>718</v>
      </c>
      <c r="DK1086" s="119" t="s">
        <v>718</v>
      </c>
      <c r="DL1086" s="119"/>
    </row>
    <row r="1087" spans="1:116">
      <c r="A1087" s="32" t="str">
        <f t="shared" si="90"/>
        <v>Essential--˃ 11 KV &amp; &lt; = 22 KV ; MULTIPLE-PHASE</v>
      </c>
      <c r="B1087" s="32" t="str">
        <f t="shared" si="91"/>
        <v>Essential</v>
      </c>
      <c r="C1087" s="384"/>
      <c r="E1087" t="s">
        <v>1450</v>
      </c>
      <c r="F1087">
        <v>53.8</v>
      </c>
      <c r="G1087">
        <v>7.334848328356899</v>
      </c>
      <c r="H1087">
        <v>283.88597712911269</v>
      </c>
      <c r="I1087">
        <v>225.40223827479491</v>
      </c>
      <c r="J1087">
        <v>253.50038175608918</v>
      </c>
      <c r="K1087">
        <v>193.73222590967757</v>
      </c>
      <c r="L1087">
        <v>146.83107994111009</v>
      </c>
      <c r="M1087">
        <v>274.24105380106067</v>
      </c>
      <c r="N1087">
        <v>240.94643504852641</v>
      </c>
      <c r="O1087">
        <v>192.00861239414419</v>
      </c>
      <c r="P1087">
        <v>95.303683066646784</v>
      </c>
      <c r="Q1087">
        <v>79.008346330820473</v>
      </c>
      <c r="R1087">
        <v>186.04413730299683</v>
      </c>
      <c r="S1087">
        <v>239.58319929366633</v>
      </c>
      <c r="T1087">
        <v>214.89643202769219</v>
      </c>
      <c r="U1087">
        <v>57.239712615166084</v>
      </c>
      <c r="V1087">
        <v>13.573889598620427</v>
      </c>
      <c r="W1087">
        <v>14.745638826174565</v>
      </c>
      <c r="X1087">
        <v>24.659133528607747</v>
      </c>
      <c r="Y1087">
        <v>35.648052583766777</v>
      </c>
      <c r="Z1087">
        <v>21.582043571182574</v>
      </c>
      <c r="AA1087">
        <v>24.279557706726191</v>
      </c>
      <c r="AB1087">
        <v>27.291361260556485</v>
      </c>
      <c r="AC1087">
        <v>30.660576824698129</v>
      </c>
      <c r="AD1087">
        <v>53.331439981150716</v>
      </c>
      <c r="AE1087">
        <v>54.267622989187551</v>
      </c>
      <c r="AF1087">
        <v>61.653343992440881</v>
      </c>
      <c r="AG1087">
        <v>71.580169814244741</v>
      </c>
      <c r="AH1087">
        <v>61.649802301698486</v>
      </c>
      <c r="AI1087">
        <v>67.78792674410191</v>
      </c>
      <c r="AJ1087">
        <v>133.67536340631878</v>
      </c>
      <c r="AK1087">
        <v>38.988752406578833</v>
      </c>
      <c r="AL1087">
        <v>76.315653734595926</v>
      </c>
      <c r="AM1087">
        <v>171.23019843366407</v>
      </c>
      <c r="AN1087">
        <v>137.20597447176783</v>
      </c>
      <c r="AO1087">
        <v>243.58822801418785</v>
      </c>
      <c r="AP1087">
        <v>103.10308125644261</v>
      </c>
      <c r="AQ1087">
        <v>120.38058035729063</v>
      </c>
      <c r="AR1087">
        <v>177.84868696494965</v>
      </c>
      <c r="AS1087">
        <v>107.96128871279636</v>
      </c>
      <c r="AT1087">
        <v>160.31209196881085</v>
      </c>
      <c r="AU1087">
        <v>111.96353065026963</v>
      </c>
      <c r="AV1087">
        <v>127.02574897431577</v>
      </c>
      <c r="AW1087">
        <v>79.281326356591137</v>
      </c>
      <c r="AX1087">
        <v>107.21655558064859</v>
      </c>
      <c r="AY1087">
        <v>343.75919941760247</v>
      </c>
      <c r="AZ1087">
        <v>178.31641946180551</v>
      </c>
      <c r="BA1087">
        <v>300.95435267750469</v>
      </c>
      <c r="BB1087">
        <v>1253.2209925941552</v>
      </c>
      <c r="BC1087">
        <v>948.2436073950546</v>
      </c>
      <c r="BD1087">
        <v>1464.9045554983463</v>
      </c>
      <c r="BE1087">
        <v>624.87468999476744</v>
      </c>
      <c r="BF1087">
        <v>344.94805530676257</v>
      </c>
      <c r="BG1087">
        <v>129.9886508607143</v>
      </c>
      <c r="BH1087">
        <v>1589.9542723594143</v>
      </c>
      <c r="BI1087">
        <v>2248.6455292182995</v>
      </c>
      <c r="BJ1087">
        <v>557.80642407530217</v>
      </c>
      <c r="BK1087">
        <v>718.82838976283892</v>
      </c>
      <c r="BL1087">
        <v>135.03002409746546</v>
      </c>
      <c r="BM1087">
        <v>701.07257534372286</v>
      </c>
      <c r="BN1087">
        <v>1046.7427542872088</v>
      </c>
      <c r="BO1087">
        <v>419.26797061599274</v>
      </c>
      <c r="BP1087">
        <v>215.97622409878912</v>
      </c>
      <c r="BQ1087">
        <v>81.696682443047948</v>
      </c>
      <c r="BR1087">
        <v>34.125692681414172</v>
      </c>
      <c r="BS1087">
        <v>731.50809993088717</v>
      </c>
      <c r="BT1087">
        <v>61.73269309481914</v>
      </c>
      <c r="BU1087">
        <v>24.590620823900053</v>
      </c>
      <c r="BV1087">
        <v>7.6337026945722641</v>
      </c>
      <c r="BW1087">
        <v>11.665488327953836</v>
      </c>
      <c r="BX1087">
        <v>28.392384597965016</v>
      </c>
      <c r="BY1087">
        <v>158.54986974766396</v>
      </c>
      <c r="BZ1087">
        <v>0.57485549810459491</v>
      </c>
      <c r="CA1087">
        <v>0.80071777353022189</v>
      </c>
      <c r="CB1087">
        <v>0</v>
      </c>
      <c r="CC1087">
        <v>902.2120650475016</v>
      </c>
      <c r="CD1087">
        <v>6.5557819575048955</v>
      </c>
      <c r="CE1087">
        <v>0</v>
      </c>
      <c r="CF1087">
        <v>15.705480072351342</v>
      </c>
      <c r="CG1087">
        <v>0</v>
      </c>
      <c r="CH1087">
        <v>0</v>
      </c>
      <c r="CI1087">
        <v>0</v>
      </c>
      <c r="CJ1087">
        <v>0</v>
      </c>
      <c r="CK1087">
        <v>0</v>
      </c>
      <c r="CL1087">
        <v>417.2442799676042</v>
      </c>
      <c r="CM1087">
        <v>192.092069818845</v>
      </c>
      <c r="CN1087">
        <v>0</v>
      </c>
      <c r="CO1087">
        <v>0</v>
      </c>
      <c r="CP1087">
        <v>0</v>
      </c>
      <c r="CQ1087">
        <v>0</v>
      </c>
      <c r="CR1087">
        <v>0</v>
      </c>
      <c r="CS1087">
        <v>0</v>
      </c>
      <c r="CT1087">
        <v>0</v>
      </c>
      <c r="CU1087">
        <v>0</v>
      </c>
      <c r="CV1087">
        <v>0</v>
      </c>
      <c r="CW1087">
        <v>0</v>
      </c>
      <c r="CX1087">
        <v>0</v>
      </c>
      <c r="CY1087">
        <v>0</v>
      </c>
      <c r="CZ1087">
        <v>0</v>
      </c>
      <c r="DA1087">
        <v>0</v>
      </c>
      <c r="DB1087">
        <v>0</v>
      </c>
      <c r="DC1087">
        <v>0</v>
      </c>
      <c r="DD1087">
        <v>0</v>
      </c>
      <c r="DE1087">
        <v>0</v>
      </c>
      <c r="DF1087">
        <v>0</v>
      </c>
      <c r="DG1087" s="16">
        <f t="shared" si="92"/>
        <v>21039.046307447308</v>
      </c>
      <c r="DH1087" s="16">
        <f t="shared" si="93"/>
        <v>986601.51830077544</v>
      </c>
      <c r="DI1087" s="17">
        <f t="shared" si="94"/>
        <v>46.89383272812811</v>
      </c>
      <c r="DJ1087" s="119" t="s">
        <v>718</v>
      </c>
      <c r="DK1087" s="119" t="s">
        <v>718</v>
      </c>
      <c r="DL1087" s="119"/>
    </row>
    <row r="1088" spans="1:116">
      <c r="A1088" s="32" t="str">
        <f t="shared" si="90"/>
        <v>Essential--&gt; 22 KV &amp; &lt; = 66 KV</v>
      </c>
      <c r="B1088" s="32" t="str">
        <f t="shared" si="91"/>
        <v>Essential</v>
      </c>
      <c r="C1088" s="384"/>
      <c r="E1088" t="s">
        <v>1451</v>
      </c>
      <c r="F1088">
        <v>54.9</v>
      </c>
      <c r="G1088">
        <v>7.4094534211370817</v>
      </c>
      <c r="H1088">
        <v>175.53810515155607</v>
      </c>
      <c r="I1088">
        <v>72.648273788403372</v>
      </c>
      <c r="J1088">
        <v>136.92377321546917</v>
      </c>
      <c r="K1088">
        <v>101.2279898826787</v>
      </c>
      <c r="L1088">
        <v>82.196517587046472</v>
      </c>
      <c r="M1088">
        <v>76.261254322240006</v>
      </c>
      <c r="N1088">
        <v>60.597021139701553</v>
      </c>
      <c r="O1088">
        <v>183.25328687751204</v>
      </c>
      <c r="P1088">
        <v>212.0044010850149</v>
      </c>
      <c r="Q1088">
        <v>62.97697637372643</v>
      </c>
      <c r="R1088">
        <v>79.755663098516791</v>
      </c>
      <c r="S1088">
        <v>88.990197522211659</v>
      </c>
      <c r="T1088">
        <v>420.41484251828768</v>
      </c>
      <c r="U1088">
        <v>20.863073783382209</v>
      </c>
      <c r="V1088">
        <v>1.0190738965466595</v>
      </c>
      <c r="W1088">
        <v>246.60188300240341</v>
      </c>
      <c r="X1088">
        <v>14.415772146597442</v>
      </c>
      <c r="Y1088">
        <v>0.82095599977004508</v>
      </c>
      <c r="Z1088">
        <v>79.747764606395464</v>
      </c>
      <c r="AA1088">
        <v>118.67691795181109</v>
      </c>
      <c r="AB1088">
        <v>98.079945483193299</v>
      </c>
      <c r="AC1088">
        <v>157.39718277334762</v>
      </c>
      <c r="AD1088">
        <v>53.480411401136543</v>
      </c>
      <c r="AE1088">
        <v>73.113132342584052</v>
      </c>
      <c r="AF1088">
        <v>48.313328140268204</v>
      </c>
      <c r="AG1088">
        <v>67.434220990424933</v>
      </c>
      <c r="AH1088">
        <v>182.63245104791849</v>
      </c>
      <c r="AI1088">
        <v>301.82875141577597</v>
      </c>
      <c r="AJ1088">
        <v>289.04240583596891</v>
      </c>
      <c r="AK1088">
        <v>162.17707068198106</v>
      </c>
      <c r="AL1088">
        <v>66.186731398913182</v>
      </c>
      <c r="AM1088">
        <v>215.82889741805724</v>
      </c>
      <c r="AN1088">
        <v>132.0706802019036</v>
      </c>
      <c r="AO1088">
        <v>98.177037653364167</v>
      </c>
      <c r="AP1088">
        <v>119.75513779952516</v>
      </c>
      <c r="AQ1088">
        <v>113.21820685806918</v>
      </c>
      <c r="AR1088">
        <v>208.38127533036678</v>
      </c>
      <c r="AS1088">
        <v>74.568822057038233</v>
      </c>
      <c r="AT1088">
        <v>85.852703924253746</v>
      </c>
      <c r="AU1088">
        <v>149.06886237917104</v>
      </c>
      <c r="AV1088">
        <v>73.050451007191043</v>
      </c>
      <c r="AW1088">
        <v>127.43314331678729</v>
      </c>
      <c r="AX1088">
        <v>326.41827950877848</v>
      </c>
      <c r="AY1088">
        <v>280.54096256967563</v>
      </c>
      <c r="AZ1088">
        <v>364.86393585956512</v>
      </c>
      <c r="BA1088">
        <v>262.09464902890335</v>
      </c>
      <c r="BB1088">
        <v>808.47075575213728</v>
      </c>
      <c r="BC1088">
        <v>930.5772922858846</v>
      </c>
      <c r="BD1088">
        <v>625.60112993708242</v>
      </c>
      <c r="BE1088">
        <v>236.15370183237218</v>
      </c>
      <c r="BF1088">
        <v>284.97151048939321</v>
      </c>
      <c r="BG1088">
        <v>263.94547234125656</v>
      </c>
      <c r="BH1088">
        <v>445.82044949867498</v>
      </c>
      <c r="BI1088">
        <v>974.62414792795016</v>
      </c>
      <c r="BJ1088">
        <v>143.72657562209005</v>
      </c>
      <c r="BK1088">
        <v>74.649326974701594</v>
      </c>
      <c r="BL1088">
        <v>27.351085386532116</v>
      </c>
      <c r="BM1088">
        <v>71.265498972462339</v>
      </c>
      <c r="BN1088">
        <v>370.04217177427995</v>
      </c>
      <c r="BO1088">
        <v>32.999074237171492</v>
      </c>
      <c r="BP1088">
        <v>0</v>
      </c>
      <c r="BQ1088">
        <v>219.59954525927097</v>
      </c>
      <c r="BR1088">
        <v>8.4623171856263077</v>
      </c>
      <c r="BS1088">
        <v>517.82569840112023</v>
      </c>
      <c r="BT1088">
        <v>0</v>
      </c>
      <c r="BU1088">
        <v>24.013832675521943</v>
      </c>
      <c r="BV1088">
        <v>85.277404951012144</v>
      </c>
      <c r="BW1088">
        <v>4.0767952152874498</v>
      </c>
      <c r="BX1088">
        <v>77.828223328607379</v>
      </c>
      <c r="BY1088">
        <v>0</v>
      </c>
      <c r="BZ1088">
        <v>3.5981447696909408</v>
      </c>
      <c r="CA1088">
        <v>0</v>
      </c>
      <c r="CB1088">
        <v>0</v>
      </c>
      <c r="CC1088">
        <v>0</v>
      </c>
      <c r="CD1088">
        <v>0</v>
      </c>
      <c r="CE1088">
        <v>0</v>
      </c>
      <c r="CF1088">
        <v>21.015747522705169</v>
      </c>
      <c r="CG1088">
        <v>3.912251391009423</v>
      </c>
      <c r="CH1088">
        <v>47.840940120365225</v>
      </c>
      <c r="CI1088">
        <v>0</v>
      </c>
      <c r="CJ1088">
        <v>0</v>
      </c>
      <c r="CK1088">
        <v>0</v>
      </c>
      <c r="CL1088">
        <v>20.084458000507418</v>
      </c>
      <c r="CM1088">
        <v>160.20900108061338</v>
      </c>
      <c r="CN1088">
        <v>0</v>
      </c>
      <c r="CO1088">
        <v>83.174671702032029</v>
      </c>
      <c r="CP1088">
        <v>0</v>
      </c>
      <c r="CQ1088">
        <v>0</v>
      </c>
      <c r="CR1088">
        <v>0</v>
      </c>
      <c r="CS1088">
        <v>0</v>
      </c>
      <c r="CT1088">
        <v>0</v>
      </c>
      <c r="CU1088">
        <v>0</v>
      </c>
      <c r="CV1088">
        <v>0</v>
      </c>
      <c r="CW1088">
        <v>0</v>
      </c>
      <c r="CX1088">
        <v>0</v>
      </c>
      <c r="CY1088">
        <v>0</v>
      </c>
      <c r="CZ1088">
        <v>0</v>
      </c>
      <c r="DA1088">
        <v>0</v>
      </c>
      <c r="DB1088">
        <v>0</v>
      </c>
      <c r="DC1088">
        <v>0</v>
      </c>
      <c r="DD1088">
        <v>0</v>
      </c>
      <c r="DE1088">
        <v>0</v>
      </c>
      <c r="DF1088">
        <v>0</v>
      </c>
      <c r="DG1088" s="16">
        <f t="shared" si="92"/>
        <v>12933.059645008789</v>
      </c>
      <c r="DH1088" s="16">
        <f t="shared" si="93"/>
        <v>528028.26358316641</v>
      </c>
      <c r="DI1088" s="17">
        <f t="shared" si="94"/>
        <v>40.827791572657482</v>
      </c>
      <c r="DJ1088" s="119" t="s">
        <v>718</v>
      </c>
      <c r="DK1088" s="119" t="s">
        <v>718</v>
      </c>
      <c r="DL1088" s="119"/>
    </row>
    <row r="1089" spans="1:116">
      <c r="A1089" s="32" t="str">
        <f t="shared" si="90"/>
        <v>Essential--&gt; 66 KV &amp; &lt; = 132 KV</v>
      </c>
      <c r="B1089" s="32" t="str">
        <f t="shared" si="91"/>
        <v>Essential</v>
      </c>
      <c r="C1089" s="384"/>
      <c r="E1089" t="s">
        <v>1452</v>
      </c>
      <c r="F1089">
        <v>54.9</v>
      </c>
      <c r="G1089">
        <v>7.4094534211370817</v>
      </c>
      <c r="H1089">
        <v>36.588952857465259</v>
      </c>
      <c r="I1089">
        <v>65.866740705052777</v>
      </c>
      <c r="J1089">
        <v>15.47769823744078</v>
      </c>
      <c r="K1089">
        <v>2.9515074247684017</v>
      </c>
      <c r="L1089">
        <v>4.4047242748749404</v>
      </c>
      <c r="M1089">
        <v>1.1796108939263412</v>
      </c>
      <c r="N1089">
        <v>0.24926608551497098</v>
      </c>
      <c r="O1089">
        <v>122.00874758322148</v>
      </c>
      <c r="P1089">
        <v>0</v>
      </c>
      <c r="Q1089">
        <v>0</v>
      </c>
      <c r="R1089">
        <v>0</v>
      </c>
      <c r="S1089">
        <v>0</v>
      </c>
      <c r="T1089">
        <v>11.860706646390637</v>
      </c>
      <c r="U1089">
        <v>0</v>
      </c>
      <c r="V1089">
        <v>0</v>
      </c>
      <c r="W1089">
        <v>29.105221987410783</v>
      </c>
      <c r="X1089">
        <v>75.455435248421139</v>
      </c>
      <c r="Y1089">
        <v>2.1971331105343337</v>
      </c>
      <c r="Z1089">
        <v>8.9607654734787445</v>
      </c>
      <c r="AA1089">
        <v>22.084397617047646</v>
      </c>
      <c r="AB1089">
        <v>41.193291172933016</v>
      </c>
      <c r="AC1089">
        <v>220.08424442450055</v>
      </c>
      <c r="AD1089">
        <v>9.4792074951065839</v>
      </c>
      <c r="AE1089">
        <v>5.7099941216922421</v>
      </c>
      <c r="AF1089">
        <v>46.472325710440472</v>
      </c>
      <c r="AG1089">
        <v>48.08146991876734</v>
      </c>
      <c r="AH1089">
        <v>80.696970447555728</v>
      </c>
      <c r="AI1089">
        <v>48.697148991013584</v>
      </c>
      <c r="AJ1089">
        <v>0</v>
      </c>
      <c r="AK1089">
        <v>119.30225327585971</v>
      </c>
      <c r="AL1089">
        <v>220.22655464819806</v>
      </c>
      <c r="AM1089">
        <v>0</v>
      </c>
      <c r="AN1089">
        <v>0</v>
      </c>
      <c r="AO1089">
        <v>0</v>
      </c>
      <c r="AP1089">
        <v>0.11067700480898222</v>
      </c>
      <c r="AQ1089">
        <v>94.700663121882712</v>
      </c>
      <c r="AR1089">
        <v>0</v>
      </c>
      <c r="AS1089">
        <v>0</v>
      </c>
      <c r="AT1089">
        <v>0</v>
      </c>
      <c r="AU1089">
        <v>0</v>
      </c>
      <c r="AV1089">
        <v>21.495497039933749</v>
      </c>
      <c r="AW1089">
        <v>9.9798064580385564</v>
      </c>
      <c r="AX1089">
        <v>0.15665132716649846</v>
      </c>
      <c r="AY1089">
        <v>0</v>
      </c>
      <c r="AZ1089">
        <v>10.477236023903508</v>
      </c>
      <c r="BA1089">
        <v>76.815345801168647</v>
      </c>
      <c r="BB1089">
        <v>28.316931708157394</v>
      </c>
      <c r="BC1089">
        <v>311.10781774905763</v>
      </c>
      <c r="BD1089">
        <v>44.919894379957377</v>
      </c>
      <c r="BE1089">
        <v>0</v>
      </c>
      <c r="BF1089">
        <v>0</v>
      </c>
      <c r="BG1089">
        <v>0</v>
      </c>
      <c r="BH1089">
        <v>0</v>
      </c>
      <c r="BI1089">
        <v>0</v>
      </c>
      <c r="BJ1089">
        <v>0</v>
      </c>
      <c r="BK1089">
        <v>95.13313955732292</v>
      </c>
      <c r="BL1089">
        <v>0</v>
      </c>
      <c r="BM1089">
        <v>0</v>
      </c>
      <c r="BN1089">
        <v>0</v>
      </c>
      <c r="BO1089">
        <v>0</v>
      </c>
      <c r="BP1089">
        <v>0</v>
      </c>
      <c r="BQ1089">
        <v>0</v>
      </c>
      <c r="BR1089">
        <v>0</v>
      </c>
      <c r="BS1089">
        <v>2.17424444070204</v>
      </c>
      <c r="BT1089">
        <v>0</v>
      </c>
      <c r="BU1089">
        <v>0</v>
      </c>
      <c r="BV1089">
        <v>0</v>
      </c>
      <c r="BW1089">
        <v>0</v>
      </c>
      <c r="BX1089">
        <v>0</v>
      </c>
      <c r="BY1089">
        <v>0</v>
      </c>
      <c r="BZ1089">
        <v>0</v>
      </c>
      <c r="CA1089">
        <v>0</v>
      </c>
      <c r="CB1089">
        <v>0</v>
      </c>
      <c r="CC1089">
        <v>0</v>
      </c>
      <c r="CD1089">
        <v>0</v>
      </c>
      <c r="CE1089">
        <v>0</v>
      </c>
      <c r="CF1089">
        <v>0</v>
      </c>
      <c r="CG1089">
        <v>0</v>
      </c>
      <c r="CH1089">
        <v>0</v>
      </c>
      <c r="CI1089">
        <v>0</v>
      </c>
      <c r="CJ1089">
        <v>0</v>
      </c>
      <c r="CK1089">
        <v>0</v>
      </c>
      <c r="CL1089">
        <v>0</v>
      </c>
      <c r="CM1089">
        <v>0</v>
      </c>
      <c r="CN1089">
        <v>0</v>
      </c>
      <c r="CO1089">
        <v>0</v>
      </c>
      <c r="CP1089">
        <v>0</v>
      </c>
      <c r="CQ1089">
        <v>0</v>
      </c>
      <c r="CR1089">
        <v>0</v>
      </c>
      <c r="CS1089">
        <v>0</v>
      </c>
      <c r="CT1089">
        <v>0</v>
      </c>
      <c r="CU1089">
        <v>0</v>
      </c>
      <c r="CV1089">
        <v>0</v>
      </c>
      <c r="CW1089">
        <v>0</v>
      </c>
      <c r="CX1089">
        <v>0</v>
      </c>
      <c r="CY1089">
        <v>0</v>
      </c>
      <c r="CZ1089">
        <v>0</v>
      </c>
      <c r="DA1089">
        <v>0</v>
      </c>
      <c r="DB1089">
        <v>0</v>
      </c>
      <c r="DC1089">
        <v>0</v>
      </c>
      <c r="DD1089">
        <v>0</v>
      </c>
      <c r="DE1089">
        <v>0</v>
      </c>
      <c r="DF1089">
        <v>0</v>
      </c>
      <c r="DG1089" s="16">
        <f t="shared" si="92"/>
        <v>1933.7222729637158</v>
      </c>
      <c r="DH1089" s="16">
        <f t="shared" si="93"/>
        <v>58866.949047262373</v>
      </c>
      <c r="DI1089" s="17">
        <f t="shared" si="94"/>
        <v>30.442297671340391</v>
      </c>
      <c r="DJ1089" s="119" t="s">
        <v>718</v>
      </c>
      <c r="DK1089" s="119" t="s">
        <v>718</v>
      </c>
      <c r="DL1089" s="119"/>
    </row>
    <row r="1090" spans="1:116">
      <c r="A1090" s="32" t="str">
        <f t="shared" si="90"/>
        <v>Essential--&gt; 132 KV</v>
      </c>
      <c r="B1090" s="32" t="str">
        <f t="shared" si="91"/>
        <v>Essential</v>
      </c>
      <c r="C1090" s="384"/>
      <c r="E1090" t="s">
        <v>1453</v>
      </c>
      <c r="F1090">
        <v>54.9</v>
      </c>
      <c r="G1090">
        <v>7.4094534211370817</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2.972</v>
      </c>
      <c r="AJ1090">
        <v>0</v>
      </c>
      <c r="AK1090">
        <v>0</v>
      </c>
      <c r="AL1090">
        <v>0</v>
      </c>
      <c r="AM1090">
        <v>0</v>
      </c>
      <c r="AN1090">
        <v>0</v>
      </c>
      <c r="AO1090">
        <v>0</v>
      </c>
      <c r="AP1090">
        <v>0</v>
      </c>
      <c r="AQ1090">
        <v>0</v>
      </c>
      <c r="AR1090">
        <v>0</v>
      </c>
      <c r="AS1090">
        <v>0</v>
      </c>
      <c r="AT1090">
        <v>0</v>
      </c>
      <c r="AU1090">
        <v>0</v>
      </c>
      <c r="AV1090">
        <v>0</v>
      </c>
      <c r="AW1090">
        <v>0</v>
      </c>
      <c r="AX1090">
        <v>0</v>
      </c>
      <c r="AY1090">
        <v>0</v>
      </c>
      <c r="AZ1090">
        <v>0</v>
      </c>
      <c r="BA1090">
        <v>0</v>
      </c>
      <c r="BB1090">
        <v>0</v>
      </c>
      <c r="BC1090">
        <v>0</v>
      </c>
      <c r="BD1090">
        <v>0</v>
      </c>
      <c r="BE1090">
        <v>0</v>
      </c>
      <c r="BF1090">
        <v>0</v>
      </c>
      <c r="BG1090">
        <v>0</v>
      </c>
      <c r="BH1090">
        <v>0</v>
      </c>
      <c r="BI1090">
        <v>0</v>
      </c>
      <c r="BJ1090">
        <v>0</v>
      </c>
      <c r="BK1090">
        <v>0</v>
      </c>
      <c r="BL1090">
        <v>0</v>
      </c>
      <c r="BM1090">
        <v>0</v>
      </c>
      <c r="BN1090">
        <v>0</v>
      </c>
      <c r="BO1090">
        <v>0</v>
      </c>
      <c r="BP1090">
        <v>0</v>
      </c>
      <c r="BQ1090">
        <v>0</v>
      </c>
      <c r="BR1090">
        <v>0</v>
      </c>
      <c r="BS1090">
        <v>0</v>
      </c>
      <c r="BT1090">
        <v>0</v>
      </c>
      <c r="BU1090">
        <v>0</v>
      </c>
      <c r="BV1090">
        <v>0</v>
      </c>
      <c r="BW1090">
        <v>0</v>
      </c>
      <c r="BX1090">
        <v>0</v>
      </c>
      <c r="BY1090">
        <v>0</v>
      </c>
      <c r="BZ1090">
        <v>0</v>
      </c>
      <c r="CA1090">
        <v>0</v>
      </c>
      <c r="CB1090">
        <v>0</v>
      </c>
      <c r="CC1090">
        <v>0</v>
      </c>
      <c r="CD1090">
        <v>0</v>
      </c>
      <c r="CE1090">
        <v>0</v>
      </c>
      <c r="CF1090">
        <v>0</v>
      </c>
      <c r="CG1090">
        <v>0</v>
      </c>
      <c r="CH1090">
        <v>0</v>
      </c>
      <c r="CI1090">
        <v>0</v>
      </c>
      <c r="CJ1090">
        <v>0</v>
      </c>
      <c r="CK1090">
        <v>0</v>
      </c>
      <c r="CL1090">
        <v>0</v>
      </c>
      <c r="CM1090">
        <v>0</v>
      </c>
      <c r="CN1090">
        <v>0</v>
      </c>
      <c r="CO1090">
        <v>0</v>
      </c>
      <c r="CP1090">
        <v>0</v>
      </c>
      <c r="CQ1090">
        <v>0</v>
      </c>
      <c r="CR1090">
        <v>0</v>
      </c>
      <c r="CS1090">
        <v>0</v>
      </c>
      <c r="CT1090">
        <v>0</v>
      </c>
      <c r="CU1090">
        <v>0</v>
      </c>
      <c r="CV1090">
        <v>0</v>
      </c>
      <c r="CW1090">
        <v>0</v>
      </c>
      <c r="CX1090">
        <v>0</v>
      </c>
      <c r="CY1090">
        <v>0</v>
      </c>
      <c r="CZ1090">
        <v>0</v>
      </c>
      <c r="DA1090">
        <v>0</v>
      </c>
      <c r="DB1090">
        <v>0</v>
      </c>
      <c r="DC1090">
        <v>0</v>
      </c>
      <c r="DD1090">
        <v>0</v>
      </c>
      <c r="DE1090">
        <v>0</v>
      </c>
      <c r="DF1090">
        <v>0</v>
      </c>
      <c r="DG1090" s="16">
        <f t="shared" si="92"/>
        <v>2.972</v>
      </c>
      <c r="DH1090" s="16">
        <f t="shared" si="93"/>
        <v>83.215999999999994</v>
      </c>
      <c r="DI1090" s="17">
        <f t="shared" si="94"/>
        <v>27.999999999999996</v>
      </c>
      <c r="DJ1090" s="119" t="s">
        <v>718</v>
      </c>
      <c r="DK1090" s="119" t="s">
        <v>718</v>
      </c>
      <c r="DL1090" s="119"/>
    </row>
    <row r="1091" spans="1:116">
      <c r="A1091" s="32" t="str">
        <f t="shared" si="90"/>
        <v>Essential--OTHER - PLEASE ADD A ROW IF NECESSARY AND NOMINATE THE CATEGORY</v>
      </c>
      <c r="B1091" s="32" t="str">
        <f t="shared" si="91"/>
        <v>Essential</v>
      </c>
      <c r="C1091" s="384"/>
      <c r="E1091" t="s">
        <v>170</v>
      </c>
      <c r="DG1091" s="16">
        <f t="shared" si="92"/>
        <v>0</v>
      </c>
      <c r="DH1091" s="16">
        <f t="shared" si="93"/>
        <v>0</v>
      </c>
      <c r="DI1091" s="17" t="str">
        <f t="shared" si="94"/>
        <v/>
      </c>
      <c r="DJ1091" s="119" t="s">
        <v>718</v>
      </c>
      <c r="DK1091" s="119" t="s">
        <v>718</v>
      </c>
      <c r="DL1091" s="119"/>
    </row>
    <row r="1092" spans="1:116">
      <c r="A1092" s="32" t="str">
        <f t="shared" si="90"/>
        <v>Essential-UNDERGROUND CABLES BY: 
HIGHEST OPERATING VOLTAGE-˂ = 1 KV</v>
      </c>
      <c r="B1092" s="32" t="str">
        <f t="shared" si="91"/>
        <v>Essential</v>
      </c>
      <c r="C1092" s="384"/>
      <c r="D1092" t="s">
        <v>539</v>
      </c>
      <c r="E1092" t="s">
        <v>1446</v>
      </c>
      <c r="F1092">
        <v>53.8</v>
      </c>
      <c r="G1092">
        <v>7.334848328356899</v>
      </c>
      <c r="H1092">
        <v>196.82838525711503</v>
      </c>
      <c r="I1092">
        <v>251.47773705908037</v>
      </c>
      <c r="J1092">
        <v>242.50779002013556</v>
      </c>
      <c r="K1092">
        <v>241.92458070515573</v>
      </c>
      <c r="L1092">
        <v>327.52790707450231</v>
      </c>
      <c r="M1092">
        <v>354.76127283501609</v>
      </c>
      <c r="N1092">
        <v>303.81595398732748</v>
      </c>
      <c r="O1092">
        <v>411.89471775143852</v>
      </c>
      <c r="P1092">
        <v>358.60122737196912</v>
      </c>
      <c r="Q1092">
        <v>374.68298688613095</v>
      </c>
      <c r="R1092">
        <v>232.75580775876227</v>
      </c>
      <c r="S1092">
        <v>267.47455156119634</v>
      </c>
      <c r="T1092">
        <v>137.27940157552959</v>
      </c>
      <c r="U1092">
        <v>78.034858118312641</v>
      </c>
      <c r="V1092">
        <v>62.657427393357139</v>
      </c>
      <c r="W1092">
        <v>56.777317975845534</v>
      </c>
      <c r="X1092">
        <v>46.673671252880808</v>
      </c>
      <c r="Y1092">
        <v>58.405274556919444</v>
      </c>
      <c r="Z1092">
        <v>62.243052157590057</v>
      </c>
      <c r="AA1092">
        <v>69.081493498147466</v>
      </c>
      <c r="AB1092">
        <v>80.572422960331252</v>
      </c>
      <c r="AC1092">
        <v>88.823549996141054</v>
      </c>
      <c r="AD1092">
        <v>99.546377882027897</v>
      </c>
      <c r="AE1092">
        <v>82.057088769838941</v>
      </c>
      <c r="AF1092">
        <v>74.250051886516189</v>
      </c>
      <c r="AG1092">
        <v>36.887431038691133</v>
      </c>
      <c r="AH1092">
        <v>46.845915722988451</v>
      </c>
      <c r="AI1092">
        <v>65.500570084767617</v>
      </c>
      <c r="AJ1092">
        <v>41.954681764846903</v>
      </c>
      <c r="AK1092">
        <v>36.080673229229916</v>
      </c>
      <c r="AL1092">
        <v>50.223458710326504</v>
      </c>
      <c r="AM1092">
        <v>90.018274669678604</v>
      </c>
      <c r="AN1092">
        <v>90.945105973107758</v>
      </c>
      <c r="AO1092">
        <v>92.111304975246824</v>
      </c>
      <c r="AP1092">
        <v>51.086312953314192</v>
      </c>
      <c r="AQ1092">
        <v>55.48549058436199</v>
      </c>
      <c r="AR1092">
        <v>58.789530742437023</v>
      </c>
      <c r="AS1092">
        <v>54.509109240486275</v>
      </c>
      <c r="AT1092">
        <v>63.158192985297262</v>
      </c>
      <c r="AU1092">
        <v>49.141632110322185</v>
      </c>
      <c r="AV1092">
        <v>31.17120502771489</v>
      </c>
      <c r="AW1092">
        <v>26.393892556304692</v>
      </c>
      <c r="AX1092">
        <v>33.092769888466506</v>
      </c>
      <c r="AY1092">
        <v>50.194519702211132</v>
      </c>
      <c r="AZ1092">
        <v>31.386626091560188</v>
      </c>
      <c r="BA1092">
        <v>25.225743535161531</v>
      </c>
      <c r="BB1092">
        <v>15.808256053718452</v>
      </c>
      <c r="BC1092">
        <v>44.756692865147748</v>
      </c>
      <c r="BD1092">
        <v>6.3734710272006652</v>
      </c>
      <c r="BE1092">
        <v>4.3468695560485813</v>
      </c>
      <c r="BF1092">
        <v>4.6815646462754179</v>
      </c>
      <c r="BG1092">
        <v>3.2122573717591698</v>
      </c>
      <c r="BH1092">
        <v>5.0809675885710046</v>
      </c>
      <c r="BI1092">
        <v>16.192426915051641</v>
      </c>
      <c r="BJ1092">
        <v>1.4067825287077682</v>
      </c>
      <c r="BK1092">
        <v>0.64976135473696139</v>
      </c>
      <c r="BL1092">
        <v>5.2902570177211068</v>
      </c>
      <c r="BM1092">
        <v>1.1719473490964285</v>
      </c>
      <c r="BN1092">
        <v>18.440598501338442</v>
      </c>
      <c r="BO1092">
        <v>3.7108547206117186</v>
      </c>
      <c r="BP1092">
        <v>0.56040287272958367</v>
      </c>
      <c r="BQ1092">
        <v>2.1793266933794846</v>
      </c>
      <c r="BR1092">
        <v>1.6457099563358186</v>
      </c>
      <c r="BS1092">
        <v>14.94774887897891</v>
      </c>
      <c r="BT1092">
        <v>3.9150172855376084</v>
      </c>
      <c r="BU1092">
        <v>1.0827620401651716</v>
      </c>
      <c r="BV1092">
        <v>5.4029077332071365E-2</v>
      </c>
      <c r="BW1092">
        <v>0</v>
      </c>
      <c r="BX1092">
        <v>0</v>
      </c>
      <c r="BY1092">
        <v>0</v>
      </c>
      <c r="BZ1092">
        <v>0</v>
      </c>
      <c r="CA1092">
        <v>0</v>
      </c>
      <c r="CB1092">
        <v>0.83046778998323956</v>
      </c>
      <c r="CC1092">
        <v>0</v>
      </c>
      <c r="CD1092">
        <v>1.1304894063982927</v>
      </c>
      <c r="CE1092">
        <v>0</v>
      </c>
      <c r="CF1092">
        <v>0</v>
      </c>
      <c r="CG1092">
        <v>0</v>
      </c>
      <c r="CH1092">
        <v>0</v>
      </c>
      <c r="CI1092">
        <v>0</v>
      </c>
      <c r="CJ1092">
        <v>0</v>
      </c>
      <c r="CK1092">
        <v>0</v>
      </c>
      <c r="CL1092">
        <v>0</v>
      </c>
      <c r="CM1092">
        <v>6.7990625495413543E-2</v>
      </c>
      <c r="CN1092">
        <v>0</v>
      </c>
      <c r="CO1092">
        <v>0</v>
      </c>
      <c r="CP1092">
        <v>0</v>
      </c>
      <c r="CQ1092">
        <v>0</v>
      </c>
      <c r="CR1092">
        <v>0</v>
      </c>
      <c r="CS1092">
        <v>0</v>
      </c>
      <c r="CT1092">
        <v>0</v>
      </c>
      <c r="CU1092">
        <v>0</v>
      </c>
      <c r="CV1092">
        <v>0</v>
      </c>
      <c r="CW1092">
        <v>0</v>
      </c>
      <c r="CX1092">
        <v>0</v>
      </c>
      <c r="CY1092">
        <v>0</v>
      </c>
      <c r="CZ1092">
        <v>0</v>
      </c>
      <c r="DA1092">
        <v>0</v>
      </c>
      <c r="DB1092">
        <v>0</v>
      </c>
      <c r="DC1092">
        <v>0</v>
      </c>
      <c r="DD1092">
        <v>0</v>
      </c>
      <c r="DE1092">
        <v>0</v>
      </c>
      <c r="DF1092">
        <v>0</v>
      </c>
      <c r="DG1092" s="16">
        <f t="shared" si="92"/>
        <v>5798.3940000001094</v>
      </c>
      <c r="DH1092" s="16">
        <f t="shared" si="93"/>
        <v>89677.052956577172</v>
      </c>
      <c r="DI1092" s="17">
        <f t="shared" si="94"/>
        <v>15.46584329325939</v>
      </c>
      <c r="DJ1092" s="119" t="s">
        <v>572</v>
      </c>
      <c r="DK1092" s="119" t="s">
        <v>572</v>
      </c>
      <c r="DL1092" s="119"/>
    </row>
    <row r="1093" spans="1:116">
      <c r="A1093" s="32" t="str">
        <f t="shared" si="90"/>
        <v>Essential--&gt; 1 KV &amp; &lt; = 11 KV</v>
      </c>
      <c r="B1093" s="32" t="str">
        <f t="shared" si="91"/>
        <v>Essential</v>
      </c>
      <c r="C1093" s="384"/>
      <c r="E1093" t="s">
        <v>1447</v>
      </c>
      <c r="F1093">
        <v>53.8</v>
      </c>
      <c r="G1093">
        <v>7.334848328356899</v>
      </c>
      <c r="H1093">
        <v>153.418050005455</v>
      </c>
      <c r="I1093">
        <v>127.16898362199493</v>
      </c>
      <c r="J1093">
        <v>115.04319227506971</v>
      </c>
      <c r="K1093">
        <v>143.5780948720321</v>
      </c>
      <c r="L1093">
        <v>180.77378164934481</v>
      </c>
      <c r="M1093">
        <v>196.29404323739001</v>
      </c>
      <c r="N1093">
        <v>151.93925004532494</v>
      </c>
      <c r="O1093">
        <v>151.05157247739737</v>
      </c>
      <c r="P1093">
        <v>135.76653403649098</v>
      </c>
      <c r="Q1093">
        <v>113.9474286944554</v>
      </c>
      <c r="R1093">
        <v>64.053830994377662</v>
      </c>
      <c r="S1093">
        <v>83.496551280285018</v>
      </c>
      <c r="T1093">
        <v>41.763563122091625</v>
      </c>
      <c r="U1093">
        <v>34.520086576210886</v>
      </c>
      <c r="V1093">
        <v>13.859423462556954</v>
      </c>
      <c r="W1093">
        <v>5.4059999679001223</v>
      </c>
      <c r="X1093">
        <v>8.3968393532786116</v>
      </c>
      <c r="Y1093">
        <v>33.756158120330724</v>
      </c>
      <c r="Z1093">
        <v>13.363202243030713</v>
      </c>
      <c r="AA1093">
        <v>7.7056644524287385</v>
      </c>
      <c r="AB1093">
        <v>10.656514246788934</v>
      </c>
      <c r="AC1093">
        <v>9.0908898913728038</v>
      </c>
      <c r="AD1093">
        <v>20.991163872592274</v>
      </c>
      <c r="AE1093">
        <v>11.301442432918378</v>
      </c>
      <c r="AF1093">
        <v>7.5057732386489784</v>
      </c>
      <c r="AG1093">
        <v>5.7967122401813347</v>
      </c>
      <c r="AH1093">
        <v>3.9790496985167163</v>
      </c>
      <c r="AI1093">
        <v>9.0512391515788817</v>
      </c>
      <c r="AJ1093">
        <v>3.4558707758005651</v>
      </c>
      <c r="AK1093">
        <v>9.7115318776476425</v>
      </c>
      <c r="AL1093">
        <v>6.8272597206829762</v>
      </c>
      <c r="AM1093">
        <v>8.0128424116260994</v>
      </c>
      <c r="AN1093">
        <v>12.286825524245646</v>
      </c>
      <c r="AO1093">
        <v>3.3182007216846712</v>
      </c>
      <c r="AP1093">
        <v>2.6065263168795965</v>
      </c>
      <c r="AQ1093">
        <v>4.0738842545954084</v>
      </c>
      <c r="AR1093">
        <v>4.6770026785734258</v>
      </c>
      <c r="AS1093">
        <v>5.1994245756294495</v>
      </c>
      <c r="AT1093">
        <v>5.9228565085614093</v>
      </c>
      <c r="AU1093">
        <v>2.7503652243741721</v>
      </c>
      <c r="AV1093">
        <v>4.4866682797766142</v>
      </c>
      <c r="AW1093">
        <v>0.49491430362622468</v>
      </c>
      <c r="AX1093">
        <v>1.2009288579905348</v>
      </c>
      <c r="AY1093">
        <v>2.3364619854469719</v>
      </c>
      <c r="AZ1093">
        <v>9.7736303207357231</v>
      </c>
      <c r="BA1093">
        <v>6.0728441175997521</v>
      </c>
      <c r="BB1093">
        <v>0.34817321652259964</v>
      </c>
      <c r="BC1093">
        <v>7.1183705797911459E-2</v>
      </c>
      <c r="BD1093">
        <v>0</v>
      </c>
      <c r="BE1093">
        <v>0</v>
      </c>
      <c r="BF1093">
        <v>4.8801413214261055E-3</v>
      </c>
      <c r="BG1093">
        <v>0</v>
      </c>
      <c r="BH1093">
        <v>0</v>
      </c>
      <c r="BI1093">
        <v>8.9263179763841377E-2</v>
      </c>
      <c r="BJ1093">
        <v>0</v>
      </c>
      <c r="BK1093">
        <v>0</v>
      </c>
      <c r="BL1093">
        <v>0</v>
      </c>
      <c r="BM1093">
        <v>0</v>
      </c>
      <c r="BN1093">
        <v>1.1928001322581114</v>
      </c>
      <c r="BO1093">
        <v>0</v>
      </c>
      <c r="BP1093">
        <v>0</v>
      </c>
      <c r="BQ1093">
        <v>0</v>
      </c>
      <c r="BR1093">
        <v>2.096255830714651</v>
      </c>
      <c r="BS1093">
        <v>0.78768514075750207</v>
      </c>
      <c r="BT1093">
        <v>0</v>
      </c>
      <c r="BU1093">
        <v>0</v>
      </c>
      <c r="BV1093">
        <v>0</v>
      </c>
      <c r="BW1093">
        <v>0</v>
      </c>
      <c r="BX1093">
        <v>0</v>
      </c>
      <c r="BY1093">
        <v>0</v>
      </c>
      <c r="BZ1093">
        <v>0</v>
      </c>
      <c r="CA1093">
        <v>0</v>
      </c>
      <c r="CB1093">
        <v>6.8385992863505607E-2</v>
      </c>
      <c r="CC1093">
        <v>0</v>
      </c>
      <c r="CD1093">
        <v>0</v>
      </c>
      <c r="CE1093">
        <v>0</v>
      </c>
      <c r="CF1093">
        <v>0.22834859451288794</v>
      </c>
      <c r="CG1093">
        <v>0</v>
      </c>
      <c r="CH1093">
        <v>0</v>
      </c>
      <c r="CI1093">
        <v>0</v>
      </c>
      <c r="CJ1093">
        <v>0</v>
      </c>
      <c r="CK1093">
        <v>0</v>
      </c>
      <c r="CL1093">
        <v>0</v>
      </c>
      <c r="CM1093">
        <v>0</v>
      </c>
      <c r="CN1093">
        <v>0</v>
      </c>
      <c r="CO1093">
        <v>0</v>
      </c>
      <c r="CP1093">
        <v>0</v>
      </c>
      <c r="CQ1093">
        <v>0</v>
      </c>
      <c r="CR1093">
        <v>0</v>
      </c>
      <c r="CS1093">
        <v>0</v>
      </c>
      <c r="CT1093">
        <v>0</v>
      </c>
      <c r="CU1093">
        <v>0</v>
      </c>
      <c r="CV1093">
        <v>0</v>
      </c>
      <c r="CW1093">
        <v>0</v>
      </c>
      <c r="CX1093">
        <v>0</v>
      </c>
      <c r="CY1093">
        <v>0</v>
      </c>
      <c r="CZ1093">
        <v>0</v>
      </c>
      <c r="DA1093">
        <v>0</v>
      </c>
      <c r="DB1093">
        <v>0</v>
      </c>
      <c r="DC1093">
        <v>0</v>
      </c>
      <c r="DD1093">
        <v>0</v>
      </c>
      <c r="DE1093">
        <v>0</v>
      </c>
      <c r="DF1093">
        <v>0</v>
      </c>
      <c r="DG1093" s="16">
        <f t="shared" si="92"/>
        <v>1951.7700496500333</v>
      </c>
      <c r="DH1093" s="16">
        <f t="shared" si="93"/>
        <v>17810.806401345446</v>
      </c>
      <c r="DI1093" s="17">
        <f t="shared" si="94"/>
        <v>9.1254635270886819</v>
      </c>
      <c r="DJ1093" s="119" t="s">
        <v>572</v>
      </c>
      <c r="DK1093" s="119" t="s">
        <v>572</v>
      </c>
      <c r="DL1093" s="119"/>
    </row>
    <row r="1094" spans="1:116">
      <c r="A1094" s="32" t="str">
        <f t="shared" si="90"/>
        <v>Essential--&gt; 11 KV &amp; &lt; = 22 KV</v>
      </c>
      <c r="B1094" s="32" t="str">
        <f t="shared" si="91"/>
        <v>Essential</v>
      </c>
      <c r="C1094" s="384"/>
      <c r="E1094" t="s">
        <v>1454</v>
      </c>
      <c r="F1094">
        <v>53.8</v>
      </c>
      <c r="G1094">
        <v>7.334848328356899</v>
      </c>
      <c r="H1094">
        <v>19.871712925860933</v>
      </c>
      <c r="I1094">
        <v>21.413842874186297</v>
      </c>
      <c r="J1094">
        <v>9.843585732769208</v>
      </c>
      <c r="K1094">
        <v>15.323135509263473</v>
      </c>
      <c r="L1094">
        <v>29.372281385368357</v>
      </c>
      <c r="M1094">
        <v>24.977225335577007</v>
      </c>
      <c r="N1094">
        <v>28.427127394997179</v>
      </c>
      <c r="O1094">
        <v>38.327633332133914</v>
      </c>
      <c r="P1094">
        <v>40.688228427502047</v>
      </c>
      <c r="Q1094">
        <v>7.8933404953080419</v>
      </c>
      <c r="R1094">
        <v>4.2290183620212582</v>
      </c>
      <c r="S1094">
        <v>3.1523298511301783</v>
      </c>
      <c r="T1094">
        <v>1.8909984991876696</v>
      </c>
      <c r="U1094">
        <v>5.7919824657955559</v>
      </c>
      <c r="V1094">
        <v>2.2476877180000914</v>
      </c>
      <c r="W1094">
        <v>0.49522030031763631</v>
      </c>
      <c r="X1094">
        <v>1.609975563762404</v>
      </c>
      <c r="Y1094">
        <v>0.46271832535808449</v>
      </c>
      <c r="Z1094">
        <v>19.246607257395336</v>
      </c>
      <c r="AA1094">
        <v>1.8396703138739263</v>
      </c>
      <c r="AB1094">
        <v>0.59638138102892868</v>
      </c>
      <c r="AC1094">
        <v>2.0586308463422038</v>
      </c>
      <c r="AD1094">
        <v>4.4188625604760405</v>
      </c>
      <c r="AE1094">
        <v>8.9289287882540407</v>
      </c>
      <c r="AF1094">
        <v>1.0871647625467469</v>
      </c>
      <c r="AG1094">
        <v>0.78642495682994529</v>
      </c>
      <c r="AH1094">
        <v>1.2837140421657991</v>
      </c>
      <c r="AI1094">
        <v>0.36798329321487</v>
      </c>
      <c r="AJ1094">
        <v>0.1902768658584485</v>
      </c>
      <c r="AK1094">
        <v>0.77323497140400588</v>
      </c>
      <c r="AL1094">
        <v>8.6928895058291739E-2</v>
      </c>
      <c r="AM1094">
        <v>0.78826646514927945</v>
      </c>
      <c r="AN1094">
        <v>1.008560312654609</v>
      </c>
      <c r="AO1094">
        <v>1.0821090231195818</v>
      </c>
      <c r="AP1094">
        <v>0.31653147813036542</v>
      </c>
      <c r="AQ1094">
        <v>1.0413078825546509</v>
      </c>
      <c r="AR1094">
        <v>1.2231819199878347</v>
      </c>
      <c r="AS1094">
        <v>0.63960025283627886</v>
      </c>
      <c r="AT1094">
        <v>0.1184389857471753</v>
      </c>
      <c r="AU1094">
        <v>2.4780247836795466</v>
      </c>
      <c r="AV1094">
        <v>0.13336802417260588</v>
      </c>
      <c r="AW1094">
        <v>0</v>
      </c>
      <c r="AX1094">
        <v>3.0198256306124893E-2</v>
      </c>
      <c r="AY1094">
        <v>4.285427680458273E-2</v>
      </c>
      <c r="AZ1094">
        <v>0</v>
      </c>
      <c r="BA1094">
        <v>7.7991319472921594E-2</v>
      </c>
      <c r="BB1094">
        <v>0</v>
      </c>
      <c r="BC1094">
        <v>3.2459376891843901E-3</v>
      </c>
      <c r="BD1094">
        <v>2.829297308771319E-2</v>
      </c>
      <c r="BE1094">
        <v>0</v>
      </c>
      <c r="BF1094">
        <v>0</v>
      </c>
      <c r="BG1094">
        <v>0</v>
      </c>
      <c r="BH1094">
        <v>0</v>
      </c>
      <c r="BI1094">
        <v>6.0683163358858511E-3</v>
      </c>
      <c r="BJ1094">
        <v>0</v>
      </c>
      <c r="BK1094">
        <v>0</v>
      </c>
      <c r="BL1094">
        <v>0</v>
      </c>
      <c r="BM1094">
        <v>0</v>
      </c>
      <c r="BN1094">
        <v>0</v>
      </c>
      <c r="BO1094">
        <v>0</v>
      </c>
      <c r="BP1094">
        <v>0</v>
      </c>
      <c r="BQ1094">
        <v>0</v>
      </c>
      <c r="BR1094">
        <v>0</v>
      </c>
      <c r="BS1094">
        <v>0</v>
      </c>
      <c r="BT1094">
        <v>0</v>
      </c>
      <c r="BU1094">
        <v>0</v>
      </c>
      <c r="BV1094">
        <v>0</v>
      </c>
      <c r="BW1094">
        <v>0</v>
      </c>
      <c r="BX1094">
        <v>0</v>
      </c>
      <c r="BY1094">
        <v>0</v>
      </c>
      <c r="BZ1094">
        <v>0</v>
      </c>
      <c r="CA1094">
        <v>0</v>
      </c>
      <c r="CB1094">
        <v>0</v>
      </c>
      <c r="CC1094">
        <v>0</v>
      </c>
      <c r="CD1094">
        <v>0</v>
      </c>
      <c r="CE1094">
        <v>0</v>
      </c>
      <c r="CF1094">
        <v>0</v>
      </c>
      <c r="CG1094">
        <v>0</v>
      </c>
      <c r="CH1094">
        <v>0</v>
      </c>
      <c r="CI1094">
        <v>0</v>
      </c>
      <c r="CJ1094">
        <v>0</v>
      </c>
      <c r="CK1094">
        <v>0</v>
      </c>
      <c r="CL1094">
        <v>0</v>
      </c>
      <c r="CM1094">
        <v>0</v>
      </c>
      <c r="CN1094">
        <v>0</v>
      </c>
      <c r="CO1094">
        <v>0</v>
      </c>
      <c r="CP1094">
        <v>0</v>
      </c>
      <c r="CQ1094">
        <v>0</v>
      </c>
      <c r="CR1094">
        <v>0</v>
      </c>
      <c r="CS1094">
        <v>0</v>
      </c>
      <c r="CT1094">
        <v>0</v>
      </c>
      <c r="CU1094">
        <v>0</v>
      </c>
      <c r="CV1094">
        <v>0</v>
      </c>
      <c r="CW1094">
        <v>0</v>
      </c>
      <c r="CX1094">
        <v>0</v>
      </c>
      <c r="CY1094">
        <v>0</v>
      </c>
      <c r="CZ1094">
        <v>0</v>
      </c>
      <c r="DA1094">
        <v>0</v>
      </c>
      <c r="DB1094">
        <v>0</v>
      </c>
      <c r="DC1094">
        <v>0</v>
      </c>
      <c r="DD1094">
        <v>0</v>
      </c>
      <c r="DE1094">
        <v>0</v>
      </c>
      <c r="DF1094">
        <v>0</v>
      </c>
      <c r="DG1094" s="16">
        <f t="shared" si="92"/>
        <v>306.70089364071623</v>
      </c>
      <c r="DH1094" s="16">
        <f t="shared" si="93"/>
        <v>2899.838655774684</v>
      </c>
      <c r="DI1094" s="17">
        <f t="shared" si="94"/>
        <v>9.454940353619218</v>
      </c>
      <c r="DJ1094" s="119" t="s">
        <v>572</v>
      </c>
      <c r="DK1094" s="119" t="s">
        <v>572</v>
      </c>
      <c r="DL1094" s="119"/>
    </row>
    <row r="1095" spans="1:116">
      <c r="A1095" s="32" t="str">
        <f t="shared" si="90"/>
        <v>Essential--&gt; 22 KV &amp; &lt; = 33 KV</v>
      </c>
      <c r="B1095" s="32" t="str">
        <f t="shared" si="91"/>
        <v>Essential</v>
      </c>
      <c r="C1095" s="384"/>
      <c r="E1095" t="s">
        <v>1455</v>
      </c>
      <c r="F1095">
        <v>54.9</v>
      </c>
      <c r="G1095">
        <v>7.4094534211370817</v>
      </c>
      <c r="H1095">
        <v>0.70447516206646621</v>
      </c>
      <c r="I1095">
        <v>0.97290545623805058</v>
      </c>
      <c r="J1095">
        <v>0.47375007679662806</v>
      </c>
      <c r="K1095">
        <v>3.0159504431774038</v>
      </c>
      <c r="L1095">
        <v>1.3090361474662524</v>
      </c>
      <c r="M1095">
        <v>1.5066241634601054</v>
      </c>
      <c r="N1095">
        <v>0.64443942590578884</v>
      </c>
      <c r="O1095">
        <v>6.0830986264204725</v>
      </c>
      <c r="P1095">
        <v>0.86805633916370628</v>
      </c>
      <c r="Q1095">
        <v>0</v>
      </c>
      <c r="R1095">
        <v>1.1984838245367375</v>
      </c>
      <c r="S1095">
        <v>14.946376065013302</v>
      </c>
      <c r="T1095">
        <v>0</v>
      </c>
      <c r="U1095">
        <v>0.10886737506276643</v>
      </c>
      <c r="V1095">
        <v>0</v>
      </c>
      <c r="W1095">
        <v>0</v>
      </c>
      <c r="X1095">
        <v>0</v>
      </c>
      <c r="Y1095">
        <v>3.7699231978652992</v>
      </c>
      <c r="Z1095">
        <v>4.0484817552491233E-2</v>
      </c>
      <c r="AA1095">
        <v>6.5275734357391577E-2</v>
      </c>
      <c r="AB1095">
        <v>0</v>
      </c>
      <c r="AC1095">
        <v>0</v>
      </c>
      <c r="AD1095">
        <v>0</v>
      </c>
      <c r="AE1095">
        <v>0</v>
      </c>
      <c r="AF1095">
        <v>0</v>
      </c>
      <c r="AG1095">
        <v>0</v>
      </c>
      <c r="AH1095">
        <v>0</v>
      </c>
      <c r="AI1095">
        <v>7.2997859757245793</v>
      </c>
      <c r="AJ1095">
        <v>3.1100204574230901</v>
      </c>
      <c r="AK1095">
        <v>0</v>
      </c>
      <c r="AL1095">
        <v>0</v>
      </c>
      <c r="AM1095">
        <v>4.366271015817054E-2</v>
      </c>
      <c r="AN1095">
        <v>0</v>
      </c>
      <c r="AO1095">
        <v>0.27389724045364033</v>
      </c>
      <c r="AP1095">
        <v>0</v>
      </c>
      <c r="AQ1095">
        <v>0</v>
      </c>
      <c r="AR1095">
        <v>0</v>
      </c>
      <c r="AS1095">
        <v>0</v>
      </c>
      <c r="AT1095">
        <v>0</v>
      </c>
      <c r="AU1095">
        <v>0</v>
      </c>
      <c r="AV1095">
        <v>0</v>
      </c>
      <c r="AW1095">
        <v>0</v>
      </c>
      <c r="AX1095">
        <v>0</v>
      </c>
      <c r="AY1095">
        <v>7.6690274646908321E-2</v>
      </c>
      <c r="AZ1095">
        <v>0</v>
      </c>
      <c r="BA1095">
        <v>0</v>
      </c>
      <c r="BB1095">
        <v>0</v>
      </c>
      <c r="BC1095">
        <v>0</v>
      </c>
      <c r="BD1095">
        <v>0</v>
      </c>
      <c r="BE1095">
        <v>1.2419073275974215</v>
      </c>
      <c r="BF1095">
        <v>0</v>
      </c>
      <c r="BG1095">
        <v>0.11202122418505393</v>
      </c>
      <c r="BH1095">
        <v>0</v>
      </c>
      <c r="BI1095">
        <v>0</v>
      </c>
      <c r="BJ1095">
        <v>0</v>
      </c>
      <c r="BK1095">
        <v>0</v>
      </c>
      <c r="BL1095">
        <v>0</v>
      </c>
      <c r="BM1095">
        <v>0</v>
      </c>
      <c r="BN1095">
        <v>0</v>
      </c>
      <c r="BO1095">
        <v>0</v>
      </c>
      <c r="BP1095">
        <v>0</v>
      </c>
      <c r="BQ1095">
        <v>0</v>
      </c>
      <c r="BR1095">
        <v>0</v>
      </c>
      <c r="BS1095">
        <v>0</v>
      </c>
      <c r="BT1095">
        <v>0</v>
      </c>
      <c r="BU1095">
        <v>0</v>
      </c>
      <c r="BV1095">
        <v>0</v>
      </c>
      <c r="BW1095">
        <v>0</v>
      </c>
      <c r="BX1095">
        <v>0</v>
      </c>
      <c r="BY1095">
        <v>0</v>
      </c>
      <c r="BZ1095">
        <v>0</v>
      </c>
      <c r="CA1095">
        <v>0</v>
      </c>
      <c r="CB1095">
        <v>0</v>
      </c>
      <c r="CC1095">
        <v>0</v>
      </c>
      <c r="CD1095">
        <v>0</v>
      </c>
      <c r="CE1095">
        <v>0</v>
      </c>
      <c r="CF1095">
        <v>0</v>
      </c>
      <c r="CG1095">
        <v>0</v>
      </c>
      <c r="CH1095">
        <v>0</v>
      </c>
      <c r="CI1095">
        <v>0</v>
      </c>
      <c r="CJ1095">
        <v>0</v>
      </c>
      <c r="CK1095">
        <v>0</v>
      </c>
      <c r="CL1095">
        <v>0</v>
      </c>
      <c r="CM1095">
        <v>0</v>
      </c>
      <c r="CN1095">
        <v>0</v>
      </c>
      <c r="CO1095">
        <v>0</v>
      </c>
      <c r="CP1095">
        <v>0</v>
      </c>
      <c r="CQ1095">
        <v>0</v>
      </c>
      <c r="CR1095">
        <v>0</v>
      </c>
      <c r="CS1095">
        <v>0</v>
      </c>
      <c r="CT1095">
        <v>0</v>
      </c>
      <c r="CU1095">
        <v>0</v>
      </c>
      <c r="CV1095">
        <v>0</v>
      </c>
      <c r="CW1095">
        <v>0</v>
      </c>
      <c r="CX1095">
        <v>0</v>
      </c>
      <c r="CY1095">
        <v>0</v>
      </c>
      <c r="CZ1095">
        <v>0</v>
      </c>
      <c r="DA1095">
        <v>0</v>
      </c>
      <c r="DB1095">
        <v>0</v>
      </c>
      <c r="DC1095">
        <v>0</v>
      </c>
      <c r="DD1095">
        <v>0</v>
      </c>
      <c r="DE1095">
        <v>0</v>
      </c>
      <c r="DF1095">
        <v>0</v>
      </c>
      <c r="DG1095" s="16">
        <f t="shared" si="92"/>
        <v>47.865732065271736</v>
      </c>
      <c r="DH1095" s="16">
        <f t="shared" si="93"/>
        <v>733.29511333207552</v>
      </c>
      <c r="DI1095" s="17">
        <f t="shared" si="94"/>
        <v>15.319834915135598</v>
      </c>
      <c r="DJ1095" s="119" t="s">
        <v>572</v>
      </c>
      <c r="DK1095" s="119" t="s">
        <v>572</v>
      </c>
      <c r="DL1095" s="119"/>
    </row>
    <row r="1096" spans="1:116">
      <c r="A1096" s="32" t="str">
        <f t="shared" si="90"/>
        <v>Essential--&gt; 33 KV &amp; &lt; = 66 KV</v>
      </c>
      <c r="B1096" s="32" t="str">
        <f t="shared" si="91"/>
        <v>Essential</v>
      </c>
      <c r="C1096" s="384"/>
      <c r="E1096" t="s">
        <v>1456</v>
      </c>
      <c r="F1096">
        <v>54.9</v>
      </c>
      <c r="G1096">
        <v>7.4094534211370817</v>
      </c>
      <c r="H1096">
        <v>0.87222202875616628</v>
      </c>
      <c r="I1096">
        <v>0.32248848267982488</v>
      </c>
      <c r="J1096">
        <v>2.9198157119534365</v>
      </c>
      <c r="K1096">
        <v>4.5675659594117635</v>
      </c>
      <c r="L1096">
        <v>2.6458586327032569</v>
      </c>
      <c r="M1096">
        <v>1.8112031540344213</v>
      </c>
      <c r="N1096">
        <v>2.7262631939925184</v>
      </c>
      <c r="O1096">
        <v>1.56716117779126</v>
      </c>
      <c r="P1096">
        <v>0.22129051762295454</v>
      </c>
      <c r="Q1096">
        <v>2.645110732435576</v>
      </c>
      <c r="R1096">
        <v>0.26240634446817385</v>
      </c>
      <c r="S1096">
        <v>0.95848834163951135</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0</v>
      </c>
      <c r="AP1096">
        <v>0.13795496322556311</v>
      </c>
      <c r="AQ1096">
        <v>0</v>
      </c>
      <c r="AR1096">
        <v>0</v>
      </c>
      <c r="AS1096">
        <v>0</v>
      </c>
      <c r="AT1096">
        <v>0.5737899904928353</v>
      </c>
      <c r="AU1096">
        <v>0</v>
      </c>
      <c r="AV1096">
        <v>0</v>
      </c>
      <c r="AW1096">
        <v>0</v>
      </c>
      <c r="AX1096">
        <v>0</v>
      </c>
      <c r="AY1096">
        <v>0</v>
      </c>
      <c r="AZ1096">
        <v>0</v>
      </c>
      <c r="BA1096">
        <v>0</v>
      </c>
      <c r="BB1096">
        <v>0</v>
      </c>
      <c r="BC1096">
        <v>0</v>
      </c>
      <c r="BD1096">
        <v>0.51873581243580369</v>
      </c>
      <c r="BE1096">
        <v>0</v>
      </c>
      <c r="BF1096">
        <v>0</v>
      </c>
      <c r="BG1096">
        <v>0</v>
      </c>
      <c r="BH1096">
        <v>0</v>
      </c>
      <c r="BI1096">
        <v>0</v>
      </c>
      <c r="BJ1096">
        <v>0</v>
      </c>
      <c r="BK1096">
        <v>0</v>
      </c>
      <c r="BL1096">
        <v>0</v>
      </c>
      <c r="BM1096">
        <v>0</v>
      </c>
      <c r="BN1096">
        <v>0</v>
      </c>
      <c r="BO1096">
        <v>0</v>
      </c>
      <c r="BP1096">
        <v>0</v>
      </c>
      <c r="BQ1096">
        <v>0</v>
      </c>
      <c r="BR1096">
        <v>0</v>
      </c>
      <c r="BS1096">
        <v>0.29697716471837377</v>
      </c>
      <c r="BT1096">
        <v>0</v>
      </c>
      <c r="BU1096">
        <v>0</v>
      </c>
      <c r="BV1096">
        <v>0</v>
      </c>
      <c r="BW1096">
        <v>0</v>
      </c>
      <c r="BX1096">
        <v>0</v>
      </c>
      <c r="BY1096">
        <v>0</v>
      </c>
      <c r="BZ1096">
        <v>0</v>
      </c>
      <c r="CA1096">
        <v>0</v>
      </c>
      <c r="CB1096">
        <v>0</v>
      </c>
      <c r="CC1096">
        <v>0</v>
      </c>
      <c r="CD1096">
        <v>0</v>
      </c>
      <c r="CE1096">
        <v>0</v>
      </c>
      <c r="CF1096">
        <v>0</v>
      </c>
      <c r="CG1096">
        <v>0</v>
      </c>
      <c r="CH1096">
        <v>0</v>
      </c>
      <c r="CI1096">
        <v>0</v>
      </c>
      <c r="CJ1096">
        <v>0</v>
      </c>
      <c r="CK1096">
        <v>0</v>
      </c>
      <c r="CL1096">
        <v>0</v>
      </c>
      <c r="CM1096">
        <v>0</v>
      </c>
      <c r="CN1096">
        <v>0</v>
      </c>
      <c r="CO1096">
        <v>0</v>
      </c>
      <c r="CP1096">
        <v>0</v>
      </c>
      <c r="CQ1096">
        <v>0</v>
      </c>
      <c r="CR1096">
        <v>0</v>
      </c>
      <c r="CS1096">
        <v>0</v>
      </c>
      <c r="CT1096">
        <v>0</v>
      </c>
      <c r="CU1096">
        <v>0</v>
      </c>
      <c r="CV1096">
        <v>0</v>
      </c>
      <c r="CW1096">
        <v>0</v>
      </c>
      <c r="CX1096">
        <v>0</v>
      </c>
      <c r="CY1096">
        <v>0</v>
      </c>
      <c r="CZ1096">
        <v>0</v>
      </c>
      <c r="DA1096">
        <v>0</v>
      </c>
      <c r="DB1096">
        <v>0</v>
      </c>
      <c r="DC1096">
        <v>0</v>
      </c>
      <c r="DD1096">
        <v>0</v>
      </c>
      <c r="DE1096">
        <v>0</v>
      </c>
      <c r="DF1096">
        <v>0</v>
      </c>
      <c r="DG1096" s="16">
        <f t="shared" si="92"/>
        <v>23.047332208361443</v>
      </c>
      <c r="DH1096" s="16">
        <f t="shared" si="93"/>
        <v>198.72643240085566</v>
      </c>
      <c r="DI1096" s="17">
        <f t="shared" si="94"/>
        <v>8.6225351639075534</v>
      </c>
      <c r="DJ1096" s="119" t="s">
        <v>572</v>
      </c>
      <c r="DK1096" s="119" t="s">
        <v>572</v>
      </c>
      <c r="DL1096" s="119"/>
    </row>
    <row r="1097" spans="1:116">
      <c r="A1097" s="32" t="str">
        <f t="shared" si="90"/>
        <v>Essential--&gt; 66 KV &amp; &lt; = 132 KV</v>
      </c>
      <c r="B1097" s="32" t="str">
        <f t="shared" si="91"/>
        <v>Essential</v>
      </c>
      <c r="C1097" s="384"/>
      <c r="E1097" t="s">
        <v>1452</v>
      </c>
      <c r="F1097">
        <v>54.9</v>
      </c>
      <c r="G1097">
        <v>7.4094534211370817</v>
      </c>
      <c r="H1097">
        <v>5.4842419870211625</v>
      </c>
      <c r="I1097">
        <v>0</v>
      </c>
      <c r="J1097">
        <v>0</v>
      </c>
      <c r="K1097">
        <v>0</v>
      </c>
      <c r="L1097">
        <v>0</v>
      </c>
      <c r="M1097">
        <v>0</v>
      </c>
      <c r="N1097">
        <v>0</v>
      </c>
      <c r="O1097">
        <v>0</v>
      </c>
      <c r="P1097">
        <v>0</v>
      </c>
      <c r="Q1097">
        <v>0</v>
      </c>
      <c r="R1097">
        <v>0</v>
      </c>
      <c r="S1097">
        <v>0</v>
      </c>
      <c r="T1097">
        <v>0</v>
      </c>
      <c r="U1097">
        <v>0</v>
      </c>
      <c r="V1097">
        <v>0</v>
      </c>
      <c r="W1097">
        <v>0</v>
      </c>
      <c r="X1097">
        <v>4.2477504485918063</v>
      </c>
      <c r="Y1097">
        <v>0</v>
      </c>
      <c r="Z1097">
        <v>0</v>
      </c>
      <c r="AA1097">
        <v>0</v>
      </c>
      <c r="AB1097">
        <v>0</v>
      </c>
      <c r="AC1097">
        <v>0</v>
      </c>
      <c r="AD1097">
        <v>0</v>
      </c>
      <c r="AE1097">
        <v>0</v>
      </c>
      <c r="AF1097">
        <v>0</v>
      </c>
      <c r="AG1097">
        <v>0</v>
      </c>
      <c r="AH1097">
        <v>0</v>
      </c>
      <c r="AI1097">
        <v>0</v>
      </c>
      <c r="AJ1097">
        <v>0</v>
      </c>
      <c r="AK1097">
        <v>0</v>
      </c>
      <c r="AL1097">
        <v>0</v>
      </c>
      <c r="AM1097">
        <v>0</v>
      </c>
      <c r="AN1097">
        <v>0</v>
      </c>
      <c r="AO1097">
        <v>0</v>
      </c>
      <c r="AP1097">
        <v>0</v>
      </c>
      <c r="AQ1097">
        <v>0</v>
      </c>
      <c r="AR1097">
        <v>0</v>
      </c>
      <c r="AS1097">
        <v>0</v>
      </c>
      <c r="AT1097">
        <v>0</v>
      </c>
      <c r="AU1097">
        <v>0</v>
      </c>
      <c r="AV1097">
        <v>0</v>
      </c>
      <c r="AW1097">
        <v>0</v>
      </c>
      <c r="AX1097">
        <v>0</v>
      </c>
      <c r="AY1097">
        <v>0</v>
      </c>
      <c r="AZ1097">
        <v>0</v>
      </c>
      <c r="BA1097">
        <v>0</v>
      </c>
      <c r="BB1097">
        <v>0</v>
      </c>
      <c r="BC1097">
        <v>0</v>
      </c>
      <c r="BD1097">
        <v>0</v>
      </c>
      <c r="BE1097">
        <v>0</v>
      </c>
      <c r="BF1097">
        <v>0</v>
      </c>
      <c r="BG1097">
        <v>0</v>
      </c>
      <c r="BH1097">
        <v>0</v>
      </c>
      <c r="BI1097">
        <v>0</v>
      </c>
      <c r="BJ1097">
        <v>0</v>
      </c>
      <c r="BK1097">
        <v>0</v>
      </c>
      <c r="BL1097">
        <v>0</v>
      </c>
      <c r="BM1097">
        <v>0</v>
      </c>
      <c r="BN1097">
        <v>0</v>
      </c>
      <c r="BO1097">
        <v>0</v>
      </c>
      <c r="BP1097">
        <v>0</v>
      </c>
      <c r="BQ1097">
        <v>0</v>
      </c>
      <c r="BR1097">
        <v>0</v>
      </c>
      <c r="BS1097">
        <v>0</v>
      </c>
      <c r="BT1097">
        <v>0</v>
      </c>
      <c r="BU1097">
        <v>0</v>
      </c>
      <c r="BV1097">
        <v>0</v>
      </c>
      <c r="BW1097">
        <v>0</v>
      </c>
      <c r="BX1097">
        <v>0</v>
      </c>
      <c r="BY1097">
        <v>0</v>
      </c>
      <c r="BZ1097">
        <v>0</v>
      </c>
      <c r="CA1097">
        <v>0</v>
      </c>
      <c r="CB1097">
        <v>0</v>
      </c>
      <c r="CC1097">
        <v>0</v>
      </c>
      <c r="CD1097">
        <v>0</v>
      </c>
      <c r="CE1097">
        <v>0</v>
      </c>
      <c r="CF1097">
        <v>0</v>
      </c>
      <c r="CG1097">
        <v>0</v>
      </c>
      <c r="CH1097">
        <v>0</v>
      </c>
      <c r="CI1097">
        <v>0</v>
      </c>
      <c r="CJ1097">
        <v>0</v>
      </c>
      <c r="CK1097">
        <v>0</v>
      </c>
      <c r="CL1097">
        <v>0</v>
      </c>
      <c r="CM1097">
        <v>0</v>
      </c>
      <c r="CN1097">
        <v>0</v>
      </c>
      <c r="CO1097">
        <v>0</v>
      </c>
      <c r="CP1097">
        <v>0</v>
      </c>
      <c r="CQ1097">
        <v>0</v>
      </c>
      <c r="CR1097">
        <v>0</v>
      </c>
      <c r="CS1097">
        <v>0</v>
      </c>
      <c r="CT1097">
        <v>0</v>
      </c>
      <c r="CU1097">
        <v>0</v>
      </c>
      <c r="CV1097">
        <v>0</v>
      </c>
      <c r="CW1097">
        <v>0</v>
      </c>
      <c r="CX1097">
        <v>0</v>
      </c>
      <c r="CY1097">
        <v>0</v>
      </c>
      <c r="CZ1097">
        <v>0</v>
      </c>
      <c r="DA1097">
        <v>0</v>
      </c>
      <c r="DB1097">
        <v>0</v>
      </c>
      <c r="DC1097">
        <v>0</v>
      </c>
      <c r="DD1097">
        <v>0</v>
      </c>
      <c r="DE1097">
        <v>0</v>
      </c>
      <c r="DF1097">
        <v>0</v>
      </c>
      <c r="DG1097" s="16">
        <f t="shared" si="92"/>
        <v>9.7319924356129697</v>
      </c>
      <c r="DH1097" s="16">
        <f t="shared" si="93"/>
        <v>77.695999613081867</v>
      </c>
      <c r="DI1097" s="17">
        <f t="shared" si="94"/>
        <v>7.9835655573224029</v>
      </c>
      <c r="DJ1097" s="119" t="s">
        <v>572</v>
      </c>
      <c r="DK1097" s="119" t="s">
        <v>572</v>
      </c>
      <c r="DL1097" s="119"/>
    </row>
    <row r="1098" spans="1:116">
      <c r="A1098" s="32" t="str">
        <f t="shared" si="90"/>
        <v>Essential--&gt;  132 KV</v>
      </c>
      <c r="B1098" s="32" t="str">
        <f t="shared" si="91"/>
        <v>Essential</v>
      </c>
      <c r="C1098" s="384"/>
      <c r="E1098" t="s">
        <v>1457</v>
      </c>
      <c r="F1098">
        <v>54.9</v>
      </c>
      <c r="G1098">
        <v>7.4094534211370817</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0</v>
      </c>
      <c r="AL1098">
        <v>0</v>
      </c>
      <c r="AM1098">
        <v>0</v>
      </c>
      <c r="AN1098">
        <v>0</v>
      </c>
      <c r="AO1098">
        <v>0</v>
      </c>
      <c r="AP1098">
        <v>0</v>
      </c>
      <c r="AQ1098">
        <v>0</v>
      </c>
      <c r="AR1098">
        <v>0</v>
      </c>
      <c r="AS1098">
        <v>0</v>
      </c>
      <c r="AT1098">
        <v>0</v>
      </c>
      <c r="AU1098">
        <v>0</v>
      </c>
      <c r="AV1098">
        <v>0</v>
      </c>
      <c r="AW1098">
        <v>0</v>
      </c>
      <c r="AX1098">
        <v>0</v>
      </c>
      <c r="AY1098">
        <v>0</v>
      </c>
      <c r="AZ1098">
        <v>0</v>
      </c>
      <c r="BA1098">
        <v>0</v>
      </c>
      <c r="BB1098">
        <v>0</v>
      </c>
      <c r="BC1098">
        <v>0</v>
      </c>
      <c r="BD1098">
        <v>0</v>
      </c>
      <c r="BE1098">
        <v>0</v>
      </c>
      <c r="BF1098">
        <v>0</v>
      </c>
      <c r="BG1098">
        <v>0</v>
      </c>
      <c r="BH1098">
        <v>0</v>
      </c>
      <c r="BI1098">
        <v>0</v>
      </c>
      <c r="BJ1098">
        <v>0</v>
      </c>
      <c r="BK1098">
        <v>0</v>
      </c>
      <c r="BL1098">
        <v>0</v>
      </c>
      <c r="BM1098">
        <v>0</v>
      </c>
      <c r="BN1098">
        <v>0</v>
      </c>
      <c r="BO1098">
        <v>0</v>
      </c>
      <c r="BP1098">
        <v>0</v>
      </c>
      <c r="BQ1098">
        <v>0</v>
      </c>
      <c r="BR1098">
        <v>0</v>
      </c>
      <c r="BS1098">
        <v>0</v>
      </c>
      <c r="BT1098">
        <v>0</v>
      </c>
      <c r="BU1098">
        <v>0</v>
      </c>
      <c r="BV1098">
        <v>0</v>
      </c>
      <c r="BW1098">
        <v>0</v>
      </c>
      <c r="BX1098">
        <v>0</v>
      </c>
      <c r="BY1098">
        <v>0</v>
      </c>
      <c r="BZ1098">
        <v>0</v>
      </c>
      <c r="CA1098">
        <v>0</v>
      </c>
      <c r="CB1098">
        <v>0</v>
      </c>
      <c r="CC1098">
        <v>0</v>
      </c>
      <c r="CD1098">
        <v>0</v>
      </c>
      <c r="CE1098">
        <v>0</v>
      </c>
      <c r="CF1098">
        <v>0</v>
      </c>
      <c r="CG1098">
        <v>0</v>
      </c>
      <c r="CH1098">
        <v>0</v>
      </c>
      <c r="CI1098">
        <v>0</v>
      </c>
      <c r="CJ1098">
        <v>0</v>
      </c>
      <c r="CK1098">
        <v>0</v>
      </c>
      <c r="CL1098">
        <v>0</v>
      </c>
      <c r="CM1098">
        <v>0</v>
      </c>
      <c r="CN1098">
        <v>0</v>
      </c>
      <c r="CO1098">
        <v>0</v>
      </c>
      <c r="CP1098">
        <v>0</v>
      </c>
      <c r="CQ1098">
        <v>0</v>
      </c>
      <c r="CR1098">
        <v>0</v>
      </c>
      <c r="CS1098">
        <v>0</v>
      </c>
      <c r="CT1098">
        <v>0</v>
      </c>
      <c r="CU1098">
        <v>0</v>
      </c>
      <c r="CV1098">
        <v>0</v>
      </c>
      <c r="CW1098">
        <v>0</v>
      </c>
      <c r="CX1098">
        <v>0</v>
      </c>
      <c r="CY1098">
        <v>0</v>
      </c>
      <c r="CZ1098">
        <v>0</v>
      </c>
      <c r="DA1098">
        <v>0</v>
      </c>
      <c r="DB1098">
        <v>0</v>
      </c>
      <c r="DC1098">
        <v>0</v>
      </c>
      <c r="DD1098">
        <v>0</v>
      </c>
      <c r="DE1098">
        <v>0</v>
      </c>
      <c r="DF1098">
        <v>0</v>
      </c>
      <c r="DG1098" s="16">
        <f t="shared" si="92"/>
        <v>0</v>
      </c>
      <c r="DH1098" s="16">
        <f t="shared" si="93"/>
        <v>0</v>
      </c>
      <c r="DI1098" s="17" t="str">
        <f t="shared" si="94"/>
        <v/>
      </c>
      <c r="DJ1098" s="119" t="s">
        <v>572</v>
      </c>
      <c r="DK1098" s="119" t="s">
        <v>572</v>
      </c>
      <c r="DL1098" s="119"/>
    </row>
    <row r="1099" spans="1:116">
      <c r="A1099" s="32" t="str">
        <f t="shared" si="90"/>
        <v>Essential--OTHER - PLEASE ADD A ROW IF NECESSARY AND NOMINATE THE CATEGORY</v>
      </c>
      <c r="B1099" s="32" t="str">
        <f t="shared" si="91"/>
        <v>Essential</v>
      </c>
      <c r="C1099" s="384"/>
      <c r="E1099" t="s">
        <v>170</v>
      </c>
      <c r="DG1099" s="16">
        <f t="shared" si="92"/>
        <v>0</v>
      </c>
      <c r="DH1099" s="16">
        <f t="shared" si="93"/>
        <v>0</v>
      </c>
      <c r="DI1099" s="17" t="str">
        <f t="shared" si="94"/>
        <v/>
      </c>
      <c r="DJ1099" s="119" t="s">
        <v>572</v>
      </c>
      <c r="DK1099" s="119" t="s">
        <v>572</v>
      </c>
      <c r="DL1099" s="119"/>
    </row>
    <row r="1100" spans="1:116">
      <c r="A1100" s="32" t="str">
        <f t="shared" si="90"/>
        <v xml:space="preserve">Essential-SERVICE LINES BY: 
CONNECTION VOLTAGE; CUSTOMER TYPE; CONNECTION COMPLEXITY -˂ = 11 KV ; RESIDENTIAL ; SIMPLE TYPE </v>
      </c>
      <c r="B1100" s="32" t="str">
        <f t="shared" si="91"/>
        <v>Essential</v>
      </c>
      <c r="C1100" s="384"/>
      <c r="D1100" t="s">
        <v>541</v>
      </c>
      <c r="E1100" t="s">
        <v>1458</v>
      </c>
      <c r="F1100">
        <v>53.8</v>
      </c>
      <c r="G1100">
        <v>7.334848328356899</v>
      </c>
      <c r="H1100">
        <v>380.01671618126136</v>
      </c>
      <c r="I1100">
        <v>537.71226016465528</v>
      </c>
      <c r="J1100">
        <v>661.97981045119764</v>
      </c>
      <c r="K1100">
        <v>278.45927009509415</v>
      </c>
      <c r="L1100">
        <v>414.73141615810977</v>
      </c>
      <c r="M1100">
        <v>649.66538193808083</v>
      </c>
      <c r="N1100">
        <v>238.05952258772459</v>
      </c>
      <c r="O1100">
        <v>194.19575736873537</v>
      </c>
      <c r="P1100">
        <v>136.235879628503</v>
      </c>
      <c r="Q1100">
        <v>160.28638413796534</v>
      </c>
      <c r="R1100">
        <v>1022.3973356449877</v>
      </c>
      <c r="S1100">
        <v>332.37077623434709</v>
      </c>
      <c r="T1100">
        <v>116.20408257637351</v>
      </c>
      <c r="U1100">
        <v>86.159459182358887</v>
      </c>
      <c r="V1100">
        <v>56.060949092190157</v>
      </c>
      <c r="W1100">
        <v>60.032466520616893</v>
      </c>
      <c r="X1100">
        <v>94.555903574852522</v>
      </c>
      <c r="Y1100">
        <v>107.45932368706502</v>
      </c>
      <c r="Z1100">
        <v>156.24316869347001</v>
      </c>
      <c r="AA1100">
        <v>149.04482035517111</v>
      </c>
      <c r="AB1100">
        <v>161.54217936538402</v>
      </c>
      <c r="AC1100">
        <v>202.37536846854462</v>
      </c>
      <c r="AD1100">
        <v>199.11825051676976</v>
      </c>
      <c r="AE1100">
        <v>241.96074287498922</v>
      </c>
      <c r="AF1100">
        <v>170.00543462023461</v>
      </c>
      <c r="AG1100">
        <v>177.24886576170306</v>
      </c>
      <c r="AH1100">
        <v>186.21851660268925</v>
      </c>
      <c r="AI1100">
        <v>168.69593001628823</v>
      </c>
      <c r="AJ1100">
        <v>178.6566110859946</v>
      </c>
      <c r="AK1100">
        <v>130.99916741097761</v>
      </c>
      <c r="AL1100">
        <v>155.97396841018215</v>
      </c>
      <c r="AM1100">
        <v>201.22593367785669</v>
      </c>
      <c r="AN1100">
        <v>201.30412643112493</v>
      </c>
      <c r="AO1100">
        <v>222.95346042864091</v>
      </c>
      <c r="AP1100">
        <v>132.49932792320232</v>
      </c>
      <c r="AQ1100">
        <v>164.45881826543055</v>
      </c>
      <c r="AR1100">
        <v>183.29952153024394</v>
      </c>
      <c r="AS1100">
        <v>192.43084020504025</v>
      </c>
      <c r="AT1100">
        <v>254.41450250686484</v>
      </c>
      <c r="AU1100">
        <v>249.39366268461902</v>
      </c>
      <c r="AV1100">
        <v>216.23376588562223</v>
      </c>
      <c r="AW1100">
        <v>234.47046288998621</v>
      </c>
      <c r="AX1100">
        <v>326.30660118056142</v>
      </c>
      <c r="AY1100">
        <v>470.89349400140441</v>
      </c>
      <c r="AZ1100">
        <v>223.31386307622614</v>
      </c>
      <c r="BA1100">
        <v>193.99982490926033</v>
      </c>
      <c r="BB1100">
        <v>401.32688491616943</v>
      </c>
      <c r="BC1100">
        <v>162.38289249175264</v>
      </c>
      <c r="BD1100">
        <v>363.95238295336583</v>
      </c>
      <c r="BE1100">
        <v>109.83900589310394</v>
      </c>
      <c r="BF1100">
        <v>30.404626764081492</v>
      </c>
      <c r="BG1100">
        <v>59.239754499131337</v>
      </c>
      <c r="BH1100">
        <v>230.27148576610207</v>
      </c>
      <c r="BI1100">
        <v>338.34649409242394</v>
      </c>
      <c r="BJ1100">
        <v>11.691367130811294</v>
      </c>
      <c r="BK1100">
        <v>80.535186215689293</v>
      </c>
      <c r="BL1100">
        <v>28.486292906680397</v>
      </c>
      <c r="BM1100">
        <v>62.650013669590649</v>
      </c>
      <c r="BN1100">
        <v>115.89640282458323</v>
      </c>
      <c r="BO1100">
        <v>9.1050038181245121</v>
      </c>
      <c r="BP1100">
        <v>30.933851423899043</v>
      </c>
      <c r="BQ1100">
        <v>78.973547654839379</v>
      </c>
      <c r="BR1100">
        <v>37.432659060864111</v>
      </c>
      <c r="BS1100">
        <v>251.70594549134873</v>
      </c>
      <c r="BT1100">
        <v>30.281061442286283</v>
      </c>
      <c r="BU1100">
        <v>9.311075331221172</v>
      </c>
      <c r="BV1100">
        <v>4.5124475599767866</v>
      </c>
      <c r="BW1100">
        <v>12.385410329702776</v>
      </c>
      <c r="BX1100">
        <v>1.5910152100755841</v>
      </c>
      <c r="BY1100">
        <v>0.4367850350408875</v>
      </c>
      <c r="BZ1100">
        <v>2.3414456490860691</v>
      </c>
      <c r="CA1100">
        <v>0</v>
      </c>
      <c r="CB1100">
        <v>0.80277988145507173</v>
      </c>
      <c r="CC1100">
        <v>4.8867595276124733</v>
      </c>
      <c r="CD1100">
        <v>1.0303607981439171</v>
      </c>
      <c r="CE1100">
        <v>9.1496521272983286E-2</v>
      </c>
      <c r="CF1100">
        <v>1.1301874826924969</v>
      </c>
      <c r="CG1100">
        <v>1.6727878405079404</v>
      </c>
      <c r="CH1100">
        <v>0.1427034518778022</v>
      </c>
      <c r="CI1100">
        <v>0.29326897557947301</v>
      </c>
      <c r="CJ1100">
        <v>0</v>
      </c>
      <c r="CK1100">
        <v>2.7608293390632345E-2</v>
      </c>
      <c r="CL1100">
        <v>29.657242288280393</v>
      </c>
      <c r="CM1100">
        <v>10.618740195301491</v>
      </c>
      <c r="CN1100">
        <v>0</v>
      </c>
      <c r="CO1100">
        <v>0</v>
      </c>
      <c r="CP1100">
        <v>6.8173508101148445E-2</v>
      </c>
      <c r="CQ1100">
        <v>0.49106312986835465</v>
      </c>
      <c r="CR1100">
        <v>0.11491686354327757</v>
      </c>
      <c r="CS1100">
        <v>0</v>
      </c>
      <c r="CT1100">
        <v>0.20003923091460968</v>
      </c>
      <c r="CU1100">
        <v>0</v>
      </c>
      <c r="CV1100">
        <v>0</v>
      </c>
      <c r="CW1100">
        <v>0</v>
      </c>
      <c r="CX1100">
        <v>0</v>
      </c>
      <c r="CY1100">
        <v>0</v>
      </c>
      <c r="CZ1100">
        <v>0</v>
      </c>
      <c r="DA1100">
        <v>0</v>
      </c>
      <c r="DB1100">
        <v>0</v>
      </c>
      <c r="DC1100">
        <v>0</v>
      </c>
      <c r="DD1100">
        <v>0</v>
      </c>
      <c r="DE1100">
        <v>0</v>
      </c>
      <c r="DF1100">
        <v>0</v>
      </c>
      <c r="DG1100" s="16">
        <f t="shared" si="92"/>
        <v>13787.125091121092</v>
      </c>
      <c r="DH1100" s="16">
        <f t="shared" si="93"/>
        <v>370615.75891961763</v>
      </c>
      <c r="DI1100" s="17">
        <f t="shared" si="94"/>
        <v>26.881293704827133</v>
      </c>
      <c r="DJ1100" s="119" t="s">
        <v>719</v>
      </c>
      <c r="DK1100" s="119" t="s">
        <v>719</v>
      </c>
      <c r="DL1100" s="119"/>
    </row>
    <row r="1101" spans="1:116">
      <c r="A1101" s="32" t="str">
        <f t="shared" si="90"/>
        <v xml:space="preserve">Essential--˂ = 11 KV ; COMMERCIAL &amp; INDUSTRIAL ; SIMPLE TYPE </v>
      </c>
      <c r="B1101" s="32" t="str">
        <f t="shared" si="91"/>
        <v>Essential</v>
      </c>
      <c r="C1101" s="384"/>
      <c r="E1101" t="s">
        <v>1459</v>
      </c>
      <c r="F1101">
        <v>53.8</v>
      </c>
      <c r="G1101">
        <v>7.334848328356899</v>
      </c>
      <c r="H1101">
        <v>40.238998227307867</v>
      </c>
      <c r="I1101">
        <v>56.530939267554295</v>
      </c>
      <c r="J1101">
        <v>54.554795316045087</v>
      </c>
      <c r="K1101">
        <v>27.682120678719215</v>
      </c>
      <c r="L1101">
        <v>61.767999828962047</v>
      </c>
      <c r="M1101">
        <v>60.179256329515795</v>
      </c>
      <c r="N1101">
        <v>29.790494065471965</v>
      </c>
      <c r="O1101">
        <v>28.741225768443464</v>
      </c>
      <c r="P1101">
        <v>20.946853794976846</v>
      </c>
      <c r="Q1101">
        <v>25.229866966095855</v>
      </c>
      <c r="R1101">
        <v>104.77566628312518</v>
      </c>
      <c r="S1101">
        <v>32.487962054060148</v>
      </c>
      <c r="T1101">
        <v>33.15138125414672</v>
      </c>
      <c r="U1101">
        <v>16.209675928009247</v>
      </c>
      <c r="V1101">
        <v>9.0716905795272424</v>
      </c>
      <c r="W1101">
        <v>10.576214983301689</v>
      </c>
      <c r="X1101">
        <v>15.47068111867911</v>
      </c>
      <c r="Y1101">
        <v>19.816801714059615</v>
      </c>
      <c r="Z1101">
        <v>22.159584741397637</v>
      </c>
      <c r="AA1101">
        <v>21.588158441041429</v>
      </c>
      <c r="AB1101">
        <v>22.65701151745278</v>
      </c>
      <c r="AC1101">
        <v>25.382052526665213</v>
      </c>
      <c r="AD1101">
        <v>29.310786057310104</v>
      </c>
      <c r="AE1101">
        <v>24.104994148803858</v>
      </c>
      <c r="AF1101">
        <v>19.476071297513194</v>
      </c>
      <c r="AG1101">
        <v>24.525997836533513</v>
      </c>
      <c r="AH1101">
        <v>26.453136583843719</v>
      </c>
      <c r="AI1101">
        <v>25.331108499200965</v>
      </c>
      <c r="AJ1101">
        <v>24.176274110881444</v>
      </c>
      <c r="AK1101">
        <v>17.285031588988055</v>
      </c>
      <c r="AL1101">
        <v>17.685973283936498</v>
      </c>
      <c r="AM1101">
        <v>28.354213449424694</v>
      </c>
      <c r="AN1101">
        <v>25.48847590670724</v>
      </c>
      <c r="AO1101">
        <v>35.163535536940714</v>
      </c>
      <c r="AP1101">
        <v>18.339667562654896</v>
      </c>
      <c r="AQ1101">
        <v>22.231662829899879</v>
      </c>
      <c r="AR1101">
        <v>24.699269627603357</v>
      </c>
      <c r="AS1101">
        <v>20.081244994823564</v>
      </c>
      <c r="AT1101">
        <v>25.749028108245074</v>
      </c>
      <c r="AU1101">
        <v>21.4977805296135</v>
      </c>
      <c r="AV1101">
        <v>17.505952778942568</v>
      </c>
      <c r="AW1101">
        <v>25.187971612604141</v>
      </c>
      <c r="AX1101">
        <v>34.729028420845481</v>
      </c>
      <c r="AY1101">
        <v>57.978022180689095</v>
      </c>
      <c r="AZ1101">
        <v>21.610799721398486</v>
      </c>
      <c r="BA1101">
        <v>19.892915312453901</v>
      </c>
      <c r="BB1101">
        <v>44.362807887963967</v>
      </c>
      <c r="BC1101">
        <v>21.881634683928937</v>
      </c>
      <c r="BD1101">
        <v>42.867321965292888</v>
      </c>
      <c r="BE1101">
        <v>11.346810901234065</v>
      </c>
      <c r="BF1101">
        <v>2.4073778161183288</v>
      </c>
      <c r="BG1101">
        <v>6.2716214381270277</v>
      </c>
      <c r="BH1101">
        <v>29.215533164207827</v>
      </c>
      <c r="BI1101">
        <v>50.653719206545716</v>
      </c>
      <c r="BJ1101">
        <v>1.7846044007128152</v>
      </c>
      <c r="BK1101">
        <v>10.494839690856036</v>
      </c>
      <c r="BL1101">
        <v>3.7934254574453896</v>
      </c>
      <c r="BM1101">
        <v>5.0121045081849172</v>
      </c>
      <c r="BN1101">
        <v>19.483001575878788</v>
      </c>
      <c r="BO1101">
        <v>1.3982538051700306</v>
      </c>
      <c r="BP1101">
        <v>3.5091850111150533</v>
      </c>
      <c r="BQ1101">
        <v>7.5172553226712218</v>
      </c>
      <c r="BR1101">
        <v>4.4172842163770003</v>
      </c>
      <c r="BS1101">
        <v>29.487476530422324</v>
      </c>
      <c r="BT1101">
        <v>6.46451709822305</v>
      </c>
      <c r="BU1101">
        <v>1.867791851552032</v>
      </c>
      <c r="BV1101">
        <v>1.0163653193694873</v>
      </c>
      <c r="BW1101">
        <v>1.3876504648479513</v>
      </c>
      <c r="BX1101">
        <v>0.27920348941298351</v>
      </c>
      <c r="BY1101">
        <v>2.1849156002006119E-2</v>
      </c>
      <c r="BZ1101">
        <v>4.5266065867268057E-2</v>
      </c>
      <c r="CA1101">
        <v>6.3836069330082873E-2</v>
      </c>
      <c r="CB1101">
        <v>0.78137965859297709</v>
      </c>
      <c r="CC1101">
        <v>3.2633553963457484</v>
      </c>
      <c r="CD1101">
        <v>7.6375344832090339E-2</v>
      </c>
      <c r="CE1101">
        <v>7.1935271310424154E-2</v>
      </c>
      <c r="CF1101">
        <v>9.1549302080683737E-2</v>
      </c>
      <c r="CG1101">
        <v>0</v>
      </c>
      <c r="CH1101">
        <v>0</v>
      </c>
      <c r="CI1101">
        <v>0.14012467535726664</v>
      </c>
      <c r="CJ1101">
        <v>0</v>
      </c>
      <c r="CK1101">
        <v>0</v>
      </c>
      <c r="CL1101">
        <v>1.2996453575415257</v>
      </c>
      <c r="CM1101">
        <v>1.3546530118628806</v>
      </c>
      <c r="CN1101">
        <v>0</v>
      </c>
      <c r="CO1101">
        <v>0</v>
      </c>
      <c r="CP1101">
        <v>0</v>
      </c>
      <c r="CQ1101">
        <v>2.3731472632499671E-2</v>
      </c>
      <c r="CR1101">
        <v>3.1608148720013121E-2</v>
      </c>
      <c r="CS1101">
        <v>0</v>
      </c>
      <c r="CT1101">
        <v>0</v>
      </c>
      <c r="CU1101">
        <v>0</v>
      </c>
      <c r="CV1101">
        <v>0</v>
      </c>
      <c r="CW1101">
        <v>0</v>
      </c>
      <c r="CX1101">
        <v>0</v>
      </c>
      <c r="CY1101">
        <v>0</v>
      </c>
      <c r="CZ1101">
        <v>0</v>
      </c>
      <c r="DA1101">
        <v>0</v>
      </c>
      <c r="DB1101">
        <v>0</v>
      </c>
      <c r="DC1101">
        <v>0</v>
      </c>
      <c r="DD1101">
        <v>0</v>
      </c>
      <c r="DE1101">
        <v>0</v>
      </c>
      <c r="DF1101">
        <v>0</v>
      </c>
      <c r="DG1101" s="16">
        <f t="shared" si="92"/>
        <v>1660.0534681005495</v>
      </c>
      <c r="DH1101" s="16">
        <f t="shared" si="93"/>
        <v>45289.478305939127</v>
      </c>
      <c r="DI1101" s="17">
        <f t="shared" si="94"/>
        <v>27.281939513526524</v>
      </c>
      <c r="DJ1101" s="119" t="s">
        <v>719</v>
      </c>
      <c r="DK1101" s="119" t="s">
        <v>719</v>
      </c>
      <c r="DL1101" s="119"/>
    </row>
    <row r="1102" spans="1:116">
      <c r="A1102" s="32" t="str">
        <f t="shared" si="90"/>
        <v xml:space="preserve">Essential--˂ = 11 KV ; RESIDENTIAL ; COMPLEX TYPE </v>
      </c>
      <c r="B1102" s="32" t="str">
        <f t="shared" si="91"/>
        <v>Essential</v>
      </c>
      <c r="C1102" s="384"/>
      <c r="E1102" t="s">
        <v>1460</v>
      </c>
      <c r="F1102">
        <v>53.8</v>
      </c>
      <c r="G1102">
        <v>7.334848328356899</v>
      </c>
      <c r="H1102">
        <v>15.112065382422765</v>
      </c>
      <c r="I1102">
        <v>26.953073729357765</v>
      </c>
      <c r="J1102">
        <v>26.327499884303123</v>
      </c>
      <c r="K1102">
        <v>9.667739611701256</v>
      </c>
      <c r="L1102">
        <v>16.134093278857438</v>
      </c>
      <c r="M1102">
        <v>19.388149715507215</v>
      </c>
      <c r="N1102">
        <v>9.5973272783564791</v>
      </c>
      <c r="O1102">
        <v>11.212626117805819</v>
      </c>
      <c r="P1102">
        <v>6.5448188709497517</v>
      </c>
      <c r="Q1102">
        <v>11.309096086172159</v>
      </c>
      <c r="R1102">
        <v>27.114817614569848</v>
      </c>
      <c r="S1102">
        <v>12.287843207199563</v>
      </c>
      <c r="T1102">
        <v>9.12776800775117</v>
      </c>
      <c r="U1102">
        <v>6.066275027923874</v>
      </c>
      <c r="V1102">
        <v>3.9013536707585419</v>
      </c>
      <c r="W1102">
        <v>3.0226639504812218</v>
      </c>
      <c r="X1102">
        <v>5.0572743836103839</v>
      </c>
      <c r="Y1102">
        <v>7.1175465006058047</v>
      </c>
      <c r="Z1102">
        <v>9.6074019020770045</v>
      </c>
      <c r="AA1102">
        <v>10.172007933516444</v>
      </c>
      <c r="AB1102">
        <v>11.925682489982863</v>
      </c>
      <c r="AC1102">
        <v>11.125222391425948</v>
      </c>
      <c r="AD1102">
        <v>14.78555276178502</v>
      </c>
      <c r="AE1102">
        <v>17.286016170471765</v>
      </c>
      <c r="AF1102">
        <v>15.31698487369157</v>
      </c>
      <c r="AG1102">
        <v>16.639703772069087</v>
      </c>
      <c r="AH1102">
        <v>17.732308099725824</v>
      </c>
      <c r="AI1102">
        <v>16.560063106717287</v>
      </c>
      <c r="AJ1102">
        <v>14.181210034076827</v>
      </c>
      <c r="AK1102">
        <v>10.38807612208501</v>
      </c>
      <c r="AL1102">
        <v>10.15821555736346</v>
      </c>
      <c r="AM1102">
        <v>13.363918627387209</v>
      </c>
      <c r="AN1102">
        <v>15.878910861270253</v>
      </c>
      <c r="AO1102">
        <v>18.119548526485023</v>
      </c>
      <c r="AP1102">
        <v>11.637479999362137</v>
      </c>
      <c r="AQ1102">
        <v>15.007675068594731</v>
      </c>
      <c r="AR1102">
        <v>18.050313118986221</v>
      </c>
      <c r="AS1102">
        <v>10.491588149199034</v>
      </c>
      <c r="AT1102">
        <v>16.085407554708109</v>
      </c>
      <c r="AU1102">
        <v>14.736990276718737</v>
      </c>
      <c r="AV1102">
        <v>12.958109381531385</v>
      </c>
      <c r="AW1102">
        <v>13.756821185965732</v>
      </c>
      <c r="AX1102">
        <v>25.476453317396256</v>
      </c>
      <c r="AY1102">
        <v>43.952534596715985</v>
      </c>
      <c r="AZ1102">
        <v>16.217165927341053</v>
      </c>
      <c r="BA1102">
        <v>14.734290605823711</v>
      </c>
      <c r="BB1102">
        <v>42.01891296416477</v>
      </c>
      <c r="BC1102">
        <v>16.631570623170965</v>
      </c>
      <c r="BD1102">
        <v>28.610027339903731</v>
      </c>
      <c r="BE1102">
        <v>12.350506483455721</v>
      </c>
      <c r="BF1102">
        <v>4.4776100443915077</v>
      </c>
      <c r="BG1102">
        <v>5.1105546842202747</v>
      </c>
      <c r="BH1102">
        <v>29.977175509279757</v>
      </c>
      <c r="BI1102">
        <v>57.533145810583683</v>
      </c>
      <c r="BJ1102">
        <v>2.9765589267943819</v>
      </c>
      <c r="BK1102">
        <v>10.39895769247917</v>
      </c>
      <c r="BL1102">
        <v>3.606044341810005</v>
      </c>
      <c r="BM1102">
        <v>6.626683590842898</v>
      </c>
      <c r="BN1102">
        <v>17.526335472658971</v>
      </c>
      <c r="BO1102">
        <v>2.746326968472474</v>
      </c>
      <c r="BP1102">
        <v>5.2766645585539704</v>
      </c>
      <c r="BQ1102">
        <v>10.221429148572827</v>
      </c>
      <c r="BR1102">
        <v>6.5267128400769936</v>
      </c>
      <c r="BS1102">
        <v>28.707776029211583</v>
      </c>
      <c r="BT1102">
        <v>3.4660603863013604</v>
      </c>
      <c r="BU1102">
        <v>1.0629876501070707</v>
      </c>
      <c r="BV1102">
        <v>0.87033464122543114</v>
      </c>
      <c r="BW1102">
        <v>2.4740451639877721</v>
      </c>
      <c r="BX1102">
        <v>0.31936340027639387</v>
      </c>
      <c r="BY1102">
        <v>0.11306078249063783</v>
      </c>
      <c r="BZ1102">
        <v>0.344692123633207</v>
      </c>
      <c r="CA1102">
        <v>0</v>
      </c>
      <c r="CB1102">
        <v>9.0635436163785429E-2</v>
      </c>
      <c r="CC1102">
        <v>1.7317394696853472</v>
      </c>
      <c r="CD1102">
        <v>0.27654239791511609</v>
      </c>
      <c r="CE1102">
        <v>0.53289018851827286</v>
      </c>
      <c r="CF1102">
        <v>4.1394679201286172E-2</v>
      </c>
      <c r="CG1102">
        <v>0.47924634756753565</v>
      </c>
      <c r="CH1102">
        <v>0</v>
      </c>
      <c r="CI1102">
        <v>4.0792883030751313E-2</v>
      </c>
      <c r="CJ1102">
        <v>0</v>
      </c>
      <c r="CK1102">
        <v>0</v>
      </c>
      <c r="CL1102">
        <v>3.3283548957340949</v>
      </c>
      <c r="CM1102">
        <v>2.7149899052703277</v>
      </c>
      <c r="CN1102">
        <v>0</v>
      </c>
      <c r="CO1102">
        <v>0</v>
      </c>
      <c r="CP1102">
        <v>0</v>
      </c>
      <c r="CQ1102">
        <v>4.7423272600883581E-2</v>
      </c>
      <c r="CR1102">
        <v>4.7373537460692991E-2</v>
      </c>
      <c r="CS1102">
        <v>0</v>
      </c>
      <c r="CT1102">
        <v>0</v>
      </c>
      <c r="CU1102">
        <v>0</v>
      </c>
      <c r="CV1102">
        <v>0</v>
      </c>
      <c r="CW1102">
        <v>0</v>
      </c>
      <c r="CX1102">
        <v>0</v>
      </c>
      <c r="CY1102">
        <v>0</v>
      </c>
      <c r="CZ1102">
        <v>0</v>
      </c>
      <c r="DA1102">
        <v>0</v>
      </c>
      <c r="DB1102">
        <v>0</v>
      </c>
      <c r="DC1102">
        <v>0</v>
      </c>
      <c r="DD1102">
        <v>0</v>
      </c>
      <c r="DE1102">
        <v>0</v>
      </c>
      <c r="DF1102">
        <v>0</v>
      </c>
      <c r="DG1102" s="16">
        <f t="shared" si="92"/>
        <v>971.5926049206214</v>
      </c>
      <c r="DH1102" s="16">
        <f t="shared" si="93"/>
        <v>33509.552122755573</v>
      </c>
      <c r="DI1102" s="17">
        <f t="shared" si="94"/>
        <v>34.489303390172765</v>
      </c>
      <c r="DJ1102" s="119" t="s">
        <v>719</v>
      </c>
      <c r="DK1102" s="119" t="s">
        <v>719</v>
      </c>
      <c r="DL1102" s="119"/>
    </row>
    <row r="1103" spans="1:116">
      <c r="A1103" s="32" t="str">
        <f t="shared" si="90"/>
        <v xml:space="preserve">Essential--˂ = 11 KV ; COMMERCIAL &amp; INDUSTRIAL ; COMPLEX TYPE </v>
      </c>
      <c r="B1103" s="32" t="str">
        <f t="shared" si="91"/>
        <v>Essential</v>
      </c>
      <c r="C1103" s="384"/>
      <c r="E1103" t="s">
        <v>1461</v>
      </c>
      <c r="F1103">
        <v>53.8</v>
      </c>
      <c r="G1103">
        <v>7.334848328356899</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0</v>
      </c>
      <c r="AL1103">
        <v>0</v>
      </c>
      <c r="AM1103">
        <v>0</v>
      </c>
      <c r="AN1103">
        <v>0</v>
      </c>
      <c r="AO1103">
        <v>0</v>
      </c>
      <c r="AP1103">
        <v>0</v>
      </c>
      <c r="AQ1103">
        <v>0</v>
      </c>
      <c r="AR1103">
        <v>0</v>
      </c>
      <c r="AS1103">
        <v>0</v>
      </c>
      <c r="AT1103">
        <v>0</v>
      </c>
      <c r="AU1103">
        <v>0</v>
      </c>
      <c r="AV1103">
        <v>0</v>
      </c>
      <c r="AW1103">
        <v>0</v>
      </c>
      <c r="AX1103">
        <v>0</v>
      </c>
      <c r="AY1103">
        <v>0</v>
      </c>
      <c r="AZ1103">
        <v>0</v>
      </c>
      <c r="BA1103">
        <v>0</v>
      </c>
      <c r="BB1103">
        <v>0</v>
      </c>
      <c r="BC1103">
        <v>0</v>
      </c>
      <c r="BD1103">
        <v>0</v>
      </c>
      <c r="BE1103">
        <v>0</v>
      </c>
      <c r="BF1103">
        <v>0</v>
      </c>
      <c r="BG1103">
        <v>0</v>
      </c>
      <c r="BH1103">
        <v>0</v>
      </c>
      <c r="BI1103">
        <v>0</v>
      </c>
      <c r="BJ1103">
        <v>0</v>
      </c>
      <c r="BK1103">
        <v>0</v>
      </c>
      <c r="BL1103">
        <v>0</v>
      </c>
      <c r="BM1103">
        <v>0</v>
      </c>
      <c r="BN1103">
        <v>0</v>
      </c>
      <c r="BO1103">
        <v>0</v>
      </c>
      <c r="BP1103">
        <v>0</v>
      </c>
      <c r="BQ1103">
        <v>0</v>
      </c>
      <c r="BR1103">
        <v>0</v>
      </c>
      <c r="BS1103">
        <v>0</v>
      </c>
      <c r="BT1103">
        <v>0</v>
      </c>
      <c r="BU1103">
        <v>0</v>
      </c>
      <c r="BV1103">
        <v>0</v>
      </c>
      <c r="BW1103">
        <v>0</v>
      </c>
      <c r="BX1103">
        <v>0</v>
      </c>
      <c r="BY1103">
        <v>0</v>
      </c>
      <c r="BZ1103">
        <v>0</v>
      </c>
      <c r="CA1103">
        <v>0</v>
      </c>
      <c r="CB1103">
        <v>0</v>
      </c>
      <c r="CC1103">
        <v>0</v>
      </c>
      <c r="CD1103">
        <v>0</v>
      </c>
      <c r="CE1103">
        <v>0</v>
      </c>
      <c r="CF1103">
        <v>0</v>
      </c>
      <c r="CG1103">
        <v>0</v>
      </c>
      <c r="CH1103">
        <v>0</v>
      </c>
      <c r="CI1103">
        <v>0</v>
      </c>
      <c r="CJ1103">
        <v>0</v>
      </c>
      <c r="CK1103">
        <v>0</v>
      </c>
      <c r="CL1103">
        <v>0</v>
      </c>
      <c r="CM1103">
        <v>0</v>
      </c>
      <c r="CN1103">
        <v>0</v>
      </c>
      <c r="CO1103">
        <v>0</v>
      </c>
      <c r="CP1103">
        <v>0</v>
      </c>
      <c r="CQ1103">
        <v>0</v>
      </c>
      <c r="CR1103">
        <v>0</v>
      </c>
      <c r="CS1103">
        <v>0</v>
      </c>
      <c r="CT1103">
        <v>0</v>
      </c>
      <c r="CU1103">
        <v>0</v>
      </c>
      <c r="CV1103">
        <v>0</v>
      </c>
      <c r="CW1103">
        <v>0</v>
      </c>
      <c r="CX1103">
        <v>0</v>
      </c>
      <c r="CY1103">
        <v>0</v>
      </c>
      <c r="CZ1103">
        <v>0</v>
      </c>
      <c r="DA1103">
        <v>0</v>
      </c>
      <c r="DB1103">
        <v>0</v>
      </c>
      <c r="DC1103">
        <v>0</v>
      </c>
      <c r="DD1103">
        <v>0</v>
      </c>
      <c r="DE1103">
        <v>0</v>
      </c>
      <c r="DF1103">
        <v>0</v>
      </c>
      <c r="DG1103" s="16">
        <f t="shared" si="92"/>
        <v>0</v>
      </c>
      <c r="DH1103" s="16">
        <f t="shared" si="93"/>
        <v>0</v>
      </c>
      <c r="DI1103" s="17" t="str">
        <f t="shared" si="94"/>
        <v/>
      </c>
      <c r="DJ1103" s="119" t="s">
        <v>719</v>
      </c>
      <c r="DK1103" s="119" t="s">
        <v>719</v>
      </c>
      <c r="DL1103" s="119"/>
    </row>
    <row r="1104" spans="1:116">
      <c r="A1104" s="32" t="str">
        <f t="shared" si="90"/>
        <v xml:space="preserve">Essential--˂ = 11 KV ; SUBDIVISION ; COMPLEX TYPE </v>
      </c>
      <c r="B1104" s="32" t="str">
        <f t="shared" si="91"/>
        <v>Essential</v>
      </c>
      <c r="C1104" s="384"/>
      <c r="E1104" t="s">
        <v>1462</v>
      </c>
      <c r="F1104">
        <v>53.8</v>
      </c>
      <c r="G1104">
        <v>7.334848328356899</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0</v>
      </c>
      <c r="AK1104">
        <v>0</v>
      </c>
      <c r="AL1104">
        <v>0</v>
      </c>
      <c r="AM1104">
        <v>0</v>
      </c>
      <c r="AN1104">
        <v>0</v>
      </c>
      <c r="AO1104">
        <v>0</v>
      </c>
      <c r="AP1104">
        <v>0</v>
      </c>
      <c r="AQ1104">
        <v>0</v>
      </c>
      <c r="AR1104">
        <v>0</v>
      </c>
      <c r="AS1104">
        <v>0</v>
      </c>
      <c r="AT1104">
        <v>0</v>
      </c>
      <c r="AU1104">
        <v>0</v>
      </c>
      <c r="AV1104">
        <v>0</v>
      </c>
      <c r="AW1104">
        <v>0</v>
      </c>
      <c r="AX1104">
        <v>0</v>
      </c>
      <c r="AY1104">
        <v>0</v>
      </c>
      <c r="AZ1104">
        <v>0</v>
      </c>
      <c r="BA1104">
        <v>0</v>
      </c>
      <c r="BB1104">
        <v>0</v>
      </c>
      <c r="BC1104">
        <v>0</v>
      </c>
      <c r="BD1104">
        <v>0</v>
      </c>
      <c r="BE1104">
        <v>0</v>
      </c>
      <c r="BF1104">
        <v>0</v>
      </c>
      <c r="BG1104">
        <v>0</v>
      </c>
      <c r="BH1104">
        <v>0</v>
      </c>
      <c r="BI1104">
        <v>0</v>
      </c>
      <c r="BJ1104">
        <v>0</v>
      </c>
      <c r="BK1104">
        <v>0</v>
      </c>
      <c r="BL1104">
        <v>0</v>
      </c>
      <c r="BM1104">
        <v>0</v>
      </c>
      <c r="BN1104">
        <v>0</v>
      </c>
      <c r="BO1104">
        <v>0</v>
      </c>
      <c r="BP1104">
        <v>0</v>
      </c>
      <c r="BQ1104">
        <v>0</v>
      </c>
      <c r="BR1104">
        <v>0</v>
      </c>
      <c r="BS1104">
        <v>0</v>
      </c>
      <c r="BT1104">
        <v>0</v>
      </c>
      <c r="BU1104">
        <v>0</v>
      </c>
      <c r="BV1104">
        <v>0</v>
      </c>
      <c r="BW1104">
        <v>0</v>
      </c>
      <c r="BX1104">
        <v>0</v>
      </c>
      <c r="BY1104">
        <v>0</v>
      </c>
      <c r="BZ1104">
        <v>0</v>
      </c>
      <c r="CA1104">
        <v>0</v>
      </c>
      <c r="CB1104">
        <v>0</v>
      </c>
      <c r="CC1104">
        <v>0</v>
      </c>
      <c r="CD1104">
        <v>0</v>
      </c>
      <c r="CE1104">
        <v>0</v>
      </c>
      <c r="CF1104">
        <v>0</v>
      </c>
      <c r="CG1104">
        <v>0</v>
      </c>
      <c r="CH1104">
        <v>0</v>
      </c>
      <c r="CI1104">
        <v>0</v>
      </c>
      <c r="CJ1104">
        <v>0</v>
      </c>
      <c r="CK1104">
        <v>0</v>
      </c>
      <c r="CL1104">
        <v>0</v>
      </c>
      <c r="CM1104">
        <v>0</v>
      </c>
      <c r="CN1104">
        <v>0</v>
      </c>
      <c r="CO1104">
        <v>0</v>
      </c>
      <c r="CP1104">
        <v>0</v>
      </c>
      <c r="CQ1104">
        <v>0</v>
      </c>
      <c r="CR1104">
        <v>0</v>
      </c>
      <c r="CS1104">
        <v>0</v>
      </c>
      <c r="CT1104">
        <v>0</v>
      </c>
      <c r="CU1104">
        <v>0</v>
      </c>
      <c r="CV1104">
        <v>0</v>
      </c>
      <c r="CW1104">
        <v>0</v>
      </c>
      <c r="CX1104">
        <v>0</v>
      </c>
      <c r="CY1104">
        <v>0</v>
      </c>
      <c r="CZ1104">
        <v>0</v>
      </c>
      <c r="DA1104">
        <v>0</v>
      </c>
      <c r="DB1104">
        <v>0</v>
      </c>
      <c r="DC1104">
        <v>0</v>
      </c>
      <c r="DD1104">
        <v>0</v>
      </c>
      <c r="DE1104">
        <v>0</v>
      </c>
      <c r="DF1104">
        <v>0</v>
      </c>
      <c r="DG1104" s="16">
        <f t="shared" si="92"/>
        <v>0</v>
      </c>
      <c r="DH1104" s="16">
        <f t="shared" si="93"/>
        <v>0</v>
      </c>
      <c r="DI1104" s="17" t="str">
        <f t="shared" si="94"/>
        <v/>
      </c>
      <c r="DJ1104" s="119" t="s">
        <v>719</v>
      </c>
      <c r="DK1104" s="119" t="s">
        <v>719</v>
      </c>
      <c r="DL1104" s="119"/>
    </row>
    <row r="1105" spans="1:116">
      <c r="A1105" s="32" t="str">
        <f t="shared" si="90"/>
        <v xml:space="preserve">Essential--&gt; 11 KV  &amp; &lt; = 22 KV ; COMMERCIAL &amp; INDUSTRIAL  </v>
      </c>
      <c r="B1105" s="32" t="str">
        <f t="shared" si="91"/>
        <v>Essential</v>
      </c>
      <c r="C1105" s="384"/>
      <c r="E1105" t="s">
        <v>1463</v>
      </c>
      <c r="F1105">
        <v>53.8</v>
      </c>
      <c r="G1105">
        <v>7.334848328356899</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c r="AK1105">
        <v>0</v>
      </c>
      <c r="AL1105">
        <v>0</v>
      </c>
      <c r="AM1105">
        <v>0</v>
      </c>
      <c r="AN1105">
        <v>0</v>
      </c>
      <c r="AO1105">
        <v>0</v>
      </c>
      <c r="AP1105">
        <v>0</v>
      </c>
      <c r="AQ1105">
        <v>0</v>
      </c>
      <c r="AR1105">
        <v>0</v>
      </c>
      <c r="AS1105">
        <v>0</v>
      </c>
      <c r="AT1105">
        <v>0</v>
      </c>
      <c r="AU1105">
        <v>0</v>
      </c>
      <c r="AV1105">
        <v>0</v>
      </c>
      <c r="AW1105">
        <v>0</v>
      </c>
      <c r="AX1105">
        <v>0</v>
      </c>
      <c r="AY1105">
        <v>0</v>
      </c>
      <c r="AZ1105">
        <v>0</v>
      </c>
      <c r="BA1105">
        <v>0</v>
      </c>
      <c r="BB1105">
        <v>0</v>
      </c>
      <c r="BC1105">
        <v>0</v>
      </c>
      <c r="BD1105">
        <v>0</v>
      </c>
      <c r="BE1105">
        <v>0</v>
      </c>
      <c r="BF1105">
        <v>0</v>
      </c>
      <c r="BG1105">
        <v>0</v>
      </c>
      <c r="BH1105">
        <v>0</v>
      </c>
      <c r="BI1105">
        <v>0</v>
      </c>
      <c r="BJ1105">
        <v>0</v>
      </c>
      <c r="BK1105">
        <v>0</v>
      </c>
      <c r="BL1105">
        <v>0</v>
      </c>
      <c r="BM1105">
        <v>0</v>
      </c>
      <c r="BN1105">
        <v>0</v>
      </c>
      <c r="BO1105">
        <v>0</v>
      </c>
      <c r="BP1105">
        <v>0</v>
      </c>
      <c r="BQ1105">
        <v>0</v>
      </c>
      <c r="BR1105">
        <v>0</v>
      </c>
      <c r="BS1105">
        <v>0</v>
      </c>
      <c r="BT1105">
        <v>0</v>
      </c>
      <c r="BU1105">
        <v>0</v>
      </c>
      <c r="BV1105">
        <v>0</v>
      </c>
      <c r="BW1105">
        <v>0</v>
      </c>
      <c r="BX1105">
        <v>0</v>
      </c>
      <c r="BY1105">
        <v>0</v>
      </c>
      <c r="BZ1105">
        <v>0</v>
      </c>
      <c r="CA1105">
        <v>0</v>
      </c>
      <c r="CB1105">
        <v>0</v>
      </c>
      <c r="CC1105">
        <v>0</v>
      </c>
      <c r="CD1105">
        <v>0</v>
      </c>
      <c r="CE1105">
        <v>0</v>
      </c>
      <c r="CF1105">
        <v>0</v>
      </c>
      <c r="CG1105">
        <v>0</v>
      </c>
      <c r="CH1105">
        <v>0</v>
      </c>
      <c r="CI1105">
        <v>0</v>
      </c>
      <c r="CJ1105">
        <v>0</v>
      </c>
      <c r="CK1105">
        <v>0</v>
      </c>
      <c r="CL1105">
        <v>0</v>
      </c>
      <c r="CM1105">
        <v>0</v>
      </c>
      <c r="CN1105">
        <v>0</v>
      </c>
      <c r="CO1105">
        <v>0</v>
      </c>
      <c r="CP1105">
        <v>0</v>
      </c>
      <c r="CQ1105">
        <v>0</v>
      </c>
      <c r="CR1105">
        <v>0</v>
      </c>
      <c r="CS1105">
        <v>0</v>
      </c>
      <c r="CT1105">
        <v>0</v>
      </c>
      <c r="CU1105">
        <v>0</v>
      </c>
      <c r="CV1105">
        <v>0</v>
      </c>
      <c r="CW1105">
        <v>0</v>
      </c>
      <c r="CX1105">
        <v>0</v>
      </c>
      <c r="CY1105">
        <v>0</v>
      </c>
      <c r="CZ1105">
        <v>0</v>
      </c>
      <c r="DA1105">
        <v>0</v>
      </c>
      <c r="DB1105">
        <v>0</v>
      </c>
      <c r="DC1105">
        <v>0</v>
      </c>
      <c r="DD1105">
        <v>0</v>
      </c>
      <c r="DE1105">
        <v>0</v>
      </c>
      <c r="DF1105">
        <v>0</v>
      </c>
      <c r="DG1105" s="16">
        <f t="shared" si="92"/>
        <v>0</v>
      </c>
      <c r="DH1105" s="16">
        <f t="shared" si="93"/>
        <v>0</v>
      </c>
      <c r="DI1105" s="17" t="str">
        <f t="shared" si="94"/>
        <v/>
      </c>
      <c r="DJ1105" s="119" t="s">
        <v>719</v>
      </c>
      <c r="DK1105" s="119" t="s">
        <v>719</v>
      </c>
      <c r="DL1105" s="119"/>
    </row>
    <row r="1106" spans="1:116">
      <c r="A1106" s="32" t="str">
        <f t="shared" si="90"/>
        <v xml:space="preserve">Essential--&gt; 11 KV  &amp; &lt; = 22 KV ; SUBDIVISION  </v>
      </c>
      <c r="B1106" s="32" t="str">
        <f t="shared" si="91"/>
        <v>Essential</v>
      </c>
      <c r="C1106" s="384"/>
      <c r="E1106" t="s">
        <v>1464</v>
      </c>
      <c r="F1106">
        <v>53.8</v>
      </c>
      <c r="G1106">
        <v>7.334848328356899</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c r="AQ1106">
        <v>0</v>
      </c>
      <c r="AR1106">
        <v>0</v>
      </c>
      <c r="AS1106">
        <v>0</v>
      </c>
      <c r="AT1106">
        <v>0</v>
      </c>
      <c r="AU1106">
        <v>0</v>
      </c>
      <c r="AV1106">
        <v>0</v>
      </c>
      <c r="AW1106">
        <v>0</v>
      </c>
      <c r="AX1106">
        <v>0</v>
      </c>
      <c r="AY1106">
        <v>0</v>
      </c>
      <c r="AZ1106">
        <v>0</v>
      </c>
      <c r="BA1106">
        <v>0</v>
      </c>
      <c r="BB1106">
        <v>0</v>
      </c>
      <c r="BC1106">
        <v>0</v>
      </c>
      <c r="BD1106">
        <v>0</v>
      </c>
      <c r="BE1106">
        <v>0</v>
      </c>
      <c r="BF1106">
        <v>0</v>
      </c>
      <c r="BG1106">
        <v>0</v>
      </c>
      <c r="BH1106">
        <v>0</v>
      </c>
      <c r="BI1106">
        <v>0</v>
      </c>
      <c r="BJ1106">
        <v>0</v>
      </c>
      <c r="BK1106">
        <v>0</v>
      </c>
      <c r="BL1106">
        <v>0</v>
      </c>
      <c r="BM1106">
        <v>0</v>
      </c>
      <c r="BN1106">
        <v>0</v>
      </c>
      <c r="BO1106">
        <v>0</v>
      </c>
      <c r="BP1106">
        <v>0</v>
      </c>
      <c r="BQ1106">
        <v>0</v>
      </c>
      <c r="BR1106">
        <v>0</v>
      </c>
      <c r="BS1106">
        <v>0</v>
      </c>
      <c r="BT1106">
        <v>0</v>
      </c>
      <c r="BU1106">
        <v>0</v>
      </c>
      <c r="BV1106">
        <v>0</v>
      </c>
      <c r="BW1106">
        <v>0</v>
      </c>
      <c r="BX1106">
        <v>0</v>
      </c>
      <c r="BY1106">
        <v>0</v>
      </c>
      <c r="BZ1106">
        <v>0</v>
      </c>
      <c r="CA1106">
        <v>0</v>
      </c>
      <c r="CB1106">
        <v>0</v>
      </c>
      <c r="CC1106">
        <v>0</v>
      </c>
      <c r="CD1106">
        <v>0</v>
      </c>
      <c r="CE1106">
        <v>0</v>
      </c>
      <c r="CF1106">
        <v>0</v>
      </c>
      <c r="CG1106">
        <v>0</v>
      </c>
      <c r="CH1106">
        <v>0</v>
      </c>
      <c r="CI1106">
        <v>0</v>
      </c>
      <c r="CJ1106">
        <v>0</v>
      </c>
      <c r="CK1106">
        <v>0</v>
      </c>
      <c r="CL1106">
        <v>0</v>
      </c>
      <c r="CM1106">
        <v>0</v>
      </c>
      <c r="CN1106">
        <v>0</v>
      </c>
      <c r="CO1106">
        <v>0</v>
      </c>
      <c r="CP1106">
        <v>0</v>
      </c>
      <c r="CQ1106">
        <v>0</v>
      </c>
      <c r="CR1106">
        <v>0</v>
      </c>
      <c r="CS1106">
        <v>0</v>
      </c>
      <c r="CT1106">
        <v>0</v>
      </c>
      <c r="CU1106">
        <v>0</v>
      </c>
      <c r="CV1106">
        <v>0</v>
      </c>
      <c r="CW1106">
        <v>0</v>
      </c>
      <c r="CX1106">
        <v>0</v>
      </c>
      <c r="CY1106">
        <v>0</v>
      </c>
      <c r="CZ1106">
        <v>0</v>
      </c>
      <c r="DA1106">
        <v>0</v>
      </c>
      <c r="DB1106">
        <v>0</v>
      </c>
      <c r="DC1106">
        <v>0</v>
      </c>
      <c r="DD1106">
        <v>0</v>
      </c>
      <c r="DE1106">
        <v>0</v>
      </c>
      <c r="DF1106">
        <v>0</v>
      </c>
      <c r="DG1106" s="16">
        <f t="shared" si="92"/>
        <v>0</v>
      </c>
      <c r="DH1106" s="16">
        <f t="shared" si="93"/>
        <v>0</v>
      </c>
      <c r="DI1106" s="17" t="str">
        <f t="shared" si="94"/>
        <v/>
      </c>
      <c r="DJ1106" s="119" t="s">
        <v>719</v>
      </c>
      <c r="DK1106" s="119" t="s">
        <v>719</v>
      </c>
      <c r="DL1106" s="119"/>
    </row>
    <row r="1107" spans="1:116">
      <c r="A1107" s="32" t="str">
        <f t="shared" si="90"/>
        <v xml:space="preserve">Essential--&gt; 22 KV &amp; &lt; = 33 KV ; COMMERCIAL &amp; INDUSTRIAL  </v>
      </c>
      <c r="B1107" s="32" t="str">
        <f t="shared" si="91"/>
        <v>Essential</v>
      </c>
      <c r="C1107" s="384"/>
      <c r="E1107" t="s">
        <v>1465</v>
      </c>
      <c r="F1107">
        <v>54.9</v>
      </c>
      <c r="G1107">
        <v>7.4094534211370817</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P1107">
        <v>0</v>
      </c>
      <c r="AQ1107">
        <v>0</v>
      </c>
      <c r="AR1107">
        <v>0</v>
      </c>
      <c r="AS1107">
        <v>0</v>
      </c>
      <c r="AT1107">
        <v>0</v>
      </c>
      <c r="AU1107">
        <v>0</v>
      </c>
      <c r="AV1107">
        <v>0</v>
      </c>
      <c r="AW1107">
        <v>0</v>
      </c>
      <c r="AX1107">
        <v>0</v>
      </c>
      <c r="AY1107">
        <v>0</v>
      </c>
      <c r="AZ1107">
        <v>0</v>
      </c>
      <c r="BA1107">
        <v>0</v>
      </c>
      <c r="BB1107">
        <v>0</v>
      </c>
      <c r="BC1107">
        <v>0</v>
      </c>
      <c r="BD1107">
        <v>0</v>
      </c>
      <c r="BE1107">
        <v>0</v>
      </c>
      <c r="BF1107">
        <v>0</v>
      </c>
      <c r="BG1107">
        <v>0</v>
      </c>
      <c r="BH1107">
        <v>0</v>
      </c>
      <c r="BI1107">
        <v>0</v>
      </c>
      <c r="BJ1107">
        <v>0</v>
      </c>
      <c r="BK1107">
        <v>0</v>
      </c>
      <c r="BL1107">
        <v>0</v>
      </c>
      <c r="BM1107">
        <v>0</v>
      </c>
      <c r="BN1107">
        <v>0</v>
      </c>
      <c r="BO1107">
        <v>0</v>
      </c>
      <c r="BP1107">
        <v>0</v>
      </c>
      <c r="BQ1107">
        <v>0</v>
      </c>
      <c r="BR1107">
        <v>0</v>
      </c>
      <c r="BS1107">
        <v>0</v>
      </c>
      <c r="BT1107">
        <v>0</v>
      </c>
      <c r="BU1107">
        <v>0</v>
      </c>
      <c r="BV1107">
        <v>0</v>
      </c>
      <c r="BW1107">
        <v>0</v>
      </c>
      <c r="BX1107">
        <v>0</v>
      </c>
      <c r="BY1107">
        <v>0</v>
      </c>
      <c r="BZ1107">
        <v>0</v>
      </c>
      <c r="CA1107">
        <v>0</v>
      </c>
      <c r="CB1107">
        <v>0</v>
      </c>
      <c r="CC1107">
        <v>0</v>
      </c>
      <c r="CD1107">
        <v>0</v>
      </c>
      <c r="CE1107">
        <v>0</v>
      </c>
      <c r="CF1107">
        <v>0</v>
      </c>
      <c r="CG1107">
        <v>0</v>
      </c>
      <c r="CH1107">
        <v>0</v>
      </c>
      <c r="CI1107">
        <v>0</v>
      </c>
      <c r="CJ1107">
        <v>0</v>
      </c>
      <c r="CK1107">
        <v>0</v>
      </c>
      <c r="CL1107">
        <v>0</v>
      </c>
      <c r="CM1107">
        <v>0</v>
      </c>
      <c r="CN1107">
        <v>0</v>
      </c>
      <c r="CO1107">
        <v>0</v>
      </c>
      <c r="CP1107">
        <v>0</v>
      </c>
      <c r="CQ1107">
        <v>0</v>
      </c>
      <c r="CR1107">
        <v>0</v>
      </c>
      <c r="CS1107">
        <v>0</v>
      </c>
      <c r="CT1107">
        <v>0</v>
      </c>
      <c r="CU1107">
        <v>0</v>
      </c>
      <c r="CV1107">
        <v>0</v>
      </c>
      <c r="CW1107">
        <v>0</v>
      </c>
      <c r="CX1107">
        <v>0</v>
      </c>
      <c r="CY1107">
        <v>0</v>
      </c>
      <c r="CZ1107">
        <v>0</v>
      </c>
      <c r="DA1107">
        <v>0</v>
      </c>
      <c r="DB1107">
        <v>0</v>
      </c>
      <c r="DC1107">
        <v>0</v>
      </c>
      <c r="DD1107">
        <v>0</v>
      </c>
      <c r="DE1107">
        <v>0</v>
      </c>
      <c r="DF1107">
        <v>0</v>
      </c>
      <c r="DG1107" s="16">
        <f t="shared" si="92"/>
        <v>0</v>
      </c>
      <c r="DH1107" s="16">
        <f t="shared" si="93"/>
        <v>0</v>
      </c>
      <c r="DI1107" s="17" t="str">
        <f t="shared" si="94"/>
        <v/>
      </c>
      <c r="DJ1107" s="119" t="s">
        <v>719</v>
      </c>
      <c r="DK1107" s="119" t="s">
        <v>719</v>
      </c>
      <c r="DL1107" s="119"/>
    </row>
    <row r="1108" spans="1:116">
      <c r="A1108" s="32" t="str">
        <f t="shared" si="90"/>
        <v xml:space="preserve">Essential--&gt; 22 KV &amp; &lt; = 33 KV ; SUBDIVISION  </v>
      </c>
      <c r="B1108" s="32" t="str">
        <f t="shared" si="91"/>
        <v>Essential</v>
      </c>
      <c r="C1108" s="384"/>
      <c r="E1108" t="s">
        <v>1466</v>
      </c>
      <c r="F1108">
        <v>54.9</v>
      </c>
      <c r="G1108">
        <v>7.4094534211370817</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0</v>
      </c>
      <c r="AL1108">
        <v>0</v>
      </c>
      <c r="AM1108">
        <v>0</v>
      </c>
      <c r="AN1108">
        <v>0</v>
      </c>
      <c r="AO1108">
        <v>0</v>
      </c>
      <c r="AP1108">
        <v>0</v>
      </c>
      <c r="AQ1108">
        <v>0</v>
      </c>
      <c r="AR1108">
        <v>0</v>
      </c>
      <c r="AS1108">
        <v>0</v>
      </c>
      <c r="AT1108">
        <v>0</v>
      </c>
      <c r="AU1108">
        <v>0</v>
      </c>
      <c r="AV1108">
        <v>0</v>
      </c>
      <c r="AW1108">
        <v>0</v>
      </c>
      <c r="AX1108">
        <v>0</v>
      </c>
      <c r="AY1108">
        <v>0</v>
      </c>
      <c r="AZ1108">
        <v>0</v>
      </c>
      <c r="BA1108">
        <v>0</v>
      </c>
      <c r="BB1108">
        <v>0</v>
      </c>
      <c r="BC1108">
        <v>0</v>
      </c>
      <c r="BD1108">
        <v>0</v>
      </c>
      <c r="BE1108">
        <v>0</v>
      </c>
      <c r="BF1108">
        <v>0</v>
      </c>
      <c r="BG1108">
        <v>0</v>
      </c>
      <c r="BH1108">
        <v>0</v>
      </c>
      <c r="BI1108">
        <v>0</v>
      </c>
      <c r="BJ1108">
        <v>0</v>
      </c>
      <c r="BK1108">
        <v>0</v>
      </c>
      <c r="BL1108">
        <v>0</v>
      </c>
      <c r="BM1108">
        <v>0</v>
      </c>
      <c r="BN1108">
        <v>0</v>
      </c>
      <c r="BO1108">
        <v>0</v>
      </c>
      <c r="BP1108">
        <v>0</v>
      </c>
      <c r="BQ1108">
        <v>0</v>
      </c>
      <c r="BR1108">
        <v>0</v>
      </c>
      <c r="BS1108">
        <v>0</v>
      </c>
      <c r="BT1108">
        <v>0</v>
      </c>
      <c r="BU1108">
        <v>0</v>
      </c>
      <c r="BV1108">
        <v>0</v>
      </c>
      <c r="BW1108">
        <v>0</v>
      </c>
      <c r="BX1108">
        <v>0</v>
      </c>
      <c r="BY1108">
        <v>0</v>
      </c>
      <c r="BZ1108">
        <v>0</v>
      </c>
      <c r="CA1108">
        <v>0</v>
      </c>
      <c r="CB1108">
        <v>0</v>
      </c>
      <c r="CC1108">
        <v>0</v>
      </c>
      <c r="CD1108">
        <v>0</v>
      </c>
      <c r="CE1108">
        <v>0</v>
      </c>
      <c r="CF1108">
        <v>0</v>
      </c>
      <c r="CG1108">
        <v>0</v>
      </c>
      <c r="CH1108">
        <v>0</v>
      </c>
      <c r="CI1108">
        <v>0</v>
      </c>
      <c r="CJ1108">
        <v>0</v>
      </c>
      <c r="CK1108">
        <v>0</v>
      </c>
      <c r="CL1108">
        <v>0</v>
      </c>
      <c r="CM1108">
        <v>0</v>
      </c>
      <c r="CN1108">
        <v>0</v>
      </c>
      <c r="CO1108">
        <v>0</v>
      </c>
      <c r="CP1108">
        <v>0</v>
      </c>
      <c r="CQ1108">
        <v>0</v>
      </c>
      <c r="CR1108">
        <v>0</v>
      </c>
      <c r="CS1108">
        <v>0</v>
      </c>
      <c r="CT1108">
        <v>0</v>
      </c>
      <c r="CU1108">
        <v>0</v>
      </c>
      <c r="CV1108">
        <v>0</v>
      </c>
      <c r="CW1108">
        <v>0</v>
      </c>
      <c r="CX1108">
        <v>0</v>
      </c>
      <c r="CY1108">
        <v>0</v>
      </c>
      <c r="CZ1108">
        <v>0</v>
      </c>
      <c r="DA1108">
        <v>0</v>
      </c>
      <c r="DB1108">
        <v>0</v>
      </c>
      <c r="DC1108">
        <v>0</v>
      </c>
      <c r="DD1108">
        <v>0</v>
      </c>
      <c r="DE1108">
        <v>0</v>
      </c>
      <c r="DF1108">
        <v>0</v>
      </c>
      <c r="DG1108" s="16">
        <f t="shared" si="92"/>
        <v>0</v>
      </c>
      <c r="DH1108" s="16">
        <f t="shared" si="93"/>
        <v>0</v>
      </c>
      <c r="DI1108" s="17" t="str">
        <f t="shared" si="94"/>
        <v/>
      </c>
      <c r="DJ1108" s="119" t="s">
        <v>719</v>
      </c>
      <c r="DK1108" s="119" t="s">
        <v>719</v>
      </c>
      <c r="DL1108" s="119"/>
    </row>
    <row r="1109" spans="1:116">
      <c r="A1109" s="32" t="str">
        <f t="shared" si="90"/>
        <v xml:space="preserve">Essential--&gt; 33 KV &amp; &lt; = 66 KV ; COMMERCIAL &amp; INDUSTRIAL  </v>
      </c>
      <c r="B1109" s="32" t="str">
        <f t="shared" si="91"/>
        <v>Essential</v>
      </c>
      <c r="C1109" s="384"/>
      <c r="E1109" t="s">
        <v>1467</v>
      </c>
      <c r="F1109">
        <v>54.9</v>
      </c>
      <c r="G1109">
        <v>7.4094534211370817</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P1109">
        <v>0</v>
      </c>
      <c r="AQ1109">
        <v>0</v>
      </c>
      <c r="AR1109">
        <v>0</v>
      </c>
      <c r="AS1109">
        <v>0</v>
      </c>
      <c r="AT1109">
        <v>0</v>
      </c>
      <c r="AU1109">
        <v>0</v>
      </c>
      <c r="AV1109">
        <v>0</v>
      </c>
      <c r="AW1109">
        <v>0</v>
      </c>
      <c r="AX1109">
        <v>0</v>
      </c>
      <c r="AY1109">
        <v>0</v>
      </c>
      <c r="AZ1109">
        <v>0</v>
      </c>
      <c r="BA1109">
        <v>0</v>
      </c>
      <c r="BB1109">
        <v>0</v>
      </c>
      <c r="BC1109">
        <v>0</v>
      </c>
      <c r="BD1109">
        <v>0</v>
      </c>
      <c r="BE1109">
        <v>0</v>
      </c>
      <c r="BF1109">
        <v>0</v>
      </c>
      <c r="BG1109">
        <v>0</v>
      </c>
      <c r="BH1109">
        <v>0</v>
      </c>
      <c r="BI1109">
        <v>0</v>
      </c>
      <c r="BJ1109">
        <v>0</v>
      </c>
      <c r="BK1109">
        <v>0</v>
      </c>
      <c r="BL1109">
        <v>0</v>
      </c>
      <c r="BM1109">
        <v>0</v>
      </c>
      <c r="BN1109">
        <v>0</v>
      </c>
      <c r="BO1109">
        <v>0</v>
      </c>
      <c r="BP1109">
        <v>0</v>
      </c>
      <c r="BQ1109">
        <v>0</v>
      </c>
      <c r="BR1109">
        <v>0</v>
      </c>
      <c r="BS1109">
        <v>0</v>
      </c>
      <c r="BT1109">
        <v>0</v>
      </c>
      <c r="BU1109">
        <v>0</v>
      </c>
      <c r="BV1109">
        <v>0</v>
      </c>
      <c r="BW1109">
        <v>0</v>
      </c>
      <c r="BX1109">
        <v>0</v>
      </c>
      <c r="BY1109">
        <v>0</v>
      </c>
      <c r="BZ1109">
        <v>0</v>
      </c>
      <c r="CA1109">
        <v>0</v>
      </c>
      <c r="CB1109">
        <v>0</v>
      </c>
      <c r="CC1109">
        <v>0</v>
      </c>
      <c r="CD1109">
        <v>0</v>
      </c>
      <c r="CE1109">
        <v>0</v>
      </c>
      <c r="CF1109">
        <v>0</v>
      </c>
      <c r="CG1109">
        <v>0</v>
      </c>
      <c r="CH1109">
        <v>0</v>
      </c>
      <c r="CI1109">
        <v>0</v>
      </c>
      <c r="CJ1109">
        <v>0</v>
      </c>
      <c r="CK1109">
        <v>0</v>
      </c>
      <c r="CL1109">
        <v>0</v>
      </c>
      <c r="CM1109">
        <v>0</v>
      </c>
      <c r="CN1109">
        <v>0</v>
      </c>
      <c r="CO1109">
        <v>0</v>
      </c>
      <c r="CP1109">
        <v>0</v>
      </c>
      <c r="CQ1109">
        <v>0</v>
      </c>
      <c r="CR1109">
        <v>0</v>
      </c>
      <c r="CS1109">
        <v>0</v>
      </c>
      <c r="CT1109">
        <v>0</v>
      </c>
      <c r="CU1109">
        <v>0</v>
      </c>
      <c r="CV1109">
        <v>0</v>
      </c>
      <c r="CW1109">
        <v>0</v>
      </c>
      <c r="CX1109">
        <v>0</v>
      </c>
      <c r="CY1109">
        <v>0</v>
      </c>
      <c r="CZ1109">
        <v>0</v>
      </c>
      <c r="DA1109">
        <v>0</v>
      </c>
      <c r="DB1109">
        <v>0</v>
      </c>
      <c r="DC1109">
        <v>0</v>
      </c>
      <c r="DD1109">
        <v>0</v>
      </c>
      <c r="DE1109">
        <v>0</v>
      </c>
      <c r="DF1109">
        <v>0</v>
      </c>
      <c r="DG1109" s="16">
        <f t="shared" si="92"/>
        <v>0</v>
      </c>
      <c r="DH1109" s="16">
        <f t="shared" si="93"/>
        <v>0</v>
      </c>
      <c r="DI1109" s="17" t="str">
        <f t="shared" si="94"/>
        <v/>
      </c>
      <c r="DJ1109" s="119" t="s">
        <v>719</v>
      </c>
      <c r="DK1109" s="119" t="s">
        <v>719</v>
      </c>
      <c r="DL1109" s="119"/>
    </row>
    <row r="1110" spans="1:116">
      <c r="A1110" s="32" t="str">
        <f t="shared" si="90"/>
        <v xml:space="preserve">Essential--&gt; 33 KV &amp; &lt; = 66 KV ; SUBDIVISION  </v>
      </c>
      <c r="B1110" s="32" t="str">
        <f t="shared" si="91"/>
        <v>Essential</v>
      </c>
      <c r="C1110" s="384"/>
      <c r="E1110" t="s">
        <v>1468</v>
      </c>
      <c r="F1110">
        <v>54.9</v>
      </c>
      <c r="G1110">
        <v>7.4094534211370817</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c r="AQ1110">
        <v>0</v>
      </c>
      <c r="AR1110">
        <v>0</v>
      </c>
      <c r="AS1110">
        <v>0</v>
      </c>
      <c r="AT1110">
        <v>0</v>
      </c>
      <c r="AU1110">
        <v>0</v>
      </c>
      <c r="AV1110">
        <v>0</v>
      </c>
      <c r="AW1110">
        <v>0</v>
      </c>
      <c r="AX1110">
        <v>0</v>
      </c>
      <c r="AY1110">
        <v>0</v>
      </c>
      <c r="AZ1110">
        <v>0</v>
      </c>
      <c r="BA1110">
        <v>0</v>
      </c>
      <c r="BB1110">
        <v>0</v>
      </c>
      <c r="BC1110">
        <v>0</v>
      </c>
      <c r="BD1110">
        <v>0</v>
      </c>
      <c r="BE1110">
        <v>0</v>
      </c>
      <c r="BF1110">
        <v>0</v>
      </c>
      <c r="BG1110">
        <v>0</v>
      </c>
      <c r="BH1110">
        <v>0</v>
      </c>
      <c r="BI1110">
        <v>0</v>
      </c>
      <c r="BJ1110">
        <v>0</v>
      </c>
      <c r="BK1110">
        <v>0</v>
      </c>
      <c r="BL1110">
        <v>0</v>
      </c>
      <c r="BM1110">
        <v>0</v>
      </c>
      <c r="BN1110">
        <v>0</v>
      </c>
      <c r="BO1110">
        <v>0</v>
      </c>
      <c r="BP1110">
        <v>0</v>
      </c>
      <c r="BQ1110">
        <v>0</v>
      </c>
      <c r="BR1110">
        <v>0</v>
      </c>
      <c r="BS1110">
        <v>0</v>
      </c>
      <c r="BT1110">
        <v>0</v>
      </c>
      <c r="BU1110">
        <v>0</v>
      </c>
      <c r="BV1110">
        <v>0</v>
      </c>
      <c r="BW1110">
        <v>0</v>
      </c>
      <c r="BX1110">
        <v>0</v>
      </c>
      <c r="BY1110">
        <v>0</v>
      </c>
      <c r="BZ1110">
        <v>0</v>
      </c>
      <c r="CA1110">
        <v>0</v>
      </c>
      <c r="CB1110">
        <v>0</v>
      </c>
      <c r="CC1110">
        <v>0</v>
      </c>
      <c r="CD1110">
        <v>0</v>
      </c>
      <c r="CE1110">
        <v>0</v>
      </c>
      <c r="CF1110">
        <v>0</v>
      </c>
      <c r="CG1110">
        <v>0</v>
      </c>
      <c r="CH1110">
        <v>0</v>
      </c>
      <c r="CI1110">
        <v>0</v>
      </c>
      <c r="CJ1110">
        <v>0</v>
      </c>
      <c r="CK1110">
        <v>0</v>
      </c>
      <c r="CL1110">
        <v>0</v>
      </c>
      <c r="CM1110">
        <v>0</v>
      </c>
      <c r="CN1110">
        <v>0</v>
      </c>
      <c r="CO1110">
        <v>0</v>
      </c>
      <c r="CP1110">
        <v>0</v>
      </c>
      <c r="CQ1110">
        <v>0</v>
      </c>
      <c r="CR1110">
        <v>0</v>
      </c>
      <c r="CS1110">
        <v>0</v>
      </c>
      <c r="CT1110">
        <v>0</v>
      </c>
      <c r="CU1110">
        <v>0</v>
      </c>
      <c r="CV1110">
        <v>0</v>
      </c>
      <c r="CW1110">
        <v>0</v>
      </c>
      <c r="CX1110">
        <v>0</v>
      </c>
      <c r="CY1110">
        <v>0</v>
      </c>
      <c r="CZ1110">
        <v>0</v>
      </c>
      <c r="DA1110">
        <v>0</v>
      </c>
      <c r="DB1110">
        <v>0</v>
      </c>
      <c r="DC1110">
        <v>0</v>
      </c>
      <c r="DD1110">
        <v>0</v>
      </c>
      <c r="DE1110">
        <v>0</v>
      </c>
      <c r="DF1110">
        <v>0</v>
      </c>
      <c r="DG1110" s="16">
        <f t="shared" si="92"/>
        <v>0</v>
      </c>
      <c r="DH1110" s="16">
        <f t="shared" si="93"/>
        <v>0</v>
      </c>
      <c r="DI1110" s="17" t="str">
        <f t="shared" si="94"/>
        <v/>
      </c>
      <c r="DJ1110" s="119" t="s">
        <v>719</v>
      </c>
      <c r="DK1110" s="119" t="s">
        <v>719</v>
      </c>
      <c r="DL1110" s="119"/>
    </row>
    <row r="1111" spans="1:116">
      <c r="A1111" s="32" t="str">
        <f t="shared" si="90"/>
        <v xml:space="preserve">Essential--&gt; 66 KV &amp; &lt; = 132 KV ; COMMERCIAL &amp; INDUSTRIAL  </v>
      </c>
      <c r="B1111" s="32" t="str">
        <f t="shared" si="91"/>
        <v>Essential</v>
      </c>
      <c r="C1111" s="384"/>
      <c r="E1111" t="s">
        <v>1469</v>
      </c>
      <c r="F1111">
        <v>54.9</v>
      </c>
      <c r="G1111">
        <v>7.4094534211370817</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0</v>
      </c>
      <c r="AL1111">
        <v>0</v>
      </c>
      <c r="AM1111">
        <v>0</v>
      </c>
      <c r="AN1111">
        <v>0</v>
      </c>
      <c r="AO1111">
        <v>0</v>
      </c>
      <c r="AP1111">
        <v>0</v>
      </c>
      <c r="AQ1111">
        <v>0</v>
      </c>
      <c r="AR1111">
        <v>0</v>
      </c>
      <c r="AS1111">
        <v>0</v>
      </c>
      <c r="AT1111">
        <v>0</v>
      </c>
      <c r="AU1111">
        <v>0</v>
      </c>
      <c r="AV1111">
        <v>0</v>
      </c>
      <c r="AW1111">
        <v>0</v>
      </c>
      <c r="AX1111">
        <v>0</v>
      </c>
      <c r="AY1111">
        <v>0</v>
      </c>
      <c r="AZ1111">
        <v>0</v>
      </c>
      <c r="BA1111">
        <v>0</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0</v>
      </c>
      <c r="BW1111">
        <v>0</v>
      </c>
      <c r="BX1111">
        <v>0</v>
      </c>
      <c r="BY1111">
        <v>0</v>
      </c>
      <c r="BZ1111">
        <v>0</v>
      </c>
      <c r="CA1111">
        <v>0</v>
      </c>
      <c r="CB1111">
        <v>0</v>
      </c>
      <c r="CC1111">
        <v>0</v>
      </c>
      <c r="CD1111">
        <v>0</v>
      </c>
      <c r="CE1111">
        <v>0</v>
      </c>
      <c r="CF1111">
        <v>0</v>
      </c>
      <c r="CG1111">
        <v>0</v>
      </c>
      <c r="CH1111">
        <v>0</v>
      </c>
      <c r="CI1111">
        <v>0</v>
      </c>
      <c r="CJ1111">
        <v>0</v>
      </c>
      <c r="CK1111">
        <v>0</v>
      </c>
      <c r="CL1111">
        <v>0</v>
      </c>
      <c r="CM1111">
        <v>0</v>
      </c>
      <c r="CN1111">
        <v>0</v>
      </c>
      <c r="CO1111">
        <v>0</v>
      </c>
      <c r="CP1111">
        <v>0</v>
      </c>
      <c r="CQ1111">
        <v>0</v>
      </c>
      <c r="CR1111">
        <v>0</v>
      </c>
      <c r="CS1111">
        <v>0</v>
      </c>
      <c r="CT1111">
        <v>0</v>
      </c>
      <c r="CU1111">
        <v>0</v>
      </c>
      <c r="CV1111">
        <v>0</v>
      </c>
      <c r="CW1111">
        <v>0</v>
      </c>
      <c r="CX1111">
        <v>0</v>
      </c>
      <c r="CY1111">
        <v>0</v>
      </c>
      <c r="CZ1111">
        <v>0</v>
      </c>
      <c r="DA1111">
        <v>0</v>
      </c>
      <c r="DB1111">
        <v>0</v>
      </c>
      <c r="DC1111">
        <v>0</v>
      </c>
      <c r="DD1111">
        <v>0</v>
      </c>
      <c r="DE1111">
        <v>0</v>
      </c>
      <c r="DF1111">
        <v>0</v>
      </c>
      <c r="DG1111" s="16">
        <f t="shared" si="92"/>
        <v>0</v>
      </c>
      <c r="DH1111" s="16">
        <f t="shared" si="93"/>
        <v>0</v>
      </c>
      <c r="DI1111" s="17" t="str">
        <f t="shared" si="94"/>
        <v/>
      </c>
      <c r="DJ1111" s="119" t="s">
        <v>719</v>
      </c>
      <c r="DK1111" s="119" t="s">
        <v>719</v>
      </c>
      <c r="DL1111" s="119"/>
    </row>
    <row r="1112" spans="1:116">
      <c r="A1112" s="32" t="str">
        <f t="shared" ref="A1112:A1175" si="95">B1112&amp;"-"&amp;D1112&amp;"-"&amp;E1112</f>
        <v xml:space="preserve">Essential--&gt; 66 KV &amp; &lt; = 132 KV ; SUBDIVISION  </v>
      </c>
      <c r="B1112" s="32" t="str">
        <f t="shared" ref="B1112:B1175" si="96">IF(C1112&gt;0,C1112,B1111)</f>
        <v>Essential</v>
      </c>
      <c r="C1112" s="384"/>
      <c r="E1112" t="s">
        <v>1470</v>
      </c>
      <c r="F1112">
        <v>54.9</v>
      </c>
      <c r="G1112">
        <v>7.4094534211370817</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c r="AK1112">
        <v>0</v>
      </c>
      <c r="AL1112">
        <v>0</v>
      </c>
      <c r="AM1112">
        <v>0</v>
      </c>
      <c r="AN1112">
        <v>0</v>
      </c>
      <c r="AO1112">
        <v>0</v>
      </c>
      <c r="AP1112">
        <v>0</v>
      </c>
      <c r="AQ1112">
        <v>0</v>
      </c>
      <c r="AR1112">
        <v>0</v>
      </c>
      <c r="AS1112">
        <v>0</v>
      </c>
      <c r="AT1112">
        <v>0</v>
      </c>
      <c r="AU1112">
        <v>0</v>
      </c>
      <c r="AV1112">
        <v>0</v>
      </c>
      <c r="AW1112">
        <v>0</v>
      </c>
      <c r="AX1112">
        <v>0</v>
      </c>
      <c r="AY1112">
        <v>0</v>
      </c>
      <c r="AZ1112">
        <v>0</v>
      </c>
      <c r="BA1112">
        <v>0</v>
      </c>
      <c r="BB1112">
        <v>0</v>
      </c>
      <c r="BC1112">
        <v>0</v>
      </c>
      <c r="BD1112">
        <v>0</v>
      </c>
      <c r="BE1112">
        <v>0</v>
      </c>
      <c r="BF1112">
        <v>0</v>
      </c>
      <c r="BG1112">
        <v>0</v>
      </c>
      <c r="BH1112">
        <v>0</v>
      </c>
      <c r="BI1112">
        <v>0</v>
      </c>
      <c r="BJ1112">
        <v>0</v>
      </c>
      <c r="BK1112">
        <v>0</v>
      </c>
      <c r="BL1112">
        <v>0</v>
      </c>
      <c r="BM1112">
        <v>0</v>
      </c>
      <c r="BN1112">
        <v>0</v>
      </c>
      <c r="BO1112">
        <v>0</v>
      </c>
      <c r="BP1112">
        <v>0</v>
      </c>
      <c r="BQ1112">
        <v>0</v>
      </c>
      <c r="BR1112">
        <v>0</v>
      </c>
      <c r="BS1112">
        <v>0</v>
      </c>
      <c r="BT1112">
        <v>0</v>
      </c>
      <c r="BU1112">
        <v>0</v>
      </c>
      <c r="BV1112">
        <v>0</v>
      </c>
      <c r="BW1112">
        <v>0</v>
      </c>
      <c r="BX1112">
        <v>0</v>
      </c>
      <c r="BY1112">
        <v>0</v>
      </c>
      <c r="BZ1112">
        <v>0</v>
      </c>
      <c r="CA1112">
        <v>0</v>
      </c>
      <c r="CB1112">
        <v>0</v>
      </c>
      <c r="CC1112">
        <v>0</v>
      </c>
      <c r="CD1112">
        <v>0</v>
      </c>
      <c r="CE1112">
        <v>0</v>
      </c>
      <c r="CF1112">
        <v>0</v>
      </c>
      <c r="CG1112">
        <v>0</v>
      </c>
      <c r="CH1112">
        <v>0</v>
      </c>
      <c r="CI1112">
        <v>0</v>
      </c>
      <c r="CJ1112">
        <v>0</v>
      </c>
      <c r="CK1112">
        <v>0</v>
      </c>
      <c r="CL1112">
        <v>0</v>
      </c>
      <c r="CM1112">
        <v>0</v>
      </c>
      <c r="CN1112">
        <v>0</v>
      </c>
      <c r="CO1112">
        <v>0</v>
      </c>
      <c r="CP1112">
        <v>0</v>
      </c>
      <c r="CQ1112">
        <v>0</v>
      </c>
      <c r="CR1112">
        <v>0</v>
      </c>
      <c r="CS1112">
        <v>0</v>
      </c>
      <c r="CT1112">
        <v>0</v>
      </c>
      <c r="CU1112">
        <v>0</v>
      </c>
      <c r="CV1112">
        <v>0</v>
      </c>
      <c r="CW1112">
        <v>0</v>
      </c>
      <c r="CX1112">
        <v>0</v>
      </c>
      <c r="CY1112">
        <v>0</v>
      </c>
      <c r="CZ1112">
        <v>0</v>
      </c>
      <c r="DA1112">
        <v>0</v>
      </c>
      <c r="DB1112">
        <v>0</v>
      </c>
      <c r="DC1112">
        <v>0</v>
      </c>
      <c r="DD1112">
        <v>0</v>
      </c>
      <c r="DE1112">
        <v>0</v>
      </c>
      <c r="DF1112">
        <v>0</v>
      </c>
      <c r="DG1112" s="16">
        <f t="shared" si="92"/>
        <v>0</v>
      </c>
      <c r="DH1112" s="16">
        <f t="shared" si="93"/>
        <v>0</v>
      </c>
      <c r="DI1112" s="17" t="str">
        <f t="shared" si="94"/>
        <v/>
      </c>
      <c r="DJ1112" s="119" t="s">
        <v>719</v>
      </c>
      <c r="DK1112" s="119" t="s">
        <v>719</v>
      </c>
      <c r="DL1112" s="119"/>
    </row>
    <row r="1113" spans="1:116">
      <c r="A1113" s="32" t="str">
        <f t="shared" si="95"/>
        <v xml:space="preserve">Essential--&gt; 132 KV ; COMMERCIAL &amp; INDUSTRIAL  </v>
      </c>
      <c r="B1113" s="32" t="str">
        <f t="shared" si="96"/>
        <v>Essential</v>
      </c>
      <c r="C1113" s="384"/>
      <c r="E1113" t="s">
        <v>1471</v>
      </c>
      <c r="F1113">
        <v>54.9</v>
      </c>
      <c r="G1113">
        <v>7.4094534211370817</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0</v>
      </c>
      <c r="AK1113">
        <v>0</v>
      </c>
      <c r="AL1113">
        <v>0</v>
      </c>
      <c r="AM1113">
        <v>0</v>
      </c>
      <c r="AN1113">
        <v>0</v>
      </c>
      <c r="AO1113">
        <v>0</v>
      </c>
      <c r="AP1113">
        <v>0</v>
      </c>
      <c r="AQ1113">
        <v>0</v>
      </c>
      <c r="AR1113">
        <v>0</v>
      </c>
      <c r="AS1113">
        <v>0</v>
      </c>
      <c r="AT1113">
        <v>0</v>
      </c>
      <c r="AU1113">
        <v>0</v>
      </c>
      <c r="AV1113">
        <v>0</v>
      </c>
      <c r="AW1113">
        <v>0</v>
      </c>
      <c r="AX1113">
        <v>0</v>
      </c>
      <c r="AY1113">
        <v>0</v>
      </c>
      <c r="AZ1113">
        <v>0</v>
      </c>
      <c r="BA1113">
        <v>0</v>
      </c>
      <c r="BB1113">
        <v>0</v>
      </c>
      <c r="BC1113">
        <v>0</v>
      </c>
      <c r="BD1113">
        <v>0</v>
      </c>
      <c r="BE1113">
        <v>0</v>
      </c>
      <c r="BF1113">
        <v>0</v>
      </c>
      <c r="BG1113">
        <v>0</v>
      </c>
      <c r="BH1113">
        <v>0</v>
      </c>
      <c r="BI1113">
        <v>0</v>
      </c>
      <c r="BJ1113">
        <v>0</v>
      </c>
      <c r="BK1113">
        <v>0</v>
      </c>
      <c r="BL1113">
        <v>0</v>
      </c>
      <c r="BM1113">
        <v>0</v>
      </c>
      <c r="BN1113">
        <v>0</v>
      </c>
      <c r="BO1113">
        <v>0</v>
      </c>
      <c r="BP1113">
        <v>0</v>
      </c>
      <c r="BQ1113">
        <v>0</v>
      </c>
      <c r="BR1113">
        <v>0</v>
      </c>
      <c r="BS1113">
        <v>0</v>
      </c>
      <c r="BT1113">
        <v>0</v>
      </c>
      <c r="BU1113">
        <v>0</v>
      </c>
      <c r="BV1113">
        <v>0</v>
      </c>
      <c r="BW1113">
        <v>0</v>
      </c>
      <c r="BX1113">
        <v>0</v>
      </c>
      <c r="BY1113">
        <v>0</v>
      </c>
      <c r="BZ1113">
        <v>0</v>
      </c>
      <c r="CA1113">
        <v>0</v>
      </c>
      <c r="CB1113">
        <v>0</v>
      </c>
      <c r="CC1113">
        <v>0</v>
      </c>
      <c r="CD1113">
        <v>0</v>
      </c>
      <c r="CE1113">
        <v>0</v>
      </c>
      <c r="CF1113">
        <v>0</v>
      </c>
      <c r="CG1113">
        <v>0</v>
      </c>
      <c r="CH1113">
        <v>0</v>
      </c>
      <c r="CI1113">
        <v>0</v>
      </c>
      <c r="CJ1113">
        <v>0</v>
      </c>
      <c r="CK1113">
        <v>0</v>
      </c>
      <c r="CL1113">
        <v>0</v>
      </c>
      <c r="CM1113">
        <v>0</v>
      </c>
      <c r="CN1113">
        <v>0</v>
      </c>
      <c r="CO1113">
        <v>0</v>
      </c>
      <c r="CP1113">
        <v>0</v>
      </c>
      <c r="CQ1113">
        <v>0</v>
      </c>
      <c r="CR1113">
        <v>0</v>
      </c>
      <c r="CS1113">
        <v>0</v>
      </c>
      <c r="CT1113">
        <v>0</v>
      </c>
      <c r="CU1113">
        <v>0</v>
      </c>
      <c r="CV1113">
        <v>0</v>
      </c>
      <c r="CW1113">
        <v>0</v>
      </c>
      <c r="CX1113">
        <v>0</v>
      </c>
      <c r="CY1113">
        <v>0</v>
      </c>
      <c r="CZ1113">
        <v>0</v>
      </c>
      <c r="DA1113">
        <v>0</v>
      </c>
      <c r="DB1113">
        <v>0</v>
      </c>
      <c r="DC1113">
        <v>0</v>
      </c>
      <c r="DD1113">
        <v>0</v>
      </c>
      <c r="DE1113">
        <v>0</v>
      </c>
      <c r="DF1113">
        <v>0</v>
      </c>
      <c r="DG1113" s="16">
        <f t="shared" si="92"/>
        <v>0</v>
      </c>
      <c r="DH1113" s="16">
        <f t="shared" si="93"/>
        <v>0</v>
      </c>
      <c r="DI1113" s="17" t="str">
        <f t="shared" si="94"/>
        <v/>
      </c>
      <c r="DJ1113" s="119" t="s">
        <v>719</v>
      </c>
      <c r="DK1113" s="119" t="s">
        <v>719</v>
      </c>
      <c r="DL1113" s="119"/>
    </row>
    <row r="1114" spans="1:116">
      <c r="A1114" s="32" t="str">
        <f t="shared" si="95"/>
        <v xml:space="preserve">Essential--&gt; 132 KV ; SUBDIVISION  </v>
      </c>
      <c r="B1114" s="32" t="str">
        <f t="shared" si="96"/>
        <v>Essential</v>
      </c>
      <c r="C1114" s="384"/>
      <c r="E1114" t="s">
        <v>1472</v>
      </c>
      <c r="F1114">
        <v>54.9</v>
      </c>
      <c r="G1114">
        <v>7.4094534211370817</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0</v>
      </c>
      <c r="AF1114">
        <v>0</v>
      </c>
      <c r="AG1114">
        <v>0</v>
      </c>
      <c r="AH1114">
        <v>0</v>
      </c>
      <c r="AI1114">
        <v>0</v>
      </c>
      <c r="AJ1114">
        <v>0</v>
      </c>
      <c r="AK1114">
        <v>0</v>
      </c>
      <c r="AL1114">
        <v>0</v>
      </c>
      <c r="AM1114">
        <v>0</v>
      </c>
      <c r="AN1114">
        <v>0</v>
      </c>
      <c r="AO1114">
        <v>0</v>
      </c>
      <c r="AP1114">
        <v>0</v>
      </c>
      <c r="AQ1114">
        <v>0</v>
      </c>
      <c r="AR1114">
        <v>0</v>
      </c>
      <c r="AS1114">
        <v>0</v>
      </c>
      <c r="AT1114">
        <v>0</v>
      </c>
      <c r="AU1114">
        <v>0</v>
      </c>
      <c r="AV1114">
        <v>0</v>
      </c>
      <c r="AW1114">
        <v>0</v>
      </c>
      <c r="AX1114">
        <v>0</v>
      </c>
      <c r="AY1114">
        <v>0</v>
      </c>
      <c r="AZ1114">
        <v>0</v>
      </c>
      <c r="BA1114">
        <v>0</v>
      </c>
      <c r="BB1114">
        <v>0</v>
      </c>
      <c r="BC1114">
        <v>0</v>
      </c>
      <c r="BD1114">
        <v>0</v>
      </c>
      <c r="BE1114">
        <v>0</v>
      </c>
      <c r="BF1114">
        <v>0</v>
      </c>
      <c r="BG1114">
        <v>0</v>
      </c>
      <c r="BH1114">
        <v>0</v>
      </c>
      <c r="BI1114">
        <v>0</v>
      </c>
      <c r="BJ1114">
        <v>0</v>
      </c>
      <c r="BK1114">
        <v>0</v>
      </c>
      <c r="BL1114">
        <v>0</v>
      </c>
      <c r="BM1114">
        <v>0</v>
      </c>
      <c r="BN1114">
        <v>0</v>
      </c>
      <c r="BO1114">
        <v>0</v>
      </c>
      <c r="BP1114">
        <v>0</v>
      </c>
      <c r="BQ1114">
        <v>0</v>
      </c>
      <c r="BR1114">
        <v>0</v>
      </c>
      <c r="BS1114">
        <v>0</v>
      </c>
      <c r="BT1114">
        <v>0</v>
      </c>
      <c r="BU1114">
        <v>0</v>
      </c>
      <c r="BV1114">
        <v>0</v>
      </c>
      <c r="BW1114">
        <v>0</v>
      </c>
      <c r="BX1114">
        <v>0</v>
      </c>
      <c r="BY1114">
        <v>0</v>
      </c>
      <c r="BZ1114">
        <v>0</v>
      </c>
      <c r="CA1114">
        <v>0</v>
      </c>
      <c r="CB1114">
        <v>0</v>
      </c>
      <c r="CC1114">
        <v>0</v>
      </c>
      <c r="CD1114">
        <v>0</v>
      </c>
      <c r="CE1114">
        <v>0</v>
      </c>
      <c r="CF1114">
        <v>0</v>
      </c>
      <c r="CG1114">
        <v>0</v>
      </c>
      <c r="CH1114">
        <v>0</v>
      </c>
      <c r="CI1114">
        <v>0</v>
      </c>
      <c r="CJ1114">
        <v>0</v>
      </c>
      <c r="CK1114">
        <v>0</v>
      </c>
      <c r="CL1114">
        <v>0</v>
      </c>
      <c r="CM1114">
        <v>0</v>
      </c>
      <c r="CN1114">
        <v>0</v>
      </c>
      <c r="CO1114">
        <v>0</v>
      </c>
      <c r="CP1114">
        <v>0</v>
      </c>
      <c r="CQ1114">
        <v>0</v>
      </c>
      <c r="CR1114">
        <v>0</v>
      </c>
      <c r="CS1114">
        <v>0</v>
      </c>
      <c r="CT1114">
        <v>0</v>
      </c>
      <c r="CU1114">
        <v>0</v>
      </c>
      <c r="CV1114">
        <v>0</v>
      </c>
      <c r="CW1114">
        <v>0</v>
      </c>
      <c r="CX1114">
        <v>0</v>
      </c>
      <c r="CY1114">
        <v>0</v>
      </c>
      <c r="CZ1114">
        <v>0</v>
      </c>
      <c r="DA1114">
        <v>0</v>
      </c>
      <c r="DB1114">
        <v>0</v>
      </c>
      <c r="DC1114">
        <v>0</v>
      </c>
      <c r="DD1114">
        <v>0</v>
      </c>
      <c r="DE1114">
        <v>0</v>
      </c>
      <c r="DF1114">
        <v>0</v>
      </c>
      <c r="DG1114" s="16">
        <f t="shared" si="92"/>
        <v>0</v>
      </c>
      <c r="DH1114" s="16">
        <f t="shared" si="93"/>
        <v>0</v>
      </c>
      <c r="DI1114" s="17" t="str">
        <f t="shared" si="94"/>
        <v/>
      </c>
      <c r="DJ1114" s="119" t="s">
        <v>719</v>
      </c>
      <c r="DK1114" s="119" t="s">
        <v>719</v>
      </c>
      <c r="DL1114" s="119"/>
    </row>
    <row r="1115" spans="1:116">
      <c r="A1115" s="32" t="str">
        <f t="shared" si="95"/>
        <v>Essential--OTHER - PLEASE ADD A ROW IF NECESSARY AND NOMINATE THE CATEGORY</v>
      </c>
      <c r="B1115" s="32" t="str">
        <f t="shared" si="96"/>
        <v>Essential</v>
      </c>
      <c r="C1115" s="384"/>
      <c r="E1115" t="s">
        <v>170</v>
      </c>
      <c r="DG1115" s="16">
        <f t="shared" si="92"/>
        <v>0</v>
      </c>
      <c r="DH1115" s="16">
        <f t="shared" si="93"/>
        <v>0</v>
      </c>
      <c r="DI1115" s="17" t="str">
        <f t="shared" si="94"/>
        <v/>
      </c>
      <c r="DJ1115" s="119" t="s">
        <v>719</v>
      </c>
      <c r="DK1115" s="119" t="s">
        <v>719</v>
      </c>
      <c r="DL1115" s="119"/>
    </row>
    <row r="1116" spans="1:116">
      <c r="A1116" s="32" t="str">
        <f t="shared" si="95"/>
        <v>Essential-TRANSFORMERS BY: 
MOUNTING TYPE; HIGHEST OPERATING VOLTAGE ; AMPERE RATING; NUMBER OF PHASES (AT LV)-POLE MOUNTED ; &lt; = 22KV ;  &lt; = 60 KVA ; SINGLE PHASE</v>
      </c>
      <c r="B1116" s="32" t="str">
        <f t="shared" si="96"/>
        <v>Essential</v>
      </c>
      <c r="C1116" s="384"/>
      <c r="D1116" t="s">
        <v>544</v>
      </c>
      <c r="E1116" t="s">
        <v>1473</v>
      </c>
      <c r="F1116">
        <v>45.8</v>
      </c>
      <c r="G1116">
        <v>6.7675697262754522</v>
      </c>
      <c r="H1116">
        <v>652</v>
      </c>
      <c r="I1116">
        <v>1166</v>
      </c>
      <c r="J1116">
        <v>1072</v>
      </c>
      <c r="K1116">
        <v>1020</v>
      </c>
      <c r="L1116">
        <v>1053</v>
      </c>
      <c r="M1116">
        <v>1283</v>
      </c>
      <c r="N1116">
        <v>1228</v>
      </c>
      <c r="O1116">
        <v>1395</v>
      </c>
      <c r="P1116">
        <v>1521</v>
      </c>
      <c r="Q1116">
        <v>1832</v>
      </c>
      <c r="R1116">
        <v>1446</v>
      </c>
      <c r="S1116">
        <v>1366</v>
      </c>
      <c r="T1116">
        <v>2989</v>
      </c>
      <c r="U1116">
        <v>1118</v>
      </c>
      <c r="V1116">
        <v>1027</v>
      </c>
      <c r="W1116">
        <v>965</v>
      </c>
      <c r="X1116">
        <v>1028</v>
      </c>
      <c r="Y1116">
        <v>1236</v>
      </c>
      <c r="Z1116">
        <v>1612</v>
      </c>
      <c r="AA1116">
        <v>2175</v>
      </c>
      <c r="AB1116">
        <v>1905</v>
      </c>
      <c r="AC1116">
        <v>2278</v>
      </c>
      <c r="AD1116">
        <v>2403</v>
      </c>
      <c r="AE1116">
        <v>2075</v>
      </c>
      <c r="AF1116">
        <v>2484</v>
      </c>
      <c r="AG1116">
        <v>2043</v>
      </c>
      <c r="AH1116">
        <v>1943</v>
      </c>
      <c r="AI1116">
        <v>1711</v>
      </c>
      <c r="AJ1116">
        <v>1739</v>
      </c>
      <c r="AK1116">
        <v>1424</v>
      </c>
      <c r="AL1116">
        <v>1292</v>
      </c>
      <c r="AM1116">
        <v>1548</v>
      </c>
      <c r="AN1116">
        <v>1733</v>
      </c>
      <c r="AO1116">
        <v>1972</v>
      </c>
      <c r="AP1116">
        <v>1226</v>
      </c>
      <c r="AQ1116">
        <v>1191</v>
      </c>
      <c r="AR1116">
        <v>1454</v>
      </c>
      <c r="AS1116">
        <v>1186</v>
      </c>
      <c r="AT1116">
        <v>1181</v>
      </c>
      <c r="AU1116">
        <v>927</v>
      </c>
      <c r="AV1116">
        <v>779</v>
      </c>
      <c r="AW1116">
        <v>823</v>
      </c>
      <c r="AX1116">
        <v>1063</v>
      </c>
      <c r="AY1116">
        <v>1352</v>
      </c>
      <c r="AZ1116">
        <v>1080</v>
      </c>
      <c r="BA1116">
        <v>759</v>
      </c>
      <c r="BB1116">
        <v>723</v>
      </c>
      <c r="BC1116">
        <v>1519</v>
      </c>
      <c r="BD1116">
        <v>1139</v>
      </c>
      <c r="BE1116">
        <v>564</v>
      </c>
      <c r="BF1116">
        <v>477</v>
      </c>
      <c r="BG1116">
        <v>538</v>
      </c>
      <c r="BH1116">
        <v>1971</v>
      </c>
      <c r="BI1116">
        <v>2445</v>
      </c>
      <c r="BJ1116">
        <v>554</v>
      </c>
      <c r="BK1116">
        <v>514</v>
      </c>
      <c r="BL1116">
        <v>666</v>
      </c>
      <c r="BM1116">
        <v>398</v>
      </c>
      <c r="BN1116">
        <v>1088</v>
      </c>
      <c r="BO1116">
        <v>179</v>
      </c>
      <c r="BP1116">
        <v>62</v>
      </c>
      <c r="BQ1116">
        <v>116</v>
      </c>
      <c r="BR1116">
        <v>17</v>
      </c>
      <c r="BS1116">
        <v>1546</v>
      </c>
      <c r="BT1116">
        <v>35</v>
      </c>
      <c r="BU1116">
        <v>22</v>
      </c>
      <c r="BV1116">
        <v>17</v>
      </c>
      <c r="BW1116">
        <v>11</v>
      </c>
      <c r="BX1116">
        <v>7</v>
      </c>
      <c r="BY1116">
        <v>0</v>
      </c>
      <c r="BZ1116">
        <v>1</v>
      </c>
      <c r="CA1116">
        <v>0</v>
      </c>
      <c r="CB1116">
        <v>0</v>
      </c>
      <c r="CC1116">
        <v>26</v>
      </c>
      <c r="CD1116">
        <v>14</v>
      </c>
      <c r="CE1116">
        <v>7</v>
      </c>
      <c r="CF1116">
        <v>0</v>
      </c>
      <c r="CG1116">
        <v>12</v>
      </c>
      <c r="CH1116">
        <v>0</v>
      </c>
      <c r="CI1116">
        <v>0</v>
      </c>
      <c r="CJ1116">
        <v>0</v>
      </c>
      <c r="CK1116">
        <v>1</v>
      </c>
      <c r="CL1116">
        <v>0</v>
      </c>
      <c r="CM1116">
        <v>203</v>
      </c>
      <c r="CN1116">
        <v>0</v>
      </c>
      <c r="CO1116">
        <v>0</v>
      </c>
      <c r="CP1116">
        <v>0</v>
      </c>
      <c r="CQ1116">
        <v>0</v>
      </c>
      <c r="CR1116">
        <v>0</v>
      </c>
      <c r="CS1116">
        <v>0</v>
      </c>
      <c r="CT1116">
        <v>0</v>
      </c>
      <c r="CU1116">
        <v>0</v>
      </c>
      <c r="CV1116">
        <v>0</v>
      </c>
      <c r="CW1116">
        <v>0</v>
      </c>
      <c r="CX1116">
        <v>0</v>
      </c>
      <c r="CY1116">
        <v>0</v>
      </c>
      <c r="CZ1116">
        <v>0</v>
      </c>
      <c r="DA1116">
        <v>0</v>
      </c>
      <c r="DB1116">
        <v>0</v>
      </c>
      <c r="DC1116">
        <v>0</v>
      </c>
      <c r="DD1116">
        <v>0</v>
      </c>
      <c r="DE1116">
        <v>0</v>
      </c>
      <c r="DF1116">
        <v>0</v>
      </c>
      <c r="DG1116" s="16">
        <f t="shared" si="92"/>
        <v>81627</v>
      </c>
      <c r="DH1116" s="16">
        <f t="shared" si="93"/>
        <v>2360937</v>
      </c>
      <c r="DI1116" s="17">
        <f t="shared" si="94"/>
        <v>28.923481201073173</v>
      </c>
      <c r="DJ1116" s="119" t="s">
        <v>4</v>
      </c>
      <c r="DK1116" s="119" t="s">
        <v>4</v>
      </c>
      <c r="DL1116" s="119"/>
    </row>
    <row r="1117" spans="1:116">
      <c r="A1117" s="32" t="str">
        <f t="shared" si="95"/>
        <v>Essential--POLE MOUNTED ; &lt; = 22KV ;  &gt; 60 KVA AND &lt; = 600 KVA ; SINGLE PHASE</v>
      </c>
      <c r="B1117" s="32" t="str">
        <f t="shared" si="96"/>
        <v>Essential</v>
      </c>
      <c r="C1117" s="384"/>
      <c r="E1117" t="s">
        <v>1474</v>
      </c>
      <c r="F1117">
        <v>45.8</v>
      </c>
      <c r="G1117">
        <v>6.7675697262754522</v>
      </c>
      <c r="H1117">
        <v>6</v>
      </c>
      <c r="I1117">
        <v>15</v>
      </c>
      <c r="J1117">
        <v>18</v>
      </c>
      <c r="K1117">
        <v>10</v>
      </c>
      <c r="L1117">
        <v>13</v>
      </c>
      <c r="M1117">
        <v>24</v>
      </c>
      <c r="N1117">
        <v>25</v>
      </c>
      <c r="O1117">
        <v>32</v>
      </c>
      <c r="P1117">
        <v>44</v>
      </c>
      <c r="Q1117">
        <v>82</v>
      </c>
      <c r="R1117">
        <v>47</v>
      </c>
      <c r="S1117">
        <v>28</v>
      </c>
      <c r="T1117">
        <v>46</v>
      </c>
      <c r="U1117">
        <v>24</v>
      </c>
      <c r="V1117">
        <v>31</v>
      </c>
      <c r="W1117">
        <v>28</v>
      </c>
      <c r="X1117">
        <v>27</v>
      </c>
      <c r="Y1117">
        <v>37</v>
      </c>
      <c r="Z1117">
        <v>33</v>
      </c>
      <c r="AA1117">
        <v>28</v>
      </c>
      <c r="AB1117">
        <v>21</v>
      </c>
      <c r="AC1117">
        <v>25</v>
      </c>
      <c r="AD1117">
        <v>17</v>
      </c>
      <c r="AE1117">
        <v>19</v>
      </c>
      <c r="AF1117">
        <v>22</v>
      </c>
      <c r="AG1117">
        <v>14</v>
      </c>
      <c r="AH1117">
        <v>17</v>
      </c>
      <c r="AI1117">
        <v>8</v>
      </c>
      <c r="AJ1117">
        <v>10</v>
      </c>
      <c r="AK1117">
        <v>16</v>
      </c>
      <c r="AL1117">
        <v>9</v>
      </c>
      <c r="AM1117">
        <v>9</v>
      </c>
      <c r="AN1117">
        <v>7</v>
      </c>
      <c r="AO1117">
        <v>10</v>
      </c>
      <c r="AP1117">
        <v>8</v>
      </c>
      <c r="AQ1117">
        <v>9</v>
      </c>
      <c r="AR1117">
        <v>9</v>
      </c>
      <c r="AS1117">
        <v>7</v>
      </c>
      <c r="AT1117">
        <v>9</v>
      </c>
      <c r="AU1117">
        <v>6</v>
      </c>
      <c r="AV1117">
        <v>5</v>
      </c>
      <c r="AW1117">
        <v>6</v>
      </c>
      <c r="AX1117">
        <v>6</v>
      </c>
      <c r="AY1117">
        <v>11</v>
      </c>
      <c r="AZ1117">
        <v>2</v>
      </c>
      <c r="BA1117">
        <v>9</v>
      </c>
      <c r="BB1117">
        <v>9</v>
      </c>
      <c r="BC1117">
        <v>11</v>
      </c>
      <c r="BD1117">
        <v>2</v>
      </c>
      <c r="BE1117">
        <v>4</v>
      </c>
      <c r="BF1117">
        <v>1</v>
      </c>
      <c r="BG1117">
        <v>0</v>
      </c>
      <c r="BH1117">
        <v>14</v>
      </c>
      <c r="BI1117">
        <v>20</v>
      </c>
      <c r="BJ1117">
        <v>5</v>
      </c>
      <c r="BK1117">
        <v>7</v>
      </c>
      <c r="BL1117">
        <v>1</v>
      </c>
      <c r="BM1117">
        <v>2</v>
      </c>
      <c r="BN1117">
        <v>1</v>
      </c>
      <c r="BO1117">
        <v>1</v>
      </c>
      <c r="BP1117">
        <v>1</v>
      </c>
      <c r="BQ1117">
        <v>0</v>
      </c>
      <c r="BR1117">
        <v>0</v>
      </c>
      <c r="BS1117">
        <v>6</v>
      </c>
      <c r="BT1117">
        <v>0</v>
      </c>
      <c r="BU1117">
        <v>0</v>
      </c>
      <c r="BV1117">
        <v>0</v>
      </c>
      <c r="BW1117">
        <v>0</v>
      </c>
      <c r="BX1117">
        <v>0</v>
      </c>
      <c r="BY1117">
        <v>0</v>
      </c>
      <c r="BZ1117">
        <v>0</v>
      </c>
      <c r="CA1117">
        <v>0</v>
      </c>
      <c r="CB1117">
        <v>0</v>
      </c>
      <c r="CC1117">
        <v>1</v>
      </c>
      <c r="CD1117">
        <v>0</v>
      </c>
      <c r="CE1117">
        <v>0</v>
      </c>
      <c r="CF1117">
        <v>0</v>
      </c>
      <c r="CG1117">
        <v>0</v>
      </c>
      <c r="CH1117">
        <v>0</v>
      </c>
      <c r="CI1117">
        <v>0</v>
      </c>
      <c r="CJ1117">
        <v>0</v>
      </c>
      <c r="CK1117">
        <v>0</v>
      </c>
      <c r="CL1117">
        <v>0</v>
      </c>
      <c r="CM1117">
        <v>1</v>
      </c>
      <c r="CN1117">
        <v>0</v>
      </c>
      <c r="CO1117">
        <v>0</v>
      </c>
      <c r="CP1117">
        <v>0</v>
      </c>
      <c r="CQ1117">
        <v>0</v>
      </c>
      <c r="CR1117">
        <v>0</v>
      </c>
      <c r="CS1117">
        <v>0</v>
      </c>
      <c r="CT1117">
        <v>0</v>
      </c>
      <c r="CU1117">
        <v>0</v>
      </c>
      <c r="CV1117">
        <v>0</v>
      </c>
      <c r="CW1117">
        <v>0</v>
      </c>
      <c r="CX1117">
        <v>0</v>
      </c>
      <c r="CY1117">
        <v>0</v>
      </c>
      <c r="CZ1117">
        <v>0</v>
      </c>
      <c r="DA1117">
        <v>0</v>
      </c>
      <c r="DB1117">
        <v>0</v>
      </c>
      <c r="DC1117">
        <v>0</v>
      </c>
      <c r="DD1117">
        <v>0</v>
      </c>
      <c r="DE1117">
        <v>0</v>
      </c>
      <c r="DF1117">
        <v>0</v>
      </c>
      <c r="DG1117" s="16">
        <f t="shared" si="92"/>
        <v>976</v>
      </c>
      <c r="DH1117" s="16">
        <f t="shared" si="93"/>
        <v>20522</v>
      </c>
      <c r="DI1117" s="17">
        <f t="shared" si="94"/>
        <v>21.026639344262296</v>
      </c>
      <c r="DJ1117" s="119" t="s">
        <v>4</v>
      </c>
      <c r="DK1117" s="119" t="s">
        <v>4</v>
      </c>
      <c r="DL1117" s="119"/>
    </row>
    <row r="1118" spans="1:116">
      <c r="A1118" s="32" t="str">
        <f t="shared" si="95"/>
        <v>Essential--POLE MOUNTED ; &lt; = 22KV ;  &gt; 600 KVA ; SINGLE PHASE</v>
      </c>
      <c r="B1118" s="32" t="str">
        <f t="shared" si="96"/>
        <v>Essential</v>
      </c>
      <c r="C1118" s="384"/>
      <c r="E1118" t="s">
        <v>1475</v>
      </c>
      <c r="F1118">
        <v>45.8</v>
      </c>
      <c r="G1118">
        <v>6.7675697262754522</v>
      </c>
      <c r="H1118">
        <v>1</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1</v>
      </c>
      <c r="AC1118">
        <v>0</v>
      </c>
      <c r="AD1118">
        <v>0</v>
      </c>
      <c r="AE1118">
        <v>0</v>
      </c>
      <c r="AF1118">
        <v>0</v>
      </c>
      <c r="AG1118">
        <v>0</v>
      </c>
      <c r="AH1118">
        <v>0</v>
      </c>
      <c r="AI1118">
        <v>0</v>
      </c>
      <c r="AJ1118">
        <v>0</v>
      </c>
      <c r="AK1118">
        <v>0</v>
      </c>
      <c r="AL1118">
        <v>0</v>
      </c>
      <c r="AM1118">
        <v>0</v>
      </c>
      <c r="AN1118">
        <v>0</v>
      </c>
      <c r="AO1118">
        <v>0</v>
      </c>
      <c r="AP1118">
        <v>0</v>
      </c>
      <c r="AQ1118">
        <v>0</v>
      </c>
      <c r="AR1118">
        <v>0</v>
      </c>
      <c r="AS1118">
        <v>0</v>
      </c>
      <c r="AT1118">
        <v>0</v>
      </c>
      <c r="AU1118">
        <v>0</v>
      </c>
      <c r="AV1118">
        <v>0</v>
      </c>
      <c r="AW1118">
        <v>0</v>
      </c>
      <c r="AX1118">
        <v>0</v>
      </c>
      <c r="AY1118">
        <v>0</v>
      </c>
      <c r="AZ1118">
        <v>0</v>
      </c>
      <c r="BA1118">
        <v>0</v>
      </c>
      <c r="BB1118">
        <v>0</v>
      </c>
      <c r="BC1118">
        <v>0</v>
      </c>
      <c r="BD1118">
        <v>0</v>
      </c>
      <c r="BE1118">
        <v>0</v>
      </c>
      <c r="BF1118">
        <v>0</v>
      </c>
      <c r="BG1118">
        <v>0</v>
      </c>
      <c r="BH1118">
        <v>0</v>
      </c>
      <c r="BI1118">
        <v>0</v>
      </c>
      <c r="BJ1118">
        <v>0</v>
      </c>
      <c r="BK1118">
        <v>0</v>
      </c>
      <c r="BL1118">
        <v>0</v>
      </c>
      <c r="BM1118">
        <v>0</v>
      </c>
      <c r="BN1118">
        <v>0</v>
      </c>
      <c r="BO1118">
        <v>0</v>
      </c>
      <c r="BP1118">
        <v>0</v>
      </c>
      <c r="BQ1118">
        <v>0</v>
      </c>
      <c r="BR1118">
        <v>0</v>
      </c>
      <c r="BS1118">
        <v>0</v>
      </c>
      <c r="BT1118">
        <v>0</v>
      </c>
      <c r="BU1118">
        <v>0</v>
      </c>
      <c r="BV1118">
        <v>0</v>
      </c>
      <c r="BW1118">
        <v>0</v>
      </c>
      <c r="BX1118">
        <v>0</v>
      </c>
      <c r="BY1118">
        <v>0</v>
      </c>
      <c r="BZ1118">
        <v>0</v>
      </c>
      <c r="CA1118">
        <v>0</v>
      </c>
      <c r="CB1118">
        <v>0</v>
      </c>
      <c r="CC1118">
        <v>0</v>
      </c>
      <c r="CD1118">
        <v>0</v>
      </c>
      <c r="CE1118">
        <v>0</v>
      </c>
      <c r="CF1118">
        <v>0</v>
      </c>
      <c r="CG1118">
        <v>0</v>
      </c>
      <c r="CH1118">
        <v>0</v>
      </c>
      <c r="CI1118">
        <v>0</v>
      </c>
      <c r="CJ1118">
        <v>0</v>
      </c>
      <c r="CK1118">
        <v>0</v>
      </c>
      <c r="CL1118">
        <v>0</v>
      </c>
      <c r="CM1118">
        <v>0</v>
      </c>
      <c r="CN1118">
        <v>0</v>
      </c>
      <c r="CO1118">
        <v>0</v>
      </c>
      <c r="CP1118">
        <v>0</v>
      </c>
      <c r="CQ1118">
        <v>0</v>
      </c>
      <c r="CR1118">
        <v>0</v>
      </c>
      <c r="CS1118">
        <v>0</v>
      </c>
      <c r="CT1118">
        <v>0</v>
      </c>
      <c r="CU1118">
        <v>0</v>
      </c>
      <c r="CV1118">
        <v>0</v>
      </c>
      <c r="CW1118">
        <v>0</v>
      </c>
      <c r="CX1118">
        <v>0</v>
      </c>
      <c r="CY1118">
        <v>0</v>
      </c>
      <c r="CZ1118">
        <v>0</v>
      </c>
      <c r="DA1118">
        <v>0</v>
      </c>
      <c r="DB1118">
        <v>0</v>
      </c>
      <c r="DC1118">
        <v>0</v>
      </c>
      <c r="DD1118">
        <v>0</v>
      </c>
      <c r="DE1118">
        <v>0</v>
      </c>
      <c r="DF1118">
        <v>0</v>
      </c>
      <c r="DG1118" s="16">
        <f t="shared" si="92"/>
        <v>2</v>
      </c>
      <c r="DH1118" s="16">
        <f t="shared" si="93"/>
        <v>22</v>
      </c>
      <c r="DI1118" s="17">
        <f t="shared" si="94"/>
        <v>11</v>
      </c>
      <c r="DJ1118" s="119" t="s">
        <v>4</v>
      </c>
      <c r="DK1118" s="119" t="s">
        <v>4</v>
      </c>
      <c r="DL1118" s="119"/>
    </row>
    <row r="1119" spans="1:116">
      <c r="A1119" s="32" t="str">
        <f t="shared" si="95"/>
        <v>Essential--POLE MOUNTED ; &lt; = 22KV ;  &lt; = 60 KVA  ; MULTIPLE PHASE</v>
      </c>
      <c r="B1119" s="32" t="str">
        <f t="shared" si="96"/>
        <v>Essential</v>
      </c>
      <c r="C1119" s="384"/>
      <c r="E1119" t="s">
        <v>1476</v>
      </c>
      <c r="F1119">
        <v>45.8</v>
      </c>
      <c r="G1119">
        <v>6.7675697262754522</v>
      </c>
      <c r="H1119">
        <v>167</v>
      </c>
      <c r="I1119">
        <v>323</v>
      </c>
      <c r="J1119">
        <v>262</v>
      </c>
      <c r="K1119">
        <v>202</v>
      </c>
      <c r="L1119">
        <v>203</v>
      </c>
      <c r="M1119">
        <v>277</v>
      </c>
      <c r="N1119">
        <v>292</v>
      </c>
      <c r="O1119">
        <v>292</v>
      </c>
      <c r="P1119">
        <v>295</v>
      </c>
      <c r="Q1119">
        <v>363</v>
      </c>
      <c r="R1119">
        <v>324</v>
      </c>
      <c r="S1119">
        <v>344</v>
      </c>
      <c r="T1119">
        <v>1060</v>
      </c>
      <c r="U1119">
        <v>268</v>
      </c>
      <c r="V1119">
        <v>260</v>
      </c>
      <c r="W1119">
        <v>235</v>
      </c>
      <c r="X1119">
        <v>294</v>
      </c>
      <c r="Y1119">
        <v>596</v>
      </c>
      <c r="Z1119">
        <v>678</v>
      </c>
      <c r="AA1119">
        <v>912</v>
      </c>
      <c r="AB1119">
        <v>698</v>
      </c>
      <c r="AC1119">
        <v>916</v>
      </c>
      <c r="AD1119">
        <v>1171</v>
      </c>
      <c r="AE1119">
        <v>605</v>
      </c>
      <c r="AF1119">
        <v>800</v>
      </c>
      <c r="AG1119">
        <v>555</v>
      </c>
      <c r="AH1119">
        <v>600</v>
      </c>
      <c r="AI1119">
        <v>566</v>
      </c>
      <c r="AJ1119">
        <v>481</v>
      </c>
      <c r="AK1119">
        <v>450</v>
      </c>
      <c r="AL1119">
        <v>282</v>
      </c>
      <c r="AM1119">
        <v>457</v>
      </c>
      <c r="AN1119">
        <v>482</v>
      </c>
      <c r="AO1119">
        <v>522</v>
      </c>
      <c r="AP1119">
        <v>272</v>
      </c>
      <c r="AQ1119">
        <v>293</v>
      </c>
      <c r="AR1119">
        <v>384</v>
      </c>
      <c r="AS1119">
        <v>259</v>
      </c>
      <c r="AT1119">
        <v>223</v>
      </c>
      <c r="AU1119">
        <v>248</v>
      </c>
      <c r="AV1119">
        <v>221</v>
      </c>
      <c r="AW1119">
        <v>287</v>
      </c>
      <c r="AX1119">
        <v>522</v>
      </c>
      <c r="AY1119">
        <v>472</v>
      </c>
      <c r="AZ1119">
        <v>257</v>
      </c>
      <c r="BA1119">
        <v>266</v>
      </c>
      <c r="BB1119">
        <v>248</v>
      </c>
      <c r="BC1119">
        <v>562</v>
      </c>
      <c r="BD1119">
        <v>451</v>
      </c>
      <c r="BE1119">
        <v>365</v>
      </c>
      <c r="BF1119">
        <v>138</v>
      </c>
      <c r="BG1119">
        <v>64</v>
      </c>
      <c r="BH1119">
        <v>309</v>
      </c>
      <c r="BI1119">
        <v>522</v>
      </c>
      <c r="BJ1119">
        <v>58</v>
      </c>
      <c r="BK1119">
        <v>62</v>
      </c>
      <c r="BL1119">
        <v>109</v>
      </c>
      <c r="BM1119">
        <v>37</v>
      </c>
      <c r="BN1119">
        <v>203</v>
      </c>
      <c r="BO1119">
        <v>24</v>
      </c>
      <c r="BP1119">
        <v>8</v>
      </c>
      <c r="BQ1119">
        <v>12</v>
      </c>
      <c r="BR1119">
        <v>36</v>
      </c>
      <c r="BS1119">
        <v>422</v>
      </c>
      <c r="BT1119">
        <v>9</v>
      </c>
      <c r="BU1119">
        <v>1</v>
      </c>
      <c r="BV1119">
        <v>9</v>
      </c>
      <c r="BW1119">
        <v>6</v>
      </c>
      <c r="BX1119">
        <v>1</v>
      </c>
      <c r="BY1119">
        <v>1</v>
      </c>
      <c r="BZ1119">
        <v>0</v>
      </c>
      <c r="CA1119">
        <v>0</v>
      </c>
      <c r="CB1119">
        <v>0</v>
      </c>
      <c r="CC1119">
        <v>14</v>
      </c>
      <c r="CD1119">
        <v>0</v>
      </c>
      <c r="CE1119">
        <v>2</v>
      </c>
      <c r="CF1119">
        <v>0</v>
      </c>
      <c r="CG1119">
        <v>2</v>
      </c>
      <c r="CH1119">
        <v>0</v>
      </c>
      <c r="CI1119">
        <v>0</v>
      </c>
      <c r="CJ1119">
        <v>0</v>
      </c>
      <c r="CK1119">
        <v>0</v>
      </c>
      <c r="CL1119">
        <v>1</v>
      </c>
      <c r="CM1119">
        <v>32</v>
      </c>
      <c r="CN1119">
        <v>0</v>
      </c>
      <c r="CO1119">
        <v>0</v>
      </c>
      <c r="CP1119">
        <v>0</v>
      </c>
      <c r="CQ1119">
        <v>0</v>
      </c>
      <c r="CR1119">
        <v>0</v>
      </c>
      <c r="CS1119">
        <v>0</v>
      </c>
      <c r="CT1119">
        <v>0</v>
      </c>
      <c r="CU1119">
        <v>0</v>
      </c>
      <c r="CV1119">
        <v>0</v>
      </c>
      <c r="CW1119">
        <v>0</v>
      </c>
      <c r="CX1119">
        <v>0</v>
      </c>
      <c r="CY1119">
        <v>0</v>
      </c>
      <c r="CZ1119">
        <v>0</v>
      </c>
      <c r="DA1119">
        <v>0</v>
      </c>
      <c r="DB1119">
        <v>0</v>
      </c>
      <c r="DC1119">
        <v>0</v>
      </c>
      <c r="DD1119">
        <v>0</v>
      </c>
      <c r="DE1119">
        <v>0</v>
      </c>
      <c r="DF1119">
        <v>0</v>
      </c>
      <c r="DG1119" s="16">
        <f t="shared" si="92"/>
        <v>23644</v>
      </c>
      <c r="DH1119" s="16">
        <f t="shared" si="93"/>
        <v>672330</v>
      </c>
      <c r="DI1119" s="17">
        <f t="shared" si="94"/>
        <v>28.43554390120115</v>
      </c>
      <c r="DJ1119" s="119" t="s">
        <v>4</v>
      </c>
      <c r="DK1119" s="119" t="s">
        <v>4</v>
      </c>
      <c r="DL1119" s="119"/>
    </row>
    <row r="1120" spans="1:116">
      <c r="A1120" s="32" t="str">
        <f t="shared" si="95"/>
        <v>Essential--POLE MOUNTED ; &lt; = 22KV ;  &gt; 60 KVA AND &lt; = 600 KVA  ; MULTIPLE PHASE</v>
      </c>
      <c r="B1120" s="32" t="str">
        <f t="shared" si="96"/>
        <v>Essential</v>
      </c>
      <c r="C1120" s="384"/>
      <c r="E1120" t="s">
        <v>1477</v>
      </c>
      <c r="F1120">
        <v>45.8</v>
      </c>
      <c r="G1120">
        <v>6.7675697262754522</v>
      </c>
      <c r="H1120">
        <v>307</v>
      </c>
      <c r="I1120">
        <v>634</v>
      </c>
      <c r="J1120">
        <v>553</v>
      </c>
      <c r="K1120">
        <v>602</v>
      </c>
      <c r="L1120">
        <v>483</v>
      </c>
      <c r="M1120">
        <v>693</v>
      </c>
      <c r="N1120">
        <v>613</v>
      </c>
      <c r="O1120">
        <v>652</v>
      </c>
      <c r="P1120">
        <v>673</v>
      </c>
      <c r="Q1120">
        <v>717</v>
      </c>
      <c r="R1120">
        <v>578</v>
      </c>
      <c r="S1120">
        <v>500</v>
      </c>
      <c r="T1120">
        <v>957</v>
      </c>
      <c r="U1120">
        <v>441</v>
      </c>
      <c r="V1120">
        <v>346</v>
      </c>
      <c r="W1120">
        <v>308</v>
      </c>
      <c r="X1120">
        <v>307</v>
      </c>
      <c r="Y1120">
        <v>325</v>
      </c>
      <c r="Z1120">
        <v>499</v>
      </c>
      <c r="AA1120">
        <v>490</v>
      </c>
      <c r="AB1120">
        <v>377</v>
      </c>
      <c r="AC1120">
        <v>492</v>
      </c>
      <c r="AD1120">
        <v>553</v>
      </c>
      <c r="AE1120">
        <v>371</v>
      </c>
      <c r="AF1120">
        <v>464</v>
      </c>
      <c r="AG1120">
        <v>298</v>
      </c>
      <c r="AH1120">
        <v>419</v>
      </c>
      <c r="AI1120">
        <v>359</v>
      </c>
      <c r="AJ1120">
        <v>347</v>
      </c>
      <c r="AK1120">
        <v>314</v>
      </c>
      <c r="AL1120">
        <v>238</v>
      </c>
      <c r="AM1120">
        <v>373</v>
      </c>
      <c r="AN1120">
        <v>427</v>
      </c>
      <c r="AO1120">
        <v>406</v>
      </c>
      <c r="AP1120">
        <v>252</v>
      </c>
      <c r="AQ1120">
        <v>292</v>
      </c>
      <c r="AR1120">
        <v>310</v>
      </c>
      <c r="AS1120">
        <v>225</v>
      </c>
      <c r="AT1120">
        <v>264</v>
      </c>
      <c r="AU1120">
        <v>243</v>
      </c>
      <c r="AV1120">
        <v>220</v>
      </c>
      <c r="AW1120">
        <v>221</v>
      </c>
      <c r="AX1120">
        <v>372</v>
      </c>
      <c r="AY1120">
        <v>364</v>
      </c>
      <c r="AZ1120">
        <v>299</v>
      </c>
      <c r="BA1120">
        <v>254</v>
      </c>
      <c r="BB1120">
        <v>164</v>
      </c>
      <c r="BC1120">
        <v>253</v>
      </c>
      <c r="BD1120">
        <v>207</v>
      </c>
      <c r="BE1120">
        <v>93</v>
      </c>
      <c r="BF1120">
        <v>56</v>
      </c>
      <c r="BG1120">
        <v>27</v>
      </c>
      <c r="BH1120">
        <v>154</v>
      </c>
      <c r="BI1120">
        <v>258</v>
      </c>
      <c r="BJ1120">
        <v>33</v>
      </c>
      <c r="BK1120">
        <v>46</v>
      </c>
      <c r="BL1120">
        <v>33</v>
      </c>
      <c r="BM1120">
        <v>25</v>
      </c>
      <c r="BN1120">
        <v>119</v>
      </c>
      <c r="BO1120">
        <v>23</v>
      </c>
      <c r="BP1120">
        <v>4</v>
      </c>
      <c r="BQ1120">
        <v>6</v>
      </c>
      <c r="BR1120">
        <v>5</v>
      </c>
      <c r="BS1120">
        <v>206</v>
      </c>
      <c r="BT1120">
        <v>14</v>
      </c>
      <c r="BU1120">
        <v>1</v>
      </c>
      <c r="BV1120">
        <v>3</v>
      </c>
      <c r="BW1120">
        <v>5</v>
      </c>
      <c r="BX1120">
        <v>6</v>
      </c>
      <c r="BY1120">
        <v>3</v>
      </c>
      <c r="BZ1120">
        <v>1</v>
      </c>
      <c r="CA1120">
        <v>1</v>
      </c>
      <c r="CB1120">
        <v>2</v>
      </c>
      <c r="CC1120">
        <v>13</v>
      </c>
      <c r="CD1120">
        <v>3</v>
      </c>
      <c r="CE1120">
        <v>3</v>
      </c>
      <c r="CF1120">
        <v>0</v>
      </c>
      <c r="CG1120">
        <v>0</v>
      </c>
      <c r="CH1120">
        <v>0</v>
      </c>
      <c r="CI1120">
        <v>0</v>
      </c>
      <c r="CJ1120">
        <v>0</v>
      </c>
      <c r="CK1120">
        <v>0</v>
      </c>
      <c r="CL1120">
        <v>1</v>
      </c>
      <c r="CM1120">
        <v>8</v>
      </c>
      <c r="CN1120">
        <v>0</v>
      </c>
      <c r="CO1120">
        <v>0</v>
      </c>
      <c r="CP1120">
        <v>0</v>
      </c>
      <c r="CQ1120">
        <v>0</v>
      </c>
      <c r="CR1120">
        <v>0</v>
      </c>
      <c r="CS1120">
        <v>0</v>
      </c>
      <c r="CT1120">
        <v>0</v>
      </c>
      <c r="CU1120">
        <v>0</v>
      </c>
      <c r="CV1120">
        <v>0</v>
      </c>
      <c r="CW1120">
        <v>0</v>
      </c>
      <c r="CX1120">
        <v>0</v>
      </c>
      <c r="CY1120">
        <v>0</v>
      </c>
      <c r="CZ1120">
        <v>0</v>
      </c>
      <c r="DA1120">
        <v>0</v>
      </c>
      <c r="DB1120">
        <v>0</v>
      </c>
      <c r="DC1120">
        <v>0</v>
      </c>
      <c r="DD1120">
        <v>0</v>
      </c>
      <c r="DE1120">
        <v>0</v>
      </c>
      <c r="DF1120">
        <v>0</v>
      </c>
      <c r="DG1120" s="16">
        <f t="shared" si="92"/>
        <v>21208</v>
      </c>
      <c r="DH1120" s="16">
        <f t="shared" si="93"/>
        <v>484817</v>
      </c>
      <c r="DI1120" s="17">
        <f t="shared" si="94"/>
        <v>22.860099962278387</v>
      </c>
      <c r="DJ1120" s="119" t="s">
        <v>4</v>
      </c>
      <c r="DK1120" s="119" t="s">
        <v>4</v>
      </c>
      <c r="DL1120" s="119"/>
    </row>
    <row r="1121" spans="1:116">
      <c r="A1121" s="32" t="str">
        <f t="shared" si="95"/>
        <v>Essential--POLE MOUNTED ; &lt; = 22KV ;  &gt; 600 KVA  ; MULTIPLE PHASE</v>
      </c>
      <c r="B1121" s="32" t="str">
        <f t="shared" si="96"/>
        <v>Essential</v>
      </c>
      <c r="C1121" s="384"/>
      <c r="E1121" t="s">
        <v>1478</v>
      </c>
      <c r="F1121">
        <v>45.8</v>
      </c>
      <c r="G1121">
        <v>6.7675697262754522</v>
      </c>
      <c r="H1121">
        <v>2</v>
      </c>
      <c r="I1121">
        <v>1</v>
      </c>
      <c r="J1121">
        <v>0</v>
      </c>
      <c r="K1121">
        <v>0</v>
      </c>
      <c r="L1121">
        <v>0</v>
      </c>
      <c r="M1121">
        <v>0</v>
      </c>
      <c r="N1121">
        <v>0</v>
      </c>
      <c r="O1121">
        <v>1</v>
      </c>
      <c r="P1121">
        <v>0</v>
      </c>
      <c r="Q1121">
        <v>0</v>
      </c>
      <c r="R1121">
        <v>0</v>
      </c>
      <c r="S1121">
        <v>0</v>
      </c>
      <c r="T1121">
        <v>4</v>
      </c>
      <c r="U1121">
        <v>0</v>
      </c>
      <c r="V1121">
        <v>3</v>
      </c>
      <c r="W1121">
        <v>0</v>
      </c>
      <c r="X1121">
        <v>1</v>
      </c>
      <c r="Y1121">
        <v>1</v>
      </c>
      <c r="Z1121">
        <v>0</v>
      </c>
      <c r="AA1121">
        <v>1</v>
      </c>
      <c r="AB1121">
        <v>3</v>
      </c>
      <c r="AC1121">
        <v>4</v>
      </c>
      <c r="AD1121">
        <v>1</v>
      </c>
      <c r="AE1121">
        <v>0</v>
      </c>
      <c r="AF1121">
        <v>0</v>
      </c>
      <c r="AG1121">
        <v>0</v>
      </c>
      <c r="AH1121">
        <v>0</v>
      </c>
      <c r="AI1121">
        <v>1</v>
      </c>
      <c r="AJ1121">
        <v>0</v>
      </c>
      <c r="AK1121">
        <v>0</v>
      </c>
      <c r="AL1121">
        <v>0</v>
      </c>
      <c r="AM1121">
        <v>1</v>
      </c>
      <c r="AN1121">
        <v>2</v>
      </c>
      <c r="AO1121">
        <v>0</v>
      </c>
      <c r="AP1121">
        <v>0</v>
      </c>
      <c r="AQ1121">
        <v>0</v>
      </c>
      <c r="AR1121">
        <v>2</v>
      </c>
      <c r="AS1121">
        <v>1</v>
      </c>
      <c r="AT1121">
        <v>0</v>
      </c>
      <c r="AU1121">
        <v>0</v>
      </c>
      <c r="AV1121">
        <v>1</v>
      </c>
      <c r="AW1121">
        <v>0</v>
      </c>
      <c r="AX1121">
        <v>2</v>
      </c>
      <c r="AY1121">
        <v>1</v>
      </c>
      <c r="AZ1121">
        <v>1</v>
      </c>
      <c r="BA1121">
        <v>0</v>
      </c>
      <c r="BB1121">
        <v>1</v>
      </c>
      <c r="BC1121">
        <v>1</v>
      </c>
      <c r="BD1121">
        <v>0</v>
      </c>
      <c r="BE1121">
        <v>0</v>
      </c>
      <c r="BF1121">
        <v>0</v>
      </c>
      <c r="BG1121">
        <v>0</v>
      </c>
      <c r="BH1121">
        <v>0</v>
      </c>
      <c r="BI1121">
        <v>0</v>
      </c>
      <c r="BJ1121">
        <v>0</v>
      </c>
      <c r="BK1121">
        <v>1</v>
      </c>
      <c r="BL1121">
        <v>1</v>
      </c>
      <c r="BM1121">
        <v>0</v>
      </c>
      <c r="BN1121">
        <v>0</v>
      </c>
      <c r="BO1121">
        <v>0</v>
      </c>
      <c r="BP1121">
        <v>0</v>
      </c>
      <c r="BQ1121">
        <v>0</v>
      </c>
      <c r="BR1121">
        <v>0</v>
      </c>
      <c r="BS1121">
        <v>0</v>
      </c>
      <c r="BT1121">
        <v>0</v>
      </c>
      <c r="BU1121">
        <v>0</v>
      </c>
      <c r="BV1121">
        <v>0</v>
      </c>
      <c r="BW1121">
        <v>0</v>
      </c>
      <c r="BX1121">
        <v>0</v>
      </c>
      <c r="BY1121">
        <v>0</v>
      </c>
      <c r="BZ1121">
        <v>0</v>
      </c>
      <c r="CA1121">
        <v>0</v>
      </c>
      <c r="CB1121">
        <v>0</v>
      </c>
      <c r="CC1121">
        <v>0</v>
      </c>
      <c r="CD1121">
        <v>0</v>
      </c>
      <c r="CE1121">
        <v>0</v>
      </c>
      <c r="CF1121">
        <v>0</v>
      </c>
      <c r="CG1121">
        <v>0</v>
      </c>
      <c r="CH1121">
        <v>0</v>
      </c>
      <c r="CI1121">
        <v>0</v>
      </c>
      <c r="CJ1121">
        <v>0</v>
      </c>
      <c r="CK1121">
        <v>0</v>
      </c>
      <c r="CL1121">
        <v>0</v>
      </c>
      <c r="CM1121">
        <v>0</v>
      </c>
      <c r="CN1121">
        <v>0</v>
      </c>
      <c r="CO1121">
        <v>0</v>
      </c>
      <c r="CP1121">
        <v>0</v>
      </c>
      <c r="CQ1121">
        <v>0</v>
      </c>
      <c r="CR1121">
        <v>0</v>
      </c>
      <c r="CS1121">
        <v>0</v>
      </c>
      <c r="CT1121">
        <v>0</v>
      </c>
      <c r="CU1121">
        <v>0</v>
      </c>
      <c r="CV1121">
        <v>0</v>
      </c>
      <c r="CW1121">
        <v>0</v>
      </c>
      <c r="CX1121">
        <v>0</v>
      </c>
      <c r="CY1121">
        <v>0</v>
      </c>
      <c r="CZ1121">
        <v>0</v>
      </c>
      <c r="DA1121">
        <v>0</v>
      </c>
      <c r="DB1121">
        <v>0</v>
      </c>
      <c r="DC1121">
        <v>0</v>
      </c>
      <c r="DD1121">
        <v>0</v>
      </c>
      <c r="DE1121">
        <v>0</v>
      </c>
      <c r="DF1121">
        <v>0</v>
      </c>
      <c r="DG1121" s="16">
        <f t="shared" si="92"/>
        <v>38</v>
      </c>
      <c r="DH1121" s="16">
        <f t="shared" si="93"/>
        <v>1000</v>
      </c>
      <c r="DI1121" s="17">
        <f t="shared" si="94"/>
        <v>26.315789473684209</v>
      </c>
      <c r="DJ1121" s="119" t="s">
        <v>4</v>
      </c>
      <c r="DK1121" s="119" t="s">
        <v>4</v>
      </c>
      <c r="DL1121" s="119"/>
    </row>
    <row r="1122" spans="1:116">
      <c r="A1122" s="32" t="str">
        <f t="shared" si="95"/>
        <v xml:space="preserve">Essential--POLE MOUNTED ; &gt; 22 KV ;  &lt; = 60 KVA </v>
      </c>
      <c r="B1122" s="32" t="str">
        <f t="shared" si="96"/>
        <v>Essential</v>
      </c>
      <c r="C1122" s="384"/>
      <c r="E1122" t="s">
        <v>1479</v>
      </c>
      <c r="F1122">
        <v>45.8</v>
      </c>
      <c r="G1122">
        <v>6.7675697262754522</v>
      </c>
      <c r="H1122">
        <v>2</v>
      </c>
      <c r="I1122">
        <v>8</v>
      </c>
      <c r="J1122">
        <v>7</v>
      </c>
      <c r="K1122">
        <v>13</v>
      </c>
      <c r="L1122">
        <v>16</v>
      </c>
      <c r="M1122">
        <v>7</v>
      </c>
      <c r="N1122">
        <v>13</v>
      </c>
      <c r="O1122">
        <v>9</v>
      </c>
      <c r="P1122">
        <v>12</v>
      </c>
      <c r="Q1122">
        <v>9</v>
      </c>
      <c r="R1122">
        <v>4</v>
      </c>
      <c r="S1122">
        <v>14</v>
      </c>
      <c r="T1122">
        <v>9</v>
      </c>
      <c r="U1122">
        <v>13</v>
      </c>
      <c r="V1122">
        <v>15</v>
      </c>
      <c r="W1122">
        <v>16</v>
      </c>
      <c r="X1122">
        <v>20</v>
      </c>
      <c r="Y1122">
        <v>37</v>
      </c>
      <c r="Z1122">
        <v>20</v>
      </c>
      <c r="AA1122">
        <v>13</v>
      </c>
      <c r="AB1122">
        <v>15</v>
      </c>
      <c r="AC1122">
        <v>24</v>
      </c>
      <c r="AD1122">
        <v>66</v>
      </c>
      <c r="AE1122">
        <v>13</v>
      </c>
      <c r="AF1122">
        <v>17</v>
      </c>
      <c r="AG1122">
        <v>3</v>
      </c>
      <c r="AH1122">
        <v>9</v>
      </c>
      <c r="AI1122">
        <v>12</v>
      </c>
      <c r="AJ1122">
        <v>12</v>
      </c>
      <c r="AK1122">
        <v>5</v>
      </c>
      <c r="AL1122">
        <v>2</v>
      </c>
      <c r="AM1122">
        <v>6</v>
      </c>
      <c r="AN1122">
        <v>6</v>
      </c>
      <c r="AO1122">
        <v>13</v>
      </c>
      <c r="AP1122">
        <v>4</v>
      </c>
      <c r="AQ1122">
        <v>4</v>
      </c>
      <c r="AR1122">
        <v>11</v>
      </c>
      <c r="AS1122">
        <v>13</v>
      </c>
      <c r="AT1122">
        <v>4</v>
      </c>
      <c r="AU1122">
        <v>0</v>
      </c>
      <c r="AV1122">
        <v>3</v>
      </c>
      <c r="AW1122">
        <v>1</v>
      </c>
      <c r="AX1122">
        <v>4</v>
      </c>
      <c r="AY1122">
        <v>17</v>
      </c>
      <c r="AZ1122">
        <v>7</v>
      </c>
      <c r="BA1122">
        <v>12</v>
      </c>
      <c r="BB1122">
        <v>15</v>
      </c>
      <c r="BC1122">
        <v>3</v>
      </c>
      <c r="BD1122">
        <v>4</v>
      </c>
      <c r="BE1122">
        <v>1</v>
      </c>
      <c r="BF1122">
        <v>0</v>
      </c>
      <c r="BG1122">
        <v>32</v>
      </c>
      <c r="BH1122">
        <v>4</v>
      </c>
      <c r="BI1122">
        <v>15</v>
      </c>
      <c r="BJ1122">
        <v>0</v>
      </c>
      <c r="BK1122">
        <v>0</v>
      </c>
      <c r="BL1122">
        <v>0</v>
      </c>
      <c r="BM1122">
        <v>0</v>
      </c>
      <c r="BN1122">
        <v>0</v>
      </c>
      <c r="BO1122">
        <v>0</v>
      </c>
      <c r="BP1122">
        <v>0</v>
      </c>
      <c r="BQ1122">
        <v>0</v>
      </c>
      <c r="BR1122">
        <v>0</v>
      </c>
      <c r="BS1122">
        <v>0</v>
      </c>
      <c r="BT1122">
        <v>0</v>
      </c>
      <c r="BU1122">
        <v>0</v>
      </c>
      <c r="BV1122">
        <v>0</v>
      </c>
      <c r="BW1122">
        <v>0</v>
      </c>
      <c r="BX1122">
        <v>0</v>
      </c>
      <c r="BY1122">
        <v>0</v>
      </c>
      <c r="BZ1122">
        <v>0</v>
      </c>
      <c r="CA1122">
        <v>0</v>
      </c>
      <c r="CB1122">
        <v>0</v>
      </c>
      <c r="CC1122">
        <v>0</v>
      </c>
      <c r="CD1122">
        <v>0</v>
      </c>
      <c r="CE1122">
        <v>0</v>
      </c>
      <c r="CF1122">
        <v>0</v>
      </c>
      <c r="CG1122">
        <v>0</v>
      </c>
      <c r="CH1122">
        <v>0</v>
      </c>
      <c r="CI1122">
        <v>0</v>
      </c>
      <c r="CJ1122">
        <v>0</v>
      </c>
      <c r="CK1122">
        <v>0</v>
      </c>
      <c r="CL1122">
        <v>0</v>
      </c>
      <c r="CM1122">
        <v>0</v>
      </c>
      <c r="CN1122">
        <v>0</v>
      </c>
      <c r="CO1122">
        <v>0</v>
      </c>
      <c r="CP1122">
        <v>0</v>
      </c>
      <c r="CQ1122">
        <v>0</v>
      </c>
      <c r="CR1122">
        <v>0</v>
      </c>
      <c r="CS1122">
        <v>0</v>
      </c>
      <c r="CT1122">
        <v>0</v>
      </c>
      <c r="CU1122">
        <v>0</v>
      </c>
      <c r="CV1122">
        <v>0</v>
      </c>
      <c r="CW1122">
        <v>0</v>
      </c>
      <c r="CX1122">
        <v>0</v>
      </c>
      <c r="CY1122">
        <v>0</v>
      </c>
      <c r="CZ1122">
        <v>0</v>
      </c>
      <c r="DA1122">
        <v>0</v>
      </c>
      <c r="DB1122">
        <v>0</v>
      </c>
      <c r="DC1122">
        <v>0</v>
      </c>
      <c r="DD1122">
        <v>0</v>
      </c>
      <c r="DE1122">
        <v>0</v>
      </c>
      <c r="DF1122">
        <v>0</v>
      </c>
      <c r="DG1122" s="16">
        <f t="shared" si="92"/>
        <v>614</v>
      </c>
      <c r="DH1122" s="16">
        <f t="shared" si="93"/>
        <v>15433</v>
      </c>
      <c r="DI1122" s="17">
        <f t="shared" si="94"/>
        <v>25.135179153094462</v>
      </c>
      <c r="DJ1122" s="119" t="s">
        <v>4</v>
      </c>
      <c r="DK1122" s="119" t="s">
        <v>4</v>
      </c>
      <c r="DL1122" s="119"/>
    </row>
    <row r="1123" spans="1:116">
      <c r="A1123" s="32" t="str">
        <f t="shared" si="95"/>
        <v xml:space="preserve">Essential--POLE MOUNTED ; &gt; 22 KV ;  &gt; 60 KVA AND &lt; = 600 KVA </v>
      </c>
      <c r="B1123" s="32" t="str">
        <f t="shared" si="96"/>
        <v>Essential</v>
      </c>
      <c r="C1123" s="384"/>
      <c r="E1123" t="s">
        <v>1480</v>
      </c>
      <c r="F1123">
        <v>45.8</v>
      </c>
      <c r="G1123">
        <v>6.7675697262754522</v>
      </c>
      <c r="H1123">
        <v>9</v>
      </c>
      <c r="I1123">
        <v>17</v>
      </c>
      <c r="J1123">
        <v>19</v>
      </c>
      <c r="K1123">
        <v>21</v>
      </c>
      <c r="L1123">
        <v>18</v>
      </c>
      <c r="M1123">
        <v>21</v>
      </c>
      <c r="N1123">
        <v>17</v>
      </c>
      <c r="O1123">
        <v>33</v>
      </c>
      <c r="P1123">
        <v>18</v>
      </c>
      <c r="Q1123">
        <v>15</v>
      </c>
      <c r="R1123">
        <v>16</v>
      </c>
      <c r="S1123">
        <v>8</v>
      </c>
      <c r="T1123">
        <v>17</v>
      </c>
      <c r="U1123">
        <v>20</v>
      </c>
      <c r="V1123">
        <v>13</v>
      </c>
      <c r="W1123">
        <v>22</v>
      </c>
      <c r="X1123">
        <v>20</v>
      </c>
      <c r="Y1123">
        <v>23</v>
      </c>
      <c r="Z1123">
        <v>39</v>
      </c>
      <c r="AA1123">
        <v>32</v>
      </c>
      <c r="AB1123">
        <v>26</v>
      </c>
      <c r="AC1123">
        <v>12</v>
      </c>
      <c r="AD1123">
        <v>66</v>
      </c>
      <c r="AE1123">
        <v>2</v>
      </c>
      <c r="AF1123">
        <v>7</v>
      </c>
      <c r="AG1123">
        <v>4</v>
      </c>
      <c r="AH1123">
        <v>10</v>
      </c>
      <c r="AI1123">
        <v>5</v>
      </c>
      <c r="AJ1123">
        <v>12</v>
      </c>
      <c r="AK1123">
        <v>9</v>
      </c>
      <c r="AL1123">
        <v>5</v>
      </c>
      <c r="AM1123">
        <v>8</v>
      </c>
      <c r="AN1123">
        <v>2</v>
      </c>
      <c r="AO1123">
        <v>13</v>
      </c>
      <c r="AP1123">
        <v>4</v>
      </c>
      <c r="AQ1123">
        <v>5</v>
      </c>
      <c r="AR1123">
        <v>6</v>
      </c>
      <c r="AS1123">
        <v>6</v>
      </c>
      <c r="AT1123">
        <v>2</v>
      </c>
      <c r="AU1123">
        <v>10</v>
      </c>
      <c r="AV1123">
        <v>5</v>
      </c>
      <c r="AW1123">
        <v>3</v>
      </c>
      <c r="AX1123">
        <v>6</v>
      </c>
      <c r="AY1123">
        <v>5</v>
      </c>
      <c r="AZ1123">
        <v>14</v>
      </c>
      <c r="BA1123">
        <v>6</v>
      </c>
      <c r="BB1123">
        <v>2</v>
      </c>
      <c r="BC1123">
        <v>3</v>
      </c>
      <c r="BD1123">
        <v>1</v>
      </c>
      <c r="BE1123">
        <v>1</v>
      </c>
      <c r="BF1123">
        <v>2</v>
      </c>
      <c r="BG1123">
        <v>4</v>
      </c>
      <c r="BH1123">
        <v>8</v>
      </c>
      <c r="BI1123">
        <v>2</v>
      </c>
      <c r="BJ1123">
        <v>0</v>
      </c>
      <c r="BK1123">
        <v>1</v>
      </c>
      <c r="BL1123">
        <v>0</v>
      </c>
      <c r="BM1123">
        <v>0</v>
      </c>
      <c r="BN1123">
        <v>5</v>
      </c>
      <c r="BO1123">
        <v>0</v>
      </c>
      <c r="BP1123">
        <v>0</v>
      </c>
      <c r="BQ1123">
        <v>0</v>
      </c>
      <c r="BR1123">
        <v>0</v>
      </c>
      <c r="BS1123">
        <v>2</v>
      </c>
      <c r="BT1123">
        <v>0</v>
      </c>
      <c r="BU1123">
        <v>0</v>
      </c>
      <c r="BV1123">
        <v>0</v>
      </c>
      <c r="BW1123">
        <v>0</v>
      </c>
      <c r="BX1123">
        <v>0</v>
      </c>
      <c r="BY1123">
        <v>0</v>
      </c>
      <c r="BZ1123">
        <v>0</v>
      </c>
      <c r="CA1123">
        <v>0</v>
      </c>
      <c r="CB1123">
        <v>0</v>
      </c>
      <c r="CC1123">
        <v>0</v>
      </c>
      <c r="CD1123">
        <v>0</v>
      </c>
      <c r="CE1123">
        <v>0</v>
      </c>
      <c r="CF1123">
        <v>0</v>
      </c>
      <c r="CG1123">
        <v>0</v>
      </c>
      <c r="CH1123">
        <v>0</v>
      </c>
      <c r="CI1123">
        <v>0</v>
      </c>
      <c r="CJ1123">
        <v>0</v>
      </c>
      <c r="CK1123">
        <v>0</v>
      </c>
      <c r="CL1123">
        <v>0</v>
      </c>
      <c r="CM1123">
        <v>0</v>
      </c>
      <c r="CN1123">
        <v>0</v>
      </c>
      <c r="CO1123">
        <v>0</v>
      </c>
      <c r="CP1123">
        <v>0</v>
      </c>
      <c r="CQ1123">
        <v>0</v>
      </c>
      <c r="CR1123">
        <v>0</v>
      </c>
      <c r="CS1123">
        <v>0</v>
      </c>
      <c r="CT1123">
        <v>0</v>
      </c>
      <c r="CU1123">
        <v>0</v>
      </c>
      <c r="CV1123">
        <v>0</v>
      </c>
      <c r="CW1123">
        <v>0</v>
      </c>
      <c r="CX1123">
        <v>0</v>
      </c>
      <c r="CY1123">
        <v>0</v>
      </c>
      <c r="CZ1123">
        <v>0</v>
      </c>
      <c r="DA1123">
        <v>0</v>
      </c>
      <c r="DB1123">
        <v>0</v>
      </c>
      <c r="DC1123">
        <v>0</v>
      </c>
      <c r="DD1123">
        <v>0</v>
      </c>
      <c r="DE1123">
        <v>0</v>
      </c>
      <c r="DF1123">
        <v>0</v>
      </c>
      <c r="DG1123" s="16">
        <f t="shared" ref="DG1123:DG1183" si="97">SUM(H1123:DF1123)</f>
        <v>682</v>
      </c>
      <c r="DH1123" s="16">
        <f t="shared" ref="DH1123:DH1183" si="98">IFERROR(SUMPRODUCT(H1123:DF1123,$H$1:$DF$1),"")</f>
        <v>13773</v>
      </c>
      <c r="DI1123" s="17">
        <f t="shared" ref="DI1123:DI1183" si="99">IFERROR(DH1123/DG1123,"")</f>
        <v>20.195014662756599</v>
      </c>
      <c r="DJ1123" s="119" t="s">
        <v>4</v>
      </c>
      <c r="DK1123" s="119" t="s">
        <v>4</v>
      </c>
      <c r="DL1123" s="119"/>
    </row>
    <row r="1124" spans="1:116">
      <c r="A1124" s="32" t="str">
        <f t="shared" si="95"/>
        <v>Essential--POLE MOUNTED ; &gt; 22 KV ;  &gt; 600 KVA</v>
      </c>
      <c r="B1124" s="32" t="str">
        <f t="shared" si="96"/>
        <v>Essential</v>
      </c>
      <c r="C1124" s="384"/>
      <c r="E1124" t="s">
        <v>1481</v>
      </c>
      <c r="F1124">
        <v>45.8</v>
      </c>
      <c r="G1124">
        <v>6.7675697262754522</v>
      </c>
      <c r="H1124">
        <v>0</v>
      </c>
      <c r="I1124">
        <v>0</v>
      </c>
      <c r="J1124">
        <v>0</v>
      </c>
      <c r="K1124">
        <v>0</v>
      </c>
      <c r="L1124">
        <v>0</v>
      </c>
      <c r="M1124">
        <v>0</v>
      </c>
      <c r="N1124">
        <v>0</v>
      </c>
      <c r="O1124">
        <v>0</v>
      </c>
      <c r="P1124">
        <v>0</v>
      </c>
      <c r="Q1124">
        <v>1</v>
      </c>
      <c r="R1124">
        <v>0</v>
      </c>
      <c r="S1124">
        <v>0</v>
      </c>
      <c r="T1124">
        <v>0</v>
      </c>
      <c r="U1124">
        <v>0</v>
      </c>
      <c r="V1124">
        <v>0</v>
      </c>
      <c r="W1124">
        <v>1</v>
      </c>
      <c r="X1124">
        <v>1</v>
      </c>
      <c r="Y1124">
        <v>0</v>
      </c>
      <c r="Z1124">
        <v>2</v>
      </c>
      <c r="AA1124">
        <v>1</v>
      </c>
      <c r="AB1124">
        <v>3</v>
      </c>
      <c r="AC1124">
        <v>0</v>
      </c>
      <c r="AD1124">
        <v>0</v>
      </c>
      <c r="AE1124">
        <v>0</v>
      </c>
      <c r="AF1124">
        <v>0</v>
      </c>
      <c r="AG1124">
        <v>0</v>
      </c>
      <c r="AH1124">
        <v>0</v>
      </c>
      <c r="AI1124">
        <v>0</v>
      </c>
      <c r="AJ1124">
        <v>0</v>
      </c>
      <c r="AK1124">
        <v>0</v>
      </c>
      <c r="AL1124">
        <v>0</v>
      </c>
      <c r="AM1124">
        <v>0</v>
      </c>
      <c r="AN1124">
        <v>0</v>
      </c>
      <c r="AO1124">
        <v>0</v>
      </c>
      <c r="AP1124">
        <v>0</v>
      </c>
      <c r="AQ1124">
        <v>0</v>
      </c>
      <c r="AR1124">
        <v>0</v>
      </c>
      <c r="AS1124">
        <v>0</v>
      </c>
      <c r="AT1124">
        <v>0</v>
      </c>
      <c r="AU1124">
        <v>0</v>
      </c>
      <c r="AV1124">
        <v>0</v>
      </c>
      <c r="AW1124">
        <v>0</v>
      </c>
      <c r="AX1124">
        <v>0</v>
      </c>
      <c r="AY1124">
        <v>0</v>
      </c>
      <c r="AZ1124">
        <v>0</v>
      </c>
      <c r="BA1124">
        <v>0</v>
      </c>
      <c r="BB1124">
        <v>0</v>
      </c>
      <c r="BC1124">
        <v>1</v>
      </c>
      <c r="BD1124">
        <v>0</v>
      </c>
      <c r="BE1124">
        <v>0</v>
      </c>
      <c r="BF1124">
        <v>0</v>
      </c>
      <c r="BG1124">
        <v>0</v>
      </c>
      <c r="BH1124">
        <v>0</v>
      </c>
      <c r="BI1124">
        <v>0</v>
      </c>
      <c r="BJ1124">
        <v>0</v>
      </c>
      <c r="BK1124">
        <v>0</v>
      </c>
      <c r="BL1124">
        <v>0</v>
      </c>
      <c r="BM1124">
        <v>0</v>
      </c>
      <c r="BN1124">
        <v>0</v>
      </c>
      <c r="BO1124">
        <v>0</v>
      </c>
      <c r="BP1124">
        <v>0</v>
      </c>
      <c r="BQ1124">
        <v>0</v>
      </c>
      <c r="BR1124">
        <v>0</v>
      </c>
      <c r="BS1124">
        <v>0</v>
      </c>
      <c r="BT1124">
        <v>0</v>
      </c>
      <c r="BU1124">
        <v>0</v>
      </c>
      <c r="BV1124">
        <v>0</v>
      </c>
      <c r="BW1124">
        <v>0</v>
      </c>
      <c r="BX1124">
        <v>0</v>
      </c>
      <c r="BY1124">
        <v>0</v>
      </c>
      <c r="BZ1124">
        <v>0</v>
      </c>
      <c r="CA1124">
        <v>0</v>
      </c>
      <c r="CB1124">
        <v>0</v>
      </c>
      <c r="CC1124">
        <v>0</v>
      </c>
      <c r="CD1124">
        <v>0</v>
      </c>
      <c r="CE1124">
        <v>0</v>
      </c>
      <c r="CF1124">
        <v>0</v>
      </c>
      <c r="CG1124">
        <v>0</v>
      </c>
      <c r="CH1124">
        <v>0</v>
      </c>
      <c r="CI1124">
        <v>0</v>
      </c>
      <c r="CJ1124">
        <v>0</v>
      </c>
      <c r="CK1124">
        <v>0</v>
      </c>
      <c r="CL1124">
        <v>0</v>
      </c>
      <c r="CM1124">
        <v>0</v>
      </c>
      <c r="CN1124">
        <v>0</v>
      </c>
      <c r="CO1124">
        <v>0</v>
      </c>
      <c r="CP1124">
        <v>0</v>
      </c>
      <c r="CQ1124">
        <v>0</v>
      </c>
      <c r="CR1124">
        <v>0</v>
      </c>
      <c r="CS1124">
        <v>0</v>
      </c>
      <c r="CT1124">
        <v>0</v>
      </c>
      <c r="CU1124">
        <v>0</v>
      </c>
      <c r="CV1124">
        <v>0</v>
      </c>
      <c r="CW1124">
        <v>0</v>
      </c>
      <c r="CX1124">
        <v>0</v>
      </c>
      <c r="CY1124">
        <v>0</v>
      </c>
      <c r="CZ1124">
        <v>0</v>
      </c>
      <c r="DA1124">
        <v>0</v>
      </c>
      <c r="DB1124">
        <v>0</v>
      </c>
      <c r="DC1124">
        <v>0</v>
      </c>
      <c r="DD1124">
        <v>0</v>
      </c>
      <c r="DE1124">
        <v>0</v>
      </c>
      <c r="DF1124">
        <v>0</v>
      </c>
      <c r="DG1124" s="16">
        <f t="shared" si="97"/>
        <v>10</v>
      </c>
      <c r="DH1124" s="16">
        <f t="shared" si="98"/>
        <v>212</v>
      </c>
      <c r="DI1124" s="17">
        <f t="shared" si="99"/>
        <v>21.2</v>
      </c>
      <c r="DJ1124" s="119" t="s">
        <v>4</v>
      </c>
      <c r="DK1124" s="119" t="s">
        <v>4</v>
      </c>
      <c r="DL1124" s="119"/>
    </row>
    <row r="1125" spans="1:116">
      <c r="A1125" s="32" t="str">
        <f t="shared" si="95"/>
        <v xml:space="preserve">Essential--POLE MOUNTED ; &gt; 22 KV ;  &lt; = 60 KVA </v>
      </c>
      <c r="B1125" s="32" t="str">
        <f t="shared" si="96"/>
        <v>Essential</v>
      </c>
      <c r="C1125" s="384"/>
      <c r="E1125" t="s">
        <v>1479</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c r="AJ1125">
        <v>0</v>
      </c>
      <c r="AK1125">
        <v>0</v>
      </c>
      <c r="AL1125">
        <v>0</v>
      </c>
      <c r="AM1125">
        <v>0</v>
      </c>
      <c r="AN1125">
        <v>0</v>
      </c>
      <c r="AO1125">
        <v>0</v>
      </c>
      <c r="AP1125">
        <v>0</v>
      </c>
      <c r="AQ1125">
        <v>0</v>
      </c>
      <c r="AR1125">
        <v>0</v>
      </c>
      <c r="AS1125">
        <v>0</v>
      </c>
      <c r="AT1125">
        <v>0</v>
      </c>
      <c r="AU1125">
        <v>0</v>
      </c>
      <c r="AV1125">
        <v>0</v>
      </c>
      <c r="AW1125">
        <v>0</v>
      </c>
      <c r="AX1125">
        <v>0</v>
      </c>
      <c r="AY1125">
        <v>0</v>
      </c>
      <c r="AZ1125">
        <v>0</v>
      </c>
      <c r="BA1125">
        <v>0</v>
      </c>
      <c r="BB1125">
        <v>0</v>
      </c>
      <c r="BC1125">
        <v>0</v>
      </c>
      <c r="BD1125">
        <v>0</v>
      </c>
      <c r="BE1125">
        <v>0</v>
      </c>
      <c r="BF1125">
        <v>0</v>
      </c>
      <c r="BG1125">
        <v>0</v>
      </c>
      <c r="BH1125">
        <v>0</v>
      </c>
      <c r="BI1125">
        <v>0</v>
      </c>
      <c r="BJ1125">
        <v>0</v>
      </c>
      <c r="BK1125">
        <v>0</v>
      </c>
      <c r="BL1125">
        <v>0</v>
      </c>
      <c r="BM1125">
        <v>0</v>
      </c>
      <c r="BN1125">
        <v>0</v>
      </c>
      <c r="BO1125">
        <v>0</v>
      </c>
      <c r="BP1125">
        <v>0</v>
      </c>
      <c r="BQ1125">
        <v>0</v>
      </c>
      <c r="BR1125">
        <v>0</v>
      </c>
      <c r="BS1125">
        <v>0</v>
      </c>
      <c r="BT1125">
        <v>0</v>
      </c>
      <c r="BU1125">
        <v>0</v>
      </c>
      <c r="BV1125">
        <v>0</v>
      </c>
      <c r="BW1125">
        <v>0</v>
      </c>
      <c r="BX1125">
        <v>0</v>
      </c>
      <c r="BY1125">
        <v>0</v>
      </c>
      <c r="BZ1125">
        <v>0</v>
      </c>
      <c r="CA1125">
        <v>0</v>
      </c>
      <c r="CB1125">
        <v>0</v>
      </c>
      <c r="CC1125">
        <v>0</v>
      </c>
      <c r="CD1125">
        <v>0</v>
      </c>
      <c r="CE1125">
        <v>0</v>
      </c>
      <c r="CF1125">
        <v>0</v>
      </c>
      <c r="CG1125">
        <v>0</v>
      </c>
      <c r="CH1125">
        <v>0</v>
      </c>
      <c r="CI1125">
        <v>0</v>
      </c>
      <c r="CJ1125">
        <v>0</v>
      </c>
      <c r="CK1125">
        <v>0</v>
      </c>
      <c r="CL1125">
        <v>0</v>
      </c>
      <c r="CM1125">
        <v>0</v>
      </c>
      <c r="CN1125">
        <v>0</v>
      </c>
      <c r="CO1125">
        <v>0</v>
      </c>
      <c r="CP1125">
        <v>0</v>
      </c>
      <c r="CQ1125">
        <v>0</v>
      </c>
      <c r="CR1125">
        <v>0</v>
      </c>
      <c r="CS1125">
        <v>0</v>
      </c>
      <c r="CT1125">
        <v>0</v>
      </c>
      <c r="CU1125">
        <v>0</v>
      </c>
      <c r="CV1125">
        <v>0</v>
      </c>
      <c r="CW1125">
        <v>0</v>
      </c>
      <c r="CX1125">
        <v>0</v>
      </c>
      <c r="CY1125">
        <v>0</v>
      </c>
      <c r="CZ1125">
        <v>0</v>
      </c>
      <c r="DA1125">
        <v>0</v>
      </c>
      <c r="DB1125">
        <v>0</v>
      </c>
      <c r="DC1125">
        <v>0</v>
      </c>
      <c r="DD1125">
        <v>0</v>
      </c>
      <c r="DE1125">
        <v>0</v>
      </c>
      <c r="DF1125">
        <v>0</v>
      </c>
      <c r="DG1125" s="16">
        <f t="shared" si="97"/>
        <v>0</v>
      </c>
      <c r="DH1125" s="16">
        <f t="shared" si="98"/>
        <v>0</v>
      </c>
      <c r="DI1125" s="17" t="str">
        <f t="shared" si="99"/>
        <v/>
      </c>
      <c r="DJ1125" s="119" t="s">
        <v>4</v>
      </c>
      <c r="DK1125" s="119" t="s">
        <v>4</v>
      </c>
      <c r="DL1125" s="119"/>
    </row>
    <row r="1126" spans="1:116">
      <c r="A1126" s="32" t="str">
        <f t="shared" si="95"/>
        <v>Essential--POLE MOUNTED ; &gt; 22 KV ;  &gt; 60 KVA AND &lt; = 600 KVA</v>
      </c>
      <c r="B1126" s="32" t="str">
        <f t="shared" si="96"/>
        <v>Essential</v>
      </c>
      <c r="C1126" s="384"/>
      <c r="E1126" t="s">
        <v>1482</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0</v>
      </c>
      <c r="AL1126">
        <v>0</v>
      </c>
      <c r="AM1126">
        <v>0</v>
      </c>
      <c r="AN1126">
        <v>0</v>
      </c>
      <c r="AO1126">
        <v>0</v>
      </c>
      <c r="AP1126">
        <v>0</v>
      </c>
      <c r="AQ1126">
        <v>0</v>
      </c>
      <c r="AR1126">
        <v>0</v>
      </c>
      <c r="AS1126">
        <v>0</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v>0</v>
      </c>
      <c r="BN1126">
        <v>0</v>
      </c>
      <c r="BO1126">
        <v>0</v>
      </c>
      <c r="BP1126">
        <v>0</v>
      </c>
      <c r="BQ1126">
        <v>0</v>
      </c>
      <c r="BR1126">
        <v>0</v>
      </c>
      <c r="BS1126">
        <v>0</v>
      </c>
      <c r="BT1126">
        <v>0</v>
      </c>
      <c r="BU1126">
        <v>0</v>
      </c>
      <c r="BV1126">
        <v>0</v>
      </c>
      <c r="BW1126">
        <v>0</v>
      </c>
      <c r="BX1126">
        <v>0</v>
      </c>
      <c r="BY1126">
        <v>0</v>
      </c>
      <c r="BZ1126">
        <v>0</v>
      </c>
      <c r="CA1126">
        <v>0</v>
      </c>
      <c r="CB1126">
        <v>0</v>
      </c>
      <c r="CC1126">
        <v>0</v>
      </c>
      <c r="CD1126">
        <v>0</v>
      </c>
      <c r="CE1126">
        <v>0</v>
      </c>
      <c r="CF1126">
        <v>0</v>
      </c>
      <c r="CG1126">
        <v>0</v>
      </c>
      <c r="CH1126">
        <v>0</v>
      </c>
      <c r="CI1126">
        <v>0</v>
      </c>
      <c r="CJ1126">
        <v>0</v>
      </c>
      <c r="CK1126">
        <v>0</v>
      </c>
      <c r="CL1126">
        <v>0</v>
      </c>
      <c r="CM1126">
        <v>0</v>
      </c>
      <c r="CN1126">
        <v>0</v>
      </c>
      <c r="CO1126">
        <v>0</v>
      </c>
      <c r="CP1126">
        <v>0</v>
      </c>
      <c r="CQ1126">
        <v>0</v>
      </c>
      <c r="CR1126">
        <v>0</v>
      </c>
      <c r="CS1126">
        <v>0</v>
      </c>
      <c r="CT1126">
        <v>0</v>
      </c>
      <c r="CU1126">
        <v>0</v>
      </c>
      <c r="CV1126">
        <v>0</v>
      </c>
      <c r="CW1126">
        <v>0</v>
      </c>
      <c r="CX1126">
        <v>0</v>
      </c>
      <c r="CY1126">
        <v>0</v>
      </c>
      <c r="CZ1126">
        <v>0</v>
      </c>
      <c r="DA1126">
        <v>0</v>
      </c>
      <c r="DB1126">
        <v>0</v>
      </c>
      <c r="DC1126">
        <v>0</v>
      </c>
      <c r="DD1126">
        <v>0</v>
      </c>
      <c r="DE1126">
        <v>0</v>
      </c>
      <c r="DF1126">
        <v>0</v>
      </c>
      <c r="DG1126" s="16">
        <f t="shared" si="97"/>
        <v>0</v>
      </c>
      <c r="DH1126" s="16">
        <f t="shared" si="98"/>
        <v>0</v>
      </c>
      <c r="DI1126" s="17" t="str">
        <f t="shared" si="99"/>
        <v/>
      </c>
      <c r="DJ1126" s="119" t="s">
        <v>4</v>
      </c>
      <c r="DK1126" s="119" t="s">
        <v>4</v>
      </c>
      <c r="DL1126" s="119"/>
    </row>
    <row r="1127" spans="1:116">
      <c r="A1127" s="32" t="str">
        <f t="shared" si="95"/>
        <v>Essential--POLE MOUNTED ; &gt; 22 KV ;  &gt;  600 KVA</v>
      </c>
      <c r="B1127" s="32" t="str">
        <f t="shared" si="96"/>
        <v>Essential</v>
      </c>
      <c r="C1127" s="384"/>
      <c r="E1127" t="s">
        <v>1483</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c r="AJ1127">
        <v>0</v>
      </c>
      <c r="AK1127">
        <v>0</v>
      </c>
      <c r="AL1127">
        <v>0</v>
      </c>
      <c r="AM1127">
        <v>0</v>
      </c>
      <c r="AN1127">
        <v>0</v>
      </c>
      <c r="AO1127">
        <v>0</v>
      </c>
      <c r="AP1127">
        <v>0</v>
      </c>
      <c r="AQ1127">
        <v>0</v>
      </c>
      <c r="AR1127">
        <v>0</v>
      </c>
      <c r="AS1127">
        <v>0</v>
      </c>
      <c r="AT1127">
        <v>0</v>
      </c>
      <c r="AU1127">
        <v>0</v>
      </c>
      <c r="AV1127">
        <v>0</v>
      </c>
      <c r="AW1127">
        <v>0</v>
      </c>
      <c r="AX1127">
        <v>0</v>
      </c>
      <c r="AY1127">
        <v>0</v>
      </c>
      <c r="AZ1127">
        <v>0</v>
      </c>
      <c r="BA1127">
        <v>0</v>
      </c>
      <c r="BB1127">
        <v>0</v>
      </c>
      <c r="BC1127">
        <v>0</v>
      </c>
      <c r="BD1127">
        <v>0</v>
      </c>
      <c r="BE1127">
        <v>0</v>
      </c>
      <c r="BF1127">
        <v>0</v>
      </c>
      <c r="BG1127">
        <v>0</v>
      </c>
      <c r="BH1127">
        <v>0</v>
      </c>
      <c r="BI1127">
        <v>0</v>
      </c>
      <c r="BJ1127">
        <v>0</v>
      </c>
      <c r="BK1127">
        <v>0</v>
      </c>
      <c r="BL1127">
        <v>0</v>
      </c>
      <c r="BM1127">
        <v>0</v>
      </c>
      <c r="BN1127">
        <v>0</v>
      </c>
      <c r="BO1127">
        <v>0</v>
      </c>
      <c r="BP1127">
        <v>0</v>
      </c>
      <c r="BQ1127">
        <v>0</v>
      </c>
      <c r="BR1127">
        <v>0</v>
      </c>
      <c r="BS1127">
        <v>0</v>
      </c>
      <c r="BT1127">
        <v>0</v>
      </c>
      <c r="BU1127">
        <v>0</v>
      </c>
      <c r="BV1127">
        <v>0</v>
      </c>
      <c r="BW1127">
        <v>0</v>
      </c>
      <c r="BX1127">
        <v>0</v>
      </c>
      <c r="BY1127">
        <v>0</v>
      </c>
      <c r="BZ1127">
        <v>0</v>
      </c>
      <c r="CA1127">
        <v>0</v>
      </c>
      <c r="CB1127">
        <v>0</v>
      </c>
      <c r="CC1127">
        <v>0</v>
      </c>
      <c r="CD1127">
        <v>0</v>
      </c>
      <c r="CE1127">
        <v>0</v>
      </c>
      <c r="CF1127">
        <v>0</v>
      </c>
      <c r="CG1127">
        <v>0</v>
      </c>
      <c r="CH1127">
        <v>0</v>
      </c>
      <c r="CI1127">
        <v>0</v>
      </c>
      <c r="CJ1127">
        <v>0</v>
      </c>
      <c r="CK1127">
        <v>0</v>
      </c>
      <c r="CL1127">
        <v>0</v>
      </c>
      <c r="CM1127">
        <v>0</v>
      </c>
      <c r="CN1127">
        <v>0</v>
      </c>
      <c r="CO1127">
        <v>0</v>
      </c>
      <c r="CP1127">
        <v>0</v>
      </c>
      <c r="CQ1127">
        <v>0</v>
      </c>
      <c r="CR1127">
        <v>0</v>
      </c>
      <c r="CS1127">
        <v>0</v>
      </c>
      <c r="CT1127">
        <v>0</v>
      </c>
      <c r="CU1127">
        <v>0</v>
      </c>
      <c r="CV1127">
        <v>0</v>
      </c>
      <c r="CW1127">
        <v>0</v>
      </c>
      <c r="CX1127">
        <v>0</v>
      </c>
      <c r="CY1127">
        <v>0</v>
      </c>
      <c r="CZ1127">
        <v>0</v>
      </c>
      <c r="DA1127">
        <v>0</v>
      </c>
      <c r="DB1127">
        <v>0</v>
      </c>
      <c r="DC1127">
        <v>0</v>
      </c>
      <c r="DD1127">
        <v>0</v>
      </c>
      <c r="DE1127">
        <v>0</v>
      </c>
      <c r="DF1127">
        <v>0</v>
      </c>
      <c r="DG1127" s="16">
        <f t="shared" si="97"/>
        <v>0</v>
      </c>
      <c r="DH1127" s="16">
        <f t="shared" si="98"/>
        <v>0</v>
      </c>
      <c r="DI1127" s="17" t="str">
        <f t="shared" si="99"/>
        <v/>
      </c>
      <c r="DJ1127" s="119" t="s">
        <v>4</v>
      </c>
      <c r="DK1127" s="119" t="s">
        <v>4</v>
      </c>
      <c r="DL1127" s="119"/>
    </row>
    <row r="1128" spans="1:116">
      <c r="A1128" s="32" t="str">
        <f t="shared" si="95"/>
        <v>Essential--KIOSK MOUNTED ; &lt; = 22KV ;  &lt; = 60 KVA ; SINGLE PHASE</v>
      </c>
      <c r="B1128" s="32" t="str">
        <f t="shared" si="96"/>
        <v>Essential</v>
      </c>
      <c r="C1128" s="384"/>
      <c r="E1128" t="s">
        <v>1484</v>
      </c>
      <c r="F1128">
        <v>45.8</v>
      </c>
      <c r="G1128">
        <v>6.7675697262754522</v>
      </c>
      <c r="H1128">
        <v>1</v>
      </c>
      <c r="I1128">
        <v>1</v>
      </c>
      <c r="J1128">
        <v>0</v>
      </c>
      <c r="K1128">
        <v>1</v>
      </c>
      <c r="L1128">
        <v>1</v>
      </c>
      <c r="M1128">
        <v>4</v>
      </c>
      <c r="N1128">
        <v>23</v>
      </c>
      <c r="O1128">
        <v>11</v>
      </c>
      <c r="P1128">
        <v>15</v>
      </c>
      <c r="Q1128">
        <v>5</v>
      </c>
      <c r="R1128">
        <v>0</v>
      </c>
      <c r="S1128">
        <v>0</v>
      </c>
      <c r="T1128">
        <v>1</v>
      </c>
      <c r="U1128">
        <v>1</v>
      </c>
      <c r="V1128">
        <v>0</v>
      </c>
      <c r="W1128">
        <v>0</v>
      </c>
      <c r="X1128">
        <v>0</v>
      </c>
      <c r="Y1128">
        <v>0</v>
      </c>
      <c r="Z1128">
        <v>0</v>
      </c>
      <c r="AA1128">
        <v>1</v>
      </c>
      <c r="AB1128">
        <v>0</v>
      </c>
      <c r="AC1128">
        <v>0</v>
      </c>
      <c r="AD1128">
        <v>0</v>
      </c>
      <c r="AE1128">
        <v>0</v>
      </c>
      <c r="AF1128">
        <v>0</v>
      </c>
      <c r="AG1128">
        <v>0</v>
      </c>
      <c r="AH1128">
        <v>0</v>
      </c>
      <c r="AI1128">
        <v>0</v>
      </c>
      <c r="AJ1128">
        <v>0</v>
      </c>
      <c r="AK1128">
        <v>0</v>
      </c>
      <c r="AL1128">
        <v>0</v>
      </c>
      <c r="AM1128">
        <v>0</v>
      </c>
      <c r="AN1128">
        <v>0</v>
      </c>
      <c r="AO1128">
        <v>0</v>
      </c>
      <c r="AP1128">
        <v>0</v>
      </c>
      <c r="AQ1128">
        <v>0</v>
      </c>
      <c r="AR1128">
        <v>0</v>
      </c>
      <c r="AS1128">
        <v>0</v>
      </c>
      <c r="AT1128">
        <v>0</v>
      </c>
      <c r="AU1128">
        <v>0</v>
      </c>
      <c r="AV1128">
        <v>0</v>
      </c>
      <c r="AW1128">
        <v>0</v>
      </c>
      <c r="AX1128">
        <v>0</v>
      </c>
      <c r="AY1128">
        <v>0</v>
      </c>
      <c r="AZ1128">
        <v>0</v>
      </c>
      <c r="BA1128">
        <v>0</v>
      </c>
      <c r="BB1128">
        <v>0</v>
      </c>
      <c r="BC1128">
        <v>0</v>
      </c>
      <c r="BD1128">
        <v>0</v>
      </c>
      <c r="BE1128">
        <v>0</v>
      </c>
      <c r="BF1128">
        <v>0</v>
      </c>
      <c r="BG1128">
        <v>0</v>
      </c>
      <c r="BH1128">
        <v>0</v>
      </c>
      <c r="BI1128">
        <v>0</v>
      </c>
      <c r="BJ1128">
        <v>0</v>
      </c>
      <c r="BK1128">
        <v>0</v>
      </c>
      <c r="BL1128">
        <v>0</v>
      </c>
      <c r="BM1128">
        <v>0</v>
      </c>
      <c r="BN1128">
        <v>0</v>
      </c>
      <c r="BO1128">
        <v>0</v>
      </c>
      <c r="BP1128">
        <v>0</v>
      </c>
      <c r="BQ1128">
        <v>0</v>
      </c>
      <c r="BR1128">
        <v>0</v>
      </c>
      <c r="BS1128">
        <v>0</v>
      </c>
      <c r="BT1128">
        <v>0</v>
      </c>
      <c r="BU1128">
        <v>0</v>
      </c>
      <c r="BV1128">
        <v>0</v>
      </c>
      <c r="BW1128">
        <v>0</v>
      </c>
      <c r="BX1128">
        <v>0</v>
      </c>
      <c r="BY1128">
        <v>0</v>
      </c>
      <c r="BZ1128">
        <v>0</v>
      </c>
      <c r="CA1128">
        <v>0</v>
      </c>
      <c r="CB1128">
        <v>0</v>
      </c>
      <c r="CC1128">
        <v>0</v>
      </c>
      <c r="CD1128">
        <v>0</v>
      </c>
      <c r="CE1128">
        <v>0</v>
      </c>
      <c r="CF1128">
        <v>0</v>
      </c>
      <c r="CG1128">
        <v>0</v>
      </c>
      <c r="CH1128">
        <v>0</v>
      </c>
      <c r="CI1128">
        <v>0</v>
      </c>
      <c r="CJ1128">
        <v>0</v>
      </c>
      <c r="CK1128">
        <v>0</v>
      </c>
      <c r="CL1128">
        <v>0</v>
      </c>
      <c r="CM1128">
        <v>0</v>
      </c>
      <c r="CN1128">
        <v>0</v>
      </c>
      <c r="CO1128">
        <v>0</v>
      </c>
      <c r="CP1128">
        <v>0</v>
      </c>
      <c r="CQ1128">
        <v>0</v>
      </c>
      <c r="CR1128">
        <v>0</v>
      </c>
      <c r="CS1128">
        <v>0</v>
      </c>
      <c r="CT1128">
        <v>0</v>
      </c>
      <c r="CU1128">
        <v>0</v>
      </c>
      <c r="CV1128">
        <v>0</v>
      </c>
      <c r="CW1128">
        <v>0</v>
      </c>
      <c r="CX1128">
        <v>0</v>
      </c>
      <c r="CY1128">
        <v>0</v>
      </c>
      <c r="CZ1128">
        <v>0</v>
      </c>
      <c r="DA1128">
        <v>0</v>
      </c>
      <c r="DB1128">
        <v>0</v>
      </c>
      <c r="DC1128">
        <v>0</v>
      </c>
      <c r="DD1128">
        <v>0</v>
      </c>
      <c r="DE1128">
        <v>0</v>
      </c>
      <c r="DF1128">
        <v>0</v>
      </c>
      <c r="DG1128" s="16">
        <f t="shared" si="97"/>
        <v>65</v>
      </c>
      <c r="DH1128" s="16">
        <f t="shared" si="98"/>
        <v>517</v>
      </c>
      <c r="DI1128" s="17">
        <f t="shared" si="99"/>
        <v>7.953846153846154</v>
      </c>
      <c r="DJ1128" s="119" t="s">
        <v>4</v>
      </c>
      <c r="DK1128" s="119" t="s">
        <v>4</v>
      </c>
      <c r="DL1128" s="119"/>
    </row>
    <row r="1129" spans="1:116">
      <c r="A1129" s="32" t="str">
        <f t="shared" si="95"/>
        <v>Essential--KIOSK MOUNTED ; &lt; = 22KV ;  &gt; 60 KVA AND &lt; = 600 KVA ; SINGLE PHASE</v>
      </c>
      <c r="B1129" s="32" t="str">
        <f t="shared" si="96"/>
        <v>Essential</v>
      </c>
      <c r="C1129" s="384"/>
      <c r="E1129" t="s">
        <v>1485</v>
      </c>
      <c r="F1129">
        <v>45.8</v>
      </c>
      <c r="G1129">
        <v>6.7675697262754522</v>
      </c>
      <c r="H1129">
        <v>0</v>
      </c>
      <c r="I1129">
        <v>0</v>
      </c>
      <c r="J1129">
        <v>0</v>
      </c>
      <c r="K1129">
        <v>0</v>
      </c>
      <c r="L1129">
        <v>0</v>
      </c>
      <c r="M1129">
        <v>1</v>
      </c>
      <c r="N1129">
        <v>1</v>
      </c>
      <c r="O1129">
        <v>2</v>
      </c>
      <c r="P1129">
        <v>2</v>
      </c>
      <c r="Q1129">
        <v>1</v>
      </c>
      <c r="R1129">
        <v>1</v>
      </c>
      <c r="S1129">
        <v>0</v>
      </c>
      <c r="T1129">
        <v>0</v>
      </c>
      <c r="U1129">
        <v>0</v>
      </c>
      <c r="V1129">
        <v>0</v>
      </c>
      <c r="W1129">
        <v>0</v>
      </c>
      <c r="X1129">
        <v>0</v>
      </c>
      <c r="Y1129">
        <v>0</v>
      </c>
      <c r="Z1129">
        <v>0</v>
      </c>
      <c r="AA1129">
        <v>0</v>
      </c>
      <c r="AB1129">
        <v>0</v>
      </c>
      <c r="AC1129">
        <v>0</v>
      </c>
      <c r="AD1129">
        <v>0</v>
      </c>
      <c r="AE1129">
        <v>0</v>
      </c>
      <c r="AF1129">
        <v>0</v>
      </c>
      <c r="AG1129">
        <v>0</v>
      </c>
      <c r="AH1129">
        <v>0</v>
      </c>
      <c r="AI1129">
        <v>0</v>
      </c>
      <c r="AJ1129">
        <v>0</v>
      </c>
      <c r="AK1129">
        <v>0</v>
      </c>
      <c r="AL1129">
        <v>0</v>
      </c>
      <c r="AM1129">
        <v>1</v>
      </c>
      <c r="AN1129">
        <v>0</v>
      </c>
      <c r="AO1129">
        <v>0</v>
      </c>
      <c r="AP1129">
        <v>0</v>
      </c>
      <c r="AQ1129">
        <v>0</v>
      </c>
      <c r="AR1129">
        <v>0</v>
      </c>
      <c r="AS1129">
        <v>0</v>
      </c>
      <c r="AT1129">
        <v>0</v>
      </c>
      <c r="AU1129">
        <v>0</v>
      </c>
      <c r="AV1129">
        <v>1</v>
      </c>
      <c r="AW1129">
        <v>0</v>
      </c>
      <c r="AX1129">
        <v>0</v>
      </c>
      <c r="AY1129">
        <v>0</v>
      </c>
      <c r="AZ1129">
        <v>0</v>
      </c>
      <c r="BA1129">
        <v>0</v>
      </c>
      <c r="BB1129">
        <v>0</v>
      </c>
      <c r="BC1129">
        <v>0</v>
      </c>
      <c r="BD1129">
        <v>0</v>
      </c>
      <c r="BE1129">
        <v>0</v>
      </c>
      <c r="BF1129">
        <v>0</v>
      </c>
      <c r="BG1129">
        <v>0</v>
      </c>
      <c r="BH1129">
        <v>0</v>
      </c>
      <c r="BI1129">
        <v>1</v>
      </c>
      <c r="BJ1129">
        <v>0</v>
      </c>
      <c r="BK1129">
        <v>0</v>
      </c>
      <c r="BL1129">
        <v>0</v>
      </c>
      <c r="BM1129">
        <v>0</v>
      </c>
      <c r="BN1129">
        <v>0</v>
      </c>
      <c r="BO1129">
        <v>0</v>
      </c>
      <c r="BP1129">
        <v>0</v>
      </c>
      <c r="BQ1129">
        <v>0</v>
      </c>
      <c r="BR1129">
        <v>0</v>
      </c>
      <c r="BS1129">
        <v>0</v>
      </c>
      <c r="BT1129">
        <v>0</v>
      </c>
      <c r="BU1129">
        <v>0</v>
      </c>
      <c r="BV1129">
        <v>0</v>
      </c>
      <c r="BW1129">
        <v>0</v>
      </c>
      <c r="BX1129">
        <v>0</v>
      </c>
      <c r="BY1129">
        <v>0</v>
      </c>
      <c r="BZ1129">
        <v>0</v>
      </c>
      <c r="CA1129">
        <v>0</v>
      </c>
      <c r="CB1129">
        <v>0</v>
      </c>
      <c r="CC1129">
        <v>0</v>
      </c>
      <c r="CD1129">
        <v>0</v>
      </c>
      <c r="CE1129">
        <v>0</v>
      </c>
      <c r="CF1129">
        <v>0</v>
      </c>
      <c r="CG1129">
        <v>0</v>
      </c>
      <c r="CH1129">
        <v>0</v>
      </c>
      <c r="CI1129">
        <v>0</v>
      </c>
      <c r="CJ1129">
        <v>0</v>
      </c>
      <c r="CK1129">
        <v>0</v>
      </c>
      <c r="CL1129">
        <v>0</v>
      </c>
      <c r="CM1129">
        <v>0</v>
      </c>
      <c r="CN1129">
        <v>0</v>
      </c>
      <c r="CO1129">
        <v>0</v>
      </c>
      <c r="CP1129">
        <v>0</v>
      </c>
      <c r="CQ1129">
        <v>0</v>
      </c>
      <c r="CR1129">
        <v>0</v>
      </c>
      <c r="CS1129">
        <v>0</v>
      </c>
      <c r="CT1129">
        <v>0</v>
      </c>
      <c r="CU1129">
        <v>0</v>
      </c>
      <c r="CV1129">
        <v>0</v>
      </c>
      <c r="CW1129">
        <v>0</v>
      </c>
      <c r="CX1129">
        <v>0</v>
      </c>
      <c r="CY1129">
        <v>0</v>
      </c>
      <c r="CZ1129">
        <v>0</v>
      </c>
      <c r="DA1129">
        <v>0</v>
      </c>
      <c r="DB1129">
        <v>0</v>
      </c>
      <c r="DC1129">
        <v>0</v>
      </c>
      <c r="DD1129">
        <v>0</v>
      </c>
      <c r="DE1129">
        <v>0</v>
      </c>
      <c r="DF1129">
        <v>0</v>
      </c>
      <c r="DG1129" s="16">
        <f t="shared" si="97"/>
        <v>11</v>
      </c>
      <c r="DH1129" s="16">
        <f t="shared" si="98"/>
        <v>195</v>
      </c>
      <c r="DI1129" s="17">
        <f t="shared" si="99"/>
        <v>17.727272727272727</v>
      </c>
      <c r="DJ1129" s="119" t="s">
        <v>4</v>
      </c>
      <c r="DK1129" s="119" t="s">
        <v>4</v>
      </c>
      <c r="DL1129" s="119"/>
    </row>
    <row r="1130" spans="1:116">
      <c r="A1130" s="32" t="str">
        <f t="shared" si="95"/>
        <v>Essential--KIOSK MOUNTED ; &lt; = 22KV ;  &gt; 600 KVA ; SINGLE PHASE</v>
      </c>
      <c r="B1130" s="32" t="str">
        <f t="shared" si="96"/>
        <v>Essential</v>
      </c>
      <c r="C1130" s="384"/>
      <c r="E1130" t="s">
        <v>1486</v>
      </c>
      <c r="F1130">
        <v>45.8</v>
      </c>
      <c r="G1130">
        <v>6.7675697262754522</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2</v>
      </c>
      <c r="AF1130">
        <v>0</v>
      </c>
      <c r="AG1130">
        <v>0</v>
      </c>
      <c r="AH1130">
        <v>0</v>
      </c>
      <c r="AI1130">
        <v>0</v>
      </c>
      <c r="AJ1130">
        <v>0</v>
      </c>
      <c r="AK1130">
        <v>0</v>
      </c>
      <c r="AL1130">
        <v>0</v>
      </c>
      <c r="AM1130">
        <v>0</v>
      </c>
      <c r="AN1130">
        <v>0</v>
      </c>
      <c r="AO1130">
        <v>0</v>
      </c>
      <c r="AP1130">
        <v>0</v>
      </c>
      <c r="AQ1130">
        <v>0</v>
      </c>
      <c r="AR1130">
        <v>0</v>
      </c>
      <c r="AS1130">
        <v>0</v>
      </c>
      <c r="AT1130">
        <v>0</v>
      </c>
      <c r="AU1130">
        <v>0</v>
      </c>
      <c r="AV1130">
        <v>0</v>
      </c>
      <c r="AW1130">
        <v>0</v>
      </c>
      <c r="AX1130">
        <v>0</v>
      </c>
      <c r="AY1130">
        <v>0</v>
      </c>
      <c r="AZ1130">
        <v>0</v>
      </c>
      <c r="BA1130">
        <v>0</v>
      </c>
      <c r="BB1130">
        <v>0</v>
      </c>
      <c r="BC1130">
        <v>0</v>
      </c>
      <c r="BD1130">
        <v>0</v>
      </c>
      <c r="BE1130">
        <v>0</v>
      </c>
      <c r="BF1130">
        <v>0</v>
      </c>
      <c r="BG1130">
        <v>0</v>
      </c>
      <c r="BH1130">
        <v>0</v>
      </c>
      <c r="BI1130">
        <v>0</v>
      </c>
      <c r="BJ1130">
        <v>0</v>
      </c>
      <c r="BK1130">
        <v>0</v>
      </c>
      <c r="BL1130">
        <v>0</v>
      </c>
      <c r="BM1130">
        <v>0</v>
      </c>
      <c r="BN1130">
        <v>0</v>
      </c>
      <c r="BO1130">
        <v>0</v>
      </c>
      <c r="BP1130">
        <v>0</v>
      </c>
      <c r="BQ1130">
        <v>0</v>
      </c>
      <c r="BR1130">
        <v>0</v>
      </c>
      <c r="BS1130">
        <v>0</v>
      </c>
      <c r="BT1130">
        <v>0</v>
      </c>
      <c r="BU1130">
        <v>0</v>
      </c>
      <c r="BV1130">
        <v>0</v>
      </c>
      <c r="BW1130">
        <v>0</v>
      </c>
      <c r="BX1130">
        <v>0</v>
      </c>
      <c r="BY1130">
        <v>0</v>
      </c>
      <c r="BZ1130">
        <v>0</v>
      </c>
      <c r="CA1130">
        <v>0</v>
      </c>
      <c r="CB1130">
        <v>0</v>
      </c>
      <c r="CC1130">
        <v>0</v>
      </c>
      <c r="CD1130">
        <v>0</v>
      </c>
      <c r="CE1130">
        <v>0</v>
      </c>
      <c r="CF1130">
        <v>0</v>
      </c>
      <c r="CG1130">
        <v>0</v>
      </c>
      <c r="CH1130">
        <v>0</v>
      </c>
      <c r="CI1130">
        <v>0</v>
      </c>
      <c r="CJ1130">
        <v>0</v>
      </c>
      <c r="CK1130">
        <v>0</v>
      </c>
      <c r="CL1130">
        <v>0</v>
      </c>
      <c r="CM1130">
        <v>0</v>
      </c>
      <c r="CN1130">
        <v>0</v>
      </c>
      <c r="CO1130">
        <v>0</v>
      </c>
      <c r="CP1130">
        <v>0</v>
      </c>
      <c r="CQ1130">
        <v>0</v>
      </c>
      <c r="CR1130">
        <v>0</v>
      </c>
      <c r="CS1130">
        <v>0</v>
      </c>
      <c r="CT1130">
        <v>0</v>
      </c>
      <c r="CU1130">
        <v>0</v>
      </c>
      <c r="CV1130">
        <v>0</v>
      </c>
      <c r="CW1130">
        <v>0</v>
      </c>
      <c r="CX1130">
        <v>0</v>
      </c>
      <c r="CY1130">
        <v>0</v>
      </c>
      <c r="CZ1130">
        <v>0</v>
      </c>
      <c r="DA1130">
        <v>0</v>
      </c>
      <c r="DB1130">
        <v>0</v>
      </c>
      <c r="DC1130">
        <v>0</v>
      </c>
      <c r="DD1130">
        <v>0</v>
      </c>
      <c r="DE1130">
        <v>0</v>
      </c>
      <c r="DF1130">
        <v>0</v>
      </c>
      <c r="DG1130" s="16">
        <f t="shared" si="97"/>
        <v>2</v>
      </c>
      <c r="DH1130" s="16">
        <f t="shared" si="98"/>
        <v>48</v>
      </c>
      <c r="DI1130" s="17">
        <f t="shared" si="99"/>
        <v>24</v>
      </c>
      <c r="DJ1130" s="119" t="s">
        <v>4</v>
      </c>
      <c r="DK1130" s="119" t="s">
        <v>4</v>
      </c>
      <c r="DL1130" s="119"/>
    </row>
    <row r="1131" spans="1:116">
      <c r="A1131" s="32" t="str">
        <f t="shared" si="95"/>
        <v>Essential--KIOSK MOUNTED ; &lt; = 22KV ;  &lt; = 60 KVA  ; MULTIPLE PHASE</v>
      </c>
      <c r="B1131" s="32" t="str">
        <f t="shared" si="96"/>
        <v>Essential</v>
      </c>
      <c r="C1131" s="384"/>
      <c r="E1131" t="s">
        <v>1487</v>
      </c>
      <c r="F1131">
        <v>45.8</v>
      </c>
      <c r="G1131">
        <v>6.7675697262754522</v>
      </c>
      <c r="H1131">
        <v>0</v>
      </c>
      <c r="I1131">
        <v>1</v>
      </c>
      <c r="J1131">
        <v>1</v>
      </c>
      <c r="K1131">
        <v>1</v>
      </c>
      <c r="L1131">
        <v>0</v>
      </c>
      <c r="M1131">
        <v>0</v>
      </c>
      <c r="N1131">
        <v>1</v>
      </c>
      <c r="O1131">
        <v>1</v>
      </c>
      <c r="P1131">
        <v>0</v>
      </c>
      <c r="Q1131">
        <v>5</v>
      </c>
      <c r="R1131">
        <v>1</v>
      </c>
      <c r="S1131">
        <v>2</v>
      </c>
      <c r="T1131">
        <v>1</v>
      </c>
      <c r="U1131">
        <v>7</v>
      </c>
      <c r="V1131">
        <v>5</v>
      </c>
      <c r="W1131">
        <v>3</v>
      </c>
      <c r="X1131">
        <v>1</v>
      </c>
      <c r="Y1131">
        <v>4</v>
      </c>
      <c r="Z1131">
        <v>16</v>
      </c>
      <c r="AA1131">
        <v>1</v>
      </c>
      <c r="AB1131">
        <v>18</v>
      </c>
      <c r="AC1131">
        <v>3</v>
      </c>
      <c r="AD1131">
        <v>1</v>
      </c>
      <c r="AE1131">
        <v>12</v>
      </c>
      <c r="AF1131">
        <v>4</v>
      </c>
      <c r="AG1131">
        <v>4</v>
      </c>
      <c r="AH1131">
        <v>2</v>
      </c>
      <c r="AI1131">
        <v>6</v>
      </c>
      <c r="AJ1131">
        <v>5</v>
      </c>
      <c r="AK1131">
        <v>12</v>
      </c>
      <c r="AL1131">
        <v>20</v>
      </c>
      <c r="AM1131">
        <v>0</v>
      </c>
      <c r="AN1131">
        <v>8</v>
      </c>
      <c r="AO1131">
        <v>0</v>
      </c>
      <c r="AP1131">
        <v>1</v>
      </c>
      <c r="AQ1131">
        <v>0</v>
      </c>
      <c r="AR1131">
        <v>0</v>
      </c>
      <c r="AS1131">
        <v>0</v>
      </c>
      <c r="AT1131">
        <v>0</v>
      </c>
      <c r="AU1131">
        <v>0</v>
      </c>
      <c r="AV1131">
        <v>0</v>
      </c>
      <c r="AW1131">
        <v>0</v>
      </c>
      <c r="AX1131">
        <v>0</v>
      </c>
      <c r="AY1131">
        <v>0</v>
      </c>
      <c r="AZ1131">
        <v>0</v>
      </c>
      <c r="BA1131">
        <v>1</v>
      </c>
      <c r="BB1131">
        <v>0</v>
      </c>
      <c r="BC1131">
        <v>0</v>
      </c>
      <c r="BD1131">
        <v>0</v>
      </c>
      <c r="BE1131">
        <v>0</v>
      </c>
      <c r="BF1131">
        <v>0</v>
      </c>
      <c r="BG1131">
        <v>0</v>
      </c>
      <c r="BH1131">
        <v>1</v>
      </c>
      <c r="BI1131">
        <v>0</v>
      </c>
      <c r="BJ1131">
        <v>0</v>
      </c>
      <c r="BK1131">
        <v>0</v>
      </c>
      <c r="BL1131">
        <v>0</v>
      </c>
      <c r="BM1131">
        <v>0</v>
      </c>
      <c r="BN1131">
        <v>0</v>
      </c>
      <c r="BO1131">
        <v>1</v>
      </c>
      <c r="BP1131">
        <v>0</v>
      </c>
      <c r="BQ1131">
        <v>0</v>
      </c>
      <c r="BR1131">
        <v>1</v>
      </c>
      <c r="BS1131">
        <v>0</v>
      </c>
      <c r="BT1131">
        <v>0</v>
      </c>
      <c r="BU1131">
        <v>0</v>
      </c>
      <c r="BV1131">
        <v>0</v>
      </c>
      <c r="BW1131">
        <v>0</v>
      </c>
      <c r="BX1131">
        <v>0</v>
      </c>
      <c r="BY1131">
        <v>0</v>
      </c>
      <c r="BZ1131">
        <v>0</v>
      </c>
      <c r="CA1131">
        <v>0</v>
      </c>
      <c r="CB1131">
        <v>0</v>
      </c>
      <c r="CC1131">
        <v>0</v>
      </c>
      <c r="CD1131">
        <v>0</v>
      </c>
      <c r="CE1131">
        <v>0</v>
      </c>
      <c r="CF1131">
        <v>0</v>
      </c>
      <c r="CG1131">
        <v>0</v>
      </c>
      <c r="CH1131">
        <v>0</v>
      </c>
      <c r="CI1131">
        <v>0</v>
      </c>
      <c r="CJ1131">
        <v>0</v>
      </c>
      <c r="CK1131">
        <v>0</v>
      </c>
      <c r="CL1131">
        <v>0</v>
      </c>
      <c r="CM1131">
        <v>0</v>
      </c>
      <c r="CN1131">
        <v>0</v>
      </c>
      <c r="CO1131">
        <v>0</v>
      </c>
      <c r="CP1131">
        <v>0</v>
      </c>
      <c r="CQ1131">
        <v>0</v>
      </c>
      <c r="CR1131">
        <v>0</v>
      </c>
      <c r="CS1131">
        <v>0</v>
      </c>
      <c r="CT1131">
        <v>0</v>
      </c>
      <c r="CU1131">
        <v>0</v>
      </c>
      <c r="CV1131">
        <v>0</v>
      </c>
      <c r="CW1131">
        <v>0</v>
      </c>
      <c r="CX1131">
        <v>0</v>
      </c>
      <c r="CY1131">
        <v>0</v>
      </c>
      <c r="CZ1131">
        <v>0</v>
      </c>
      <c r="DA1131">
        <v>0</v>
      </c>
      <c r="DB1131">
        <v>0</v>
      </c>
      <c r="DC1131">
        <v>0</v>
      </c>
      <c r="DD1131">
        <v>0</v>
      </c>
      <c r="DE1131">
        <v>0</v>
      </c>
      <c r="DF1131">
        <v>0</v>
      </c>
      <c r="DG1131" s="16">
        <f t="shared" si="97"/>
        <v>151</v>
      </c>
      <c r="DH1131" s="16">
        <f t="shared" si="98"/>
        <v>3583</v>
      </c>
      <c r="DI1131" s="17">
        <f t="shared" si="99"/>
        <v>23.728476821192054</v>
      </c>
      <c r="DJ1131" s="119" t="s">
        <v>4</v>
      </c>
      <c r="DK1131" s="119" t="s">
        <v>4</v>
      </c>
      <c r="DL1131" s="119"/>
    </row>
    <row r="1132" spans="1:116">
      <c r="A1132" s="32" t="str">
        <f t="shared" si="95"/>
        <v>Essential--KIOSK MOUNTED ; &lt; = 22KV ;  &gt; 60 KVA AND &lt; = 600 KVA  ; MULTIPLE PHASE</v>
      </c>
      <c r="B1132" s="32" t="str">
        <f t="shared" si="96"/>
        <v>Essential</v>
      </c>
      <c r="C1132" s="384"/>
      <c r="E1132" t="s">
        <v>1488</v>
      </c>
      <c r="F1132">
        <v>45.8</v>
      </c>
      <c r="G1132">
        <v>6.7675697262754522</v>
      </c>
      <c r="H1132">
        <v>100</v>
      </c>
      <c r="I1132">
        <v>118</v>
      </c>
      <c r="J1132">
        <v>157</v>
      </c>
      <c r="K1132">
        <v>119</v>
      </c>
      <c r="L1132">
        <v>150</v>
      </c>
      <c r="M1132">
        <v>194</v>
      </c>
      <c r="N1132">
        <v>184</v>
      </c>
      <c r="O1132">
        <v>172</v>
      </c>
      <c r="P1132">
        <v>223</v>
      </c>
      <c r="Q1132">
        <v>232</v>
      </c>
      <c r="R1132">
        <v>138</v>
      </c>
      <c r="S1132">
        <v>121</v>
      </c>
      <c r="T1132">
        <v>98</v>
      </c>
      <c r="U1132">
        <v>118</v>
      </c>
      <c r="V1132">
        <v>83</v>
      </c>
      <c r="W1132">
        <v>58</v>
      </c>
      <c r="X1132">
        <v>42</v>
      </c>
      <c r="Y1132">
        <v>40</v>
      </c>
      <c r="Z1132">
        <v>132</v>
      </c>
      <c r="AA1132">
        <v>122</v>
      </c>
      <c r="AB1132">
        <v>93</v>
      </c>
      <c r="AC1132">
        <v>109</v>
      </c>
      <c r="AD1132">
        <v>129</v>
      </c>
      <c r="AE1132">
        <v>98</v>
      </c>
      <c r="AF1132">
        <v>91</v>
      </c>
      <c r="AG1132">
        <v>43</v>
      </c>
      <c r="AH1132">
        <v>37</v>
      </c>
      <c r="AI1132">
        <v>94</v>
      </c>
      <c r="AJ1132">
        <v>51</v>
      </c>
      <c r="AK1132">
        <v>46</v>
      </c>
      <c r="AL1132">
        <v>49</v>
      </c>
      <c r="AM1132">
        <v>149</v>
      </c>
      <c r="AN1132">
        <v>81</v>
      </c>
      <c r="AO1132">
        <v>105</v>
      </c>
      <c r="AP1132">
        <v>44</v>
      </c>
      <c r="AQ1132">
        <v>45</v>
      </c>
      <c r="AR1132">
        <v>37</v>
      </c>
      <c r="AS1132">
        <v>39</v>
      </c>
      <c r="AT1132">
        <v>42</v>
      </c>
      <c r="AU1132">
        <v>53</v>
      </c>
      <c r="AV1132">
        <v>20</v>
      </c>
      <c r="AW1132">
        <v>14</v>
      </c>
      <c r="AX1132">
        <v>12</v>
      </c>
      <c r="AY1132">
        <v>38</v>
      </c>
      <c r="AZ1132">
        <v>11</v>
      </c>
      <c r="BA1132">
        <v>5</v>
      </c>
      <c r="BB1132">
        <v>4</v>
      </c>
      <c r="BC1132">
        <v>5</v>
      </c>
      <c r="BD1132">
        <v>3</v>
      </c>
      <c r="BE1132">
        <v>1</v>
      </c>
      <c r="BF1132">
        <v>13</v>
      </c>
      <c r="BG1132">
        <v>2</v>
      </c>
      <c r="BH1132">
        <v>2</v>
      </c>
      <c r="BI1132">
        <v>3</v>
      </c>
      <c r="BJ1132">
        <v>2</v>
      </c>
      <c r="BK1132">
        <v>0</v>
      </c>
      <c r="BL1132">
        <v>0</v>
      </c>
      <c r="BM1132">
        <v>0</v>
      </c>
      <c r="BN1132">
        <v>3</v>
      </c>
      <c r="BO1132">
        <v>0</v>
      </c>
      <c r="BP1132">
        <v>1</v>
      </c>
      <c r="BQ1132">
        <v>2</v>
      </c>
      <c r="BR1132">
        <v>0</v>
      </c>
      <c r="BS1132">
        <v>3</v>
      </c>
      <c r="BT1132">
        <v>0</v>
      </c>
      <c r="BU1132">
        <v>0</v>
      </c>
      <c r="BV1132">
        <v>0</v>
      </c>
      <c r="BW1132">
        <v>0</v>
      </c>
      <c r="BX1132">
        <v>0</v>
      </c>
      <c r="BY1132">
        <v>0</v>
      </c>
      <c r="BZ1132">
        <v>0</v>
      </c>
      <c r="CA1132">
        <v>0</v>
      </c>
      <c r="CB1132">
        <v>0</v>
      </c>
      <c r="CC1132">
        <v>2</v>
      </c>
      <c r="CD1132">
        <v>0</v>
      </c>
      <c r="CE1132">
        <v>0</v>
      </c>
      <c r="CF1132">
        <v>0</v>
      </c>
      <c r="CG1132">
        <v>0</v>
      </c>
      <c r="CH1132">
        <v>0</v>
      </c>
      <c r="CI1132">
        <v>0</v>
      </c>
      <c r="CJ1132">
        <v>0</v>
      </c>
      <c r="CK1132">
        <v>0</v>
      </c>
      <c r="CL1132">
        <v>0</v>
      </c>
      <c r="CM1132">
        <v>1</v>
      </c>
      <c r="CN1132">
        <v>0</v>
      </c>
      <c r="CO1132">
        <v>0</v>
      </c>
      <c r="CP1132">
        <v>0</v>
      </c>
      <c r="CQ1132">
        <v>0</v>
      </c>
      <c r="CR1132">
        <v>0</v>
      </c>
      <c r="CS1132">
        <v>0</v>
      </c>
      <c r="CT1132">
        <v>0</v>
      </c>
      <c r="CU1132">
        <v>0</v>
      </c>
      <c r="CV1132">
        <v>0</v>
      </c>
      <c r="CW1132">
        <v>0</v>
      </c>
      <c r="CX1132">
        <v>0</v>
      </c>
      <c r="CY1132">
        <v>0</v>
      </c>
      <c r="CZ1132">
        <v>0</v>
      </c>
      <c r="DA1132">
        <v>0</v>
      </c>
      <c r="DB1132">
        <v>0</v>
      </c>
      <c r="DC1132">
        <v>0</v>
      </c>
      <c r="DD1132">
        <v>0</v>
      </c>
      <c r="DE1132">
        <v>0</v>
      </c>
      <c r="DF1132">
        <v>0</v>
      </c>
      <c r="DG1132" s="16">
        <f t="shared" si="97"/>
        <v>4183</v>
      </c>
      <c r="DH1132" s="16">
        <f t="shared" si="98"/>
        <v>73368</v>
      </c>
      <c r="DI1132" s="17">
        <f t="shared" si="99"/>
        <v>17.539564905570163</v>
      </c>
      <c r="DJ1132" s="119" t="s">
        <v>4</v>
      </c>
      <c r="DK1132" s="119" t="s">
        <v>4</v>
      </c>
      <c r="DL1132" s="119"/>
    </row>
    <row r="1133" spans="1:116">
      <c r="A1133" s="32" t="str">
        <f t="shared" si="95"/>
        <v>Essential--KIOSK MOUNTED ; &lt; = 22KV ;  &gt; 600 KVA  ; MULTIPLE PHASE</v>
      </c>
      <c r="B1133" s="32" t="str">
        <f t="shared" si="96"/>
        <v>Essential</v>
      </c>
      <c r="C1133" s="384"/>
      <c r="E1133" t="s">
        <v>1489</v>
      </c>
      <c r="F1133">
        <v>45.8</v>
      </c>
      <c r="G1133">
        <v>6.7675697262754522</v>
      </c>
      <c r="H1133">
        <v>57</v>
      </c>
      <c r="I1133">
        <v>49</v>
      </c>
      <c r="J1133">
        <v>84</v>
      </c>
      <c r="K1133">
        <v>65</v>
      </c>
      <c r="L1133">
        <v>62</v>
      </c>
      <c r="M1133">
        <v>87</v>
      </c>
      <c r="N1133">
        <v>102</v>
      </c>
      <c r="O1133">
        <v>78</v>
      </c>
      <c r="P1133">
        <v>75</v>
      </c>
      <c r="Q1133">
        <v>53</v>
      </c>
      <c r="R1133">
        <v>43</v>
      </c>
      <c r="S1133">
        <v>36</v>
      </c>
      <c r="T1133">
        <v>50</v>
      </c>
      <c r="U1133">
        <v>36</v>
      </c>
      <c r="V1133">
        <v>37</v>
      </c>
      <c r="W1133">
        <v>37</v>
      </c>
      <c r="X1133">
        <v>13</v>
      </c>
      <c r="Y1133">
        <v>21</v>
      </c>
      <c r="Z1133">
        <v>25</v>
      </c>
      <c r="AA1133">
        <v>29</v>
      </c>
      <c r="AB1133">
        <v>10</v>
      </c>
      <c r="AC1133">
        <v>16</v>
      </c>
      <c r="AD1133">
        <v>27</v>
      </c>
      <c r="AE1133">
        <v>13</v>
      </c>
      <c r="AF1133">
        <v>11</v>
      </c>
      <c r="AG1133">
        <v>16</v>
      </c>
      <c r="AH1133">
        <v>22</v>
      </c>
      <c r="AI1133">
        <v>5</v>
      </c>
      <c r="AJ1133">
        <v>13</v>
      </c>
      <c r="AK1133">
        <v>7</v>
      </c>
      <c r="AL1133">
        <v>16</v>
      </c>
      <c r="AM1133">
        <v>20</v>
      </c>
      <c r="AN1133">
        <v>9</v>
      </c>
      <c r="AO1133">
        <v>11</v>
      </c>
      <c r="AP1133">
        <v>9</v>
      </c>
      <c r="AQ1133">
        <v>8</v>
      </c>
      <c r="AR1133">
        <v>7</v>
      </c>
      <c r="AS1133">
        <v>1</v>
      </c>
      <c r="AT1133">
        <v>7</v>
      </c>
      <c r="AU1133">
        <v>8</v>
      </c>
      <c r="AV1133">
        <v>2</v>
      </c>
      <c r="AW1133">
        <v>5</v>
      </c>
      <c r="AX1133">
        <v>4</v>
      </c>
      <c r="AY1133">
        <v>4</v>
      </c>
      <c r="AZ1133">
        <v>2</v>
      </c>
      <c r="BA1133">
        <v>3</v>
      </c>
      <c r="BB1133">
        <v>0</v>
      </c>
      <c r="BC1133">
        <v>1</v>
      </c>
      <c r="BD1133">
        <v>0</v>
      </c>
      <c r="BE1133">
        <v>1</v>
      </c>
      <c r="BF1133">
        <v>0</v>
      </c>
      <c r="BG1133">
        <v>2</v>
      </c>
      <c r="BH1133">
        <v>0</v>
      </c>
      <c r="BI1133">
        <v>1</v>
      </c>
      <c r="BJ1133">
        <v>0</v>
      </c>
      <c r="BK1133">
        <v>0</v>
      </c>
      <c r="BL1133">
        <v>0</v>
      </c>
      <c r="BM1133">
        <v>0</v>
      </c>
      <c r="BN1133">
        <v>0</v>
      </c>
      <c r="BO1133">
        <v>0</v>
      </c>
      <c r="BP1133">
        <v>1</v>
      </c>
      <c r="BQ1133">
        <v>0</v>
      </c>
      <c r="BR1133">
        <v>0</v>
      </c>
      <c r="BS1133">
        <v>0</v>
      </c>
      <c r="BT1133">
        <v>0</v>
      </c>
      <c r="BU1133">
        <v>0</v>
      </c>
      <c r="BV1133">
        <v>0</v>
      </c>
      <c r="BW1133">
        <v>0</v>
      </c>
      <c r="BX1133">
        <v>0</v>
      </c>
      <c r="BY1133">
        <v>0</v>
      </c>
      <c r="BZ1133">
        <v>0</v>
      </c>
      <c r="CA1133">
        <v>0</v>
      </c>
      <c r="CB1133">
        <v>0</v>
      </c>
      <c r="CC1133">
        <v>0</v>
      </c>
      <c r="CD1133">
        <v>0</v>
      </c>
      <c r="CE1133">
        <v>0</v>
      </c>
      <c r="CF1133">
        <v>0</v>
      </c>
      <c r="CG1133">
        <v>0</v>
      </c>
      <c r="CH1133">
        <v>0</v>
      </c>
      <c r="CI1133">
        <v>0</v>
      </c>
      <c r="CJ1133">
        <v>0</v>
      </c>
      <c r="CK1133">
        <v>0</v>
      </c>
      <c r="CL1133">
        <v>0</v>
      </c>
      <c r="CM1133">
        <v>0</v>
      </c>
      <c r="CN1133">
        <v>0</v>
      </c>
      <c r="CO1133">
        <v>0</v>
      </c>
      <c r="CP1133">
        <v>0</v>
      </c>
      <c r="CQ1133">
        <v>0</v>
      </c>
      <c r="CR1133">
        <v>0</v>
      </c>
      <c r="CS1133">
        <v>0</v>
      </c>
      <c r="CT1133">
        <v>0</v>
      </c>
      <c r="CU1133">
        <v>0</v>
      </c>
      <c r="CV1133">
        <v>0</v>
      </c>
      <c r="CW1133">
        <v>0</v>
      </c>
      <c r="CX1133">
        <v>0</v>
      </c>
      <c r="CY1133">
        <v>0</v>
      </c>
      <c r="CZ1133">
        <v>0</v>
      </c>
      <c r="DA1133">
        <v>0</v>
      </c>
      <c r="DB1133">
        <v>0</v>
      </c>
      <c r="DC1133">
        <v>0</v>
      </c>
      <c r="DD1133">
        <v>0</v>
      </c>
      <c r="DE1133">
        <v>0</v>
      </c>
      <c r="DF1133">
        <v>0</v>
      </c>
      <c r="DG1133" s="16">
        <f t="shared" si="97"/>
        <v>1301</v>
      </c>
      <c r="DH1133" s="16">
        <f t="shared" si="98"/>
        <v>16894</v>
      </c>
      <c r="DI1133" s="17">
        <f t="shared" si="99"/>
        <v>12.985395849346656</v>
      </c>
      <c r="DJ1133" s="119" t="s">
        <v>4</v>
      </c>
      <c r="DK1133" s="119" t="s">
        <v>4</v>
      </c>
      <c r="DL1133" s="119"/>
    </row>
    <row r="1134" spans="1:116">
      <c r="A1134" s="32" t="str">
        <f t="shared" si="95"/>
        <v xml:space="preserve">Essential--KIOSK MOUNTED ; &gt; 22 KV ;  &lt; = 60 KVA </v>
      </c>
      <c r="B1134" s="32" t="str">
        <f t="shared" si="96"/>
        <v>Essential</v>
      </c>
      <c r="C1134" s="384"/>
      <c r="E1134" t="s">
        <v>1490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0</v>
      </c>
      <c r="AF1134">
        <v>0</v>
      </c>
      <c r="AG1134">
        <v>0</v>
      </c>
      <c r="AH1134">
        <v>0</v>
      </c>
      <c r="AI1134">
        <v>0</v>
      </c>
      <c r="AJ1134">
        <v>0</v>
      </c>
      <c r="AK1134">
        <v>0</v>
      </c>
      <c r="AL1134">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v>0</v>
      </c>
      <c r="BK1134">
        <v>0</v>
      </c>
      <c r="BL1134">
        <v>0</v>
      </c>
      <c r="BM1134">
        <v>0</v>
      </c>
      <c r="BN1134">
        <v>0</v>
      </c>
      <c r="BO1134">
        <v>0</v>
      </c>
      <c r="BP1134">
        <v>0</v>
      </c>
      <c r="BQ1134">
        <v>0</v>
      </c>
      <c r="BR1134">
        <v>0</v>
      </c>
      <c r="BS1134">
        <v>0</v>
      </c>
      <c r="BT1134">
        <v>0</v>
      </c>
      <c r="BU1134">
        <v>0</v>
      </c>
      <c r="BV1134">
        <v>0</v>
      </c>
      <c r="BW1134">
        <v>0</v>
      </c>
      <c r="BX1134">
        <v>0</v>
      </c>
      <c r="BY1134">
        <v>0</v>
      </c>
      <c r="BZ1134">
        <v>0</v>
      </c>
      <c r="CA1134">
        <v>0</v>
      </c>
      <c r="CB1134">
        <v>0</v>
      </c>
      <c r="CC1134">
        <v>0</v>
      </c>
      <c r="CD1134">
        <v>0</v>
      </c>
      <c r="CE1134">
        <v>0</v>
      </c>
      <c r="CF1134">
        <v>0</v>
      </c>
      <c r="CG1134">
        <v>0</v>
      </c>
      <c r="CH1134">
        <v>0</v>
      </c>
      <c r="CI1134">
        <v>0</v>
      </c>
      <c r="CJ1134">
        <v>0</v>
      </c>
      <c r="CK1134">
        <v>0</v>
      </c>
      <c r="CL1134">
        <v>0</v>
      </c>
      <c r="CM1134">
        <v>0</v>
      </c>
      <c r="CN1134">
        <v>0</v>
      </c>
      <c r="CO1134">
        <v>0</v>
      </c>
      <c r="CP1134">
        <v>0</v>
      </c>
      <c r="CQ1134">
        <v>0</v>
      </c>
      <c r="CR1134">
        <v>0</v>
      </c>
      <c r="CS1134">
        <v>0</v>
      </c>
      <c r="CT1134">
        <v>0</v>
      </c>
      <c r="CU1134">
        <v>0</v>
      </c>
      <c r="CV1134">
        <v>0</v>
      </c>
      <c r="CW1134">
        <v>0</v>
      </c>
      <c r="CX1134">
        <v>0</v>
      </c>
      <c r="CY1134">
        <v>0</v>
      </c>
      <c r="CZ1134">
        <v>0</v>
      </c>
      <c r="DA1134">
        <v>0</v>
      </c>
      <c r="DB1134">
        <v>0</v>
      </c>
      <c r="DC1134">
        <v>0</v>
      </c>
      <c r="DD1134">
        <v>0</v>
      </c>
      <c r="DE1134">
        <v>0</v>
      </c>
      <c r="DF1134">
        <v>0</v>
      </c>
      <c r="DG1134" s="16">
        <f t="shared" si="97"/>
        <v>0</v>
      </c>
      <c r="DH1134" s="16">
        <f t="shared" si="98"/>
        <v>0</v>
      </c>
      <c r="DI1134" s="17" t="str">
        <f t="shared" si="99"/>
        <v/>
      </c>
      <c r="DJ1134" s="119" t="s">
        <v>4</v>
      </c>
      <c r="DK1134" s="119" t="s">
        <v>4</v>
      </c>
      <c r="DL1134" s="119"/>
    </row>
    <row r="1135" spans="1:116">
      <c r="A1135" s="32" t="str">
        <f t="shared" si="95"/>
        <v xml:space="preserve">Essential--KIOSK MOUNTED ; &gt; 22 KV ;  &gt; 60 KVA AND &lt; = 600 KVA </v>
      </c>
      <c r="B1135" s="32" t="str">
        <f t="shared" si="96"/>
        <v>Essential</v>
      </c>
      <c r="C1135" s="384"/>
      <c r="E1135" t="s">
        <v>1491</v>
      </c>
      <c r="F1135">
        <v>45.8</v>
      </c>
      <c r="G1135">
        <v>6.7675697262754522</v>
      </c>
      <c r="H1135">
        <v>0</v>
      </c>
      <c r="I1135">
        <v>0</v>
      </c>
      <c r="J1135">
        <v>0</v>
      </c>
      <c r="K1135">
        <v>0</v>
      </c>
      <c r="L1135">
        <v>0</v>
      </c>
      <c r="M1135">
        <v>1</v>
      </c>
      <c r="N1135">
        <v>1</v>
      </c>
      <c r="O1135">
        <v>2</v>
      </c>
      <c r="P1135">
        <v>0</v>
      </c>
      <c r="Q1135">
        <v>0</v>
      </c>
      <c r="R1135">
        <v>1</v>
      </c>
      <c r="S1135">
        <v>1</v>
      </c>
      <c r="T1135">
        <v>0</v>
      </c>
      <c r="U1135">
        <v>1</v>
      </c>
      <c r="V1135">
        <v>1</v>
      </c>
      <c r="W1135">
        <v>0</v>
      </c>
      <c r="X1135">
        <v>1</v>
      </c>
      <c r="Y1135">
        <v>0</v>
      </c>
      <c r="Z1135">
        <v>0</v>
      </c>
      <c r="AA1135">
        <v>0</v>
      </c>
      <c r="AB1135">
        <v>0</v>
      </c>
      <c r="AC1135">
        <v>0</v>
      </c>
      <c r="AD1135">
        <v>0</v>
      </c>
      <c r="AE1135">
        <v>0</v>
      </c>
      <c r="AF1135">
        <v>0</v>
      </c>
      <c r="AG1135">
        <v>0</v>
      </c>
      <c r="AH1135">
        <v>0</v>
      </c>
      <c r="AI1135">
        <v>0</v>
      </c>
      <c r="AJ1135">
        <v>0</v>
      </c>
      <c r="AK1135">
        <v>0</v>
      </c>
      <c r="AL1135">
        <v>0</v>
      </c>
      <c r="AM1135">
        <v>0</v>
      </c>
      <c r="AN1135">
        <v>0</v>
      </c>
      <c r="AO1135">
        <v>0</v>
      </c>
      <c r="AP1135">
        <v>0</v>
      </c>
      <c r="AQ1135">
        <v>0</v>
      </c>
      <c r="AR1135">
        <v>0</v>
      </c>
      <c r="AS1135">
        <v>0</v>
      </c>
      <c r="AT1135">
        <v>0</v>
      </c>
      <c r="AU1135">
        <v>0</v>
      </c>
      <c r="AV1135">
        <v>0</v>
      </c>
      <c r="AW1135">
        <v>0</v>
      </c>
      <c r="AX1135">
        <v>0</v>
      </c>
      <c r="AY1135">
        <v>0</v>
      </c>
      <c r="AZ1135">
        <v>0</v>
      </c>
      <c r="BA1135">
        <v>0</v>
      </c>
      <c r="BB1135">
        <v>0</v>
      </c>
      <c r="BC1135">
        <v>0</v>
      </c>
      <c r="BD1135">
        <v>0</v>
      </c>
      <c r="BE1135">
        <v>0</v>
      </c>
      <c r="BF1135">
        <v>0</v>
      </c>
      <c r="BG1135">
        <v>0</v>
      </c>
      <c r="BH1135">
        <v>0</v>
      </c>
      <c r="BI1135">
        <v>0</v>
      </c>
      <c r="BJ1135">
        <v>0</v>
      </c>
      <c r="BK1135">
        <v>0</v>
      </c>
      <c r="BL1135">
        <v>0</v>
      </c>
      <c r="BM1135">
        <v>0</v>
      </c>
      <c r="BN1135">
        <v>0</v>
      </c>
      <c r="BO1135">
        <v>0</v>
      </c>
      <c r="BP1135">
        <v>0</v>
      </c>
      <c r="BQ1135">
        <v>0</v>
      </c>
      <c r="BR1135">
        <v>0</v>
      </c>
      <c r="BS1135">
        <v>0</v>
      </c>
      <c r="BT1135">
        <v>0</v>
      </c>
      <c r="BU1135">
        <v>0</v>
      </c>
      <c r="BV1135">
        <v>0</v>
      </c>
      <c r="BW1135">
        <v>0</v>
      </c>
      <c r="BX1135">
        <v>0</v>
      </c>
      <c r="BY1135">
        <v>0</v>
      </c>
      <c r="BZ1135">
        <v>0</v>
      </c>
      <c r="CA1135">
        <v>0</v>
      </c>
      <c r="CB1135">
        <v>0</v>
      </c>
      <c r="CC1135">
        <v>0</v>
      </c>
      <c r="CD1135">
        <v>0</v>
      </c>
      <c r="CE1135">
        <v>0</v>
      </c>
      <c r="CF1135">
        <v>0</v>
      </c>
      <c r="CG1135">
        <v>0</v>
      </c>
      <c r="CH1135">
        <v>0</v>
      </c>
      <c r="CI1135">
        <v>0</v>
      </c>
      <c r="CJ1135">
        <v>0</v>
      </c>
      <c r="CK1135">
        <v>0</v>
      </c>
      <c r="CL1135">
        <v>0</v>
      </c>
      <c r="CM1135">
        <v>0</v>
      </c>
      <c r="CN1135">
        <v>0</v>
      </c>
      <c r="CO1135">
        <v>0</v>
      </c>
      <c r="CP1135">
        <v>0</v>
      </c>
      <c r="CQ1135">
        <v>0</v>
      </c>
      <c r="CR1135">
        <v>0</v>
      </c>
      <c r="CS1135">
        <v>0</v>
      </c>
      <c r="CT1135">
        <v>0</v>
      </c>
      <c r="CU1135">
        <v>0</v>
      </c>
      <c r="CV1135">
        <v>0</v>
      </c>
      <c r="CW1135">
        <v>0</v>
      </c>
      <c r="CX1135">
        <v>0</v>
      </c>
      <c r="CY1135">
        <v>0</v>
      </c>
      <c r="CZ1135">
        <v>0</v>
      </c>
      <c r="DA1135">
        <v>0</v>
      </c>
      <c r="DB1135">
        <v>0</v>
      </c>
      <c r="DC1135">
        <v>0</v>
      </c>
      <c r="DD1135">
        <v>0</v>
      </c>
      <c r="DE1135">
        <v>0</v>
      </c>
      <c r="DF1135">
        <v>0</v>
      </c>
      <c r="DG1135" s="16">
        <f t="shared" si="97"/>
        <v>9</v>
      </c>
      <c r="DH1135" s="16">
        <f t="shared" si="98"/>
        <v>98</v>
      </c>
      <c r="DI1135" s="17">
        <f t="shared" si="99"/>
        <v>10.888888888888889</v>
      </c>
      <c r="DJ1135" s="119" t="s">
        <v>4</v>
      </c>
      <c r="DK1135" s="119" t="s">
        <v>4</v>
      </c>
      <c r="DL1135" s="119"/>
    </row>
    <row r="1136" spans="1:116">
      <c r="A1136" s="32" t="str">
        <f t="shared" si="95"/>
        <v>Essential--KIOSK MOUNTED ; &gt; 22 KV ;  &gt; 600 KVA</v>
      </c>
      <c r="B1136" s="32" t="str">
        <f t="shared" si="96"/>
        <v>Essential</v>
      </c>
      <c r="C1136" s="384"/>
      <c r="E1136" t="s">
        <v>1492</v>
      </c>
      <c r="F1136">
        <v>45.8</v>
      </c>
      <c r="G1136">
        <v>6.7675697262754522</v>
      </c>
      <c r="H1136">
        <v>0</v>
      </c>
      <c r="I1136">
        <v>1</v>
      </c>
      <c r="J1136">
        <v>0</v>
      </c>
      <c r="K1136">
        <v>1</v>
      </c>
      <c r="L1136">
        <v>0</v>
      </c>
      <c r="M1136">
        <v>3</v>
      </c>
      <c r="N1136">
        <v>2</v>
      </c>
      <c r="O1136">
        <v>5</v>
      </c>
      <c r="P1136">
        <v>2</v>
      </c>
      <c r="Q1136">
        <v>1</v>
      </c>
      <c r="R1136">
        <v>1</v>
      </c>
      <c r="S1136">
        <v>0</v>
      </c>
      <c r="T1136">
        <v>3</v>
      </c>
      <c r="U1136">
        <v>5</v>
      </c>
      <c r="V1136">
        <v>6</v>
      </c>
      <c r="W1136">
        <v>2</v>
      </c>
      <c r="X1136">
        <v>0</v>
      </c>
      <c r="Y1136">
        <v>2</v>
      </c>
      <c r="Z1136">
        <v>3</v>
      </c>
      <c r="AA1136">
        <v>0</v>
      </c>
      <c r="AB1136">
        <v>0</v>
      </c>
      <c r="AC1136">
        <v>0</v>
      </c>
      <c r="AD1136">
        <v>0</v>
      </c>
      <c r="AE1136">
        <v>0</v>
      </c>
      <c r="AF1136">
        <v>0</v>
      </c>
      <c r="AG1136">
        <v>0</v>
      </c>
      <c r="AH1136">
        <v>0</v>
      </c>
      <c r="AI1136">
        <v>0</v>
      </c>
      <c r="AJ1136">
        <v>0</v>
      </c>
      <c r="AK1136">
        <v>0</v>
      </c>
      <c r="AL1136">
        <v>0</v>
      </c>
      <c r="AM1136">
        <v>0</v>
      </c>
      <c r="AN1136">
        <v>0</v>
      </c>
      <c r="AO1136">
        <v>2</v>
      </c>
      <c r="AP1136">
        <v>0</v>
      </c>
      <c r="AQ1136">
        <v>0</v>
      </c>
      <c r="AR1136">
        <v>0</v>
      </c>
      <c r="AS1136">
        <v>0</v>
      </c>
      <c r="AT1136">
        <v>0</v>
      </c>
      <c r="AU1136">
        <v>0</v>
      </c>
      <c r="AV1136">
        <v>0</v>
      </c>
      <c r="AW1136">
        <v>0</v>
      </c>
      <c r="AX1136">
        <v>0</v>
      </c>
      <c r="AY1136">
        <v>1</v>
      </c>
      <c r="AZ1136">
        <v>0</v>
      </c>
      <c r="BA1136">
        <v>0</v>
      </c>
      <c r="BB1136">
        <v>0</v>
      </c>
      <c r="BC1136">
        <v>0</v>
      </c>
      <c r="BD1136">
        <v>0</v>
      </c>
      <c r="BE1136">
        <v>0</v>
      </c>
      <c r="BF1136">
        <v>0</v>
      </c>
      <c r="BG1136">
        <v>0</v>
      </c>
      <c r="BH1136">
        <v>0</v>
      </c>
      <c r="BI1136">
        <v>0</v>
      </c>
      <c r="BJ1136">
        <v>0</v>
      </c>
      <c r="BK1136">
        <v>0</v>
      </c>
      <c r="BL1136">
        <v>0</v>
      </c>
      <c r="BM1136">
        <v>0</v>
      </c>
      <c r="BN1136">
        <v>0</v>
      </c>
      <c r="BO1136">
        <v>0</v>
      </c>
      <c r="BP1136">
        <v>0</v>
      </c>
      <c r="BQ1136">
        <v>0</v>
      </c>
      <c r="BR1136">
        <v>0</v>
      </c>
      <c r="BS1136">
        <v>0</v>
      </c>
      <c r="BT1136">
        <v>0</v>
      </c>
      <c r="BU1136">
        <v>0</v>
      </c>
      <c r="BV1136">
        <v>0</v>
      </c>
      <c r="BW1136">
        <v>0</v>
      </c>
      <c r="BX1136">
        <v>0</v>
      </c>
      <c r="BY1136">
        <v>0</v>
      </c>
      <c r="BZ1136">
        <v>0</v>
      </c>
      <c r="CA1136">
        <v>0</v>
      </c>
      <c r="CB1136">
        <v>0</v>
      </c>
      <c r="CC1136">
        <v>0</v>
      </c>
      <c r="CD1136">
        <v>0</v>
      </c>
      <c r="CE1136">
        <v>0</v>
      </c>
      <c r="CF1136">
        <v>0</v>
      </c>
      <c r="CG1136">
        <v>0</v>
      </c>
      <c r="CH1136">
        <v>0</v>
      </c>
      <c r="CI1136">
        <v>0</v>
      </c>
      <c r="CJ1136">
        <v>0</v>
      </c>
      <c r="CK1136">
        <v>0</v>
      </c>
      <c r="CL1136">
        <v>0</v>
      </c>
      <c r="CM1136">
        <v>0</v>
      </c>
      <c r="CN1136">
        <v>0</v>
      </c>
      <c r="CO1136">
        <v>0</v>
      </c>
      <c r="CP1136">
        <v>0</v>
      </c>
      <c r="CQ1136">
        <v>0</v>
      </c>
      <c r="CR1136">
        <v>0</v>
      </c>
      <c r="CS1136">
        <v>0</v>
      </c>
      <c r="CT1136">
        <v>0</v>
      </c>
      <c r="CU1136">
        <v>0</v>
      </c>
      <c r="CV1136">
        <v>0</v>
      </c>
      <c r="CW1136">
        <v>0</v>
      </c>
      <c r="CX1136">
        <v>0</v>
      </c>
      <c r="CY1136">
        <v>0</v>
      </c>
      <c r="CZ1136">
        <v>0</v>
      </c>
      <c r="DA1136">
        <v>0</v>
      </c>
      <c r="DB1136">
        <v>0</v>
      </c>
      <c r="DC1136">
        <v>0</v>
      </c>
      <c r="DD1136">
        <v>0</v>
      </c>
      <c r="DE1136">
        <v>0</v>
      </c>
      <c r="DF1136">
        <v>0</v>
      </c>
      <c r="DG1136" s="16">
        <f t="shared" si="97"/>
        <v>40</v>
      </c>
      <c r="DH1136" s="16">
        <f t="shared" si="98"/>
        <v>553</v>
      </c>
      <c r="DI1136" s="17">
        <f t="shared" si="99"/>
        <v>13.824999999999999</v>
      </c>
      <c r="DJ1136" s="119" t="s">
        <v>4</v>
      </c>
      <c r="DK1136" s="119" t="s">
        <v>4</v>
      </c>
      <c r="DL1136" s="119"/>
    </row>
    <row r="1137" spans="1:116">
      <c r="A1137" s="32" t="str">
        <f t="shared" si="95"/>
        <v xml:space="preserve">Essential--KIOSK MOUNTED ; &gt; 22 KV ;  &lt; = 60 KVA </v>
      </c>
      <c r="B1137" s="32" t="str">
        <f t="shared" si="96"/>
        <v>Essential</v>
      </c>
      <c r="C1137" s="384"/>
      <c r="E1137" t="s">
        <v>1490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v>0</v>
      </c>
      <c r="AI1137">
        <v>0</v>
      </c>
      <c r="AJ1137">
        <v>0</v>
      </c>
      <c r="AK1137">
        <v>0</v>
      </c>
      <c r="AL1137">
        <v>0</v>
      </c>
      <c r="AM1137">
        <v>0</v>
      </c>
      <c r="AN1137">
        <v>0</v>
      </c>
      <c r="AO1137">
        <v>0</v>
      </c>
      <c r="AP1137">
        <v>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v>0</v>
      </c>
      <c r="BN1137">
        <v>0</v>
      </c>
      <c r="BO1137">
        <v>0</v>
      </c>
      <c r="BP1137">
        <v>0</v>
      </c>
      <c r="BQ1137">
        <v>0</v>
      </c>
      <c r="BR1137">
        <v>0</v>
      </c>
      <c r="BS1137">
        <v>0</v>
      </c>
      <c r="BT1137">
        <v>0</v>
      </c>
      <c r="BU1137">
        <v>0</v>
      </c>
      <c r="BV1137">
        <v>0</v>
      </c>
      <c r="BW1137">
        <v>0</v>
      </c>
      <c r="BX1137">
        <v>0</v>
      </c>
      <c r="BY1137">
        <v>0</v>
      </c>
      <c r="BZ1137">
        <v>0</v>
      </c>
      <c r="CA1137">
        <v>0</v>
      </c>
      <c r="CB1137">
        <v>0</v>
      </c>
      <c r="CC1137">
        <v>0</v>
      </c>
      <c r="CD1137">
        <v>0</v>
      </c>
      <c r="CE1137">
        <v>0</v>
      </c>
      <c r="CF1137">
        <v>0</v>
      </c>
      <c r="CG1137">
        <v>0</v>
      </c>
      <c r="CH1137">
        <v>0</v>
      </c>
      <c r="CI1137">
        <v>0</v>
      </c>
      <c r="CJ1137">
        <v>0</v>
      </c>
      <c r="CK1137">
        <v>0</v>
      </c>
      <c r="CL1137">
        <v>0</v>
      </c>
      <c r="CM1137">
        <v>0</v>
      </c>
      <c r="CN1137">
        <v>0</v>
      </c>
      <c r="CO1137">
        <v>0</v>
      </c>
      <c r="CP1137">
        <v>0</v>
      </c>
      <c r="CQ1137">
        <v>0</v>
      </c>
      <c r="CR1137">
        <v>0</v>
      </c>
      <c r="CS1137">
        <v>0</v>
      </c>
      <c r="CT1137">
        <v>0</v>
      </c>
      <c r="CU1137">
        <v>0</v>
      </c>
      <c r="CV1137">
        <v>0</v>
      </c>
      <c r="CW1137">
        <v>0</v>
      </c>
      <c r="CX1137">
        <v>0</v>
      </c>
      <c r="CY1137">
        <v>0</v>
      </c>
      <c r="CZ1137">
        <v>0</v>
      </c>
      <c r="DA1137">
        <v>0</v>
      </c>
      <c r="DB1137">
        <v>0</v>
      </c>
      <c r="DC1137">
        <v>0</v>
      </c>
      <c r="DD1137">
        <v>0</v>
      </c>
      <c r="DE1137">
        <v>0</v>
      </c>
      <c r="DF1137">
        <v>0</v>
      </c>
      <c r="DG1137" s="16">
        <f t="shared" si="97"/>
        <v>0</v>
      </c>
      <c r="DH1137" s="16">
        <f t="shared" si="98"/>
        <v>0</v>
      </c>
      <c r="DI1137" s="17" t="str">
        <f t="shared" si="99"/>
        <v/>
      </c>
      <c r="DJ1137" s="119" t="s">
        <v>4</v>
      </c>
      <c r="DK1137" s="119" t="s">
        <v>4</v>
      </c>
      <c r="DL1137" s="119"/>
    </row>
    <row r="1138" spans="1:116">
      <c r="A1138" s="32" t="str">
        <f t="shared" si="95"/>
        <v>Essential--KIOSK MOUNTED ; &gt; 22 KV ;  &gt; 60 KVA AND &lt; = 600 KVA</v>
      </c>
      <c r="B1138" s="32" t="str">
        <f t="shared" si="96"/>
        <v>Essential</v>
      </c>
      <c r="C1138" s="384"/>
      <c r="E1138" t="s">
        <v>1493</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0</v>
      </c>
      <c r="AG1138">
        <v>0</v>
      </c>
      <c r="AH1138">
        <v>0</v>
      </c>
      <c r="AI1138">
        <v>0</v>
      </c>
      <c r="AJ1138">
        <v>0</v>
      </c>
      <c r="AK1138">
        <v>0</v>
      </c>
      <c r="AL1138">
        <v>0</v>
      </c>
      <c r="AM1138">
        <v>0</v>
      </c>
      <c r="AN1138">
        <v>0</v>
      </c>
      <c r="AO1138">
        <v>0</v>
      </c>
      <c r="AP1138">
        <v>0</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v>0</v>
      </c>
      <c r="BK1138">
        <v>0</v>
      </c>
      <c r="BL1138">
        <v>0</v>
      </c>
      <c r="BM1138">
        <v>0</v>
      </c>
      <c r="BN1138">
        <v>0</v>
      </c>
      <c r="BO1138">
        <v>0</v>
      </c>
      <c r="BP1138">
        <v>0</v>
      </c>
      <c r="BQ1138">
        <v>0</v>
      </c>
      <c r="BR1138">
        <v>0</v>
      </c>
      <c r="BS1138">
        <v>0</v>
      </c>
      <c r="BT1138">
        <v>0</v>
      </c>
      <c r="BU1138">
        <v>0</v>
      </c>
      <c r="BV1138">
        <v>0</v>
      </c>
      <c r="BW1138">
        <v>0</v>
      </c>
      <c r="BX1138">
        <v>0</v>
      </c>
      <c r="BY1138">
        <v>0</v>
      </c>
      <c r="BZ1138">
        <v>0</v>
      </c>
      <c r="CA1138">
        <v>0</v>
      </c>
      <c r="CB1138">
        <v>0</v>
      </c>
      <c r="CC1138">
        <v>0</v>
      </c>
      <c r="CD1138">
        <v>0</v>
      </c>
      <c r="CE1138">
        <v>0</v>
      </c>
      <c r="CF1138">
        <v>0</v>
      </c>
      <c r="CG1138">
        <v>0</v>
      </c>
      <c r="CH1138">
        <v>0</v>
      </c>
      <c r="CI1138">
        <v>0</v>
      </c>
      <c r="CJ1138">
        <v>0</v>
      </c>
      <c r="CK1138">
        <v>0</v>
      </c>
      <c r="CL1138">
        <v>0</v>
      </c>
      <c r="CM1138">
        <v>0</v>
      </c>
      <c r="CN1138">
        <v>0</v>
      </c>
      <c r="CO1138">
        <v>0</v>
      </c>
      <c r="CP1138">
        <v>0</v>
      </c>
      <c r="CQ1138">
        <v>0</v>
      </c>
      <c r="CR1138">
        <v>0</v>
      </c>
      <c r="CS1138">
        <v>0</v>
      </c>
      <c r="CT1138">
        <v>0</v>
      </c>
      <c r="CU1138">
        <v>0</v>
      </c>
      <c r="CV1138">
        <v>0</v>
      </c>
      <c r="CW1138">
        <v>0</v>
      </c>
      <c r="CX1138">
        <v>0</v>
      </c>
      <c r="CY1138">
        <v>0</v>
      </c>
      <c r="CZ1138">
        <v>0</v>
      </c>
      <c r="DA1138">
        <v>0</v>
      </c>
      <c r="DB1138">
        <v>0</v>
      </c>
      <c r="DC1138">
        <v>0</v>
      </c>
      <c r="DD1138">
        <v>0</v>
      </c>
      <c r="DE1138">
        <v>0</v>
      </c>
      <c r="DF1138">
        <v>0</v>
      </c>
      <c r="DG1138" s="16">
        <f t="shared" si="97"/>
        <v>0</v>
      </c>
      <c r="DH1138" s="16">
        <f t="shared" si="98"/>
        <v>0</v>
      </c>
      <c r="DI1138" s="17" t="str">
        <f t="shared" si="99"/>
        <v/>
      </c>
      <c r="DJ1138" s="119" t="s">
        <v>4</v>
      </c>
      <c r="DK1138" s="119" t="s">
        <v>4</v>
      </c>
      <c r="DL1138" s="119"/>
    </row>
    <row r="1139" spans="1:116">
      <c r="A1139" s="32" t="str">
        <f t="shared" si="95"/>
        <v>Essential--KIOSK MOUNTED ; &gt; 22 KV ;  &gt;  600 KVA</v>
      </c>
      <c r="B1139" s="32" t="str">
        <f t="shared" si="96"/>
        <v>Essential</v>
      </c>
      <c r="C1139" s="384"/>
      <c r="E1139" t="s">
        <v>1494</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c r="AS1139">
        <v>0</v>
      </c>
      <c r="AT1139">
        <v>0</v>
      </c>
      <c r="AU1139">
        <v>0</v>
      </c>
      <c r="AV1139">
        <v>0</v>
      </c>
      <c r="AW1139">
        <v>0</v>
      </c>
      <c r="AX1139">
        <v>0</v>
      </c>
      <c r="AY1139">
        <v>0</v>
      </c>
      <c r="AZ1139">
        <v>0</v>
      </c>
      <c r="BA1139">
        <v>0</v>
      </c>
      <c r="BB1139">
        <v>0</v>
      </c>
      <c r="BC1139">
        <v>0</v>
      </c>
      <c r="BD1139">
        <v>0</v>
      </c>
      <c r="BE1139">
        <v>0</v>
      </c>
      <c r="BF1139">
        <v>0</v>
      </c>
      <c r="BG1139">
        <v>0</v>
      </c>
      <c r="BH1139">
        <v>0</v>
      </c>
      <c r="BI1139">
        <v>0</v>
      </c>
      <c r="BJ1139">
        <v>0</v>
      </c>
      <c r="BK1139">
        <v>0</v>
      </c>
      <c r="BL1139">
        <v>0</v>
      </c>
      <c r="BM1139">
        <v>0</v>
      </c>
      <c r="BN1139">
        <v>0</v>
      </c>
      <c r="BO1139">
        <v>0</v>
      </c>
      <c r="BP1139">
        <v>0</v>
      </c>
      <c r="BQ1139">
        <v>0</v>
      </c>
      <c r="BR1139">
        <v>0</v>
      </c>
      <c r="BS1139">
        <v>0</v>
      </c>
      <c r="BT1139">
        <v>0</v>
      </c>
      <c r="BU1139">
        <v>0</v>
      </c>
      <c r="BV1139">
        <v>0</v>
      </c>
      <c r="BW1139">
        <v>0</v>
      </c>
      <c r="BX1139">
        <v>0</v>
      </c>
      <c r="BY1139">
        <v>0</v>
      </c>
      <c r="BZ1139">
        <v>0</v>
      </c>
      <c r="CA1139">
        <v>0</v>
      </c>
      <c r="CB1139">
        <v>0</v>
      </c>
      <c r="CC1139">
        <v>0</v>
      </c>
      <c r="CD1139">
        <v>0</v>
      </c>
      <c r="CE1139">
        <v>0</v>
      </c>
      <c r="CF1139">
        <v>0</v>
      </c>
      <c r="CG1139">
        <v>0</v>
      </c>
      <c r="CH1139">
        <v>0</v>
      </c>
      <c r="CI1139">
        <v>0</v>
      </c>
      <c r="CJ1139">
        <v>0</v>
      </c>
      <c r="CK1139">
        <v>0</v>
      </c>
      <c r="CL1139">
        <v>0</v>
      </c>
      <c r="CM1139">
        <v>0</v>
      </c>
      <c r="CN1139">
        <v>0</v>
      </c>
      <c r="CO1139">
        <v>0</v>
      </c>
      <c r="CP1139">
        <v>0</v>
      </c>
      <c r="CQ1139">
        <v>0</v>
      </c>
      <c r="CR1139">
        <v>0</v>
      </c>
      <c r="CS1139">
        <v>0</v>
      </c>
      <c r="CT1139">
        <v>0</v>
      </c>
      <c r="CU1139">
        <v>0</v>
      </c>
      <c r="CV1139">
        <v>0</v>
      </c>
      <c r="CW1139">
        <v>0</v>
      </c>
      <c r="CX1139">
        <v>0</v>
      </c>
      <c r="CY1139">
        <v>0</v>
      </c>
      <c r="CZ1139">
        <v>0</v>
      </c>
      <c r="DA1139">
        <v>0</v>
      </c>
      <c r="DB1139">
        <v>0</v>
      </c>
      <c r="DC1139">
        <v>0</v>
      </c>
      <c r="DD1139">
        <v>0</v>
      </c>
      <c r="DE1139">
        <v>0</v>
      </c>
      <c r="DF1139">
        <v>0</v>
      </c>
      <c r="DG1139" s="16">
        <f t="shared" si="97"/>
        <v>0</v>
      </c>
      <c r="DH1139" s="16">
        <f t="shared" si="98"/>
        <v>0</v>
      </c>
      <c r="DI1139" s="17" t="str">
        <f t="shared" si="99"/>
        <v/>
      </c>
      <c r="DJ1139" s="119" t="s">
        <v>4</v>
      </c>
      <c r="DK1139" s="119" t="s">
        <v>4</v>
      </c>
      <c r="DL1139" s="119"/>
    </row>
    <row r="1140" spans="1:116">
      <c r="A1140" s="32" t="str">
        <f t="shared" si="95"/>
        <v>Essential--GROUND OUTDOOR / INDOOR CHAMBER MOUNTED ; ˂ 22 KV ;  &lt; = 60 KVA ; SINGLE PHASE</v>
      </c>
      <c r="B1140" s="32" t="str">
        <f t="shared" si="96"/>
        <v>Essential</v>
      </c>
      <c r="C1140" s="384"/>
      <c r="E1140" t="s">
        <v>1495</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0</v>
      </c>
      <c r="AF1140">
        <v>0</v>
      </c>
      <c r="AG1140">
        <v>0</v>
      </c>
      <c r="AH1140">
        <v>0</v>
      </c>
      <c r="AI1140">
        <v>0</v>
      </c>
      <c r="AJ1140">
        <v>0</v>
      </c>
      <c r="AK1140">
        <v>0</v>
      </c>
      <c r="AL1140">
        <v>0</v>
      </c>
      <c r="AM1140">
        <v>0</v>
      </c>
      <c r="AN1140">
        <v>0</v>
      </c>
      <c r="AO1140">
        <v>0</v>
      </c>
      <c r="AP1140">
        <v>0</v>
      </c>
      <c r="AQ1140">
        <v>0</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v>0</v>
      </c>
      <c r="BN1140">
        <v>0</v>
      </c>
      <c r="BO1140">
        <v>0</v>
      </c>
      <c r="BP1140">
        <v>0</v>
      </c>
      <c r="BQ1140">
        <v>0</v>
      </c>
      <c r="BR1140">
        <v>0</v>
      </c>
      <c r="BS1140">
        <v>0</v>
      </c>
      <c r="BT1140">
        <v>0</v>
      </c>
      <c r="BU1140">
        <v>0</v>
      </c>
      <c r="BV1140">
        <v>0</v>
      </c>
      <c r="BW1140">
        <v>0</v>
      </c>
      <c r="BX1140">
        <v>0</v>
      </c>
      <c r="BY1140">
        <v>0</v>
      </c>
      <c r="BZ1140">
        <v>0</v>
      </c>
      <c r="CA1140">
        <v>0</v>
      </c>
      <c r="CB1140">
        <v>0</v>
      </c>
      <c r="CC1140">
        <v>0</v>
      </c>
      <c r="CD1140">
        <v>0</v>
      </c>
      <c r="CE1140">
        <v>0</v>
      </c>
      <c r="CF1140">
        <v>0</v>
      </c>
      <c r="CG1140">
        <v>0</v>
      </c>
      <c r="CH1140">
        <v>0</v>
      </c>
      <c r="CI1140">
        <v>0</v>
      </c>
      <c r="CJ1140">
        <v>0</v>
      </c>
      <c r="CK1140">
        <v>0</v>
      </c>
      <c r="CL1140">
        <v>0</v>
      </c>
      <c r="CM1140">
        <v>0</v>
      </c>
      <c r="CN1140">
        <v>0</v>
      </c>
      <c r="CO1140">
        <v>0</v>
      </c>
      <c r="CP1140">
        <v>0</v>
      </c>
      <c r="CQ1140">
        <v>0</v>
      </c>
      <c r="CR1140">
        <v>0</v>
      </c>
      <c r="CS1140">
        <v>0</v>
      </c>
      <c r="CT1140">
        <v>0</v>
      </c>
      <c r="CU1140">
        <v>0</v>
      </c>
      <c r="CV1140">
        <v>0</v>
      </c>
      <c r="CW1140">
        <v>0</v>
      </c>
      <c r="CX1140">
        <v>0</v>
      </c>
      <c r="CY1140">
        <v>0</v>
      </c>
      <c r="CZ1140">
        <v>0</v>
      </c>
      <c r="DA1140">
        <v>0</v>
      </c>
      <c r="DB1140">
        <v>0</v>
      </c>
      <c r="DC1140">
        <v>0</v>
      </c>
      <c r="DD1140">
        <v>0</v>
      </c>
      <c r="DE1140">
        <v>0</v>
      </c>
      <c r="DF1140">
        <v>0</v>
      </c>
      <c r="DG1140" s="16">
        <f t="shared" si="97"/>
        <v>0</v>
      </c>
      <c r="DH1140" s="16">
        <f t="shared" si="98"/>
        <v>0</v>
      </c>
      <c r="DI1140" s="17" t="str">
        <f t="shared" si="99"/>
        <v/>
      </c>
      <c r="DJ1140" s="119" t="s">
        <v>4</v>
      </c>
      <c r="DK1140" s="119" t="s">
        <v>4</v>
      </c>
      <c r="DL1140" s="119"/>
    </row>
    <row r="1141" spans="1:116">
      <c r="A1141" s="32" t="str">
        <f t="shared" si="95"/>
        <v>Essential--GROUND OUTDOOR / INDOOR CHAMBER MOUNTED ; ˂  22 KV ;  &gt; 60 KVA  AND &lt; = 600 KVA ; SINGLE PHASE</v>
      </c>
      <c r="B1141" s="32" t="str">
        <f t="shared" si="96"/>
        <v>Essential</v>
      </c>
      <c r="C1141" s="384"/>
      <c r="E1141" t="s">
        <v>1496</v>
      </c>
      <c r="F1141">
        <v>45.8</v>
      </c>
      <c r="G1141">
        <v>6.7675697262754522</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2</v>
      </c>
      <c r="AF1141">
        <v>0</v>
      </c>
      <c r="AG1141">
        <v>0</v>
      </c>
      <c r="AH1141">
        <v>0</v>
      </c>
      <c r="AI1141">
        <v>0</v>
      </c>
      <c r="AJ1141">
        <v>0</v>
      </c>
      <c r="AK1141">
        <v>0</v>
      </c>
      <c r="AL1141">
        <v>0</v>
      </c>
      <c r="AM1141">
        <v>0</v>
      </c>
      <c r="AN1141">
        <v>0</v>
      </c>
      <c r="AO1141">
        <v>0</v>
      </c>
      <c r="AP1141">
        <v>0</v>
      </c>
      <c r="AQ1141">
        <v>0</v>
      </c>
      <c r="AR1141">
        <v>0</v>
      </c>
      <c r="AS1141">
        <v>0</v>
      </c>
      <c r="AT1141">
        <v>0</v>
      </c>
      <c r="AU1141">
        <v>0</v>
      </c>
      <c r="AV1141">
        <v>0</v>
      </c>
      <c r="AW1141">
        <v>0</v>
      </c>
      <c r="AX1141">
        <v>0</v>
      </c>
      <c r="AY1141">
        <v>0</v>
      </c>
      <c r="AZ1141">
        <v>0</v>
      </c>
      <c r="BA1141">
        <v>0</v>
      </c>
      <c r="BB1141">
        <v>0</v>
      </c>
      <c r="BC1141">
        <v>0</v>
      </c>
      <c r="BD1141">
        <v>0</v>
      </c>
      <c r="BE1141">
        <v>0</v>
      </c>
      <c r="BF1141">
        <v>0</v>
      </c>
      <c r="BG1141">
        <v>0</v>
      </c>
      <c r="BH1141">
        <v>0</v>
      </c>
      <c r="BI1141">
        <v>0</v>
      </c>
      <c r="BJ1141">
        <v>0</v>
      </c>
      <c r="BK1141">
        <v>0</v>
      </c>
      <c r="BL1141">
        <v>0</v>
      </c>
      <c r="BM1141">
        <v>0</v>
      </c>
      <c r="BN1141">
        <v>0</v>
      </c>
      <c r="BO1141">
        <v>0</v>
      </c>
      <c r="BP1141">
        <v>0</v>
      </c>
      <c r="BQ1141">
        <v>0</v>
      </c>
      <c r="BR1141">
        <v>0</v>
      </c>
      <c r="BS1141">
        <v>0</v>
      </c>
      <c r="BT1141">
        <v>0</v>
      </c>
      <c r="BU1141">
        <v>0</v>
      </c>
      <c r="BV1141">
        <v>0</v>
      </c>
      <c r="BW1141">
        <v>0</v>
      </c>
      <c r="BX1141">
        <v>0</v>
      </c>
      <c r="BY1141">
        <v>0</v>
      </c>
      <c r="BZ1141">
        <v>0</v>
      </c>
      <c r="CA1141">
        <v>0</v>
      </c>
      <c r="CB1141">
        <v>0</v>
      </c>
      <c r="CC1141">
        <v>0</v>
      </c>
      <c r="CD1141">
        <v>0</v>
      </c>
      <c r="CE1141">
        <v>0</v>
      </c>
      <c r="CF1141">
        <v>0</v>
      </c>
      <c r="CG1141">
        <v>0</v>
      </c>
      <c r="CH1141">
        <v>0</v>
      </c>
      <c r="CI1141">
        <v>0</v>
      </c>
      <c r="CJ1141">
        <v>0</v>
      </c>
      <c r="CK1141">
        <v>0</v>
      </c>
      <c r="CL1141">
        <v>0</v>
      </c>
      <c r="CM1141">
        <v>0</v>
      </c>
      <c r="CN1141">
        <v>0</v>
      </c>
      <c r="CO1141">
        <v>0</v>
      </c>
      <c r="CP1141">
        <v>0</v>
      </c>
      <c r="CQ1141">
        <v>0</v>
      </c>
      <c r="CR1141">
        <v>0</v>
      </c>
      <c r="CS1141">
        <v>0</v>
      </c>
      <c r="CT1141">
        <v>0</v>
      </c>
      <c r="CU1141">
        <v>0</v>
      </c>
      <c r="CV1141">
        <v>0</v>
      </c>
      <c r="CW1141">
        <v>0</v>
      </c>
      <c r="CX1141">
        <v>0</v>
      </c>
      <c r="CY1141">
        <v>0</v>
      </c>
      <c r="CZ1141">
        <v>0</v>
      </c>
      <c r="DA1141">
        <v>0</v>
      </c>
      <c r="DB1141">
        <v>0</v>
      </c>
      <c r="DC1141">
        <v>0</v>
      </c>
      <c r="DD1141">
        <v>0</v>
      </c>
      <c r="DE1141">
        <v>0</v>
      </c>
      <c r="DF1141">
        <v>0</v>
      </c>
      <c r="DG1141" s="16">
        <f t="shared" si="97"/>
        <v>2</v>
      </c>
      <c r="DH1141" s="16">
        <f t="shared" si="98"/>
        <v>48</v>
      </c>
      <c r="DI1141" s="17">
        <f t="shared" si="99"/>
        <v>24</v>
      </c>
      <c r="DJ1141" s="119" t="s">
        <v>4</v>
      </c>
      <c r="DK1141" s="119" t="s">
        <v>4</v>
      </c>
      <c r="DL1141" s="119"/>
    </row>
    <row r="1142" spans="1:116">
      <c r="A1142" s="32" t="str">
        <f t="shared" si="95"/>
        <v>Essential--GROUND OUTDOOR / INDOOR CHAMBER MOUNTED ; ˂  22 KV ;  &gt;  600 KVA ; SINGLE PHASE</v>
      </c>
      <c r="B1142" s="32" t="str">
        <f t="shared" si="96"/>
        <v>Essential</v>
      </c>
      <c r="C1142" s="384"/>
      <c r="E1142" t="s">
        <v>1274</v>
      </c>
      <c r="F1142">
        <v>45.8</v>
      </c>
      <c r="G1142">
        <v>6.7675697262754522</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c r="BN1142">
        <v>0</v>
      </c>
      <c r="BO1142">
        <v>0</v>
      </c>
      <c r="BP1142">
        <v>0</v>
      </c>
      <c r="BQ1142">
        <v>0</v>
      </c>
      <c r="BR1142">
        <v>0</v>
      </c>
      <c r="BS1142">
        <v>0</v>
      </c>
      <c r="BT1142">
        <v>0</v>
      </c>
      <c r="BU1142">
        <v>0</v>
      </c>
      <c r="BV1142">
        <v>0</v>
      </c>
      <c r="BW1142">
        <v>0</v>
      </c>
      <c r="BX1142">
        <v>0</v>
      </c>
      <c r="BY1142">
        <v>0</v>
      </c>
      <c r="BZ1142">
        <v>0</v>
      </c>
      <c r="CA1142">
        <v>0</v>
      </c>
      <c r="CB1142">
        <v>0</v>
      </c>
      <c r="CC1142">
        <v>0</v>
      </c>
      <c r="CD1142">
        <v>0</v>
      </c>
      <c r="CE1142">
        <v>0</v>
      </c>
      <c r="CF1142">
        <v>0</v>
      </c>
      <c r="CG1142">
        <v>0</v>
      </c>
      <c r="CH1142">
        <v>0</v>
      </c>
      <c r="CI1142">
        <v>0</v>
      </c>
      <c r="CJ1142">
        <v>0</v>
      </c>
      <c r="CK1142">
        <v>0</v>
      </c>
      <c r="CL1142">
        <v>0</v>
      </c>
      <c r="CM1142">
        <v>0</v>
      </c>
      <c r="CN1142">
        <v>0</v>
      </c>
      <c r="CO1142">
        <v>0</v>
      </c>
      <c r="CP1142">
        <v>0</v>
      </c>
      <c r="CQ1142">
        <v>0</v>
      </c>
      <c r="CR1142">
        <v>0</v>
      </c>
      <c r="CS1142">
        <v>0</v>
      </c>
      <c r="CT1142">
        <v>0</v>
      </c>
      <c r="CU1142">
        <v>0</v>
      </c>
      <c r="CV1142">
        <v>0</v>
      </c>
      <c r="CW1142">
        <v>0</v>
      </c>
      <c r="CX1142">
        <v>0</v>
      </c>
      <c r="CY1142">
        <v>0</v>
      </c>
      <c r="CZ1142">
        <v>0</v>
      </c>
      <c r="DA1142">
        <v>0</v>
      </c>
      <c r="DB1142">
        <v>0</v>
      </c>
      <c r="DC1142">
        <v>0</v>
      </c>
      <c r="DD1142">
        <v>0</v>
      </c>
      <c r="DE1142">
        <v>0</v>
      </c>
      <c r="DF1142">
        <v>0</v>
      </c>
      <c r="DG1142" s="16">
        <f t="shared" si="97"/>
        <v>0</v>
      </c>
      <c r="DH1142" s="16">
        <f t="shared" si="98"/>
        <v>0</v>
      </c>
      <c r="DI1142" s="17" t="str">
        <f t="shared" si="99"/>
        <v/>
      </c>
      <c r="DJ1142" s="119" t="s">
        <v>4</v>
      </c>
      <c r="DK1142" s="119" t="s">
        <v>4</v>
      </c>
      <c r="DL1142" s="119"/>
    </row>
    <row r="1143" spans="1:116">
      <c r="A1143" s="32" t="str">
        <f t="shared" si="95"/>
        <v>Essential--GROUND OUTDOOR / INDOOR CHAMBER MOUNTED ; ˂  22 KV ;  &lt; = 60 KVA ; MULTIPLE PHASE</v>
      </c>
      <c r="B1143" s="32" t="str">
        <f t="shared" si="96"/>
        <v>Essential</v>
      </c>
      <c r="C1143" s="384"/>
      <c r="E1143" t="s">
        <v>1497</v>
      </c>
      <c r="F1143">
        <v>45.8</v>
      </c>
      <c r="G1143">
        <v>6.7675697262754522</v>
      </c>
      <c r="H1143">
        <v>0</v>
      </c>
      <c r="I1143">
        <v>0</v>
      </c>
      <c r="J1143">
        <v>0</v>
      </c>
      <c r="K1143">
        <v>2</v>
      </c>
      <c r="L1143">
        <v>0</v>
      </c>
      <c r="M1143">
        <v>4</v>
      </c>
      <c r="N1143">
        <v>0</v>
      </c>
      <c r="O1143">
        <v>0</v>
      </c>
      <c r="P1143">
        <v>0</v>
      </c>
      <c r="Q1143">
        <v>2</v>
      </c>
      <c r="R1143">
        <v>0</v>
      </c>
      <c r="S1143">
        <v>4</v>
      </c>
      <c r="T1143">
        <v>2</v>
      </c>
      <c r="U1143">
        <v>0</v>
      </c>
      <c r="V1143">
        <v>4</v>
      </c>
      <c r="W1143">
        <v>0</v>
      </c>
      <c r="X1143">
        <v>0</v>
      </c>
      <c r="Y1143">
        <v>4</v>
      </c>
      <c r="Z1143">
        <v>2</v>
      </c>
      <c r="AA1143">
        <v>2</v>
      </c>
      <c r="AB1143">
        <v>0</v>
      </c>
      <c r="AC1143">
        <v>2</v>
      </c>
      <c r="AD1143">
        <v>4</v>
      </c>
      <c r="AE1143">
        <v>2</v>
      </c>
      <c r="AF1143">
        <v>4</v>
      </c>
      <c r="AG1143">
        <v>4</v>
      </c>
      <c r="AH1143">
        <v>0</v>
      </c>
      <c r="AI1143">
        <v>2</v>
      </c>
      <c r="AJ1143">
        <v>0</v>
      </c>
      <c r="AK1143">
        <v>4</v>
      </c>
      <c r="AL1143">
        <v>2</v>
      </c>
      <c r="AM1143">
        <v>2</v>
      </c>
      <c r="AN1143">
        <v>9</v>
      </c>
      <c r="AO1143">
        <v>2</v>
      </c>
      <c r="AP1143">
        <v>0</v>
      </c>
      <c r="AQ1143">
        <v>2</v>
      </c>
      <c r="AR1143">
        <v>6</v>
      </c>
      <c r="AS1143">
        <v>7</v>
      </c>
      <c r="AT1143">
        <v>4</v>
      </c>
      <c r="AU1143">
        <v>7</v>
      </c>
      <c r="AV1143">
        <v>0</v>
      </c>
      <c r="AW1143">
        <v>0</v>
      </c>
      <c r="AX1143">
        <v>2</v>
      </c>
      <c r="AY1143">
        <v>4</v>
      </c>
      <c r="AZ1143">
        <v>0</v>
      </c>
      <c r="BA1143">
        <v>22</v>
      </c>
      <c r="BB1143">
        <v>6</v>
      </c>
      <c r="BC1143">
        <v>7</v>
      </c>
      <c r="BD1143">
        <v>0</v>
      </c>
      <c r="BE1143">
        <v>6</v>
      </c>
      <c r="BF1143">
        <v>4</v>
      </c>
      <c r="BG1143">
        <v>4</v>
      </c>
      <c r="BH1143">
        <v>0</v>
      </c>
      <c r="BI1143">
        <v>2</v>
      </c>
      <c r="BJ1143">
        <v>0</v>
      </c>
      <c r="BK1143">
        <v>0</v>
      </c>
      <c r="BL1143">
        <v>4</v>
      </c>
      <c r="BM1143">
        <v>0</v>
      </c>
      <c r="BN1143">
        <v>0</v>
      </c>
      <c r="BO1143">
        <v>0</v>
      </c>
      <c r="BP1143">
        <v>0</v>
      </c>
      <c r="BQ1143">
        <v>0</v>
      </c>
      <c r="BR1143">
        <v>2</v>
      </c>
      <c r="BS1143">
        <v>0</v>
      </c>
      <c r="BT1143">
        <v>0</v>
      </c>
      <c r="BU1143">
        <v>0</v>
      </c>
      <c r="BV1143">
        <v>0</v>
      </c>
      <c r="BW1143">
        <v>0</v>
      </c>
      <c r="BX1143">
        <v>0</v>
      </c>
      <c r="BY1143">
        <v>0</v>
      </c>
      <c r="BZ1143">
        <v>0</v>
      </c>
      <c r="CA1143">
        <v>0</v>
      </c>
      <c r="CB1143">
        <v>0</v>
      </c>
      <c r="CC1143">
        <v>0</v>
      </c>
      <c r="CD1143">
        <v>0</v>
      </c>
      <c r="CE1143">
        <v>0</v>
      </c>
      <c r="CF1143">
        <v>0</v>
      </c>
      <c r="CG1143">
        <v>0</v>
      </c>
      <c r="CH1143">
        <v>0</v>
      </c>
      <c r="CI1143">
        <v>0</v>
      </c>
      <c r="CJ1143">
        <v>0</v>
      </c>
      <c r="CK1143">
        <v>0</v>
      </c>
      <c r="CL1143">
        <v>0</v>
      </c>
      <c r="CM1143">
        <v>0</v>
      </c>
      <c r="CN1143">
        <v>0</v>
      </c>
      <c r="CO1143">
        <v>0</v>
      </c>
      <c r="CP1143">
        <v>0</v>
      </c>
      <c r="CQ1143">
        <v>0</v>
      </c>
      <c r="CR1143">
        <v>0</v>
      </c>
      <c r="CS1143">
        <v>0</v>
      </c>
      <c r="CT1143">
        <v>0</v>
      </c>
      <c r="CU1143">
        <v>0</v>
      </c>
      <c r="CV1143">
        <v>0</v>
      </c>
      <c r="CW1143">
        <v>0</v>
      </c>
      <c r="CX1143">
        <v>0</v>
      </c>
      <c r="CY1143">
        <v>0</v>
      </c>
      <c r="CZ1143">
        <v>0</v>
      </c>
      <c r="DA1143">
        <v>0</v>
      </c>
      <c r="DB1143">
        <v>0</v>
      </c>
      <c r="DC1143">
        <v>0</v>
      </c>
      <c r="DD1143">
        <v>0</v>
      </c>
      <c r="DE1143">
        <v>0</v>
      </c>
      <c r="DF1143">
        <v>0</v>
      </c>
      <c r="DG1143" s="16">
        <f t="shared" si="97"/>
        <v>152</v>
      </c>
      <c r="DH1143" s="16">
        <f t="shared" si="98"/>
        <v>5453</v>
      </c>
      <c r="DI1143" s="17">
        <f t="shared" si="99"/>
        <v>35.875</v>
      </c>
      <c r="DJ1143" s="119" t="s">
        <v>4</v>
      </c>
      <c r="DK1143" s="119" t="s">
        <v>4</v>
      </c>
      <c r="DL1143" s="119"/>
    </row>
    <row r="1144" spans="1:116">
      <c r="A1144" s="32" t="str">
        <f t="shared" si="95"/>
        <v>Essential--GROUND OUTDOOR / INDOOR CHAMBER MOUNTED ; ˂  22 KV ;  &gt; 60 KVA  AND &lt; = 600 KVA ; MULTIPLE PHASE</v>
      </c>
      <c r="B1144" s="32" t="str">
        <f t="shared" si="96"/>
        <v>Essential</v>
      </c>
      <c r="C1144" s="384"/>
      <c r="E1144" t="s">
        <v>1498</v>
      </c>
      <c r="F1144">
        <v>45.8</v>
      </c>
      <c r="G1144">
        <v>6.7675697262754522</v>
      </c>
      <c r="H1144">
        <v>6</v>
      </c>
      <c r="I1144">
        <v>5</v>
      </c>
      <c r="J1144">
        <v>4</v>
      </c>
      <c r="K1144">
        <v>8</v>
      </c>
      <c r="L1144">
        <v>12</v>
      </c>
      <c r="M1144">
        <v>34</v>
      </c>
      <c r="N1144">
        <v>38</v>
      </c>
      <c r="O1144">
        <v>19</v>
      </c>
      <c r="P1144">
        <v>18</v>
      </c>
      <c r="Q1144">
        <v>20</v>
      </c>
      <c r="R1144">
        <v>8</v>
      </c>
      <c r="S1144">
        <v>7</v>
      </c>
      <c r="T1144">
        <v>9</v>
      </c>
      <c r="U1144">
        <v>5</v>
      </c>
      <c r="V1144">
        <v>4</v>
      </c>
      <c r="W1144">
        <v>4</v>
      </c>
      <c r="X1144">
        <v>4</v>
      </c>
      <c r="Y1144">
        <v>4</v>
      </c>
      <c r="Z1144">
        <v>5</v>
      </c>
      <c r="AA1144">
        <v>5</v>
      </c>
      <c r="AB1144">
        <v>5</v>
      </c>
      <c r="AC1144">
        <v>4</v>
      </c>
      <c r="AD1144">
        <v>5</v>
      </c>
      <c r="AE1144">
        <v>9</v>
      </c>
      <c r="AF1144">
        <v>3</v>
      </c>
      <c r="AG1144">
        <v>8</v>
      </c>
      <c r="AH1144">
        <v>1</v>
      </c>
      <c r="AI1144">
        <v>0</v>
      </c>
      <c r="AJ1144">
        <v>3</v>
      </c>
      <c r="AK1144">
        <v>8</v>
      </c>
      <c r="AL1144">
        <v>10</v>
      </c>
      <c r="AM1144">
        <v>4</v>
      </c>
      <c r="AN1144">
        <v>22</v>
      </c>
      <c r="AO1144">
        <v>12</v>
      </c>
      <c r="AP1144">
        <v>6</v>
      </c>
      <c r="AQ1144">
        <v>8</v>
      </c>
      <c r="AR1144">
        <v>4</v>
      </c>
      <c r="AS1144">
        <v>8</v>
      </c>
      <c r="AT1144">
        <v>0</v>
      </c>
      <c r="AU1144">
        <v>1</v>
      </c>
      <c r="AV1144">
        <v>5</v>
      </c>
      <c r="AW1144">
        <v>5</v>
      </c>
      <c r="AX1144">
        <v>3</v>
      </c>
      <c r="AY1144">
        <v>17</v>
      </c>
      <c r="AZ1144">
        <v>0</v>
      </c>
      <c r="BA1144">
        <v>7</v>
      </c>
      <c r="BB1144">
        <v>4</v>
      </c>
      <c r="BC1144">
        <v>3</v>
      </c>
      <c r="BD1144">
        <v>3</v>
      </c>
      <c r="BE1144">
        <v>5</v>
      </c>
      <c r="BF1144">
        <v>5</v>
      </c>
      <c r="BG1144">
        <v>3</v>
      </c>
      <c r="BH1144">
        <v>3</v>
      </c>
      <c r="BI1144">
        <v>5</v>
      </c>
      <c r="BJ1144">
        <v>0</v>
      </c>
      <c r="BK1144">
        <v>0</v>
      </c>
      <c r="BL1144">
        <v>1</v>
      </c>
      <c r="BM1144">
        <v>0</v>
      </c>
      <c r="BN1144">
        <v>4</v>
      </c>
      <c r="BO1144">
        <v>0</v>
      </c>
      <c r="BP1144">
        <v>1</v>
      </c>
      <c r="BQ1144">
        <v>0</v>
      </c>
      <c r="BR1144">
        <v>0</v>
      </c>
      <c r="BS1144">
        <v>0</v>
      </c>
      <c r="BT1144">
        <v>0</v>
      </c>
      <c r="BU1144">
        <v>0</v>
      </c>
      <c r="BV1144">
        <v>0</v>
      </c>
      <c r="BW1144">
        <v>3</v>
      </c>
      <c r="BX1144">
        <v>0</v>
      </c>
      <c r="BY1144">
        <v>0</v>
      </c>
      <c r="BZ1144">
        <v>0</v>
      </c>
      <c r="CA1144">
        <v>0</v>
      </c>
      <c r="CB1144">
        <v>0</v>
      </c>
      <c r="CC1144">
        <v>1</v>
      </c>
      <c r="CD1144">
        <v>0</v>
      </c>
      <c r="CE1144">
        <v>0</v>
      </c>
      <c r="CF1144">
        <v>0</v>
      </c>
      <c r="CG1144">
        <v>0</v>
      </c>
      <c r="CH1144">
        <v>0</v>
      </c>
      <c r="CI1144">
        <v>0</v>
      </c>
      <c r="CJ1144">
        <v>0</v>
      </c>
      <c r="CK1144">
        <v>0</v>
      </c>
      <c r="CL1144">
        <v>0</v>
      </c>
      <c r="CM1144">
        <v>0</v>
      </c>
      <c r="CN1144">
        <v>0</v>
      </c>
      <c r="CO1144">
        <v>0</v>
      </c>
      <c r="CP1144">
        <v>0</v>
      </c>
      <c r="CQ1144">
        <v>0</v>
      </c>
      <c r="CR1144">
        <v>0</v>
      </c>
      <c r="CS1144">
        <v>0</v>
      </c>
      <c r="CT1144">
        <v>0</v>
      </c>
      <c r="CU1144">
        <v>0</v>
      </c>
      <c r="CV1144">
        <v>0</v>
      </c>
      <c r="CW1144">
        <v>0</v>
      </c>
      <c r="CX1144">
        <v>0</v>
      </c>
      <c r="CY1144">
        <v>0</v>
      </c>
      <c r="CZ1144">
        <v>0</v>
      </c>
      <c r="DA1144">
        <v>0</v>
      </c>
      <c r="DB1144">
        <v>0</v>
      </c>
      <c r="DC1144">
        <v>0</v>
      </c>
      <c r="DD1144">
        <v>0</v>
      </c>
      <c r="DE1144">
        <v>0</v>
      </c>
      <c r="DF1144">
        <v>0</v>
      </c>
      <c r="DG1144" s="16">
        <f t="shared" si="97"/>
        <v>418</v>
      </c>
      <c r="DH1144" s="16">
        <f t="shared" si="98"/>
        <v>9460</v>
      </c>
      <c r="DI1144" s="17">
        <f t="shared" si="99"/>
        <v>22.631578947368421</v>
      </c>
      <c r="DJ1144" s="119" t="s">
        <v>4</v>
      </c>
      <c r="DK1144" s="119" t="s">
        <v>4</v>
      </c>
      <c r="DL1144" s="119"/>
    </row>
    <row r="1145" spans="1:116">
      <c r="A1145" s="32" t="str">
        <f t="shared" si="95"/>
        <v>Essential--GROUND OUTDOOR / INDOOR CHAMBER MOUNTED ; ˂  22 KV ;  &gt;  600 KVA ; MULTIPLE PHASE</v>
      </c>
      <c r="B1145" s="32" t="str">
        <f t="shared" si="96"/>
        <v>Essential</v>
      </c>
      <c r="C1145" s="384"/>
      <c r="E1145" t="s">
        <v>1277</v>
      </c>
      <c r="F1145">
        <v>45.8</v>
      </c>
      <c r="G1145">
        <v>6.7675697262754522</v>
      </c>
      <c r="H1145">
        <v>3</v>
      </c>
      <c r="I1145">
        <v>0</v>
      </c>
      <c r="J1145">
        <v>5</v>
      </c>
      <c r="K1145">
        <v>4</v>
      </c>
      <c r="L1145">
        <v>0</v>
      </c>
      <c r="M1145">
        <v>6</v>
      </c>
      <c r="N1145">
        <v>3</v>
      </c>
      <c r="O1145">
        <v>0</v>
      </c>
      <c r="P1145">
        <v>2</v>
      </c>
      <c r="Q1145">
        <v>0</v>
      </c>
      <c r="R1145">
        <v>5</v>
      </c>
      <c r="S1145">
        <v>2</v>
      </c>
      <c r="T1145">
        <v>10</v>
      </c>
      <c r="U1145">
        <v>1</v>
      </c>
      <c r="V1145">
        <v>9</v>
      </c>
      <c r="W1145">
        <v>5</v>
      </c>
      <c r="X1145">
        <v>4</v>
      </c>
      <c r="Y1145">
        <v>1</v>
      </c>
      <c r="Z1145">
        <v>19</v>
      </c>
      <c r="AA1145">
        <v>6</v>
      </c>
      <c r="AB1145">
        <v>8</v>
      </c>
      <c r="AC1145">
        <v>6</v>
      </c>
      <c r="AD1145">
        <v>4</v>
      </c>
      <c r="AE1145">
        <v>2</v>
      </c>
      <c r="AF1145">
        <v>0</v>
      </c>
      <c r="AG1145">
        <v>5</v>
      </c>
      <c r="AH1145">
        <v>4</v>
      </c>
      <c r="AI1145">
        <v>8</v>
      </c>
      <c r="AJ1145">
        <v>2</v>
      </c>
      <c r="AK1145">
        <v>5</v>
      </c>
      <c r="AL1145">
        <v>5</v>
      </c>
      <c r="AM1145">
        <v>6</v>
      </c>
      <c r="AN1145">
        <v>8</v>
      </c>
      <c r="AO1145">
        <v>20</v>
      </c>
      <c r="AP1145">
        <v>12</v>
      </c>
      <c r="AQ1145">
        <v>8</v>
      </c>
      <c r="AR1145">
        <v>4</v>
      </c>
      <c r="AS1145">
        <v>4</v>
      </c>
      <c r="AT1145">
        <v>12</v>
      </c>
      <c r="AU1145">
        <v>2</v>
      </c>
      <c r="AV1145">
        <v>3</v>
      </c>
      <c r="AW1145">
        <v>7</v>
      </c>
      <c r="AX1145">
        <v>1</v>
      </c>
      <c r="AY1145">
        <v>12</v>
      </c>
      <c r="AZ1145">
        <v>2</v>
      </c>
      <c r="BA1145">
        <v>0</v>
      </c>
      <c r="BB1145">
        <v>7</v>
      </c>
      <c r="BC1145">
        <v>3</v>
      </c>
      <c r="BD1145">
        <v>0</v>
      </c>
      <c r="BE1145">
        <v>2</v>
      </c>
      <c r="BF1145">
        <v>2</v>
      </c>
      <c r="BG1145">
        <v>3</v>
      </c>
      <c r="BH1145">
        <v>0</v>
      </c>
      <c r="BI1145">
        <v>0</v>
      </c>
      <c r="BJ1145">
        <v>0</v>
      </c>
      <c r="BK1145">
        <v>0</v>
      </c>
      <c r="BL1145">
        <v>0</v>
      </c>
      <c r="BM1145">
        <v>0</v>
      </c>
      <c r="BN1145">
        <v>0</v>
      </c>
      <c r="BO1145">
        <v>0</v>
      </c>
      <c r="BP1145">
        <v>0</v>
      </c>
      <c r="BQ1145">
        <v>0</v>
      </c>
      <c r="BR1145">
        <v>0</v>
      </c>
      <c r="BS1145">
        <v>3</v>
      </c>
      <c r="BT1145">
        <v>0</v>
      </c>
      <c r="BU1145">
        <v>0</v>
      </c>
      <c r="BV1145">
        <v>0</v>
      </c>
      <c r="BW1145">
        <v>0</v>
      </c>
      <c r="BX1145">
        <v>0</v>
      </c>
      <c r="BY1145">
        <v>0</v>
      </c>
      <c r="BZ1145">
        <v>0</v>
      </c>
      <c r="CA1145">
        <v>0</v>
      </c>
      <c r="CB1145">
        <v>0</v>
      </c>
      <c r="CC1145">
        <v>0</v>
      </c>
      <c r="CD1145">
        <v>0</v>
      </c>
      <c r="CE1145">
        <v>0</v>
      </c>
      <c r="CF1145">
        <v>0</v>
      </c>
      <c r="CG1145">
        <v>1</v>
      </c>
      <c r="CH1145">
        <v>0</v>
      </c>
      <c r="CI1145">
        <v>0</v>
      </c>
      <c r="CJ1145">
        <v>0</v>
      </c>
      <c r="CK1145">
        <v>0</v>
      </c>
      <c r="CL1145">
        <v>0</v>
      </c>
      <c r="CM1145">
        <v>0</v>
      </c>
      <c r="CN1145">
        <v>0</v>
      </c>
      <c r="CO1145">
        <v>0</v>
      </c>
      <c r="CP1145">
        <v>0</v>
      </c>
      <c r="CQ1145">
        <v>0</v>
      </c>
      <c r="CR1145">
        <v>0</v>
      </c>
      <c r="CS1145">
        <v>0</v>
      </c>
      <c r="CT1145">
        <v>0</v>
      </c>
      <c r="CU1145">
        <v>0</v>
      </c>
      <c r="CV1145">
        <v>0</v>
      </c>
      <c r="CW1145">
        <v>0</v>
      </c>
      <c r="CX1145">
        <v>0</v>
      </c>
      <c r="CY1145">
        <v>0</v>
      </c>
      <c r="CZ1145">
        <v>0</v>
      </c>
      <c r="DA1145">
        <v>0</v>
      </c>
      <c r="DB1145">
        <v>0</v>
      </c>
      <c r="DC1145">
        <v>0</v>
      </c>
      <c r="DD1145">
        <v>0</v>
      </c>
      <c r="DE1145">
        <v>0</v>
      </c>
      <c r="DF1145">
        <v>0</v>
      </c>
      <c r="DG1145" s="16">
        <f t="shared" si="97"/>
        <v>256</v>
      </c>
      <c r="DH1145" s="16">
        <f t="shared" si="98"/>
        <v>7250</v>
      </c>
      <c r="DI1145" s="17">
        <f t="shared" si="99"/>
        <v>28.3203125</v>
      </c>
      <c r="DJ1145" s="119" t="s">
        <v>4</v>
      </c>
      <c r="DK1145" s="119" t="s">
        <v>4</v>
      </c>
      <c r="DL1145" s="119"/>
    </row>
    <row r="1146" spans="1:116">
      <c r="A1146" s="32" t="str">
        <f t="shared" si="95"/>
        <v>Essential--GROUND OUTDOOR / INDOOR CHAMBER MOUNTED ; &gt; = 22 KV &amp; &lt; = 33 KV ;  &lt; = 15 MVA</v>
      </c>
      <c r="B1146" s="32" t="str">
        <f t="shared" si="96"/>
        <v>Essential</v>
      </c>
      <c r="C1146" s="384"/>
      <c r="E1146" t="s">
        <v>1499</v>
      </c>
      <c r="F1146">
        <v>45.8</v>
      </c>
      <c r="G1146">
        <v>6.7675697262754522</v>
      </c>
      <c r="H1146">
        <v>7</v>
      </c>
      <c r="I1146">
        <v>8</v>
      </c>
      <c r="J1146">
        <v>7</v>
      </c>
      <c r="K1146">
        <v>15</v>
      </c>
      <c r="L1146">
        <v>8</v>
      </c>
      <c r="M1146">
        <v>6</v>
      </c>
      <c r="N1146">
        <v>9</v>
      </c>
      <c r="O1146">
        <v>10</v>
      </c>
      <c r="P1146">
        <v>7</v>
      </c>
      <c r="Q1146">
        <v>3</v>
      </c>
      <c r="R1146">
        <v>8</v>
      </c>
      <c r="S1146">
        <v>11</v>
      </c>
      <c r="T1146">
        <v>12</v>
      </c>
      <c r="U1146">
        <v>5</v>
      </c>
      <c r="V1146">
        <v>2</v>
      </c>
      <c r="W1146">
        <v>7</v>
      </c>
      <c r="X1146">
        <v>3</v>
      </c>
      <c r="Y1146">
        <v>1</v>
      </c>
      <c r="Z1146">
        <v>7</v>
      </c>
      <c r="AA1146">
        <v>9</v>
      </c>
      <c r="AB1146">
        <v>11</v>
      </c>
      <c r="AC1146">
        <v>0</v>
      </c>
      <c r="AD1146">
        <v>11</v>
      </c>
      <c r="AE1146">
        <v>1</v>
      </c>
      <c r="AF1146">
        <v>10</v>
      </c>
      <c r="AG1146">
        <v>12</v>
      </c>
      <c r="AH1146">
        <v>8</v>
      </c>
      <c r="AI1146">
        <v>15</v>
      </c>
      <c r="AJ1146">
        <v>5</v>
      </c>
      <c r="AK1146">
        <v>3</v>
      </c>
      <c r="AL1146">
        <v>11</v>
      </c>
      <c r="AM1146">
        <v>15</v>
      </c>
      <c r="AN1146">
        <v>12</v>
      </c>
      <c r="AO1146">
        <v>21</v>
      </c>
      <c r="AP1146">
        <v>8</v>
      </c>
      <c r="AQ1146">
        <v>4</v>
      </c>
      <c r="AR1146">
        <v>7</v>
      </c>
      <c r="AS1146">
        <v>15</v>
      </c>
      <c r="AT1146">
        <v>5</v>
      </c>
      <c r="AU1146">
        <v>3</v>
      </c>
      <c r="AV1146">
        <v>4</v>
      </c>
      <c r="AW1146">
        <v>5</v>
      </c>
      <c r="AX1146">
        <v>10</v>
      </c>
      <c r="AY1146">
        <v>15</v>
      </c>
      <c r="AZ1146">
        <v>5</v>
      </c>
      <c r="BA1146">
        <v>2</v>
      </c>
      <c r="BB1146">
        <v>7</v>
      </c>
      <c r="BC1146">
        <v>8</v>
      </c>
      <c r="BD1146">
        <v>12</v>
      </c>
      <c r="BE1146">
        <v>8</v>
      </c>
      <c r="BF1146">
        <v>11</v>
      </c>
      <c r="BG1146">
        <v>6</v>
      </c>
      <c r="BH1146">
        <v>8</v>
      </c>
      <c r="BI1146">
        <v>8</v>
      </c>
      <c r="BJ1146">
        <v>3</v>
      </c>
      <c r="BK1146">
        <v>1</v>
      </c>
      <c r="BL1146">
        <v>0</v>
      </c>
      <c r="BM1146">
        <v>0</v>
      </c>
      <c r="BN1146">
        <v>5</v>
      </c>
      <c r="BO1146">
        <v>0</v>
      </c>
      <c r="BP1146">
        <v>0</v>
      </c>
      <c r="BQ1146">
        <v>0</v>
      </c>
      <c r="BR1146">
        <v>0</v>
      </c>
      <c r="BS1146">
        <v>0</v>
      </c>
      <c r="BT1146">
        <v>0</v>
      </c>
      <c r="BU1146">
        <v>0</v>
      </c>
      <c r="BV1146">
        <v>0</v>
      </c>
      <c r="BW1146">
        <v>0</v>
      </c>
      <c r="BX1146">
        <v>0</v>
      </c>
      <c r="BY1146">
        <v>0</v>
      </c>
      <c r="BZ1146">
        <v>0</v>
      </c>
      <c r="CA1146">
        <v>2</v>
      </c>
      <c r="CB1146">
        <v>0</v>
      </c>
      <c r="CC1146">
        <v>0</v>
      </c>
      <c r="CD1146">
        <v>0</v>
      </c>
      <c r="CE1146">
        <v>0</v>
      </c>
      <c r="CF1146">
        <v>0</v>
      </c>
      <c r="CG1146">
        <v>0</v>
      </c>
      <c r="CH1146">
        <v>0</v>
      </c>
      <c r="CI1146">
        <v>0</v>
      </c>
      <c r="CJ1146">
        <v>0</v>
      </c>
      <c r="CK1146">
        <v>0</v>
      </c>
      <c r="CL1146">
        <v>0</v>
      </c>
      <c r="CM1146">
        <v>0</v>
      </c>
      <c r="CN1146">
        <v>0</v>
      </c>
      <c r="CO1146">
        <v>0</v>
      </c>
      <c r="CP1146">
        <v>0</v>
      </c>
      <c r="CQ1146">
        <v>0</v>
      </c>
      <c r="CR1146">
        <v>0</v>
      </c>
      <c r="CS1146">
        <v>0</v>
      </c>
      <c r="CT1146">
        <v>0</v>
      </c>
      <c r="CU1146">
        <v>0</v>
      </c>
      <c r="CV1146">
        <v>0</v>
      </c>
      <c r="CW1146">
        <v>0</v>
      </c>
      <c r="CX1146">
        <v>0</v>
      </c>
      <c r="CY1146">
        <v>0</v>
      </c>
      <c r="CZ1146">
        <v>0</v>
      </c>
      <c r="DA1146">
        <v>0</v>
      </c>
      <c r="DB1146">
        <v>0</v>
      </c>
      <c r="DC1146">
        <v>0</v>
      </c>
      <c r="DD1146">
        <v>0</v>
      </c>
      <c r="DE1146">
        <v>0</v>
      </c>
      <c r="DF1146">
        <v>0</v>
      </c>
      <c r="DG1146" s="16">
        <f t="shared" si="97"/>
        <v>442</v>
      </c>
      <c r="DH1146" s="16">
        <f t="shared" si="98"/>
        <v>12697</v>
      </c>
      <c r="DI1146" s="17">
        <f t="shared" si="99"/>
        <v>28.726244343891402</v>
      </c>
      <c r="DJ1146" s="119" t="s">
        <v>4</v>
      </c>
      <c r="DK1146" s="119" t="s">
        <v>1530</v>
      </c>
      <c r="DL1146" s="119"/>
    </row>
    <row r="1147" spans="1:116">
      <c r="A1147" s="32" t="str">
        <f t="shared" si="95"/>
        <v>Essential--GROUND OUTDOOR / INDOOR CHAMBER MOUNTED ; &gt; = 22 KV &amp; &lt; = 33 KV ;  &gt; 15 MVA AND &lt; = 40 MVA</v>
      </c>
      <c r="B1147" s="32" t="str">
        <f t="shared" si="96"/>
        <v>Essential</v>
      </c>
      <c r="C1147" s="384"/>
      <c r="E1147" t="s">
        <v>1500</v>
      </c>
      <c r="F1147">
        <v>45.8</v>
      </c>
      <c r="G1147">
        <v>6.7675697262754522</v>
      </c>
      <c r="H1147">
        <v>2</v>
      </c>
      <c r="I1147">
        <v>2</v>
      </c>
      <c r="J1147">
        <v>5</v>
      </c>
      <c r="K1147">
        <v>0</v>
      </c>
      <c r="L1147">
        <v>1</v>
      </c>
      <c r="M1147">
        <v>0</v>
      </c>
      <c r="N1147">
        <v>7</v>
      </c>
      <c r="O1147">
        <v>1</v>
      </c>
      <c r="P1147">
        <v>3</v>
      </c>
      <c r="Q1147">
        <v>3</v>
      </c>
      <c r="R1147">
        <v>0</v>
      </c>
      <c r="S1147">
        <v>0</v>
      </c>
      <c r="T1147">
        <v>2</v>
      </c>
      <c r="U1147">
        <v>0</v>
      </c>
      <c r="V1147">
        <v>0</v>
      </c>
      <c r="W1147">
        <v>1</v>
      </c>
      <c r="X1147">
        <v>0</v>
      </c>
      <c r="Y1147">
        <v>0</v>
      </c>
      <c r="Z1147">
        <v>2</v>
      </c>
      <c r="AA1147">
        <v>5</v>
      </c>
      <c r="AB1147">
        <v>0</v>
      </c>
      <c r="AC1147">
        <v>1</v>
      </c>
      <c r="AD1147">
        <v>1</v>
      </c>
      <c r="AE1147">
        <v>0</v>
      </c>
      <c r="AF1147">
        <v>0</v>
      </c>
      <c r="AG1147">
        <v>0</v>
      </c>
      <c r="AH1147">
        <v>2</v>
      </c>
      <c r="AI1147">
        <v>0</v>
      </c>
      <c r="AJ1147">
        <v>2</v>
      </c>
      <c r="AK1147">
        <v>0</v>
      </c>
      <c r="AL1147">
        <v>0</v>
      </c>
      <c r="AM1147">
        <v>0</v>
      </c>
      <c r="AN1147">
        <v>1</v>
      </c>
      <c r="AO1147">
        <v>2</v>
      </c>
      <c r="AP1147">
        <v>0</v>
      </c>
      <c r="AQ1147">
        <v>2</v>
      </c>
      <c r="AR1147">
        <v>2</v>
      </c>
      <c r="AS1147">
        <v>0</v>
      </c>
      <c r="AT1147">
        <v>0</v>
      </c>
      <c r="AU1147">
        <v>2</v>
      </c>
      <c r="AV1147">
        <v>0</v>
      </c>
      <c r="AW1147">
        <v>0</v>
      </c>
      <c r="AX1147">
        <v>0</v>
      </c>
      <c r="AY1147">
        <v>1</v>
      </c>
      <c r="AZ1147">
        <v>0</v>
      </c>
      <c r="BA1147">
        <v>0</v>
      </c>
      <c r="BB1147">
        <v>2</v>
      </c>
      <c r="BC1147">
        <v>1</v>
      </c>
      <c r="BD1147">
        <v>2</v>
      </c>
      <c r="BE1147">
        <v>0</v>
      </c>
      <c r="BF1147">
        <v>0</v>
      </c>
      <c r="BG1147">
        <v>0</v>
      </c>
      <c r="BH1147">
        <v>0</v>
      </c>
      <c r="BI1147">
        <v>0</v>
      </c>
      <c r="BJ1147">
        <v>0</v>
      </c>
      <c r="BK1147">
        <v>0</v>
      </c>
      <c r="BL1147">
        <v>0</v>
      </c>
      <c r="BM1147">
        <v>0</v>
      </c>
      <c r="BN1147">
        <v>0</v>
      </c>
      <c r="BO1147">
        <v>0</v>
      </c>
      <c r="BP1147">
        <v>0</v>
      </c>
      <c r="BQ1147">
        <v>0</v>
      </c>
      <c r="BR1147">
        <v>0</v>
      </c>
      <c r="BS1147">
        <v>0</v>
      </c>
      <c r="BT1147">
        <v>0</v>
      </c>
      <c r="BU1147">
        <v>0</v>
      </c>
      <c r="BV1147">
        <v>0</v>
      </c>
      <c r="BW1147">
        <v>0</v>
      </c>
      <c r="BX1147">
        <v>0</v>
      </c>
      <c r="BY1147">
        <v>0</v>
      </c>
      <c r="BZ1147">
        <v>0</v>
      </c>
      <c r="CA1147">
        <v>0</v>
      </c>
      <c r="CB1147">
        <v>0</v>
      </c>
      <c r="CC1147">
        <v>0</v>
      </c>
      <c r="CD1147">
        <v>0</v>
      </c>
      <c r="CE1147">
        <v>0</v>
      </c>
      <c r="CF1147">
        <v>0</v>
      </c>
      <c r="CG1147">
        <v>0</v>
      </c>
      <c r="CH1147">
        <v>0</v>
      </c>
      <c r="CI1147">
        <v>0</v>
      </c>
      <c r="CJ1147">
        <v>0</v>
      </c>
      <c r="CK1147">
        <v>0</v>
      </c>
      <c r="CL1147">
        <v>0</v>
      </c>
      <c r="CM1147">
        <v>0</v>
      </c>
      <c r="CN1147">
        <v>0</v>
      </c>
      <c r="CO1147">
        <v>0</v>
      </c>
      <c r="CP1147">
        <v>0</v>
      </c>
      <c r="CQ1147">
        <v>0</v>
      </c>
      <c r="CR1147">
        <v>0</v>
      </c>
      <c r="CS1147">
        <v>0</v>
      </c>
      <c r="CT1147">
        <v>0</v>
      </c>
      <c r="CU1147">
        <v>0</v>
      </c>
      <c r="CV1147">
        <v>0</v>
      </c>
      <c r="CW1147">
        <v>0</v>
      </c>
      <c r="CX1147">
        <v>0</v>
      </c>
      <c r="CY1147">
        <v>0</v>
      </c>
      <c r="CZ1147">
        <v>0</v>
      </c>
      <c r="DA1147">
        <v>0</v>
      </c>
      <c r="DB1147">
        <v>0</v>
      </c>
      <c r="DC1147">
        <v>0</v>
      </c>
      <c r="DD1147">
        <v>0</v>
      </c>
      <c r="DE1147">
        <v>0</v>
      </c>
      <c r="DF1147">
        <v>0</v>
      </c>
      <c r="DG1147" s="16">
        <f t="shared" si="97"/>
        <v>55</v>
      </c>
      <c r="DH1147" s="16">
        <f t="shared" si="98"/>
        <v>1088</v>
      </c>
      <c r="DI1147" s="17">
        <f t="shared" si="99"/>
        <v>19.781818181818181</v>
      </c>
      <c r="DJ1147" s="119" t="s">
        <v>4</v>
      </c>
      <c r="DK1147" s="119" t="s">
        <v>1530</v>
      </c>
      <c r="DL1147" s="119"/>
    </row>
    <row r="1148" spans="1:116">
      <c r="A1148" s="32" t="str">
        <f t="shared" si="95"/>
        <v>Essential--GROUND OUTDOOR / INDOOR CHAMBER MOUNTED ; &gt; = 22 KV &amp; &lt; = 33 KV ;  &gt; 40 MVA</v>
      </c>
      <c r="B1148" s="32" t="str">
        <f t="shared" si="96"/>
        <v>Essential</v>
      </c>
      <c r="C1148" s="384"/>
      <c r="E1148" t="s">
        <v>1501</v>
      </c>
      <c r="F1148">
        <v>45.8</v>
      </c>
      <c r="G1148">
        <v>6.7675697262754522</v>
      </c>
      <c r="H1148">
        <v>0</v>
      </c>
      <c r="I1148">
        <v>0</v>
      </c>
      <c r="J1148">
        <v>0</v>
      </c>
      <c r="K1148">
        <v>0</v>
      </c>
      <c r="L1148">
        <v>0</v>
      </c>
      <c r="M1148">
        <v>0</v>
      </c>
      <c r="N1148">
        <v>0</v>
      </c>
      <c r="O1148">
        <v>2</v>
      </c>
      <c r="P1148">
        <v>0</v>
      </c>
      <c r="Q1148">
        <v>0</v>
      </c>
      <c r="R1148">
        <v>0</v>
      </c>
      <c r="S1148">
        <v>0</v>
      </c>
      <c r="T1148">
        <v>0</v>
      </c>
      <c r="U1148">
        <v>0</v>
      </c>
      <c r="V1148">
        <v>0</v>
      </c>
      <c r="W1148">
        <v>0</v>
      </c>
      <c r="X1148">
        <v>0</v>
      </c>
      <c r="Y1148">
        <v>0</v>
      </c>
      <c r="Z1148">
        <v>0</v>
      </c>
      <c r="AA1148">
        <v>0</v>
      </c>
      <c r="AB1148">
        <v>0</v>
      </c>
      <c r="AC1148">
        <v>0</v>
      </c>
      <c r="AD1148">
        <v>0</v>
      </c>
      <c r="AE1148">
        <v>0</v>
      </c>
      <c r="AF1148">
        <v>0</v>
      </c>
      <c r="AG1148">
        <v>0</v>
      </c>
      <c r="AH1148">
        <v>0</v>
      </c>
      <c r="AI1148">
        <v>0</v>
      </c>
      <c r="AJ1148">
        <v>0</v>
      </c>
      <c r="AK1148">
        <v>0</v>
      </c>
      <c r="AL1148">
        <v>0</v>
      </c>
      <c r="AM1148">
        <v>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v>0</v>
      </c>
      <c r="BK1148">
        <v>0</v>
      </c>
      <c r="BL1148">
        <v>0</v>
      </c>
      <c r="BM1148">
        <v>0</v>
      </c>
      <c r="BN1148">
        <v>0</v>
      </c>
      <c r="BO1148">
        <v>0</v>
      </c>
      <c r="BP1148">
        <v>0</v>
      </c>
      <c r="BQ1148">
        <v>0</v>
      </c>
      <c r="BR1148">
        <v>0</v>
      </c>
      <c r="BS1148">
        <v>0</v>
      </c>
      <c r="BT1148">
        <v>0</v>
      </c>
      <c r="BU1148">
        <v>0</v>
      </c>
      <c r="BV1148">
        <v>0</v>
      </c>
      <c r="BW1148">
        <v>0</v>
      </c>
      <c r="BX1148">
        <v>0</v>
      </c>
      <c r="BY1148">
        <v>0</v>
      </c>
      <c r="BZ1148">
        <v>0</v>
      </c>
      <c r="CA1148">
        <v>0</v>
      </c>
      <c r="CB1148">
        <v>0</v>
      </c>
      <c r="CC1148">
        <v>0</v>
      </c>
      <c r="CD1148">
        <v>0</v>
      </c>
      <c r="CE1148">
        <v>0</v>
      </c>
      <c r="CF1148">
        <v>0</v>
      </c>
      <c r="CG1148">
        <v>0</v>
      </c>
      <c r="CH1148">
        <v>0</v>
      </c>
      <c r="CI1148">
        <v>0</v>
      </c>
      <c r="CJ1148">
        <v>0</v>
      </c>
      <c r="CK1148">
        <v>0</v>
      </c>
      <c r="CL1148">
        <v>0</v>
      </c>
      <c r="CM1148">
        <v>0</v>
      </c>
      <c r="CN1148">
        <v>0</v>
      </c>
      <c r="CO1148">
        <v>0</v>
      </c>
      <c r="CP1148">
        <v>0</v>
      </c>
      <c r="CQ1148">
        <v>0</v>
      </c>
      <c r="CR1148">
        <v>0</v>
      </c>
      <c r="CS1148">
        <v>0</v>
      </c>
      <c r="CT1148">
        <v>0</v>
      </c>
      <c r="CU1148">
        <v>0</v>
      </c>
      <c r="CV1148">
        <v>0</v>
      </c>
      <c r="CW1148">
        <v>0</v>
      </c>
      <c r="CX1148">
        <v>0</v>
      </c>
      <c r="CY1148">
        <v>0</v>
      </c>
      <c r="CZ1148">
        <v>0</v>
      </c>
      <c r="DA1148">
        <v>0</v>
      </c>
      <c r="DB1148">
        <v>0</v>
      </c>
      <c r="DC1148">
        <v>0</v>
      </c>
      <c r="DD1148">
        <v>0</v>
      </c>
      <c r="DE1148">
        <v>0</v>
      </c>
      <c r="DF1148">
        <v>0</v>
      </c>
      <c r="DG1148" s="16">
        <f t="shared" si="97"/>
        <v>2</v>
      </c>
      <c r="DH1148" s="16">
        <f t="shared" si="98"/>
        <v>16</v>
      </c>
      <c r="DI1148" s="17">
        <f t="shared" si="99"/>
        <v>8</v>
      </c>
      <c r="DJ1148" s="119" t="s">
        <v>4</v>
      </c>
      <c r="DK1148" s="119" t="s">
        <v>1530</v>
      </c>
      <c r="DL1148" s="119"/>
    </row>
    <row r="1149" spans="1:116">
      <c r="A1149" s="32" t="str">
        <f t="shared" si="95"/>
        <v>Essential--GROUND OUTDOOR / INDOOR CHAMBER MOUNTED ; &gt; 33 KV &amp; &lt; = 66 KV ;  &lt; = 15 MVA</v>
      </c>
      <c r="B1149" s="32" t="str">
        <f t="shared" si="96"/>
        <v>Essential</v>
      </c>
      <c r="C1149" s="384"/>
      <c r="E1149" t="s">
        <v>1502</v>
      </c>
      <c r="F1149">
        <v>45.8</v>
      </c>
      <c r="G1149">
        <v>6.7675697262754522</v>
      </c>
      <c r="H1149">
        <v>8</v>
      </c>
      <c r="I1149">
        <v>5</v>
      </c>
      <c r="J1149">
        <v>8</v>
      </c>
      <c r="K1149">
        <v>7</v>
      </c>
      <c r="L1149">
        <v>9</v>
      </c>
      <c r="M1149">
        <v>27</v>
      </c>
      <c r="N1149">
        <v>2</v>
      </c>
      <c r="O1149">
        <v>2</v>
      </c>
      <c r="P1149">
        <v>3</v>
      </c>
      <c r="Q1149">
        <v>6</v>
      </c>
      <c r="R1149">
        <v>1</v>
      </c>
      <c r="S1149">
        <v>1</v>
      </c>
      <c r="T1149">
        <v>0</v>
      </c>
      <c r="U1149">
        <v>2</v>
      </c>
      <c r="V1149">
        <v>3</v>
      </c>
      <c r="W1149">
        <v>1</v>
      </c>
      <c r="X1149">
        <v>2</v>
      </c>
      <c r="Y1149">
        <v>0</v>
      </c>
      <c r="Z1149">
        <v>3</v>
      </c>
      <c r="AA1149">
        <v>4</v>
      </c>
      <c r="AB1149">
        <v>3</v>
      </c>
      <c r="AC1149">
        <v>5</v>
      </c>
      <c r="AD1149">
        <v>6</v>
      </c>
      <c r="AE1149">
        <v>3</v>
      </c>
      <c r="AF1149">
        <v>4</v>
      </c>
      <c r="AG1149">
        <v>2</v>
      </c>
      <c r="AH1149">
        <v>11</v>
      </c>
      <c r="AI1149">
        <v>0</v>
      </c>
      <c r="AJ1149">
        <v>9</v>
      </c>
      <c r="AK1149">
        <v>13</v>
      </c>
      <c r="AL1149">
        <v>0</v>
      </c>
      <c r="AM1149">
        <v>2</v>
      </c>
      <c r="AN1149">
        <v>8</v>
      </c>
      <c r="AO1149">
        <v>8</v>
      </c>
      <c r="AP1149">
        <v>3</v>
      </c>
      <c r="AQ1149">
        <v>4</v>
      </c>
      <c r="AR1149">
        <v>5</v>
      </c>
      <c r="AS1149">
        <v>1</v>
      </c>
      <c r="AT1149">
        <v>1</v>
      </c>
      <c r="AU1149">
        <v>3</v>
      </c>
      <c r="AV1149">
        <v>3</v>
      </c>
      <c r="AW1149">
        <v>2</v>
      </c>
      <c r="AX1149">
        <v>8</v>
      </c>
      <c r="AY1149">
        <v>10</v>
      </c>
      <c r="AZ1149">
        <v>8</v>
      </c>
      <c r="BA1149">
        <v>12</v>
      </c>
      <c r="BB1149">
        <v>6</v>
      </c>
      <c r="BC1149">
        <v>15</v>
      </c>
      <c r="BD1149">
        <v>16</v>
      </c>
      <c r="BE1149">
        <v>2</v>
      </c>
      <c r="BF1149">
        <v>13</v>
      </c>
      <c r="BG1149">
        <v>2</v>
      </c>
      <c r="BH1149">
        <v>6</v>
      </c>
      <c r="BI1149">
        <v>14</v>
      </c>
      <c r="BJ1149">
        <v>3</v>
      </c>
      <c r="BK1149">
        <v>5</v>
      </c>
      <c r="BL1149">
        <v>2</v>
      </c>
      <c r="BM1149">
        <v>5</v>
      </c>
      <c r="BN1149">
        <v>0</v>
      </c>
      <c r="BO1149">
        <v>0</v>
      </c>
      <c r="BP1149">
        <v>2</v>
      </c>
      <c r="BQ1149">
        <v>4</v>
      </c>
      <c r="BR1149">
        <v>1</v>
      </c>
      <c r="BS1149">
        <v>4</v>
      </c>
      <c r="BT1149">
        <v>0</v>
      </c>
      <c r="BU1149">
        <v>3</v>
      </c>
      <c r="BV1149">
        <v>0</v>
      </c>
      <c r="BW1149">
        <v>1</v>
      </c>
      <c r="BX1149">
        <v>3</v>
      </c>
      <c r="BY1149">
        <v>0</v>
      </c>
      <c r="BZ1149">
        <v>0</v>
      </c>
      <c r="CA1149">
        <v>0</v>
      </c>
      <c r="CB1149">
        <v>0</v>
      </c>
      <c r="CC1149">
        <v>0</v>
      </c>
      <c r="CD1149">
        <v>0</v>
      </c>
      <c r="CE1149">
        <v>0</v>
      </c>
      <c r="CF1149">
        <v>0</v>
      </c>
      <c r="CG1149">
        <v>1</v>
      </c>
      <c r="CH1149">
        <v>0</v>
      </c>
      <c r="CI1149">
        <v>0</v>
      </c>
      <c r="CJ1149">
        <v>0</v>
      </c>
      <c r="CK1149">
        <v>0</v>
      </c>
      <c r="CL1149">
        <v>0</v>
      </c>
      <c r="CM1149">
        <v>0</v>
      </c>
      <c r="CN1149">
        <v>0</v>
      </c>
      <c r="CO1149">
        <v>0</v>
      </c>
      <c r="CP1149">
        <v>0</v>
      </c>
      <c r="CQ1149">
        <v>0</v>
      </c>
      <c r="CR1149">
        <v>0</v>
      </c>
      <c r="CS1149">
        <v>0</v>
      </c>
      <c r="CT1149">
        <v>0</v>
      </c>
      <c r="CU1149">
        <v>0</v>
      </c>
      <c r="CV1149">
        <v>0</v>
      </c>
      <c r="CW1149">
        <v>0</v>
      </c>
      <c r="CX1149">
        <v>0</v>
      </c>
      <c r="CY1149">
        <v>0</v>
      </c>
      <c r="CZ1149">
        <v>0</v>
      </c>
      <c r="DA1149">
        <v>0</v>
      </c>
      <c r="DB1149">
        <v>0</v>
      </c>
      <c r="DC1149">
        <v>0</v>
      </c>
      <c r="DD1149">
        <v>0</v>
      </c>
      <c r="DE1149">
        <v>0</v>
      </c>
      <c r="DF1149">
        <v>0</v>
      </c>
      <c r="DG1149" s="16">
        <f t="shared" si="97"/>
        <v>336</v>
      </c>
      <c r="DH1149" s="16">
        <f t="shared" si="98"/>
        <v>11110</v>
      </c>
      <c r="DI1149" s="17">
        <f t="shared" si="99"/>
        <v>33.06547619047619</v>
      </c>
      <c r="DJ1149" s="119" t="s">
        <v>4</v>
      </c>
      <c r="DK1149" s="119" t="s">
        <v>1530</v>
      </c>
      <c r="DL1149" s="119"/>
    </row>
    <row r="1150" spans="1:116">
      <c r="A1150" s="32" t="str">
        <f t="shared" si="95"/>
        <v>Essential--GROUND OUTDOOR / INDOOR CHAMBER MOUNTED ; &gt; 33 KV &amp; &lt; = 66 KV ;  &gt; 15 MVA AND &lt; = 40 MVA</v>
      </c>
      <c r="B1150" s="32" t="str">
        <f t="shared" si="96"/>
        <v>Essential</v>
      </c>
      <c r="C1150" s="384"/>
      <c r="E1150" t="s">
        <v>1503</v>
      </c>
      <c r="F1150">
        <v>45.8</v>
      </c>
      <c r="G1150">
        <v>6.7675697262754522</v>
      </c>
      <c r="H1150">
        <v>0</v>
      </c>
      <c r="I1150">
        <v>6</v>
      </c>
      <c r="J1150">
        <v>5</v>
      </c>
      <c r="K1150">
        <v>12</v>
      </c>
      <c r="L1150">
        <v>5</v>
      </c>
      <c r="M1150">
        <v>5</v>
      </c>
      <c r="N1150">
        <v>16</v>
      </c>
      <c r="O1150">
        <v>7</v>
      </c>
      <c r="P1150">
        <v>4</v>
      </c>
      <c r="Q1150">
        <v>10</v>
      </c>
      <c r="R1150">
        <v>4</v>
      </c>
      <c r="S1150">
        <v>3</v>
      </c>
      <c r="T1150">
        <v>1</v>
      </c>
      <c r="U1150">
        <v>0</v>
      </c>
      <c r="V1150">
        <v>0</v>
      </c>
      <c r="W1150">
        <v>0</v>
      </c>
      <c r="X1150">
        <v>0</v>
      </c>
      <c r="Y1150">
        <v>0</v>
      </c>
      <c r="Z1150">
        <v>2</v>
      </c>
      <c r="AA1150">
        <v>1</v>
      </c>
      <c r="AB1150">
        <v>0</v>
      </c>
      <c r="AC1150">
        <v>0</v>
      </c>
      <c r="AD1150">
        <v>0</v>
      </c>
      <c r="AE1150">
        <v>4</v>
      </c>
      <c r="AF1150">
        <v>1</v>
      </c>
      <c r="AG1150">
        <v>2</v>
      </c>
      <c r="AH1150">
        <v>5</v>
      </c>
      <c r="AI1150">
        <v>2</v>
      </c>
      <c r="AJ1150">
        <v>5</v>
      </c>
      <c r="AK1150">
        <v>5</v>
      </c>
      <c r="AL1150">
        <v>6</v>
      </c>
      <c r="AM1150">
        <v>8</v>
      </c>
      <c r="AN1150">
        <v>9</v>
      </c>
      <c r="AO1150">
        <v>1</v>
      </c>
      <c r="AP1150">
        <v>3</v>
      </c>
      <c r="AQ1150">
        <v>3</v>
      </c>
      <c r="AR1150">
        <v>8</v>
      </c>
      <c r="AS1150">
        <v>2</v>
      </c>
      <c r="AT1150">
        <v>0</v>
      </c>
      <c r="AU1150">
        <v>0</v>
      </c>
      <c r="AV1150">
        <v>2</v>
      </c>
      <c r="AW1150">
        <v>0</v>
      </c>
      <c r="AX1150">
        <v>0</v>
      </c>
      <c r="AY1150">
        <v>3</v>
      </c>
      <c r="AZ1150">
        <v>2</v>
      </c>
      <c r="BA1150">
        <v>0</v>
      </c>
      <c r="BB1150">
        <v>2</v>
      </c>
      <c r="BC1150">
        <v>3</v>
      </c>
      <c r="BD1150">
        <v>1</v>
      </c>
      <c r="BE1150">
        <v>0</v>
      </c>
      <c r="BF1150">
        <v>2</v>
      </c>
      <c r="BG1150">
        <v>0</v>
      </c>
      <c r="BH1150">
        <v>0</v>
      </c>
      <c r="BI1150">
        <v>0</v>
      </c>
      <c r="BJ1150">
        <v>0</v>
      </c>
      <c r="BK1150">
        <v>0</v>
      </c>
      <c r="BL1150">
        <v>0</v>
      </c>
      <c r="BM1150">
        <v>0</v>
      </c>
      <c r="BN1150">
        <v>0</v>
      </c>
      <c r="BO1150">
        <v>0</v>
      </c>
      <c r="BP1150">
        <v>0</v>
      </c>
      <c r="BQ1150">
        <v>0</v>
      </c>
      <c r="BR1150">
        <v>0</v>
      </c>
      <c r="BS1150">
        <v>0</v>
      </c>
      <c r="BT1150">
        <v>0</v>
      </c>
      <c r="BU1150">
        <v>0</v>
      </c>
      <c r="BV1150">
        <v>0</v>
      </c>
      <c r="BW1150">
        <v>0</v>
      </c>
      <c r="BX1150">
        <v>0</v>
      </c>
      <c r="BY1150">
        <v>0</v>
      </c>
      <c r="BZ1150">
        <v>0</v>
      </c>
      <c r="CA1150">
        <v>0</v>
      </c>
      <c r="CB1150">
        <v>0</v>
      </c>
      <c r="CC1150">
        <v>0</v>
      </c>
      <c r="CD1150">
        <v>0</v>
      </c>
      <c r="CE1150">
        <v>0</v>
      </c>
      <c r="CF1150">
        <v>0</v>
      </c>
      <c r="CG1150">
        <v>0</v>
      </c>
      <c r="CH1150">
        <v>0</v>
      </c>
      <c r="CI1150">
        <v>0</v>
      </c>
      <c r="CJ1150">
        <v>0</v>
      </c>
      <c r="CK1150">
        <v>0</v>
      </c>
      <c r="CL1150">
        <v>0</v>
      </c>
      <c r="CM1150">
        <v>0</v>
      </c>
      <c r="CN1150">
        <v>0</v>
      </c>
      <c r="CO1150">
        <v>0</v>
      </c>
      <c r="CP1150">
        <v>0</v>
      </c>
      <c r="CQ1150">
        <v>0</v>
      </c>
      <c r="CR1150">
        <v>0</v>
      </c>
      <c r="CS1150">
        <v>0</v>
      </c>
      <c r="CT1150">
        <v>0</v>
      </c>
      <c r="CU1150">
        <v>0</v>
      </c>
      <c r="CV1150">
        <v>0</v>
      </c>
      <c r="CW1150">
        <v>0</v>
      </c>
      <c r="CX1150">
        <v>0</v>
      </c>
      <c r="CY1150">
        <v>0</v>
      </c>
      <c r="CZ1150">
        <v>0</v>
      </c>
      <c r="DA1150">
        <v>0</v>
      </c>
      <c r="DB1150">
        <v>0</v>
      </c>
      <c r="DC1150">
        <v>0</v>
      </c>
      <c r="DD1150">
        <v>0</v>
      </c>
      <c r="DE1150">
        <v>0</v>
      </c>
      <c r="DF1150">
        <v>0</v>
      </c>
      <c r="DG1150" s="16">
        <f t="shared" si="97"/>
        <v>160</v>
      </c>
      <c r="DH1150" s="16">
        <f t="shared" si="98"/>
        <v>3295</v>
      </c>
      <c r="DI1150" s="17">
        <f t="shared" si="99"/>
        <v>20.59375</v>
      </c>
      <c r="DJ1150" s="119" t="s">
        <v>4</v>
      </c>
      <c r="DK1150" s="119" t="s">
        <v>1530</v>
      </c>
      <c r="DL1150" s="119"/>
    </row>
    <row r="1151" spans="1:116">
      <c r="A1151" s="32" t="str">
        <f t="shared" si="95"/>
        <v>Essential--GROUND OUTDOOR / INDOOR CHAMBER MOUNTED ; &gt; 33 KV &amp; &lt; = 66 KV ;  &gt; 40 MVA</v>
      </c>
      <c r="B1151" s="32" t="str">
        <f t="shared" si="96"/>
        <v>Essential</v>
      </c>
      <c r="C1151" s="384"/>
      <c r="E1151" t="s">
        <v>1504</v>
      </c>
      <c r="F1151">
        <v>45.8</v>
      </c>
      <c r="G1151">
        <v>6.7675697262754522</v>
      </c>
      <c r="H1151">
        <v>0</v>
      </c>
      <c r="I1151">
        <v>0</v>
      </c>
      <c r="J1151">
        <v>0</v>
      </c>
      <c r="K1151">
        <v>0</v>
      </c>
      <c r="L1151">
        <v>0</v>
      </c>
      <c r="M1151">
        <v>0</v>
      </c>
      <c r="N1151">
        <v>0</v>
      </c>
      <c r="O1151">
        <v>0</v>
      </c>
      <c r="P1151">
        <v>2</v>
      </c>
      <c r="Q1151">
        <v>0</v>
      </c>
      <c r="R1151">
        <v>0</v>
      </c>
      <c r="S1151">
        <v>0</v>
      </c>
      <c r="T1151">
        <v>0</v>
      </c>
      <c r="U1151">
        <v>0</v>
      </c>
      <c r="V1151">
        <v>0</v>
      </c>
      <c r="W1151">
        <v>0</v>
      </c>
      <c r="X1151">
        <v>0</v>
      </c>
      <c r="Y1151">
        <v>0</v>
      </c>
      <c r="Z1151">
        <v>0</v>
      </c>
      <c r="AA1151">
        <v>0</v>
      </c>
      <c r="AB1151">
        <v>0</v>
      </c>
      <c r="AC1151">
        <v>0</v>
      </c>
      <c r="AD1151">
        <v>0</v>
      </c>
      <c r="AE1151">
        <v>0</v>
      </c>
      <c r="AF1151">
        <v>0</v>
      </c>
      <c r="AG1151">
        <v>0</v>
      </c>
      <c r="AH1151">
        <v>0</v>
      </c>
      <c r="AI1151">
        <v>0</v>
      </c>
      <c r="AJ1151">
        <v>0</v>
      </c>
      <c r="AK1151">
        <v>0</v>
      </c>
      <c r="AL1151">
        <v>0</v>
      </c>
      <c r="AM1151">
        <v>0</v>
      </c>
      <c r="AN1151">
        <v>0</v>
      </c>
      <c r="AO1151">
        <v>0</v>
      </c>
      <c r="AP1151">
        <v>0</v>
      </c>
      <c r="AQ1151">
        <v>0</v>
      </c>
      <c r="AR1151">
        <v>0</v>
      </c>
      <c r="AS1151">
        <v>0</v>
      </c>
      <c r="AT1151">
        <v>0</v>
      </c>
      <c r="AU1151">
        <v>0</v>
      </c>
      <c r="AV1151">
        <v>0</v>
      </c>
      <c r="AW1151">
        <v>0</v>
      </c>
      <c r="AX1151">
        <v>0</v>
      </c>
      <c r="AY1151">
        <v>0</v>
      </c>
      <c r="AZ1151">
        <v>0</v>
      </c>
      <c r="BA1151">
        <v>0</v>
      </c>
      <c r="BB1151">
        <v>0</v>
      </c>
      <c r="BC1151">
        <v>0</v>
      </c>
      <c r="BD1151">
        <v>0</v>
      </c>
      <c r="BE1151">
        <v>0</v>
      </c>
      <c r="BF1151">
        <v>0</v>
      </c>
      <c r="BG1151">
        <v>0</v>
      </c>
      <c r="BH1151">
        <v>0</v>
      </c>
      <c r="BI1151">
        <v>0</v>
      </c>
      <c r="BJ1151">
        <v>0</v>
      </c>
      <c r="BK1151">
        <v>0</v>
      </c>
      <c r="BL1151">
        <v>0</v>
      </c>
      <c r="BM1151">
        <v>0</v>
      </c>
      <c r="BN1151">
        <v>0</v>
      </c>
      <c r="BO1151">
        <v>0</v>
      </c>
      <c r="BP1151">
        <v>0</v>
      </c>
      <c r="BQ1151">
        <v>0</v>
      </c>
      <c r="BR1151">
        <v>0</v>
      </c>
      <c r="BS1151">
        <v>0</v>
      </c>
      <c r="BT1151">
        <v>0</v>
      </c>
      <c r="BU1151">
        <v>0</v>
      </c>
      <c r="BV1151">
        <v>0</v>
      </c>
      <c r="BW1151">
        <v>0</v>
      </c>
      <c r="BX1151">
        <v>0</v>
      </c>
      <c r="BY1151">
        <v>0</v>
      </c>
      <c r="BZ1151">
        <v>0</v>
      </c>
      <c r="CA1151">
        <v>0</v>
      </c>
      <c r="CB1151">
        <v>0</v>
      </c>
      <c r="CC1151">
        <v>0</v>
      </c>
      <c r="CD1151">
        <v>0</v>
      </c>
      <c r="CE1151">
        <v>0</v>
      </c>
      <c r="CF1151">
        <v>0</v>
      </c>
      <c r="CG1151">
        <v>0</v>
      </c>
      <c r="CH1151">
        <v>0</v>
      </c>
      <c r="CI1151">
        <v>0</v>
      </c>
      <c r="CJ1151">
        <v>0</v>
      </c>
      <c r="CK1151">
        <v>0</v>
      </c>
      <c r="CL1151">
        <v>0</v>
      </c>
      <c r="CM1151">
        <v>0</v>
      </c>
      <c r="CN1151">
        <v>0</v>
      </c>
      <c r="CO1151">
        <v>0</v>
      </c>
      <c r="CP1151">
        <v>0</v>
      </c>
      <c r="CQ1151">
        <v>0</v>
      </c>
      <c r="CR1151">
        <v>0</v>
      </c>
      <c r="CS1151">
        <v>0</v>
      </c>
      <c r="CT1151">
        <v>0</v>
      </c>
      <c r="CU1151">
        <v>0</v>
      </c>
      <c r="CV1151">
        <v>0</v>
      </c>
      <c r="CW1151">
        <v>0</v>
      </c>
      <c r="CX1151">
        <v>0</v>
      </c>
      <c r="CY1151">
        <v>0</v>
      </c>
      <c r="CZ1151">
        <v>0</v>
      </c>
      <c r="DA1151">
        <v>0</v>
      </c>
      <c r="DB1151">
        <v>0</v>
      </c>
      <c r="DC1151">
        <v>0</v>
      </c>
      <c r="DD1151">
        <v>0</v>
      </c>
      <c r="DE1151">
        <v>0</v>
      </c>
      <c r="DF1151">
        <v>0</v>
      </c>
      <c r="DG1151" s="16">
        <f t="shared" si="97"/>
        <v>2</v>
      </c>
      <c r="DH1151" s="16">
        <f t="shared" si="98"/>
        <v>18</v>
      </c>
      <c r="DI1151" s="17">
        <f t="shared" si="99"/>
        <v>9</v>
      </c>
      <c r="DJ1151" s="119" t="s">
        <v>4</v>
      </c>
      <c r="DK1151" s="119" t="s">
        <v>1530</v>
      </c>
      <c r="DL1151" s="119"/>
    </row>
    <row r="1152" spans="1:116">
      <c r="A1152" s="32" t="str">
        <f t="shared" si="95"/>
        <v>Essential--GROUND OUTDOOR / INDOOR CHAMBER MOUNTED ; &gt; 66 KV &amp; &lt; = 132 KV ;  &lt; = 100 MVA</v>
      </c>
      <c r="B1152" s="32" t="str">
        <f t="shared" si="96"/>
        <v>Essential</v>
      </c>
      <c r="C1152" s="384"/>
      <c r="E1152" t="s">
        <v>1505</v>
      </c>
      <c r="F1152">
        <v>45.8</v>
      </c>
      <c r="G1152">
        <v>6.7675697262754522</v>
      </c>
      <c r="H1152">
        <v>2</v>
      </c>
      <c r="I1152">
        <v>7</v>
      </c>
      <c r="J1152">
        <v>3</v>
      </c>
      <c r="K1152">
        <v>4</v>
      </c>
      <c r="L1152">
        <v>0</v>
      </c>
      <c r="M1152">
        <v>13</v>
      </c>
      <c r="N1152">
        <v>2</v>
      </c>
      <c r="O1152">
        <v>1</v>
      </c>
      <c r="P1152">
        <v>0</v>
      </c>
      <c r="Q1152">
        <v>2</v>
      </c>
      <c r="R1152">
        <v>4</v>
      </c>
      <c r="S1152">
        <v>3</v>
      </c>
      <c r="T1152">
        <v>3</v>
      </c>
      <c r="U1152">
        <v>2</v>
      </c>
      <c r="V1152">
        <v>4</v>
      </c>
      <c r="W1152">
        <v>1</v>
      </c>
      <c r="X1152">
        <v>0</v>
      </c>
      <c r="Y1152">
        <v>0</v>
      </c>
      <c r="Z1152">
        <v>5</v>
      </c>
      <c r="AA1152">
        <v>2</v>
      </c>
      <c r="AB1152">
        <v>0</v>
      </c>
      <c r="AC1152">
        <v>1</v>
      </c>
      <c r="AD1152">
        <v>2</v>
      </c>
      <c r="AE1152">
        <v>2</v>
      </c>
      <c r="AF1152">
        <v>0</v>
      </c>
      <c r="AG1152">
        <v>0</v>
      </c>
      <c r="AH1152">
        <v>0</v>
      </c>
      <c r="AI1152">
        <v>0</v>
      </c>
      <c r="AJ1152">
        <v>0</v>
      </c>
      <c r="AK1152">
        <v>6</v>
      </c>
      <c r="AL1152">
        <v>0</v>
      </c>
      <c r="AM1152">
        <v>4</v>
      </c>
      <c r="AN1152">
        <v>1</v>
      </c>
      <c r="AO1152">
        <v>0</v>
      </c>
      <c r="AP1152">
        <v>0</v>
      </c>
      <c r="AQ1152">
        <v>1</v>
      </c>
      <c r="AR1152">
        <v>0</v>
      </c>
      <c r="AS1152">
        <v>1</v>
      </c>
      <c r="AT1152">
        <v>0</v>
      </c>
      <c r="AU1152">
        <v>0</v>
      </c>
      <c r="AV1152">
        <v>0</v>
      </c>
      <c r="AW1152">
        <v>0</v>
      </c>
      <c r="AX1152">
        <v>0</v>
      </c>
      <c r="AY1152">
        <v>0</v>
      </c>
      <c r="AZ1152">
        <v>0</v>
      </c>
      <c r="BA1152">
        <v>0</v>
      </c>
      <c r="BB1152">
        <v>0</v>
      </c>
      <c r="BC1152">
        <v>2</v>
      </c>
      <c r="BD1152">
        <v>2</v>
      </c>
      <c r="BE1152">
        <v>2</v>
      </c>
      <c r="BF1152">
        <v>0</v>
      </c>
      <c r="BG1152">
        <v>0</v>
      </c>
      <c r="BH1152">
        <v>2</v>
      </c>
      <c r="BI1152">
        <v>0</v>
      </c>
      <c r="BJ1152">
        <v>0</v>
      </c>
      <c r="BK1152">
        <v>0</v>
      </c>
      <c r="BL1152">
        <v>0</v>
      </c>
      <c r="BM1152">
        <v>1</v>
      </c>
      <c r="BN1152">
        <v>0</v>
      </c>
      <c r="BO1152">
        <v>0</v>
      </c>
      <c r="BP1152">
        <v>0</v>
      </c>
      <c r="BQ1152">
        <v>0</v>
      </c>
      <c r="BR1152">
        <v>0</v>
      </c>
      <c r="BS1152">
        <v>0</v>
      </c>
      <c r="BT1152">
        <v>0</v>
      </c>
      <c r="BU1152">
        <v>0</v>
      </c>
      <c r="BV1152">
        <v>0</v>
      </c>
      <c r="BW1152">
        <v>0</v>
      </c>
      <c r="BX1152">
        <v>0</v>
      </c>
      <c r="BY1152">
        <v>0</v>
      </c>
      <c r="BZ1152">
        <v>0</v>
      </c>
      <c r="CA1152">
        <v>0</v>
      </c>
      <c r="CB1152">
        <v>0</v>
      </c>
      <c r="CC1152">
        <v>0</v>
      </c>
      <c r="CD1152">
        <v>0</v>
      </c>
      <c r="CE1152">
        <v>0</v>
      </c>
      <c r="CF1152">
        <v>0</v>
      </c>
      <c r="CG1152">
        <v>0</v>
      </c>
      <c r="CH1152">
        <v>0</v>
      </c>
      <c r="CI1152">
        <v>0</v>
      </c>
      <c r="CJ1152">
        <v>0</v>
      </c>
      <c r="CK1152">
        <v>0</v>
      </c>
      <c r="CL1152">
        <v>0</v>
      </c>
      <c r="CM1152">
        <v>0</v>
      </c>
      <c r="CN1152">
        <v>0</v>
      </c>
      <c r="CO1152">
        <v>0</v>
      </c>
      <c r="CP1152">
        <v>0</v>
      </c>
      <c r="CQ1152">
        <v>0</v>
      </c>
      <c r="CR1152">
        <v>0</v>
      </c>
      <c r="CS1152">
        <v>0</v>
      </c>
      <c r="CT1152">
        <v>0</v>
      </c>
      <c r="CU1152">
        <v>0</v>
      </c>
      <c r="CV1152">
        <v>0</v>
      </c>
      <c r="CW1152">
        <v>0</v>
      </c>
      <c r="CX1152">
        <v>0</v>
      </c>
      <c r="CY1152">
        <v>0</v>
      </c>
      <c r="CZ1152">
        <v>0</v>
      </c>
      <c r="DA1152">
        <v>0</v>
      </c>
      <c r="DB1152">
        <v>0</v>
      </c>
      <c r="DC1152">
        <v>0</v>
      </c>
      <c r="DD1152">
        <v>0</v>
      </c>
      <c r="DE1152">
        <v>0</v>
      </c>
      <c r="DF1152">
        <v>0</v>
      </c>
      <c r="DG1152" s="16">
        <f t="shared" si="97"/>
        <v>85</v>
      </c>
      <c r="DH1152" s="16">
        <f t="shared" si="98"/>
        <v>1508</v>
      </c>
      <c r="DI1152" s="17">
        <f t="shared" si="99"/>
        <v>17.741176470588236</v>
      </c>
      <c r="DJ1152" s="119" t="s">
        <v>4</v>
      </c>
      <c r="DK1152" s="119" t="s">
        <v>1530</v>
      </c>
      <c r="DL1152" s="119"/>
    </row>
    <row r="1153" spans="1:116">
      <c r="A1153" s="32" t="str">
        <f t="shared" si="95"/>
        <v>Essential--GROUND OUTDOOR / INDOOR CHAMBER MOUNTED ; &gt; 66 KV &amp; &lt; = 132 KV ;  &gt; 100 MVA</v>
      </c>
      <c r="B1153" s="32" t="str">
        <f t="shared" si="96"/>
        <v>Essential</v>
      </c>
      <c r="C1153" s="384"/>
      <c r="E1153" t="s">
        <v>1506</v>
      </c>
      <c r="F1153">
        <v>45.8</v>
      </c>
      <c r="G1153">
        <v>6.7675697262754522</v>
      </c>
      <c r="H1153">
        <v>0</v>
      </c>
      <c r="I1153">
        <v>0</v>
      </c>
      <c r="J1153">
        <v>0</v>
      </c>
      <c r="K1153">
        <v>0</v>
      </c>
      <c r="L1153">
        <v>0</v>
      </c>
      <c r="M1153">
        <v>0</v>
      </c>
      <c r="N1153">
        <v>0</v>
      </c>
      <c r="O1153">
        <v>3</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c r="AJ1153">
        <v>0</v>
      </c>
      <c r="AK1153">
        <v>0</v>
      </c>
      <c r="AL1153">
        <v>0</v>
      </c>
      <c r="AM1153">
        <v>0</v>
      </c>
      <c r="AN1153">
        <v>0</v>
      </c>
      <c r="AO1153">
        <v>0</v>
      </c>
      <c r="AP1153">
        <v>0</v>
      </c>
      <c r="AQ1153">
        <v>0</v>
      </c>
      <c r="AR1153">
        <v>0</v>
      </c>
      <c r="AS1153">
        <v>0</v>
      </c>
      <c r="AT1153">
        <v>0</v>
      </c>
      <c r="AU1153">
        <v>0</v>
      </c>
      <c r="AV1153">
        <v>0</v>
      </c>
      <c r="AW1153">
        <v>0</v>
      </c>
      <c r="AX1153">
        <v>0</v>
      </c>
      <c r="AY1153">
        <v>0</v>
      </c>
      <c r="AZ1153">
        <v>0</v>
      </c>
      <c r="BA1153">
        <v>0</v>
      </c>
      <c r="BB1153">
        <v>0</v>
      </c>
      <c r="BC1153">
        <v>0</v>
      </c>
      <c r="BD1153">
        <v>0</v>
      </c>
      <c r="BE1153">
        <v>0</v>
      </c>
      <c r="BF1153">
        <v>0</v>
      </c>
      <c r="BG1153">
        <v>0</v>
      </c>
      <c r="BH1153">
        <v>0</v>
      </c>
      <c r="BI1153">
        <v>0</v>
      </c>
      <c r="BJ1153">
        <v>0</v>
      </c>
      <c r="BK1153">
        <v>0</v>
      </c>
      <c r="BL1153">
        <v>0</v>
      </c>
      <c r="BM1153">
        <v>0</v>
      </c>
      <c r="BN1153">
        <v>0</v>
      </c>
      <c r="BO1153">
        <v>0</v>
      </c>
      <c r="BP1153">
        <v>0</v>
      </c>
      <c r="BQ1153">
        <v>0</v>
      </c>
      <c r="BR1153">
        <v>0</v>
      </c>
      <c r="BS1153">
        <v>0</v>
      </c>
      <c r="BT1153">
        <v>0</v>
      </c>
      <c r="BU1153">
        <v>0</v>
      </c>
      <c r="BV1153">
        <v>0</v>
      </c>
      <c r="BW1153">
        <v>0</v>
      </c>
      <c r="BX1153">
        <v>0</v>
      </c>
      <c r="BY1153">
        <v>0</v>
      </c>
      <c r="BZ1153">
        <v>0</v>
      </c>
      <c r="CA1153">
        <v>0</v>
      </c>
      <c r="CB1153">
        <v>0</v>
      </c>
      <c r="CC1153">
        <v>0</v>
      </c>
      <c r="CD1153">
        <v>0</v>
      </c>
      <c r="CE1153">
        <v>0</v>
      </c>
      <c r="CF1153">
        <v>0</v>
      </c>
      <c r="CG1153">
        <v>0</v>
      </c>
      <c r="CH1153">
        <v>0</v>
      </c>
      <c r="CI1153">
        <v>0</v>
      </c>
      <c r="CJ1153">
        <v>0</v>
      </c>
      <c r="CK1153">
        <v>0</v>
      </c>
      <c r="CL1153">
        <v>0</v>
      </c>
      <c r="CM1153">
        <v>0</v>
      </c>
      <c r="CN1153">
        <v>0</v>
      </c>
      <c r="CO1153">
        <v>0</v>
      </c>
      <c r="CP1153">
        <v>0</v>
      </c>
      <c r="CQ1153">
        <v>0</v>
      </c>
      <c r="CR1153">
        <v>0</v>
      </c>
      <c r="CS1153">
        <v>0</v>
      </c>
      <c r="CT1153">
        <v>0</v>
      </c>
      <c r="CU1153">
        <v>0</v>
      </c>
      <c r="CV1153">
        <v>0</v>
      </c>
      <c r="CW1153">
        <v>0</v>
      </c>
      <c r="CX1153">
        <v>0</v>
      </c>
      <c r="CY1153">
        <v>0</v>
      </c>
      <c r="CZ1153">
        <v>0</v>
      </c>
      <c r="DA1153">
        <v>0</v>
      </c>
      <c r="DB1153">
        <v>0</v>
      </c>
      <c r="DC1153">
        <v>0</v>
      </c>
      <c r="DD1153">
        <v>0</v>
      </c>
      <c r="DE1153">
        <v>0</v>
      </c>
      <c r="DF1153">
        <v>0</v>
      </c>
      <c r="DG1153" s="16">
        <f t="shared" si="97"/>
        <v>3</v>
      </c>
      <c r="DH1153" s="16">
        <f t="shared" si="98"/>
        <v>24</v>
      </c>
      <c r="DI1153" s="17">
        <f t="shared" si="99"/>
        <v>8</v>
      </c>
      <c r="DJ1153" s="119" t="s">
        <v>4</v>
      </c>
      <c r="DK1153" s="119" t="s">
        <v>1530</v>
      </c>
      <c r="DL1153" s="119"/>
    </row>
    <row r="1154" spans="1:116">
      <c r="A1154" s="32" t="str">
        <f t="shared" si="95"/>
        <v>Essential--GROUND OUTDOOR / INDOOR CHAMBER MOUNTED ; &gt; 132 KV ;  &lt; = 100 MVA</v>
      </c>
      <c r="B1154" s="32" t="str">
        <f t="shared" si="96"/>
        <v>Essential</v>
      </c>
      <c r="C1154" s="384"/>
      <c r="E1154" t="s">
        <v>1507</v>
      </c>
      <c r="F1154">
        <v>45.8</v>
      </c>
      <c r="G1154">
        <v>6.7675697262754522</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c r="BA1154">
        <v>0</v>
      </c>
      <c r="BB1154">
        <v>0</v>
      </c>
      <c r="BC1154">
        <v>0</v>
      </c>
      <c r="BD1154">
        <v>0</v>
      </c>
      <c r="BE1154">
        <v>0</v>
      </c>
      <c r="BF1154">
        <v>0</v>
      </c>
      <c r="BG1154">
        <v>0</v>
      </c>
      <c r="BH1154">
        <v>0</v>
      </c>
      <c r="BI1154">
        <v>0</v>
      </c>
      <c r="BJ1154">
        <v>0</v>
      </c>
      <c r="BK1154">
        <v>0</v>
      </c>
      <c r="BL1154">
        <v>0</v>
      </c>
      <c r="BM1154">
        <v>0</v>
      </c>
      <c r="BN1154">
        <v>0</v>
      </c>
      <c r="BO1154">
        <v>0</v>
      </c>
      <c r="BP1154">
        <v>0</v>
      </c>
      <c r="BQ1154">
        <v>0</v>
      </c>
      <c r="BR1154">
        <v>0</v>
      </c>
      <c r="BS1154">
        <v>0</v>
      </c>
      <c r="BT1154">
        <v>0</v>
      </c>
      <c r="BU1154">
        <v>0</v>
      </c>
      <c r="BV1154">
        <v>0</v>
      </c>
      <c r="BW1154">
        <v>0</v>
      </c>
      <c r="BX1154">
        <v>0</v>
      </c>
      <c r="BY1154">
        <v>0</v>
      </c>
      <c r="BZ1154">
        <v>0</v>
      </c>
      <c r="CA1154">
        <v>0</v>
      </c>
      <c r="CB1154">
        <v>0</v>
      </c>
      <c r="CC1154">
        <v>0</v>
      </c>
      <c r="CD1154">
        <v>0</v>
      </c>
      <c r="CE1154">
        <v>0</v>
      </c>
      <c r="CF1154">
        <v>0</v>
      </c>
      <c r="CG1154">
        <v>0</v>
      </c>
      <c r="CH1154">
        <v>0</v>
      </c>
      <c r="CI1154">
        <v>0</v>
      </c>
      <c r="CJ1154">
        <v>0</v>
      </c>
      <c r="CK1154">
        <v>0</v>
      </c>
      <c r="CL1154">
        <v>0</v>
      </c>
      <c r="CM1154">
        <v>0</v>
      </c>
      <c r="CN1154">
        <v>0</v>
      </c>
      <c r="CO1154">
        <v>0</v>
      </c>
      <c r="CP1154">
        <v>0</v>
      </c>
      <c r="CQ1154">
        <v>0</v>
      </c>
      <c r="CR1154">
        <v>0</v>
      </c>
      <c r="CS1154">
        <v>0</v>
      </c>
      <c r="CT1154">
        <v>0</v>
      </c>
      <c r="CU1154">
        <v>0</v>
      </c>
      <c r="CV1154">
        <v>0</v>
      </c>
      <c r="CW1154">
        <v>0</v>
      </c>
      <c r="CX1154">
        <v>0</v>
      </c>
      <c r="CY1154">
        <v>0</v>
      </c>
      <c r="CZ1154">
        <v>0</v>
      </c>
      <c r="DA1154">
        <v>0</v>
      </c>
      <c r="DB1154">
        <v>0</v>
      </c>
      <c r="DC1154">
        <v>0</v>
      </c>
      <c r="DD1154">
        <v>0</v>
      </c>
      <c r="DE1154">
        <v>0</v>
      </c>
      <c r="DF1154">
        <v>0</v>
      </c>
      <c r="DG1154" s="16">
        <f t="shared" si="97"/>
        <v>0</v>
      </c>
      <c r="DH1154" s="16">
        <f t="shared" si="98"/>
        <v>0</v>
      </c>
      <c r="DI1154" s="17" t="str">
        <f t="shared" si="99"/>
        <v/>
      </c>
      <c r="DJ1154" s="119" t="s">
        <v>4</v>
      </c>
      <c r="DK1154" s="119" t="s">
        <v>1530</v>
      </c>
      <c r="DL1154" s="119"/>
    </row>
    <row r="1155" spans="1:116">
      <c r="A1155" s="32" t="str">
        <f t="shared" si="95"/>
        <v>Essential--GROUND OUTDOOR / INDOOR CHAMBER MOUNTED ; &gt; 132 KV ;  &gt; 100 MVA</v>
      </c>
      <c r="B1155" s="32" t="str">
        <f t="shared" si="96"/>
        <v>Essential</v>
      </c>
      <c r="C1155" s="384"/>
      <c r="E1155" t="s">
        <v>1287</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0</v>
      </c>
      <c r="AR1155">
        <v>0</v>
      </c>
      <c r="AS1155">
        <v>0</v>
      </c>
      <c r="AT1155">
        <v>0</v>
      </c>
      <c r="AU1155">
        <v>0</v>
      </c>
      <c r="AV1155">
        <v>0</v>
      </c>
      <c r="AW1155">
        <v>0</v>
      </c>
      <c r="AX1155">
        <v>0</v>
      </c>
      <c r="AY1155">
        <v>0</v>
      </c>
      <c r="AZ1155">
        <v>0</v>
      </c>
      <c r="BA1155">
        <v>0</v>
      </c>
      <c r="BB1155">
        <v>0</v>
      </c>
      <c r="BC1155">
        <v>0</v>
      </c>
      <c r="BD1155">
        <v>0</v>
      </c>
      <c r="BE1155">
        <v>0</v>
      </c>
      <c r="BF1155">
        <v>0</v>
      </c>
      <c r="BG1155">
        <v>0</v>
      </c>
      <c r="BH1155">
        <v>0</v>
      </c>
      <c r="BI1155">
        <v>0</v>
      </c>
      <c r="BJ1155">
        <v>0</v>
      </c>
      <c r="BK1155">
        <v>0</v>
      </c>
      <c r="BL1155">
        <v>0</v>
      </c>
      <c r="BM1155">
        <v>0</v>
      </c>
      <c r="BN1155">
        <v>0</v>
      </c>
      <c r="BO1155">
        <v>0</v>
      </c>
      <c r="BP1155">
        <v>0</v>
      </c>
      <c r="BQ1155">
        <v>0</v>
      </c>
      <c r="BR1155">
        <v>0</v>
      </c>
      <c r="BS1155">
        <v>0</v>
      </c>
      <c r="BT1155">
        <v>0</v>
      </c>
      <c r="BU1155">
        <v>0</v>
      </c>
      <c r="BV1155">
        <v>0</v>
      </c>
      <c r="BW1155">
        <v>0</v>
      </c>
      <c r="BX1155">
        <v>0</v>
      </c>
      <c r="BY1155">
        <v>0</v>
      </c>
      <c r="BZ1155">
        <v>0</v>
      </c>
      <c r="CA1155">
        <v>0</v>
      </c>
      <c r="CB1155">
        <v>0</v>
      </c>
      <c r="CC1155">
        <v>0</v>
      </c>
      <c r="CD1155">
        <v>0</v>
      </c>
      <c r="CE1155">
        <v>0</v>
      </c>
      <c r="CF1155">
        <v>0</v>
      </c>
      <c r="CG1155">
        <v>0</v>
      </c>
      <c r="CH1155">
        <v>0</v>
      </c>
      <c r="CI1155">
        <v>0</v>
      </c>
      <c r="CJ1155">
        <v>0</v>
      </c>
      <c r="CK1155">
        <v>0</v>
      </c>
      <c r="CL1155">
        <v>0</v>
      </c>
      <c r="CM1155">
        <v>0</v>
      </c>
      <c r="CN1155">
        <v>0</v>
      </c>
      <c r="CO1155">
        <v>0</v>
      </c>
      <c r="CP1155">
        <v>0</v>
      </c>
      <c r="CQ1155">
        <v>0</v>
      </c>
      <c r="CR1155">
        <v>0</v>
      </c>
      <c r="CS1155">
        <v>0</v>
      </c>
      <c r="CT1155">
        <v>0</v>
      </c>
      <c r="CU1155">
        <v>0</v>
      </c>
      <c r="CV1155">
        <v>0</v>
      </c>
      <c r="CW1155">
        <v>0</v>
      </c>
      <c r="CX1155">
        <v>0</v>
      </c>
      <c r="CY1155">
        <v>0</v>
      </c>
      <c r="CZ1155">
        <v>0</v>
      </c>
      <c r="DA1155">
        <v>0</v>
      </c>
      <c r="DB1155">
        <v>0</v>
      </c>
      <c r="DC1155">
        <v>0</v>
      </c>
      <c r="DD1155">
        <v>0</v>
      </c>
      <c r="DE1155">
        <v>0</v>
      </c>
      <c r="DF1155">
        <v>0</v>
      </c>
      <c r="DG1155" s="16">
        <f t="shared" si="97"/>
        <v>0</v>
      </c>
      <c r="DH1155" s="16">
        <f t="shared" si="98"/>
        <v>0</v>
      </c>
      <c r="DI1155" s="17" t="str">
        <f t="shared" si="99"/>
        <v/>
      </c>
      <c r="DJ1155" s="119" t="s">
        <v>4</v>
      </c>
      <c r="DK1155" s="119" t="s">
        <v>1530</v>
      </c>
      <c r="DL1155" s="119"/>
    </row>
    <row r="1156" spans="1:116">
      <c r="A1156" s="32" t="str">
        <f t="shared" si="95"/>
        <v>Essential--OTHER - REGULATORS</v>
      </c>
      <c r="B1156" s="32" t="str">
        <f t="shared" si="96"/>
        <v>Essential</v>
      </c>
      <c r="C1156" s="384"/>
      <c r="E1156" t="s">
        <v>303</v>
      </c>
      <c r="F1156">
        <v>54.9</v>
      </c>
      <c r="G1156">
        <v>7.4</v>
      </c>
      <c r="H1156">
        <v>26</v>
      </c>
      <c r="I1156">
        <v>53</v>
      </c>
      <c r="J1156">
        <v>35</v>
      </c>
      <c r="K1156">
        <v>31</v>
      </c>
      <c r="L1156">
        <v>30</v>
      </c>
      <c r="M1156">
        <v>38</v>
      </c>
      <c r="N1156">
        <v>32</v>
      </c>
      <c r="O1156">
        <v>50</v>
      </c>
      <c r="P1156">
        <v>28</v>
      </c>
      <c r="Q1156">
        <v>20</v>
      </c>
      <c r="R1156">
        <v>25</v>
      </c>
      <c r="S1156">
        <v>19</v>
      </c>
      <c r="T1156">
        <v>27</v>
      </c>
      <c r="U1156">
        <v>18</v>
      </c>
      <c r="V1156">
        <v>20</v>
      </c>
      <c r="W1156">
        <v>7</v>
      </c>
      <c r="X1156">
        <v>5</v>
      </c>
      <c r="Y1156">
        <v>11</v>
      </c>
      <c r="Z1156">
        <v>15</v>
      </c>
      <c r="AA1156">
        <v>17</v>
      </c>
      <c r="AB1156">
        <v>12</v>
      </c>
      <c r="AC1156">
        <v>10</v>
      </c>
      <c r="AD1156">
        <v>12</v>
      </c>
      <c r="AE1156">
        <v>10</v>
      </c>
      <c r="AF1156">
        <v>5</v>
      </c>
      <c r="AG1156">
        <v>5</v>
      </c>
      <c r="AH1156">
        <v>7</v>
      </c>
      <c r="AI1156">
        <v>8</v>
      </c>
      <c r="AJ1156">
        <v>9</v>
      </c>
      <c r="AK1156">
        <v>4</v>
      </c>
      <c r="AL1156">
        <v>11</v>
      </c>
      <c r="AM1156">
        <v>14</v>
      </c>
      <c r="AN1156">
        <v>6</v>
      </c>
      <c r="AO1156">
        <v>7</v>
      </c>
      <c r="AP1156">
        <v>3</v>
      </c>
      <c r="AQ1156">
        <v>4</v>
      </c>
      <c r="AR1156">
        <v>11</v>
      </c>
      <c r="AS1156">
        <v>5</v>
      </c>
      <c r="AT1156">
        <v>4</v>
      </c>
      <c r="AU1156">
        <v>3</v>
      </c>
      <c r="AV1156">
        <v>5</v>
      </c>
      <c r="AW1156">
        <v>15</v>
      </c>
      <c r="AX1156">
        <v>5</v>
      </c>
      <c r="AY1156">
        <v>5</v>
      </c>
      <c r="AZ1156">
        <v>3</v>
      </c>
      <c r="BA1156">
        <v>1</v>
      </c>
      <c r="BB1156">
        <v>1</v>
      </c>
      <c r="BC1156">
        <v>1</v>
      </c>
      <c r="BD1156">
        <v>5</v>
      </c>
      <c r="BE1156">
        <v>1</v>
      </c>
      <c r="BF1156">
        <v>2</v>
      </c>
      <c r="BG1156">
        <v>0</v>
      </c>
      <c r="BH1156">
        <v>2</v>
      </c>
      <c r="BI1156">
        <v>9</v>
      </c>
      <c r="BJ1156">
        <v>5</v>
      </c>
      <c r="BK1156">
        <v>5</v>
      </c>
      <c r="BL1156">
        <v>0</v>
      </c>
      <c r="BM1156">
        <v>1</v>
      </c>
      <c r="BN1156">
        <v>2</v>
      </c>
      <c r="BO1156">
        <v>0</v>
      </c>
      <c r="BP1156">
        <v>1</v>
      </c>
      <c r="BQ1156">
        <v>1</v>
      </c>
      <c r="BR1156">
        <v>1</v>
      </c>
      <c r="BS1156">
        <v>4</v>
      </c>
      <c r="BT1156">
        <v>0</v>
      </c>
      <c r="BU1156">
        <v>0</v>
      </c>
      <c r="BV1156">
        <v>0</v>
      </c>
      <c r="BW1156">
        <v>0</v>
      </c>
      <c r="BX1156">
        <v>0</v>
      </c>
      <c r="BY1156">
        <v>0</v>
      </c>
      <c r="BZ1156">
        <v>0</v>
      </c>
      <c r="CA1156">
        <v>0</v>
      </c>
      <c r="CB1156">
        <v>0</v>
      </c>
      <c r="CC1156">
        <v>2</v>
      </c>
      <c r="CD1156">
        <v>0</v>
      </c>
      <c r="CE1156">
        <v>0</v>
      </c>
      <c r="CF1156">
        <v>0</v>
      </c>
      <c r="CG1156">
        <v>0</v>
      </c>
      <c r="CH1156">
        <v>0</v>
      </c>
      <c r="CI1156">
        <v>0</v>
      </c>
      <c r="CJ1156">
        <v>0</v>
      </c>
      <c r="CK1156">
        <v>0</v>
      </c>
      <c r="CL1156">
        <v>0</v>
      </c>
      <c r="CM1156">
        <v>0</v>
      </c>
      <c r="CN1156">
        <v>0</v>
      </c>
      <c r="CO1156">
        <v>0</v>
      </c>
      <c r="CP1156">
        <v>0</v>
      </c>
      <c r="CQ1156">
        <v>0</v>
      </c>
      <c r="CR1156">
        <v>0</v>
      </c>
      <c r="CS1156">
        <v>0</v>
      </c>
      <c r="CT1156">
        <v>0</v>
      </c>
      <c r="CU1156">
        <v>0</v>
      </c>
      <c r="CV1156">
        <v>0</v>
      </c>
      <c r="CW1156">
        <v>0</v>
      </c>
      <c r="CX1156">
        <v>0</v>
      </c>
      <c r="CY1156">
        <v>0</v>
      </c>
      <c r="CZ1156">
        <v>0</v>
      </c>
      <c r="DA1156">
        <v>0</v>
      </c>
      <c r="DB1156">
        <v>0</v>
      </c>
      <c r="DC1156">
        <v>0</v>
      </c>
      <c r="DD1156">
        <v>0</v>
      </c>
      <c r="DE1156">
        <v>0</v>
      </c>
      <c r="DF1156">
        <v>0</v>
      </c>
      <c r="DG1156" s="16">
        <f t="shared" si="97"/>
        <v>734</v>
      </c>
      <c r="DH1156" s="16">
        <f t="shared" si="98"/>
        <v>12481</v>
      </c>
      <c r="DI1156" s="17">
        <f t="shared" si="99"/>
        <v>17.004087193460489</v>
      </c>
      <c r="DJ1156" s="119" t="s">
        <v>4</v>
      </c>
      <c r="DK1156" s="119" t="s">
        <v>4</v>
      </c>
      <c r="DL1156" s="119"/>
    </row>
    <row r="1157" spans="1:116">
      <c r="A1157" s="32" t="str">
        <f t="shared" si="95"/>
        <v>Essential-SWITCHGEAR BY: 
HIGHEST OPERATING VOLTAGE ; SWITCH FUNCTION-˂ = 11 KV ;  FUSE</v>
      </c>
      <c r="B1157" s="32" t="str">
        <f t="shared" si="96"/>
        <v>Essential</v>
      </c>
      <c r="C1157" s="384"/>
      <c r="D1157" t="s">
        <v>545</v>
      </c>
      <c r="E1157" t="s">
        <v>340</v>
      </c>
      <c r="F1157">
        <v>53.8</v>
      </c>
      <c r="G1157">
        <v>7.334848328356899</v>
      </c>
      <c r="H1157">
        <v>7689</v>
      </c>
      <c r="I1157">
        <v>11094</v>
      </c>
      <c r="J1157">
        <v>9163</v>
      </c>
      <c r="K1157">
        <v>9412</v>
      </c>
      <c r="L1157">
        <v>6561</v>
      </c>
      <c r="M1157">
        <v>7251</v>
      </c>
      <c r="N1157">
        <v>6238</v>
      </c>
      <c r="O1157">
        <v>7278</v>
      </c>
      <c r="P1157">
        <v>6320</v>
      </c>
      <c r="Q1157">
        <v>6142</v>
      </c>
      <c r="R1157">
        <v>3993</v>
      </c>
      <c r="S1157">
        <v>4294</v>
      </c>
      <c r="T1157">
        <v>5162</v>
      </c>
      <c r="U1157">
        <v>3965</v>
      </c>
      <c r="V1157">
        <v>2944</v>
      </c>
      <c r="W1157">
        <v>2779</v>
      </c>
      <c r="X1157">
        <v>3049</v>
      </c>
      <c r="Y1157">
        <v>3145</v>
      </c>
      <c r="Z1157">
        <v>5761</v>
      </c>
      <c r="AA1157">
        <v>5947</v>
      </c>
      <c r="AB1157">
        <v>5226</v>
      </c>
      <c r="AC1157">
        <v>5527</v>
      </c>
      <c r="AD1157">
        <v>7297</v>
      </c>
      <c r="AE1157">
        <v>7188</v>
      </c>
      <c r="AF1157">
        <v>6213</v>
      </c>
      <c r="AG1157">
        <v>6057</v>
      </c>
      <c r="AH1157">
        <v>8039</v>
      </c>
      <c r="AI1157">
        <v>5855</v>
      </c>
      <c r="AJ1157">
        <v>14487</v>
      </c>
      <c r="AK1157">
        <v>4866</v>
      </c>
      <c r="AL1157">
        <v>3191</v>
      </c>
      <c r="AM1157">
        <v>5759</v>
      </c>
      <c r="AN1157">
        <v>5527</v>
      </c>
      <c r="AO1157">
        <v>6444</v>
      </c>
      <c r="AP1157">
        <v>3386</v>
      </c>
      <c r="AQ1157">
        <v>4610</v>
      </c>
      <c r="AR1157">
        <v>4890</v>
      </c>
      <c r="AS1157">
        <v>4410</v>
      </c>
      <c r="AT1157">
        <v>5188</v>
      </c>
      <c r="AU1157">
        <v>4487</v>
      </c>
      <c r="AV1157">
        <v>4306</v>
      </c>
      <c r="AW1157">
        <v>4421</v>
      </c>
      <c r="AX1157">
        <v>5545</v>
      </c>
      <c r="AY1157">
        <v>9135</v>
      </c>
      <c r="AZ1157">
        <v>6425</v>
      </c>
      <c r="BA1157">
        <v>4615</v>
      </c>
      <c r="BB1157">
        <v>3688</v>
      </c>
      <c r="BC1157">
        <v>8335</v>
      </c>
      <c r="BD1157">
        <v>5548</v>
      </c>
      <c r="BE1157">
        <v>1794</v>
      </c>
      <c r="BF1157">
        <v>1286</v>
      </c>
      <c r="BG1157">
        <v>2097</v>
      </c>
      <c r="BH1157">
        <v>5221</v>
      </c>
      <c r="BI1157">
        <v>11976</v>
      </c>
      <c r="BJ1157">
        <v>1221</v>
      </c>
      <c r="BK1157">
        <v>2346</v>
      </c>
      <c r="BL1157">
        <v>1362</v>
      </c>
      <c r="BM1157">
        <v>2540</v>
      </c>
      <c r="BN1157">
        <v>4313</v>
      </c>
      <c r="BO1157">
        <v>3254</v>
      </c>
      <c r="BP1157">
        <v>465</v>
      </c>
      <c r="BQ1157">
        <v>1557</v>
      </c>
      <c r="BR1157">
        <v>108</v>
      </c>
      <c r="BS1157">
        <v>6821</v>
      </c>
      <c r="BT1157">
        <v>530</v>
      </c>
      <c r="BU1157">
        <v>108</v>
      </c>
      <c r="BV1157">
        <v>130</v>
      </c>
      <c r="BW1157">
        <v>141</v>
      </c>
      <c r="BX1157">
        <v>65</v>
      </c>
      <c r="BY1157">
        <v>22</v>
      </c>
      <c r="BZ1157">
        <v>0</v>
      </c>
      <c r="CA1157">
        <v>11</v>
      </c>
      <c r="CB1157">
        <v>0</v>
      </c>
      <c r="CC1157">
        <v>162</v>
      </c>
      <c r="CD1157">
        <v>32</v>
      </c>
      <c r="CE1157">
        <v>32</v>
      </c>
      <c r="CF1157">
        <v>22</v>
      </c>
      <c r="CG1157">
        <v>97</v>
      </c>
      <c r="CH1157">
        <v>0</v>
      </c>
      <c r="CI1157">
        <v>22</v>
      </c>
      <c r="CJ1157">
        <v>0</v>
      </c>
      <c r="CK1157">
        <v>32</v>
      </c>
      <c r="CL1157">
        <v>0</v>
      </c>
      <c r="CM1157">
        <v>162</v>
      </c>
      <c r="CN1157">
        <v>0</v>
      </c>
      <c r="CO1157">
        <v>0</v>
      </c>
      <c r="CP1157">
        <v>0</v>
      </c>
      <c r="CQ1157">
        <v>0</v>
      </c>
      <c r="CR1157">
        <v>0</v>
      </c>
      <c r="CS1157">
        <v>0</v>
      </c>
      <c r="CT1157">
        <v>0</v>
      </c>
      <c r="CU1157">
        <v>0</v>
      </c>
      <c r="CV1157">
        <v>0</v>
      </c>
      <c r="CW1157">
        <v>0</v>
      </c>
      <c r="CX1157">
        <v>0</v>
      </c>
      <c r="CY1157">
        <v>0</v>
      </c>
      <c r="CZ1157">
        <v>0</v>
      </c>
      <c r="DA1157">
        <v>0</v>
      </c>
      <c r="DB1157">
        <v>0</v>
      </c>
      <c r="DC1157">
        <v>0</v>
      </c>
      <c r="DD1157">
        <v>0</v>
      </c>
      <c r="DE1157">
        <v>0</v>
      </c>
      <c r="DF1157">
        <v>0</v>
      </c>
      <c r="DG1157" s="16">
        <f t="shared" si="97"/>
        <v>336781</v>
      </c>
      <c r="DH1157" s="16">
        <f t="shared" si="98"/>
        <v>9655359</v>
      </c>
      <c r="DI1157" s="17">
        <f t="shared" si="99"/>
        <v>28.669547866417641</v>
      </c>
      <c r="DJ1157" s="119" t="s">
        <v>2</v>
      </c>
      <c r="DK1157" s="119" t="s">
        <v>2</v>
      </c>
      <c r="DL1157" s="119"/>
    </row>
    <row r="1158" spans="1:116">
      <c r="A1158" s="32" t="str">
        <f t="shared" si="95"/>
        <v>Essential--˂ = 11 KV  ; SWITCH</v>
      </c>
      <c r="B1158" s="32" t="str">
        <f t="shared" si="96"/>
        <v>Essential</v>
      </c>
      <c r="C1158" s="384"/>
      <c r="E1158" t="s">
        <v>341</v>
      </c>
      <c r="F1158">
        <v>53.8</v>
      </c>
      <c r="G1158">
        <v>7.334848328356899</v>
      </c>
      <c r="H1158">
        <v>1762</v>
      </c>
      <c r="I1158">
        <v>2377</v>
      </c>
      <c r="J1158">
        <v>2160</v>
      </c>
      <c r="K1158">
        <v>1641</v>
      </c>
      <c r="L1158">
        <v>1548</v>
      </c>
      <c r="M1158">
        <v>1309</v>
      </c>
      <c r="N1158">
        <v>1417</v>
      </c>
      <c r="O1158">
        <v>1147</v>
      </c>
      <c r="P1158">
        <v>1067</v>
      </c>
      <c r="Q1158">
        <v>736</v>
      </c>
      <c r="R1158">
        <v>652</v>
      </c>
      <c r="S1158">
        <v>562</v>
      </c>
      <c r="T1158">
        <v>546</v>
      </c>
      <c r="U1158">
        <v>481</v>
      </c>
      <c r="V1158">
        <v>398</v>
      </c>
      <c r="W1158">
        <v>411</v>
      </c>
      <c r="X1158">
        <v>264</v>
      </c>
      <c r="Y1158">
        <v>365</v>
      </c>
      <c r="Z1158">
        <v>683</v>
      </c>
      <c r="AA1158">
        <v>798</v>
      </c>
      <c r="AB1158">
        <v>739</v>
      </c>
      <c r="AC1158">
        <v>752</v>
      </c>
      <c r="AD1158">
        <v>897</v>
      </c>
      <c r="AE1158">
        <v>802</v>
      </c>
      <c r="AF1158">
        <v>749</v>
      </c>
      <c r="AG1158">
        <v>679</v>
      </c>
      <c r="AH1158">
        <v>851</v>
      </c>
      <c r="AI1158">
        <v>741</v>
      </c>
      <c r="AJ1158">
        <v>1148</v>
      </c>
      <c r="AK1158">
        <v>571</v>
      </c>
      <c r="AL1158">
        <v>471</v>
      </c>
      <c r="AM1158">
        <v>797</v>
      </c>
      <c r="AN1158">
        <v>784</v>
      </c>
      <c r="AO1158">
        <v>784</v>
      </c>
      <c r="AP1158">
        <v>450</v>
      </c>
      <c r="AQ1158">
        <v>605</v>
      </c>
      <c r="AR1158">
        <v>772</v>
      </c>
      <c r="AS1158">
        <v>500</v>
      </c>
      <c r="AT1158">
        <v>642</v>
      </c>
      <c r="AU1158">
        <v>590</v>
      </c>
      <c r="AV1158">
        <v>619</v>
      </c>
      <c r="AW1158">
        <v>636</v>
      </c>
      <c r="AX1158">
        <v>769</v>
      </c>
      <c r="AY1158">
        <v>1365</v>
      </c>
      <c r="AZ1158">
        <v>858</v>
      </c>
      <c r="BA1158">
        <v>600</v>
      </c>
      <c r="BB1158">
        <v>488</v>
      </c>
      <c r="BC1158">
        <v>1159</v>
      </c>
      <c r="BD1158">
        <v>879</v>
      </c>
      <c r="BE1158">
        <v>213</v>
      </c>
      <c r="BF1158">
        <v>248</v>
      </c>
      <c r="BG1158">
        <v>152</v>
      </c>
      <c r="BH1158">
        <v>399</v>
      </c>
      <c r="BI1158">
        <v>1452</v>
      </c>
      <c r="BJ1158">
        <v>60</v>
      </c>
      <c r="BK1158">
        <v>251</v>
      </c>
      <c r="BL1158">
        <v>113</v>
      </c>
      <c r="BM1158">
        <v>130</v>
      </c>
      <c r="BN1158">
        <v>545</v>
      </c>
      <c r="BO1158">
        <v>75</v>
      </c>
      <c r="BP1158">
        <v>214</v>
      </c>
      <c r="BQ1158">
        <v>406</v>
      </c>
      <c r="BR1158">
        <v>14</v>
      </c>
      <c r="BS1158">
        <v>1205</v>
      </c>
      <c r="BT1158">
        <v>123</v>
      </c>
      <c r="BU1158">
        <v>28</v>
      </c>
      <c r="BV1158">
        <v>10</v>
      </c>
      <c r="BW1158">
        <v>33</v>
      </c>
      <c r="BX1158">
        <v>10</v>
      </c>
      <c r="BY1158">
        <v>2</v>
      </c>
      <c r="BZ1158">
        <v>3</v>
      </c>
      <c r="CA1158">
        <v>4</v>
      </c>
      <c r="CB1158">
        <v>0</v>
      </c>
      <c r="CC1158">
        <v>15</v>
      </c>
      <c r="CD1158">
        <v>5</v>
      </c>
      <c r="CE1158">
        <v>9</v>
      </c>
      <c r="CF1158">
        <v>1</v>
      </c>
      <c r="CG1158">
        <v>6</v>
      </c>
      <c r="CH1158">
        <v>1</v>
      </c>
      <c r="CI1158">
        <v>1</v>
      </c>
      <c r="CJ1158">
        <v>0</v>
      </c>
      <c r="CK1158">
        <v>0</v>
      </c>
      <c r="CL1158">
        <v>0</v>
      </c>
      <c r="CM1158">
        <v>53</v>
      </c>
      <c r="CN1158">
        <v>0</v>
      </c>
      <c r="CO1158">
        <v>0</v>
      </c>
      <c r="CP1158">
        <v>0</v>
      </c>
      <c r="CQ1158">
        <v>0</v>
      </c>
      <c r="CR1158">
        <v>1</v>
      </c>
      <c r="CS1158">
        <v>0</v>
      </c>
      <c r="CT1158">
        <v>0</v>
      </c>
      <c r="CU1158">
        <v>0</v>
      </c>
      <c r="CV1158">
        <v>0</v>
      </c>
      <c r="CW1158">
        <v>0</v>
      </c>
      <c r="CX1158">
        <v>0</v>
      </c>
      <c r="CY1158">
        <v>0</v>
      </c>
      <c r="CZ1158">
        <v>0</v>
      </c>
      <c r="DA1158">
        <v>0</v>
      </c>
      <c r="DB1158">
        <v>0</v>
      </c>
      <c r="DC1158">
        <v>0</v>
      </c>
      <c r="DD1158">
        <v>0</v>
      </c>
      <c r="DE1158">
        <v>0</v>
      </c>
      <c r="DF1158">
        <v>0</v>
      </c>
      <c r="DG1158" s="16">
        <f t="shared" si="97"/>
        <v>47803</v>
      </c>
      <c r="DH1158" s="16">
        <f t="shared" si="98"/>
        <v>1249880</v>
      </c>
      <c r="DI1158" s="17">
        <f t="shared" si="99"/>
        <v>26.146476162583937</v>
      </c>
      <c r="DJ1158" s="119" t="s">
        <v>2</v>
      </c>
      <c r="DK1158" s="119" t="s">
        <v>2</v>
      </c>
      <c r="DL1158" s="119"/>
    </row>
    <row r="1159" spans="1:116">
      <c r="A1159" s="32" t="str">
        <f t="shared" si="95"/>
        <v>Essential--˂ = 11 KV ;  CIRCUIT BREAKER</v>
      </c>
      <c r="B1159" s="32" t="str">
        <f t="shared" si="96"/>
        <v>Essential</v>
      </c>
      <c r="C1159" s="384"/>
      <c r="E1159" t="s">
        <v>342</v>
      </c>
      <c r="F1159">
        <v>53.8</v>
      </c>
      <c r="G1159">
        <v>7.334848328356899</v>
      </c>
      <c r="H1159">
        <v>356</v>
      </c>
      <c r="I1159">
        <v>572</v>
      </c>
      <c r="J1159">
        <v>731</v>
      </c>
      <c r="K1159">
        <v>502</v>
      </c>
      <c r="L1159">
        <v>812</v>
      </c>
      <c r="M1159">
        <v>745</v>
      </c>
      <c r="N1159">
        <v>998</v>
      </c>
      <c r="O1159">
        <v>693</v>
      </c>
      <c r="P1159">
        <v>753</v>
      </c>
      <c r="Q1159">
        <v>553</v>
      </c>
      <c r="R1159">
        <v>208</v>
      </c>
      <c r="S1159">
        <v>326</v>
      </c>
      <c r="T1159">
        <v>267</v>
      </c>
      <c r="U1159">
        <v>197</v>
      </c>
      <c r="V1159">
        <v>121</v>
      </c>
      <c r="W1159">
        <v>81</v>
      </c>
      <c r="X1159">
        <v>127</v>
      </c>
      <c r="Y1159">
        <v>49</v>
      </c>
      <c r="Z1159">
        <v>245</v>
      </c>
      <c r="AA1159">
        <v>116</v>
      </c>
      <c r="AB1159">
        <v>140</v>
      </c>
      <c r="AC1159">
        <v>165</v>
      </c>
      <c r="AD1159">
        <v>173</v>
      </c>
      <c r="AE1159">
        <v>148</v>
      </c>
      <c r="AF1159">
        <v>129</v>
      </c>
      <c r="AG1159">
        <v>73</v>
      </c>
      <c r="AH1159">
        <v>197</v>
      </c>
      <c r="AI1159">
        <v>54</v>
      </c>
      <c r="AJ1159">
        <v>138</v>
      </c>
      <c r="AK1159">
        <v>40</v>
      </c>
      <c r="AL1159">
        <v>59</v>
      </c>
      <c r="AM1159">
        <v>186</v>
      </c>
      <c r="AN1159">
        <v>78</v>
      </c>
      <c r="AO1159">
        <v>84</v>
      </c>
      <c r="AP1159">
        <v>24</v>
      </c>
      <c r="AQ1159">
        <v>76</v>
      </c>
      <c r="AR1159">
        <v>108</v>
      </c>
      <c r="AS1159">
        <v>35</v>
      </c>
      <c r="AT1159">
        <v>76</v>
      </c>
      <c r="AU1159">
        <v>30</v>
      </c>
      <c r="AV1159">
        <v>54</v>
      </c>
      <c r="AW1159">
        <v>78</v>
      </c>
      <c r="AX1159">
        <v>59</v>
      </c>
      <c r="AY1159">
        <v>70</v>
      </c>
      <c r="AZ1159">
        <v>143</v>
      </c>
      <c r="BA1159">
        <v>143</v>
      </c>
      <c r="BB1159">
        <v>32</v>
      </c>
      <c r="BC1159">
        <v>81</v>
      </c>
      <c r="BD1159">
        <v>127</v>
      </c>
      <c r="BE1159">
        <v>8</v>
      </c>
      <c r="BF1159">
        <v>5</v>
      </c>
      <c r="BG1159">
        <v>5</v>
      </c>
      <c r="BH1159">
        <v>5</v>
      </c>
      <c r="BI1159">
        <v>32</v>
      </c>
      <c r="BJ1159">
        <v>0</v>
      </c>
      <c r="BK1159">
        <v>8</v>
      </c>
      <c r="BL1159">
        <v>8</v>
      </c>
      <c r="BM1159">
        <v>11</v>
      </c>
      <c r="BN1159">
        <v>57</v>
      </c>
      <c r="BO1159">
        <v>0</v>
      </c>
      <c r="BP1159">
        <v>8</v>
      </c>
      <c r="BQ1159">
        <v>19</v>
      </c>
      <c r="BR1159">
        <v>3</v>
      </c>
      <c r="BS1159">
        <v>51</v>
      </c>
      <c r="BT1159">
        <v>0</v>
      </c>
      <c r="BU1159">
        <v>0</v>
      </c>
      <c r="BV1159">
        <v>0</v>
      </c>
      <c r="BW1159">
        <v>0</v>
      </c>
      <c r="BX1159">
        <v>3</v>
      </c>
      <c r="BY1159">
        <v>0</v>
      </c>
      <c r="BZ1159">
        <v>0</v>
      </c>
      <c r="CA1159">
        <v>0</v>
      </c>
      <c r="CB1159">
        <v>0</v>
      </c>
      <c r="CC1159">
        <v>5</v>
      </c>
      <c r="CD1159">
        <v>0</v>
      </c>
      <c r="CE1159">
        <v>0</v>
      </c>
      <c r="CF1159">
        <v>0</v>
      </c>
      <c r="CG1159">
        <v>3</v>
      </c>
      <c r="CH1159">
        <v>3</v>
      </c>
      <c r="CI1159">
        <v>0</v>
      </c>
      <c r="CJ1159">
        <v>0</v>
      </c>
      <c r="CK1159">
        <v>0</v>
      </c>
      <c r="CL1159">
        <v>0</v>
      </c>
      <c r="CM1159">
        <v>0</v>
      </c>
      <c r="CN1159">
        <v>0</v>
      </c>
      <c r="CO1159">
        <v>0</v>
      </c>
      <c r="CP1159">
        <v>0</v>
      </c>
      <c r="CQ1159">
        <v>0</v>
      </c>
      <c r="CR1159">
        <v>0</v>
      </c>
      <c r="CS1159">
        <v>0</v>
      </c>
      <c r="CT1159">
        <v>0</v>
      </c>
      <c r="CU1159">
        <v>0</v>
      </c>
      <c r="CV1159">
        <v>0</v>
      </c>
      <c r="CW1159">
        <v>0</v>
      </c>
      <c r="CX1159">
        <v>0</v>
      </c>
      <c r="CY1159">
        <v>0</v>
      </c>
      <c r="CZ1159">
        <v>0</v>
      </c>
      <c r="DA1159">
        <v>0</v>
      </c>
      <c r="DB1159">
        <v>0</v>
      </c>
      <c r="DC1159">
        <v>0</v>
      </c>
      <c r="DD1159">
        <v>0</v>
      </c>
      <c r="DE1159">
        <v>0</v>
      </c>
      <c r="DF1159">
        <v>0</v>
      </c>
      <c r="DG1159" s="16">
        <f t="shared" si="97"/>
        <v>11486</v>
      </c>
      <c r="DH1159" s="16">
        <f t="shared" si="98"/>
        <v>171873</v>
      </c>
      <c r="DI1159" s="17">
        <f t="shared" si="99"/>
        <v>14.963694932961866</v>
      </c>
      <c r="DJ1159" s="119" t="s">
        <v>2</v>
      </c>
      <c r="DK1159" s="119" t="s">
        <v>2</v>
      </c>
      <c r="DL1159" s="119"/>
    </row>
    <row r="1160" spans="1:116">
      <c r="A1160" s="32" t="str">
        <f t="shared" si="95"/>
        <v>Essential--&gt; 11 KV &amp; &lt; = 22 KV  ; SWITCH</v>
      </c>
      <c r="B1160" s="32" t="str">
        <f t="shared" si="96"/>
        <v>Essential</v>
      </c>
      <c r="C1160" s="384"/>
      <c r="E1160" t="s">
        <v>343</v>
      </c>
      <c r="F1160">
        <v>53.8</v>
      </c>
      <c r="G1160">
        <v>7.334848328356899</v>
      </c>
      <c r="H1160">
        <v>433</v>
      </c>
      <c r="I1160">
        <v>634</v>
      </c>
      <c r="J1160">
        <v>662</v>
      </c>
      <c r="K1160">
        <v>405</v>
      </c>
      <c r="L1160">
        <v>383</v>
      </c>
      <c r="M1160">
        <v>233</v>
      </c>
      <c r="N1160">
        <v>304</v>
      </c>
      <c r="O1160">
        <v>258</v>
      </c>
      <c r="P1160">
        <v>151</v>
      </c>
      <c r="Q1160">
        <v>139</v>
      </c>
      <c r="R1160">
        <v>144</v>
      </c>
      <c r="S1160">
        <v>122</v>
      </c>
      <c r="T1160">
        <v>379</v>
      </c>
      <c r="U1160">
        <v>129</v>
      </c>
      <c r="V1160">
        <v>107</v>
      </c>
      <c r="W1160">
        <v>74</v>
      </c>
      <c r="X1160">
        <v>85</v>
      </c>
      <c r="Y1160">
        <v>106</v>
      </c>
      <c r="Z1160">
        <v>173</v>
      </c>
      <c r="AA1160">
        <v>151</v>
      </c>
      <c r="AB1160">
        <v>119</v>
      </c>
      <c r="AC1160">
        <v>172</v>
      </c>
      <c r="AD1160">
        <v>203</v>
      </c>
      <c r="AE1160">
        <v>195</v>
      </c>
      <c r="AF1160">
        <v>203</v>
      </c>
      <c r="AG1160">
        <v>210</v>
      </c>
      <c r="AH1160">
        <v>274</v>
      </c>
      <c r="AI1160">
        <v>259</v>
      </c>
      <c r="AJ1160">
        <v>302</v>
      </c>
      <c r="AK1160">
        <v>148</v>
      </c>
      <c r="AL1160">
        <v>169</v>
      </c>
      <c r="AM1160">
        <v>327</v>
      </c>
      <c r="AN1160">
        <v>200</v>
      </c>
      <c r="AO1160">
        <v>243</v>
      </c>
      <c r="AP1160">
        <v>137</v>
      </c>
      <c r="AQ1160">
        <v>152</v>
      </c>
      <c r="AR1160">
        <v>157</v>
      </c>
      <c r="AS1160">
        <v>116</v>
      </c>
      <c r="AT1160">
        <v>131</v>
      </c>
      <c r="AU1160">
        <v>104</v>
      </c>
      <c r="AV1160">
        <v>102</v>
      </c>
      <c r="AW1160">
        <v>86</v>
      </c>
      <c r="AX1160">
        <v>124</v>
      </c>
      <c r="AY1160">
        <v>295</v>
      </c>
      <c r="AZ1160">
        <v>169</v>
      </c>
      <c r="BA1160">
        <v>170</v>
      </c>
      <c r="BB1160">
        <v>124</v>
      </c>
      <c r="BC1160">
        <v>336</v>
      </c>
      <c r="BD1160">
        <v>468</v>
      </c>
      <c r="BE1160">
        <v>172</v>
      </c>
      <c r="BF1160">
        <v>131</v>
      </c>
      <c r="BG1160">
        <v>33</v>
      </c>
      <c r="BH1160">
        <v>247</v>
      </c>
      <c r="BI1160">
        <v>204</v>
      </c>
      <c r="BJ1160">
        <v>75</v>
      </c>
      <c r="BK1160">
        <v>170</v>
      </c>
      <c r="BL1160">
        <v>14</v>
      </c>
      <c r="BM1160">
        <v>60</v>
      </c>
      <c r="BN1160">
        <v>237</v>
      </c>
      <c r="BO1160">
        <v>24</v>
      </c>
      <c r="BP1160">
        <v>30</v>
      </c>
      <c r="BQ1160">
        <v>35</v>
      </c>
      <c r="BR1160">
        <v>4</v>
      </c>
      <c r="BS1160">
        <v>80</v>
      </c>
      <c r="BT1160">
        <v>15</v>
      </c>
      <c r="BU1160">
        <v>1</v>
      </c>
      <c r="BV1160">
        <v>0</v>
      </c>
      <c r="BW1160">
        <v>0</v>
      </c>
      <c r="BX1160">
        <v>4</v>
      </c>
      <c r="BY1160">
        <v>1</v>
      </c>
      <c r="BZ1160">
        <v>0</v>
      </c>
      <c r="CA1160">
        <v>0</v>
      </c>
      <c r="CB1160">
        <v>0</v>
      </c>
      <c r="CC1160">
        <v>15</v>
      </c>
      <c r="CD1160">
        <v>1</v>
      </c>
      <c r="CE1160">
        <v>0</v>
      </c>
      <c r="CF1160">
        <v>0</v>
      </c>
      <c r="CG1160">
        <v>0</v>
      </c>
      <c r="CH1160">
        <v>0</v>
      </c>
      <c r="CI1160">
        <v>0</v>
      </c>
      <c r="CJ1160">
        <v>0</v>
      </c>
      <c r="CK1160">
        <v>0</v>
      </c>
      <c r="CL1160">
        <v>0</v>
      </c>
      <c r="CM1160">
        <v>93</v>
      </c>
      <c r="CN1160">
        <v>0</v>
      </c>
      <c r="CO1160">
        <v>0</v>
      </c>
      <c r="CP1160">
        <v>0</v>
      </c>
      <c r="CQ1160">
        <v>0</v>
      </c>
      <c r="CR1160">
        <v>0</v>
      </c>
      <c r="CS1160">
        <v>0</v>
      </c>
      <c r="CT1160">
        <v>0</v>
      </c>
      <c r="CU1160">
        <v>0</v>
      </c>
      <c r="CV1160">
        <v>0</v>
      </c>
      <c r="CW1160">
        <v>0</v>
      </c>
      <c r="CX1160">
        <v>0</v>
      </c>
      <c r="CY1160">
        <v>0</v>
      </c>
      <c r="CZ1160">
        <v>0</v>
      </c>
      <c r="DA1160">
        <v>0</v>
      </c>
      <c r="DB1160">
        <v>0</v>
      </c>
      <c r="DC1160">
        <v>0</v>
      </c>
      <c r="DD1160">
        <v>0</v>
      </c>
      <c r="DE1160">
        <v>0</v>
      </c>
      <c r="DF1160">
        <v>0</v>
      </c>
      <c r="DG1160" s="16">
        <f t="shared" si="97"/>
        <v>12413</v>
      </c>
      <c r="DH1160" s="16">
        <f t="shared" si="98"/>
        <v>332749</v>
      </c>
      <c r="DI1160" s="17">
        <f t="shared" si="99"/>
        <v>26.806493192620639</v>
      </c>
      <c r="DJ1160" s="119" t="s">
        <v>2</v>
      </c>
      <c r="DK1160" s="119" t="s">
        <v>2</v>
      </c>
      <c r="DL1160" s="119"/>
    </row>
    <row r="1161" spans="1:116">
      <c r="A1161" s="32" t="str">
        <f t="shared" si="95"/>
        <v>Essential--&gt; 11 KV &amp; &lt; = 22 KV  ; CIRCUIT BREAKER</v>
      </c>
      <c r="B1161" s="32" t="str">
        <f t="shared" si="96"/>
        <v>Essential</v>
      </c>
      <c r="C1161" s="384"/>
      <c r="E1161" t="s">
        <v>344</v>
      </c>
      <c r="F1161">
        <v>53.8</v>
      </c>
      <c r="G1161">
        <v>7.334848328356899</v>
      </c>
      <c r="H1161">
        <v>152</v>
      </c>
      <c r="I1161">
        <v>268</v>
      </c>
      <c r="J1161">
        <v>285</v>
      </c>
      <c r="K1161">
        <v>228</v>
      </c>
      <c r="L1161">
        <v>166</v>
      </c>
      <c r="M1161">
        <v>106</v>
      </c>
      <c r="N1161">
        <v>170</v>
      </c>
      <c r="O1161">
        <v>98</v>
      </c>
      <c r="P1161">
        <v>82</v>
      </c>
      <c r="Q1161">
        <v>75</v>
      </c>
      <c r="R1161">
        <v>75</v>
      </c>
      <c r="S1161">
        <v>47</v>
      </c>
      <c r="T1161">
        <v>56</v>
      </c>
      <c r="U1161">
        <v>46</v>
      </c>
      <c r="V1161">
        <v>30</v>
      </c>
      <c r="W1161">
        <v>41</v>
      </c>
      <c r="X1161">
        <v>26</v>
      </c>
      <c r="Y1161">
        <v>26</v>
      </c>
      <c r="Z1161">
        <v>69</v>
      </c>
      <c r="AA1161">
        <v>63</v>
      </c>
      <c r="AB1161">
        <v>42</v>
      </c>
      <c r="AC1161">
        <v>44</v>
      </c>
      <c r="AD1161">
        <v>50</v>
      </c>
      <c r="AE1161">
        <v>33</v>
      </c>
      <c r="AF1161">
        <v>21</v>
      </c>
      <c r="AG1161">
        <v>25</v>
      </c>
      <c r="AH1161">
        <v>39</v>
      </c>
      <c r="AI1161">
        <v>26</v>
      </c>
      <c r="AJ1161">
        <v>12</v>
      </c>
      <c r="AK1161">
        <v>25</v>
      </c>
      <c r="AL1161">
        <v>27</v>
      </c>
      <c r="AM1161">
        <v>33</v>
      </c>
      <c r="AN1161">
        <v>27</v>
      </c>
      <c r="AO1161">
        <v>20</v>
      </c>
      <c r="AP1161">
        <v>9</v>
      </c>
      <c r="AQ1161">
        <v>16</v>
      </c>
      <c r="AR1161">
        <v>9</v>
      </c>
      <c r="AS1161">
        <v>13</v>
      </c>
      <c r="AT1161">
        <v>5</v>
      </c>
      <c r="AU1161">
        <v>7</v>
      </c>
      <c r="AV1161">
        <v>3</v>
      </c>
      <c r="AW1161">
        <v>24</v>
      </c>
      <c r="AX1161">
        <v>5</v>
      </c>
      <c r="AY1161">
        <v>25</v>
      </c>
      <c r="AZ1161">
        <v>9</v>
      </c>
      <c r="BA1161">
        <v>10</v>
      </c>
      <c r="BB1161">
        <v>24</v>
      </c>
      <c r="BC1161">
        <v>16</v>
      </c>
      <c r="BD1161">
        <v>41</v>
      </c>
      <c r="BE1161">
        <v>20</v>
      </c>
      <c r="BF1161">
        <v>22</v>
      </c>
      <c r="BG1161">
        <v>3</v>
      </c>
      <c r="BH1161">
        <v>1</v>
      </c>
      <c r="BI1161">
        <v>10</v>
      </c>
      <c r="BJ1161">
        <v>9</v>
      </c>
      <c r="BK1161">
        <v>3</v>
      </c>
      <c r="BL1161">
        <v>1</v>
      </c>
      <c r="BM1161">
        <v>8</v>
      </c>
      <c r="BN1161">
        <v>34</v>
      </c>
      <c r="BO1161">
        <v>0</v>
      </c>
      <c r="BP1161">
        <v>1</v>
      </c>
      <c r="BQ1161">
        <v>0</v>
      </c>
      <c r="BR1161">
        <v>0</v>
      </c>
      <c r="BS1161">
        <v>12</v>
      </c>
      <c r="BT1161">
        <v>0</v>
      </c>
      <c r="BU1161">
        <v>1</v>
      </c>
      <c r="BV1161">
        <v>0</v>
      </c>
      <c r="BW1161">
        <v>0</v>
      </c>
      <c r="BX1161">
        <v>0</v>
      </c>
      <c r="BY1161">
        <v>0</v>
      </c>
      <c r="BZ1161">
        <v>0</v>
      </c>
      <c r="CA1161">
        <v>0</v>
      </c>
      <c r="CB1161">
        <v>0</v>
      </c>
      <c r="CC1161">
        <v>3</v>
      </c>
      <c r="CD1161">
        <v>0</v>
      </c>
      <c r="CE1161">
        <v>0</v>
      </c>
      <c r="CF1161">
        <v>0</v>
      </c>
      <c r="CG1161">
        <v>0</v>
      </c>
      <c r="CH1161">
        <v>0</v>
      </c>
      <c r="CI1161">
        <v>0</v>
      </c>
      <c r="CJ1161">
        <v>0</v>
      </c>
      <c r="CK1161">
        <v>0</v>
      </c>
      <c r="CL1161">
        <v>0</v>
      </c>
      <c r="CM1161">
        <v>1</v>
      </c>
      <c r="CN1161">
        <v>0</v>
      </c>
      <c r="CO1161">
        <v>0</v>
      </c>
      <c r="CP1161">
        <v>0</v>
      </c>
      <c r="CQ1161">
        <v>0</v>
      </c>
      <c r="CR1161">
        <v>0</v>
      </c>
      <c r="CS1161">
        <v>0</v>
      </c>
      <c r="CT1161">
        <v>0</v>
      </c>
      <c r="CU1161">
        <v>0</v>
      </c>
      <c r="CV1161">
        <v>0</v>
      </c>
      <c r="CW1161">
        <v>0</v>
      </c>
      <c r="CX1161">
        <v>0</v>
      </c>
      <c r="CY1161">
        <v>0</v>
      </c>
      <c r="CZ1161">
        <v>0</v>
      </c>
      <c r="DA1161">
        <v>0</v>
      </c>
      <c r="DB1161">
        <v>0</v>
      </c>
      <c r="DC1161">
        <v>0</v>
      </c>
      <c r="DD1161">
        <v>0</v>
      </c>
      <c r="DE1161">
        <v>0</v>
      </c>
      <c r="DF1161">
        <v>0</v>
      </c>
      <c r="DG1161" s="16">
        <f t="shared" si="97"/>
        <v>2878</v>
      </c>
      <c r="DH1161" s="16">
        <f t="shared" si="98"/>
        <v>42712</v>
      </c>
      <c r="DI1161" s="17">
        <f t="shared" si="99"/>
        <v>14.8408617095205</v>
      </c>
      <c r="DJ1161" s="119" t="s">
        <v>2</v>
      </c>
      <c r="DK1161" s="119" t="s">
        <v>2</v>
      </c>
      <c r="DL1161" s="119"/>
    </row>
    <row r="1162" spans="1:116">
      <c r="A1162" s="32" t="str">
        <f t="shared" si="95"/>
        <v>Essential--&gt; 22 KV &amp; &lt; = 33 KV ; SWITCH</v>
      </c>
      <c r="B1162" s="32" t="str">
        <f t="shared" si="96"/>
        <v>Essential</v>
      </c>
      <c r="C1162" s="384"/>
      <c r="E1162" t="s">
        <v>345</v>
      </c>
      <c r="F1162">
        <v>54.9</v>
      </c>
      <c r="G1162">
        <v>7.4094534211370817</v>
      </c>
      <c r="H1162">
        <v>55</v>
      </c>
      <c r="I1162">
        <v>82</v>
      </c>
      <c r="J1162">
        <v>69</v>
      </c>
      <c r="K1162">
        <v>51</v>
      </c>
      <c r="L1162">
        <v>63</v>
      </c>
      <c r="M1162">
        <v>47</v>
      </c>
      <c r="N1162">
        <v>84</v>
      </c>
      <c r="O1162">
        <v>78</v>
      </c>
      <c r="P1162">
        <v>51</v>
      </c>
      <c r="Q1162">
        <v>24</v>
      </c>
      <c r="R1162">
        <v>35</v>
      </c>
      <c r="S1162">
        <v>8</v>
      </c>
      <c r="T1162">
        <v>21</v>
      </c>
      <c r="U1162">
        <v>37</v>
      </c>
      <c r="V1162">
        <v>23</v>
      </c>
      <c r="W1162">
        <v>7</v>
      </c>
      <c r="X1162">
        <v>4</v>
      </c>
      <c r="Y1162">
        <v>2</v>
      </c>
      <c r="Z1162">
        <v>24</v>
      </c>
      <c r="AA1162">
        <v>30</v>
      </c>
      <c r="AB1162">
        <v>20</v>
      </c>
      <c r="AC1162">
        <v>7</v>
      </c>
      <c r="AD1162">
        <v>25</v>
      </c>
      <c r="AE1162">
        <v>7</v>
      </c>
      <c r="AF1162">
        <v>27</v>
      </c>
      <c r="AG1162">
        <v>10</v>
      </c>
      <c r="AH1162">
        <v>13</v>
      </c>
      <c r="AI1162">
        <v>17</v>
      </c>
      <c r="AJ1162">
        <v>22</v>
      </c>
      <c r="AK1162">
        <v>19</v>
      </c>
      <c r="AL1162">
        <v>3</v>
      </c>
      <c r="AM1162">
        <v>50</v>
      </c>
      <c r="AN1162">
        <v>11</v>
      </c>
      <c r="AO1162">
        <v>9</v>
      </c>
      <c r="AP1162">
        <v>5</v>
      </c>
      <c r="AQ1162">
        <v>13</v>
      </c>
      <c r="AR1162">
        <v>24</v>
      </c>
      <c r="AS1162">
        <v>11</v>
      </c>
      <c r="AT1162">
        <v>4</v>
      </c>
      <c r="AU1162">
        <v>5</v>
      </c>
      <c r="AV1162">
        <v>6</v>
      </c>
      <c r="AW1162">
        <v>3</v>
      </c>
      <c r="AX1162">
        <v>7</v>
      </c>
      <c r="AY1162">
        <v>5</v>
      </c>
      <c r="AZ1162">
        <v>17</v>
      </c>
      <c r="BA1162">
        <v>6</v>
      </c>
      <c r="BB1162">
        <v>19</v>
      </c>
      <c r="BC1162">
        <v>10</v>
      </c>
      <c r="BD1162">
        <v>6</v>
      </c>
      <c r="BE1162">
        <v>1</v>
      </c>
      <c r="BF1162">
        <v>1</v>
      </c>
      <c r="BG1162">
        <v>6</v>
      </c>
      <c r="BH1162">
        <v>11</v>
      </c>
      <c r="BI1162">
        <v>9</v>
      </c>
      <c r="BJ1162">
        <v>0</v>
      </c>
      <c r="BK1162">
        <v>0</v>
      </c>
      <c r="BL1162">
        <v>1</v>
      </c>
      <c r="BM1162">
        <v>0</v>
      </c>
      <c r="BN1162">
        <v>5</v>
      </c>
      <c r="BO1162">
        <v>0</v>
      </c>
      <c r="BP1162">
        <v>0</v>
      </c>
      <c r="BQ1162">
        <v>0</v>
      </c>
      <c r="BR1162">
        <v>0</v>
      </c>
      <c r="BS1162">
        <v>9</v>
      </c>
      <c r="BT1162">
        <v>0</v>
      </c>
      <c r="BU1162">
        <v>0</v>
      </c>
      <c r="BV1162">
        <v>0</v>
      </c>
      <c r="BW1162">
        <v>0</v>
      </c>
      <c r="BX1162">
        <v>1</v>
      </c>
      <c r="BY1162">
        <v>0</v>
      </c>
      <c r="BZ1162">
        <v>0</v>
      </c>
      <c r="CA1162">
        <v>0</v>
      </c>
      <c r="CB1162">
        <v>0</v>
      </c>
      <c r="CC1162">
        <v>0</v>
      </c>
      <c r="CD1162">
        <v>0</v>
      </c>
      <c r="CE1162">
        <v>0</v>
      </c>
      <c r="CF1162">
        <v>0</v>
      </c>
      <c r="CG1162">
        <v>0</v>
      </c>
      <c r="CH1162">
        <v>0</v>
      </c>
      <c r="CI1162">
        <v>0</v>
      </c>
      <c r="CJ1162">
        <v>0</v>
      </c>
      <c r="CK1162">
        <v>0</v>
      </c>
      <c r="CL1162">
        <v>0</v>
      </c>
      <c r="CM1162">
        <v>0</v>
      </c>
      <c r="CN1162">
        <v>0</v>
      </c>
      <c r="CO1162">
        <v>0</v>
      </c>
      <c r="CP1162">
        <v>0</v>
      </c>
      <c r="CQ1162">
        <v>0</v>
      </c>
      <c r="CR1162">
        <v>0</v>
      </c>
      <c r="CS1162">
        <v>0</v>
      </c>
      <c r="CT1162">
        <v>0</v>
      </c>
      <c r="CU1162">
        <v>0</v>
      </c>
      <c r="CV1162">
        <v>0</v>
      </c>
      <c r="CW1162">
        <v>0</v>
      </c>
      <c r="CX1162">
        <v>0</v>
      </c>
      <c r="CY1162">
        <v>0</v>
      </c>
      <c r="CZ1162">
        <v>0</v>
      </c>
      <c r="DA1162">
        <v>0</v>
      </c>
      <c r="DB1162">
        <v>0</v>
      </c>
      <c r="DC1162">
        <v>0</v>
      </c>
      <c r="DD1162">
        <v>0</v>
      </c>
      <c r="DE1162">
        <v>0</v>
      </c>
      <c r="DF1162">
        <v>0</v>
      </c>
      <c r="DG1162" s="16">
        <f t="shared" si="97"/>
        <v>1220</v>
      </c>
      <c r="DH1162" s="16">
        <f t="shared" si="98"/>
        <v>21061</v>
      </c>
      <c r="DI1162" s="17">
        <f t="shared" si="99"/>
        <v>17.26311475409836</v>
      </c>
      <c r="DJ1162" s="119" t="s">
        <v>2</v>
      </c>
      <c r="DK1162" s="119" t="s">
        <v>2</v>
      </c>
      <c r="DL1162" s="119"/>
    </row>
    <row r="1163" spans="1:116">
      <c r="A1163" s="32" t="str">
        <f t="shared" si="95"/>
        <v>Essential--&gt; 22 KV &amp; &lt; = 33 KV ; CIRCUIT BREAKER</v>
      </c>
      <c r="B1163" s="32" t="str">
        <f t="shared" si="96"/>
        <v>Essential</v>
      </c>
      <c r="C1163" s="384"/>
      <c r="E1163" t="s">
        <v>346</v>
      </c>
      <c r="F1163">
        <v>54.9</v>
      </c>
      <c r="G1163">
        <v>7.4094534211370817</v>
      </c>
      <c r="H1163">
        <v>1</v>
      </c>
      <c r="I1163">
        <v>8</v>
      </c>
      <c r="J1163">
        <v>33</v>
      </c>
      <c r="K1163">
        <v>18</v>
      </c>
      <c r="L1163">
        <v>43</v>
      </c>
      <c r="M1163">
        <v>30</v>
      </c>
      <c r="N1163">
        <v>45</v>
      </c>
      <c r="O1163">
        <v>35</v>
      </c>
      <c r="P1163">
        <v>29</v>
      </c>
      <c r="Q1163">
        <v>16</v>
      </c>
      <c r="R1163">
        <v>16</v>
      </c>
      <c r="S1163">
        <v>9</v>
      </c>
      <c r="T1163">
        <v>18</v>
      </c>
      <c r="U1163">
        <v>12</v>
      </c>
      <c r="V1163">
        <v>2</v>
      </c>
      <c r="W1163">
        <v>13</v>
      </c>
      <c r="X1163">
        <v>9</v>
      </c>
      <c r="Y1163">
        <v>2</v>
      </c>
      <c r="Z1163">
        <v>9</v>
      </c>
      <c r="AA1163">
        <v>5</v>
      </c>
      <c r="AB1163">
        <v>3</v>
      </c>
      <c r="AC1163">
        <v>3</v>
      </c>
      <c r="AD1163">
        <v>2</v>
      </c>
      <c r="AE1163">
        <v>4</v>
      </c>
      <c r="AF1163">
        <v>2</v>
      </c>
      <c r="AG1163">
        <v>0</v>
      </c>
      <c r="AH1163">
        <v>1</v>
      </c>
      <c r="AI1163">
        <v>5</v>
      </c>
      <c r="AJ1163">
        <v>1</v>
      </c>
      <c r="AK1163">
        <v>0</v>
      </c>
      <c r="AL1163">
        <v>1</v>
      </c>
      <c r="AM1163">
        <v>4</v>
      </c>
      <c r="AN1163">
        <v>0</v>
      </c>
      <c r="AO1163">
        <v>11</v>
      </c>
      <c r="AP1163">
        <v>1</v>
      </c>
      <c r="AQ1163">
        <v>2</v>
      </c>
      <c r="AR1163">
        <v>0</v>
      </c>
      <c r="AS1163">
        <v>1</v>
      </c>
      <c r="AT1163">
        <v>0</v>
      </c>
      <c r="AU1163">
        <v>0</v>
      </c>
      <c r="AV1163">
        <v>1</v>
      </c>
      <c r="AW1163">
        <v>0</v>
      </c>
      <c r="AX1163">
        <v>4</v>
      </c>
      <c r="AY1163">
        <v>0</v>
      </c>
      <c r="AZ1163">
        <v>1</v>
      </c>
      <c r="BA1163">
        <v>0</v>
      </c>
      <c r="BB1163">
        <v>2</v>
      </c>
      <c r="BC1163">
        <v>1</v>
      </c>
      <c r="BD1163">
        <v>0</v>
      </c>
      <c r="BE1163">
        <v>0</v>
      </c>
      <c r="BF1163">
        <v>2</v>
      </c>
      <c r="BG1163">
        <v>0</v>
      </c>
      <c r="BH1163">
        <v>1</v>
      </c>
      <c r="BI1163">
        <v>1</v>
      </c>
      <c r="BJ1163">
        <v>1</v>
      </c>
      <c r="BK1163">
        <v>0</v>
      </c>
      <c r="BL1163">
        <v>0</v>
      </c>
      <c r="BM1163">
        <v>0</v>
      </c>
      <c r="BN1163">
        <v>0</v>
      </c>
      <c r="BO1163">
        <v>0</v>
      </c>
      <c r="BP1163">
        <v>0</v>
      </c>
      <c r="BQ1163">
        <v>3</v>
      </c>
      <c r="BR1163">
        <v>0</v>
      </c>
      <c r="BS1163">
        <v>0</v>
      </c>
      <c r="BT1163">
        <v>0</v>
      </c>
      <c r="BU1163">
        <v>0</v>
      </c>
      <c r="BV1163">
        <v>0</v>
      </c>
      <c r="BW1163">
        <v>0</v>
      </c>
      <c r="BX1163">
        <v>0</v>
      </c>
      <c r="BY1163">
        <v>0</v>
      </c>
      <c r="BZ1163">
        <v>0</v>
      </c>
      <c r="CA1163">
        <v>0</v>
      </c>
      <c r="CB1163">
        <v>0</v>
      </c>
      <c r="CC1163">
        <v>0</v>
      </c>
      <c r="CD1163">
        <v>0</v>
      </c>
      <c r="CE1163">
        <v>0</v>
      </c>
      <c r="CF1163">
        <v>0</v>
      </c>
      <c r="CG1163">
        <v>0</v>
      </c>
      <c r="CH1163">
        <v>0</v>
      </c>
      <c r="CI1163">
        <v>0</v>
      </c>
      <c r="CJ1163">
        <v>0</v>
      </c>
      <c r="CK1163">
        <v>0</v>
      </c>
      <c r="CL1163">
        <v>0</v>
      </c>
      <c r="CM1163">
        <v>0</v>
      </c>
      <c r="CN1163">
        <v>0</v>
      </c>
      <c r="CO1163">
        <v>0</v>
      </c>
      <c r="CP1163">
        <v>0</v>
      </c>
      <c r="CQ1163">
        <v>0</v>
      </c>
      <c r="CR1163">
        <v>0</v>
      </c>
      <c r="CS1163">
        <v>0</v>
      </c>
      <c r="CT1163">
        <v>0</v>
      </c>
      <c r="CU1163">
        <v>0</v>
      </c>
      <c r="CV1163">
        <v>0</v>
      </c>
      <c r="CW1163">
        <v>0</v>
      </c>
      <c r="CX1163">
        <v>0</v>
      </c>
      <c r="CY1163">
        <v>0</v>
      </c>
      <c r="CZ1163">
        <v>0</v>
      </c>
      <c r="DA1163">
        <v>0</v>
      </c>
      <c r="DB1163">
        <v>0</v>
      </c>
      <c r="DC1163">
        <v>0</v>
      </c>
      <c r="DD1163">
        <v>0</v>
      </c>
      <c r="DE1163">
        <v>0</v>
      </c>
      <c r="DF1163">
        <v>0</v>
      </c>
      <c r="DG1163" s="16">
        <f t="shared" si="97"/>
        <v>411</v>
      </c>
      <c r="DH1163" s="16">
        <f t="shared" si="98"/>
        <v>5028</v>
      </c>
      <c r="DI1163" s="17">
        <f t="shared" si="99"/>
        <v>12.233576642335766</v>
      </c>
      <c r="DJ1163" s="119" t="s">
        <v>2</v>
      </c>
      <c r="DK1163" s="119" t="s">
        <v>2</v>
      </c>
      <c r="DL1163" s="119"/>
    </row>
    <row r="1164" spans="1:116">
      <c r="A1164" s="32" t="str">
        <f t="shared" si="95"/>
        <v>Essential--&gt; 33 KV &amp; &lt; = 66 KV ; SWITCH</v>
      </c>
      <c r="B1164" s="32" t="str">
        <f t="shared" si="96"/>
        <v>Essential</v>
      </c>
      <c r="C1164" s="384"/>
      <c r="E1164" t="s">
        <v>347</v>
      </c>
      <c r="F1164">
        <v>54.9</v>
      </c>
      <c r="G1164">
        <v>7.4094534211370817</v>
      </c>
      <c r="H1164">
        <v>99</v>
      </c>
      <c r="I1164">
        <v>105</v>
      </c>
      <c r="J1164">
        <v>88</v>
      </c>
      <c r="K1164">
        <v>77</v>
      </c>
      <c r="L1164">
        <v>178</v>
      </c>
      <c r="M1164">
        <v>96</v>
      </c>
      <c r="N1164">
        <v>195</v>
      </c>
      <c r="O1164">
        <v>213</v>
      </c>
      <c r="P1164">
        <v>108</v>
      </c>
      <c r="Q1164">
        <v>50</v>
      </c>
      <c r="R1164">
        <v>61</v>
      </c>
      <c r="S1164">
        <v>12</v>
      </c>
      <c r="T1164">
        <v>31</v>
      </c>
      <c r="U1164">
        <v>24</v>
      </c>
      <c r="V1164">
        <v>63</v>
      </c>
      <c r="W1164">
        <v>11</v>
      </c>
      <c r="X1164">
        <v>3</v>
      </c>
      <c r="Y1164">
        <v>2</v>
      </c>
      <c r="Z1164">
        <v>52</v>
      </c>
      <c r="AA1164">
        <v>7</v>
      </c>
      <c r="AB1164">
        <v>24</v>
      </c>
      <c r="AC1164">
        <v>28</v>
      </c>
      <c r="AD1164">
        <v>42</v>
      </c>
      <c r="AE1164">
        <v>5</v>
      </c>
      <c r="AF1164">
        <v>28</v>
      </c>
      <c r="AG1164">
        <v>28</v>
      </c>
      <c r="AH1164">
        <v>35</v>
      </c>
      <c r="AI1164">
        <v>37</v>
      </c>
      <c r="AJ1164">
        <v>7</v>
      </c>
      <c r="AK1164">
        <v>7</v>
      </c>
      <c r="AL1164">
        <v>4</v>
      </c>
      <c r="AM1164">
        <v>31</v>
      </c>
      <c r="AN1164">
        <v>17</v>
      </c>
      <c r="AO1164">
        <v>16</v>
      </c>
      <c r="AP1164">
        <v>17</v>
      </c>
      <c r="AQ1164">
        <v>13</v>
      </c>
      <c r="AR1164">
        <v>54</v>
      </c>
      <c r="AS1164">
        <v>1</v>
      </c>
      <c r="AT1164">
        <v>2</v>
      </c>
      <c r="AU1164">
        <v>8</v>
      </c>
      <c r="AV1164">
        <v>19</v>
      </c>
      <c r="AW1164">
        <v>5</v>
      </c>
      <c r="AX1164">
        <v>6</v>
      </c>
      <c r="AY1164">
        <v>5</v>
      </c>
      <c r="AZ1164">
        <v>24</v>
      </c>
      <c r="BA1164">
        <v>2</v>
      </c>
      <c r="BB1164">
        <v>12</v>
      </c>
      <c r="BC1164">
        <v>4</v>
      </c>
      <c r="BD1164">
        <v>16</v>
      </c>
      <c r="BE1164">
        <v>2</v>
      </c>
      <c r="BF1164">
        <v>3</v>
      </c>
      <c r="BG1164">
        <v>4</v>
      </c>
      <c r="BH1164">
        <v>3</v>
      </c>
      <c r="BI1164">
        <v>2</v>
      </c>
      <c r="BJ1164">
        <v>0</v>
      </c>
      <c r="BK1164">
        <v>0</v>
      </c>
      <c r="BL1164">
        <v>0</v>
      </c>
      <c r="BM1164">
        <v>0</v>
      </c>
      <c r="BN1164">
        <v>1</v>
      </c>
      <c r="BO1164">
        <v>0</v>
      </c>
      <c r="BP1164">
        <v>0</v>
      </c>
      <c r="BQ1164">
        <v>1</v>
      </c>
      <c r="BR1164">
        <v>0</v>
      </c>
      <c r="BS1164">
        <v>2</v>
      </c>
      <c r="BT1164">
        <v>0</v>
      </c>
      <c r="BU1164">
        <v>0</v>
      </c>
      <c r="BV1164">
        <v>0</v>
      </c>
      <c r="BW1164">
        <v>0</v>
      </c>
      <c r="BX1164">
        <v>0</v>
      </c>
      <c r="BY1164">
        <v>0</v>
      </c>
      <c r="BZ1164">
        <v>0</v>
      </c>
      <c r="CA1164">
        <v>0</v>
      </c>
      <c r="CB1164">
        <v>0</v>
      </c>
      <c r="CC1164">
        <v>0</v>
      </c>
      <c r="CD1164">
        <v>0</v>
      </c>
      <c r="CE1164">
        <v>0</v>
      </c>
      <c r="CF1164">
        <v>0</v>
      </c>
      <c r="CG1164">
        <v>0</v>
      </c>
      <c r="CH1164">
        <v>0</v>
      </c>
      <c r="CI1164">
        <v>0</v>
      </c>
      <c r="CJ1164">
        <v>0</v>
      </c>
      <c r="CK1164">
        <v>0</v>
      </c>
      <c r="CL1164">
        <v>0</v>
      </c>
      <c r="CM1164">
        <v>1</v>
      </c>
      <c r="CN1164">
        <v>0</v>
      </c>
      <c r="CO1164">
        <v>0</v>
      </c>
      <c r="CP1164">
        <v>0</v>
      </c>
      <c r="CQ1164">
        <v>0</v>
      </c>
      <c r="CR1164">
        <v>0</v>
      </c>
      <c r="CS1164">
        <v>0</v>
      </c>
      <c r="CT1164">
        <v>0</v>
      </c>
      <c r="CU1164">
        <v>0</v>
      </c>
      <c r="CV1164">
        <v>0</v>
      </c>
      <c r="CW1164">
        <v>0</v>
      </c>
      <c r="CX1164">
        <v>0</v>
      </c>
      <c r="CY1164">
        <v>0</v>
      </c>
      <c r="CZ1164">
        <v>0</v>
      </c>
      <c r="DA1164">
        <v>0</v>
      </c>
      <c r="DB1164">
        <v>0</v>
      </c>
      <c r="DC1164">
        <v>0</v>
      </c>
      <c r="DD1164">
        <v>0</v>
      </c>
      <c r="DE1164">
        <v>0</v>
      </c>
      <c r="DF1164">
        <v>0</v>
      </c>
      <c r="DG1164" s="16">
        <f t="shared" si="97"/>
        <v>1991</v>
      </c>
      <c r="DH1164" s="16">
        <f t="shared" si="98"/>
        <v>27764</v>
      </c>
      <c r="DI1164" s="17">
        <f t="shared" si="99"/>
        <v>13.94475138121547</v>
      </c>
      <c r="DJ1164" s="119" t="s">
        <v>2</v>
      </c>
      <c r="DK1164" s="119" t="s">
        <v>2</v>
      </c>
      <c r="DL1164" s="119"/>
    </row>
    <row r="1165" spans="1:116">
      <c r="A1165" s="32" t="str">
        <f t="shared" si="95"/>
        <v>Essential--&gt; 33 KV &amp; &lt; = 66 KV ; CIRCUIT BREAKER</v>
      </c>
      <c r="B1165" s="32" t="str">
        <f t="shared" si="96"/>
        <v>Essential</v>
      </c>
      <c r="C1165" s="384"/>
      <c r="E1165" t="s">
        <v>348</v>
      </c>
      <c r="F1165">
        <v>54.9</v>
      </c>
      <c r="G1165">
        <v>7.4094534211370817</v>
      </c>
      <c r="H1165">
        <v>14</v>
      </c>
      <c r="I1165">
        <v>10</v>
      </c>
      <c r="J1165">
        <v>44</v>
      </c>
      <c r="K1165">
        <v>32</v>
      </c>
      <c r="L1165">
        <v>55</v>
      </c>
      <c r="M1165">
        <v>58</v>
      </c>
      <c r="N1165">
        <v>50</v>
      </c>
      <c r="O1165">
        <v>43</v>
      </c>
      <c r="P1165">
        <v>30</v>
      </c>
      <c r="Q1165">
        <v>25</v>
      </c>
      <c r="R1165">
        <v>49</v>
      </c>
      <c r="S1165">
        <v>13</v>
      </c>
      <c r="T1165">
        <v>26</v>
      </c>
      <c r="U1165">
        <v>5</v>
      </c>
      <c r="V1165">
        <v>4</v>
      </c>
      <c r="W1165">
        <v>0</v>
      </c>
      <c r="X1165">
        <v>0</v>
      </c>
      <c r="Y1165">
        <v>2</v>
      </c>
      <c r="Z1165">
        <v>6</v>
      </c>
      <c r="AA1165">
        <v>3</v>
      </c>
      <c r="AB1165">
        <v>1</v>
      </c>
      <c r="AC1165">
        <v>10</v>
      </c>
      <c r="AD1165">
        <v>9</v>
      </c>
      <c r="AE1165">
        <v>8</v>
      </c>
      <c r="AF1165">
        <v>5</v>
      </c>
      <c r="AG1165">
        <v>1</v>
      </c>
      <c r="AH1165">
        <v>9</v>
      </c>
      <c r="AI1165">
        <v>18</v>
      </c>
      <c r="AJ1165">
        <v>9</v>
      </c>
      <c r="AK1165">
        <v>2</v>
      </c>
      <c r="AL1165">
        <v>10</v>
      </c>
      <c r="AM1165">
        <v>25</v>
      </c>
      <c r="AN1165">
        <v>26</v>
      </c>
      <c r="AO1165">
        <v>8</v>
      </c>
      <c r="AP1165">
        <v>1</v>
      </c>
      <c r="AQ1165">
        <v>3</v>
      </c>
      <c r="AR1165">
        <v>1</v>
      </c>
      <c r="AS1165">
        <v>3</v>
      </c>
      <c r="AT1165">
        <v>2</v>
      </c>
      <c r="AU1165">
        <v>0</v>
      </c>
      <c r="AV1165">
        <v>0</v>
      </c>
      <c r="AW1165">
        <v>0</v>
      </c>
      <c r="AX1165">
        <v>0</v>
      </c>
      <c r="AY1165">
        <v>1</v>
      </c>
      <c r="AZ1165">
        <v>0</v>
      </c>
      <c r="BA1165">
        <v>8</v>
      </c>
      <c r="BB1165">
        <v>6</v>
      </c>
      <c r="BC1165">
        <v>13</v>
      </c>
      <c r="BD1165">
        <v>4</v>
      </c>
      <c r="BE1165">
        <v>0</v>
      </c>
      <c r="BF1165">
        <v>5</v>
      </c>
      <c r="BG1165">
        <v>0</v>
      </c>
      <c r="BH1165">
        <v>1</v>
      </c>
      <c r="BI1165">
        <v>1</v>
      </c>
      <c r="BJ1165">
        <v>0</v>
      </c>
      <c r="BK1165">
        <v>0</v>
      </c>
      <c r="BL1165">
        <v>1</v>
      </c>
      <c r="BM1165">
        <v>0</v>
      </c>
      <c r="BN1165">
        <v>0</v>
      </c>
      <c r="BO1165">
        <v>7</v>
      </c>
      <c r="BP1165">
        <v>0</v>
      </c>
      <c r="BQ1165">
        <v>2</v>
      </c>
      <c r="BR1165">
        <v>0</v>
      </c>
      <c r="BS1165">
        <v>0</v>
      </c>
      <c r="BT1165">
        <v>0</v>
      </c>
      <c r="BU1165">
        <v>0</v>
      </c>
      <c r="BV1165">
        <v>0</v>
      </c>
      <c r="BW1165">
        <v>0</v>
      </c>
      <c r="BX1165">
        <v>0</v>
      </c>
      <c r="BY1165">
        <v>0</v>
      </c>
      <c r="BZ1165">
        <v>0</v>
      </c>
      <c r="CA1165">
        <v>0</v>
      </c>
      <c r="CB1165">
        <v>0</v>
      </c>
      <c r="CC1165">
        <v>0</v>
      </c>
      <c r="CD1165">
        <v>0</v>
      </c>
      <c r="CE1165">
        <v>0</v>
      </c>
      <c r="CF1165">
        <v>0</v>
      </c>
      <c r="CG1165">
        <v>0</v>
      </c>
      <c r="CH1165">
        <v>0</v>
      </c>
      <c r="CI1165">
        <v>0</v>
      </c>
      <c r="CJ1165">
        <v>0</v>
      </c>
      <c r="CK1165">
        <v>0</v>
      </c>
      <c r="CL1165">
        <v>0</v>
      </c>
      <c r="CM1165">
        <v>0</v>
      </c>
      <c r="CN1165">
        <v>0</v>
      </c>
      <c r="CO1165">
        <v>0</v>
      </c>
      <c r="CP1165">
        <v>0</v>
      </c>
      <c r="CQ1165">
        <v>0</v>
      </c>
      <c r="CR1165">
        <v>0</v>
      </c>
      <c r="CS1165">
        <v>0</v>
      </c>
      <c r="CT1165">
        <v>0</v>
      </c>
      <c r="CU1165">
        <v>0</v>
      </c>
      <c r="CV1165">
        <v>0</v>
      </c>
      <c r="CW1165">
        <v>0</v>
      </c>
      <c r="CX1165">
        <v>0</v>
      </c>
      <c r="CY1165">
        <v>0</v>
      </c>
      <c r="CZ1165">
        <v>0</v>
      </c>
      <c r="DA1165">
        <v>0</v>
      </c>
      <c r="DB1165">
        <v>0</v>
      </c>
      <c r="DC1165">
        <v>0</v>
      </c>
      <c r="DD1165">
        <v>0</v>
      </c>
      <c r="DE1165">
        <v>0</v>
      </c>
      <c r="DF1165">
        <v>0</v>
      </c>
      <c r="DG1165" s="16">
        <f t="shared" si="97"/>
        <v>669</v>
      </c>
      <c r="DH1165" s="16">
        <f t="shared" si="98"/>
        <v>10452</v>
      </c>
      <c r="DI1165" s="17">
        <f t="shared" si="99"/>
        <v>15.623318385650224</v>
      </c>
      <c r="DJ1165" s="119" t="s">
        <v>2</v>
      </c>
      <c r="DK1165" s="119" t="s">
        <v>2</v>
      </c>
      <c r="DL1165" s="119"/>
    </row>
    <row r="1166" spans="1:116">
      <c r="A1166" s="32" t="str">
        <f t="shared" si="95"/>
        <v>Essential--&gt; 66 KV &amp; &lt; = 132 KV ; SWITCH</v>
      </c>
      <c r="B1166" s="32" t="str">
        <f t="shared" si="96"/>
        <v>Essential</v>
      </c>
      <c r="C1166" s="384"/>
      <c r="E1166" t="s">
        <v>349</v>
      </c>
      <c r="F1166">
        <v>54.9</v>
      </c>
      <c r="G1166">
        <v>7.4094534211370817</v>
      </c>
      <c r="H1166">
        <v>14</v>
      </c>
      <c r="I1166">
        <v>29</v>
      </c>
      <c r="J1166">
        <v>16</v>
      </c>
      <c r="K1166">
        <v>10</v>
      </c>
      <c r="L1166">
        <v>15</v>
      </c>
      <c r="M1166">
        <v>21</v>
      </c>
      <c r="N1166">
        <v>19</v>
      </c>
      <c r="O1166">
        <v>35</v>
      </c>
      <c r="P1166">
        <v>12</v>
      </c>
      <c r="Q1166">
        <v>4</v>
      </c>
      <c r="R1166">
        <v>13</v>
      </c>
      <c r="S1166">
        <v>1</v>
      </c>
      <c r="T1166">
        <v>2</v>
      </c>
      <c r="U1166">
        <v>12</v>
      </c>
      <c r="V1166">
        <v>30</v>
      </c>
      <c r="W1166">
        <v>0</v>
      </c>
      <c r="X1166">
        <v>2</v>
      </c>
      <c r="Y1166">
        <v>0</v>
      </c>
      <c r="Z1166">
        <v>6</v>
      </c>
      <c r="AA1166">
        <v>3</v>
      </c>
      <c r="AB1166">
        <v>2</v>
      </c>
      <c r="AC1166">
        <v>3</v>
      </c>
      <c r="AD1166">
        <v>9</v>
      </c>
      <c r="AE1166">
        <v>0</v>
      </c>
      <c r="AF1166">
        <v>7</v>
      </c>
      <c r="AG1166">
        <v>2</v>
      </c>
      <c r="AH1166">
        <v>3</v>
      </c>
      <c r="AI1166">
        <v>4</v>
      </c>
      <c r="AJ1166">
        <v>1</v>
      </c>
      <c r="AK1166">
        <v>1</v>
      </c>
      <c r="AL1166">
        <v>0</v>
      </c>
      <c r="AM1166">
        <v>3</v>
      </c>
      <c r="AN1166">
        <v>4</v>
      </c>
      <c r="AO1166">
        <v>1</v>
      </c>
      <c r="AP1166">
        <v>1</v>
      </c>
      <c r="AQ1166">
        <v>2</v>
      </c>
      <c r="AR1166">
        <v>5</v>
      </c>
      <c r="AS1166">
        <v>0</v>
      </c>
      <c r="AT1166">
        <v>0</v>
      </c>
      <c r="AU1166">
        <v>0</v>
      </c>
      <c r="AV1166">
        <v>1</v>
      </c>
      <c r="AW1166">
        <v>0</v>
      </c>
      <c r="AX1166">
        <v>0</v>
      </c>
      <c r="AY1166">
        <v>0</v>
      </c>
      <c r="AZ1166">
        <v>1</v>
      </c>
      <c r="BA1166">
        <v>0</v>
      </c>
      <c r="BB1166">
        <v>1</v>
      </c>
      <c r="BC1166">
        <v>0</v>
      </c>
      <c r="BD1166">
        <v>1</v>
      </c>
      <c r="BE1166">
        <v>0</v>
      </c>
      <c r="BF1166">
        <v>0</v>
      </c>
      <c r="BG1166">
        <v>0</v>
      </c>
      <c r="BH1166">
        <v>0</v>
      </c>
      <c r="BI1166">
        <v>0</v>
      </c>
      <c r="BJ1166">
        <v>0</v>
      </c>
      <c r="BK1166">
        <v>0</v>
      </c>
      <c r="BL1166">
        <v>0</v>
      </c>
      <c r="BM1166">
        <v>0</v>
      </c>
      <c r="BN1166">
        <v>0</v>
      </c>
      <c r="BO1166">
        <v>0</v>
      </c>
      <c r="BP1166">
        <v>0</v>
      </c>
      <c r="BQ1166">
        <v>0</v>
      </c>
      <c r="BR1166">
        <v>0</v>
      </c>
      <c r="BS1166">
        <v>0</v>
      </c>
      <c r="BT1166">
        <v>0</v>
      </c>
      <c r="BU1166">
        <v>0</v>
      </c>
      <c r="BV1166">
        <v>0</v>
      </c>
      <c r="BW1166">
        <v>0</v>
      </c>
      <c r="BX1166">
        <v>0</v>
      </c>
      <c r="BY1166">
        <v>0</v>
      </c>
      <c r="BZ1166">
        <v>0</v>
      </c>
      <c r="CA1166">
        <v>0</v>
      </c>
      <c r="CB1166">
        <v>0</v>
      </c>
      <c r="CC1166">
        <v>0</v>
      </c>
      <c r="CD1166">
        <v>0</v>
      </c>
      <c r="CE1166">
        <v>0</v>
      </c>
      <c r="CF1166">
        <v>0</v>
      </c>
      <c r="CG1166">
        <v>0</v>
      </c>
      <c r="CH1166">
        <v>0</v>
      </c>
      <c r="CI1166">
        <v>0</v>
      </c>
      <c r="CJ1166">
        <v>0</v>
      </c>
      <c r="CK1166">
        <v>0</v>
      </c>
      <c r="CL1166">
        <v>0</v>
      </c>
      <c r="CM1166">
        <v>0</v>
      </c>
      <c r="CN1166">
        <v>0</v>
      </c>
      <c r="CO1166">
        <v>0</v>
      </c>
      <c r="CP1166">
        <v>0</v>
      </c>
      <c r="CQ1166">
        <v>0</v>
      </c>
      <c r="CR1166">
        <v>0</v>
      </c>
      <c r="CS1166">
        <v>0</v>
      </c>
      <c r="CT1166">
        <v>0</v>
      </c>
      <c r="CU1166">
        <v>0</v>
      </c>
      <c r="CV1166">
        <v>0</v>
      </c>
      <c r="CW1166">
        <v>0</v>
      </c>
      <c r="CX1166">
        <v>0</v>
      </c>
      <c r="CY1166">
        <v>0</v>
      </c>
      <c r="CZ1166">
        <v>0</v>
      </c>
      <c r="DA1166">
        <v>0</v>
      </c>
      <c r="DB1166">
        <v>0</v>
      </c>
      <c r="DC1166">
        <v>0</v>
      </c>
      <c r="DD1166">
        <v>0</v>
      </c>
      <c r="DE1166">
        <v>0</v>
      </c>
      <c r="DF1166">
        <v>0</v>
      </c>
      <c r="DG1166" s="16">
        <f t="shared" si="97"/>
        <v>296</v>
      </c>
      <c r="DH1166" s="16">
        <f t="shared" si="98"/>
        <v>3459</v>
      </c>
      <c r="DI1166" s="17">
        <f t="shared" si="99"/>
        <v>11.685810810810811</v>
      </c>
      <c r="DJ1166" s="119" t="s">
        <v>2</v>
      </c>
      <c r="DK1166" s="119" t="s">
        <v>2</v>
      </c>
      <c r="DL1166" s="119"/>
    </row>
    <row r="1167" spans="1:116">
      <c r="A1167" s="32" t="str">
        <f t="shared" si="95"/>
        <v>Essential--&gt; 66 KV &amp; &lt; = 132 KV  ; CIRCUIT BREAKER</v>
      </c>
      <c r="B1167" s="32" t="str">
        <f t="shared" si="96"/>
        <v>Essential</v>
      </c>
      <c r="C1167" s="384"/>
      <c r="E1167" t="s">
        <v>350</v>
      </c>
      <c r="F1167">
        <v>54.9</v>
      </c>
      <c r="G1167">
        <v>7.4094534211370817</v>
      </c>
      <c r="H1167">
        <v>3</v>
      </c>
      <c r="I1167">
        <v>5</v>
      </c>
      <c r="J1167">
        <v>16</v>
      </c>
      <c r="K1167">
        <v>4</v>
      </c>
      <c r="L1167">
        <v>1</v>
      </c>
      <c r="M1167">
        <v>20</v>
      </c>
      <c r="N1167">
        <v>1</v>
      </c>
      <c r="O1167">
        <v>11</v>
      </c>
      <c r="P1167">
        <v>1</v>
      </c>
      <c r="Q1167">
        <v>3</v>
      </c>
      <c r="R1167">
        <v>16</v>
      </c>
      <c r="S1167">
        <v>5</v>
      </c>
      <c r="T1167">
        <v>2</v>
      </c>
      <c r="U1167">
        <v>3</v>
      </c>
      <c r="V1167">
        <v>14</v>
      </c>
      <c r="W1167">
        <v>0</v>
      </c>
      <c r="X1167">
        <v>1</v>
      </c>
      <c r="Y1167">
        <v>0</v>
      </c>
      <c r="Z1167">
        <v>3</v>
      </c>
      <c r="AA1167">
        <v>3</v>
      </c>
      <c r="AB1167">
        <v>0</v>
      </c>
      <c r="AC1167">
        <v>1</v>
      </c>
      <c r="AD1167">
        <v>0</v>
      </c>
      <c r="AE1167">
        <v>2</v>
      </c>
      <c r="AF1167">
        <v>1</v>
      </c>
      <c r="AG1167">
        <v>0</v>
      </c>
      <c r="AH1167">
        <v>0</v>
      </c>
      <c r="AI1167">
        <v>2</v>
      </c>
      <c r="AJ1167">
        <v>3</v>
      </c>
      <c r="AK1167">
        <v>4</v>
      </c>
      <c r="AL1167">
        <v>7</v>
      </c>
      <c r="AM1167">
        <v>1</v>
      </c>
      <c r="AN1167">
        <v>4</v>
      </c>
      <c r="AO1167">
        <v>0</v>
      </c>
      <c r="AP1167">
        <v>0</v>
      </c>
      <c r="AQ1167">
        <v>0</v>
      </c>
      <c r="AR1167">
        <v>0</v>
      </c>
      <c r="AS1167">
        <v>2</v>
      </c>
      <c r="AT1167">
        <v>0</v>
      </c>
      <c r="AU1167">
        <v>0</v>
      </c>
      <c r="AV1167">
        <v>0</v>
      </c>
      <c r="AW1167">
        <v>0</v>
      </c>
      <c r="AX1167">
        <v>1</v>
      </c>
      <c r="AY1167">
        <v>0</v>
      </c>
      <c r="AZ1167">
        <v>0</v>
      </c>
      <c r="BA1167">
        <v>0</v>
      </c>
      <c r="BB1167">
        <v>0</v>
      </c>
      <c r="BC1167">
        <v>0</v>
      </c>
      <c r="BD1167">
        <v>4</v>
      </c>
      <c r="BE1167">
        <v>0</v>
      </c>
      <c r="BF1167">
        <v>0</v>
      </c>
      <c r="BG1167">
        <v>0</v>
      </c>
      <c r="BH1167">
        <v>0</v>
      </c>
      <c r="BI1167">
        <v>0</v>
      </c>
      <c r="BJ1167">
        <v>0</v>
      </c>
      <c r="BK1167">
        <v>0</v>
      </c>
      <c r="BL1167">
        <v>0</v>
      </c>
      <c r="BM1167">
        <v>0</v>
      </c>
      <c r="BN1167">
        <v>0</v>
      </c>
      <c r="BO1167">
        <v>0</v>
      </c>
      <c r="BP1167">
        <v>0</v>
      </c>
      <c r="BQ1167">
        <v>0</v>
      </c>
      <c r="BR1167">
        <v>0</v>
      </c>
      <c r="BS1167">
        <v>0</v>
      </c>
      <c r="BT1167">
        <v>0</v>
      </c>
      <c r="BU1167">
        <v>0</v>
      </c>
      <c r="BV1167">
        <v>0</v>
      </c>
      <c r="BW1167">
        <v>0</v>
      </c>
      <c r="BX1167">
        <v>0</v>
      </c>
      <c r="BY1167">
        <v>0</v>
      </c>
      <c r="BZ1167">
        <v>0</v>
      </c>
      <c r="CA1167">
        <v>0</v>
      </c>
      <c r="CB1167">
        <v>0</v>
      </c>
      <c r="CC1167">
        <v>0</v>
      </c>
      <c r="CD1167">
        <v>0</v>
      </c>
      <c r="CE1167">
        <v>0</v>
      </c>
      <c r="CF1167">
        <v>0</v>
      </c>
      <c r="CG1167">
        <v>0</v>
      </c>
      <c r="CH1167">
        <v>0</v>
      </c>
      <c r="CI1167">
        <v>0</v>
      </c>
      <c r="CJ1167">
        <v>0</v>
      </c>
      <c r="CK1167">
        <v>0</v>
      </c>
      <c r="CL1167">
        <v>0</v>
      </c>
      <c r="CM1167">
        <v>0</v>
      </c>
      <c r="CN1167">
        <v>0</v>
      </c>
      <c r="CO1167">
        <v>0</v>
      </c>
      <c r="CP1167">
        <v>0</v>
      </c>
      <c r="CQ1167">
        <v>0</v>
      </c>
      <c r="CR1167">
        <v>0</v>
      </c>
      <c r="CS1167">
        <v>0</v>
      </c>
      <c r="CT1167">
        <v>0</v>
      </c>
      <c r="CU1167">
        <v>0</v>
      </c>
      <c r="CV1167">
        <v>0</v>
      </c>
      <c r="CW1167">
        <v>0</v>
      </c>
      <c r="CX1167">
        <v>0</v>
      </c>
      <c r="CY1167">
        <v>0</v>
      </c>
      <c r="CZ1167">
        <v>0</v>
      </c>
      <c r="DA1167">
        <v>0</v>
      </c>
      <c r="DB1167">
        <v>0</v>
      </c>
      <c r="DC1167">
        <v>0</v>
      </c>
      <c r="DD1167">
        <v>0</v>
      </c>
      <c r="DE1167">
        <v>0</v>
      </c>
      <c r="DF1167">
        <v>0</v>
      </c>
      <c r="DG1167" s="16">
        <f t="shared" si="97"/>
        <v>144</v>
      </c>
      <c r="DH1167" s="16">
        <f t="shared" si="98"/>
        <v>2038</v>
      </c>
      <c r="DI1167" s="17">
        <f t="shared" si="99"/>
        <v>14.152777777777779</v>
      </c>
      <c r="DJ1167" s="119" t="s">
        <v>2</v>
      </c>
      <c r="DK1167" s="119" t="s">
        <v>2</v>
      </c>
      <c r="DL1167" s="119"/>
    </row>
    <row r="1168" spans="1:116">
      <c r="A1168" s="32" t="str">
        <f t="shared" si="95"/>
        <v>Essential--&gt; 132 KV ; SWITCH</v>
      </c>
      <c r="B1168" s="32" t="str">
        <f t="shared" si="96"/>
        <v>Essential</v>
      </c>
      <c r="C1168" s="384"/>
      <c r="E1168" t="s">
        <v>351</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c r="AJ1168">
        <v>0</v>
      </c>
      <c r="AK1168">
        <v>0</v>
      </c>
      <c r="AL1168">
        <v>0</v>
      </c>
      <c r="AM1168">
        <v>0</v>
      </c>
      <c r="AN1168">
        <v>0</v>
      </c>
      <c r="AO1168">
        <v>0</v>
      </c>
      <c r="AP1168">
        <v>0</v>
      </c>
      <c r="AQ1168">
        <v>0</v>
      </c>
      <c r="AR1168">
        <v>0</v>
      </c>
      <c r="AS1168">
        <v>0</v>
      </c>
      <c r="AT1168">
        <v>0</v>
      </c>
      <c r="AU1168">
        <v>0</v>
      </c>
      <c r="AV1168">
        <v>0</v>
      </c>
      <c r="AW1168">
        <v>0</v>
      </c>
      <c r="AX1168">
        <v>0</v>
      </c>
      <c r="AY1168">
        <v>0</v>
      </c>
      <c r="AZ1168">
        <v>0</v>
      </c>
      <c r="BA1168">
        <v>0</v>
      </c>
      <c r="BB1168">
        <v>0</v>
      </c>
      <c r="BC1168">
        <v>0</v>
      </c>
      <c r="BD1168">
        <v>0</v>
      </c>
      <c r="BE1168">
        <v>0</v>
      </c>
      <c r="BF1168">
        <v>0</v>
      </c>
      <c r="BG1168">
        <v>0</v>
      </c>
      <c r="BH1168">
        <v>0</v>
      </c>
      <c r="BI1168">
        <v>0</v>
      </c>
      <c r="BJ1168">
        <v>0</v>
      </c>
      <c r="BK1168">
        <v>0</v>
      </c>
      <c r="BL1168">
        <v>0</v>
      </c>
      <c r="BM1168">
        <v>0</v>
      </c>
      <c r="BN1168">
        <v>0</v>
      </c>
      <c r="BO1168">
        <v>0</v>
      </c>
      <c r="BP1168">
        <v>0</v>
      </c>
      <c r="BQ1168">
        <v>0</v>
      </c>
      <c r="BR1168">
        <v>0</v>
      </c>
      <c r="BS1168">
        <v>0</v>
      </c>
      <c r="BT1168">
        <v>0</v>
      </c>
      <c r="BU1168">
        <v>0</v>
      </c>
      <c r="BV1168">
        <v>0</v>
      </c>
      <c r="BW1168">
        <v>0</v>
      </c>
      <c r="BX1168">
        <v>0</v>
      </c>
      <c r="BY1168">
        <v>0</v>
      </c>
      <c r="BZ1168">
        <v>0</v>
      </c>
      <c r="CA1168">
        <v>0</v>
      </c>
      <c r="CB1168">
        <v>0</v>
      </c>
      <c r="CC1168">
        <v>0</v>
      </c>
      <c r="CD1168">
        <v>0</v>
      </c>
      <c r="CE1168">
        <v>0</v>
      </c>
      <c r="CF1168">
        <v>0</v>
      </c>
      <c r="CG1168">
        <v>0</v>
      </c>
      <c r="CH1168">
        <v>0</v>
      </c>
      <c r="CI1168">
        <v>0</v>
      </c>
      <c r="CJ1168">
        <v>0</v>
      </c>
      <c r="CK1168">
        <v>0</v>
      </c>
      <c r="CL1168">
        <v>0</v>
      </c>
      <c r="CM1168">
        <v>0</v>
      </c>
      <c r="CN1168">
        <v>0</v>
      </c>
      <c r="CO1168">
        <v>0</v>
      </c>
      <c r="CP1168">
        <v>0</v>
      </c>
      <c r="CQ1168">
        <v>0</v>
      </c>
      <c r="CR1168">
        <v>0</v>
      </c>
      <c r="CS1168">
        <v>0</v>
      </c>
      <c r="CT1168">
        <v>0</v>
      </c>
      <c r="CU1168">
        <v>0</v>
      </c>
      <c r="CV1168">
        <v>0</v>
      </c>
      <c r="CW1168">
        <v>0</v>
      </c>
      <c r="CX1168">
        <v>0</v>
      </c>
      <c r="CY1168">
        <v>0</v>
      </c>
      <c r="CZ1168">
        <v>0</v>
      </c>
      <c r="DA1168">
        <v>0</v>
      </c>
      <c r="DB1168">
        <v>0</v>
      </c>
      <c r="DC1168">
        <v>0</v>
      </c>
      <c r="DD1168">
        <v>0</v>
      </c>
      <c r="DE1168">
        <v>0</v>
      </c>
      <c r="DF1168">
        <v>0</v>
      </c>
      <c r="DG1168" s="16">
        <f t="shared" si="97"/>
        <v>0</v>
      </c>
      <c r="DH1168" s="16">
        <f t="shared" si="98"/>
        <v>0</v>
      </c>
      <c r="DI1168" s="17" t="str">
        <f t="shared" si="99"/>
        <v/>
      </c>
      <c r="DJ1168" s="119" t="s">
        <v>2</v>
      </c>
      <c r="DK1168" s="119" t="s">
        <v>2</v>
      </c>
      <c r="DL1168" s="119"/>
    </row>
    <row r="1169" spans="1:116">
      <c r="A1169" s="32" t="str">
        <f t="shared" si="95"/>
        <v>Essential--&gt; 132 KV ; CIRCUIT BREAKER</v>
      </c>
      <c r="B1169" s="32" t="str">
        <f t="shared" si="96"/>
        <v>Essential</v>
      </c>
      <c r="C1169" s="384"/>
      <c r="E1169" t="s">
        <v>352</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0</v>
      </c>
      <c r="AK1169">
        <v>0</v>
      </c>
      <c r="AL1169">
        <v>0</v>
      </c>
      <c r="AM1169">
        <v>0</v>
      </c>
      <c r="AN1169">
        <v>0</v>
      </c>
      <c r="AO1169">
        <v>0</v>
      </c>
      <c r="AP1169">
        <v>0</v>
      </c>
      <c r="AQ1169">
        <v>0</v>
      </c>
      <c r="AR1169">
        <v>0</v>
      </c>
      <c r="AS1169">
        <v>0</v>
      </c>
      <c r="AT1169">
        <v>0</v>
      </c>
      <c r="AU1169">
        <v>0</v>
      </c>
      <c r="AV1169">
        <v>0</v>
      </c>
      <c r="AW1169">
        <v>0</v>
      </c>
      <c r="AX1169">
        <v>0</v>
      </c>
      <c r="AY1169">
        <v>0</v>
      </c>
      <c r="AZ1169">
        <v>0</v>
      </c>
      <c r="BA1169">
        <v>0</v>
      </c>
      <c r="BB1169">
        <v>0</v>
      </c>
      <c r="BC1169">
        <v>0</v>
      </c>
      <c r="BD1169">
        <v>0</v>
      </c>
      <c r="BE1169">
        <v>0</v>
      </c>
      <c r="BF1169">
        <v>0</v>
      </c>
      <c r="BG1169">
        <v>0</v>
      </c>
      <c r="BH1169">
        <v>0</v>
      </c>
      <c r="BI1169">
        <v>0</v>
      </c>
      <c r="BJ1169">
        <v>0</v>
      </c>
      <c r="BK1169">
        <v>0</v>
      </c>
      <c r="BL1169">
        <v>0</v>
      </c>
      <c r="BM1169">
        <v>0</v>
      </c>
      <c r="BN1169">
        <v>0</v>
      </c>
      <c r="BO1169">
        <v>0</v>
      </c>
      <c r="BP1169">
        <v>0</v>
      </c>
      <c r="BQ1169">
        <v>0</v>
      </c>
      <c r="BR1169">
        <v>0</v>
      </c>
      <c r="BS1169">
        <v>0</v>
      </c>
      <c r="BT1169">
        <v>0</v>
      </c>
      <c r="BU1169">
        <v>0</v>
      </c>
      <c r="BV1169">
        <v>0</v>
      </c>
      <c r="BW1169">
        <v>0</v>
      </c>
      <c r="BX1169">
        <v>0</v>
      </c>
      <c r="BY1169">
        <v>0</v>
      </c>
      <c r="BZ1169">
        <v>0</v>
      </c>
      <c r="CA1169">
        <v>0</v>
      </c>
      <c r="CB1169">
        <v>0</v>
      </c>
      <c r="CC1169">
        <v>0</v>
      </c>
      <c r="CD1169">
        <v>0</v>
      </c>
      <c r="CE1169">
        <v>0</v>
      </c>
      <c r="CF1169">
        <v>0</v>
      </c>
      <c r="CG1169">
        <v>0</v>
      </c>
      <c r="CH1169">
        <v>0</v>
      </c>
      <c r="CI1169">
        <v>0</v>
      </c>
      <c r="CJ1169">
        <v>0</v>
      </c>
      <c r="CK1169">
        <v>0</v>
      </c>
      <c r="CL1169">
        <v>0</v>
      </c>
      <c r="CM1169">
        <v>0</v>
      </c>
      <c r="CN1169">
        <v>0</v>
      </c>
      <c r="CO1169">
        <v>0</v>
      </c>
      <c r="CP1169">
        <v>0</v>
      </c>
      <c r="CQ1169">
        <v>0</v>
      </c>
      <c r="CR1169">
        <v>0</v>
      </c>
      <c r="CS1169">
        <v>0</v>
      </c>
      <c r="CT1169">
        <v>0</v>
      </c>
      <c r="CU1169">
        <v>0</v>
      </c>
      <c r="CV1169">
        <v>0</v>
      </c>
      <c r="CW1169">
        <v>0</v>
      </c>
      <c r="CX1169">
        <v>0</v>
      </c>
      <c r="CY1169">
        <v>0</v>
      </c>
      <c r="CZ1169">
        <v>0</v>
      </c>
      <c r="DA1169">
        <v>0</v>
      </c>
      <c r="DB1169">
        <v>0</v>
      </c>
      <c r="DC1169">
        <v>0</v>
      </c>
      <c r="DD1169">
        <v>0</v>
      </c>
      <c r="DE1169">
        <v>0</v>
      </c>
      <c r="DF1169">
        <v>0</v>
      </c>
      <c r="DG1169" s="16">
        <f t="shared" si="97"/>
        <v>0</v>
      </c>
      <c r="DH1169" s="16">
        <f t="shared" si="98"/>
        <v>0</v>
      </c>
      <c r="DI1169" s="17" t="str">
        <f t="shared" si="99"/>
        <v/>
      </c>
      <c r="DJ1169" s="119" t="s">
        <v>2</v>
      </c>
      <c r="DK1169" s="119" t="s">
        <v>2</v>
      </c>
      <c r="DL1169" s="119"/>
    </row>
    <row r="1170" spans="1:116">
      <c r="A1170" s="32" t="str">
        <f t="shared" si="95"/>
        <v>Essential--OTHER - &gt; 11 KV &amp; &lt; = 22 KV  ; FUSE</v>
      </c>
      <c r="B1170" s="32" t="str">
        <f t="shared" si="96"/>
        <v>Essential</v>
      </c>
      <c r="C1170" s="384"/>
      <c r="E1170" t="s">
        <v>1508</v>
      </c>
      <c r="F1170">
        <v>53.8</v>
      </c>
      <c r="G1170">
        <v>7.3348483283568999</v>
      </c>
      <c r="H1170">
        <v>1094</v>
      </c>
      <c r="I1170">
        <v>1416</v>
      </c>
      <c r="J1170">
        <v>1161</v>
      </c>
      <c r="K1170">
        <v>652</v>
      </c>
      <c r="L1170">
        <v>904</v>
      </c>
      <c r="M1170">
        <v>638</v>
      </c>
      <c r="N1170">
        <v>469</v>
      </c>
      <c r="O1170">
        <v>643</v>
      </c>
      <c r="P1170">
        <v>471</v>
      </c>
      <c r="Q1170">
        <v>308</v>
      </c>
      <c r="R1170">
        <v>389</v>
      </c>
      <c r="S1170">
        <v>539</v>
      </c>
      <c r="T1170">
        <v>1696</v>
      </c>
      <c r="U1170">
        <v>540</v>
      </c>
      <c r="V1170">
        <v>468</v>
      </c>
      <c r="W1170">
        <v>613</v>
      </c>
      <c r="X1170">
        <v>597</v>
      </c>
      <c r="Y1170">
        <v>602</v>
      </c>
      <c r="Z1170">
        <v>1106</v>
      </c>
      <c r="AA1170">
        <v>1030</v>
      </c>
      <c r="AB1170">
        <v>688</v>
      </c>
      <c r="AC1170">
        <v>1453</v>
      </c>
      <c r="AD1170">
        <v>922</v>
      </c>
      <c r="AE1170">
        <v>893</v>
      </c>
      <c r="AF1170">
        <v>873</v>
      </c>
      <c r="AG1170">
        <v>1126</v>
      </c>
      <c r="AH1170">
        <v>1429</v>
      </c>
      <c r="AI1170">
        <v>1087</v>
      </c>
      <c r="AJ1170">
        <v>2077</v>
      </c>
      <c r="AK1170">
        <v>914</v>
      </c>
      <c r="AL1170">
        <v>829</v>
      </c>
      <c r="AM1170">
        <v>1909</v>
      </c>
      <c r="AN1170">
        <v>894</v>
      </c>
      <c r="AO1170">
        <v>1379</v>
      </c>
      <c r="AP1170">
        <v>503</v>
      </c>
      <c r="AQ1170">
        <v>629</v>
      </c>
      <c r="AR1170">
        <v>499</v>
      </c>
      <c r="AS1170">
        <v>507</v>
      </c>
      <c r="AT1170">
        <v>459</v>
      </c>
      <c r="AU1170">
        <v>407</v>
      </c>
      <c r="AV1170">
        <v>471</v>
      </c>
      <c r="AW1170">
        <v>523</v>
      </c>
      <c r="AX1170">
        <v>496</v>
      </c>
      <c r="AY1170">
        <v>861</v>
      </c>
      <c r="AZ1170">
        <v>603</v>
      </c>
      <c r="BA1170">
        <v>618</v>
      </c>
      <c r="BB1170">
        <v>470</v>
      </c>
      <c r="BC1170">
        <v>2007</v>
      </c>
      <c r="BD1170">
        <v>867</v>
      </c>
      <c r="BE1170">
        <v>803</v>
      </c>
      <c r="BF1170">
        <v>639</v>
      </c>
      <c r="BG1170">
        <v>264</v>
      </c>
      <c r="BH1170">
        <v>1489</v>
      </c>
      <c r="BI1170">
        <v>1685</v>
      </c>
      <c r="BJ1170">
        <v>650</v>
      </c>
      <c r="BK1170">
        <v>1088</v>
      </c>
      <c r="BL1170">
        <v>74</v>
      </c>
      <c r="BM1170">
        <v>423</v>
      </c>
      <c r="BN1170">
        <v>819</v>
      </c>
      <c r="BO1170">
        <v>496</v>
      </c>
      <c r="BP1170">
        <v>42</v>
      </c>
      <c r="BQ1170">
        <v>106</v>
      </c>
      <c r="BR1170">
        <v>100</v>
      </c>
      <c r="BS1170">
        <v>523</v>
      </c>
      <c r="BT1170">
        <v>85</v>
      </c>
      <c r="BU1170">
        <v>16</v>
      </c>
      <c r="BV1170">
        <v>5</v>
      </c>
      <c r="BW1170">
        <v>0</v>
      </c>
      <c r="BX1170">
        <v>0</v>
      </c>
      <c r="BY1170">
        <v>5</v>
      </c>
      <c r="BZ1170">
        <v>0</v>
      </c>
      <c r="CA1170">
        <v>5</v>
      </c>
      <c r="CB1170">
        <v>0</v>
      </c>
      <c r="CC1170">
        <v>79</v>
      </c>
      <c r="CD1170">
        <v>0</v>
      </c>
      <c r="CE1170">
        <v>0</v>
      </c>
      <c r="CF1170">
        <v>5</v>
      </c>
      <c r="CG1170">
        <v>0</v>
      </c>
      <c r="CH1170">
        <v>0</v>
      </c>
      <c r="CI1170">
        <v>0</v>
      </c>
      <c r="CJ1170">
        <v>0</v>
      </c>
      <c r="CK1170">
        <v>0</v>
      </c>
      <c r="CL1170">
        <v>0</v>
      </c>
      <c r="CM1170">
        <v>26</v>
      </c>
      <c r="CN1170">
        <v>0</v>
      </c>
      <c r="CO1170">
        <v>0</v>
      </c>
      <c r="CP1170">
        <v>0</v>
      </c>
      <c r="CQ1170">
        <v>0</v>
      </c>
      <c r="CR1170">
        <v>0</v>
      </c>
      <c r="CS1170">
        <v>0</v>
      </c>
      <c r="CT1170">
        <v>0</v>
      </c>
      <c r="CU1170">
        <v>0</v>
      </c>
      <c r="CV1170">
        <v>0</v>
      </c>
      <c r="CW1170">
        <v>0</v>
      </c>
      <c r="CX1170">
        <v>0</v>
      </c>
      <c r="CY1170">
        <v>0</v>
      </c>
      <c r="CZ1170">
        <v>0</v>
      </c>
      <c r="DA1170">
        <v>0</v>
      </c>
      <c r="DB1170">
        <v>0</v>
      </c>
      <c r="DC1170">
        <v>0</v>
      </c>
      <c r="DD1170">
        <v>0</v>
      </c>
      <c r="DE1170">
        <v>0</v>
      </c>
      <c r="DF1170">
        <v>0</v>
      </c>
      <c r="DG1170" s="16">
        <f t="shared" si="97"/>
        <v>51156</v>
      </c>
      <c r="DH1170" s="16">
        <f t="shared" si="98"/>
        <v>1567845</v>
      </c>
      <c r="DI1170" s="17">
        <f t="shared" si="99"/>
        <v>30.648311048557353</v>
      </c>
      <c r="DJ1170" s="119" t="s">
        <v>2</v>
      </c>
      <c r="DK1170" s="119" t="s">
        <v>2</v>
      </c>
      <c r="DL1170" s="119"/>
    </row>
    <row r="1171" spans="1:116">
      <c r="A1171" s="32" t="str">
        <f t="shared" si="95"/>
        <v>Essential--OTHER - &gt; 22 KV &amp; &lt; = 33 KV ; FUSE</v>
      </c>
      <c r="B1171" s="32" t="str">
        <f t="shared" si="96"/>
        <v>Essential</v>
      </c>
      <c r="C1171" s="384"/>
      <c r="E1171" t="s">
        <v>1509</v>
      </c>
      <c r="F1171">
        <v>54.9</v>
      </c>
      <c r="G1171">
        <v>7.4094534211370799</v>
      </c>
      <c r="H1171">
        <v>46</v>
      </c>
      <c r="I1171">
        <v>34</v>
      </c>
      <c r="J1171">
        <v>87</v>
      </c>
      <c r="K1171">
        <v>20</v>
      </c>
      <c r="L1171">
        <v>57</v>
      </c>
      <c r="M1171">
        <v>42</v>
      </c>
      <c r="N1171">
        <v>34</v>
      </c>
      <c r="O1171">
        <v>47</v>
      </c>
      <c r="P1171">
        <v>51</v>
      </c>
      <c r="Q1171">
        <v>36</v>
      </c>
      <c r="R1171">
        <v>37</v>
      </c>
      <c r="S1171">
        <v>34</v>
      </c>
      <c r="T1171">
        <v>76</v>
      </c>
      <c r="U1171">
        <v>131</v>
      </c>
      <c r="V1171">
        <v>16</v>
      </c>
      <c r="W1171">
        <v>21</v>
      </c>
      <c r="X1171">
        <v>13</v>
      </c>
      <c r="Y1171">
        <v>13</v>
      </c>
      <c r="Z1171">
        <v>73</v>
      </c>
      <c r="AA1171">
        <v>54</v>
      </c>
      <c r="AB1171">
        <v>26</v>
      </c>
      <c r="AC1171">
        <v>14</v>
      </c>
      <c r="AD1171">
        <v>44</v>
      </c>
      <c r="AE1171">
        <v>42</v>
      </c>
      <c r="AF1171">
        <v>23</v>
      </c>
      <c r="AG1171">
        <v>22</v>
      </c>
      <c r="AH1171">
        <v>22</v>
      </c>
      <c r="AI1171">
        <v>43</v>
      </c>
      <c r="AJ1171">
        <v>26</v>
      </c>
      <c r="AK1171">
        <v>4</v>
      </c>
      <c r="AL1171">
        <v>13</v>
      </c>
      <c r="AM1171">
        <v>48</v>
      </c>
      <c r="AN1171">
        <v>26</v>
      </c>
      <c r="AO1171">
        <v>34</v>
      </c>
      <c r="AP1171">
        <v>9</v>
      </c>
      <c r="AQ1171">
        <v>22</v>
      </c>
      <c r="AR1171">
        <v>11</v>
      </c>
      <c r="AS1171">
        <v>17</v>
      </c>
      <c r="AT1171">
        <v>8</v>
      </c>
      <c r="AU1171">
        <v>13</v>
      </c>
      <c r="AV1171">
        <v>18</v>
      </c>
      <c r="AW1171">
        <v>4</v>
      </c>
      <c r="AX1171">
        <v>67</v>
      </c>
      <c r="AY1171">
        <v>13</v>
      </c>
      <c r="AZ1171">
        <v>30</v>
      </c>
      <c r="BA1171">
        <v>34</v>
      </c>
      <c r="BB1171">
        <v>8</v>
      </c>
      <c r="BC1171">
        <v>59</v>
      </c>
      <c r="BD1171">
        <v>22</v>
      </c>
      <c r="BE1171">
        <v>8</v>
      </c>
      <c r="BF1171">
        <v>8</v>
      </c>
      <c r="BG1171">
        <v>71</v>
      </c>
      <c r="BH1171">
        <v>13</v>
      </c>
      <c r="BI1171">
        <v>17</v>
      </c>
      <c r="BJ1171">
        <v>0</v>
      </c>
      <c r="BK1171">
        <v>0</v>
      </c>
      <c r="BL1171">
        <v>0</v>
      </c>
      <c r="BM1171">
        <v>0</v>
      </c>
      <c r="BN1171">
        <v>8</v>
      </c>
      <c r="BO1171">
        <v>0</v>
      </c>
      <c r="BP1171">
        <v>0</v>
      </c>
      <c r="BQ1171">
        <v>0</v>
      </c>
      <c r="BR1171">
        <v>0</v>
      </c>
      <c r="BS1171">
        <v>4</v>
      </c>
      <c r="BT1171">
        <v>0</v>
      </c>
      <c r="BU1171">
        <v>0</v>
      </c>
      <c r="BV1171">
        <v>0</v>
      </c>
      <c r="BW1171">
        <v>0</v>
      </c>
      <c r="BX1171">
        <v>0</v>
      </c>
      <c r="BY1171">
        <v>0</v>
      </c>
      <c r="BZ1171">
        <v>0</v>
      </c>
      <c r="CA1171">
        <v>0</v>
      </c>
      <c r="CB1171">
        <v>0</v>
      </c>
      <c r="CC1171">
        <v>0</v>
      </c>
      <c r="CD1171">
        <v>0</v>
      </c>
      <c r="CE1171">
        <v>0</v>
      </c>
      <c r="CF1171">
        <v>0</v>
      </c>
      <c r="CG1171">
        <v>0</v>
      </c>
      <c r="CH1171">
        <v>0</v>
      </c>
      <c r="CI1171">
        <v>0</v>
      </c>
      <c r="CJ1171">
        <v>0</v>
      </c>
      <c r="CK1171">
        <v>0</v>
      </c>
      <c r="CL1171">
        <v>0</v>
      </c>
      <c r="CM1171">
        <v>0</v>
      </c>
      <c r="CN1171">
        <v>0</v>
      </c>
      <c r="CO1171">
        <v>0</v>
      </c>
      <c r="CP1171">
        <v>0</v>
      </c>
      <c r="CQ1171">
        <v>0</v>
      </c>
      <c r="CR1171">
        <v>0</v>
      </c>
      <c r="CS1171">
        <v>0</v>
      </c>
      <c r="CT1171">
        <v>0</v>
      </c>
      <c r="CU1171">
        <v>0</v>
      </c>
      <c r="CV1171">
        <v>0</v>
      </c>
      <c r="CW1171">
        <v>0</v>
      </c>
      <c r="CX1171">
        <v>0</v>
      </c>
      <c r="CY1171">
        <v>0</v>
      </c>
      <c r="CZ1171">
        <v>0</v>
      </c>
      <c r="DA1171">
        <v>0</v>
      </c>
      <c r="DB1171">
        <v>0</v>
      </c>
      <c r="DC1171">
        <v>0</v>
      </c>
      <c r="DD1171">
        <v>0</v>
      </c>
      <c r="DE1171">
        <v>0</v>
      </c>
      <c r="DF1171">
        <v>0</v>
      </c>
      <c r="DG1171" s="16">
        <f t="shared" si="97"/>
        <v>1773</v>
      </c>
      <c r="DH1171" s="16">
        <f t="shared" si="98"/>
        <v>41592</v>
      </c>
      <c r="DI1171" s="17">
        <f t="shared" si="99"/>
        <v>23.458544839255499</v>
      </c>
      <c r="DJ1171" s="119" t="s">
        <v>2</v>
      </c>
      <c r="DK1171" s="119" t="s">
        <v>2</v>
      </c>
      <c r="DL1171" s="119"/>
    </row>
    <row r="1172" spans="1:116">
      <c r="A1172" s="32" t="str">
        <f t="shared" si="95"/>
        <v>Essential--OTHER - &gt; 33 KV &amp; &lt; = 66 KV ; FUSE</v>
      </c>
      <c r="B1172" s="32" t="str">
        <f t="shared" si="96"/>
        <v>Essential</v>
      </c>
      <c r="C1172" s="384"/>
      <c r="E1172" t="s">
        <v>1510</v>
      </c>
      <c r="F1172">
        <v>54.9</v>
      </c>
      <c r="G1172">
        <v>7.4094534211370799</v>
      </c>
      <c r="H1172">
        <v>10</v>
      </c>
      <c r="I1172">
        <v>5</v>
      </c>
      <c r="J1172">
        <v>5</v>
      </c>
      <c r="K1172">
        <v>5</v>
      </c>
      <c r="L1172">
        <v>6</v>
      </c>
      <c r="M1172">
        <v>5</v>
      </c>
      <c r="N1172">
        <v>12</v>
      </c>
      <c r="O1172">
        <v>7</v>
      </c>
      <c r="P1172">
        <v>6</v>
      </c>
      <c r="Q1172">
        <v>3</v>
      </c>
      <c r="R1172">
        <v>4</v>
      </c>
      <c r="S1172">
        <v>4</v>
      </c>
      <c r="T1172">
        <v>8</v>
      </c>
      <c r="U1172">
        <v>3</v>
      </c>
      <c r="V1172">
        <v>6</v>
      </c>
      <c r="W1172">
        <v>8</v>
      </c>
      <c r="X1172">
        <v>3</v>
      </c>
      <c r="Y1172">
        <v>4</v>
      </c>
      <c r="Z1172">
        <v>8</v>
      </c>
      <c r="AA1172">
        <v>4</v>
      </c>
      <c r="AB1172">
        <v>2</v>
      </c>
      <c r="AC1172">
        <v>5</v>
      </c>
      <c r="AD1172">
        <v>4</v>
      </c>
      <c r="AE1172">
        <v>6</v>
      </c>
      <c r="AF1172">
        <v>5</v>
      </c>
      <c r="AG1172">
        <v>4</v>
      </c>
      <c r="AH1172">
        <v>3</v>
      </c>
      <c r="AI1172">
        <v>5</v>
      </c>
      <c r="AJ1172">
        <v>6</v>
      </c>
      <c r="AK1172">
        <v>3</v>
      </c>
      <c r="AL1172">
        <v>1</v>
      </c>
      <c r="AM1172">
        <v>4</v>
      </c>
      <c r="AN1172">
        <v>2</v>
      </c>
      <c r="AO1172">
        <v>0</v>
      </c>
      <c r="AP1172">
        <v>2</v>
      </c>
      <c r="AQ1172">
        <v>1</v>
      </c>
      <c r="AR1172">
        <v>3</v>
      </c>
      <c r="AS1172">
        <v>0</v>
      </c>
      <c r="AT1172">
        <v>3</v>
      </c>
      <c r="AU1172">
        <v>0</v>
      </c>
      <c r="AV1172">
        <v>4</v>
      </c>
      <c r="AW1172">
        <v>2</v>
      </c>
      <c r="AX1172">
        <v>5</v>
      </c>
      <c r="AY1172">
        <v>3</v>
      </c>
      <c r="AZ1172">
        <v>5</v>
      </c>
      <c r="BA1172">
        <v>1</v>
      </c>
      <c r="BB1172">
        <v>0</v>
      </c>
      <c r="BC1172">
        <v>12</v>
      </c>
      <c r="BD1172">
        <v>2</v>
      </c>
      <c r="BE1172">
        <v>0</v>
      </c>
      <c r="BF1172">
        <v>0</v>
      </c>
      <c r="BG1172">
        <v>0</v>
      </c>
      <c r="BH1172">
        <v>0</v>
      </c>
      <c r="BI1172">
        <v>7</v>
      </c>
      <c r="BJ1172">
        <v>0</v>
      </c>
      <c r="BK1172">
        <v>0</v>
      </c>
      <c r="BL1172">
        <v>0</v>
      </c>
      <c r="BM1172">
        <v>0</v>
      </c>
      <c r="BN1172">
        <v>2</v>
      </c>
      <c r="BO1172">
        <v>0</v>
      </c>
      <c r="BP1172">
        <v>0</v>
      </c>
      <c r="BQ1172">
        <v>0</v>
      </c>
      <c r="BR1172">
        <v>0</v>
      </c>
      <c r="BS1172">
        <v>3</v>
      </c>
      <c r="BT1172">
        <v>0</v>
      </c>
      <c r="BU1172">
        <v>0</v>
      </c>
      <c r="BV1172">
        <v>0</v>
      </c>
      <c r="BW1172">
        <v>0</v>
      </c>
      <c r="BX1172">
        <v>0</v>
      </c>
      <c r="BY1172">
        <v>0</v>
      </c>
      <c r="BZ1172">
        <v>0</v>
      </c>
      <c r="CA1172">
        <v>0</v>
      </c>
      <c r="CB1172">
        <v>0</v>
      </c>
      <c r="CC1172">
        <v>1</v>
      </c>
      <c r="CD1172">
        <v>0</v>
      </c>
      <c r="CE1172">
        <v>0</v>
      </c>
      <c r="CF1172">
        <v>0</v>
      </c>
      <c r="CG1172">
        <v>0</v>
      </c>
      <c r="CH1172">
        <v>0</v>
      </c>
      <c r="CI1172">
        <v>0</v>
      </c>
      <c r="CJ1172">
        <v>0</v>
      </c>
      <c r="CK1172">
        <v>0</v>
      </c>
      <c r="CL1172">
        <v>0</v>
      </c>
      <c r="CM1172">
        <v>0</v>
      </c>
      <c r="CN1172">
        <v>0</v>
      </c>
      <c r="CO1172">
        <v>0</v>
      </c>
      <c r="CP1172">
        <v>0</v>
      </c>
      <c r="CQ1172">
        <v>0</v>
      </c>
      <c r="CR1172">
        <v>0</v>
      </c>
      <c r="CS1172">
        <v>0</v>
      </c>
      <c r="CT1172">
        <v>0</v>
      </c>
      <c r="CU1172">
        <v>0</v>
      </c>
      <c r="CV1172">
        <v>0</v>
      </c>
      <c r="CW1172">
        <v>0</v>
      </c>
      <c r="CX1172">
        <v>0</v>
      </c>
      <c r="CY1172">
        <v>0</v>
      </c>
      <c r="CZ1172">
        <v>0</v>
      </c>
      <c r="DA1172">
        <v>0</v>
      </c>
      <c r="DB1172">
        <v>0</v>
      </c>
      <c r="DC1172">
        <v>0</v>
      </c>
      <c r="DD1172">
        <v>0</v>
      </c>
      <c r="DE1172">
        <v>0</v>
      </c>
      <c r="DF1172">
        <v>0</v>
      </c>
      <c r="DG1172" s="16">
        <f t="shared" si="97"/>
        <v>222</v>
      </c>
      <c r="DH1172" s="16">
        <f t="shared" si="98"/>
        <v>5113</v>
      </c>
      <c r="DI1172" s="17">
        <f t="shared" si="99"/>
        <v>23.031531531531531</v>
      </c>
      <c r="DJ1172" s="119" t="s">
        <v>2</v>
      </c>
      <c r="DK1172" s="119" t="s">
        <v>2</v>
      </c>
      <c r="DL1172" s="119"/>
    </row>
    <row r="1173" spans="1:116">
      <c r="A1173" s="32" t="str">
        <f t="shared" si="95"/>
        <v>Essential-PUBLIC LIGHTING BY: 
ASSET TYPE ; LIGHTING OBLIGATION-LUMINAIRES ;  MAJOR ROAD</v>
      </c>
      <c r="B1173" s="32" t="str">
        <f t="shared" si="96"/>
        <v>Essential</v>
      </c>
      <c r="C1173" s="384"/>
      <c r="D1173" t="s">
        <v>547</v>
      </c>
      <c r="E1173" t="s">
        <v>262</v>
      </c>
      <c r="F1173">
        <v>20</v>
      </c>
      <c r="G1173">
        <v>4.4721359549995796</v>
      </c>
      <c r="H1173">
        <v>1284</v>
      </c>
      <c r="I1173">
        <v>5021</v>
      </c>
      <c r="J1173">
        <v>1397</v>
      </c>
      <c r="K1173">
        <v>660</v>
      </c>
      <c r="L1173">
        <v>730</v>
      </c>
      <c r="M1173">
        <v>1048</v>
      </c>
      <c r="N1173">
        <v>2080</v>
      </c>
      <c r="O1173">
        <v>3266</v>
      </c>
      <c r="P1173">
        <v>1200</v>
      </c>
      <c r="Q1173">
        <v>719</v>
      </c>
      <c r="R1173">
        <v>526</v>
      </c>
      <c r="S1173">
        <v>212</v>
      </c>
      <c r="T1173">
        <v>229</v>
      </c>
      <c r="U1173">
        <v>2132</v>
      </c>
      <c r="V1173">
        <v>395</v>
      </c>
      <c r="W1173">
        <v>445</v>
      </c>
      <c r="X1173">
        <v>58</v>
      </c>
      <c r="Y1173">
        <v>23</v>
      </c>
      <c r="Z1173">
        <v>38</v>
      </c>
      <c r="AA1173">
        <v>58</v>
      </c>
      <c r="AB1173">
        <v>21</v>
      </c>
      <c r="AC1173">
        <v>47</v>
      </c>
      <c r="AD1173">
        <v>236</v>
      </c>
      <c r="AE1173">
        <v>503</v>
      </c>
      <c r="AF1173">
        <v>11</v>
      </c>
      <c r="AG1173">
        <v>2</v>
      </c>
      <c r="AH1173">
        <v>0</v>
      </c>
      <c r="AI1173">
        <v>4</v>
      </c>
      <c r="AJ1173">
        <v>26</v>
      </c>
      <c r="AK1173">
        <v>5</v>
      </c>
      <c r="AL1173">
        <v>3</v>
      </c>
      <c r="AM1173">
        <v>0</v>
      </c>
      <c r="AN1173">
        <v>1</v>
      </c>
      <c r="AO1173">
        <v>93</v>
      </c>
      <c r="AP1173">
        <v>7</v>
      </c>
      <c r="AQ1173">
        <v>50</v>
      </c>
      <c r="AR1173">
        <v>0</v>
      </c>
      <c r="AS1173">
        <v>23</v>
      </c>
      <c r="AT1173">
        <v>38</v>
      </c>
      <c r="AU1173">
        <v>4</v>
      </c>
      <c r="AV1173">
        <v>1</v>
      </c>
      <c r="AW1173">
        <v>0</v>
      </c>
      <c r="AX1173">
        <v>0</v>
      </c>
      <c r="AY1173">
        <v>6</v>
      </c>
      <c r="AZ1173">
        <v>1</v>
      </c>
      <c r="BA1173">
        <v>0</v>
      </c>
      <c r="BB1173">
        <v>0</v>
      </c>
      <c r="BC1173">
        <v>1</v>
      </c>
      <c r="BD1173">
        <v>0</v>
      </c>
      <c r="BE1173">
        <v>0</v>
      </c>
      <c r="BF1173">
        <v>0</v>
      </c>
      <c r="BG1173">
        <v>0</v>
      </c>
      <c r="BH1173">
        <v>0</v>
      </c>
      <c r="BI1173">
        <v>0</v>
      </c>
      <c r="BJ1173">
        <v>0</v>
      </c>
      <c r="BK1173">
        <v>0</v>
      </c>
      <c r="BL1173">
        <v>0</v>
      </c>
      <c r="BM1173">
        <v>0</v>
      </c>
      <c r="BN1173">
        <v>0</v>
      </c>
      <c r="BO1173">
        <v>0</v>
      </c>
      <c r="BP1173">
        <v>1</v>
      </c>
      <c r="BQ1173">
        <v>0</v>
      </c>
      <c r="BR1173">
        <v>0</v>
      </c>
      <c r="BS1173">
        <v>0</v>
      </c>
      <c r="BT1173">
        <v>0</v>
      </c>
      <c r="BU1173">
        <v>0</v>
      </c>
      <c r="BV1173">
        <v>0</v>
      </c>
      <c r="BW1173">
        <v>0</v>
      </c>
      <c r="BX1173">
        <v>0</v>
      </c>
      <c r="BY1173">
        <v>0</v>
      </c>
      <c r="BZ1173">
        <v>0</v>
      </c>
      <c r="CA1173">
        <v>0</v>
      </c>
      <c r="CB1173">
        <v>0</v>
      </c>
      <c r="CC1173">
        <v>0</v>
      </c>
      <c r="CD1173">
        <v>0</v>
      </c>
      <c r="CE1173">
        <v>0</v>
      </c>
      <c r="CF1173">
        <v>0</v>
      </c>
      <c r="CG1173">
        <v>0</v>
      </c>
      <c r="CH1173">
        <v>0</v>
      </c>
      <c r="CI1173">
        <v>0</v>
      </c>
      <c r="CJ1173">
        <v>0</v>
      </c>
      <c r="CK1173">
        <v>0</v>
      </c>
      <c r="CL1173">
        <v>0</v>
      </c>
      <c r="CM1173">
        <v>0</v>
      </c>
      <c r="CN1173">
        <v>0</v>
      </c>
      <c r="CO1173">
        <v>0</v>
      </c>
      <c r="CP1173">
        <v>0</v>
      </c>
      <c r="CQ1173">
        <v>0</v>
      </c>
      <c r="CR1173">
        <v>0</v>
      </c>
      <c r="CS1173">
        <v>0</v>
      </c>
      <c r="CT1173">
        <v>0</v>
      </c>
      <c r="CU1173">
        <v>0</v>
      </c>
      <c r="CV1173">
        <v>0</v>
      </c>
      <c r="CW1173">
        <v>0</v>
      </c>
      <c r="CX1173">
        <v>0</v>
      </c>
      <c r="CY1173">
        <v>0</v>
      </c>
      <c r="CZ1173">
        <v>0</v>
      </c>
      <c r="DA1173">
        <v>0</v>
      </c>
      <c r="DB1173">
        <v>0</v>
      </c>
      <c r="DC1173">
        <v>0</v>
      </c>
      <c r="DD1173">
        <v>0</v>
      </c>
      <c r="DE1173">
        <v>0</v>
      </c>
      <c r="DF1173">
        <v>8</v>
      </c>
      <c r="DG1173" s="16">
        <f t="shared" si="97"/>
        <v>22613</v>
      </c>
      <c r="DH1173" s="16">
        <f t="shared" si="98"/>
        <v>173705</v>
      </c>
      <c r="DI1173" s="17">
        <f t="shared" si="99"/>
        <v>7.6816433025250959</v>
      </c>
      <c r="DJ1173" s="119" t="s">
        <v>1323</v>
      </c>
      <c r="DK1173" s="119" t="s">
        <v>1524</v>
      </c>
      <c r="DL1173" s="119" t="s">
        <v>1523</v>
      </c>
    </row>
    <row r="1174" spans="1:116">
      <c r="A1174" s="32" t="str">
        <f t="shared" si="95"/>
        <v>Essential--LUMINAIRES ;  MINOR ROAD</v>
      </c>
      <c r="B1174" s="32" t="str">
        <f t="shared" si="96"/>
        <v>Essential</v>
      </c>
      <c r="C1174" s="384"/>
      <c r="E1174" t="s">
        <v>263</v>
      </c>
      <c r="F1174">
        <v>20</v>
      </c>
      <c r="G1174">
        <v>4.4721359549995796</v>
      </c>
      <c r="H1174">
        <v>15165</v>
      </c>
      <c r="I1174">
        <v>36128</v>
      </c>
      <c r="J1174">
        <v>14177</v>
      </c>
      <c r="K1174">
        <v>4273</v>
      </c>
      <c r="L1174">
        <v>3556</v>
      </c>
      <c r="M1174">
        <v>4507</v>
      </c>
      <c r="N1174">
        <v>5153</v>
      </c>
      <c r="O1174">
        <v>8847</v>
      </c>
      <c r="P1174">
        <v>6035</v>
      </c>
      <c r="Q1174">
        <v>3346</v>
      </c>
      <c r="R1174">
        <v>2837</v>
      </c>
      <c r="S1174">
        <v>1664</v>
      </c>
      <c r="T1174">
        <v>1205</v>
      </c>
      <c r="U1174">
        <v>9379</v>
      </c>
      <c r="V1174">
        <v>1959</v>
      </c>
      <c r="W1174">
        <v>1799</v>
      </c>
      <c r="X1174">
        <v>335</v>
      </c>
      <c r="Y1174">
        <v>199</v>
      </c>
      <c r="Z1174">
        <v>298</v>
      </c>
      <c r="AA1174">
        <v>231</v>
      </c>
      <c r="AB1174">
        <v>174</v>
      </c>
      <c r="AC1174">
        <v>79</v>
      </c>
      <c r="AD1174">
        <v>974</v>
      </c>
      <c r="AE1174">
        <v>2417</v>
      </c>
      <c r="AF1174">
        <v>137</v>
      </c>
      <c r="AG1174">
        <v>19</v>
      </c>
      <c r="AH1174">
        <v>15</v>
      </c>
      <c r="AI1174">
        <v>46</v>
      </c>
      <c r="AJ1174">
        <v>30</v>
      </c>
      <c r="AK1174">
        <v>32</v>
      </c>
      <c r="AL1174">
        <v>13</v>
      </c>
      <c r="AM1174">
        <v>3</v>
      </c>
      <c r="AN1174">
        <v>26</v>
      </c>
      <c r="AO1174">
        <v>1093</v>
      </c>
      <c r="AP1174">
        <v>54</v>
      </c>
      <c r="AQ1174">
        <v>83</v>
      </c>
      <c r="AR1174">
        <v>25</v>
      </c>
      <c r="AS1174">
        <v>23</v>
      </c>
      <c r="AT1174">
        <v>33</v>
      </c>
      <c r="AU1174">
        <v>65</v>
      </c>
      <c r="AV1174">
        <v>19</v>
      </c>
      <c r="AW1174">
        <v>22</v>
      </c>
      <c r="AX1174">
        <v>11</v>
      </c>
      <c r="AY1174">
        <v>23</v>
      </c>
      <c r="AZ1174">
        <v>5</v>
      </c>
      <c r="BA1174">
        <v>4</v>
      </c>
      <c r="BB1174">
        <v>12</v>
      </c>
      <c r="BC1174">
        <v>4</v>
      </c>
      <c r="BD1174">
        <v>1</v>
      </c>
      <c r="BE1174">
        <v>0</v>
      </c>
      <c r="BF1174">
        <v>0</v>
      </c>
      <c r="BG1174">
        <v>0</v>
      </c>
      <c r="BH1174">
        <v>2</v>
      </c>
      <c r="BI1174">
        <v>53</v>
      </c>
      <c r="BJ1174">
        <v>0</v>
      </c>
      <c r="BK1174">
        <v>34</v>
      </c>
      <c r="BL1174">
        <v>1</v>
      </c>
      <c r="BM1174">
        <v>2</v>
      </c>
      <c r="BN1174">
        <v>0</v>
      </c>
      <c r="BO1174">
        <v>0</v>
      </c>
      <c r="BP1174">
        <v>6</v>
      </c>
      <c r="BQ1174">
        <v>1</v>
      </c>
      <c r="BR1174">
        <v>0</v>
      </c>
      <c r="BS1174">
        <v>5</v>
      </c>
      <c r="BT1174">
        <v>0</v>
      </c>
      <c r="BU1174">
        <v>0</v>
      </c>
      <c r="BV1174">
        <v>0</v>
      </c>
      <c r="BW1174">
        <v>0</v>
      </c>
      <c r="BX1174">
        <v>0</v>
      </c>
      <c r="BY1174">
        <v>0</v>
      </c>
      <c r="BZ1174">
        <v>0</v>
      </c>
      <c r="CA1174">
        <v>0</v>
      </c>
      <c r="CB1174">
        <v>0</v>
      </c>
      <c r="CC1174">
        <v>2</v>
      </c>
      <c r="CD1174">
        <v>0</v>
      </c>
      <c r="CE1174">
        <v>0</v>
      </c>
      <c r="CF1174">
        <v>0</v>
      </c>
      <c r="CG1174">
        <v>0</v>
      </c>
      <c r="CH1174">
        <v>0</v>
      </c>
      <c r="CI1174">
        <v>0</v>
      </c>
      <c r="CJ1174">
        <v>0</v>
      </c>
      <c r="CK1174">
        <v>0</v>
      </c>
      <c r="CL1174">
        <v>0</v>
      </c>
      <c r="CM1174">
        <v>0</v>
      </c>
      <c r="CN1174">
        <v>0</v>
      </c>
      <c r="CO1174">
        <v>0</v>
      </c>
      <c r="CP1174">
        <v>0</v>
      </c>
      <c r="CQ1174">
        <v>0</v>
      </c>
      <c r="CR1174">
        <v>0</v>
      </c>
      <c r="CS1174">
        <v>0</v>
      </c>
      <c r="CT1174">
        <v>0</v>
      </c>
      <c r="CU1174">
        <v>0</v>
      </c>
      <c r="CV1174">
        <v>0</v>
      </c>
      <c r="CW1174">
        <v>0</v>
      </c>
      <c r="CX1174">
        <v>0</v>
      </c>
      <c r="CY1174">
        <v>0</v>
      </c>
      <c r="CZ1174">
        <v>0</v>
      </c>
      <c r="DA1174">
        <v>0</v>
      </c>
      <c r="DB1174">
        <v>0</v>
      </c>
      <c r="DC1174">
        <v>0</v>
      </c>
      <c r="DD1174">
        <v>0</v>
      </c>
      <c r="DE1174">
        <v>0</v>
      </c>
      <c r="DF1174">
        <v>54</v>
      </c>
      <c r="DG1174" s="16">
        <f t="shared" si="97"/>
        <v>126695</v>
      </c>
      <c r="DH1174" s="16">
        <f t="shared" si="98"/>
        <v>820594</v>
      </c>
      <c r="DI1174" s="17">
        <f t="shared" si="99"/>
        <v>6.4769248983779946</v>
      </c>
      <c r="DJ1174" s="119" t="s">
        <v>1323</v>
      </c>
      <c r="DK1174" s="119" t="s">
        <v>1524</v>
      </c>
      <c r="DL1174" s="119" t="s">
        <v>1523</v>
      </c>
    </row>
    <row r="1175" spans="1:116">
      <c r="A1175" s="32" t="str">
        <f t="shared" si="95"/>
        <v>Essential--BRACKETS ; MAJOR ROAD</v>
      </c>
      <c r="B1175" s="32" t="str">
        <f t="shared" si="96"/>
        <v>Essential</v>
      </c>
      <c r="C1175" s="384"/>
      <c r="E1175" t="s">
        <v>264</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0</v>
      </c>
      <c r="AF1175">
        <v>0</v>
      </c>
      <c r="AG1175">
        <v>0</v>
      </c>
      <c r="AH1175">
        <v>0</v>
      </c>
      <c r="AI1175">
        <v>0</v>
      </c>
      <c r="AJ1175">
        <v>0</v>
      </c>
      <c r="AK1175">
        <v>0</v>
      </c>
      <c r="AL1175">
        <v>0</v>
      </c>
      <c r="AM1175">
        <v>0</v>
      </c>
      <c r="AN1175">
        <v>0</v>
      </c>
      <c r="AO1175">
        <v>0</v>
      </c>
      <c r="AP1175">
        <v>0</v>
      </c>
      <c r="AQ1175">
        <v>0</v>
      </c>
      <c r="AR1175">
        <v>0</v>
      </c>
      <c r="AS1175">
        <v>0</v>
      </c>
      <c r="AT1175">
        <v>0</v>
      </c>
      <c r="AU1175">
        <v>0</v>
      </c>
      <c r="AV1175">
        <v>0</v>
      </c>
      <c r="AW1175">
        <v>0</v>
      </c>
      <c r="AX1175">
        <v>0</v>
      </c>
      <c r="AY1175">
        <v>0</v>
      </c>
      <c r="AZ1175">
        <v>0</v>
      </c>
      <c r="BA1175">
        <v>0</v>
      </c>
      <c r="BB1175">
        <v>0</v>
      </c>
      <c r="BC1175">
        <v>0</v>
      </c>
      <c r="BD1175">
        <v>0</v>
      </c>
      <c r="BE1175">
        <v>0</v>
      </c>
      <c r="BF1175">
        <v>0</v>
      </c>
      <c r="BG1175">
        <v>0</v>
      </c>
      <c r="BH1175">
        <v>0</v>
      </c>
      <c r="BI1175">
        <v>0</v>
      </c>
      <c r="BJ1175">
        <v>0</v>
      </c>
      <c r="BK1175">
        <v>0</v>
      </c>
      <c r="BL1175">
        <v>0</v>
      </c>
      <c r="BM1175">
        <v>0</v>
      </c>
      <c r="BN1175">
        <v>0</v>
      </c>
      <c r="BO1175">
        <v>0</v>
      </c>
      <c r="BP1175">
        <v>0</v>
      </c>
      <c r="BQ1175">
        <v>0</v>
      </c>
      <c r="BR1175">
        <v>0</v>
      </c>
      <c r="BS1175">
        <v>0</v>
      </c>
      <c r="BT1175">
        <v>0</v>
      </c>
      <c r="BU1175">
        <v>0</v>
      </c>
      <c r="BV1175">
        <v>0</v>
      </c>
      <c r="BW1175">
        <v>0</v>
      </c>
      <c r="BX1175">
        <v>0</v>
      </c>
      <c r="BY1175">
        <v>0</v>
      </c>
      <c r="BZ1175">
        <v>0</v>
      </c>
      <c r="CA1175">
        <v>0</v>
      </c>
      <c r="CB1175">
        <v>0</v>
      </c>
      <c r="CC1175">
        <v>0</v>
      </c>
      <c r="CD1175">
        <v>0</v>
      </c>
      <c r="CE1175">
        <v>0</v>
      </c>
      <c r="CF1175">
        <v>0</v>
      </c>
      <c r="CG1175">
        <v>0</v>
      </c>
      <c r="CH1175">
        <v>0</v>
      </c>
      <c r="CI1175">
        <v>0</v>
      </c>
      <c r="CJ1175">
        <v>0</v>
      </c>
      <c r="CK1175">
        <v>0</v>
      </c>
      <c r="CL1175">
        <v>0</v>
      </c>
      <c r="CM1175">
        <v>0</v>
      </c>
      <c r="CN1175">
        <v>0</v>
      </c>
      <c r="CO1175">
        <v>0</v>
      </c>
      <c r="CP1175">
        <v>0</v>
      </c>
      <c r="CQ1175">
        <v>0</v>
      </c>
      <c r="CR1175">
        <v>0</v>
      </c>
      <c r="CS1175">
        <v>0</v>
      </c>
      <c r="CT1175">
        <v>0</v>
      </c>
      <c r="CU1175">
        <v>0</v>
      </c>
      <c r="CV1175">
        <v>0</v>
      </c>
      <c r="CW1175">
        <v>0</v>
      </c>
      <c r="CX1175">
        <v>0</v>
      </c>
      <c r="CY1175">
        <v>0</v>
      </c>
      <c r="CZ1175">
        <v>0</v>
      </c>
      <c r="DA1175">
        <v>0</v>
      </c>
      <c r="DB1175">
        <v>0</v>
      </c>
      <c r="DC1175">
        <v>0</v>
      </c>
      <c r="DD1175">
        <v>0</v>
      </c>
      <c r="DE1175">
        <v>0</v>
      </c>
      <c r="DF1175">
        <v>0</v>
      </c>
      <c r="DG1175" s="16">
        <f t="shared" si="97"/>
        <v>0</v>
      </c>
      <c r="DH1175" s="16">
        <f t="shared" si="98"/>
        <v>0</v>
      </c>
      <c r="DI1175" s="17" t="str">
        <f t="shared" si="99"/>
        <v/>
      </c>
      <c r="DJ1175" s="119" t="s">
        <v>1323</v>
      </c>
      <c r="DK1175" s="119" t="s">
        <v>1525</v>
      </c>
      <c r="DL1175" s="119"/>
    </row>
    <row r="1176" spans="1:116">
      <c r="A1176" s="32" t="str">
        <f t="shared" ref="A1176:A1187" si="100">B1176&amp;"-"&amp;D1176&amp;"-"&amp;E1176</f>
        <v>Essential--BRACKETS ; MINOR ROAD</v>
      </c>
      <c r="B1176" s="32" t="str">
        <f t="shared" ref="B1176:B1187" si="101">IF(C1176&gt;0,C1176,B1175)</f>
        <v>Essential</v>
      </c>
      <c r="C1176" s="384"/>
      <c r="E1176" t="s">
        <v>265</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0</v>
      </c>
      <c r="AJ1176">
        <v>0</v>
      </c>
      <c r="AK1176">
        <v>0</v>
      </c>
      <c r="AL1176">
        <v>0</v>
      </c>
      <c r="AM1176">
        <v>0</v>
      </c>
      <c r="AN1176">
        <v>0</v>
      </c>
      <c r="AO1176">
        <v>0</v>
      </c>
      <c r="AP1176">
        <v>0</v>
      </c>
      <c r="AQ1176">
        <v>0</v>
      </c>
      <c r="AR1176">
        <v>0</v>
      </c>
      <c r="AS1176">
        <v>0</v>
      </c>
      <c r="AT1176">
        <v>0</v>
      </c>
      <c r="AU1176">
        <v>0</v>
      </c>
      <c r="AV1176">
        <v>0</v>
      </c>
      <c r="AW1176">
        <v>0</v>
      </c>
      <c r="AX1176">
        <v>0</v>
      </c>
      <c r="AY1176">
        <v>0</v>
      </c>
      <c r="AZ1176">
        <v>0</v>
      </c>
      <c r="BA1176">
        <v>0</v>
      </c>
      <c r="BB1176">
        <v>0</v>
      </c>
      <c r="BC1176">
        <v>0</v>
      </c>
      <c r="BD1176">
        <v>0</v>
      </c>
      <c r="BE1176">
        <v>0</v>
      </c>
      <c r="BF1176">
        <v>0</v>
      </c>
      <c r="BG1176">
        <v>0</v>
      </c>
      <c r="BH1176">
        <v>0</v>
      </c>
      <c r="BI1176">
        <v>0</v>
      </c>
      <c r="BJ1176">
        <v>0</v>
      </c>
      <c r="BK1176">
        <v>0</v>
      </c>
      <c r="BL1176">
        <v>0</v>
      </c>
      <c r="BM1176">
        <v>0</v>
      </c>
      <c r="BN1176">
        <v>0</v>
      </c>
      <c r="BO1176">
        <v>0</v>
      </c>
      <c r="BP1176">
        <v>0</v>
      </c>
      <c r="BQ1176">
        <v>0</v>
      </c>
      <c r="BR1176">
        <v>0</v>
      </c>
      <c r="BS1176">
        <v>0</v>
      </c>
      <c r="BT1176">
        <v>0</v>
      </c>
      <c r="BU1176">
        <v>0</v>
      </c>
      <c r="BV1176">
        <v>0</v>
      </c>
      <c r="BW1176">
        <v>0</v>
      </c>
      <c r="BX1176">
        <v>0</v>
      </c>
      <c r="BY1176">
        <v>0</v>
      </c>
      <c r="BZ1176">
        <v>0</v>
      </c>
      <c r="CA1176">
        <v>0</v>
      </c>
      <c r="CB1176">
        <v>0</v>
      </c>
      <c r="CC1176">
        <v>0</v>
      </c>
      <c r="CD1176">
        <v>0</v>
      </c>
      <c r="CE1176">
        <v>0</v>
      </c>
      <c r="CF1176">
        <v>0</v>
      </c>
      <c r="CG1176">
        <v>0</v>
      </c>
      <c r="CH1176">
        <v>0</v>
      </c>
      <c r="CI1176">
        <v>0</v>
      </c>
      <c r="CJ1176">
        <v>0</v>
      </c>
      <c r="CK1176">
        <v>0</v>
      </c>
      <c r="CL1176">
        <v>0</v>
      </c>
      <c r="CM1176">
        <v>0</v>
      </c>
      <c r="CN1176">
        <v>0</v>
      </c>
      <c r="CO1176">
        <v>0</v>
      </c>
      <c r="CP1176">
        <v>0</v>
      </c>
      <c r="CQ1176">
        <v>0</v>
      </c>
      <c r="CR1176">
        <v>0</v>
      </c>
      <c r="CS1176">
        <v>0</v>
      </c>
      <c r="CT1176">
        <v>0</v>
      </c>
      <c r="CU1176">
        <v>0</v>
      </c>
      <c r="CV1176">
        <v>0</v>
      </c>
      <c r="CW1176">
        <v>0</v>
      </c>
      <c r="CX1176">
        <v>0</v>
      </c>
      <c r="CY1176">
        <v>0</v>
      </c>
      <c r="CZ1176">
        <v>0</v>
      </c>
      <c r="DA1176">
        <v>0</v>
      </c>
      <c r="DB1176">
        <v>0</v>
      </c>
      <c r="DC1176">
        <v>0</v>
      </c>
      <c r="DD1176">
        <v>0</v>
      </c>
      <c r="DE1176">
        <v>0</v>
      </c>
      <c r="DF1176">
        <v>0</v>
      </c>
      <c r="DG1176" s="16">
        <f t="shared" si="97"/>
        <v>0</v>
      </c>
      <c r="DH1176" s="16">
        <f t="shared" si="98"/>
        <v>0</v>
      </c>
      <c r="DI1176" s="17" t="str">
        <f t="shared" si="99"/>
        <v/>
      </c>
      <c r="DJ1176" s="119" t="s">
        <v>1323</v>
      </c>
      <c r="DK1176" s="119" t="s">
        <v>1525</v>
      </c>
      <c r="DL1176" s="119"/>
    </row>
    <row r="1177" spans="1:116">
      <c r="A1177" s="32" t="str">
        <f t="shared" si="100"/>
        <v>Essential--LAMPS ; MAJOR ROAD</v>
      </c>
      <c r="B1177" s="32" t="str">
        <f t="shared" si="101"/>
        <v>Essential</v>
      </c>
      <c r="C1177" s="384"/>
      <c r="E1177" t="s">
        <v>266</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c r="AJ1177">
        <v>0</v>
      </c>
      <c r="AK1177">
        <v>0</v>
      </c>
      <c r="AL1177">
        <v>0</v>
      </c>
      <c r="AM1177">
        <v>0</v>
      </c>
      <c r="AN1177">
        <v>0</v>
      </c>
      <c r="AO1177">
        <v>0</v>
      </c>
      <c r="AP1177">
        <v>0</v>
      </c>
      <c r="AQ1177">
        <v>0</v>
      </c>
      <c r="AR1177">
        <v>0</v>
      </c>
      <c r="AS1177">
        <v>0</v>
      </c>
      <c r="AT1177">
        <v>0</v>
      </c>
      <c r="AU1177">
        <v>0</v>
      </c>
      <c r="AV1177">
        <v>0</v>
      </c>
      <c r="AW1177">
        <v>0</v>
      </c>
      <c r="AX1177">
        <v>0</v>
      </c>
      <c r="AY1177">
        <v>0</v>
      </c>
      <c r="AZ1177">
        <v>0</v>
      </c>
      <c r="BA1177">
        <v>0</v>
      </c>
      <c r="BB1177">
        <v>0</v>
      </c>
      <c r="BC1177">
        <v>0</v>
      </c>
      <c r="BD1177">
        <v>0</v>
      </c>
      <c r="BE1177">
        <v>0</v>
      </c>
      <c r="BF1177">
        <v>0</v>
      </c>
      <c r="BG1177">
        <v>0</v>
      </c>
      <c r="BH1177">
        <v>0</v>
      </c>
      <c r="BI1177">
        <v>0</v>
      </c>
      <c r="BJ1177">
        <v>0</v>
      </c>
      <c r="BK1177">
        <v>0</v>
      </c>
      <c r="BL1177">
        <v>0</v>
      </c>
      <c r="BM1177">
        <v>0</v>
      </c>
      <c r="BN1177">
        <v>0</v>
      </c>
      <c r="BO1177">
        <v>0</v>
      </c>
      <c r="BP1177">
        <v>0</v>
      </c>
      <c r="BQ1177">
        <v>0</v>
      </c>
      <c r="BR1177">
        <v>0</v>
      </c>
      <c r="BS1177">
        <v>0</v>
      </c>
      <c r="BT1177">
        <v>0</v>
      </c>
      <c r="BU1177">
        <v>0</v>
      </c>
      <c r="BV1177">
        <v>0</v>
      </c>
      <c r="BW1177">
        <v>0</v>
      </c>
      <c r="BX1177">
        <v>0</v>
      </c>
      <c r="BY1177">
        <v>0</v>
      </c>
      <c r="BZ1177">
        <v>0</v>
      </c>
      <c r="CA1177">
        <v>0</v>
      </c>
      <c r="CB1177">
        <v>0</v>
      </c>
      <c r="CC1177">
        <v>0</v>
      </c>
      <c r="CD1177">
        <v>0</v>
      </c>
      <c r="CE1177">
        <v>0</v>
      </c>
      <c r="CF1177">
        <v>0</v>
      </c>
      <c r="CG1177">
        <v>0</v>
      </c>
      <c r="CH1177">
        <v>0</v>
      </c>
      <c r="CI1177">
        <v>0</v>
      </c>
      <c r="CJ1177">
        <v>0</v>
      </c>
      <c r="CK1177">
        <v>0</v>
      </c>
      <c r="CL1177">
        <v>0</v>
      </c>
      <c r="CM1177">
        <v>0</v>
      </c>
      <c r="CN1177">
        <v>0</v>
      </c>
      <c r="CO1177">
        <v>0</v>
      </c>
      <c r="CP1177">
        <v>0</v>
      </c>
      <c r="CQ1177">
        <v>0</v>
      </c>
      <c r="CR1177">
        <v>0</v>
      </c>
      <c r="CS1177">
        <v>0</v>
      </c>
      <c r="CT1177">
        <v>0</v>
      </c>
      <c r="CU1177">
        <v>0</v>
      </c>
      <c r="CV1177">
        <v>0</v>
      </c>
      <c r="CW1177">
        <v>0</v>
      </c>
      <c r="CX1177">
        <v>0</v>
      </c>
      <c r="CY1177">
        <v>0</v>
      </c>
      <c r="CZ1177">
        <v>0</v>
      </c>
      <c r="DA1177">
        <v>0</v>
      </c>
      <c r="DB1177">
        <v>0</v>
      </c>
      <c r="DC1177">
        <v>0</v>
      </c>
      <c r="DD1177">
        <v>0</v>
      </c>
      <c r="DE1177">
        <v>0</v>
      </c>
      <c r="DF1177">
        <v>0</v>
      </c>
      <c r="DG1177" s="16">
        <f t="shared" si="97"/>
        <v>0</v>
      </c>
      <c r="DH1177" s="16">
        <f t="shared" si="98"/>
        <v>0</v>
      </c>
      <c r="DI1177" s="17" t="str">
        <f t="shared" si="99"/>
        <v/>
      </c>
      <c r="DJ1177" s="119" t="s">
        <v>1323</v>
      </c>
      <c r="DK1177" s="119" t="s">
        <v>1525</v>
      </c>
      <c r="DL1177" s="119"/>
    </row>
    <row r="1178" spans="1:116">
      <c r="A1178" s="32" t="str">
        <f t="shared" si="100"/>
        <v>Essential--LAMPS ; MINOR ROAD</v>
      </c>
      <c r="B1178" s="32" t="str">
        <f t="shared" si="101"/>
        <v>Essential</v>
      </c>
      <c r="C1178" s="384"/>
      <c r="E1178" t="s">
        <v>267</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0</v>
      </c>
      <c r="AJ1178">
        <v>0</v>
      </c>
      <c r="AK1178">
        <v>0</v>
      </c>
      <c r="AL1178">
        <v>0</v>
      </c>
      <c r="AM1178">
        <v>0</v>
      </c>
      <c r="AN1178">
        <v>0</v>
      </c>
      <c r="AO1178">
        <v>0</v>
      </c>
      <c r="AP1178">
        <v>0</v>
      </c>
      <c r="AQ1178">
        <v>0</v>
      </c>
      <c r="AR1178">
        <v>0</v>
      </c>
      <c r="AS1178">
        <v>0</v>
      </c>
      <c r="AT1178">
        <v>0</v>
      </c>
      <c r="AU1178">
        <v>0</v>
      </c>
      <c r="AV1178">
        <v>0</v>
      </c>
      <c r="AW1178">
        <v>0</v>
      </c>
      <c r="AX1178">
        <v>0</v>
      </c>
      <c r="AY1178">
        <v>0</v>
      </c>
      <c r="AZ1178">
        <v>0</v>
      </c>
      <c r="BA1178">
        <v>0</v>
      </c>
      <c r="BB1178">
        <v>0</v>
      </c>
      <c r="BC1178">
        <v>0</v>
      </c>
      <c r="BD1178">
        <v>0</v>
      </c>
      <c r="BE1178">
        <v>0</v>
      </c>
      <c r="BF1178">
        <v>0</v>
      </c>
      <c r="BG1178">
        <v>0</v>
      </c>
      <c r="BH1178">
        <v>0</v>
      </c>
      <c r="BI1178">
        <v>0</v>
      </c>
      <c r="BJ1178">
        <v>0</v>
      </c>
      <c r="BK1178">
        <v>0</v>
      </c>
      <c r="BL1178">
        <v>0</v>
      </c>
      <c r="BM1178">
        <v>0</v>
      </c>
      <c r="BN1178">
        <v>0</v>
      </c>
      <c r="BO1178">
        <v>0</v>
      </c>
      <c r="BP1178">
        <v>0</v>
      </c>
      <c r="BQ1178">
        <v>0</v>
      </c>
      <c r="BR1178">
        <v>0</v>
      </c>
      <c r="BS1178">
        <v>0</v>
      </c>
      <c r="BT1178">
        <v>0</v>
      </c>
      <c r="BU1178">
        <v>0</v>
      </c>
      <c r="BV1178">
        <v>0</v>
      </c>
      <c r="BW1178">
        <v>0</v>
      </c>
      <c r="BX1178">
        <v>0</v>
      </c>
      <c r="BY1178">
        <v>0</v>
      </c>
      <c r="BZ1178">
        <v>0</v>
      </c>
      <c r="CA1178">
        <v>0</v>
      </c>
      <c r="CB1178">
        <v>0</v>
      </c>
      <c r="CC1178">
        <v>0</v>
      </c>
      <c r="CD1178">
        <v>0</v>
      </c>
      <c r="CE1178">
        <v>0</v>
      </c>
      <c r="CF1178">
        <v>0</v>
      </c>
      <c r="CG1178">
        <v>0</v>
      </c>
      <c r="CH1178">
        <v>0</v>
      </c>
      <c r="CI1178">
        <v>0</v>
      </c>
      <c r="CJ1178">
        <v>0</v>
      </c>
      <c r="CK1178">
        <v>0</v>
      </c>
      <c r="CL1178">
        <v>0</v>
      </c>
      <c r="CM1178">
        <v>0</v>
      </c>
      <c r="CN1178">
        <v>0</v>
      </c>
      <c r="CO1178">
        <v>0</v>
      </c>
      <c r="CP1178">
        <v>0</v>
      </c>
      <c r="CQ1178">
        <v>0</v>
      </c>
      <c r="CR1178">
        <v>0</v>
      </c>
      <c r="CS1178">
        <v>0</v>
      </c>
      <c r="CT1178">
        <v>0</v>
      </c>
      <c r="CU1178">
        <v>0</v>
      </c>
      <c r="CV1178">
        <v>0</v>
      </c>
      <c r="CW1178">
        <v>0</v>
      </c>
      <c r="CX1178">
        <v>0</v>
      </c>
      <c r="CY1178">
        <v>0</v>
      </c>
      <c r="CZ1178">
        <v>0</v>
      </c>
      <c r="DA1178">
        <v>0</v>
      </c>
      <c r="DB1178">
        <v>0</v>
      </c>
      <c r="DC1178">
        <v>0</v>
      </c>
      <c r="DD1178">
        <v>0</v>
      </c>
      <c r="DE1178">
        <v>0</v>
      </c>
      <c r="DF1178">
        <v>0</v>
      </c>
      <c r="DG1178" s="16">
        <f t="shared" si="97"/>
        <v>0</v>
      </c>
      <c r="DH1178" s="16">
        <f t="shared" si="98"/>
        <v>0</v>
      </c>
      <c r="DI1178" s="17" t="str">
        <f t="shared" si="99"/>
        <v/>
      </c>
      <c r="DJ1178" s="119" t="s">
        <v>1323</v>
      </c>
      <c r="DK1178" s="119" t="s">
        <v>1525</v>
      </c>
      <c r="DL1178" s="119"/>
    </row>
    <row r="1179" spans="1:116">
      <c r="A1179" s="32" t="str">
        <f t="shared" si="100"/>
        <v>Essential--POLES / COLUMNS ; MAJOR ROAD</v>
      </c>
      <c r="B1179" s="32" t="str">
        <f t="shared" si="101"/>
        <v>Essential</v>
      </c>
      <c r="C1179" s="384"/>
      <c r="E1179" t="s">
        <v>268</v>
      </c>
      <c r="F1179">
        <v>20</v>
      </c>
      <c r="G1179">
        <v>4.4721359549995796</v>
      </c>
      <c r="H1179">
        <v>225</v>
      </c>
      <c r="I1179">
        <v>499</v>
      </c>
      <c r="J1179">
        <v>247</v>
      </c>
      <c r="K1179">
        <v>197</v>
      </c>
      <c r="L1179">
        <v>110</v>
      </c>
      <c r="M1179">
        <v>275</v>
      </c>
      <c r="N1179">
        <v>454</v>
      </c>
      <c r="O1179">
        <v>235</v>
      </c>
      <c r="P1179">
        <v>240</v>
      </c>
      <c r="Q1179">
        <v>215</v>
      </c>
      <c r="R1179">
        <v>135</v>
      </c>
      <c r="S1179">
        <v>122</v>
      </c>
      <c r="T1179">
        <v>115</v>
      </c>
      <c r="U1179">
        <v>821</v>
      </c>
      <c r="V1179">
        <v>259</v>
      </c>
      <c r="W1179">
        <v>183</v>
      </c>
      <c r="X1179">
        <v>126</v>
      </c>
      <c r="Y1179">
        <v>106</v>
      </c>
      <c r="Z1179">
        <v>222</v>
      </c>
      <c r="AA1179">
        <v>136</v>
      </c>
      <c r="AB1179">
        <v>157</v>
      </c>
      <c r="AC1179">
        <v>163</v>
      </c>
      <c r="AD1179">
        <v>254</v>
      </c>
      <c r="AE1179">
        <v>666</v>
      </c>
      <c r="AF1179">
        <v>142</v>
      </c>
      <c r="AG1179">
        <v>154</v>
      </c>
      <c r="AH1179">
        <v>119</v>
      </c>
      <c r="AI1179">
        <v>129</v>
      </c>
      <c r="AJ1179">
        <v>212</v>
      </c>
      <c r="AK1179">
        <v>127</v>
      </c>
      <c r="AL1179">
        <v>119</v>
      </c>
      <c r="AM1179">
        <v>113</v>
      </c>
      <c r="AN1179">
        <v>69</v>
      </c>
      <c r="AO1179">
        <v>838</v>
      </c>
      <c r="AP1179">
        <v>72</v>
      </c>
      <c r="AQ1179">
        <v>66</v>
      </c>
      <c r="AR1179">
        <v>182</v>
      </c>
      <c r="AS1179">
        <v>65</v>
      </c>
      <c r="AT1179">
        <v>353</v>
      </c>
      <c r="AU1179">
        <v>108</v>
      </c>
      <c r="AV1179">
        <v>132</v>
      </c>
      <c r="AW1179">
        <v>55</v>
      </c>
      <c r="AX1179">
        <v>76</v>
      </c>
      <c r="AY1179">
        <v>449</v>
      </c>
      <c r="AZ1179">
        <v>126</v>
      </c>
      <c r="BA1179">
        <v>134</v>
      </c>
      <c r="BB1179">
        <v>42</v>
      </c>
      <c r="BC1179">
        <v>228</v>
      </c>
      <c r="BD1179">
        <v>184</v>
      </c>
      <c r="BE1179">
        <v>13</v>
      </c>
      <c r="BF1179">
        <v>12</v>
      </c>
      <c r="BG1179">
        <v>17</v>
      </c>
      <c r="BH1179">
        <v>91</v>
      </c>
      <c r="BI1179">
        <v>143</v>
      </c>
      <c r="BJ1179">
        <v>3</v>
      </c>
      <c r="BK1179">
        <v>33</v>
      </c>
      <c r="BL1179">
        <v>53</v>
      </c>
      <c r="BM1179">
        <v>31</v>
      </c>
      <c r="BN1179">
        <v>27</v>
      </c>
      <c r="BO1179">
        <v>1</v>
      </c>
      <c r="BP1179">
        <v>15</v>
      </c>
      <c r="BQ1179">
        <v>8</v>
      </c>
      <c r="BR1179">
        <v>0</v>
      </c>
      <c r="BS1179">
        <v>114</v>
      </c>
      <c r="BT1179">
        <v>4</v>
      </c>
      <c r="BU1179">
        <v>0</v>
      </c>
      <c r="BV1179">
        <v>2</v>
      </c>
      <c r="BW1179">
        <v>1</v>
      </c>
      <c r="BX1179">
        <v>0</v>
      </c>
      <c r="BY1179">
        <v>0</v>
      </c>
      <c r="BZ1179">
        <v>0</v>
      </c>
      <c r="CA1179">
        <v>0</v>
      </c>
      <c r="CB1179">
        <v>0</v>
      </c>
      <c r="CC1179">
        <v>84</v>
      </c>
      <c r="CD1179">
        <v>0</v>
      </c>
      <c r="CE1179">
        <v>0</v>
      </c>
      <c r="CF1179">
        <v>0</v>
      </c>
      <c r="CG1179">
        <v>0</v>
      </c>
      <c r="CH1179">
        <v>0</v>
      </c>
      <c r="CI1179">
        <v>0</v>
      </c>
      <c r="CJ1179">
        <v>0</v>
      </c>
      <c r="CK1179">
        <v>0</v>
      </c>
      <c r="CL1179">
        <v>0</v>
      </c>
      <c r="CM1179">
        <v>1</v>
      </c>
      <c r="CN1179">
        <v>0</v>
      </c>
      <c r="CO1179">
        <v>0</v>
      </c>
      <c r="CP1179">
        <v>0</v>
      </c>
      <c r="CQ1179">
        <v>0</v>
      </c>
      <c r="CR1179">
        <v>0</v>
      </c>
      <c r="CS1179">
        <v>0</v>
      </c>
      <c r="CT1179">
        <v>1</v>
      </c>
      <c r="CU1179">
        <v>0</v>
      </c>
      <c r="CV1179">
        <v>0</v>
      </c>
      <c r="CW1179">
        <v>0</v>
      </c>
      <c r="CX1179">
        <v>0</v>
      </c>
      <c r="CY1179">
        <v>0</v>
      </c>
      <c r="CZ1179">
        <v>0</v>
      </c>
      <c r="DA1179">
        <v>0</v>
      </c>
      <c r="DB1179">
        <v>0</v>
      </c>
      <c r="DC1179">
        <v>0</v>
      </c>
      <c r="DD1179">
        <v>0</v>
      </c>
      <c r="DE1179">
        <v>0</v>
      </c>
      <c r="DF1179">
        <v>320</v>
      </c>
      <c r="DG1179" s="16">
        <f t="shared" si="97"/>
        <v>11430</v>
      </c>
      <c r="DH1179" s="16">
        <f t="shared" si="98"/>
        <v>307576</v>
      </c>
      <c r="DI1179" s="17">
        <f t="shared" si="99"/>
        <v>26.909536307961506</v>
      </c>
      <c r="DJ1179" s="119" t="s">
        <v>1323</v>
      </c>
      <c r="DK1179" s="119" t="s">
        <v>1539</v>
      </c>
      <c r="DL1179" s="119" t="s">
        <v>1522</v>
      </c>
    </row>
    <row r="1180" spans="1:116">
      <c r="A1180" s="32" t="str">
        <f t="shared" si="100"/>
        <v>Essential--POLES / COLUMNS ; MINOR ROAD</v>
      </c>
      <c r="B1180" s="32" t="str">
        <f t="shared" si="101"/>
        <v>Essential</v>
      </c>
      <c r="C1180" s="384"/>
      <c r="E1180" t="s">
        <v>269</v>
      </c>
      <c r="F1180">
        <v>20</v>
      </c>
      <c r="G1180">
        <v>4.4721359549995796</v>
      </c>
      <c r="H1180">
        <v>1777</v>
      </c>
      <c r="I1180">
        <v>2149</v>
      </c>
      <c r="J1180">
        <v>1557</v>
      </c>
      <c r="K1180">
        <v>1173</v>
      </c>
      <c r="L1180">
        <v>1110</v>
      </c>
      <c r="M1180">
        <v>1537</v>
      </c>
      <c r="N1180">
        <v>1622</v>
      </c>
      <c r="O1180">
        <v>1622</v>
      </c>
      <c r="P1180">
        <v>2309</v>
      </c>
      <c r="Q1180">
        <v>2435</v>
      </c>
      <c r="R1180">
        <v>1356</v>
      </c>
      <c r="S1180">
        <v>1582</v>
      </c>
      <c r="T1180">
        <v>1159</v>
      </c>
      <c r="U1180">
        <v>4834</v>
      </c>
      <c r="V1180">
        <v>1367</v>
      </c>
      <c r="W1180">
        <v>791</v>
      </c>
      <c r="X1180">
        <v>528</v>
      </c>
      <c r="Y1180">
        <v>539</v>
      </c>
      <c r="Z1180">
        <v>1477</v>
      </c>
      <c r="AA1180">
        <v>626</v>
      </c>
      <c r="AB1180">
        <v>904</v>
      </c>
      <c r="AC1180">
        <v>489</v>
      </c>
      <c r="AD1180">
        <v>663</v>
      </c>
      <c r="AE1180">
        <v>2670</v>
      </c>
      <c r="AF1180">
        <v>1091</v>
      </c>
      <c r="AG1180">
        <v>329</v>
      </c>
      <c r="AH1180">
        <v>381</v>
      </c>
      <c r="AI1180">
        <v>306</v>
      </c>
      <c r="AJ1180">
        <v>803</v>
      </c>
      <c r="AK1180">
        <v>201</v>
      </c>
      <c r="AL1180">
        <v>134</v>
      </c>
      <c r="AM1180">
        <v>219</v>
      </c>
      <c r="AN1180">
        <v>252</v>
      </c>
      <c r="AO1180">
        <v>2669</v>
      </c>
      <c r="AP1180">
        <v>214</v>
      </c>
      <c r="AQ1180">
        <v>197</v>
      </c>
      <c r="AR1180">
        <v>278</v>
      </c>
      <c r="AS1180">
        <v>186</v>
      </c>
      <c r="AT1180">
        <v>531</v>
      </c>
      <c r="AU1180">
        <v>389</v>
      </c>
      <c r="AV1180">
        <v>337</v>
      </c>
      <c r="AW1180">
        <v>192</v>
      </c>
      <c r="AX1180">
        <v>213</v>
      </c>
      <c r="AY1180">
        <v>706</v>
      </c>
      <c r="AZ1180">
        <v>173</v>
      </c>
      <c r="BA1180">
        <v>145</v>
      </c>
      <c r="BB1180">
        <v>168</v>
      </c>
      <c r="BC1180">
        <v>732</v>
      </c>
      <c r="BD1180">
        <v>329</v>
      </c>
      <c r="BE1180">
        <v>55</v>
      </c>
      <c r="BF1180">
        <v>34</v>
      </c>
      <c r="BG1180">
        <v>5</v>
      </c>
      <c r="BH1180">
        <v>73</v>
      </c>
      <c r="BI1180">
        <v>516</v>
      </c>
      <c r="BJ1180">
        <v>7</v>
      </c>
      <c r="BK1180">
        <v>72</v>
      </c>
      <c r="BL1180">
        <v>50</v>
      </c>
      <c r="BM1180">
        <v>26</v>
      </c>
      <c r="BN1180">
        <v>163</v>
      </c>
      <c r="BO1180">
        <v>7</v>
      </c>
      <c r="BP1180">
        <v>140</v>
      </c>
      <c r="BQ1180">
        <v>108</v>
      </c>
      <c r="BR1180">
        <v>8</v>
      </c>
      <c r="BS1180">
        <v>510</v>
      </c>
      <c r="BT1180">
        <v>17</v>
      </c>
      <c r="BU1180">
        <v>36</v>
      </c>
      <c r="BV1180">
        <v>1</v>
      </c>
      <c r="BW1180">
        <v>3</v>
      </c>
      <c r="BX1180">
        <v>0</v>
      </c>
      <c r="BY1180">
        <v>0</v>
      </c>
      <c r="BZ1180">
        <v>0</v>
      </c>
      <c r="CA1180">
        <v>4</v>
      </c>
      <c r="CB1180">
        <v>0</v>
      </c>
      <c r="CC1180">
        <v>84</v>
      </c>
      <c r="CD1180">
        <v>4</v>
      </c>
      <c r="CE1180">
        <v>1</v>
      </c>
      <c r="CF1180">
        <v>3</v>
      </c>
      <c r="CG1180">
        <v>0</v>
      </c>
      <c r="CH1180">
        <v>1</v>
      </c>
      <c r="CI1180">
        <v>0</v>
      </c>
      <c r="CJ1180">
        <v>0</v>
      </c>
      <c r="CK1180">
        <v>0</v>
      </c>
      <c r="CL1180">
        <v>0</v>
      </c>
      <c r="CM1180">
        <v>14</v>
      </c>
      <c r="CN1180">
        <v>0</v>
      </c>
      <c r="CO1180">
        <v>0</v>
      </c>
      <c r="CP1180">
        <v>0</v>
      </c>
      <c r="CQ1180">
        <v>0</v>
      </c>
      <c r="CR1180">
        <v>4</v>
      </c>
      <c r="CS1180">
        <v>0</v>
      </c>
      <c r="CT1180">
        <v>2</v>
      </c>
      <c r="CU1180">
        <v>0</v>
      </c>
      <c r="CV1180">
        <v>0</v>
      </c>
      <c r="CW1180">
        <v>0</v>
      </c>
      <c r="CX1180">
        <v>0</v>
      </c>
      <c r="CY1180">
        <v>0</v>
      </c>
      <c r="CZ1180">
        <v>0</v>
      </c>
      <c r="DA1180">
        <v>0</v>
      </c>
      <c r="DB1180">
        <v>0</v>
      </c>
      <c r="DC1180">
        <v>0</v>
      </c>
      <c r="DD1180">
        <v>0</v>
      </c>
      <c r="DE1180">
        <v>0</v>
      </c>
      <c r="DF1180">
        <v>843</v>
      </c>
      <c r="DG1180" s="16">
        <f t="shared" si="97"/>
        <v>50242</v>
      </c>
      <c r="DH1180" s="16">
        <f t="shared" si="98"/>
        <v>1019103</v>
      </c>
      <c r="DI1180" s="17">
        <f t="shared" si="99"/>
        <v>20.283885991799689</v>
      </c>
      <c r="DJ1180" s="119" t="s">
        <v>1323</v>
      </c>
      <c r="DK1180" s="119" t="s">
        <v>1539</v>
      </c>
      <c r="DL1180" s="119" t="s">
        <v>1522</v>
      </c>
    </row>
    <row r="1181" spans="1:116">
      <c r="A1181" s="32" t="str">
        <f t="shared" si="100"/>
        <v>Essential--OTHER - PLEASE ADD A ROW IF NECESSARY AND NOMINATE THE CATEGORY</v>
      </c>
      <c r="B1181" s="32" t="str">
        <f t="shared" si="101"/>
        <v>Essential</v>
      </c>
      <c r="C1181" s="384"/>
      <c r="E1181" t="s">
        <v>170</v>
      </c>
      <c r="DG1181" s="16">
        <f t="shared" si="97"/>
        <v>0</v>
      </c>
      <c r="DH1181" s="16">
        <f t="shared" si="98"/>
        <v>0</v>
      </c>
      <c r="DI1181" s="17" t="str">
        <f t="shared" si="99"/>
        <v/>
      </c>
      <c r="DJ1181" s="119" t="s">
        <v>1323</v>
      </c>
      <c r="DK1181" s="119" t="s">
        <v>1525</v>
      </c>
      <c r="DL1181" s="119"/>
    </row>
    <row r="1182" spans="1:116">
      <c r="A1182" s="32" t="str">
        <f t="shared" si="100"/>
        <v>Essential-SCADA, NETWORK CONTROL AND PROTECTION SYSTEMS BY: 
FUNCTION-FIELD DEVICES</v>
      </c>
      <c r="B1182" s="32" t="str">
        <f t="shared" si="101"/>
        <v>Essential</v>
      </c>
      <c r="C1182" s="384"/>
      <c r="D1182" t="s">
        <v>548</v>
      </c>
      <c r="E1182" t="s">
        <v>272</v>
      </c>
      <c r="F1182">
        <v>9.1</v>
      </c>
      <c r="G1182">
        <v>3.0166206257996713</v>
      </c>
      <c r="H1182">
        <v>59</v>
      </c>
      <c r="I1182">
        <v>3</v>
      </c>
      <c r="J1182">
        <v>17</v>
      </c>
      <c r="K1182">
        <v>19</v>
      </c>
      <c r="L1182">
        <v>7</v>
      </c>
      <c r="M1182">
        <v>3</v>
      </c>
      <c r="N1182">
        <v>9</v>
      </c>
      <c r="O1182">
        <v>3</v>
      </c>
      <c r="P1182">
        <v>0</v>
      </c>
      <c r="Q1182">
        <v>3</v>
      </c>
      <c r="R1182">
        <v>5</v>
      </c>
      <c r="S1182">
        <v>195</v>
      </c>
      <c r="T1182">
        <v>0</v>
      </c>
      <c r="U1182">
        <v>0</v>
      </c>
      <c r="V1182">
        <v>0</v>
      </c>
      <c r="W1182">
        <v>0</v>
      </c>
      <c r="X1182">
        <v>0</v>
      </c>
      <c r="Y1182">
        <v>0</v>
      </c>
      <c r="Z1182">
        <v>0</v>
      </c>
      <c r="AA1182">
        <v>0</v>
      </c>
      <c r="AB1182">
        <v>0</v>
      </c>
      <c r="AC1182">
        <v>0</v>
      </c>
      <c r="AD1182">
        <v>0</v>
      </c>
      <c r="AE1182">
        <v>0</v>
      </c>
      <c r="AF1182">
        <v>0</v>
      </c>
      <c r="AG1182">
        <v>0</v>
      </c>
      <c r="AH1182">
        <v>0</v>
      </c>
      <c r="AI1182">
        <v>0</v>
      </c>
      <c r="AJ1182">
        <v>0</v>
      </c>
      <c r="AK1182">
        <v>0</v>
      </c>
      <c r="AL1182">
        <v>0</v>
      </c>
      <c r="AM1182">
        <v>0</v>
      </c>
      <c r="AN1182">
        <v>0</v>
      </c>
      <c r="AO1182">
        <v>0</v>
      </c>
      <c r="AP1182">
        <v>0</v>
      </c>
      <c r="AQ1182">
        <v>0</v>
      </c>
      <c r="AR1182">
        <v>0</v>
      </c>
      <c r="AS1182">
        <v>0</v>
      </c>
      <c r="AT1182">
        <v>0</v>
      </c>
      <c r="AU1182">
        <v>0</v>
      </c>
      <c r="AV1182">
        <v>0</v>
      </c>
      <c r="AW1182">
        <v>0</v>
      </c>
      <c r="AX1182">
        <v>0</v>
      </c>
      <c r="AY1182">
        <v>0</v>
      </c>
      <c r="AZ1182">
        <v>0</v>
      </c>
      <c r="BA1182">
        <v>0</v>
      </c>
      <c r="BB1182">
        <v>0</v>
      </c>
      <c r="BC1182">
        <v>0</v>
      </c>
      <c r="BD1182">
        <v>0</v>
      </c>
      <c r="BE1182">
        <v>0</v>
      </c>
      <c r="BF1182">
        <v>0</v>
      </c>
      <c r="BG1182">
        <v>0</v>
      </c>
      <c r="BH1182">
        <v>0</v>
      </c>
      <c r="BI1182">
        <v>0</v>
      </c>
      <c r="BJ1182">
        <v>0</v>
      </c>
      <c r="BK1182">
        <v>0</v>
      </c>
      <c r="BL1182">
        <v>0</v>
      </c>
      <c r="BM1182">
        <v>0</v>
      </c>
      <c r="BN1182">
        <v>0</v>
      </c>
      <c r="BO1182">
        <v>0</v>
      </c>
      <c r="BP1182">
        <v>0</v>
      </c>
      <c r="BQ1182">
        <v>0</v>
      </c>
      <c r="BR1182">
        <v>0</v>
      </c>
      <c r="BS1182">
        <v>0</v>
      </c>
      <c r="BT1182">
        <v>0</v>
      </c>
      <c r="BU1182">
        <v>0</v>
      </c>
      <c r="BV1182">
        <v>0</v>
      </c>
      <c r="BW1182">
        <v>0</v>
      </c>
      <c r="BX1182">
        <v>0</v>
      </c>
      <c r="BY1182">
        <v>0</v>
      </c>
      <c r="BZ1182">
        <v>0</v>
      </c>
      <c r="CA1182">
        <v>0</v>
      </c>
      <c r="CB1182">
        <v>0</v>
      </c>
      <c r="CC1182">
        <v>0</v>
      </c>
      <c r="CD1182">
        <v>0</v>
      </c>
      <c r="CE1182">
        <v>0</v>
      </c>
      <c r="CF1182">
        <v>0</v>
      </c>
      <c r="CG1182">
        <v>0</v>
      </c>
      <c r="CH1182">
        <v>0</v>
      </c>
      <c r="CI1182">
        <v>0</v>
      </c>
      <c r="CJ1182">
        <v>0</v>
      </c>
      <c r="CK1182">
        <v>0</v>
      </c>
      <c r="CL1182">
        <v>0</v>
      </c>
      <c r="CM1182">
        <v>0</v>
      </c>
      <c r="CN1182">
        <v>0</v>
      </c>
      <c r="CO1182">
        <v>0</v>
      </c>
      <c r="CP1182">
        <v>0</v>
      </c>
      <c r="CQ1182">
        <v>0</v>
      </c>
      <c r="CR1182">
        <v>0</v>
      </c>
      <c r="CS1182">
        <v>0</v>
      </c>
      <c r="CT1182">
        <v>0</v>
      </c>
      <c r="CU1182">
        <v>0</v>
      </c>
      <c r="CV1182">
        <v>0</v>
      </c>
      <c r="CW1182">
        <v>0</v>
      </c>
      <c r="CX1182">
        <v>0</v>
      </c>
      <c r="CY1182">
        <v>0</v>
      </c>
      <c r="CZ1182">
        <v>0</v>
      </c>
      <c r="DA1182">
        <v>0</v>
      </c>
      <c r="DB1182">
        <v>0</v>
      </c>
      <c r="DC1182">
        <v>0</v>
      </c>
      <c r="DD1182">
        <v>0</v>
      </c>
      <c r="DE1182">
        <v>0</v>
      </c>
      <c r="DF1182">
        <v>0</v>
      </c>
      <c r="DG1182" s="16">
        <f t="shared" si="97"/>
        <v>323</v>
      </c>
      <c r="DH1182" s="16">
        <f t="shared" si="98"/>
        <v>2757</v>
      </c>
      <c r="DI1182" s="17">
        <f t="shared" si="99"/>
        <v>8.5356037151702786</v>
      </c>
      <c r="DJ1182" s="119" t="s">
        <v>659</v>
      </c>
      <c r="DK1182" s="119" t="s">
        <v>659</v>
      </c>
      <c r="DL1182" s="119"/>
    </row>
    <row r="1183" spans="1:116">
      <c r="A1183" s="32" t="str">
        <f t="shared" si="100"/>
        <v>Essential--LOCAL NETWORK WIRING ASSETS</v>
      </c>
      <c r="B1183" s="32" t="str">
        <f t="shared" si="101"/>
        <v>Essential</v>
      </c>
      <c r="C1183" s="384"/>
      <c r="E1183" t="s">
        <v>273</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c r="AJ1183">
        <v>0</v>
      </c>
      <c r="AK1183">
        <v>0</v>
      </c>
      <c r="AL1183">
        <v>0</v>
      </c>
      <c r="AM1183">
        <v>0</v>
      </c>
      <c r="AN1183">
        <v>0</v>
      </c>
      <c r="AO1183">
        <v>0</v>
      </c>
      <c r="AP1183">
        <v>0</v>
      </c>
      <c r="AQ1183">
        <v>0</v>
      </c>
      <c r="AR1183">
        <v>0</v>
      </c>
      <c r="AS1183">
        <v>0</v>
      </c>
      <c r="AT1183">
        <v>0</v>
      </c>
      <c r="AU1183">
        <v>0</v>
      </c>
      <c r="AV1183">
        <v>0</v>
      </c>
      <c r="AW1183">
        <v>0</v>
      </c>
      <c r="AX1183">
        <v>0</v>
      </c>
      <c r="AY1183">
        <v>0</v>
      </c>
      <c r="AZ1183">
        <v>0</v>
      </c>
      <c r="BA1183">
        <v>0</v>
      </c>
      <c r="BB1183">
        <v>0</v>
      </c>
      <c r="BC1183">
        <v>0</v>
      </c>
      <c r="BD1183">
        <v>0</v>
      </c>
      <c r="BE1183">
        <v>0</v>
      </c>
      <c r="BF1183">
        <v>0</v>
      </c>
      <c r="BG1183">
        <v>0</v>
      </c>
      <c r="BH1183">
        <v>0</v>
      </c>
      <c r="BI1183">
        <v>0</v>
      </c>
      <c r="BJ1183">
        <v>0</v>
      </c>
      <c r="BK1183">
        <v>0</v>
      </c>
      <c r="BL1183">
        <v>0</v>
      </c>
      <c r="BM1183">
        <v>0</v>
      </c>
      <c r="BN1183">
        <v>0</v>
      </c>
      <c r="BO1183">
        <v>0</v>
      </c>
      <c r="BP1183">
        <v>0</v>
      </c>
      <c r="BQ1183">
        <v>0</v>
      </c>
      <c r="BR1183">
        <v>0</v>
      </c>
      <c r="BS1183">
        <v>0</v>
      </c>
      <c r="BT1183">
        <v>0</v>
      </c>
      <c r="BU1183">
        <v>0</v>
      </c>
      <c r="BV1183">
        <v>0</v>
      </c>
      <c r="BW1183">
        <v>0</v>
      </c>
      <c r="BX1183">
        <v>0</v>
      </c>
      <c r="BY1183">
        <v>0</v>
      </c>
      <c r="BZ1183">
        <v>0</v>
      </c>
      <c r="CA1183">
        <v>0</v>
      </c>
      <c r="CB1183">
        <v>0</v>
      </c>
      <c r="CC1183">
        <v>0</v>
      </c>
      <c r="CD1183">
        <v>0</v>
      </c>
      <c r="CE1183">
        <v>0</v>
      </c>
      <c r="CF1183">
        <v>0</v>
      </c>
      <c r="CG1183">
        <v>0</v>
      </c>
      <c r="CH1183">
        <v>0</v>
      </c>
      <c r="CI1183">
        <v>0</v>
      </c>
      <c r="CJ1183">
        <v>0</v>
      </c>
      <c r="CK1183">
        <v>0</v>
      </c>
      <c r="CL1183">
        <v>0</v>
      </c>
      <c r="CM1183">
        <v>0</v>
      </c>
      <c r="CN1183">
        <v>0</v>
      </c>
      <c r="CO1183">
        <v>0</v>
      </c>
      <c r="CP1183">
        <v>0</v>
      </c>
      <c r="CQ1183">
        <v>0</v>
      </c>
      <c r="CR1183">
        <v>0</v>
      </c>
      <c r="CS1183">
        <v>0</v>
      </c>
      <c r="CT1183">
        <v>0</v>
      </c>
      <c r="CU1183">
        <v>0</v>
      </c>
      <c r="CV1183">
        <v>0</v>
      </c>
      <c r="CW1183">
        <v>0</v>
      </c>
      <c r="CX1183">
        <v>0</v>
      </c>
      <c r="CY1183">
        <v>0</v>
      </c>
      <c r="CZ1183">
        <v>0</v>
      </c>
      <c r="DA1183">
        <v>0</v>
      </c>
      <c r="DB1183">
        <v>0</v>
      </c>
      <c r="DC1183">
        <v>0</v>
      </c>
      <c r="DD1183">
        <v>0</v>
      </c>
      <c r="DE1183">
        <v>0</v>
      </c>
      <c r="DF1183">
        <v>0</v>
      </c>
      <c r="DG1183" s="16">
        <f t="shared" si="97"/>
        <v>0</v>
      </c>
      <c r="DH1183" s="16">
        <f t="shared" si="98"/>
        <v>0</v>
      </c>
      <c r="DI1183" s="17" t="str">
        <f t="shared" si="99"/>
        <v/>
      </c>
      <c r="DJ1183" s="119" t="s">
        <v>659</v>
      </c>
      <c r="DK1183" s="119" t="s">
        <v>659</v>
      </c>
      <c r="DL1183" s="119"/>
    </row>
    <row r="1184" spans="1:116">
      <c r="A1184" s="32" t="str">
        <f t="shared" si="100"/>
        <v>Essential--COMMUNICATIONS NETWORK ASSETS</v>
      </c>
      <c r="B1184" s="32" t="str">
        <f t="shared" si="101"/>
        <v>Essential</v>
      </c>
      <c r="C1184" s="384"/>
      <c r="E1184" t="s">
        <v>274</v>
      </c>
      <c r="F1184">
        <v>6.8</v>
      </c>
      <c r="G1184">
        <v>2.6076809620810595</v>
      </c>
      <c r="H1184">
        <v>89</v>
      </c>
      <c r="I1184">
        <v>32</v>
      </c>
      <c r="J1184">
        <v>61</v>
      </c>
      <c r="K1184">
        <v>58</v>
      </c>
      <c r="L1184">
        <v>57</v>
      </c>
      <c r="M1184">
        <v>31</v>
      </c>
      <c r="N1184">
        <v>23</v>
      </c>
      <c r="O1184">
        <v>21</v>
      </c>
      <c r="P1184">
        <v>32</v>
      </c>
      <c r="Q1184">
        <v>38</v>
      </c>
      <c r="R1184">
        <v>26</v>
      </c>
      <c r="S1184">
        <v>0</v>
      </c>
      <c r="T1184">
        <v>20</v>
      </c>
      <c r="U1184">
        <v>0</v>
      </c>
      <c r="V1184">
        <v>11</v>
      </c>
      <c r="W1184">
        <v>3</v>
      </c>
      <c r="X1184">
        <v>24</v>
      </c>
      <c r="Y1184">
        <v>0</v>
      </c>
      <c r="Z1184">
        <v>0</v>
      </c>
      <c r="AA1184">
        <v>27</v>
      </c>
      <c r="AB1184">
        <v>0</v>
      </c>
      <c r="AC1184">
        <v>0</v>
      </c>
      <c r="AD1184">
        <v>0</v>
      </c>
      <c r="AE1184">
        <v>0</v>
      </c>
      <c r="AF1184">
        <v>0</v>
      </c>
      <c r="AG1184">
        <v>0</v>
      </c>
      <c r="AH1184">
        <v>0</v>
      </c>
      <c r="AI1184">
        <v>0</v>
      </c>
      <c r="AJ1184">
        <v>0</v>
      </c>
      <c r="AK1184">
        <v>0</v>
      </c>
      <c r="AL1184">
        <v>0</v>
      </c>
      <c r="AM1184">
        <v>0</v>
      </c>
      <c r="AN1184">
        <v>0</v>
      </c>
      <c r="AO1184">
        <v>0</v>
      </c>
      <c r="AP1184">
        <v>0</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v>0</v>
      </c>
      <c r="BK1184">
        <v>0</v>
      </c>
      <c r="BL1184">
        <v>0</v>
      </c>
      <c r="BM1184">
        <v>0</v>
      </c>
      <c r="BN1184">
        <v>0</v>
      </c>
      <c r="BO1184">
        <v>0</v>
      </c>
      <c r="BP1184">
        <v>0</v>
      </c>
      <c r="BQ1184">
        <v>0</v>
      </c>
      <c r="BR1184">
        <v>0</v>
      </c>
      <c r="BS1184">
        <v>0</v>
      </c>
      <c r="BT1184">
        <v>0</v>
      </c>
      <c r="BU1184">
        <v>0</v>
      </c>
      <c r="BV1184">
        <v>0</v>
      </c>
      <c r="BW1184">
        <v>0</v>
      </c>
      <c r="BX1184">
        <v>0</v>
      </c>
      <c r="BY1184">
        <v>0</v>
      </c>
      <c r="BZ1184">
        <v>0</v>
      </c>
      <c r="CA1184">
        <v>0</v>
      </c>
      <c r="CB1184">
        <v>0</v>
      </c>
      <c r="CC1184">
        <v>0</v>
      </c>
      <c r="CD1184">
        <v>0</v>
      </c>
      <c r="CE1184">
        <v>0</v>
      </c>
      <c r="CF1184">
        <v>0</v>
      </c>
      <c r="CG1184">
        <v>0</v>
      </c>
      <c r="CH1184">
        <v>0</v>
      </c>
      <c r="CI1184">
        <v>0</v>
      </c>
      <c r="CJ1184">
        <v>0</v>
      </c>
      <c r="CK1184">
        <v>0</v>
      </c>
      <c r="CL1184">
        <v>0</v>
      </c>
      <c r="CM1184">
        <v>0</v>
      </c>
      <c r="CN1184">
        <v>0</v>
      </c>
      <c r="CO1184">
        <v>0</v>
      </c>
      <c r="CP1184">
        <v>0</v>
      </c>
      <c r="CQ1184">
        <v>0</v>
      </c>
      <c r="CR1184">
        <v>0</v>
      </c>
      <c r="CS1184">
        <v>0</v>
      </c>
      <c r="CT1184">
        <v>0</v>
      </c>
      <c r="CU1184">
        <v>0</v>
      </c>
      <c r="CV1184">
        <v>0</v>
      </c>
      <c r="CW1184">
        <v>0</v>
      </c>
      <c r="CX1184">
        <v>0</v>
      </c>
      <c r="CY1184">
        <v>0</v>
      </c>
      <c r="CZ1184">
        <v>0</v>
      </c>
      <c r="DA1184">
        <v>0</v>
      </c>
      <c r="DB1184">
        <v>0</v>
      </c>
      <c r="DC1184">
        <v>0</v>
      </c>
      <c r="DD1184">
        <v>0</v>
      </c>
      <c r="DE1184">
        <v>0</v>
      </c>
      <c r="DF1184">
        <v>0</v>
      </c>
      <c r="DG1184" s="16">
        <f t="shared" ref="DG1184:DG1187" si="102">SUM(H1184:DF1184)</f>
        <v>553</v>
      </c>
      <c r="DH1184" s="16">
        <f t="shared" ref="DH1184:DH1187" si="103">IFERROR(SUMPRODUCT(H1184:DF1184,$H$1:$DF$1),"")</f>
        <v>3743</v>
      </c>
      <c r="DI1184" s="17">
        <f t="shared" ref="DI1184:DI1187" si="104">IFERROR(DH1184/DG1184,"")</f>
        <v>6.7685352622061483</v>
      </c>
      <c r="DJ1184" s="119" t="s">
        <v>659</v>
      </c>
      <c r="DK1184" s="119" t="s">
        <v>659</v>
      </c>
      <c r="DL1184" s="119"/>
    </row>
    <row r="1185" spans="1:116">
      <c r="A1185" s="32" t="str">
        <f t="shared" si="100"/>
        <v>Essential--MASTER STATION ASSETS</v>
      </c>
      <c r="B1185" s="32" t="str">
        <f t="shared" si="101"/>
        <v>Essential</v>
      </c>
      <c r="C1185" s="384"/>
      <c r="E1185" t="s">
        <v>275</v>
      </c>
      <c r="F1185">
        <v>5</v>
      </c>
      <c r="G1185">
        <v>2.2360000000000002</v>
      </c>
      <c r="H1185">
        <v>0</v>
      </c>
      <c r="I1185">
        <v>8</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v>0</v>
      </c>
      <c r="AI1185">
        <v>0</v>
      </c>
      <c r="AJ1185">
        <v>0</v>
      </c>
      <c r="AK1185">
        <v>0</v>
      </c>
      <c r="AL1185">
        <v>0</v>
      </c>
      <c r="AM1185">
        <v>0</v>
      </c>
      <c r="AN1185">
        <v>0</v>
      </c>
      <c r="AO1185">
        <v>0</v>
      </c>
      <c r="AP1185">
        <v>0</v>
      </c>
      <c r="AQ1185">
        <v>0</v>
      </c>
      <c r="AR1185">
        <v>0</v>
      </c>
      <c r="AS1185">
        <v>0</v>
      </c>
      <c r="AT1185">
        <v>0</v>
      </c>
      <c r="AU1185">
        <v>0</v>
      </c>
      <c r="AV1185">
        <v>0</v>
      </c>
      <c r="AW1185">
        <v>0</v>
      </c>
      <c r="AX1185">
        <v>0</v>
      </c>
      <c r="AY1185">
        <v>0</v>
      </c>
      <c r="AZ1185">
        <v>0</v>
      </c>
      <c r="BA1185">
        <v>0</v>
      </c>
      <c r="BB1185">
        <v>0</v>
      </c>
      <c r="BC1185">
        <v>0</v>
      </c>
      <c r="BD1185">
        <v>0</v>
      </c>
      <c r="BE1185">
        <v>0</v>
      </c>
      <c r="BF1185">
        <v>0</v>
      </c>
      <c r="BG1185">
        <v>0</v>
      </c>
      <c r="BH1185">
        <v>0</v>
      </c>
      <c r="BI1185">
        <v>0</v>
      </c>
      <c r="BJ1185">
        <v>0</v>
      </c>
      <c r="BK1185">
        <v>0</v>
      </c>
      <c r="BL1185">
        <v>0</v>
      </c>
      <c r="BM1185">
        <v>0</v>
      </c>
      <c r="BN1185">
        <v>0</v>
      </c>
      <c r="BO1185">
        <v>0</v>
      </c>
      <c r="BP1185">
        <v>0</v>
      </c>
      <c r="BQ1185">
        <v>0</v>
      </c>
      <c r="BR1185">
        <v>0</v>
      </c>
      <c r="BS1185">
        <v>0</v>
      </c>
      <c r="BT1185">
        <v>0</v>
      </c>
      <c r="BU1185">
        <v>0</v>
      </c>
      <c r="BV1185">
        <v>0</v>
      </c>
      <c r="BW1185">
        <v>0</v>
      </c>
      <c r="BX1185">
        <v>0</v>
      </c>
      <c r="BY1185">
        <v>0</v>
      </c>
      <c r="BZ1185">
        <v>0</v>
      </c>
      <c r="CA1185">
        <v>0</v>
      </c>
      <c r="CB1185">
        <v>0</v>
      </c>
      <c r="CC1185">
        <v>0</v>
      </c>
      <c r="CD1185">
        <v>0</v>
      </c>
      <c r="CE1185">
        <v>0</v>
      </c>
      <c r="CF1185">
        <v>0</v>
      </c>
      <c r="CG1185">
        <v>0</v>
      </c>
      <c r="CH1185">
        <v>0</v>
      </c>
      <c r="CI1185">
        <v>0</v>
      </c>
      <c r="CJ1185">
        <v>0</v>
      </c>
      <c r="CK1185">
        <v>0</v>
      </c>
      <c r="CL1185">
        <v>0</v>
      </c>
      <c r="CM1185">
        <v>0</v>
      </c>
      <c r="CN1185">
        <v>0</v>
      </c>
      <c r="CO1185">
        <v>0</v>
      </c>
      <c r="CP1185">
        <v>0</v>
      </c>
      <c r="CQ1185">
        <v>0</v>
      </c>
      <c r="CR1185">
        <v>0</v>
      </c>
      <c r="CS1185">
        <v>0</v>
      </c>
      <c r="CT1185">
        <v>0</v>
      </c>
      <c r="CU1185">
        <v>0</v>
      </c>
      <c r="CV1185">
        <v>0</v>
      </c>
      <c r="CW1185">
        <v>0</v>
      </c>
      <c r="CX1185">
        <v>0</v>
      </c>
      <c r="CY1185">
        <v>0</v>
      </c>
      <c r="CZ1185">
        <v>0</v>
      </c>
      <c r="DA1185">
        <v>0</v>
      </c>
      <c r="DB1185">
        <v>0</v>
      </c>
      <c r="DC1185">
        <v>0</v>
      </c>
      <c r="DD1185">
        <v>0</v>
      </c>
      <c r="DE1185">
        <v>0</v>
      </c>
      <c r="DF1185">
        <v>0</v>
      </c>
      <c r="DG1185" s="16">
        <f t="shared" si="102"/>
        <v>8</v>
      </c>
      <c r="DH1185" s="16">
        <f t="shared" si="103"/>
        <v>16</v>
      </c>
      <c r="DI1185" s="17">
        <f t="shared" si="104"/>
        <v>2</v>
      </c>
      <c r="DJ1185" s="119" t="s">
        <v>659</v>
      </c>
      <c r="DK1185" s="119" t="s">
        <v>659</v>
      </c>
      <c r="DL1185" s="119"/>
    </row>
    <row r="1186" spans="1:116">
      <c r="A1186" s="32" t="str">
        <f t="shared" si="100"/>
        <v>Essential--OTHER - PLEASE ADD A ROW IF NECESSARY AND NOMINATE THE CATEGORY</v>
      </c>
      <c r="B1186" s="32" t="str">
        <f t="shared" si="101"/>
        <v>Essential</v>
      </c>
      <c r="C1186" s="384"/>
      <c r="E1186" t="s">
        <v>170</v>
      </c>
      <c r="DG1186" s="16">
        <f t="shared" si="102"/>
        <v>0</v>
      </c>
      <c r="DH1186" s="16">
        <f t="shared" si="103"/>
        <v>0</v>
      </c>
      <c r="DI1186" s="17" t="str">
        <f t="shared" si="104"/>
        <v/>
      </c>
      <c r="DJ1186" s="119" t="s">
        <v>659</v>
      </c>
      <c r="DK1186" s="119" t="s">
        <v>659</v>
      </c>
      <c r="DL1186" s="119"/>
    </row>
    <row r="1187" spans="1:116">
      <c r="A1187" s="32" t="str">
        <f t="shared" si="100"/>
        <v>Essential-OTHER-CUSTOMER METERING AND LOAD CONTROL</v>
      </c>
      <c r="B1187" s="32" t="str">
        <f t="shared" si="101"/>
        <v>Essential</v>
      </c>
      <c r="C1187" s="384"/>
      <c r="D1187" t="s">
        <v>434</v>
      </c>
      <c r="E1187" t="s">
        <v>1511</v>
      </c>
      <c r="F1187">
        <v>25</v>
      </c>
      <c r="G1187">
        <v>5</v>
      </c>
      <c r="H1187">
        <v>41017</v>
      </c>
      <c r="I1187">
        <v>47241</v>
      </c>
      <c r="J1187">
        <v>50140</v>
      </c>
      <c r="K1187">
        <v>26581</v>
      </c>
      <c r="L1187">
        <v>24197</v>
      </c>
      <c r="M1187">
        <v>24567</v>
      </c>
      <c r="N1187">
        <v>25952</v>
      </c>
      <c r="O1187">
        <v>24482</v>
      </c>
      <c r="P1187">
        <v>27074</v>
      </c>
      <c r="Q1187">
        <v>31916</v>
      </c>
      <c r="R1187">
        <v>25024</v>
      </c>
      <c r="S1187">
        <v>25303</v>
      </c>
      <c r="T1187">
        <v>24584</v>
      </c>
      <c r="U1187">
        <v>22505</v>
      </c>
      <c r="V1187">
        <v>24228</v>
      </c>
      <c r="W1187">
        <v>24291</v>
      </c>
      <c r="X1187">
        <v>24336</v>
      </c>
      <c r="Y1187">
        <v>25112</v>
      </c>
      <c r="Z1187">
        <v>25121</v>
      </c>
      <c r="AA1187">
        <v>24376</v>
      </c>
      <c r="AB1187">
        <v>24376</v>
      </c>
      <c r="AC1187">
        <v>24376</v>
      </c>
      <c r="AD1187">
        <v>23407</v>
      </c>
      <c r="AE1187">
        <v>23426</v>
      </c>
      <c r="AF1187">
        <v>23426</v>
      </c>
      <c r="AG1187">
        <v>23401</v>
      </c>
      <c r="AH1187">
        <v>26093</v>
      </c>
      <c r="AI1187">
        <v>23265</v>
      </c>
      <c r="AJ1187">
        <v>23265</v>
      </c>
      <c r="AK1187">
        <v>29146</v>
      </c>
      <c r="AL1187">
        <v>25570</v>
      </c>
      <c r="AM1187">
        <v>25570</v>
      </c>
      <c r="AN1187">
        <v>27879</v>
      </c>
      <c r="AO1187">
        <v>28293</v>
      </c>
      <c r="AP1187">
        <v>24893</v>
      </c>
      <c r="AQ1187">
        <v>22121</v>
      </c>
      <c r="AR1187">
        <v>26560</v>
      </c>
      <c r="AS1187">
        <v>27794</v>
      </c>
      <c r="AT1187">
        <v>28806</v>
      </c>
      <c r="AU1187">
        <v>30894</v>
      </c>
      <c r="AV1187">
        <v>29857</v>
      </c>
      <c r="AW1187">
        <v>29215</v>
      </c>
      <c r="AX1187">
        <v>27034</v>
      </c>
      <c r="AY1187">
        <v>24083</v>
      </c>
      <c r="AZ1187">
        <v>21978</v>
      </c>
      <c r="BA1187">
        <v>20022</v>
      </c>
      <c r="BB1187">
        <v>17856</v>
      </c>
      <c r="BC1187">
        <v>16123</v>
      </c>
      <c r="BD1187">
        <v>14021</v>
      </c>
      <c r="BE1187">
        <v>12798</v>
      </c>
      <c r="BF1187">
        <v>12175</v>
      </c>
      <c r="BG1187">
        <v>11652</v>
      </c>
      <c r="BH1187">
        <v>11129</v>
      </c>
      <c r="BI1187">
        <v>10606</v>
      </c>
      <c r="BJ1187">
        <v>10083</v>
      </c>
      <c r="BK1187">
        <v>9560</v>
      </c>
      <c r="BL1187">
        <v>9037</v>
      </c>
      <c r="BM1187">
        <v>8414</v>
      </c>
      <c r="BN1187">
        <v>7791</v>
      </c>
      <c r="BO1187">
        <v>7368</v>
      </c>
      <c r="BP1187">
        <v>6745</v>
      </c>
      <c r="BQ1187">
        <v>6122</v>
      </c>
      <c r="BR1187">
        <v>5499</v>
      </c>
      <c r="BS1187">
        <v>5276</v>
      </c>
      <c r="BT1187">
        <v>5053</v>
      </c>
      <c r="BU1187">
        <v>4830</v>
      </c>
      <c r="BV1187">
        <v>4407</v>
      </c>
      <c r="BW1187">
        <v>4184</v>
      </c>
      <c r="BX1187">
        <v>3961</v>
      </c>
      <c r="BY1187">
        <v>3638</v>
      </c>
      <c r="BZ1187">
        <v>3315</v>
      </c>
      <c r="CA1187">
        <v>2992</v>
      </c>
      <c r="CB1187">
        <v>2669</v>
      </c>
      <c r="CC1187">
        <v>2346</v>
      </c>
      <c r="CD1187">
        <v>2023</v>
      </c>
      <c r="CE1187">
        <v>1800</v>
      </c>
      <c r="CF1187">
        <v>960</v>
      </c>
      <c r="CG1187">
        <v>404</v>
      </c>
      <c r="CH1187">
        <v>0</v>
      </c>
      <c r="CI1187">
        <v>0</v>
      </c>
      <c r="CJ1187">
        <v>0</v>
      </c>
      <c r="CK1187">
        <v>0</v>
      </c>
      <c r="CL1187">
        <v>0</v>
      </c>
      <c r="CM1187">
        <v>0</v>
      </c>
      <c r="CN1187">
        <v>0</v>
      </c>
      <c r="CO1187">
        <v>0</v>
      </c>
      <c r="CP1187">
        <v>0</v>
      </c>
      <c r="CQ1187">
        <v>0</v>
      </c>
      <c r="CR1187">
        <v>0</v>
      </c>
      <c r="CS1187">
        <v>0</v>
      </c>
      <c r="CT1187">
        <v>0</v>
      </c>
      <c r="CU1187">
        <v>0</v>
      </c>
      <c r="CV1187">
        <v>0</v>
      </c>
      <c r="CW1187">
        <v>0</v>
      </c>
      <c r="CX1187">
        <v>0</v>
      </c>
      <c r="CY1187">
        <v>0</v>
      </c>
      <c r="CZ1187">
        <v>0</v>
      </c>
      <c r="DA1187">
        <v>0</v>
      </c>
      <c r="DB1187">
        <v>0</v>
      </c>
      <c r="DC1187">
        <v>0</v>
      </c>
      <c r="DD1187">
        <v>0</v>
      </c>
      <c r="DE1187">
        <v>0</v>
      </c>
      <c r="DF1187">
        <v>0</v>
      </c>
      <c r="DG1187" s="16">
        <f t="shared" si="102"/>
        <v>1457634</v>
      </c>
      <c r="DH1187" s="16">
        <f t="shared" si="103"/>
        <v>40554387</v>
      </c>
      <c r="DI1187" s="17">
        <f t="shared" si="104"/>
        <v>27.822064386533246</v>
      </c>
      <c r="DJ1187" s="119" t="s">
        <v>720</v>
      </c>
      <c r="DK1187" s="119" t="s">
        <v>720</v>
      </c>
      <c r="DL1187" s="119"/>
    </row>
  </sheetData>
  <autoFilter ref="A2:DM1187"/>
  <mergeCells count="8">
    <mergeCell ref="C1063:C1187"/>
    <mergeCell ref="C3:C156"/>
    <mergeCell ref="C157:C287"/>
    <mergeCell ref="C914:C1062"/>
    <mergeCell ref="C785:C913"/>
    <mergeCell ref="C288:C456"/>
    <mergeCell ref="C457:C634"/>
    <mergeCell ref="C635:C78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L19"/>
  <sheetViews>
    <sheetView workbookViewId="0">
      <selection activeCell="H8" sqref="H8"/>
    </sheetView>
  </sheetViews>
  <sheetFormatPr defaultRowHeight="15"/>
  <cols>
    <col min="1" max="1" width="65.28515625" bestFit="1" customWidth="1"/>
  </cols>
  <sheetData>
    <row r="1" spans="1:12" ht="34.5">
      <c r="A1" s="38" t="s">
        <v>1606</v>
      </c>
      <c r="B1" s="260"/>
      <c r="C1" s="260"/>
      <c r="D1" s="260"/>
      <c r="E1" s="264" t="s">
        <v>1587</v>
      </c>
      <c r="F1" s="260" t="s">
        <v>1588</v>
      </c>
      <c r="G1" s="260" t="s">
        <v>1589</v>
      </c>
      <c r="H1" s="260" t="s">
        <v>1590</v>
      </c>
      <c r="I1" s="264" t="s">
        <v>1587</v>
      </c>
      <c r="J1" s="119"/>
      <c r="K1" s="119"/>
      <c r="L1" s="119"/>
    </row>
    <row r="2" spans="1:12">
      <c r="A2" s="119"/>
      <c r="B2" s="2" t="s">
        <v>1591</v>
      </c>
      <c r="C2" s="2" t="s">
        <v>1592</v>
      </c>
      <c r="D2" s="2" t="s">
        <v>1593</v>
      </c>
      <c r="E2" s="2" t="s">
        <v>1594</v>
      </c>
      <c r="F2" s="2" t="s">
        <v>1595</v>
      </c>
      <c r="G2" s="2" t="s">
        <v>1596</v>
      </c>
      <c r="H2" s="2" t="s">
        <v>1597</v>
      </c>
      <c r="I2" s="2" t="s">
        <v>1598</v>
      </c>
      <c r="J2" s="2" t="s">
        <v>1599</v>
      </c>
      <c r="K2" s="2" t="s">
        <v>1600</v>
      </c>
      <c r="L2" s="2" t="s">
        <v>1601</v>
      </c>
    </row>
    <row r="3" spans="1:12">
      <c r="A3" s="265" t="s">
        <v>1602</v>
      </c>
      <c r="B3" s="266">
        <v>4.3526432415321281E-2</v>
      </c>
      <c r="C3" s="266">
        <v>1.8201122402548009E-2</v>
      </c>
      <c r="D3" s="266">
        <v>2.8452256815134858E-2</v>
      </c>
      <c r="E3" s="266">
        <v>3.3893395133256066E-2</v>
      </c>
      <c r="F3" s="266">
        <v>1.76278015613196E-2</v>
      </c>
      <c r="G3" s="266">
        <v>2.4498886414253906E-2</v>
      </c>
      <c r="H3" s="266">
        <v>2.5000000000000001E-2</v>
      </c>
      <c r="I3" s="266">
        <v>2.5000000000000001E-2</v>
      </c>
      <c r="J3" s="266">
        <v>2.5000000000000001E-2</v>
      </c>
      <c r="K3" s="266">
        <v>2.5000000000000001E-2</v>
      </c>
      <c r="L3" s="266">
        <v>2.5000000000000001E-2</v>
      </c>
    </row>
    <row r="4" spans="1:12">
      <c r="A4" s="119"/>
      <c r="B4" s="119"/>
      <c r="C4" s="119"/>
      <c r="D4" s="119"/>
      <c r="E4" s="119"/>
      <c r="F4" s="119"/>
      <c r="G4" s="119"/>
      <c r="H4" s="119"/>
      <c r="I4" s="119"/>
      <c r="J4" s="119"/>
      <c r="K4" s="119"/>
      <c r="L4" s="119"/>
    </row>
    <row r="5" spans="1:12">
      <c r="A5" s="119"/>
      <c r="B5" s="119"/>
      <c r="C5" s="119"/>
      <c r="D5" s="119"/>
      <c r="E5" s="119"/>
      <c r="F5" s="119"/>
      <c r="G5" s="119"/>
      <c r="H5" s="119"/>
      <c r="I5" s="119"/>
      <c r="J5" s="119"/>
      <c r="K5" s="119"/>
      <c r="L5" s="119"/>
    </row>
    <row r="6" spans="1:12">
      <c r="A6" s="265" t="s">
        <v>1603</v>
      </c>
      <c r="B6" s="266">
        <f t="shared" ref="B6:E6" si="0">C6*(1+B3)</f>
        <v>1.1497035846066317</v>
      </c>
      <c r="C6" s="266">
        <f t="shared" si="0"/>
        <v>1.1017484070293795</v>
      </c>
      <c r="D6" s="266">
        <f t="shared" si="0"/>
        <v>1.0820538131304485</v>
      </c>
      <c r="E6" s="266">
        <f t="shared" si="0"/>
        <v>1.0521186627382242</v>
      </c>
      <c r="F6" s="266">
        <f>G6*(1+F3)</f>
        <v>1.0176278015613196</v>
      </c>
      <c r="G6" s="266">
        <v>1</v>
      </c>
      <c r="H6" s="119"/>
      <c r="I6" s="119"/>
      <c r="J6" s="119"/>
      <c r="K6" s="119"/>
      <c r="L6" s="119"/>
    </row>
    <row r="7" spans="1:12">
      <c r="A7" s="119"/>
      <c r="B7" s="119"/>
      <c r="C7" s="119"/>
      <c r="D7" s="119"/>
      <c r="E7" s="119"/>
      <c r="F7" s="119"/>
      <c r="G7" s="119"/>
      <c r="H7" s="119"/>
      <c r="I7" s="119"/>
      <c r="J7" s="119"/>
      <c r="K7" s="119"/>
      <c r="L7" s="119"/>
    </row>
    <row r="8" spans="1:12">
      <c r="A8" s="265" t="s">
        <v>1604</v>
      </c>
      <c r="B8" s="119"/>
      <c r="C8" s="119"/>
      <c r="D8" s="119"/>
      <c r="E8" s="119"/>
      <c r="F8" s="119"/>
      <c r="G8" s="119"/>
      <c r="H8" s="267">
        <f>(1+H3)</f>
        <v>1.0249999999999999</v>
      </c>
      <c r="I8" s="267">
        <f>H8*(1+I3)</f>
        <v>1.0506249999999999</v>
      </c>
      <c r="J8" s="267">
        <f>I8*(1+J3)</f>
        <v>1.0768906249999999</v>
      </c>
      <c r="K8" s="267">
        <f>J8*(1+K3)</f>
        <v>1.1038128906249998</v>
      </c>
      <c r="L8" s="267">
        <f>K8*(1+L3)</f>
        <v>1.1314082128906247</v>
      </c>
    </row>
    <row r="9" spans="1:12">
      <c r="A9" s="119"/>
      <c r="B9" s="119"/>
      <c r="C9" s="119"/>
      <c r="D9" s="119"/>
      <c r="E9" s="119"/>
      <c r="F9" s="119"/>
      <c r="G9" s="119"/>
      <c r="H9" s="119"/>
      <c r="I9" s="119"/>
      <c r="J9" s="119"/>
      <c r="K9" s="119"/>
      <c r="L9" s="119"/>
    </row>
    <row r="10" spans="1:12">
      <c r="A10" s="265" t="s">
        <v>1605</v>
      </c>
      <c r="B10" s="267">
        <f t="shared" ref="B10:E10" si="1">$H$11</f>
        <v>0</v>
      </c>
      <c r="C10" s="267">
        <f t="shared" si="1"/>
        <v>0</v>
      </c>
      <c r="D10" s="267">
        <f t="shared" si="1"/>
        <v>0</v>
      </c>
      <c r="E10" s="267">
        <f t="shared" si="1"/>
        <v>0</v>
      </c>
      <c r="F10" s="267">
        <f>$H$11</f>
        <v>0</v>
      </c>
      <c r="G10" s="267">
        <f>(1+G3)</f>
        <v>1.0244988864142539</v>
      </c>
      <c r="H10" s="267">
        <f>$H$11</f>
        <v>0</v>
      </c>
      <c r="I10" s="267">
        <f t="shared" ref="I10:L10" si="2">$H$11</f>
        <v>0</v>
      </c>
      <c r="J10" s="267">
        <f t="shared" si="2"/>
        <v>0</v>
      </c>
      <c r="K10" s="267">
        <f t="shared" si="2"/>
        <v>0</v>
      </c>
      <c r="L10" s="267">
        <f t="shared" si="2"/>
        <v>0</v>
      </c>
    </row>
    <row r="14" spans="1:12">
      <c r="F14">
        <v>374.55599999999998</v>
      </c>
    </row>
    <row r="15" spans="1:12">
      <c r="E15">
        <v>270.8</v>
      </c>
      <c r="F15">
        <f>F14*(1+F3)</f>
        <v>381.15859884160159</v>
      </c>
    </row>
    <row r="16" spans="1:12">
      <c r="E16">
        <f>E15/F15</f>
        <v>0.71046540947259751</v>
      </c>
    </row>
    <row r="19" spans="5:7">
      <c r="E19">
        <v>193422.82999999952</v>
      </c>
      <c r="F19">
        <v>119704.60720744001</v>
      </c>
      <c r="G19">
        <f>E19/F19</f>
        <v>1.6158344654588841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U87"/>
  <sheetViews>
    <sheetView showGridLines="0" workbookViewId="0">
      <pane xSplit="1" topLeftCell="B1" activePane="topRight" state="frozen"/>
      <selection activeCell="A25" sqref="A25"/>
      <selection pane="topRight" activeCell="B9" sqref="B9:K9"/>
    </sheetView>
  </sheetViews>
  <sheetFormatPr defaultRowHeight="15"/>
  <cols>
    <col min="1" max="1" width="34.85546875" bestFit="1" customWidth="1"/>
    <col min="2" max="2" width="12.5703125" style="31" customWidth="1"/>
    <col min="3" max="3" width="10" style="31" customWidth="1"/>
    <col min="4" max="4" width="10.42578125" style="31" customWidth="1"/>
    <col min="5" max="5" width="10" style="31" bestFit="1" customWidth="1"/>
    <col min="6" max="6" width="9.85546875" style="31" bestFit="1" customWidth="1"/>
    <col min="7" max="7" width="10" style="31" customWidth="1"/>
    <col min="8" max="9" width="10" style="31" bestFit="1" customWidth="1"/>
    <col min="10" max="10" width="11.85546875" style="31" customWidth="1"/>
    <col min="11" max="11" width="11.7109375" style="31" bestFit="1" customWidth="1"/>
    <col min="12" max="12" width="18.85546875" bestFit="1" customWidth="1"/>
    <col min="13" max="13" width="55" style="221" bestFit="1" customWidth="1"/>
    <col min="14" max="14" width="22.85546875" bestFit="1" customWidth="1"/>
    <col min="15" max="17" width="13.7109375" bestFit="1" customWidth="1"/>
  </cols>
  <sheetData>
    <row r="1" spans="1:17" s="44" customFormat="1" ht="18.75">
      <c r="A1" s="77" t="str">
        <f>A2</f>
        <v>Asset Count (5.2 Age Profile)</v>
      </c>
      <c r="B1" s="127"/>
      <c r="C1" s="127"/>
      <c r="D1" s="127"/>
      <c r="E1" s="127"/>
      <c r="F1" s="127"/>
      <c r="G1" s="128"/>
      <c r="H1" s="128"/>
      <c r="I1" s="131"/>
      <c r="J1" s="128"/>
      <c r="K1" s="31"/>
      <c r="M1" s="218" t="s">
        <v>1542</v>
      </c>
    </row>
    <row r="2" spans="1:17" ht="30">
      <c r="A2" s="5" t="s">
        <v>1163</v>
      </c>
      <c r="B2" s="131" t="s">
        <v>574</v>
      </c>
      <c r="C2" s="132" t="s">
        <v>1147</v>
      </c>
      <c r="D2" s="131" t="s">
        <v>575</v>
      </c>
      <c r="E2" s="133" t="s">
        <v>310</v>
      </c>
      <c r="F2" s="133" t="s">
        <v>1674</v>
      </c>
      <c r="G2" s="131" t="s">
        <v>1560</v>
      </c>
      <c r="H2" s="141" t="s">
        <v>0</v>
      </c>
      <c r="I2" s="131" t="s">
        <v>1218</v>
      </c>
      <c r="J2" s="131" t="s">
        <v>1675</v>
      </c>
      <c r="K2" s="131" t="s">
        <v>1676</v>
      </c>
      <c r="L2" s="5" t="s">
        <v>573</v>
      </c>
      <c r="M2" s="219" t="s">
        <v>1164</v>
      </c>
      <c r="N2" s="5" t="s">
        <v>568</v>
      </c>
      <c r="O2" s="5" t="s">
        <v>569</v>
      </c>
      <c r="P2" s="5" t="s">
        <v>570</v>
      </c>
      <c r="Q2" s="5" t="s">
        <v>571</v>
      </c>
    </row>
    <row r="3" spans="1:17">
      <c r="A3" s="5" t="s">
        <v>1</v>
      </c>
      <c r="B3" s="134">
        <f>SUMIFS('5.2 Age Profiles'!$DG:$DG,'5.2 Age Profiles'!$B:$B,Asset_Count_5.2_AgeProfile[#Headers],'5.2 Age Profiles'!$DK:$DK,Asset_Count_5.2_AgeProfile[[#This Row],[Asset Count (5.2 Age Profile)]])</f>
        <v>468899</v>
      </c>
      <c r="C3" s="134">
        <f>SUMIFS('5.2 Age Profiles'!$DG:$DG,'5.2 Age Profiles'!$B:$B,Asset_Count_5.2_AgeProfile[#Headers],'5.2 Age Profiles'!$DK:$DK,Asset_Count_5.2_AgeProfile[[#This Row],[Asset Count (5.2 Age Profile)]])</f>
        <v>1004707</v>
      </c>
      <c r="D3" s="134">
        <f>SUMIFS('5.2 Age Profiles'!$DG:$DG,'5.2 Age Profiles'!$B:$B,Asset_Count_5.2_AgeProfile[#Headers],'5.2 Age Profiles'!$DK:$DK,Asset_Count_5.2_AgeProfile[[#This Row],[Asset Count (5.2 Age Profile)]])</f>
        <v>305822</v>
      </c>
      <c r="E3" s="134">
        <f>SUMIFS('5.2 Age Profiles'!$DG:$DG,'5.2 Age Profiles'!$B:$B,Asset_Count_5.2_AgeProfile[#Headers],'5.2 Age Profiles'!$DK:$DK,Asset_Count_5.2_AgeProfile[[#This Row],[Asset Count (5.2 Age Profile)]])</f>
        <v>547567</v>
      </c>
      <c r="F3" s="134">
        <f>SUMIFS('5.2 Age Profiles'!$DG:$DG,'5.2 Age Profiles'!$B:$B,Asset_Count_5.2_AgeProfile[#Headers],'5.2 Age Profiles'!$DK:$DK,Asset_Count_5.2_AgeProfile[[#This Row],[Asset Count (5.2 Age Profile)]])</f>
        <v>372147</v>
      </c>
      <c r="G3" s="134">
        <f>SUMIFS('5.2 Age Profiles'!$DG:$DG,'5.2 Age Profiles'!$B:$B,Asset_Count_5.2_AgeProfile[#Headers],'5.2 Age Profiles'!$DK:$DK,Asset_Count_5.2_AgeProfile[[#This Row],[Asset Count (5.2 Age Profile)]])</f>
        <v>1383833.0000000002</v>
      </c>
      <c r="H3" s="134">
        <f>SUMIFS('5.2 Age Profiles'!$DG:$DG,'5.2 Age Profiles'!$B:$B,Asset_Count_5.2_AgeProfile[#Headers],'5.2 Age Profiles'!$DK:$DK,Asset_Count_5.2_AgeProfile[[#This Row],[Asset Count (5.2 Age Profile)]])</f>
        <v>1315811</v>
      </c>
      <c r="I3" s="134">
        <f>SUMIFS('5.2 Age Profiles'!$DG:$DG,'5.2 Age Profiles'!$B:$B,Asset_Count_5.2_AgeProfile[#Headers],'5.2 Age Profiles'!$DK:$DK,Asset_Count_5.2_AgeProfile[[#This Row],[Asset Count (5.2 Age Profile)]])</f>
        <v>739709</v>
      </c>
      <c r="J3" s="135">
        <f>Asset_Count_5.2_AgeProfile[[#This Row],[Powercor]]+Asset_Count_5.2_AgeProfile[[#This Row],[AusNet]]</f>
        <v>919714</v>
      </c>
      <c r="K3" s="135">
        <f>Asset_Count_5.2_AgeProfile[[#This Row],[Powercor]]+Asset_Count_5.2_AgeProfile[[#This Row],[SA Power]]</f>
        <v>1287276</v>
      </c>
      <c r="L3" s="6" t="s">
        <v>1515</v>
      </c>
      <c r="M3" s="220"/>
      <c r="N3" s="6">
        <v>44711</v>
      </c>
      <c r="O3" s="6">
        <v>71763</v>
      </c>
      <c r="P3" s="6">
        <v>154918</v>
      </c>
      <c r="Q3" s="7">
        <f>Asset_Count_5.2_AgeProfile[[#This Row],[Ausgrid]]+Asset_Count_5.2_AgeProfile[[#This Row],[Ergon]]+Asset_Count_5.2_AgeProfile[[#This Row],[CitiPower]]+Asset_Count_5.2_AgeProfile[[#This Row],[Jemena]]+Asset_Count_5.2_AgeProfile[[#This Row],[United Energy]]</f>
        <v>1744998</v>
      </c>
    </row>
    <row r="4" spans="1:17">
      <c r="A4" s="196" t="s">
        <v>1539</v>
      </c>
      <c r="B4" s="197">
        <f>SUMIFS('5.2 Age Profiles'!$DG:$DG,'5.2 Age Profiles'!$B:$B,Asset_Count_5.2_AgeProfile[#Headers],'5.2 Age Profiles'!$DK:$DK,Asset_Count_5.2_AgeProfile[[#This Row],[Asset Count (5.2 Age Profile)]])</f>
        <v>59416</v>
      </c>
      <c r="C4" s="197">
        <f>SUMIFS('5.2 Age Profiles'!$DG:$DG,'5.2 Age Profiles'!$B:$B,Asset_Count_5.2_AgeProfile[#Headers],'5.2 Age Profiles'!$DK:$DK,Asset_Count_5.2_AgeProfile[[#This Row],[Asset Count (5.2 Age Profile)]])</f>
        <v>88272</v>
      </c>
      <c r="D4" s="197">
        <f>SUMIFS('5.2 Age Profiles'!$DG:$DG,'5.2 Age Profiles'!$B:$B,Asset_Count_5.2_AgeProfile[#Headers],'5.2 Age Profiles'!$DK:$DK,Asset_Count_5.2_AgeProfile[[#This Row],[Asset Count (5.2 Age Profile)]])</f>
        <v>0</v>
      </c>
      <c r="E4" s="197">
        <f>SUMIFS('5.2 Age Profiles'!$DG:$DG,'5.2 Age Profiles'!$B:$B,Asset_Count_5.2_AgeProfile[#Headers],'5.2 Age Profiles'!$DK:$DK,Asset_Count_5.2_AgeProfile[[#This Row],[Asset Count (5.2 Age Profile)]])</f>
        <v>0</v>
      </c>
      <c r="F4" s="197">
        <f>SUMIFS('5.2 Age Profiles'!$DG:$DG,'5.2 Age Profiles'!$B:$B,Asset_Count_5.2_AgeProfile[#Headers],'5.2 Age Profiles'!$DK:$DK,Asset_Count_5.2_AgeProfile[[#This Row],[Asset Count (5.2 Age Profile)]])</f>
        <v>0</v>
      </c>
      <c r="G4" s="197">
        <f>SUMIFS('5.2 Age Profiles'!$DG:$DG,'5.2 Age Profiles'!$B:$B,Asset_Count_5.2_AgeProfile[#Headers],'5.2 Age Profiles'!$DK:$DK,Asset_Count_5.2_AgeProfile[[#This Row],[Asset Count (5.2 Age Profile)]])</f>
        <v>0</v>
      </c>
      <c r="H4" s="197">
        <f>SUMIFS('5.2 Age Profiles'!$DG:$DG,'5.2 Age Profiles'!$B:$B,Asset_Count_5.2_AgeProfile[#Headers],'5.2 Age Profiles'!$DK:$DK,Asset_Count_5.2_AgeProfile[[#This Row],[Asset Count (5.2 Age Profile)]])</f>
        <v>61672</v>
      </c>
      <c r="I4" s="197">
        <f>SUMIFS('5.2 Age Profiles'!$DG:$DG,'5.2 Age Profiles'!$B:$B,Asset_Count_5.2_AgeProfile[#Headers],'5.2 Age Profiles'!$DK:$DK,Asset_Count_5.2_AgeProfile[[#This Row],[Asset Count (5.2 Age Profile)]])</f>
        <v>0</v>
      </c>
      <c r="J4" s="198">
        <f>Asset_Count_5.2_AgeProfile[[#This Row],[Powercor]]+Asset_Count_5.2_AgeProfile[[#This Row],[AusNet]]</f>
        <v>0</v>
      </c>
      <c r="K4" s="198">
        <f>Asset_Count_5.2_AgeProfile[[#This Row],[Powercor]]+Asset_Count_5.2_AgeProfile[[#This Row],[SA Power]]</f>
        <v>0</v>
      </c>
      <c r="L4" s="199"/>
      <c r="M4" s="220"/>
      <c r="N4" s="199"/>
      <c r="O4" s="199"/>
      <c r="P4" s="199"/>
      <c r="Q4" s="200">
        <f>Asset_Count_5.2_AgeProfile[[#This Row],[Ausgrid]]+Asset_Count_5.2_AgeProfile[[#This Row],[Ergon]]+Asset_Count_5.2_AgeProfile[[#This Row],[CitiPower]]+Asset_Count_5.2_AgeProfile[[#This Row],[Jemena]]+Asset_Count_5.2_AgeProfile[[#This Row],[United Energy]]</f>
        <v>147688</v>
      </c>
    </row>
    <row r="5" spans="1:17">
      <c r="A5" s="5" t="s">
        <v>718</v>
      </c>
      <c r="B5" s="134">
        <f>SUMIFS('5.2 Age Profiles'!$DG:$DG,'5.2 Age Profiles'!$B:$B,Asset_Count_5.2_AgeProfile[#Headers],'5.2 Age Profiles'!$DK:$DK,Asset_Count_5.2_AgeProfile[[#This Row],[Asset Count (5.2 Age Profile)]])</f>
        <v>25774.4420209093</v>
      </c>
      <c r="C5" s="134">
        <f>SUMIFS('5.2 Age Profiles'!$DG:$DG,'5.2 Age Profiles'!$B:$B,Asset_Count_5.2_AgeProfile[#Headers],'5.2 Age Profiles'!$DK:$DK,Asset_Count_5.2_AgeProfile[[#This Row],[Asset Count (5.2 Age Profile)]])</f>
        <v>154563.50306842497</v>
      </c>
      <c r="D5" s="134">
        <f>SUMIFS('5.2 Age Profiles'!$DG:$DG,'5.2 Age Profiles'!$B:$B,Asset_Count_5.2_AgeProfile[#Headers],'5.2 Age Profiles'!$DK:$DK,Asset_Count_5.2_AgeProfile[[#This Row],[Asset Count (5.2 Age Profile)]])</f>
        <v>28492.71589833383</v>
      </c>
      <c r="E5" s="134">
        <f>SUMIFS('5.2 Age Profiles'!$DG:$DG,'5.2 Age Profiles'!$B:$B,Asset_Count_5.2_AgeProfile[#Headers],'5.2 Age Profiles'!$DK:$DK,Asset_Count_5.2_AgeProfile[[#This Row],[Asset Count (5.2 Age Profile)]])</f>
        <v>68843.100000000006</v>
      </c>
      <c r="F5" s="134">
        <f>SUMIFS('5.2 Age Profiles'!$DG:$DG,'5.2 Age Profiles'!$B:$B,Asset_Count_5.2_AgeProfile[#Headers],'5.2 Age Profiles'!$DK:$DK,Asset_Count_5.2_AgeProfile[[#This Row],[Asset Count (5.2 Age Profile)]])</f>
        <v>38447.877036400001</v>
      </c>
      <c r="G5" s="134">
        <f>SUMIFS('5.2 Age Profiles'!$DG:$DG,'5.2 Age Profiles'!$B:$B,Asset_Count_5.2_AgeProfile[#Headers],'5.2 Age Profiles'!$DK:$DK,Asset_Count_5.2_AgeProfile[[#This Row],[Asset Count (5.2 Age Profile)]])</f>
        <v>182790.50196235679</v>
      </c>
      <c r="H5" s="134">
        <f>SUMIFS('5.2 Age Profiles'!$DG:$DG,'5.2 Age Profiles'!$B:$B,Asset_Count_5.2_AgeProfile[#Headers],'5.2 Age Profiles'!$DK:$DK,Asset_Count_5.2_AgeProfile[[#This Row],[Asset Count (5.2 Age Profile)]])</f>
        <v>185285.31999999942</v>
      </c>
      <c r="I5" s="136">
        <f>SUMIFS('5.2 Age Profiles'!$DG:$DG,'5.2 Age Profiles'!$B:$B,Asset_Count_5.2_AgeProfile[#Headers],'5.2 Age Profiles'!$DK:$DK,Asset_Count_5.2_AgeProfile[[#This Row],[Asset Count (5.2 Age Profile)]])</f>
        <v>174266.94895712566</v>
      </c>
      <c r="J5" s="135">
        <f>Asset_Count_5.2_AgeProfile[[#This Row],[Powercor]]+Asset_Count_5.2_AgeProfile[[#This Row],[AusNet]]</f>
        <v>107290.9770364</v>
      </c>
      <c r="K5" s="135">
        <f>Asset_Count_5.2_AgeProfile[[#This Row],[Powercor]]+Asset_Count_5.2_AgeProfile[[#This Row],[SA Power]]</f>
        <v>243110.04895712566</v>
      </c>
      <c r="L5" s="6" t="s">
        <v>1515</v>
      </c>
      <c r="M5" s="220" t="s">
        <v>1341</v>
      </c>
      <c r="N5" s="6">
        <v>2233</v>
      </c>
      <c r="O5" s="6">
        <v>4456</v>
      </c>
      <c r="P5" s="6">
        <v>10144</v>
      </c>
      <c r="Q5" s="7">
        <f>Asset_Count_5.2_AgeProfile[[#This Row],[Ausgrid]]+Asset_Count_5.2_AgeProfile[[#This Row],[Ergon]]+Asset_Count_5.2_AgeProfile[[#This Row],[CitiPower]]+Asset_Count_5.2_AgeProfile[[#This Row],[Jemena]]+Asset_Count_5.2_AgeProfile[[#This Row],[United Energy]]</f>
        <v>197170.94508933427</v>
      </c>
    </row>
    <row r="6" spans="1:17">
      <c r="A6" s="5" t="s">
        <v>572</v>
      </c>
      <c r="B6" s="134">
        <f>SUMIFS('5.2 Age Profiles'!$DG:$DG,'5.2 Age Profiles'!$B:$B,Asset_Count_5.2_AgeProfile[#Headers],'5.2 Age Profiles'!$DK:$DK,Asset_Count_5.2_AgeProfile[[#This Row],[Asset Count (5.2 Age Profile)]])</f>
        <v>14768.687576771003</v>
      </c>
      <c r="C6" s="134">
        <f>SUMIFS('5.2 Age Profiles'!$DG:$DG,'5.2 Age Profiles'!$B:$B,Asset_Count_5.2_AgeProfile[#Headers],'5.2 Age Profiles'!$DK:$DK,Asset_Count_5.2_AgeProfile[[#This Row],[Asset Count (5.2 Age Profile)]])</f>
        <v>8177.8067673210016</v>
      </c>
      <c r="D6" s="134">
        <f>SUMIFS('5.2 Age Profiles'!$DG:$DG,'5.2 Age Profiles'!$B:$B,Asset_Count_5.2_AgeProfile[#Headers],'5.2 Age Profiles'!$DK:$DK,Asset_Count_5.2_AgeProfile[[#This Row],[Asset Count (5.2 Age Profile)]])</f>
        <v>15812.198958999998</v>
      </c>
      <c r="E6" s="134">
        <f>SUMIFS('5.2 Age Profiles'!$DG:$DG,'5.2 Age Profiles'!$B:$B,Asset_Count_5.2_AgeProfile[#Headers],'5.2 Age Profiles'!$DK:$DK,Asset_Count_5.2_AgeProfile[[#This Row],[Asset Count (5.2 Age Profile)]])</f>
        <v>6245.1299999999983</v>
      </c>
      <c r="F6" s="134">
        <f>SUMIFS('5.2 Age Profiles'!$DG:$DG,'5.2 Age Profiles'!$B:$B,Asset_Count_5.2_AgeProfile[#Headers],'5.2 Age Profiles'!$DK:$DK,Asset_Count_5.2_AgeProfile[[#This Row],[Asset Count (5.2 Age Profile)]])</f>
        <v>6168.5001710399993</v>
      </c>
      <c r="G6" s="134">
        <f>SUMIFS('5.2 Age Profiles'!$DG:$DG,'5.2 Age Profiles'!$B:$B,Asset_Count_5.2_AgeProfile[#Headers],'5.2 Age Profiles'!$DK:$DK,Asset_Count_5.2_AgeProfile[[#This Row],[Asset Count (5.2 Age Profile)]])</f>
        <v>7467.6103900177068</v>
      </c>
      <c r="H6" s="134">
        <f>SUMIFS('5.2 Age Profiles'!$DG:$DG,'5.2 Age Profiles'!$B:$B,Asset_Count_5.2_AgeProfile[#Headers],'5.2 Age Profiles'!$DK:$DK,Asset_Count_5.2_AgeProfile[[#This Row],[Asset Count (5.2 Age Profile)]])</f>
        <v>8137.5100000001057</v>
      </c>
      <c r="I6" s="134">
        <f>SUMIFS('5.2 Age Profiles'!$DG:$DG,'5.2 Age Profiles'!$B:$B,Asset_Count_5.2_AgeProfile[#Headers],'5.2 Age Profiles'!$DK:$DK,Asset_Count_5.2_AgeProfile[[#This Row],[Asset Count (5.2 Age Profile)]])</f>
        <v>16731.373227180004</v>
      </c>
      <c r="J6" s="135">
        <f>Asset_Count_5.2_AgeProfile[[#This Row],[Powercor]]+Asset_Count_5.2_AgeProfile[[#This Row],[AusNet]]</f>
        <v>12413.630171039997</v>
      </c>
      <c r="K6" s="135">
        <f>Asset_Count_5.2_AgeProfile[[#This Row],[Powercor]]+Asset_Count_5.2_AgeProfile[[#This Row],[SA Power]]</f>
        <v>22976.503227180001</v>
      </c>
      <c r="L6" s="6" t="s">
        <v>1515</v>
      </c>
      <c r="M6" s="220"/>
      <c r="N6" s="6">
        <v>2136</v>
      </c>
      <c r="O6" s="6">
        <v>1344</v>
      </c>
      <c r="P6" s="6">
        <v>2318</v>
      </c>
      <c r="Q6" s="7">
        <f>Asset_Count_5.2_AgeProfile[[#This Row],[Ausgrid]]+Asset_Count_5.2_AgeProfile[[#This Row],[Ergon]]+Asset_Count_5.2_AgeProfile[[#This Row],[CitiPower]]+Asset_Count_5.2_AgeProfile[[#This Row],[Jemena]]+Asset_Count_5.2_AgeProfile[[#This Row],[United Energy]]</f>
        <v>28744.494344092003</v>
      </c>
    </row>
    <row r="7" spans="1:17">
      <c r="A7" s="5" t="s">
        <v>4</v>
      </c>
      <c r="B7" s="134">
        <f>SUMIFS('5.2 Age Profiles'!$DG:$DG,'5.2 Age Profiles'!$B:$B,Asset_Count_5.2_AgeProfile[#Headers],'5.2 Age Profiles'!$DK:$DK,Asset_Count_5.2_AgeProfile[[#This Row],[Asset Count (5.2 Age Profile)]])</f>
        <v>32415</v>
      </c>
      <c r="C7" s="134">
        <f>SUMIFS('5.2 Age Profiles'!$DG:$DG,'5.2 Age Profiles'!$B:$B,Asset_Count_5.2_AgeProfile[#Headers],'5.2 Age Profiles'!$DK:$DK,Asset_Count_5.2_AgeProfile[[#This Row],[Asset Count (5.2 Age Profile)]])</f>
        <v>96984</v>
      </c>
      <c r="D7" s="134">
        <f>SUMIFS('5.2 Age Profiles'!$DG:$DG,'5.2 Age Profiles'!$B:$B,Asset_Count_5.2_AgeProfile[#Headers],'5.2 Age Profiles'!$DK:$DK,Asset_Count_5.2_AgeProfile[[#This Row],[Asset Count (5.2 Age Profile)]])</f>
        <v>29721</v>
      </c>
      <c r="E7" s="134">
        <f>SUMIFS('5.2 Age Profiles'!$DG:$DG,'5.2 Age Profiles'!$B:$B,Asset_Count_5.2_AgeProfile[#Headers],'5.2 Age Profiles'!$DK:$DK,Asset_Count_5.2_AgeProfile[[#This Row],[Asset Count (5.2 Age Profile)]])</f>
        <v>84144</v>
      </c>
      <c r="F7" s="134">
        <f>SUMIFS('5.2 Age Profiles'!$DG:$DG,'5.2 Age Profiles'!$B:$B,Asset_Count_5.2_AgeProfile[#Headers],'5.2 Age Profiles'!$DK:$DK,Asset_Count_5.2_AgeProfile[[#This Row],[Asset Count (5.2 Age Profile)]])</f>
        <v>58380</v>
      </c>
      <c r="G7" s="136">
        <f>SUMIFS('5.2 Age Profiles'!$DG:$DG,'5.2 Age Profiles'!$B:$B,Asset_Count_5.2_AgeProfile[#Headers],'5.2 Age Profiles'!$DK:$DK,Asset_Count_5.2_AgeProfile[[#This Row],[Asset Count (5.2 Age Profile)]])</f>
        <v>135371.99999999997</v>
      </c>
      <c r="H7" s="135">
        <f>SUMIFS('5.2 Age Profiles'!$DG:$DG,'5.2 Age Profiles'!$B:$B,Asset_Count_5.2_AgeProfile[#Headers],'5.2 Age Profiles'!$DK:$DK,Asset_Count_5.2_AgeProfile[[#This Row],[Asset Count (5.2 Age Profile)]])</f>
        <v>136125</v>
      </c>
      <c r="I7" s="135">
        <f>SUMIFS('5.2 Age Profiles'!$DG:$DG,'5.2 Age Profiles'!$B:$B,Asset_Count_5.2_AgeProfile[#Headers],'5.2 Age Profiles'!$DK:$DK,Asset_Count_5.2_AgeProfile[[#This Row],[Asset Count (5.2 Age Profile)]])</f>
        <v>74305</v>
      </c>
      <c r="J7" s="135">
        <f>Asset_Count_5.2_AgeProfile[[#This Row],[Powercor]]+Asset_Count_5.2_AgeProfile[[#This Row],[AusNet]]</f>
        <v>142524</v>
      </c>
      <c r="K7" s="135">
        <f>Asset_Count_5.2_AgeProfile[[#This Row],[Powercor]]+Asset_Count_5.2_AgeProfile[[#This Row],[SA Power]]</f>
        <v>158449</v>
      </c>
      <c r="L7" s="61" t="s">
        <v>1515</v>
      </c>
      <c r="M7" s="220" t="s">
        <v>1210</v>
      </c>
      <c r="N7" s="6" t="s">
        <v>1139</v>
      </c>
      <c r="O7" s="6" t="s">
        <v>1139</v>
      </c>
      <c r="P7" s="6" t="s">
        <v>1139</v>
      </c>
      <c r="Q7" s="7" t="s">
        <v>1139</v>
      </c>
    </row>
    <row r="8" spans="1:17">
      <c r="A8" s="177" t="s">
        <v>1530</v>
      </c>
      <c r="B8" s="178">
        <f>SUMIFS('5.2 Age Profiles'!$DG:$DG,'5.2 Age Profiles'!$B:$B,Asset_Count_5.2_AgeProfile[#Headers],'5.2 Age Profiles'!$DK:$DK,Asset_Count_5.2_AgeProfile[[#This Row],[Asset Count (5.2 Age Profile)]])</f>
        <v>587</v>
      </c>
      <c r="C8" s="178">
        <f>SUMIFS('5.2 Age Profiles'!$DG:$DG,'5.2 Age Profiles'!$B:$B,Asset_Count_5.2_AgeProfile[#Headers],'5.2 Age Profiles'!$DK:$DK,Asset_Count_5.2_AgeProfile[[#This Row],[Asset Count (5.2 Age Profile)]])</f>
        <v>671</v>
      </c>
      <c r="D8" s="178">
        <f>SUMIFS('5.2 Age Profiles'!$DG:$DG,'5.2 Age Profiles'!$B:$B,Asset_Count_5.2_AgeProfile[#Headers],'5.2 Age Profiles'!$DK:$DK,Asset_Count_5.2_AgeProfile[[#This Row],[Asset Count (5.2 Age Profile)]])</f>
        <v>455</v>
      </c>
      <c r="E8" s="178">
        <f>SUMIFS('5.2 Age Profiles'!$DG:$DG,'5.2 Age Profiles'!$B:$B,Asset_Count_5.2_AgeProfile[#Headers],'5.2 Age Profiles'!$DK:$DK,Asset_Count_5.2_AgeProfile[[#This Row],[Asset Count (5.2 Age Profile)]])</f>
        <v>140</v>
      </c>
      <c r="F8" s="178">
        <f>SUMIFS('5.2 Age Profiles'!$DG:$DG,'5.2 Age Profiles'!$B:$B,Asset_Count_5.2_AgeProfile[#Headers],'5.2 Age Profiles'!$DK:$DK,Asset_Count_5.2_AgeProfile[[#This Row],[Asset Count (5.2 Age Profile)]])</f>
        <v>156</v>
      </c>
      <c r="G8" s="179">
        <f>SUMIFS('5.2 Age Profiles'!$DG:$DG,'5.2 Age Profiles'!$B:$B,Asset_Count_5.2_AgeProfile[#Headers],'5.2 Age Profiles'!$DK:$DK,Asset_Count_5.2_AgeProfile[[#This Row],[Asset Count (5.2 Age Profile)]])</f>
        <v>1034</v>
      </c>
      <c r="H8" s="179">
        <f>SUMIFS('5.2 Age Profiles'!$DG:$DG,'5.2 Age Profiles'!$B:$B,Asset_Count_5.2_AgeProfile[#Headers],'5.2 Age Profiles'!$DK:$DK,Asset_Count_5.2_AgeProfile[[#This Row],[Asset Count (5.2 Age Profile)]])</f>
        <v>1085</v>
      </c>
      <c r="I8" s="179">
        <f>SUMIFS('5.2 Age Profiles'!$DG:$DG,'5.2 Age Profiles'!$B:$B,Asset_Count_5.2_AgeProfile[#Headers],'5.2 Age Profiles'!$DK:$DK,Asset_Count_5.2_AgeProfile[[#This Row],[Asset Count (5.2 Age Profile)]])</f>
        <v>737</v>
      </c>
      <c r="J8" s="179">
        <f>Asset_Count_5.2_AgeProfile[[#This Row],[Powercor]]+Asset_Count_5.2_AgeProfile[[#This Row],[AusNet]]</f>
        <v>296</v>
      </c>
      <c r="K8" s="179">
        <f>Asset_Count_5.2_AgeProfile[[#This Row],[Powercor]]+Asset_Count_5.2_AgeProfile[[#This Row],[SA Power]]</f>
        <v>877</v>
      </c>
      <c r="L8" s="180"/>
      <c r="M8" s="220" t="s">
        <v>1531</v>
      </c>
      <c r="N8" s="181"/>
      <c r="O8" s="181"/>
      <c r="P8" s="181"/>
      <c r="Q8" s="182">
        <f>Asset_Count_5.2_AgeProfile[[#This Row],[Ausgrid]]+Asset_Count_5.2_AgeProfile[[#This Row],[Ergon]]+Asset_Count_5.2_AgeProfile[[#This Row],[CitiPower]]+Asset_Count_5.2_AgeProfile[[#This Row],[Jemena]]+Asset_Count_5.2_AgeProfile[[#This Row],[United Energy]]</f>
        <v>1258</v>
      </c>
    </row>
    <row r="9" spans="1:17">
      <c r="A9" s="5" t="s">
        <v>719</v>
      </c>
      <c r="B9" s="136">
        <f>SUMIFS('5.2 Age Profiles'!$DG:$DG,'5.2 Age Profiles'!$B:$B,Asset_Count_5.2_AgeProfile[#Headers],'5.2 Age Profiles'!$DK:$DK,Asset_Count_5.2_AgeProfile[[#This Row],[Asset Count (5.2 Age Profile)]])</f>
        <v>983994</v>
      </c>
      <c r="C9" s="136">
        <f>SUMIFS('5.2 Age Profiles'!$DG:$DG,'5.2 Age Profiles'!$B:$B,Asset_Count_5.2_AgeProfile[#Headers],'5.2 Age Profiles'!$DK:$DK,Asset_Count_5.2_AgeProfile[[#This Row],[Asset Count (5.2 Age Profile)]])</f>
        <v>406976.00000025687</v>
      </c>
      <c r="D9" s="136">
        <f>SUMIFS('5.2 Age Profiles'!$DG:$DG,'5.2 Age Profiles'!$B:$B,Asset_Count_5.2_AgeProfile[#Headers],'5.2 Age Profiles'!$DK:$DK,Asset_Count_5.2_AgeProfile[[#This Row],[Asset Count (5.2 Age Profile)]])</f>
        <v>704125</v>
      </c>
      <c r="E9" s="134">
        <f>SUMIFS('5.2 Age Profiles'!$DG:$DG,'5.2 Age Profiles'!$B:$B,Asset_Count_5.2_AgeProfile[#Headers],'5.2 Age Profiles'!$DK:$DK,Asset_Count_5.2_AgeProfile[[#This Row],[Asset Count (5.2 Age Profile)]])</f>
        <v>10786.220000000001</v>
      </c>
      <c r="F9" s="134">
        <f>SUMIFS('5.2 Age Profiles'!$DG:$DG,'5.2 Age Profiles'!$B:$B,Asset_Count_5.2_AgeProfile[#Headers],'5.2 Age Profiles'!$DK:$DK,Asset_Count_5.2_AgeProfile[[#This Row],[Asset Count (5.2 Age Profile)]])</f>
        <v>7621.98</v>
      </c>
      <c r="G9" s="134">
        <f>SUMIFS('5.2 Age Profiles'!$DG:$DG,'5.2 Age Profiles'!$B:$B,Asset_Count_5.2_AgeProfile[#Headers],'5.2 Age Profiles'!$DK:$DK,Asset_Count_5.2_AgeProfile[[#This Row],[Asset Count (5.2 Age Profile)]])</f>
        <v>13367.722145196598</v>
      </c>
      <c r="H9" s="134">
        <f>SUMIFS('5.2 Age Profiles'!$DG:$DG,'5.2 Age Profiles'!$B:$B,Asset_Count_5.2_AgeProfile[#Headers],'5.2 Age Profiles'!$DK:$DK,Asset_Count_5.2_AgeProfile[[#This Row],[Asset Count (5.2 Age Profile)]])</f>
        <v>16418.771164142265</v>
      </c>
      <c r="I9" s="136">
        <f>SUMIFS('5.2 Age Profiles'!$DG:$DG,'5.2 Age Profiles'!$B:$B,Asset_Count_5.2_AgeProfile[#Headers],'5.2 Age Profiles'!$DK:$DK,Asset_Count_5.2_AgeProfile[[#This Row],[Asset Count (5.2 Age Profile)]])</f>
        <v>736831</v>
      </c>
      <c r="J9" s="135">
        <f>Asset_Count_5.2_AgeProfile[[#This Row],[Powercor]]+Asset_Count_5.2_AgeProfile[[#This Row],[AusNet]]</f>
        <v>18408.2</v>
      </c>
      <c r="K9" s="135">
        <f>Asset_Count_5.2_AgeProfile[[#This Row],[Powercor]]+Asset_Count_5.2_AgeProfile[[#This Row],[SA Power]]</f>
        <v>747617.22</v>
      </c>
      <c r="L9" s="6" t="s">
        <v>1515</v>
      </c>
      <c r="M9" s="220" t="s">
        <v>1309</v>
      </c>
      <c r="N9" s="6" t="s">
        <v>1139</v>
      </c>
      <c r="O9" s="6" t="s">
        <v>1139</v>
      </c>
      <c r="P9" s="6" t="s">
        <v>1139</v>
      </c>
      <c r="Q9" s="7" t="s">
        <v>1139</v>
      </c>
    </row>
    <row r="10" spans="1:17" s="44" customFormat="1">
      <c r="A10" s="5" t="s">
        <v>2</v>
      </c>
      <c r="B10" s="134">
        <f>SUMIFS('5.2 Age Profiles'!$DG:$DG,'5.2 Age Profiles'!$B:$B,Asset_Count_5.2_AgeProfile[#Headers],'5.2 Age Profiles'!$DK:$DK,Asset_Count_5.2_AgeProfile[[#This Row],[Asset Count (5.2 Age Profile)]])</f>
        <v>139139</v>
      </c>
      <c r="C10" s="134">
        <f>SUMIFS('5.2 Age Profiles'!$DG:$DG,'5.2 Age Profiles'!$B:$B,Asset_Count_5.2_AgeProfile[#Headers],'5.2 Age Profiles'!$DK:$DK,Asset_Count_5.2_AgeProfile[[#This Row],[Asset Count (5.2 Age Profile)]])</f>
        <v>279207.00000011397</v>
      </c>
      <c r="D10" s="134">
        <f>SUMIFS('5.2 Age Profiles'!$DG:$DG,'5.2 Age Profiles'!$B:$B,Asset_Count_5.2_AgeProfile[#Headers],'5.2 Age Profiles'!$DK:$DK,Asset_Count_5.2_AgeProfile[[#This Row],[Asset Count (5.2 Age Profile)]])</f>
        <v>70448</v>
      </c>
      <c r="E10" s="134">
        <f>SUMIFS('5.2 Age Profiles'!$DG:$DG,'5.2 Age Profiles'!$B:$B,Asset_Count_5.2_AgeProfile[#Headers],'5.2 Age Profiles'!$DK:$DK,Asset_Count_5.2_AgeProfile[[#This Row],[Asset Count (5.2 Age Profile)]])</f>
        <v>343055</v>
      </c>
      <c r="F10" s="134">
        <f>SUMIFS('5.2 Age Profiles'!$DG:$DG,'5.2 Age Profiles'!$B:$B,Asset_Count_5.2_AgeProfile[#Headers],'5.2 Age Profiles'!$DK:$DK,Asset_Count_5.2_AgeProfile[[#This Row],[Asset Count (5.2 Age Profile)]])</f>
        <v>112469</v>
      </c>
      <c r="G10" s="134">
        <f>SUMIFS('5.2 Age Profiles'!$DG:$DG,'5.2 Age Profiles'!$B:$B,Asset_Count_5.2_AgeProfile[#Headers],'5.2 Age Profiles'!$DK:$DK,Asset_Count_5.2_AgeProfile[[#This Row],[Asset Count (5.2 Age Profile)]])</f>
        <v>462447</v>
      </c>
      <c r="H10" s="134">
        <f>SUMIFS('5.2 Age Profiles'!$DG:$DG,'5.2 Age Profiles'!$B:$B,Asset_Count_5.2_AgeProfile[#Headers],'5.2 Age Profiles'!$DK:$DK,Asset_Count_5.2_AgeProfile[[#This Row],[Asset Count (5.2 Age Profile)]])</f>
        <v>469243</v>
      </c>
      <c r="I10" s="136">
        <f>SUMIFS('5.2 Age Profiles'!$DG:$DG,'5.2 Age Profiles'!$B:$B,Asset_Count_5.2_AgeProfile[#Headers],'5.2 Age Profiles'!$DK:$DK,Asset_Count_5.2_AgeProfile[[#This Row],[Asset Count (5.2 Age Profile)]])</f>
        <v>14045</v>
      </c>
      <c r="J10" s="135">
        <f>Asset_Count_5.2_AgeProfile[[#This Row],[Powercor]]+Asset_Count_5.2_AgeProfile[[#This Row],[AusNet]]</f>
        <v>455524</v>
      </c>
      <c r="K10" s="135">
        <f>Asset_Count_5.2_AgeProfile[[#This Row],[Powercor]]+Asset_Count_5.2_AgeProfile[[#This Row],[SA Power]]</f>
        <v>357100</v>
      </c>
      <c r="L10" s="6" t="s">
        <v>1515</v>
      </c>
      <c r="M10" s="220" t="s">
        <v>1317</v>
      </c>
      <c r="N10" s="6" t="s">
        <v>1139</v>
      </c>
      <c r="O10" s="6" t="s">
        <v>1139</v>
      </c>
      <c r="P10" s="6" t="s">
        <v>1139</v>
      </c>
      <c r="Q10" s="7" t="s">
        <v>1139</v>
      </c>
    </row>
    <row r="11" spans="1:17">
      <c r="A11" s="5" t="s">
        <v>1524</v>
      </c>
      <c r="B11" s="134">
        <f>SUMIFS('5.2 Age Profiles'!$DG:$DG,'5.2 Age Profiles'!$B:$B,Asset_Count_5.2_AgeProfile[#Headers],'5.2 Age Profiles'!$DK:$DK,Asset_Count_5.2_AgeProfile[[#This Row],[Asset Count (5.2 Age Profile)]])</f>
        <v>238078</v>
      </c>
      <c r="C11" s="134">
        <f>SUMIFS('5.2 Age Profiles'!$DG:$DG,'5.2 Age Profiles'!$B:$B,Asset_Count_5.2_AgeProfile[#Headers],'5.2 Age Profiles'!$DK:$DK,Asset_Count_5.2_AgeProfile[[#This Row],[Asset Count (5.2 Age Profile)]])</f>
        <v>97634</v>
      </c>
      <c r="D11" s="134">
        <f>SUMIFS('5.2 Age Profiles'!$DG:$DG,'5.2 Age Profiles'!$B:$B,Asset_Count_5.2_AgeProfile[#Headers],'5.2 Age Profiles'!$DK:$DK,Asset_Count_5.2_AgeProfile[[#This Row],[Asset Count (5.2 Age Profile)]])</f>
        <v>196347</v>
      </c>
      <c r="E11" s="134">
        <f>SUMIFS('5.2 Age Profiles'!$DG:$DG,'5.2 Age Profiles'!$B:$B,Asset_Count_5.2_AgeProfile[#Headers],'5.2 Age Profiles'!$DK:$DK,Asset_Count_5.2_AgeProfile[[#This Row],[Asset Count (5.2 Age Profile)]])</f>
        <v>156598</v>
      </c>
      <c r="F11" s="134">
        <f>SUMIFS('5.2 Age Profiles'!$DG:$DG,'5.2 Age Profiles'!$B:$B,Asset_Count_5.2_AgeProfile[#Headers],'5.2 Age Profiles'!$DK:$DK,Asset_Count_5.2_AgeProfile[[#This Row],[Asset Count (5.2 Age Profile)]])</f>
        <v>96282.000000000029</v>
      </c>
      <c r="G11" s="134">
        <f>SUMIFS('5.2 Age Profiles'!$DG:$DG,'5.2 Age Profiles'!$B:$B,Asset_Count_5.2_AgeProfile[#Headers],'5.2 Age Profiles'!$DK:$DK,Asset_Count_5.2_AgeProfile[[#This Row],[Asset Count (5.2 Age Profile)]])</f>
        <v>149306.99999999997</v>
      </c>
      <c r="H11" s="134">
        <f>SUMIFS('5.2 Age Profiles'!$DG:$DG,'5.2 Age Profiles'!$B:$B,Asset_Count_5.2_AgeProfile[#Headers],'5.2 Age Profiles'!$DK:$DK,Asset_Count_5.2_AgeProfile[[#This Row],[Asset Count (5.2 Age Profile)]])</f>
        <v>149308</v>
      </c>
      <c r="I11" s="134">
        <f>SUMIFS('5.2 Age Profiles'!$DG:$DG,'5.2 Age Profiles'!$B:$B,Asset_Count_5.2_AgeProfile[#Headers],'5.2 Age Profiles'!$DK:$DK,Asset_Count_5.2_AgeProfile[[#This Row],[Asset Count (5.2 Age Profile)]])</f>
        <v>0</v>
      </c>
      <c r="J11" s="135">
        <f>Asset_Count_5.2_AgeProfile[[#This Row],[Powercor]]+Asset_Count_5.2_AgeProfile[[#This Row],[AusNet]]</f>
        <v>252880.00000000003</v>
      </c>
      <c r="K11" s="135">
        <f>Asset_Count_5.2_AgeProfile[[#This Row],[Powercor]]+Asset_Count_5.2_AgeProfile[[#This Row],[SA Power]]</f>
        <v>156598</v>
      </c>
      <c r="L11" s="6" t="s">
        <v>1515</v>
      </c>
      <c r="M11" s="220"/>
      <c r="N11" s="6" t="s">
        <v>1139</v>
      </c>
      <c r="O11" s="6" t="s">
        <v>1139</v>
      </c>
      <c r="P11" s="6" t="s">
        <v>1139</v>
      </c>
      <c r="Q11" s="7" t="s">
        <v>1139</v>
      </c>
    </row>
    <row r="12" spans="1:17" s="44" customFormat="1">
      <c r="A12" s="5" t="s">
        <v>659</v>
      </c>
      <c r="B12" s="136">
        <f>SUMIFS('5.2 Age Profiles'!$DG:$DG,'5.2 Age Profiles'!$B:$B,Asset_Count_5.2_AgeProfile[#Headers],'5.2 Age Profiles'!$DK:$DK,Asset_Count_5.2_AgeProfile[[#This Row],[Asset Count (5.2 Age Profile)]])</f>
        <v>139557.30263424001</v>
      </c>
      <c r="C12" s="136">
        <f>SUMIFS('5.2 Age Profiles'!$DG:$DG,'5.2 Age Profiles'!$B:$B,Asset_Count_5.2_AgeProfile[#Headers],'5.2 Age Profiles'!$DK:$DK,Asset_Count_5.2_AgeProfile[[#This Row],[Asset Count (5.2 Age Profile)]])</f>
        <v>40559.099999999991</v>
      </c>
      <c r="D12" s="134">
        <f>SUMIFS('5.2 Age Profiles'!$DG:$DG,'5.2 Age Profiles'!$B:$B,Asset_Count_5.2_AgeProfile[#Headers],'5.2 Age Profiles'!$DK:$DK,Asset_Count_5.2_AgeProfile[[#This Row],[Asset Count (5.2 Age Profile)]])</f>
        <v>2349</v>
      </c>
      <c r="E12" s="134">
        <f>SUMIFS('5.2 Age Profiles'!$DG:$DG,'5.2 Age Profiles'!$B:$B,Asset_Count_5.2_AgeProfile[#Headers],'5.2 Age Profiles'!$DK:$DK,Asset_Count_5.2_AgeProfile[[#This Row],[Asset Count (5.2 Age Profile)]])</f>
        <v>7059</v>
      </c>
      <c r="F12" s="135">
        <f>SUMIFS('5.2 Age Profiles'!$DG:$DG,'5.2 Age Profiles'!$B:$B,Asset_Count_5.2_AgeProfile[#Headers],'5.2 Age Profiles'!$DK:$DK,Asset_Count_5.2_AgeProfile[[#This Row],[Asset Count (5.2 Age Profile)]])</f>
        <v>10455</v>
      </c>
      <c r="G12" s="134">
        <f>SUMIFS('5.2 Age Profiles'!$DG:$DG,'5.2 Age Profiles'!$B:$B,Asset_Count_5.2_AgeProfile[#Headers],'5.2 Age Profiles'!$DK:$DK,Asset_Count_5.2_AgeProfile[[#This Row],[Asset Count (5.2 Age Profile)]])</f>
        <v>884</v>
      </c>
      <c r="H12" s="134">
        <f>SUMIFS('5.2 Age Profiles'!$DG:$DG,'5.2 Age Profiles'!$B:$B,Asset_Count_5.2_AgeProfile[#Headers],'5.2 Age Profiles'!$DK:$DK,Asset_Count_5.2_AgeProfile[[#This Row],[Asset Count (5.2 Age Profile)]])</f>
        <v>884</v>
      </c>
      <c r="I12" s="134">
        <f>SUMIFS('5.2 Age Profiles'!$DG:$DG,'5.2 Age Profiles'!$B:$B,Asset_Count_5.2_AgeProfile[#Headers],'5.2 Age Profiles'!$DK:$DK,Asset_Count_5.2_AgeProfile[[#This Row],[Asset Count (5.2 Age Profile)]])</f>
        <v>17147.169999999998</v>
      </c>
      <c r="J12" s="135">
        <f>Asset_Count_5.2_AgeProfile[[#This Row],[Powercor]]+Asset_Count_5.2_AgeProfile[[#This Row],[AusNet]]</f>
        <v>17514</v>
      </c>
      <c r="K12" s="135">
        <f>Asset_Count_5.2_AgeProfile[[#This Row],[Powercor]]+Asset_Count_5.2_AgeProfile[[#This Row],[SA Power]]</f>
        <v>24206.17</v>
      </c>
      <c r="L12" s="6" t="s">
        <v>1515</v>
      </c>
      <c r="M12" s="220" t="s">
        <v>1216</v>
      </c>
      <c r="N12" s="6"/>
      <c r="O12" s="6"/>
      <c r="P12" s="6"/>
      <c r="Q12" s="7">
        <f>Asset_Count_5.2_AgeProfile[[#This Row],[Ausgrid]]+Asset_Count_5.2_AgeProfile[[#This Row],[Ergon]]+Asset_Count_5.2_AgeProfile[[#This Row],[CitiPower]]+Asset_Count_5.2_AgeProfile[[#This Row],[Jemena]]+Asset_Count_5.2_AgeProfile[[#This Row],[United Energy]]</f>
        <v>180116.40263423999</v>
      </c>
    </row>
    <row r="13" spans="1:17">
      <c r="A13" s="5" t="s">
        <v>720</v>
      </c>
      <c r="B13" s="134">
        <f>SUMIFS('5.2 Age Profiles'!$DG:$DG,'5.2 Age Profiles'!$B:$B,Asset_Count_5.2_AgeProfile[#Headers],'5.2 Age Profiles'!$DK:$DK,Asset_Count_5.2_AgeProfile[[#This Row],[Asset Count (5.2 Age Profile)]])</f>
        <v>2447634</v>
      </c>
      <c r="C13" s="134">
        <f>SUMIFS('5.2 Age Profiles'!$DG:$DG,'5.2 Age Profiles'!$B:$B,Asset_Count_5.2_AgeProfile[#Headers],'5.2 Age Profiles'!$DK:$DK,Asset_Count_5.2_AgeProfile[[#This Row],[Asset Count (5.2 Age Profile)]])</f>
        <v>8409</v>
      </c>
      <c r="D13" s="134">
        <f>SUMIFS('5.2 Age Profiles'!$DG:$DG,'5.2 Age Profiles'!$B:$B,Asset_Count_5.2_AgeProfile[#Headers],'5.2 Age Profiles'!$DK:$DK,Asset_Count_5.2_AgeProfile[[#This Row],[Asset Count (5.2 Age Profile)]])</f>
        <v>31919.38</v>
      </c>
      <c r="E13" s="134">
        <f>SUMIFS('5.2 Age Profiles'!$DG:$DG,'5.2 Age Profiles'!$B:$B,Asset_Count_5.2_AgeProfile[#Headers],'5.2 Age Profiles'!$DK:$DK,Asset_Count_5.2_AgeProfile[[#This Row],[Asset Count (5.2 Age Profile)]])</f>
        <v>0</v>
      </c>
      <c r="F13" s="134">
        <f>SUMIFS('5.2 Age Profiles'!$DG:$DG,'5.2 Age Profiles'!$B:$B,Asset_Count_5.2_AgeProfile[#Headers],'5.2 Age Profiles'!$DK:$DK,Asset_Count_5.2_AgeProfile[[#This Row],[Asset Count (5.2 Age Profile)]])</f>
        <v>3640</v>
      </c>
      <c r="G13" s="134">
        <f>SUMIFS('5.2 Age Profiles'!$DG:$DG,'5.2 Age Profiles'!$B:$B,Asset_Count_5.2_AgeProfile[#Headers],'5.2 Age Profiles'!$DK:$DK,Asset_Count_5.2_AgeProfile[[#This Row],[Asset Count (5.2 Age Profile)]])</f>
        <v>1459798</v>
      </c>
      <c r="H13" s="134">
        <f>SUMIFS('5.2 Age Profiles'!$DG:$DG,'5.2 Age Profiles'!$B:$B,Asset_Count_5.2_AgeProfile[#Headers],'5.2 Age Profiles'!$DK:$DK,Asset_Count_5.2_AgeProfile[[#This Row],[Asset Count (5.2 Age Profile)]])</f>
        <v>1457634</v>
      </c>
      <c r="I13" s="134">
        <f>SUMIFS('5.2 Age Profiles'!$DG:$DG,'5.2 Age Profiles'!$B:$B,Asset_Count_5.2_AgeProfile[#Headers],'5.2 Age Profiles'!$DK:$DK,Asset_Count_5.2_AgeProfile[[#This Row],[Asset Count (5.2 Age Profile)]])</f>
        <v>0</v>
      </c>
      <c r="J13" s="135">
        <f>Asset_Count_5.2_AgeProfile[[#This Row],[Powercor]]+Asset_Count_5.2_AgeProfile[[#This Row],[AusNet]]</f>
        <v>3640</v>
      </c>
      <c r="K13" s="135">
        <f>Asset_Count_5.2_AgeProfile[[#This Row],[Powercor]]+Asset_Count_5.2_AgeProfile[[#This Row],[SA Power]]</f>
        <v>0</v>
      </c>
      <c r="L13" s="6" t="s">
        <v>1515</v>
      </c>
      <c r="M13" s="220"/>
      <c r="N13" s="6" t="s">
        <v>1139</v>
      </c>
      <c r="O13" s="6" t="s">
        <v>1139</v>
      </c>
      <c r="P13" s="6" t="s">
        <v>1139</v>
      </c>
      <c r="Q13" s="7" t="s">
        <v>1139</v>
      </c>
    </row>
    <row r="14" spans="1:17">
      <c r="A14" s="202"/>
      <c r="B14" s="203"/>
      <c r="C14" s="203"/>
      <c r="D14" s="203"/>
      <c r="E14" s="203"/>
      <c r="F14" s="203"/>
      <c r="G14" s="203"/>
      <c r="H14" s="203"/>
      <c r="I14" s="203"/>
      <c r="J14" s="204"/>
      <c r="K14" s="204"/>
      <c r="L14" s="205"/>
      <c r="N14" s="206"/>
      <c r="O14" s="205"/>
      <c r="P14" s="205"/>
      <c r="Q14" s="206"/>
    </row>
    <row r="15" spans="1:17" ht="18.75">
      <c r="A15" s="77" t="str">
        <f>A16</f>
        <v>Asset Count (2.2.2 REPEX)</v>
      </c>
      <c r="M15" s="222" t="s">
        <v>1384</v>
      </c>
    </row>
    <row r="16" spans="1:17" ht="30">
      <c r="A16" t="s">
        <v>1339</v>
      </c>
      <c r="B16" s="31" t="s">
        <v>574</v>
      </c>
      <c r="C16" s="31" t="s">
        <v>1147</v>
      </c>
      <c r="D16" s="31" t="s">
        <v>575</v>
      </c>
      <c r="E16" s="31" t="s">
        <v>310</v>
      </c>
      <c r="F16" s="31" t="s">
        <v>1674</v>
      </c>
      <c r="G16" s="31" t="s">
        <v>1560</v>
      </c>
      <c r="H16" s="141" t="s">
        <v>0</v>
      </c>
      <c r="I16" s="31" t="s">
        <v>1218</v>
      </c>
      <c r="J16" s="31" t="s">
        <v>1675</v>
      </c>
      <c r="K16" s="31" t="s">
        <v>1676</v>
      </c>
      <c r="L16" t="s">
        <v>573</v>
      </c>
      <c r="M16" s="221" t="s">
        <v>1335</v>
      </c>
    </row>
    <row r="17" spans="1:18">
      <c r="A17" t="s">
        <v>1</v>
      </c>
      <c r="B17" s="129">
        <f>SUMIFS('2.2.2 REPEX'!$D:$D,'2.2.2 REPEX'!$J:$J,Table27[#Headers],'2.2.2 REPEX'!$K:$K,Table27[[#This Row],[Asset Count (2.2.2 REPEX)]],'2.2.2 REPEX'!$L:$L,Table27[[#This Row],[Metric]])</f>
        <v>480109</v>
      </c>
      <c r="C17" s="129">
        <f>SUMIFS('2.2.2 REPEX'!$D:$D,'2.2.2 REPEX'!$J:$J,Table27[#Headers],'2.2.2 REPEX'!$K:$K,Table27[[#This Row],[Asset Count (2.2.2 REPEX)]],'2.2.2 REPEX'!$L:$L,Table27[[#This Row],[Metric]])</f>
        <v>961365</v>
      </c>
      <c r="D17" s="129">
        <f>SUMIFS('2.2.2 REPEX'!$D:$D,'2.2.2 REPEX'!$J:$J,Table27[#Headers],'2.2.2 REPEX'!$K:$K,Table27[[#This Row],[Asset Count (2.2.2 REPEX)]],'2.2.2 REPEX'!$L:$L,Table27[[#This Row],[Metric]])</f>
        <v>305822</v>
      </c>
      <c r="E17" s="129">
        <f>SUMIFS('2.2.2 REPEX'!$D:$D,'2.2.2 REPEX'!$J:$J,Table27[#Headers],'2.2.2 REPEX'!$K:$K,Table27[[#This Row],[Asset Count (2.2.2 REPEX)]],'2.2.2 REPEX'!$L:$L,Table27[[#This Row],[Metric]])</f>
        <v>455377</v>
      </c>
      <c r="F17" s="129">
        <f>SUMIFS('2.2.2 REPEX'!$D:$D,'2.2.2 REPEX'!$J:$J,Table27[#Headers],'2.2.2 REPEX'!$K:$K,Table27[[#This Row],[Asset Count (2.2.2 REPEX)]],'2.2.2 REPEX'!$L:$L,Table27[[#This Row],[Metric]])</f>
        <v>387828</v>
      </c>
      <c r="G17" s="129">
        <f>SUMIFS('2.2.2 REPEX'!$D:$D,'2.2.2 REPEX'!$J:$J,Table27[#Headers],'2.2.2 REPEX'!$K:$K,Table27[[#This Row],[Asset Count (2.2.2 REPEX)]],'2.2.2 REPEX'!$L:$L,Table27[[#This Row],[Metric]])</f>
        <v>1379899</v>
      </c>
      <c r="H17" s="129">
        <f>SUMIFS('2.2.2 REPEX'!$D:$D,'2.2.2 REPEX'!$J:$J,Table27[#Headers],'2.2.2 REPEX'!$K:$K,Table27[[#This Row],[Asset Count (2.2.2 REPEX)]],'2.2.2 REPEX'!$L:$L,Table27[[#This Row],[Metric]])</f>
        <v>1377482.9999999991</v>
      </c>
      <c r="I17" s="129">
        <f>SUMIFS('2.2.2 REPEX'!$D:$D,'2.2.2 REPEX'!$J:$J,Table27[#Headers],'2.2.2 REPEX'!$K:$K,Table27[[#This Row],[Asset Count (2.2.2 REPEX)]],'2.2.2 REPEX'!$L:$L,Table27[[#This Row],[Metric]])</f>
        <v>740858</v>
      </c>
      <c r="J17" s="129">
        <f>Table27[[#This Row],[Powercor]]+Table27[[#This Row],[AusNet]]</f>
        <v>843205</v>
      </c>
      <c r="K17" s="129">
        <f>Table27[[#This Row],[Powercor]]+Table27[[#This Row],[SA Power]]</f>
        <v>1196235</v>
      </c>
      <c r="L17" t="s">
        <v>1516</v>
      </c>
      <c r="M17" s="223" t="s">
        <v>1336</v>
      </c>
    </row>
    <row r="18" spans="1:18" s="44" customFormat="1">
      <c r="A18" t="s">
        <v>718</v>
      </c>
      <c r="B18" s="129">
        <f>SUMIFS('2.2.2 REPEX'!$D:$D,'2.2.2 REPEX'!$J:$J,Table27[#Headers],'2.2.2 REPEX'!$K:$K,Table27[[#This Row],[Asset Count (2.2.2 REPEX)]],'2.2.2 REPEX'!$L:$L,Table27[[#This Row],[Metric]])</f>
        <v>24364.879999999997</v>
      </c>
      <c r="C18" s="129">
        <f>SUMIFS('2.2.2 REPEX'!$D:$D,'2.2.2 REPEX'!$J:$J,Table27[#Headers],'2.2.2 REPEX'!$K:$K,Table27[[#This Row],[Asset Count (2.2.2 REPEX)]],'2.2.2 REPEX'!$L:$L,Table27[[#This Row],[Metric]])</f>
        <v>154563.50300000003</v>
      </c>
      <c r="D18" s="129">
        <f>SUMIFS('2.2.2 REPEX'!$D:$D,'2.2.2 REPEX'!$J:$J,Table27[#Headers],'2.2.2 REPEX'!$K:$K,Table27[[#This Row],[Asset Count (2.2.2 REPEX)]],'2.2.2 REPEX'!$L:$L,Table27[[#This Row],[Metric]])</f>
        <v>28493</v>
      </c>
      <c r="E18" s="129">
        <f>SUMIFS('2.2.2 REPEX'!$D:$D,'2.2.2 REPEX'!$J:$J,Table27[#Headers],'2.2.2 REPEX'!$K:$K,Table27[[#This Row],[Asset Count (2.2.2 REPEX)]],'2.2.2 REPEX'!$L:$L,Table27[[#This Row],[Metric]])</f>
        <v>64645.893449400028</v>
      </c>
      <c r="F18" s="129">
        <f>SUMIFS('2.2.2 REPEX'!$D:$D,'2.2.2 REPEX'!$J:$J,Table27[#Headers],'2.2.2 REPEX'!$K:$K,Table27[[#This Row],[Asset Count (2.2.2 REPEX)]],'2.2.2 REPEX'!$L:$L,Table27[[#This Row],[Metric]])</f>
        <v>38448</v>
      </c>
      <c r="G18" s="129">
        <f>SUMIFS('2.2.2 REPEX'!$D:$D,'2.2.2 REPEX'!$J:$J,Table27[#Headers],'2.2.2 REPEX'!$K:$K,Table27[[#This Row],[Asset Count (2.2.2 REPEX)]],'2.2.2 REPEX'!$L:$L,Table27[[#This Row],[Metric]])</f>
        <v>191601.52299999999</v>
      </c>
      <c r="H18" s="129">
        <f>SUMIFS('2.2.2 REPEX'!$D:$D,'2.2.2 REPEX'!$J:$J,Table27[#Headers],'2.2.2 REPEX'!$K:$K,Table27[[#This Row],[Asset Count (2.2.2 REPEX)]],'2.2.2 REPEX'!$L:$L,Table27[[#This Row],[Metric]])</f>
        <v>185285.31900000031</v>
      </c>
      <c r="I18" s="129">
        <f>SUMIFS('2.2.2 REPEX'!$D:$D,'2.2.2 REPEX'!$J:$J,Table27[#Headers],'2.2.2 REPEX'!$K:$K,Table27[[#This Row],[Asset Count (2.2.2 REPEX)]],'2.2.2 REPEX'!$L:$L,Table27[[#This Row],[Metric]])</f>
        <v>71164</v>
      </c>
      <c r="J18" s="129">
        <f>Table27[[#This Row],[Powercor]]+Table27[[#This Row],[AusNet]]</f>
        <v>103093.89344940003</v>
      </c>
      <c r="K18" s="129">
        <f>Table27[[#This Row],[Powercor]]+Table27[[#This Row],[SA Power]]</f>
        <v>135809.89344940003</v>
      </c>
      <c r="L18" t="s">
        <v>1516</v>
      </c>
      <c r="M18" s="223" t="s">
        <v>1336</v>
      </c>
      <c r="N18"/>
      <c r="O18"/>
      <c r="P18"/>
      <c r="Q18"/>
    </row>
    <row r="19" spans="1:18" s="44" customFormat="1">
      <c r="A19" s="119" t="s">
        <v>718</v>
      </c>
      <c r="B19" s="129">
        <f>SUMIFS('2.2.2 REPEX'!$D:$D,'2.2.2 REPEX'!$J:$J,Table27[#Headers],'2.2.2 REPEX'!$K:$K,Table27[[#This Row],[Asset Count (2.2.2 REPEX)]],'2.2.2 REPEX'!$L:$L,Table27[[#This Row],[Metric]])</f>
        <v>18803.149999999998</v>
      </c>
      <c r="C19" s="129">
        <f>SUMIFS('2.2.2 REPEX'!$D:$D,'2.2.2 REPEX'!$J:$J,Table27[#Headers],'2.2.2 REPEX'!$K:$K,Table27[[#This Row],[Asset Count (2.2.2 REPEX)]],'2.2.2 REPEX'!$L:$L,Table27[[#This Row],[Metric]])</f>
        <v>154563.50300000003</v>
      </c>
      <c r="D19" s="129">
        <f>SUMIFS('2.2.2 REPEX'!$D:$D,'2.2.2 REPEX'!$J:$J,Table27[#Headers],'2.2.2 REPEX'!$K:$K,Table27[[#This Row],[Asset Count (2.2.2 REPEX)]],'2.2.2 REPEX'!$L:$L,Table27[[#This Row],[Metric]])</f>
        <v>0</v>
      </c>
      <c r="E19" s="129">
        <f>SUMIFS('2.2.2 REPEX'!$D:$D,'2.2.2 REPEX'!$J:$J,Table27[#Headers],'2.2.2 REPEX'!$K:$K,Table27[[#This Row],[Asset Count (2.2.2 REPEX)]],'2.2.2 REPEX'!$L:$L,Table27[[#This Row],[Metric]])</f>
        <v>68843.137840355965</v>
      </c>
      <c r="F19" s="129">
        <f>SUMIFS('2.2.2 REPEX'!$D:$D,'2.2.2 REPEX'!$J:$J,Table27[#Headers],'2.2.2 REPEX'!$K:$K,Table27[[#This Row],[Asset Count (2.2.2 REPEX)]],'2.2.2 REPEX'!$L:$L,Table27[[#This Row],[Metric]])</f>
        <v>38448</v>
      </c>
      <c r="G19" s="129">
        <f>SUMIFS('2.2.2 REPEX'!$D:$D,'2.2.2 REPEX'!$J:$J,Table27[#Headers],'2.2.2 REPEX'!$K:$K,Table27[[#This Row],[Asset Count (2.2.2 REPEX)]],'2.2.2 REPEX'!$L:$L,Table27[[#This Row],[Metric]])</f>
        <v>209679.31300000002</v>
      </c>
      <c r="H19" s="129">
        <f>SUMIFS('2.2.2 REPEX'!$D:$D,'2.2.2 REPEX'!$J:$J,Table27[#Headers],'2.2.2 REPEX'!$K:$K,Table27[[#This Row],[Asset Count (2.2.2 REPEX)]],'2.2.2 REPEX'!$L:$L,Table27[[#This Row],[Metric]])</f>
        <v>185285.31900000002</v>
      </c>
      <c r="I19" s="129">
        <f>SUMIFS('2.2.2 REPEX'!$D:$D,'2.2.2 REPEX'!$J:$J,Table27[#Headers],'2.2.2 REPEX'!$K:$K,Table27[[#This Row],[Asset Count (2.2.2 REPEX)]],'2.2.2 REPEX'!$L:$L,Table27[[#This Row],[Metric]])</f>
        <v>71164</v>
      </c>
      <c r="J19" s="129">
        <f>Table27[[#This Row],[Powercor]]+Table27[[#This Row],[AusNet]]</f>
        <v>107291.13784035596</v>
      </c>
      <c r="K19" s="129">
        <f>Table27[[#This Row],[Powercor]]+Table27[[#This Row],[SA Power]]</f>
        <v>140007.13784035598</v>
      </c>
      <c r="L19" s="119" t="s">
        <v>1516</v>
      </c>
      <c r="M19" s="223" t="s">
        <v>1337</v>
      </c>
      <c r="N19"/>
      <c r="O19"/>
      <c r="P19"/>
      <c r="Q19"/>
    </row>
    <row r="20" spans="1:18">
      <c r="A20" t="s">
        <v>572</v>
      </c>
      <c r="B20" s="129">
        <f>SUMIFS('2.2.2 REPEX'!$D:$D,'2.2.2 REPEX'!$J:$J,Table27[#Headers],'2.2.2 REPEX'!$K:$K,Table27[[#This Row],[Asset Count (2.2.2 REPEX)]],'2.2.2 REPEX'!$L:$L,Table27[[#This Row],[Metric]])</f>
        <v>7823</v>
      </c>
      <c r="C20" s="129">
        <f>SUMIFS('2.2.2 REPEX'!$D:$D,'2.2.2 REPEX'!$J:$J,Table27[#Headers],'2.2.2 REPEX'!$K:$K,Table27[[#This Row],[Asset Count (2.2.2 REPEX)]],'2.2.2 REPEX'!$L:$L,Table27[[#This Row],[Metric]])</f>
        <v>8177.8069999999998</v>
      </c>
      <c r="D20" s="129">
        <f>SUMIFS('2.2.2 REPEX'!$D:$D,'2.2.2 REPEX'!$J:$J,Table27[#Headers],'2.2.2 REPEX'!$K:$K,Table27[[#This Row],[Asset Count (2.2.2 REPEX)]],'2.2.2 REPEX'!$L:$L,Table27[[#This Row],[Metric]])</f>
        <v>15812</v>
      </c>
      <c r="E20" s="129">
        <f>SUMIFS('2.2.2 REPEX'!$D:$D,'2.2.2 REPEX'!$J:$J,Table27[#Headers],'2.2.2 REPEX'!$K:$K,Table27[[#This Row],[Asset Count (2.2.2 REPEX)]],'2.2.2 REPEX'!$L:$L,Table27[[#This Row],[Metric]])</f>
        <v>4945.454162414334</v>
      </c>
      <c r="F20" s="129">
        <f>SUMIFS('2.2.2 REPEX'!$D:$D,'2.2.2 REPEX'!$J:$J,Table27[#Headers],'2.2.2 REPEX'!$K:$K,Table27[[#This Row],[Asset Count (2.2.2 REPEX)]],'2.2.2 REPEX'!$L:$L,Table27[[#This Row],[Metric]])</f>
        <v>6169</v>
      </c>
      <c r="G20" s="129">
        <f>SUMIFS('2.2.2 REPEX'!$D:$D,'2.2.2 REPEX'!$J:$J,Table27[#Headers],'2.2.2 REPEX'!$K:$K,Table27[[#This Row],[Asset Count (2.2.2 REPEX)]],'2.2.2 REPEX'!$L:$L,Table27[[#This Row],[Metric]])</f>
        <v>10810.939999999999</v>
      </c>
      <c r="H20" s="129">
        <f>SUMIFS('2.2.2 REPEX'!$D:$D,'2.2.2 REPEX'!$J:$J,Table27[#Headers],'2.2.2 REPEX'!$K:$K,Table27[[#This Row],[Asset Count (2.2.2 REPEX)]],'2.2.2 REPEX'!$L:$L,Table27[[#This Row],[Metric]])</f>
        <v>8137.5100000000039</v>
      </c>
      <c r="I20" s="129">
        <f>SUMIFS('2.2.2 REPEX'!$D:$D,'2.2.2 REPEX'!$J:$J,Table27[#Headers],'2.2.2 REPEX'!$K:$K,Table27[[#This Row],[Asset Count (2.2.2 REPEX)]],'2.2.2 REPEX'!$L:$L,Table27[[#This Row],[Metric]])</f>
        <v>16730</v>
      </c>
      <c r="J20" s="129">
        <f>Table27[[#This Row],[Powercor]]+Table27[[#This Row],[AusNet]]</f>
        <v>11114.454162414335</v>
      </c>
      <c r="K20" s="129">
        <f>Table27[[#This Row],[Powercor]]+Table27[[#This Row],[SA Power]]</f>
        <v>21675.454162414335</v>
      </c>
      <c r="L20" t="s">
        <v>1516</v>
      </c>
      <c r="M20" s="223" t="s">
        <v>1336</v>
      </c>
      <c r="N20" s="44"/>
      <c r="O20" s="44"/>
      <c r="P20" s="44"/>
      <c r="Q20" s="44"/>
      <c r="R20" s="10"/>
    </row>
    <row r="21" spans="1:18">
      <c r="B21"/>
      <c r="C21"/>
      <c r="D21"/>
      <c r="E21"/>
      <c r="F21"/>
      <c r="G21"/>
      <c r="H21"/>
      <c r="I21"/>
      <c r="J21"/>
      <c r="K21"/>
    </row>
    <row r="22" spans="1:18" ht="18.75">
      <c r="A22" s="77" t="str">
        <f>A23</f>
        <v>Average Age</v>
      </c>
      <c r="B22" s="127"/>
      <c r="C22" s="127"/>
      <c r="D22" s="127"/>
      <c r="E22" s="127"/>
      <c r="F22" s="127"/>
      <c r="G22" s="128"/>
      <c r="H22" s="128"/>
      <c r="I22" s="131"/>
      <c r="J22" s="128"/>
      <c r="L22" s="44"/>
      <c r="N22" s="44"/>
      <c r="O22" s="10"/>
      <c r="P22" s="10"/>
      <c r="Q22" s="10"/>
      <c r="R22" s="10"/>
    </row>
    <row r="23" spans="1:18" ht="30">
      <c r="A23" s="5" t="s">
        <v>652</v>
      </c>
      <c r="B23" s="133" t="s">
        <v>574</v>
      </c>
      <c r="C23" s="133" t="s">
        <v>1147</v>
      </c>
      <c r="D23" s="131" t="s">
        <v>575</v>
      </c>
      <c r="E23" s="131" t="s">
        <v>310</v>
      </c>
      <c r="F23" s="131" t="s">
        <v>1674</v>
      </c>
      <c r="G23" s="131" t="s">
        <v>1560</v>
      </c>
      <c r="H23" s="141" t="s">
        <v>0</v>
      </c>
      <c r="I23" s="137" t="s">
        <v>1218</v>
      </c>
      <c r="J23" s="137" t="s">
        <v>1675</v>
      </c>
      <c r="K23" s="137" t="s">
        <v>1676</v>
      </c>
      <c r="L23" s="5" t="s">
        <v>573</v>
      </c>
      <c r="M23" s="219" t="s">
        <v>1164</v>
      </c>
      <c r="N23" s="10"/>
      <c r="O23" s="10"/>
      <c r="P23" s="10"/>
      <c r="Q23" s="10"/>
      <c r="R23" s="10"/>
    </row>
    <row r="24" spans="1:18">
      <c r="A24" s="5" t="s">
        <v>1</v>
      </c>
      <c r="B24" s="138">
        <f>IFERROR(SUMIFS('5.2 Age Profiles'!$DH:$DH,'5.2 Age Profiles'!$B:$B,AverageAge[#Headers],'5.2 Age Profiles'!$DK:$DK,AverageAge[[#This Row],[Average Age]])/VLOOKUP(AverageAge[[#This Row],[Average Age]],Asset_Count_5.2_AgeProfile[#All],MATCH(AverageAge[#Headers],Asset_Count_5.2_AgeProfile[#Headers],0),FALSE),"")</f>
        <v>32.805845182011481</v>
      </c>
      <c r="C24" s="138">
        <f>IFERROR(SUMIFS('5.2 Age Profiles'!$DH:$DH,'5.2 Age Profiles'!$B:$B,AverageAge[#Headers],'5.2 Age Profiles'!$DK:$DK,AverageAge[[#This Row],[Average Age]])/VLOOKUP(AverageAge[[#This Row],[Average Age]],Asset_Count_5.2_AgeProfile[#All],MATCH(AverageAge[#Headers],Asset_Count_5.2_AgeProfile[#Headers],0),FALSE),"")</f>
        <v>27.448812439845646</v>
      </c>
      <c r="D24" s="138">
        <f>IFERROR(SUMIFS('5.2 Age Profiles'!$DH:$DH,'5.2 Age Profiles'!$B:$B,AverageAge[#Headers],'5.2 Age Profiles'!$DK:$DK,AverageAge[[#This Row],[Average Age]])/VLOOKUP(AverageAge[[#This Row],[Average Age]],Asset_Count_5.2_AgeProfile[#All],MATCH(AverageAge[#Headers],Asset_Count_5.2_AgeProfile[#Headers],0),FALSE),"")</f>
        <v>24.435639031855132</v>
      </c>
      <c r="E24" s="138">
        <f>IFERROR(SUMIFS('5.2 Age Profiles'!$DH:$DH,'5.2 Age Profiles'!$B:$B,AverageAge[#Headers],'5.2 Age Profiles'!$DK:$DK,AverageAge[[#This Row],[Average Age]])/VLOOKUP(AverageAge[[#This Row],[Average Age]],Asset_Count_5.2_AgeProfile[#All],MATCH(AverageAge[#Headers],Asset_Count_5.2_AgeProfile[#Headers],0),FALSE),"")</f>
        <v>31.919292068367888</v>
      </c>
      <c r="F24" s="138">
        <f>IFERROR(SUMIFS('5.2 Age Profiles'!$DH:$DH,'5.2 Age Profiles'!$B:$B,AverageAge[#Headers],'5.2 Age Profiles'!$DK:$DK,AverageAge[[#This Row],[Average Age]])/VLOOKUP(AverageAge[[#This Row],[Average Age]],Asset_Count_5.2_AgeProfile[#All],MATCH(AverageAge[#Headers],Asset_Count_5.2_AgeProfile[#Headers],0),FALSE),"")</f>
        <v>30.085458165724834</v>
      </c>
      <c r="G24" s="138">
        <f>IFERROR(SUMIFS('5.2 Age Profiles'!$DH:$DH,'5.2 Age Profiles'!$B:$B,AverageAge[#Headers],'5.2 Age Profiles'!$DK:$DK,AverageAge[[#This Row],[Average Age]])/VLOOKUP(AverageAge[[#This Row],[Average Age]],Asset_Count_5.2_AgeProfile[#All],MATCH(AverageAge[#Headers],Asset_Count_5.2_AgeProfile[#Headers],0),FALSE),"")</f>
        <v>33.482982661275464</v>
      </c>
      <c r="H24" s="138">
        <f>IFERROR(SUMIFS('5.2 Age Profiles'!$DH:$DH,'5.2 Age Profiles'!$B:$B,AverageAge[#Headers],'5.2 Age Profiles'!$DK:$DK,AverageAge[[#This Row],[Average Age]])/VLOOKUP(AverageAge[[#This Row],[Average Age]],Asset_Count_5.2_AgeProfile[#All],MATCH(AverageAge[#Headers],Asset_Count_5.2_AgeProfile[#Headers],0),FALSE),"")</f>
        <v>34.037531985976706</v>
      </c>
      <c r="I24" s="138">
        <f>IFERROR(SUMIFS('5.2 Age Profiles'!$DH:$DH,'5.2 Age Profiles'!$B:$B,AverageAge[#Headers],'5.2 Age Profiles'!$DK:$DK,AverageAge[[#This Row],[Average Age]])/VLOOKUP(AverageAge[[#This Row],[Average Age]],Asset_Count_5.2_AgeProfile[#All],MATCH(AverageAge[#Headers],Asset_Count_5.2_AgeProfile[#Headers],0),FALSE),"")</f>
        <v>45.669037418768731</v>
      </c>
      <c r="J24" s="138">
        <f>IFERROR((SUMIFS('5.2 Age Profiles'!$DH:$DH,'5.2 Age Profiles'!$B:$B,AverageAge[[#Headers],[Powercor]],'5.2 Age Profiles'!$DK:$DK,AverageAge[[#This Row],[Average Age]])+SUMIFS('5.2 Age Profiles'!$DH:$DH,'5.2 Age Profiles'!$B:$B,AverageAge[[#Headers],[AusNet]],'5.2 Age Profiles'!$DK:$DK,AverageAge[[#This Row],[Average Age]]))/VLOOKUP(AverageAge[[#This Row],[Average Age]],Asset_Count_5.2_AgeProfile[#All],MATCH(AverageAge[#Headers],Asset_Count_5.2_AgeProfile[#Headers],0),FALSE),"")</f>
        <v>31.177261626984041</v>
      </c>
      <c r="K24" s="138">
        <f>IFERROR((SUMIFS('5.2 Age Profiles'!$DH:$DH,'5.2 Age Profiles'!$B:$B,AverageAge[[#Headers],[Powercor]],'5.2 Age Profiles'!$DK:$DK,AverageAge[[#This Row],[Average Age]])+SUMIFS('5.2 Age Profiles'!$DH:$DH,'5.2 Age Profiles'!$B:$B,AverageAge[[#Headers],[SA Power]],'5.2 Age Profiles'!$DK:$DK,AverageAge[[#This Row],[Average Age]]))/VLOOKUP(AverageAge[[#This Row],[Average Age]],Asset_Count_5.2_AgeProfile[#All],MATCH(AverageAge[#Headers],Asset_Count_5.2_AgeProfile[#Headers],0),FALSE),"")</f>
        <v>39.820325244935816</v>
      </c>
      <c r="L24" s="6" t="s">
        <v>1515</v>
      </c>
      <c r="M24" s="224"/>
      <c r="N24" s="10"/>
      <c r="O24" s="10"/>
      <c r="P24" s="10"/>
      <c r="Q24" s="10"/>
      <c r="R24" s="10"/>
    </row>
    <row r="25" spans="1:18">
      <c r="A25" s="5" t="s">
        <v>718</v>
      </c>
      <c r="B25" s="138">
        <f>IFERROR(SUMIFS('5.2 Age Profiles'!$DH:$DH,'5.2 Age Profiles'!$B:$B,AverageAge[#Headers],'5.2 Age Profiles'!$DK:$DK,AverageAge[[#This Row],[Average Age]])/VLOOKUP(AverageAge[[#This Row],[Average Age]],Asset_Count_5.2_AgeProfile[#All],MATCH(AverageAge[#Headers],Asset_Count_5.2_AgeProfile[#Headers],0),FALSE),"")</f>
        <v>38.105123026330737</v>
      </c>
      <c r="C25" s="138">
        <f>IFERROR(SUMIFS('5.2 Age Profiles'!$DH:$DH,'5.2 Age Profiles'!$B:$B,AverageAge[#Headers],'5.2 Age Profiles'!$DK:$DK,AverageAge[[#This Row],[Average Age]])/VLOOKUP(AverageAge[[#This Row],[Average Age]],Asset_Count_5.2_AgeProfile[#All],MATCH(AverageAge[#Headers],Asset_Count_5.2_AgeProfile[#Headers],0),FALSE),"")</f>
        <v>36.14792685800785</v>
      </c>
      <c r="D25" s="138">
        <f>IFERROR(SUMIFS('5.2 Age Profiles'!$DH:$DH,'5.2 Age Profiles'!$B:$B,AverageAge[#Headers],'5.2 Age Profiles'!$DK:$DK,AverageAge[[#This Row],[Average Age]])/VLOOKUP(AverageAge[[#This Row],[Average Age]],Asset_Count_5.2_AgeProfile[#All],MATCH(AverageAge[#Headers],Asset_Count_5.2_AgeProfile[#Headers],0),FALSE),"")</f>
        <v>33.138874185002472</v>
      </c>
      <c r="E25" s="138">
        <f>IFERROR(SUMIFS('5.2 Age Profiles'!$DH:$DH,'5.2 Age Profiles'!$B:$B,AverageAge[#Headers],'5.2 Age Profiles'!$DK:$DK,AverageAge[[#This Row],[Average Age]])/VLOOKUP(AverageAge[[#This Row],[Average Age]],Asset_Count_5.2_AgeProfile[#All],MATCH(AverageAge[#Headers],Asset_Count_5.2_AgeProfile[#Headers],0),FALSE),"")</f>
        <v>35.386844868984682</v>
      </c>
      <c r="F25" s="138">
        <f>IFERROR(SUMIFS('5.2 Age Profiles'!$DH:$DH,'5.2 Age Profiles'!$B:$B,AverageAge[#Headers],'5.2 Age Profiles'!$DK:$DK,AverageAge[[#This Row],[Average Age]])/VLOOKUP(AverageAge[[#This Row],[Average Age]],Asset_Count_5.2_AgeProfile[#All],MATCH(AverageAge[#Headers],Asset_Count_5.2_AgeProfile[#Headers],0),FALSE),"")</f>
        <v>36.924893349534138</v>
      </c>
      <c r="G25" s="138">
        <f>IFERROR(SUMIFS('5.2 Age Profiles'!$DH:$DH,'5.2 Age Profiles'!$B:$B,AverageAge[#Headers],'5.2 Age Profiles'!$DK:$DK,AverageAge[[#This Row],[Average Age]])/VLOOKUP(AverageAge[[#This Row],[Average Age]],Asset_Count_5.2_AgeProfile[#All],MATCH(AverageAge[#Headers],Asset_Count_5.2_AgeProfile[#Headers],0),FALSE),"")</f>
        <v>43.126312005564863</v>
      </c>
      <c r="H25" s="138">
        <f>IFERROR(SUMIFS('5.2 Age Profiles'!$DH:$DH,'5.2 Age Profiles'!$B:$B,AverageAge[#Headers],'5.2 Age Profiles'!$DK:$DK,AverageAge[[#This Row],[Average Age]])/VLOOKUP(AverageAge[[#This Row],[Average Age]],Asset_Count_5.2_AgeProfile[#All],MATCH(AverageAge[#Headers],Asset_Count_5.2_AgeProfile[#Headers],0),FALSE),"")</f>
        <v>42.9181310036874</v>
      </c>
      <c r="I25" s="139">
        <f>IFERROR(SUMIFS('5.2 Age Profiles'!$DH:$DH,'5.2 Age Profiles'!$B:$B,AverageAge[#Headers],'5.2 Age Profiles'!$DK:$DK,AverageAge[[#This Row],[Average Age]])/VLOOKUP(AverageAge[[#This Row],[Average Age]],Asset_Count_5.2_AgeProfile[#All],MATCH(AverageAge[#Headers],Asset_Count_5.2_AgeProfile[#Headers],0),FALSE),"")</f>
        <v>50.280401992419691</v>
      </c>
      <c r="J25" s="139">
        <f>IFERROR((SUMIFS('5.2 Age Profiles'!$DH:$DH,'5.2 Age Profiles'!$B:$B,AverageAge[[#Headers],[Powercor]],'5.2 Age Profiles'!$DK:$DK,AverageAge[[#This Row],[Average Age]])+SUMIFS('5.2 Age Profiles'!$DH:$DH,'5.2 Age Profiles'!$B:$B,AverageAge[[#Headers],[AusNet]],'5.2 Age Profiles'!$DK:$DK,AverageAge[[#This Row],[Average Age]]))/VLOOKUP(AverageAge[[#This Row],[Average Age]],Asset_Count_5.2_AgeProfile[#All],MATCH(AverageAge[#Headers],Asset_Count_5.2_AgeProfile[#Headers],0),FALSE),"")</f>
        <v>35.93800676991625</v>
      </c>
      <c r="K25" s="139">
        <f>IFERROR((SUMIFS('5.2 Age Profiles'!$DH:$DH,'5.2 Age Profiles'!$B:$B,AverageAge[[#Headers],[Powercor]],'5.2 Age Profiles'!$DK:$DK,AverageAge[[#This Row],[Average Age]])+SUMIFS('5.2 Age Profiles'!$DH:$DH,'5.2 Age Profiles'!$B:$B,AverageAge[[#Headers],[SA Power]],'5.2 Age Profiles'!$DK:$DK,AverageAge[[#This Row],[Average Age]]))/VLOOKUP(AverageAge[[#This Row],[Average Age]],Asset_Count_5.2_AgeProfile[#All],MATCH(AverageAge[#Headers],Asset_Count_5.2_AgeProfile[#Headers],0),FALSE),"")</f>
        <v>46.062893720743219</v>
      </c>
      <c r="L25" s="6" t="s">
        <v>1515</v>
      </c>
      <c r="M25" s="224"/>
      <c r="N25" s="10"/>
      <c r="O25" s="10"/>
      <c r="P25" s="10"/>
      <c r="Q25" s="10"/>
      <c r="R25" s="10"/>
    </row>
    <row r="26" spans="1:18">
      <c r="A26" s="5" t="s">
        <v>572</v>
      </c>
      <c r="B26" s="138">
        <f>IFERROR(SUMIFS('5.2 Age Profiles'!$DH:$DH,'5.2 Age Profiles'!$B:$B,AverageAge[#Headers],'5.2 Age Profiles'!$DK:$DK,AverageAge[[#This Row],[Average Age]])/VLOOKUP(AverageAge[[#This Row],[Average Age]],Asset_Count_5.2_AgeProfile[#All],MATCH(AverageAge[#Headers],Asset_Count_5.2_AgeProfile[#Headers],0),FALSE),"")</f>
        <v>30.848272159260276</v>
      </c>
      <c r="C26" s="138">
        <f>IFERROR(SUMIFS('5.2 Age Profiles'!$DH:$DH,'5.2 Age Profiles'!$B:$B,AverageAge[#Headers],'5.2 Age Profiles'!$DK:$DK,AverageAge[[#This Row],[Average Age]])/VLOOKUP(AverageAge[[#This Row],[Average Age]],Asset_Count_5.2_AgeProfile[#All],MATCH(AverageAge[#Headers],Asset_Count_5.2_AgeProfile[#Headers],0),FALSE),"")</f>
        <v>7.5357503590382926</v>
      </c>
      <c r="D26" s="138">
        <f>IFERROR(SUMIFS('5.2 Age Profiles'!$DH:$DH,'5.2 Age Profiles'!$B:$B,AverageAge[#Headers],'5.2 Age Profiles'!$DK:$DK,AverageAge[[#This Row],[Average Age]])/VLOOKUP(AverageAge[[#This Row],[Average Age]],Asset_Count_5.2_AgeProfile[#All],MATCH(AverageAge[#Headers],Asset_Count_5.2_AgeProfile[#Headers],0),FALSE),"")</f>
        <v>20.022400263884268</v>
      </c>
      <c r="E26" s="138">
        <f>IFERROR(SUMIFS('5.2 Age Profiles'!$DH:$DH,'5.2 Age Profiles'!$B:$B,AverageAge[#Headers],'5.2 Age Profiles'!$DK:$DK,AverageAge[[#This Row],[Average Age]])/VLOOKUP(AverageAge[[#This Row],[Average Age]],Asset_Count_5.2_AgeProfile[#All],MATCH(AverageAge[#Headers],Asset_Count_5.2_AgeProfile[#Headers],0),FALSE),"")</f>
        <v>12.675867435906063</v>
      </c>
      <c r="F26" s="138">
        <f>IFERROR(SUMIFS('5.2 Age Profiles'!$DH:$DH,'5.2 Age Profiles'!$B:$B,AverageAge[#Headers],'5.2 Age Profiles'!$DK:$DK,AverageAge[[#This Row],[Average Age]])/VLOOKUP(AverageAge[[#This Row],[Average Age]],Asset_Count_5.2_AgeProfile[#All],MATCH(AverageAge[#Headers],Asset_Count_5.2_AgeProfile[#Headers],0),FALSE),"")</f>
        <v>36.302194686525354</v>
      </c>
      <c r="G26" s="138">
        <f>IFERROR(SUMIFS('5.2 Age Profiles'!$DH:$DH,'5.2 Age Profiles'!$B:$B,AverageAge[#Headers],'5.2 Age Profiles'!$DK:$DK,AverageAge[[#This Row],[Average Age]])/VLOOKUP(AverageAge[[#This Row],[Average Age]],Asset_Count_5.2_AgeProfile[#All],MATCH(AverageAge[#Headers],Asset_Count_5.2_AgeProfile[#Headers],0),FALSE),"")</f>
        <v>13.532057115695659</v>
      </c>
      <c r="H26" s="138">
        <f>IFERROR(SUMIFS('5.2 Age Profiles'!$DH:$DH,'5.2 Age Profiles'!$B:$B,AverageAge[#Headers],'5.2 Age Profiles'!$DK:$DK,AverageAge[[#This Row],[Average Age]])/VLOOKUP(AverageAge[[#This Row],[Average Age]],Asset_Count_5.2_AgeProfile[#All],MATCH(AverageAge[#Headers],Asset_Count_5.2_AgeProfile[#Headers],0),FALSE),"")</f>
        <v>13.689373722310862</v>
      </c>
      <c r="I26" s="139">
        <f>IFERROR(SUMIFS('5.2 Age Profiles'!$DH:$DH,'5.2 Age Profiles'!$B:$B,AverageAge[#Headers],'5.2 Age Profiles'!$DK:$DK,AverageAge[[#This Row],[Average Age]])/VLOOKUP(AverageAge[[#This Row],[Average Age]],Asset_Count_5.2_AgeProfile[#All],MATCH(AverageAge[#Headers],Asset_Count_5.2_AgeProfile[#Headers],0),FALSE),"")</f>
        <v>37.006226439239867</v>
      </c>
      <c r="J26" s="139">
        <f>IFERROR((SUMIFS('5.2 Age Profiles'!$DH:$DH,'5.2 Age Profiles'!$B:$B,AverageAge[[#Headers],[Powercor]],'5.2 Age Profiles'!$DK:$DK,AverageAge[[#This Row],[Average Age]])+SUMIFS('5.2 Age Profiles'!$DH:$DH,'5.2 Age Profiles'!$B:$B,AverageAge[[#Headers],[AusNet]],'5.2 Age Profiles'!$DK:$DK,AverageAge[[#This Row],[Average Age]]))/VLOOKUP(AverageAge[[#This Row],[Average Age]],Asset_Count_5.2_AgeProfile[#All],MATCH(AverageAge[#Headers],Asset_Count_5.2_AgeProfile[#Headers],0),FALSE),"")</f>
        <v>24.416107935940413</v>
      </c>
      <c r="K26" s="139">
        <f>IFERROR((SUMIFS('5.2 Age Profiles'!$DH:$DH,'5.2 Age Profiles'!$B:$B,AverageAge[[#Headers],[Powercor]],'5.2 Age Profiles'!$DK:$DK,AverageAge[[#This Row],[Average Age]])+SUMIFS('5.2 Age Profiles'!$DH:$DH,'5.2 Age Profiles'!$B:$B,AverageAge[[#Headers],[SA Power]],'5.2 Age Profiles'!$DK:$DK,AverageAge[[#This Row],[Average Age]]))/VLOOKUP(AverageAge[[#This Row],[Average Age]],Asset_Count_5.2_AgeProfile[#All],MATCH(AverageAge[#Headers],Asset_Count_5.2_AgeProfile[#Headers],0),FALSE),"")</f>
        <v>30.393111579240394</v>
      </c>
      <c r="L26" s="6" t="s">
        <v>1515</v>
      </c>
      <c r="M26" s="224"/>
      <c r="N26" s="10"/>
      <c r="O26" s="10"/>
      <c r="P26" s="10"/>
      <c r="Q26" s="10"/>
      <c r="R26" s="10"/>
    </row>
    <row r="27" spans="1:18">
      <c r="A27" s="5" t="s">
        <v>4</v>
      </c>
      <c r="B27" s="138">
        <f>IFERROR(SUMIFS('5.2 Age Profiles'!$DH:$DH,'5.2 Age Profiles'!$B:$B,AverageAge[#Headers],'5.2 Age Profiles'!$DK:$DK,AverageAge[[#This Row],[Average Age]])/VLOOKUP(AverageAge[[#This Row],[Average Age]],Asset_Count_5.2_AgeProfile[#All],MATCH(AverageAge[#Headers],Asset_Count_5.2_AgeProfile[#Headers],0),FALSE),"")</f>
        <v>24.649452414005861</v>
      </c>
      <c r="C27" s="138">
        <f>IFERROR(SUMIFS('5.2 Age Profiles'!$DH:$DH,'5.2 Age Profiles'!$B:$B,AverageAge[#Headers],'5.2 Age Profiles'!$DK:$DK,AverageAge[[#This Row],[Average Age]])/VLOOKUP(AverageAge[[#This Row],[Average Age]],Asset_Count_5.2_AgeProfile[#All],MATCH(AverageAge[#Headers],Asset_Count_5.2_AgeProfile[#Headers],0),FALSE),"")</f>
        <v>20.134424234925348</v>
      </c>
      <c r="D27" s="138">
        <f>IFERROR(SUMIFS('5.2 Age Profiles'!$DH:$DH,'5.2 Age Profiles'!$B:$B,AverageAge[#Headers],'5.2 Age Profiles'!$DK:$DK,AverageAge[[#This Row],[Average Age]])/VLOOKUP(AverageAge[[#This Row],[Average Age]],Asset_Count_5.2_AgeProfile[#All],MATCH(AverageAge[#Headers],Asset_Count_5.2_AgeProfile[#Headers],0),FALSE),"")</f>
        <v>20.759025604791226</v>
      </c>
      <c r="E27" s="138">
        <f>IFERROR(SUMIFS('5.2 Age Profiles'!$DH:$DH,'5.2 Age Profiles'!$B:$B,AverageAge[#Headers],'5.2 Age Profiles'!$DK:$DK,AverageAge[[#This Row],[Average Age]])/VLOOKUP(AverageAge[[#This Row],[Average Age]],Asset_Count_5.2_AgeProfile[#All],MATCH(AverageAge[#Headers],Asset_Count_5.2_AgeProfile[#Headers],0),FALSE),"")</f>
        <v>25.724947708689864</v>
      </c>
      <c r="F27" s="138">
        <f>IFERROR(SUMIFS('5.2 Age Profiles'!$DH:$DH,'5.2 Age Profiles'!$B:$B,AverageAge[#Headers],'5.2 Age Profiles'!$DK:$DK,AverageAge[[#This Row],[Average Age]])/VLOOKUP(AverageAge[[#This Row],[Average Age]],Asset_Count_5.2_AgeProfile[#All],MATCH(AverageAge[#Headers],Asset_Count_5.2_AgeProfile[#Headers],0),FALSE),"")</f>
        <v>26.283007879410757</v>
      </c>
      <c r="G27" s="138">
        <f>IFERROR(SUMIFS('5.2 Age Profiles'!$DH:$DH,'5.2 Age Profiles'!$B:$B,AverageAge[#Headers],'5.2 Age Profiles'!$DK:$DK,AverageAge[[#This Row],[Average Age]])/VLOOKUP(AverageAge[[#This Row],[Average Age]],Asset_Count_5.2_AgeProfile[#All],MATCH(AverageAge[#Headers],Asset_Count_5.2_AgeProfile[#Headers],0),FALSE),"")</f>
        <v>27.230893382678133</v>
      </c>
      <c r="H27" s="138">
        <f>IFERROR(SUMIFS('5.2 Age Profiles'!$DH:$DH,'5.2 Age Profiles'!$B:$B,AverageAge[#Headers],'5.2 Age Profiles'!$DK:$DK,AverageAge[[#This Row],[Average Age]])/VLOOKUP(AverageAge[[#This Row],[Average Age]],Asset_Count_5.2_AgeProfile[#All],MATCH(AverageAge[#Headers],Asset_Count_5.2_AgeProfile[#Headers],0),FALSE),"")</f>
        <v>27.173509641873277</v>
      </c>
      <c r="I27" s="139">
        <f>IFERROR(SUMIFS('5.2 Age Profiles'!$DH:$DH,'5.2 Age Profiles'!$B:$B,AverageAge[#Headers],'5.2 Age Profiles'!$DK:$DK,AverageAge[[#This Row],[Average Age]])/VLOOKUP(AverageAge[[#This Row],[Average Age]],Asset_Count_5.2_AgeProfile[#All],MATCH(AverageAge[#Headers],Asset_Count_5.2_AgeProfile[#Headers],0),FALSE),"")</f>
        <v>28.05459928672364</v>
      </c>
      <c r="J27" s="139">
        <f>IFERROR((SUMIFS('5.2 Age Profiles'!$DH:$DH,'5.2 Age Profiles'!$B:$B,AverageAge[[#Headers],[Powercor]],'5.2 Age Profiles'!$DK:$DK,AverageAge[[#This Row],[Average Age]])+SUMIFS('5.2 Age Profiles'!$DH:$DH,'5.2 Age Profiles'!$B:$B,AverageAge[[#Headers],[AusNet]],'5.2 Age Profiles'!$DK:$DK,AverageAge[[#This Row],[Average Age]]))/VLOOKUP(AverageAge[[#This Row],[Average Age]],Asset_Count_5.2_AgeProfile[#All],MATCH(AverageAge[#Headers],Asset_Count_5.2_AgeProfile[#Headers],0),FALSE),"")</f>
        <v>25.953537649799333</v>
      </c>
      <c r="K27" s="139">
        <f>IFERROR((SUMIFS('5.2 Age Profiles'!$DH:$DH,'5.2 Age Profiles'!$B:$B,AverageAge[[#Headers],[Powercor]],'5.2 Age Profiles'!$DK:$DK,AverageAge[[#This Row],[Average Age]])+SUMIFS('5.2 Age Profiles'!$DH:$DH,'5.2 Age Profiles'!$B:$B,AverageAge[[#Headers],[SA Power]],'5.2 Age Profiles'!$DK:$DK,AverageAge[[#This Row],[Average Age]]))/VLOOKUP(AverageAge[[#This Row],[Average Age]],Asset_Count_5.2_AgeProfile[#All],MATCH(AverageAge[#Headers],Asset_Count_5.2_AgeProfile[#Headers],0),FALSE),"")</f>
        <v>26.817442836496287</v>
      </c>
      <c r="L27" s="6" t="s">
        <v>1515</v>
      </c>
      <c r="M27" s="224"/>
      <c r="N27" s="10"/>
      <c r="O27" s="10"/>
      <c r="P27" s="10"/>
      <c r="Q27" s="10"/>
      <c r="R27" s="10"/>
    </row>
    <row r="28" spans="1:18" s="44" customFormat="1">
      <c r="A28" s="5" t="s">
        <v>719</v>
      </c>
      <c r="B28" s="138">
        <f>IFERROR(SUMIFS('5.2 Age Profiles'!$DH:$DH,'5.2 Age Profiles'!$B:$B,AverageAge[#Headers],'5.2 Age Profiles'!$DK:$DK,AverageAge[[#This Row],[Average Age]])/VLOOKUP(AverageAge[[#This Row],[Average Age]],Asset_Count_5.2_AgeProfile[#All],MATCH(AverageAge[#Headers],Asset_Count_5.2_AgeProfile[#Headers],0),FALSE),"")</f>
        <v>32.688153586302356</v>
      </c>
      <c r="C28" s="138">
        <f>IFERROR(SUMIFS('5.2 Age Profiles'!$DH:$DH,'5.2 Age Profiles'!$B:$B,AverageAge[#Headers],'5.2 Age Profiles'!$DK:$DK,AverageAge[[#This Row],[Average Age]])/VLOOKUP(AverageAge[[#This Row],[Average Age]],Asset_Count_5.2_AgeProfile[#All],MATCH(AverageAge[#Headers],Asset_Count_5.2_AgeProfile[#Headers],0),FALSE),"")</f>
        <v>28.003394626105308</v>
      </c>
      <c r="D28" s="138">
        <f>IFERROR(SUMIFS('5.2 Age Profiles'!$DH:$DH,'5.2 Age Profiles'!$B:$B,AverageAge[#Headers],'5.2 Age Profiles'!$DK:$DK,AverageAge[[#This Row],[Average Age]])/VLOOKUP(AverageAge[[#This Row],[Average Age]],Asset_Count_5.2_AgeProfile[#All],MATCH(AverageAge[#Headers],Asset_Count_5.2_AgeProfile[#Headers],0),FALSE),"")</f>
        <v>23.980756257766732</v>
      </c>
      <c r="E28" s="138">
        <f>IFERROR(SUMIFS('5.2 Age Profiles'!$DH:$DH,'5.2 Age Profiles'!$B:$B,AverageAge[#Headers],'5.2 Age Profiles'!$DK:$DK,AverageAge[[#This Row],[Average Age]])/VLOOKUP(AverageAge[[#This Row],[Average Age]],Asset_Count_5.2_AgeProfile[#All],MATCH(AverageAge[#Headers],Asset_Count_5.2_AgeProfile[#Headers],0),FALSE),"")</f>
        <v>27.500699967180346</v>
      </c>
      <c r="F28" s="138">
        <f>IFERROR(SUMIFS('5.2 Age Profiles'!$DH:$DH,'5.2 Age Profiles'!$B:$B,AverageAge[#Headers],'5.2 Age Profiles'!$DK:$DK,AverageAge[[#This Row],[Average Age]])/VLOOKUP(AverageAge[[#This Row],[Average Age]],Asset_Count_5.2_AgeProfile[#All],MATCH(AverageAge[#Headers],Asset_Count_5.2_AgeProfile[#Headers],0),FALSE),"")</f>
        <v>47.960333666580063</v>
      </c>
      <c r="G28" s="138">
        <f>IFERROR(SUMIFS('5.2 Age Profiles'!$DH:$DH,'5.2 Age Profiles'!$B:$B,AverageAge[#Headers],'5.2 Age Profiles'!$DK:$DK,AverageAge[[#This Row],[Average Age]])/VLOOKUP(AverageAge[[#This Row],[Average Age]],Asset_Count_5.2_AgeProfile[#All],MATCH(AverageAge[#Headers],Asset_Count_5.2_AgeProfile[#Headers],0),FALSE),"")</f>
        <v>26.362192953755262</v>
      </c>
      <c r="H28" s="138">
        <f>IFERROR(SUMIFS('5.2 Age Profiles'!$DH:$DH,'5.2 Age Profiles'!$B:$B,AverageAge[#Headers],'5.2 Age Profiles'!$DK:$DK,AverageAge[[#This Row],[Average Age]])/VLOOKUP(AverageAge[[#This Row],[Average Age]],Asset_Count_5.2_AgeProfile[#All],MATCH(AverageAge[#Headers],Asset_Count_5.2_AgeProfile[#Headers],0),FALSE),"")</f>
        <v>27.372011270235049</v>
      </c>
      <c r="I28" s="139">
        <f>IFERROR(SUMIFS('5.2 Age Profiles'!$DH:$DH,'5.2 Age Profiles'!$B:$B,AverageAge[#Headers],'5.2 Age Profiles'!$DK:$DK,AverageAge[[#This Row],[Average Age]])/VLOOKUP(AverageAge[[#This Row],[Average Age]],Asset_Count_5.2_AgeProfile[#All],MATCH(AverageAge[#Headers],Asset_Count_5.2_AgeProfile[#Headers],0),FALSE),"")</f>
        <v>28.595992839606367</v>
      </c>
      <c r="J28" s="139">
        <f>IFERROR((SUMIFS('5.2 Age Profiles'!$DH:$DH,'5.2 Age Profiles'!$B:$B,AverageAge[[#Headers],[Powercor]],'5.2 Age Profiles'!$DK:$DK,AverageAge[[#This Row],[Average Age]])+SUMIFS('5.2 Age Profiles'!$DH:$DH,'5.2 Age Profiles'!$B:$B,AverageAge[[#Headers],[AusNet]],'5.2 Age Profiles'!$DK:$DK,AverageAge[[#This Row],[Average Age]]))/VLOOKUP(AverageAge[[#This Row],[Average Age]],Asset_Count_5.2_AgeProfile[#All],MATCH(AverageAge[#Headers],Asset_Count_5.2_AgeProfile[#Headers],0),FALSE),"")</f>
        <v>35.972083310698494</v>
      </c>
      <c r="K28" s="139">
        <f>IFERROR((SUMIFS('5.2 Age Profiles'!$DH:$DH,'5.2 Age Profiles'!$B:$B,AverageAge[[#Headers],[Powercor]],'5.2 Age Profiles'!$DK:$DK,AverageAge[[#This Row],[Average Age]])+SUMIFS('5.2 Age Profiles'!$DH:$DH,'5.2 Age Profiles'!$B:$B,AverageAge[[#Headers],[SA Power]],'5.2 Age Profiles'!$DK:$DK,AverageAge[[#This Row],[Average Age]]))/VLOOKUP(AverageAge[[#This Row],[Average Age]],Asset_Count_5.2_AgeProfile[#All],MATCH(AverageAge[#Headers],Asset_Count_5.2_AgeProfile[#Headers],0),FALSE),"")</f>
        <v>28.580190541892552</v>
      </c>
      <c r="L28" s="6" t="s">
        <v>1515</v>
      </c>
      <c r="M28" s="224"/>
      <c r="N28" s="10"/>
      <c r="O28" s="10"/>
      <c r="P28" s="10"/>
      <c r="Q28" s="10"/>
      <c r="R28" s="10"/>
    </row>
    <row r="29" spans="1:18">
      <c r="A29" s="5" t="s">
        <v>2</v>
      </c>
      <c r="B29" s="138">
        <f>IFERROR(SUMIFS('5.2 Age Profiles'!$DH:$DH,'5.2 Age Profiles'!$B:$B,AverageAge[#Headers],'5.2 Age Profiles'!$DK:$DK,AverageAge[[#This Row],[Average Age]])/VLOOKUP(AverageAge[[#This Row],[Average Age]],Asset_Count_5.2_AgeProfile[#All],MATCH(AverageAge[#Headers],Asset_Count_5.2_AgeProfile[#Headers],0),FALSE),"")</f>
        <v>21.336634588433149</v>
      </c>
      <c r="C29" s="138">
        <f>IFERROR(SUMIFS('5.2 Age Profiles'!$DH:$DH,'5.2 Age Profiles'!$B:$B,AverageAge[#Headers],'5.2 Age Profiles'!$DK:$DK,AverageAge[[#This Row],[Average Age]])/VLOOKUP(AverageAge[[#This Row],[Average Age]],Asset_Count_5.2_AgeProfile[#All],MATCH(AverageAge[#Headers],Asset_Count_5.2_AgeProfile[#Headers],0),FALSE),"")</f>
        <v>18.144392622174941</v>
      </c>
      <c r="D29" s="138">
        <f>IFERROR(SUMIFS('5.2 Age Profiles'!$DH:$DH,'5.2 Age Profiles'!$B:$B,AverageAge[#Headers],'5.2 Age Profiles'!$DK:$DK,AverageAge[[#This Row],[Average Age]])/VLOOKUP(AverageAge[[#This Row],[Average Age]],Asset_Count_5.2_AgeProfile[#All],MATCH(AverageAge[#Headers],Asset_Count_5.2_AgeProfile[#Headers],0),FALSE),"")</f>
        <v>23.646363275039747</v>
      </c>
      <c r="E29" s="138">
        <f>IFERROR(SUMIFS('5.2 Age Profiles'!$DH:$DH,'5.2 Age Profiles'!$B:$B,AverageAge[#Headers],'5.2 Age Profiles'!$DK:$DK,AverageAge[[#This Row],[Average Age]])/VLOOKUP(AverageAge[[#This Row],[Average Age]],Asset_Count_5.2_AgeProfile[#All],MATCH(AverageAge[#Headers],Asset_Count_5.2_AgeProfile[#Headers],0),FALSE),"")</f>
        <v>19.364807392400635</v>
      </c>
      <c r="F29" s="138">
        <f>IFERROR(SUMIFS('5.2 Age Profiles'!$DH:$DH,'5.2 Age Profiles'!$B:$B,AverageAge[#Headers],'5.2 Age Profiles'!$DK:$DK,AverageAge[[#This Row],[Average Age]])/VLOOKUP(AverageAge[[#This Row],[Average Age]],Asset_Count_5.2_AgeProfile[#All],MATCH(AverageAge[#Headers],Asset_Count_5.2_AgeProfile[#Headers],0),FALSE),"")</f>
        <v>24.71103148423121</v>
      </c>
      <c r="G29" s="138">
        <f>IFERROR(SUMIFS('5.2 Age Profiles'!$DH:$DH,'5.2 Age Profiles'!$B:$B,AverageAge[#Headers],'5.2 Age Profiles'!$DK:$DK,AverageAge[[#This Row],[Average Age]])/VLOOKUP(AverageAge[[#This Row],[Average Age]],Asset_Count_5.2_AgeProfile[#All],MATCH(AverageAge[#Headers],Asset_Count_5.2_AgeProfile[#Headers],0),FALSE),"")</f>
        <v>28.213479598743206</v>
      </c>
      <c r="H29" s="138">
        <f>IFERROR(SUMIFS('5.2 Age Profiles'!$DH:$DH,'5.2 Age Profiles'!$B:$B,AverageAge[#Headers],'5.2 Age Profiles'!$DK:$DK,AverageAge[[#This Row],[Average Age]])/VLOOKUP(AverageAge[[#This Row],[Average Age]],Asset_Count_5.2_AgeProfile[#All],MATCH(AverageAge[#Headers],Asset_Count_5.2_AgeProfile[#Headers],0),FALSE),"")</f>
        <v>27.995995678145437</v>
      </c>
      <c r="I29" s="139">
        <f>IFERROR(SUMIFS('5.2 Age Profiles'!$DH:$DH,'5.2 Age Profiles'!$B:$B,AverageAge[#Headers],'5.2 Age Profiles'!$DK:$DK,AverageAge[[#This Row],[Average Age]])/VLOOKUP(AverageAge[[#This Row],[Average Age]],Asset_Count_5.2_AgeProfile[#All],MATCH(AverageAge[#Headers],Asset_Count_5.2_AgeProfile[#Headers],0),FALSE),"")</f>
        <v>22.403631185475259</v>
      </c>
      <c r="J29" s="139">
        <f>IFERROR((SUMIFS('5.2 Age Profiles'!$DH:$DH,'5.2 Age Profiles'!$B:$B,AverageAge[[#Headers],[Powercor]],'5.2 Age Profiles'!$DK:$DK,AverageAge[[#This Row],[Average Age]])+SUMIFS('5.2 Age Profiles'!$DH:$DH,'5.2 Age Profiles'!$B:$B,AverageAge[[#Headers],[AusNet]],'5.2 Age Profiles'!$DK:$DK,AverageAge[[#This Row],[Average Age]]))/VLOOKUP(AverageAge[[#This Row],[Average Age]],Asset_Count_5.2_AgeProfile[#All],MATCH(AverageAge[#Headers],Asset_Count_5.2_AgeProfile[#Headers],0),FALSE),"")</f>
        <v>20.684791580685101</v>
      </c>
      <c r="K29" s="139">
        <f>IFERROR((SUMIFS('5.2 Age Profiles'!$DH:$DH,'5.2 Age Profiles'!$B:$B,AverageAge[[#Headers],[Powercor]],'5.2 Age Profiles'!$DK:$DK,AverageAge[[#This Row],[Average Age]])+SUMIFS('5.2 Age Profiles'!$DH:$DH,'5.2 Age Profiles'!$B:$B,AverageAge[[#Headers],[SA Power]],'5.2 Age Profiles'!$DK:$DK,AverageAge[[#This Row],[Average Age]]))/VLOOKUP(AverageAge[[#This Row],[Average Age]],Asset_Count_5.2_AgeProfile[#All],MATCH(AverageAge[#Headers],Asset_Count_5.2_AgeProfile[#Headers],0),FALSE),"")</f>
        <v>19.484326519182304</v>
      </c>
      <c r="L29" s="6" t="s">
        <v>1515</v>
      </c>
      <c r="M29" s="224"/>
      <c r="N29" s="10"/>
      <c r="O29" s="10"/>
      <c r="P29" s="10"/>
      <c r="Q29" s="10"/>
      <c r="R29" s="10"/>
    </row>
    <row r="30" spans="1:18">
      <c r="A30" s="5" t="s">
        <v>1524</v>
      </c>
      <c r="B30" s="138">
        <f>IFERROR(SUMIFS('5.2 Age Profiles'!$DH:$DH,'5.2 Age Profiles'!$B:$B,AverageAge[#Headers],'5.2 Age Profiles'!$DK:$DK,AverageAge[[#This Row],[Average Age]])/VLOOKUP(AverageAge[[#This Row],[Average Age]],Asset_Count_5.2_AgeProfile[#All],MATCH(AverageAge[#Headers],Asset_Count_5.2_AgeProfile[#Headers],0),FALSE),"")</f>
        <v>13.698069540234712</v>
      </c>
      <c r="C30" s="138">
        <f>IFERROR(SUMIFS('5.2 Age Profiles'!$DH:$DH,'5.2 Age Profiles'!$B:$B,AverageAge[#Headers],'5.2 Age Profiles'!$DK:$DK,AverageAge[[#This Row],[Average Age]])/VLOOKUP(AverageAge[[#This Row],[Average Age]],Asset_Count_5.2_AgeProfile[#All],MATCH(AverageAge[#Headers],Asset_Count_5.2_AgeProfile[#Headers],0),FALSE),"")</f>
        <v>11.118964704918369</v>
      </c>
      <c r="D30" s="138">
        <f>IFERROR(SUMIFS('5.2 Age Profiles'!$DH:$DH,'5.2 Age Profiles'!$B:$B,AverageAge[#Headers],'5.2 Age Profiles'!$DK:$DK,AverageAge[[#This Row],[Average Age]])/VLOOKUP(AverageAge[[#This Row],[Average Age]],Asset_Count_5.2_AgeProfile[#All],MATCH(AverageAge[#Headers],Asset_Count_5.2_AgeProfile[#Headers],0),FALSE),"")</f>
        <v>20.910057194660475</v>
      </c>
      <c r="E30" s="138">
        <f>IFERROR(SUMIFS('5.2 Age Profiles'!$DH:$DH,'5.2 Age Profiles'!$B:$B,AverageAge[#Headers],'5.2 Age Profiles'!$DK:$DK,AverageAge[[#This Row],[Average Age]])/VLOOKUP(AverageAge[[#This Row],[Average Age]],Asset_Count_5.2_AgeProfile[#All],MATCH(AverageAge[#Headers],Asset_Count_5.2_AgeProfile[#Headers],0),FALSE),"")</f>
        <v>15.179989527324743</v>
      </c>
      <c r="F30" s="138">
        <f>IFERROR(SUMIFS('5.2 Age Profiles'!$DH:$DH,'5.2 Age Profiles'!$B:$B,AverageAge[#Headers],'5.2 Age Profiles'!$DK:$DK,AverageAge[[#This Row],[Average Age]])/VLOOKUP(AverageAge[[#This Row],[Average Age]],Asset_Count_5.2_AgeProfile[#All],MATCH(AverageAge[#Headers],Asset_Count_5.2_AgeProfile[#Headers],0),FALSE),"")</f>
        <v>16.340479009576033</v>
      </c>
      <c r="G30" s="138">
        <f>IFERROR(SUMIFS('5.2 Age Profiles'!$DH:$DH,'5.2 Age Profiles'!$B:$B,AverageAge[#Headers],'5.2 Age Profiles'!$DK:$DK,AverageAge[[#This Row],[Average Age]])/VLOOKUP(AverageAge[[#This Row],[Average Age]],Asset_Count_5.2_AgeProfile[#All],MATCH(AverageAge[#Headers],Asset_Count_5.2_AgeProfile[#Headers],0),FALSE),"")</f>
        <v>6.6594079348910569</v>
      </c>
      <c r="H30" s="138">
        <f>IFERROR(SUMIFS('5.2 Age Profiles'!$DH:$DH,'5.2 Age Profiles'!$B:$B,AverageAge[#Headers],'5.2 Age Profiles'!$DK:$DK,AverageAge[[#This Row],[Average Age]])/VLOOKUP(AverageAge[[#This Row],[Average Age]],Asset_Count_5.2_AgeProfile[#All],MATCH(AverageAge[#Headers],Asset_Count_5.2_AgeProfile[#Headers],0),FALSE),"")</f>
        <v>6.6593819487234445</v>
      </c>
      <c r="I30" s="139" t="str">
        <f>IFERROR(SUMIFS('5.2 Age Profiles'!$DH:$DH,'5.2 Age Profiles'!$B:$B,AverageAge[#Headers],'5.2 Age Profiles'!$DK:$DK,AverageAge[[#This Row],[Average Age]])/VLOOKUP(AverageAge[[#This Row],[Average Age]],Asset_Count_5.2_AgeProfile[#All],MATCH(AverageAge[#Headers],Asset_Count_5.2_AgeProfile[#Headers],0),FALSE),"")</f>
        <v/>
      </c>
      <c r="J30" s="139">
        <f>IFERROR((SUMIFS('5.2 Age Profiles'!$DH:$DH,'5.2 Age Profiles'!$B:$B,AverageAge[[#Headers],[Powercor]],'5.2 Age Profiles'!$DK:$DK,AverageAge[[#This Row],[Average Age]])+SUMIFS('5.2 Age Profiles'!$DH:$DH,'5.2 Age Profiles'!$B:$B,AverageAge[[#Headers],[AusNet]],'5.2 Age Profiles'!$DK:$DK,AverageAge[[#This Row],[Average Age]]))/VLOOKUP(AverageAge[[#This Row],[Average Age]],Asset_Count_5.2_AgeProfile[#All],MATCH(AverageAge[#Headers],Asset_Count_5.2_AgeProfile[#Headers],0),FALSE),"")</f>
        <v>15.621836444163238</v>
      </c>
      <c r="K30" s="139">
        <f>IFERROR((SUMIFS('5.2 Age Profiles'!$DH:$DH,'5.2 Age Profiles'!$B:$B,AverageAge[[#Headers],[Powercor]],'5.2 Age Profiles'!$DK:$DK,AverageAge[[#This Row],[Average Age]])+SUMIFS('5.2 Age Profiles'!$DH:$DH,'5.2 Age Profiles'!$B:$B,AverageAge[[#Headers],[SA Power]],'5.2 Age Profiles'!$DK:$DK,AverageAge[[#This Row],[Average Age]]))/VLOOKUP(AverageAge[[#This Row],[Average Age]],Asset_Count_5.2_AgeProfile[#All],MATCH(AverageAge[#Headers],Asset_Count_5.2_AgeProfile[#Headers],0),FALSE),"")</f>
        <v>15.179989527324743</v>
      </c>
      <c r="L30" s="6" t="s">
        <v>1515</v>
      </c>
      <c r="M30" s="224"/>
      <c r="N30" s="10"/>
      <c r="O30" s="10"/>
      <c r="P30" s="10"/>
      <c r="Q30" s="10"/>
    </row>
    <row r="31" spans="1:18" s="44" customFormat="1">
      <c r="A31" s="80" t="s">
        <v>659</v>
      </c>
      <c r="B31" s="139">
        <f>IFERROR(SUMIFS('5.2 Age Profiles'!$DH:$DH,'5.2 Age Profiles'!$B:$B,AverageAge[#Headers],'5.2 Age Profiles'!$DK:$DK,AverageAge[[#This Row],[Average Age]])/VLOOKUP(AverageAge[[#This Row],[Average Age]],Asset_Count_5.2_AgeProfile[#All],MATCH(AverageAge[#Headers],Asset_Count_5.2_AgeProfile[#Headers],0),FALSE),"")</f>
        <v>34.575447530641377</v>
      </c>
      <c r="C31" s="139">
        <f>IFERROR(SUMIFS('5.2 Age Profiles'!$DH:$DH,'5.2 Age Profiles'!$B:$B,AverageAge[#Headers],'5.2 Age Profiles'!$DK:$DK,AverageAge[[#This Row],[Average Age]])/VLOOKUP(AverageAge[[#This Row],[Average Age]],Asset_Count_5.2_AgeProfile[#All],MATCH(AverageAge[#Headers],Asset_Count_5.2_AgeProfile[#Headers],0),FALSE),"")</f>
        <v>11.807707764718648</v>
      </c>
      <c r="D31" s="139">
        <f>IFERROR(SUMIFS('5.2 Age Profiles'!$DH:$DH,'5.2 Age Profiles'!$B:$B,AverageAge[#Headers],'5.2 Age Profiles'!$DK:$DK,AverageAge[[#This Row],[Average Age]])/VLOOKUP(AverageAge[[#This Row],[Average Age]],Asset_Count_5.2_AgeProfile[#All],MATCH(AverageAge[#Headers],Asset_Count_5.2_AgeProfile[#Headers],0),FALSE),"")</f>
        <v>22.90038314176245</v>
      </c>
      <c r="E31" s="139">
        <f>IFERROR(SUMIFS('5.2 Age Profiles'!$DH:$DH,'5.2 Age Profiles'!$B:$B,AverageAge[#Headers],'5.2 Age Profiles'!$DK:$DK,AverageAge[[#This Row],[Average Age]])/VLOOKUP(AverageAge[[#This Row],[Average Age]],Asset_Count_5.2_AgeProfile[#All],MATCH(AverageAge[#Headers],Asset_Count_5.2_AgeProfile[#Headers],0),FALSE),"")</f>
        <v>16.5814421306134</v>
      </c>
      <c r="F31" s="139">
        <f>IFERROR(SUMIFS('5.2 Age Profiles'!$DH:$DH,'5.2 Age Profiles'!$B:$B,AverageAge[#Headers],'5.2 Age Profiles'!$DK:$DK,AverageAge[[#This Row],[Average Age]])/VLOOKUP(AverageAge[[#This Row],[Average Age]],Asset_Count_5.2_AgeProfile[#All],MATCH(AverageAge[#Headers],Asset_Count_5.2_AgeProfile[#Headers],0),FALSE),"")</f>
        <v>16.607173601147775</v>
      </c>
      <c r="G31" s="139">
        <f>IFERROR(SUMIFS('5.2 Age Profiles'!$DH:$DH,'5.2 Age Profiles'!$B:$B,AverageAge[#Headers],'5.2 Age Profiles'!$DK:$DK,AverageAge[[#This Row],[Average Age]])/VLOOKUP(AverageAge[[#This Row],[Average Age]],Asset_Count_5.2_AgeProfile[#All],MATCH(AverageAge[#Headers],Asset_Count_5.2_AgeProfile[#Headers],0),FALSE),"")</f>
        <v>7.3710407239819</v>
      </c>
      <c r="H31" s="139">
        <f>IFERROR(SUMIFS('5.2 Age Profiles'!$DH:$DH,'5.2 Age Profiles'!$B:$B,AverageAge[#Headers],'5.2 Age Profiles'!$DK:$DK,AverageAge[[#This Row],[Average Age]])/VLOOKUP(AverageAge[[#This Row],[Average Age]],Asset_Count_5.2_AgeProfile[#All],MATCH(AverageAge[#Headers],Asset_Count_5.2_AgeProfile[#Headers],0),FALSE),"")</f>
        <v>7.3710407239819</v>
      </c>
      <c r="I31" s="139">
        <f>IFERROR(SUMIFS('5.2 Age Profiles'!$DH:$DH,'5.2 Age Profiles'!$B:$B,AverageAge[#Headers],'5.2 Age Profiles'!$DK:$DK,AverageAge[[#This Row],[Average Age]])/VLOOKUP(AverageAge[[#This Row],[Average Age]],Asset_Count_5.2_AgeProfile[#All],MATCH(AverageAge[#Headers],Asset_Count_5.2_AgeProfile[#Headers],0),FALSE),"")</f>
        <v>25.674194050680086</v>
      </c>
      <c r="J31" s="139">
        <f>IFERROR((SUMIFS('5.2 Age Profiles'!$DH:$DH,'5.2 Age Profiles'!$B:$B,AverageAge[[#Headers],[Powercor]],'5.2 Age Profiles'!$DK:$DK,AverageAge[[#This Row],[Average Age]])+SUMIFS('5.2 Age Profiles'!$DH:$DH,'5.2 Age Profiles'!$B:$B,AverageAge[[#Headers],[AusNet]],'5.2 Age Profiles'!$DK:$DK,AverageAge[[#This Row],[Average Age]]))/VLOOKUP(AverageAge[[#This Row],[Average Age]],Asset_Count_5.2_AgeProfile[#All],MATCH(AverageAge[#Headers],Asset_Count_5.2_AgeProfile[#Headers],0),FALSE),"")</f>
        <v>16.596802557953637</v>
      </c>
      <c r="K31" s="139">
        <f>IFERROR((SUMIFS('5.2 Age Profiles'!$DH:$DH,'5.2 Age Profiles'!$B:$B,AverageAge[[#Headers],[Powercor]],'5.2 Age Profiles'!$DK:$DK,AverageAge[[#This Row],[Average Age]])+SUMIFS('5.2 Age Profiles'!$DH:$DH,'5.2 Age Profiles'!$B:$B,AverageAge[[#Headers],[SA Power]],'5.2 Age Profiles'!$DK:$DK,AverageAge[[#This Row],[Average Age]]))/VLOOKUP(AverageAge[[#This Row],[Average Age]],Asset_Count_5.2_AgeProfile[#All],MATCH(AverageAge[#Headers],Asset_Count_5.2_AgeProfile[#Headers],0),FALSE),"")</f>
        <v>23.022566973626976</v>
      </c>
      <c r="L31" s="6" t="s">
        <v>1515</v>
      </c>
      <c r="M31" s="224"/>
      <c r="N31" s="10"/>
      <c r="O31" s="10"/>
      <c r="P31" s="10"/>
      <c r="Q31" s="10"/>
    </row>
    <row r="32" spans="1:18">
      <c r="A32" s="5" t="s">
        <v>720</v>
      </c>
      <c r="B32" s="138">
        <f>IFERROR(SUMIFS('5.2 Age Profiles'!$DH:$DH,'5.2 Age Profiles'!$B:$B,AverageAge[#Headers],'5.2 Age Profiles'!$DK:$DK,AverageAge[[#This Row],[Average Age]])/VLOOKUP(AverageAge[[#This Row],[Average Age]],Asset_Count_5.2_AgeProfile[#All],MATCH(AverageAge[#Headers],Asset_Count_5.2_AgeProfile[#Headers],0),FALSE),"")</f>
        <v>20.388939277686124</v>
      </c>
      <c r="C32" s="138">
        <f>IFERROR(SUMIFS('5.2 Age Profiles'!$DH:$DH,'5.2 Age Profiles'!$B:$B,AverageAge[#Headers],'5.2 Age Profiles'!$DK:$DK,AverageAge[[#This Row],[Average Age]])/VLOOKUP(AverageAge[[#This Row],[Average Age]],Asset_Count_5.2_AgeProfile[#All],MATCH(AverageAge[#Headers],Asset_Count_5.2_AgeProfile[#Headers],0),FALSE),"")</f>
        <v>24.429420858603876</v>
      </c>
      <c r="D32" s="138">
        <f>IFERROR(SUMIFS('5.2 Age Profiles'!$DH:$DH,'5.2 Age Profiles'!$B:$B,AverageAge[#Headers],'5.2 Age Profiles'!$DK:$DK,AverageAge[[#This Row],[Average Age]])/VLOOKUP(AverageAge[[#This Row],[Average Age]],Asset_Count_5.2_AgeProfile[#All],MATCH(AverageAge[#Headers],Asset_Count_5.2_AgeProfile[#Headers],0),FALSE),"")</f>
        <v>26.566612509390847</v>
      </c>
      <c r="E32" s="138" t="str">
        <f>IFERROR(SUMIFS('5.2 Age Profiles'!$DH:$DH,'5.2 Age Profiles'!$B:$B,AverageAge[#Headers],'5.2 Age Profiles'!$DK:$DK,AverageAge[[#This Row],[Average Age]])/VLOOKUP(AverageAge[[#This Row],[Average Age]],Asset_Count_5.2_AgeProfile[#All],MATCH(AverageAge[#Headers],Asset_Count_5.2_AgeProfile[#Headers],0),FALSE),"")</f>
        <v/>
      </c>
      <c r="F32" s="138">
        <f>IFERROR(SUMIFS('5.2 Age Profiles'!$DH:$DH,'5.2 Age Profiles'!$B:$B,AverageAge[#Headers],'5.2 Age Profiles'!$DK:$DK,AverageAge[[#This Row],[Average Age]])/VLOOKUP(AverageAge[[#This Row],[Average Age]],Asset_Count_5.2_AgeProfile[#All],MATCH(AverageAge[#Headers],Asset_Count_5.2_AgeProfile[#Headers],0),FALSE),"")</f>
        <v>27.652747252747254</v>
      </c>
      <c r="G32" s="138">
        <f>IFERROR(SUMIFS('5.2 Age Profiles'!$DH:$DH,'5.2 Age Profiles'!$B:$B,AverageAge[#Headers],'5.2 Age Profiles'!$DK:$DK,AverageAge[[#This Row],[Average Age]])/VLOOKUP(AverageAge[[#This Row],[Average Age]],Asset_Count_5.2_AgeProfile[#All],MATCH(AverageAge[#Headers],Asset_Count_5.2_AgeProfile[#Headers],0),FALSE),"")</f>
        <v>27.820170480911443</v>
      </c>
      <c r="H32" s="138">
        <f>IFERROR(SUMIFS('5.2 Age Profiles'!$DH:$DH,'5.2 Age Profiles'!$B:$B,AverageAge[#Headers],'5.2 Age Profiles'!$DK:$DK,AverageAge[[#This Row],[Average Age]])/VLOOKUP(AverageAge[[#This Row],[Average Age]],Asset_Count_5.2_AgeProfile[#All],MATCH(AverageAge[#Headers],Asset_Count_5.2_AgeProfile[#Headers],0),FALSE),"")</f>
        <v>27.822064386533246</v>
      </c>
      <c r="I32" s="139" t="str">
        <f>IFERROR(SUMIFS('5.2 Age Profiles'!$DH:$DH,'5.2 Age Profiles'!$B:$B,AverageAge[#Headers],'5.2 Age Profiles'!$DK:$DK,AverageAge[[#This Row],[Average Age]])/VLOOKUP(AverageAge[[#This Row],[Average Age]],Asset_Count_5.2_AgeProfile[#All],MATCH(AverageAge[#Headers],Asset_Count_5.2_AgeProfile[#Headers],0),FALSE),"")</f>
        <v/>
      </c>
      <c r="J32" s="139">
        <f>IFERROR((SUMIFS('5.2 Age Profiles'!$DH:$DH,'5.2 Age Profiles'!$B:$B,AverageAge[[#Headers],[Powercor]],'5.2 Age Profiles'!$DK:$DK,AverageAge[[#This Row],[Average Age]])+SUMIFS('5.2 Age Profiles'!$DH:$DH,'5.2 Age Profiles'!$B:$B,AverageAge[[#Headers],[AusNet]],'5.2 Age Profiles'!$DK:$DK,AverageAge[[#This Row],[Average Age]]))/VLOOKUP(AverageAge[[#This Row],[Average Age]],Asset_Count_5.2_AgeProfile[#All],MATCH(AverageAge[#Headers],Asset_Count_5.2_AgeProfile[#Headers],0),FALSE),"")</f>
        <v>27.652747252747254</v>
      </c>
      <c r="K32" s="139" t="str">
        <f>IFERROR((SUMIFS('5.2 Age Profiles'!$DH:$DH,'5.2 Age Profiles'!$B:$B,AverageAge[[#Headers],[Powercor]],'5.2 Age Profiles'!$DK:$DK,AverageAge[[#This Row],[Average Age]])+SUMIFS('5.2 Age Profiles'!$DH:$DH,'5.2 Age Profiles'!$B:$B,AverageAge[[#Headers],[SA Power]],'5.2 Age Profiles'!$DK:$DK,AverageAge[[#This Row],[Average Age]]))/VLOOKUP(AverageAge[[#This Row],[Average Age]],Asset_Count_5.2_AgeProfile[#All],MATCH(AverageAge[#Headers],Asset_Count_5.2_AgeProfile[#Headers],0),FALSE),"")</f>
        <v/>
      </c>
      <c r="L32" s="6" t="s">
        <v>1515</v>
      </c>
      <c r="M32" s="224"/>
      <c r="N32" s="5"/>
    </row>
    <row r="33" spans="1:21">
      <c r="A33" s="5"/>
      <c r="B33" s="134"/>
      <c r="C33" s="134"/>
      <c r="D33" s="134"/>
      <c r="E33" s="134"/>
      <c r="F33" s="134"/>
      <c r="G33" s="134"/>
      <c r="H33" s="134"/>
      <c r="I33" s="134"/>
      <c r="J33" s="134"/>
      <c r="K33" s="140"/>
      <c r="L33" s="10"/>
      <c r="O33" s="44"/>
      <c r="P33" s="44"/>
      <c r="Q33" s="44"/>
    </row>
    <row r="34" spans="1:21" ht="18.75">
      <c r="A34" s="77" t="s">
        <v>1541</v>
      </c>
      <c r="B34" s="127"/>
      <c r="C34" s="127"/>
      <c r="D34" s="127"/>
      <c r="E34" s="127"/>
      <c r="F34" s="127"/>
      <c r="G34" s="128"/>
      <c r="H34" s="128"/>
      <c r="I34" s="131"/>
      <c r="J34" s="128"/>
      <c r="L34" s="44"/>
      <c r="M34" s="225" t="s">
        <v>1542</v>
      </c>
      <c r="N34" s="44"/>
    </row>
    <row r="35" spans="1:21" s="31" customFormat="1" ht="30">
      <c r="A35" s="141" t="s">
        <v>1334</v>
      </c>
      <c r="B35" s="141" t="s">
        <v>574</v>
      </c>
      <c r="C35" s="141" t="s">
        <v>1147</v>
      </c>
      <c r="D35" s="141" t="s">
        <v>575</v>
      </c>
      <c r="E35" s="141" t="s">
        <v>310</v>
      </c>
      <c r="F35" s="141" t="s">
        <v>1674</v>
      </c>
      <c r="G35" s="141" t="s">
        <v>1560</v>
      </c>
      <c r="H35" s="141" t="s">
        <v>0</v>
      </c>
      <c r="I35" s="141" t="s">
        <v>1218</v>
      </c>
      <c r="J35" s="141" t="s">
        <v>1675</v>
      </c>
      <c r="K35" s="141" t="s">
        <v>1676</v>
      </c>
      <c r="L35" s="141" t="s">
        <v>573</v>
      </c>
      <c r="M35" s="261" t="s">
        <v>1164</v>
      </c>
      <c r="N35" s="141" t="s">
        <v>1552</v>
      </c>
      <c r="O35" s="141" t="s">
        <v>1569</v>
      </c>
      <c r="P35" s="141" t="s">
        <v>1677</v>
      </c>
      <c r="Q35" s="308" t="s">
        <v>1673</v>
      </c>
    </row>
    <row r="36" spans="1:21" s="44" customFormat="1">
      <c r="A36" s="56" t="s">
        <v>1214</v>
      </c>
      <c r="B36" s="60">
        <v>1</v>
      </c>
      <c r="C36" s="60">
        <v>1</v>
      </c>
      <c r="D36" s="60">
        <v>1</v>
      </c>
      <c r="E36" s="60">
        <v>1</v>
      </c>
      <c r="F36" s="60">
        <v>1</v>
      </c>
      <c r="G36" s="60">
        <v>1</v>
      </c>
      <c r="H36" s="142">
        <v>1</v>
      </c>
      <c r="I36" s="142">
        <v>1</v>
      </c>
      <c r="J36" s="142">
        <v>1</v>
      </c>
      <c r="K36" s="142">
        <v>1</v>
      </c>
      <c r="L36" s="59"/>
      <c r="M36" s="227"/>
      <c r="N36" s="59"/>
      <c r="O36" s="59">
        <f>Network_Size_Comparison[[#This Row],[Essential]]</f>
        <v>1</v>
      </c>
      <c r="P36" s="59">
        <f>Network_Size_Comparison[[#This Row],[Essential]]</f>
        <v>1</v>
      </c>
      <c r="Q36" s="307"/>
      <c r="R36"/>
      <c r="S36"/>
      <c r="T36"/>
      <c r="U36"/>
    </row>
    <row r="37" spans="1:21">
      <c r="A37" s="56" t="s">
        <v>1</v>
      </c>
      <c r="B37" s="60">
        <f>VLOOKUP(Network_Size_Comparison[[#This Row],[Category]],Asset_Count_5.2_AgeProfile[#All],MATCH(Network_Size_Comparison[#Headers],Asset_Count_5.2_AgeProfile[#Headers],0),FALSE)</f>
        <v>468899</v>
      </c>
      <c r="C37" s="60">
        <f>VLOOKUP(Network_Size_Comparison[[#This Row],[Category]],Asset_Count_5.2_AgeProfile[#All],MATCH(Network_Size_Comparison[#Headers],Asset_Count_5.2_AgeProfile[#Headers],0),FALSE)</f>
        <v>1004707</v>
      </c>
      <c r="D37" s="60">
        <f>VLOOKUP(Network_Size_Comparison[[#This Row],[Category]],Asset_Count_5.2_AgeProfile[#All],MATCH(Network_Size_Comparison[#Headers],Asset_Count_5.2_AgeProfile[#Headers],0),FALSE)</f>
        <v>305822</v>
      </c>
      <c r="E37" s="60">
        <f>VLOOKUP(Network_Size_Comparison[[#This Row],[Category]],Asset_Count_5.2_AgeProfile[#All],MATCH(Network_Size_Comparison[#Headers],Asset_Count_5.2_AgeProfile[#Headers],0),FALSE)</f>
        <v>547567</v>
      </c>
      <c r="F37" s="60">
        <f>VLOOKUP(Network_Size_Comparison[[#This Row],[Category]],Asset_Count_5.2_AgeProfile[#All],MATCH(Network_Size_Comparison[#Headers],Asset_Count_5.2_AgeProfile[#Headers],0),FALSE)</f>
        <v>372147</v>
      </c>
      <c r="G37" s="60">
        <f>VLOOKUP(Network_Size_Comparison[[#This Row],[Category]],Asset_Count_5.2_AgeProfile[#All],MATCH(Network_Size_Comparison[#Headers],Asset_Count_5.2_AgeProfile[#Headers],0),FALSE)</f>
        <v>1383833.0000000002</v>
      </c>
      <c r="H37" s="60">
        <f>VLOOKUP(Network_Size_Comparison[[#This Row],[Category]],Asset_Count_5.2_AgeProfile[#All],MATCH(Network_Size_Comparison[#Headers],Asset_Count_5.2_AgeProfile[#Headers],0),FALSE)</f>
        <v>1315811</v>
      </c>
      <c r="I37" s="60">
        <f>VLOOKUP(Network_Size_Comparison[[#This Row],[Category]],Asset_Count_5.2_AgeProfile[#All],MATCH(Network_Size_Comparison[#Headers],Asset_Count_5.2_AgeProfile[#Headers],0),FALSE)</f>
        <v>739709</v>
      </c>
      <c r="J37" s="142">
        <f>Network_Size_Comparison[[#This Row],[Powercor]]+Network_Size_Comparison[[#This Row],[AusNet]]</f>
        <v>919714</v>
      </c>
      <c r="K37" s="142">
        <f>Network_Size_Comparison[[#This Row],[Powercor]]+Network_Size_Comparison[[#This Row],[SA Power]]</f>
        <v>1287276</v>
      </c>
      <c r="L37" s="59" t="s">
        <v>1515</v>
      </c>
      <c r="M37" s="227"/>
      <c r="N37" s="59" t="s">
        <v>1650</v>
      </c>
      <c r="O37" s="59">
        <f>Network_Size_Comparison[[#This Row],[Essential]]</f>
        <v>1315811</v>
      </c>
      <c r="P37" s="59">
        <f>Network_Size_Comparison[[#This Row],[Essential]]</f>
        <v>1315811</v>
      </c>
      <c r="Q37" s="60">
        <f>VLOOKUP(Network_Size_Comparison[[#This Row],[Category]],Asset_Count_5.2_AgeProfile[#All],MATCH(Network_Size_Comparison[#Headers],Asset_Count_5.2_AgeProfile[#Headers],0),FALSE)</f>
        <v>44711</v>
      </c>
    </row>
    <row r="38" spans="1:21" s="119" customFormat="1">
      <c r="A38" s="56" t="s">
        <v>1539</v>
      </c>
      <c r="B38" s="60">
        <f>VLOOKUP(Network_Size_Comparison[[#This Row],[Category]],Asset_Count_5.2_AgeProfile[#All],MATCH(Network_Size_Comparison[#Headers],Asset_Count_5.2_AgeProfile[#Headers],0),FALSE)</f>
        <v>59416</v>
      </c>
      <c r="C38" s="187">
        <f>VLOOKUP(Network_Size_Comparison[[#This Row],[Category]],Asset_Count_5.2_AgeProfile[#All],MATCH(Network_Size_Comparison[#Headers],Asset_Count_5.2_AgeProfile[#Headers],0),FALSE)</f>
        <v>88272</v>
      </c>
      <c r="D38" s="187">
        <f>VLOOKUP(Network_Size_Comparison[[#This Row],[Category]],Asset_Count_5.2_AgeProfile[#All],MATCH(Network_Size_Comparison[#Headers],Asset_Count_5.2_AgeProfile[#Headers],0),FALSE)</f>
        <v>0</v>
      </c>
      <c r="E38" s="187">
        <f>VLOOKUP(Network_Size_Comparison[[#This Row],[Category]],Asset_Count_5.2_AgeProfile[#All],MATCH(Network_Size_Comparison[#Headers],Asset_Count_5.2_AgeProfile[#Headers],0),FALSE)</f>
        <v>0</v>
      </c>
      <c r="F38" s="187">
        <f>VLOOKUP(Network_Size_Comparison[[#This Row],[Category]],Asset_Count_5.2_AgeProfile[#All],MATCH(Network_Size_Comparison[#Headers],Asset_Count_5.2_AgeProfile[#Headers],0),FALSE)</f>
        <v>0</v>
      </c>
      <c r="G38" s="187">
        <f>VLOOKUP(Network_Size_Comparison[[#This Row],[Category]],Asset_Count_5.2_AgeProfile[#All],MATCH(Network_Size_Comparison[#Headers],Asset_Count_5.2_AgeProfile[#Headers],0),FALSE)</f>
        <v>0</v>
      </c>
      <c r="H38" s="60">
        <f>VLOOKUP(Network_Size_Comparison[[#This Row],[Category]],Asset_Count_5.2_AgeProfile[#All],MATCH(Network_Size_Comparison[#Headers],Asset_Count_5.2_AgeProfile[#Headers],0),FALSE)</f>
        <v>61672</v>
      </c>
      <c r="I38" s="60">
        <f>VLOOKUP(Network_Size_Comparison[[#This Row],[Category]],Asset_Count_5.2_AgeProfile[#All],MATCH(Network_Size_Comparison[#Headers],Asset_Count_5.2_AgeProfile[#Headers],0),FALSE)</f>
        <v>0</v>
      </c>
      <c r="J38" s="142">
        <f>VLOOKUP(Network_Size_Comparison[[#This Row],[Category]],Asset_Count_5.2_AgeProfile[#All],MATCH(Network_Size_Comparison[#Headers],Asset_Count_5.2_AgeProfile[#Headers],0),FALSE)</f>
        <v>0</v>
      </c>
      <c r="K38" s="142">
        <f>VLOOKUP(Network_Size_Comparison[[#This Row],[Category]],Asset_Count_5.2_AgeProfile[#All],MATCH(Network_Size_Comparison[#Headers],Asset_Count_5.2_AgeProfile[#Headers],0),FALSE)</f>
        <v>0</v>
      </c>
      <c r="L38" s="59" t="s">
        <v>1515</v>
      </c>
      <c r="M38" s="228"/>
      <c r="N38" s="59" t="s">
        <v>1650</v>
      </c>
      <c r="O38" s="59">
        <f>Network_Size_Comparison[[#This Row],[Essential]]</f>
        <v>61672</v>
      </c>
      <c r="P38" s="59">
        <f>Network_Size_Comparison[[#This Row],[Essential]]</f>
        <v>61672</v>
      </c>
      <c r="Q38" s="187">
        <f>VLOOKUP(Network_Size_Comparison[[#This Row],[Category]],Asset_Count_5.2_AgeProfile[#All],MATCH(Network_Size_Comparison[#Headers],Asset_Count_5.2_AgeProfile[#Headers],0),FALSE)</f>
        <v>0</v>
      </c>
      <c r="R38"/>
      <c r="S38" s="44"/>
      <c r="T38" s="44"/>
      <c r="U38" s="44"/>
    </row>
    <row r="39" spans="1:21" s="119" customFormat="1">
      <c r="A39" s="56" t="s">
        <v>1540</v>
      </c>
      <c r="B39" s="60">
        <f>B37+B38</f>
        <v>528315</v>
      </c>
      <c r="C39" s="60">
        <f t="shared" ref="C39:K39" si="0">C37+C38</f>
        <v>1092979</v>
      </c>
      <c r="D39" s="60">
        <f t="shared" si="0"/>
        <v>305822</v>
      </c>
      <c r="E39" s="60">
        <f t="shared" si="0"/>
        <v>547567</v>
      </c>
      <c r="F39" s="60">
        <f t="shared" si="0"/>
        <v>372147</v>
      </c>
      <c r="G39" s="60">
        <f t="shared" si="0"/>
        <v>1383833.0000000002</v>
      </c>
      <c r="H39" s="60">
        <f t="shared" si="0"/>
        <v>1377483</v>
      </c>
      <c r="I39" s="60">
        <f t="shared" si="0"/>
        <v>739709</v>
      </c>
      <c r="J39" s="60">
        <f t="shared" si="0"/>
        <v>919714</v>
      </c>
      <c r="K39" s="60">
        <f t="shared" si="0"/>
        <v>1287276</v>
      </c>
      <c r="L39" s="189" t="s">
        <v>1609</v>
      </c>
      <c r="M39" s="228"/>
      <c r="N39" s="59" t="s">
        <v>1650</v>
      </c>
      <c r="O39" s="59">
        <f>Network_Size_Comparison[[#This Row],[Essential]]</f>
        <v>1377483</v>
      </c>
      <c r="P39" s="59">
        <f>Network_Size_Comparison[[#This Row],[Essential]]</f>
        <v>1377483</v>
      </c>
      <c r="Q39" s="60">
        <f t="shared" ref="Q39" si="1">Q37+Q38</f>
        <v>44711</v>
      </c>
    </row>
    <row r="40" spans="1:21" s="44" customFormat="1">
      <c r="A40" s="56" t="s">
        <v>1572</v>
      </c>
      <c r="B40" s="60">
        <f>B39/B41*B42*0.125+B39</f>
        <v>566155.38841069792</v>
      </c>
      <c r="C40" s="60">
        <f t="shared" ref="C40:K40" si="2">C39/C41*C42*0.125+C39</f>
        <v>1100207.5588813799</v>
      </c>
      <c r="D40" s="60">
        <f t="shared" si="2"/>
        <v>327036.71294318628</v>
      </c>
      <c r="E40" s="60">
        <f t="shared" si="2"/>
        <v>553776.09557150607</v>
      </c>
      <c r="F40" s="60">
        <f t="shared" si="2"/>
        <v>379610.31465511967</v>
      </c>
      <c r="G40" s="60">
        <f t="shared" si="2"/>
        <v>1390899.7824489712</v>
      </c>
      <c r="H40" s="60">
        <f t="shared" si="2"/>
        <v>1385045.1760586121</v>
      </c>
      <c r="I40" s="60">
        <f t="shared" si="2"/>
        <v>761448.1296134704</v>
      </c>
      <c r="J40" s="60">
        <f t="shared" si="2"/>
        <v>933015.4324392518</v>
      </c>
      <c r="K40" s="60">
        <f t="shared" si="2"/>
        <v>1313682.7868417667</v>
      </c>
      <c r="L40" s="189" t="s">
        <v>1609</v>
      </c>
      <c r="M40" s="229" t="s">
        <v>1562</v>
      </c>
      <c r="N40" s="59" t="s">
        <v>1650</v>
      </c>
      <c r="O40" s="59">
        <f>Network_Size_Comparison[[#This Row],[Essential]]</f>
        <v>1385045.1760586121</v>
      </c>
      <c r="P40" s="59">
        <f>Network_Size_Comparison[[#This Row],[Essential]]</f>
        <v>1385045.1760586121</v>
      </c>
      <c r="Q40" s="60">
        <f t="shared" ref="Q40" si="3">Q39/Q41*Q42*0.125+Q39</f>
        <v>50057.098074339454</v>
      </c>
      <c r="S40"/>
      <c r="T40"/>
      <c r="U40"/>
    </row>
    <row r="41" spans="1:21">
      <c r="A41" s="56" t="s">
        <v>718</v>
      </c>
      <c r="B41" s="60">
        <f>VLOOKUP(Network_Size_Comparison[[#This Row],[Category]],Asset_Count_5.2_AgeProfile[#All],MATCH(Network_Size_Comparison[#Headers],Asset_Count_5.2_AgeProfile[#Headers],0),FALSE)</f>
        <v>25774.4420209093</v>
      </c>
      <c r="C41" s="60">
        <f>VLOOKUP(Network_Size_Comparison[[#This Row],[Category]],Asset_Count_5.2_AgeProfile[#All],MATCH(Network_Size_Comparison[#Headers],Asset_Count_5.2_AgeProfile[#Headers],0),FALSE)</f>
        <v>154563.50306842497</v>
      </c>
      <c r="D41" s="60">
        <f>VLOOKUP(Network_Size_Comparison[[#This Row],[Category]],Asset_Count_5.2_AgeProfile[#All],MATCH(Network_Size_Comparison[#Headers],Asset_Count_5.2_AgeProfile[#Headers],0),FALSE)</f>
        <v>28492.71589833383</v>
      </c>
      <c r="E41" s="60">
        <f>VLOOKUP(Network_Size_Comparison[[#This Row],[Category]],Asset_Count_5.2_AgeProfile[#All],MATCH(Network_Size_Comparison[#Headers],Asset_Count_5.2_AgeProfile[#Headers],0),FALSE)</f>
        <v>68843.100000000006</v>
      </c>
      <c r="F41" s="60">
        <f>VLOOKUP(Network_Size_Comparison[[#This Row],[Category]],Asset_Count_5.2_AgeProfile[#All],MATCH(Network_Size_Comparison[#Headers],Asset_Count_5.2_AgeProfile[#Headers],0),FALSE)</f>
        <v>38447.877036400001</v>
      </c>
      <c r="G41" s="60">
        <f>VLOOKUP(Network_Size_Comparison[[#This Row],[Category]],Asset_Count_5.2_AgeProfile[#All],MATCH(Network_Size_Comparison[#Headers],Asset_Count_5.2_AgeProfile[#Headers],0),FALSE)</f>
        <v>182790.50196235679</v>
      </c>
      <c r="H41" s="60">
        <f>VLOOKUP(Network_Size_Comparison[[#This Row],[Category]],Asset_Count_5.2_AgeProfile[#All],MATCH(Network_Size_Comparison[#Headers],Asset_Count_5.2_AgeProfile[#Headers],0),FALSE)</f>
        <v>185285.31999999942</v>
      </c>
      <c r="I41" s="143">
        <f>VLOOKUP(Network_Size_Comparison[[#This Row],[Category]],Table27[#All],MATCH(Network_Size_Comparison[#Headers],Table27[#Headers],0),FALSE)</f>
        <v>71164</v>
      </c>
      <c r="J41" s="142">
        <f>Network_Size_Comparison[[#This Row],[Powercor]]+Network_Size_Comparison[[#This Row],[AusNet]]</f>
        <v>107290.9770364</v>
      </c>
      <c r="K41" s="142">
        <f>Network_Size_Comparison[[#This Row],[Powercor]]+Network_Size_Comparison[[#This Row],[SA Power]]</f>
        <v>140007.1</v>
      </c>
      <c r="L41" s="59" t="s">
        <v>1515</v>
      </c>
      <c r="M41" s="227" t="s">
        <v>1672</v>
      </c>
      <c r="N41" s="59" t="s">
        <v>1554</v>
      </c>
      <c r="O41" s="59">
        <f>Network_Size_Comparison[[#This Row],[Essential]]</f>
        <v>185285.31999999942</v>
      </c>
      <c r="P41" s="59">
        <f>Network_Size_Comparison[[#This Row],[Essential]]</f>
        <v>185285.31999999942</v>
      </c>
      <c r="Q41" s="60">
        <f>VLOOKUP(Network_Size_Comparison[[#This Row],[Category]],Asset_Count_5.2_AgeProfile[#All],MATCH(Network_Size_Comparison[#Headers],Asset_Count_5.2_AgeProfile[#Headers],0),FALSE)</f>
        <v>2233</v>
      </c>
      <c r="S41" s="119"/>
      <c r="T41" s="119"/>
      <c r="U41" s="119"/>
    </row>
    <row r="42" spans="1:21">
      <c r="A42" s="56" t="s">
        <v>572</v>
      </c>
      <c r="B42" s="60">
        <f>VLOOKUP(Network_Size_Comparison[[#This Row],[Category]],Asset_Count_5.2_AgeProfile[#All],MATCH(Network_Size_Comparison[#Headers],Asset_Count_5.2_AgeProfile[#Headers],0),FALSE)</f>
        <v>14768.687576771003</v>
      </c>
      <c r="C42" s="60">
        <f>VLOOKUP(Network_Size_Comparison[[#This Row],[Category]],Asset_Count_5.2_AgeProfile[#All],MATCH(Network_Size_Comparison[#Headers],Asset_Count_5.2_AgeProfile[#Headers],0),FALSE)</f>
        <v>8177.8067673210016</v>
      </c>
      <c r="D42" s="60">
        <f>VLOOKUP(Network_Size_Comparison[[#This Row],[Category]],Asset_Count_5.2_AgeProfile[#All],MATCH(Network_Size_Comparison[#Headers],Asset_Count_5.2_AgeProfile[#Headers],0),FALSE)</f>
        <v>15812.198958999998</v>
      </c>
      <c r="E42" s="60">
        <f>VLOOKUP(Network_Size_Comparison[[#This Row],[Category]],Asset_Count_5.2_AgeProfile[#All],MATCH(Network_Size_Comparison[#Headers],Asset_Count_5.2_AgeProfile[#Headers],0),FALSE)</f>
        <v>6245.1299999999983</v>
      </c>
      <c r="F42" s="60">
        <f>VLOOKUP(Network_Size_Comparison[[#This Row],[Category]],Asset_Count_5.2_AgeProfile[#All],MATCH(Network_Size_Comparison[#Headers],Asset_Count_5.2_AgeProfile[#Headers],0),FALSE)</f>
        <v>6168.5001710399993</v>
      </c>
      <c r="G42" s="60">
        <f>VLOOKUP(Network_Size_Comparison[[#This Row],[Category]],Asset_Count_5.2_AgeProfile[#All],MATCH(Network_Size_Comparison[#Headers],Asset_Count_5.2_AgeProfile[#Headers],0),FALSE)</f>
        <v>7467.6103900177068</v>
      </c>
      <c r="H42" s="60">
        <f>VLOOKUP(Network_Size_Comparison[[#This Row],[Category]],Asset_Count_5.2_AgeProfile[#All],MATCH(Network_Size_Comparison[#Headers],Asset_Count_5.2_AgeProfile[#Headers],0),FALSE)</f>
        <v>8137.5100000001057</v>
      </c>
      <c r="I42" s="60">
        <f>VLOOKUP(Network_Size_Comparison[[#This Row],[Category]],Asset_Count_5.2_AgeProfile[#All],MATCH(Network_Size_Comparison[#Headers],Asset_Count_5.2_AgeProfile[#Headers],0),FALSE)</f>
        <v>16731.373227180004</v>
      </c>
      <c r="J42" s="142">
        <f>Network_Size_Comparison[[#This Row],[Powercor]]+Network_Size_Comparison[[#This Row],[AusNet]]</f>
        <v>12413.630171039997</v>
      </c>
      <c r="K42" s="142">
        <f>Network_Size_Comparison[[#This Row],[Powercor]]+Network_Size_Comparison[[#This Row],[SA Power]]</f>
        <v>22976.503227180001</v>
      </c>
      <c r="L42" s="59" t="s">
        <v>1515</v>
      </c>
      <c r="M42" s="227"/>
      <c r="N42" s="59" t="s">
        <v>1554</v>
      </c>
      <c r="O42" s="59">
        <f>Network_Size_Comparison[[#This Row],[Essential]]</f>
        <v>8137.5100000001057</v>
      </c>
      <c r="P42" s="59">
        <f>Network_Size_Comparison[[#This Row],[Essential]]</f>
        <v>8137.5100000001057</v>
      </c>
      <c r="Q42" s="60">
        <f>VLOOKUP(Network_Size_Comparison[[#This Row],[Category]],Asset_Count_5.2_AgeProfile[#All],MATCH(Network_Size_Comparison[#Headers],Asset_Count_5.2_AgeProfile[#Headers],0),FALSE)</f>
        <v>2136</v>
      </c>
      <c r="R42" s="119"/>
      <c r="S42" s="44"/>
      <c r="T42" s="44"/>
      <c r="U42" s="44"/>
    </row>
    <row r="43" spans="1:21">
      <c r="A43" s="56" t="s">
        <v>1211</v>
      </c>
      <c r="B43" s="60">
        <f>B41+B42</f>
        <v>40543.129597680301</v>
      </c>
      <c r="C43" s="60">
        <f t="shared" ref="C43:G43" si="4">C41+C42</f>
        <v>162741.30983574595</v>
      </c>
      <c r="D43" s="60">
        <f t="shared" si="4"/>
        <v>44304.914857333832</v>
      </c>
      <c r="E43" s="60">
        <f t="shared" si="4"/>
        <v>75088.23000000001</v>
      </c>
      <c r="F43" s="60">
        <f t="shared" si="4"/>
        <v>44616.377207440004</v>
      </c>
      <c r="G43" s="60">
        <f t="shared" si="4"/>
        <v>190258.1123523745</v>
      </c>
      <c r="H43" s="60">
        <f t="shared" ref="H43" si="5">H41+H42</f>
        <v>193422.82999999952</v>
      </c>
      <c r="I43" s="60">
        <f t="shared" ref="I43" si="6">I41+I42</f>
        <v>87895.373227180011</v>
      </c>
      <c r="J43" s="142">
        <f>Network_Size_Comparison[[#This Row],[Powercor]]+Network_Size_Comparison[[#This Row],[AusNet]]</f>
        <v>119704.60720744001</v>
      </c>
      <c r="K43" s="142">
        <f>Network_Size_Comparison[[#This Row],[Powercor]]+Network_Size_Comparison[[#This Row],[SA Power]]</f>
        <v>162983.60322718002</v>
      </c>
      <c r="L43" s="59" t="s">
        <v>1515</v>
      </c>
      <c r="M43" s="227" t="s">
        <v>1215</v>
      </c>
      <c r="N43" s="59" t="s">
        <v>1554</v>
      </c>
      <c r="O43" s="59">
        <f>Network_Size_Comparison[[#This Row],[Essential]]</f>
        <v>193422.82999999952</v>
      </c>
      <c r="P43" s="59">
        <f>Network_Size_Comparison[[#This Row],[Essential]]</f>
        <v>193422.82999999952</v>
      </c>
      <c r="Q43" s="60">
        <f t="shared" ref="Q43" si="7">Q41+Q42</f>
        <v>4369</v>
      </c>
      <c r="R43" s="44"/>
    </row>
    <row r="44" spans="1:21">
      <c r="A44" s="56" t="s">
        <v>1570</v>
      </c>
      <c r="B44" s="60">
        <f>B41+0.125*B42</f>
        <v>27620.527968005677</v>
      </c>
      <c r="C44" s="60">
        <f t="shared" ref="C44:J44" si="8">C41+0.125*C42</f>
        <v>155585.72891434008</v>
      </c>
      <c r="D44" s="60">
        <f t="shared" si="8"/>
        <v>30469.240768208831</v>
      </c>
      <c r="E44" s="60">
        <f t="shared" si="8"/>
        <v>69623.741250000006</v>
      </c>
      <c r="F44" s="60">
        <f t="shared" si="8"/>
        <v>39218.939557780002</v>
      </c>
      <c r="G44" s="60">
        <f t="shared" si="8"/>
        <v>183723.95326110901</v>
      </c>
      <c r="H44" s="142">
        <f t="shared" ref="H44" si="9">H41+0.125*H42</f>
        <v>186302.50874999943</v>
      </c>
      <c r="I44" s="142">
        <f t="shared" si="8"/>
        <v>73255.421653397498</v>
      </c>
      <c r="J44" s="142">
        <f t="shared" si="8"/>
        <v>108842.68080777999</v>
      </c>
      <c r="K44" s="142">
        <f t="shared" ref="K44" si="10">K41+0.125*K42</f>
        <v>142879.16290339752</v>
      </c>
      <c r="L44" s="55" t="s">
        <v>1609</v>
      </c>
      <c r="M44" s="229" t="s">
        <v>1440</v>
      </c>
      <c r="N44" s="232" t="s">
        <v>1554</v>
      </c>
      <c r="O44" s="232">
        <f>Network_Size_Comparison[[#This Row],[Essential]]</f>
        <v>186302.50874999943</v>
      </c>
      <c r="P44" s="232">
        <f>Network_Size_Comparison[[#This Row],[Essential]]</f>
        <v>186302.50874999943</v>
      </c>
      <c r="Q44" s="60">
        <f t="shared" ref="Q44" si="11">Q41+0.125*Q42</f>
        <v>2500</v>
      </c>
    </row>
    <row r="45" spans="1:21" s="44" customFormat="1">
      <c r="A45" s="56" t="s">
        <v>1333</v>
      </c>
      <c r="B45" s="144">
        <f>B41/(B41+B42)</f>
        <v>0.63572897002958551</v>
      </c>
      <c r="C45" s="144">
        <f t="shared" ref="C45:J45" si="12">C41/(C41+C42)</f>
        <v>0.94974965621467089</v>
      </c>
      <c r="D45" s="144">
        <f t="shared" si="12"/>
        <v>0.64310508190983251</v>
      </c>
      <c r="E45" s="144">
        <f t="shared" si="12"/>
        <v>0.9168294418446139</v>
      </c>
      <c r="F45" s="144">
        <f t="shared" si="12"/>
        <v>0.86174358930219519</v>
      </c>
      <c r="G45" s="144">
        <f t="shared" si="12"/>
        <v>0.96075010785249959</v>
      </c>
      <c r="H45" s="144">
        <f t="shared" ref="H45" si="13">H41/(H41+H42)</f>
        <v>0.95792890632403571</v>
      </c>
      <c r="I45" s="144">
        <f t="shared" si="12"/>
        <v>0.80964443732510205</v>
      </c>
      <c r="J45" s="145">
        <f t="shared" si="12"/>
        <v>0.89629780790702551</v>
      </c>
      <c r="K45" s="145">
        <f t="shared" ref="K45" si="14">K41/(K41+K42)</f>
        <v>0.85902567637338667</v>
      </c>
      <c r="L45" s="55" t="s">
        <v>1515</v>
      </c>
      <c r="M45" s="228"/>
      <c r="N45" s="59"/>
      <c r="O45" s="59">
        <f>Network_Size_Comparison[[#This Row],[Essential]]</f>
        <v>0.95792890632403571</v>
      </c>
      <c r="P45" s="59">
        <f>Network_Size_Comparison[[#This Row],[Essential]]</f>
        <v>0.95792890632403571</v>
      </c>
      <c r="Q45" s="144">
        <f t="shared" ref="Q45" si="15">Q41/(Q41+Q42)</f>
        <v>0.51110093842984661</v>
      </c>
      <c r="R45"/>
      <c r="S45"/>
      <c r="T45"/>
      <c r="U45"/>
    </row>
    <row r="46" spans="1:21" s="119" customFormat="1">
      <c r="A46" s="56" t="s">
        <v>1568</v>
      </c>
      <c r="B46" s="60"/>
      <c r="C46" s="187" t="str">
        <f>IFERROR(VLOOKUP(Asset_Count_5.2_AgeProfile[#Headers]&amp;"-Total-"&amp;Asset_Count_5.2_AgeProfile[[#This Row],[Asset Count (5.2 Age Profile)]],'5.2 Age Profiles'!$1:$1048576,MATCH("Total Count",'5.2 Age Profiles'!$1:$1,0),FALSE),"")</f>
        <v/>
      </c>
      <c r="D46" s="187" t="str">
        <f>IFERROR(VLOOKUP(Asset_Count_5.2_AgeProfile[#Headers]&amp;"-Total-"&amp;Asset_Count_5.2_AgeProfile[[#This Row],[Asset Count (5.2 Age Profile)]],'5.2 Age Profiles'!$1:$1048576,MATCH("Total Count",'5.2 Age Profiles'!$1:$1,0),FALSE),"")</f>
        <v/>
      </c>
      <c r="E46" s="187" t="str">
        <f>IFERROR(VLOOKUP(Asset_Count_5.2_AgeProfile[#Headers]&amp;"-Total-"&amp;Asset_Count_5.2_AgeProfile[[#This Row],[Asset Count (5.2 Age Profile)]],'5.2 Age Profiles'!$1:$1048576,MATCH("Total Count",'5.2 Age Profiles'!$1:$1,0),FALSE),"")</f>
        <v/>
      </c>
      <c r="F46" s="187" t="str">
        <f>IFERROR(VLOOKUP(Asset_Count_5.2_AgeProfile[#Headers]&amp;"-Total-"&amp;Asset_Count_5.2_AgeProfile[[#This Row],[Asset Count (5.2 Age Profile)]],'5.2 Age Profiles'!$1:$1048576,MATCH("Total Count",'5.2 Age Profiles'!$1:$1,0),FALSE),"")</f>
        <v/>
      </c>
      <c r="G46" s="187" t="str">
        <f>IFERROR(VLOOKUP(Asset_Count_5.2_AgeProfile[#Headers]&amp;"-Total-"&amp;Asset_Count_5.2_AgeProfile[[#This Row],[Asset Count (5.2 Age Profile)]],'5.2 Age Profiles'!$1:$1048576,MATCH("Total Count",'5.2 Age Profiles'!$1:$1,0),FALSE),"")</f>
        <v/>
      </c>
      <c r="H46" s="144"/>
      <c r="I46" s="60"/>
      <c r="J46" s="145"/>
      <c r="K46" s="142"/>
      <c r="L46" s="189"/>
      <c r="M46" s="228"/>
      <c r="N46" s="55"/>
      <c r="O46" s="59">
        <f>Network_Size_Comparison[[#This Row],[Essential]]</f>
        <v>0</v>
      </c>
      <c r="P46" s="59">
        <f>Network_Size_Comparison[[#This Row],[Essential]]</f>
        <v>0</v>
      </c>
      <c r="Q46" s="187" t="str">
        <f>IFERROR(VLOOKUP(Asset_Count_5.2_AgeProfile[#Headers]&amp;"-Total-"&amp;Asset_Count_5.2_AgeProfile[[#This Row],[Asset Count (5.2 Age Profile)]],'5.2 Age Profiles'!$1:$1048576,MATCH("Total Count",'5.2 Age Profiles'!$1:$1,0),FALSE),"")</f>
        <v/>
      </c>
    </row>
    <row r="47" spans="1:21">
      <c r="A47" s="56" t="s">
        <v>1561</v>
      </c>
      <c r="B47" s="60">
        <v>36952</v>
      </c>
      <c r="C47" s="187">
        <v>141446.783</v>
      </c>
      <c r="D47" s="187">
        <v>26869.678</v>
      </c>
      <c r="E47" s="187">
        <v>66836</v>
      </c>
      <c r="F47" s="187">
        <v>34295</v>
      </c>
      <c r="G47" s="215">
        <v>180741</v>
      </c>
      <c r="H47" s="215">
        <v>180741</v>
      </c>
      <c r="I47" s="216">
        <v>81137</v>
      </c>
      <c r="J47" s="142">
        <f>Network_Size_Comparison[[#This Row],[Powercor]]+Network_Size_Comparison[[#This Row],[AusNet]]</f>
        <v>101131</v>
      </c>
      <c r="K47" s="142">
        <f>Network_Size_Comparison[[#This Row],[Powercor]]+Network_Size_Comparison[[#This Row],[SA Power]]</f>
        <v>147973</v>
      </c>
      <c r="L47" s="189" t="s">
        <v>1544</v>
      </c>
      <c r="M47" s="228" t="s">
        <v>1563</v>
      </c>
      <c r="N47" s="59" t="s">
        <v>1554</v>
      </c>
      <c r="O47" s="59">
        <f>Network_Size_Comparison[[#This Row],[Essential]]</f>
        <v>180741</v>
      </c>
      <c r="P47" s="59">
        <f>Network_Size_Comparison[[#This Row],[Essential]]</f>
        <v>180741</v>
      </c>
      <c r="Q47" s="187">
        <v>3113</v>
      </c>
    </row>
    <row r="48" spans="1:21" s="119" customFormat="1">
      <c r="A48" s="56" t="s">
        <v>1550</v>
      </c>
      <c r="B48" s="144">
        <f>B43/B47</f>
        <v>1.097183632758181</v>
      </c>
      <c r="C48" s="144">
        <f t="shared" ref="C48:K48" si="16">C43/C47</f>
        <v>1.1505479755997416</v>
      </c>
      <c r="D48" s="144">
        <f t="shared" si="16"/>
        <v>1.6488814959871805</v>
      </c>
      <c r="E48" s="144">
        <f t="shared" si="16"/>
        <v>1.123469836614998</v>
      </c>
      <c r="F48" s="144">
        <f t="shared" si="16"/>
        <v>1.3009586589135445</v>
      </c>
      <c r="G48" s="144">
        <f t="shared" si="16"/>
        <v>1.0526560788773687</v>
      </c>
      <c r="H48" s="144">
        <f t="shared" si="16"/>
        <v>1.070165762057306</v>
      </c>
      <c r="I48" s="144">
        <f t="shared" si="16"/>
        <v>1.0832958234489816</v>
      </c>
      <c r="J48" s="144">
        <f t="shared" si="16"/>
        <v>1.1836588900281815</v>
      </c>
      <c r="K48" s="144">
        <f t="shared" si="16"/>
        <v>1.1014415009980201</v>
      </c>
      <c r="L48" s="189" t="s">
        <v>1609</v>
      </c>
      <c r="M48" s="228"/>
      <c r="N48" s="59"/>
      <c r="O48" s="59">
        <f>Network_Size_Comparison[[#This Row],[Essential]]</f>
        <v>1.070165762057306</v>
      </c>
      <c r="P48" s="59">
        <f>Network_Size_Comparison[[#This Row],[Essential]]</f>
        <v>1.070165762057306</v>
      </c>
      <c r="Q48" s="144">
        <f t="shared" ref="Q48" si="17">Q43/Q47</f>
        <v>1.4034693221972374</v>
      </c>
    </row>
    <row r="49" spans="1:21">
      <c r="A49" s="207" t="s">
        <v>1547</v>
      </c>
      <c r="B49" s="208">
        <v>762626</v>
      </c>
      <c r="C49" s="209">
        <v>435992</v>
      </c>
      <c r="D49" s="209">
        <v>301973</v>
      </c>
      <c r="E49" s="209">
        <v>55675</v>
      </c>
      <c r="F49" s="209">
        <v>184143</v>
      </c>
      <c r="G49" s="214">
        <v>322105.32823011361</v>
      </c>
      <c r="H49" s="214">
        <v>322105.32823011361</v>
      </c>
      <c r="I49" s="213">
        <v>84916</v>
      </c>
      <c r="J49" s="142">
        <f>Network_Size_Comparison[[#This Row],[Powercor]]+Network_Size_Comparison[[#This Row],[AusNet]]</f>
        <v>239818</v>
      </c>
      <c r="K49" s="142">
        <f>Network_Size_Comparison[[#This Row],[Powercor]]+Network_Size_Comparison[[#This Row],[SA Power]]</f>
        <v>140591</v>
      </c>
      <c r="L49" s="210" t="s">
        <v>1544</v>
      </c>
      <c r="M49" s="228"/>
      <c r="N49" s="59" t="s">
        <v>1667</v>
      </c>
      <c r="O49" s="59">
        <f>Network_Size_Comparison[[#This Row],[Essential]]</f>
        <v>322105.32823011361</v>
      </c>
      <c r="P49" s="59">
        <f>Network_Size_Comparison[[#This Row],[Essential]]</f>
        <v>322105.32823011361</v>
      </c>
      <c r="Q49" s="209"/>
      <c r="S49" s="44"/>
      <c r="T49" s="44"/>
      <c r="U49" s="44"/>
    </row>
    <row r="50" spans="1:21">
      <c r="A50" s="207" t="s">
        <v>1545</v>
      </c>
      <c r="B50" s="211">
        <v>1340583</v>
      </c>
      <c r="C50" s="209">
        <v>1027813</v>
      </c>
      <c r="D50" s="209">
        <v>301973</v>
      </c>
      <c r="E50" s="209">
        <v>545107</v>
      </c>
      <c r="F50" s="209">
        <v>317316</v>
      </c>
      <c r="G50" s="214">
        <v>1377211</v>
      </c>
      <c r="H50" s="214">
        <v>1377211</v>
      </c>
      <c r="I50" s="213">
        <v>740858</v>
      </c>
      <c r="J50" s="142">
        <f>Network_Size_Comparison[[#This Row],[Powercor]]+Network_Size_Comparison[[#This Row],[AusNet]]</f>
        <v>862423</v>
      </c>
      <c r="K50" s="142">
        <f>Network_Size_Comparison[[#This Row],[Powercor]]+Network_Size_Comparison[[#This Row],[SA Power]]</f>
        <v>1285965</v>
      </c>
      <c r="L50" s="210" t="s">
        <v>1544</v>
      </c>
      <c r="M50" s="228" t="s">
        <v>1549</v>
      </c>
      <c r="N50" s="59" t="s">
        <v>1667</v>
      </c>
      <c r="O50" s="59">
        <f>Network_Size_Comparison[[#This Row],[Essential]]</f>
        <v>1377211</v>
      </c>
      <c r="P50" s="59">
        <f>Network_Size_Comparison[[#This Row],[Essential]]</f>
        <v>1377211</v>
      </c>
      <c r="Q50" s="209"/>
      <c r="R50" s="44"/>
    </row>
    <row r="51" spans="1:21">
      <c r="A51" s="207" t="s">
        <v>1546</v>
      </c>
      <c r="B51" s="208">
        <v>215425</v>
      </c>
      <c r="C51" s="217">
        <v>4199</v>
      </c>
      <c r="D51" s="209">
        <v>107620</v>
      </c>
      <c r="E51" s="209">
        <v>280509</v>
      </c>
      <c r="F51" s="209">
        <v>197610</v>
      </c>
      <c r="G51" s="214">
        <v>1041306.3938121726</v>
      </c>
      <c r="H51" s="214">
        <v>1041306.3938121726</v>
      </c>
      <c r="I51" s="213">
        <v>433652</v>
      </c>
      <c r="J51" s="142">
        <f>Network_Size_Comparison[[#This Row],[Powercor]]+Network_Size_Comparison[[#This Row],[AusNet]]</f>
        <v>478119</v>
      </c>
      <c r="K51" s="142">
        <f>Network_Size_Comparison[[#This Row],[Powercor]]+Network_Size_Comparison[[#This Row],[SA Power]]</f>
        <v>714161</v>
      </c>
      <c r="L51" s="210" t="s">
        <v>1544</v>
      </c>
      <c r="M51" s="228" t="s">
        <v>1548</v>
      </c>
      <c r="N51" s="59" t="s">
        <v>1667</v>
      </c>
      <c r="O51" s="59">
        <f>Network_Size_Comparison[[#This Row],[Essential]]</f>
        <v>1041306.3938121726</v>
      </c>
      <c r="P51" s="59">
        <f>Network_Size_Comparison[[#This Row],[Essential]]</f>
        <v>1041306.3938121726</v>
      </c>
      <c r="Q51" s="209"/>
    </row>
    <row r="52" spans="1:21">
      <c r="A52" s="56" t="s">
        <v>4</v>
      </c>
      <c r="B52" s="60">
        <f>VLOOKUP(Network_Size_Comparison[[#This Row],[Category]],Asset_Count_5.2_AgeProfile[#All],MATCH(Network_Size_Comparison[#Headers],Asset_Count_5.2_AgeProfile[#Headers],0),FALSE)</f>
        <v>32415</v>
      </c>
      <c r="C52" s="60">
        <f>VLOOKUP(Network_Size_Comparison[[#This Row],[Category]],Asset_Count_5.2_AgeProfile[#All],MATCH(Network_Size_Comparison[#Headers],Asset_Count_5.2_AgeProfile[#Headers],0),FALSE)</f>
        <v>96984</v>
      </c>
      <c r="D52" s="60">
        <f>VLOOKUP(Network_Size_Comparison[[#This Row],[Category]],Asset_Count_5.2_AgeProfile[#All],MATCH(Network_Size_Comparison[#Headers],Asset_Count_5.2_AgeProfile[#Headers],0),FALSE)</f>
        <v>29721</v>
      </c>
      <c r="E52" s="60">
        <f>VLOOKUP(Network_Size_Comparison[[#This Row],[Category]],Asset_Count_5.2_AgeProfile[#All],MATCH(Network_Size_Comparison[#Headers],Asset_Count_5.2_AgeProfile[#Headers],0),FALSE)</f>
        <v>84144</v>
      </c>
      <c r="F52" s="60">
        <f>VLOOKUP(Network_Size_Comparison[[#This Row],[Category]],Asset_Count_5.2_AgeProfile[#All],MATCH(Network_Size_Comparison[#Headers],Asset_Count_5.2_AgeProfile[#Headers],0),FALSE)</f>
        <v>58380</v>
      </c>
      <c r="G52" s="60">
        <f>VLOOKUP(Network_Size_Comparison[[#This Row],[Category]],Asset_Count_5.2_AgeProfile[#All],MATCH(Network_Size_Comparison[#Headers],Asset_Count_5.2_AgeProfile[#Headers],0),FALSE)</f>
        <v>135371.99999999997</v>
      </c>
      <c r="H52" s="60">
        <f>VLOOKUP(Network_Size_Comparison[[#This Row],[Category]],Asset_Count_5.2_AgeProfile[#All],MATCH(Network_Size_Comparison[#Headers],Asset_Count_5.2_AgeProfile[#Headers],0),FALSE)</f>
        <v>136125</v>
      </c>
      <c r="I52" s="60">
        <f>VLOOKUP(Network_Size_Comparison[[#This Row],[Category]],Asset_Count_5.2_AgeProfile[#All],MATCH(Network_Size_Comparison[#Headers],Asset_Count_5.2_AgeProfile[#Headers],0),FALSE)</f>
        <v>74305</v>
      </c>
      <c r="J52" s="142">
        <f>Network_Size_Comparison[[#This Row],[Powercor]]+Network_Size_Comparison[[#This Row],[AusNet]]</f>
        <v>142524</v>
      </c>
      <c r="K52" s="142">
        <f>Network_Size_Comparison[[#This Row],[Powercor]]+Network_Size_Comparison[[#This Row],[SA Power]]</f>
        <v>158449</v>
      </c>
      <c r="L52" s="59" t="s">
        <v>1515</v>
      </c>
      <c r="M52" s="227"/>
      <c r="N52" s="59" t="s">
        <v>1666</v>
      </c>
      <c r="O52" s="59">
        <f>Network_Size_Comparison[[#This Row],[Essential]]</f>
        <v>136125</v>
      </c>
      <c r="P52" s="59">
        <f>Network_Size_Comparison[[#This Row],[Essential]]</f>
        <v>136125</v>
      </c>
      <c r="Q52" s="60" t="str">
        <f>VLOOKUP(Network_Size_Comparison[[#This Row],[Category]],Asset_Count_5.2_AgeProfile[#All],MATCH(Network_Size_Comparison[#Headers],Asset_Count_5.2_AgeProfile[#Headers],0),FALSE)</f>
        <v>-</v>
      </c>
    </row>
    <row r="53" spans="1:21">
      <c r="A53" s="183" t="s">
        <v>1530</v>
      </c>
      <c r="B53" s="60">
        <f>VLOOKUP(Network_Size_Comparison[[#This Row],[Category]],Asset_Count_5.2_AgeProfile[#All],MATCH(Network_Size_Comparison[#Headers],Asset_Count_5.2_AgeProfile[#Headers],0),FALSE)</f>
        <v>587</v>
      </c>
      <c r="C53" s="60">
        <f>VLOOKUP(Network_Size_Comparison[[#This Row],[Category]],Asset_Count_5.2_AgeProfile[#All],MATCH(Network_Size_Comparison[#Headers],Asset_Count_5.2_AgeProfile[#Headers],0),FALSE)</f>
        <v>671</v>
      </c>
      <c r="D53" s="60">
        <f>VLOOKUP(Network_Size_Comparison[[#This Row],[Category]],Asset_Count_5.2_AgeProfile[#All],MATCH(Network_Size_Comparison[#Headers],Asset_Count_5.2_AgeProfile[#Headers],0),FALSE)</f>
        <v>455</v>
      </c>
      <c r="E53" s="60">
        <f>VLOOKUP(Network_Size_Comparison[[#This Row],[Category]],Asset_Count_5.2_AgeProfile[#All],MATCH(Network_Size_Comparison[#Headers],Asset_Count_5.2_AgeProfile[#Headers],0),FALSE)</f>
        <v>140</v>
      </c>
      <c r="F53" s="60">
        <f>VLOOKUP(Network_Size_Comparison[[#This Row],[Category]],Asset_Count_5.2_AgeProfile[#All],MATCH(Network_Size_Comparison[#Headers],Asset_Count_5.2_AgeProfile[#Headers],0),FALSE)</f>
        <v>156</v>
      </c>
      <c r="G53" s="60">
        <f>VLOOKUP(Network_Size_Comparison[[#This Row],[Category]],Asset_Count_5.2_AgeProfile[#All],MATCH(Network_Size_Comparison[#Headers],Asset_Count_5.2_AgeProfile[#Headers],0),FALSE)</f>
        <v>1034</v>
      </c>
      <c r="H53" s="60">
        <f>VLOOKUP(Network_Size_Comparison[[#This Row],[Category]],Asset_Count_5.2_AgeProfile[#All],MATCH(Network_Size_Comparison[#Headers],Asset_Count_5.2_AgeProfile[#Headers],0),FALSE)</f>
        <v>1085</v>
      </c>
      <c r="I53" s="60">
        <f>VLOOKUP(Network_Size_Comparison[[#This Row],[Category]],Asset_Count_5.2_AgeProfile[#All],MATCH(Network_Size_Comparison[#Headers],Asset_Count_5.2_AgeProfile[#Headers],0),FALSE)</f>
        <v>737</v>
      </c>
      <c r="J53" s="142">
        <f>Network_Size_Comparison[[#This Row],[Powercor]]+Network_Size_Comparison[[#This Row],[AusNet]]</f>
        <v>296</v>
      </c>
      <c r="K53" s="142">
        <f>Network_Size_Comparison[[#This Row],[Powercor]]+Network_Size_Comparison[[#This Row],[SA Power]]</f>
        <v>877</v>
      </c>
      <c r="L53" s="59" t="s">
        <v>1515</v>
      </c>
      <c r="M53" s="228" t="s">
        <v>1531</v>
      </c>
      <c r="N53" s="59" t="s">
        <v>1665</v>
      </c>
      <c r="O53" s="59">
        <f>Network_Size_Comparison[[#This Row],[Essential]]</f>
        <v>1085</v>
      </c>
      <c r="P53" s="59">
        <f>Network_Size_Comparison[[#This Row],[Essential]]</f>
        <v>1085</v>
      </c>
      <c r="Q53" s="60">
        <f>VLOOKUP(Network_Size_Comparison[[#This Row],[Category]],Asset_Count_5.2_AgeProfile[#All],MATCH(Network_Size_Comparison[#Headers],Asset_Count_5.2_AgeProfile[#Headers],0),FALSE)</f>
        <v>0</v>
      </c>
    </row>
    <row r="54" spans="1:21">
      <c r="A54" s="56" t="s">
        <v>719</v>
      </c>
      <c r="B54" s="143">
        <f>B59*0.015</f>
        <v>24525.794999999998</v>
      </c>
      <c r="C54" s="143">
        <f>C59*0.015</f>
        <v>10536.885</v>
      </c>
      <c r="D54" s="143">
        <f>D59*0.015</f>
        <v>13790.775</v>
      </c>
      <c r="E54" s="60">
        <f>VLOOKUP(Network_Size_Comparison[[#This Row],[Category]],Asset_Count_5.2_AgeProfile[#All],MATCH(Network_Size_Comparison[#Headers],Asset_Count_5.2_AgeProfile[#Headers],0),FALSE)</f>
        <v>10786.220000000001</v>
      </c>
      <c r="F54" s="60">
        <f>VLOOKUP(Network_Size_Comparison[[#This Row],[Category]],Asset_Count_5.2_AgeProfile[#All],MATCH(Network_Size_Comparison[#Headers],Asset_Count_5.2_AgeProfile[#Headers],0),FALSE)</f>
        <v>7621.98</v>
      </c>
      <c r="G54" s="60">
        <f>VLOOKUP(Network_Size_Comparison[[#This Row],[Category]],Asset_Count_5.2_AgeProfile[#All],MATCH(Network_Size_Comparison[#Headers],Asset_Count_5.2_AgeProfile[#Headers],0),FALSE)</f>
        <v>13367.722145196598</v>
      </c>
      <c r="H54" s="60">
        <f>VLOOKUP(Network_Size_Comparison[[#This Row],[Category]],Asset_Count_5.2_AgeProfile[#All],MATCH(Network_Size_Comparison[#Headers],Asset_Count_5.2_AgeProfile[#Headers],0),FALSE)</f>
        <v>16418.771164142265</v>
      </c>
      <c r="I54" s="143">
        <f>I59*0.015</f>
        <v>12716.49</v>
      </c>
      <c r="J54" s="142">
        <f>Network_Size_Comparison[[#This Row],[Powercor]]+Network_Size_Comparison[[#This Row],[AusNet]]</f>
        <v>18408.2</v>
      </c>
      <c r="K54" s="142">
        <f>Network_Size_Comparison[[#This Row],[Powercor]]+Network_Size_Comparison[[#This Row],[SA Power]]</f>
        <v>23502.71</v>
      </c>
      <c r="L54" s="59" t="s">
        <v>1515</v>
      </c>
      <c r="M54" s="227" t="s">
        <v>1318</v>
      </c>
      <c r="N54" s="59" t="s">
        <v>1554</v>
      </c>
      <c r="O54" s="59">
        <f>Network_Size_Comparison[[#This Row],[Essential]]</f>
        <v>16418.771164142265</v>
      </c>
      <c r="P54" s="59">
        <f>Network_Size_Comparison[[#This Row],[Essential]]</f>
        <v>16418.771164142265</v>
      </c>
      <c r="Q54" s="60" t="str">
        <f>VLOOKUP(Network_Size_Comparison[[#This Row],[Category]],Asset_Count_5.2_AgeProfile[#All],MATCH(Network_Size_Comparison[#Headers],Asset_Count_5.2_AgeProfile[#Headers],0),FALSE)</f>
        <v>-</v>
      </c>
      <c r="S54" s="10"/>
    </row>
    <row r="55" spans="1:21">
      <c r="A55" s="56" t="s">
        <v>2</v>
      </c>
      <c r="B55" s="60">
        <f>VLOOKUP(Network_Size_Comparison[[#This Row],[Category]],Asset_Count_5.2_AgeProfile[#All],MATCH(Network_Size_Comparison[#Headers],Asset_Count_5.2_AgeProfile[#Headers],0),FALSE)</f>
        <v>139139</v>
      </c>
      <c r="C55" s="60">
        <f>VLOOKUP(Network_Size_Comparison[[#This Row],[Category]],Asset_Count_5.2_AgeProfile[#All],MATCH(Network_Size_Comparison[#Headers],Asset_Count_5.2_AgeProfile[#Headers],0),FALSE)</f>
        <v>279207.00000011397</v>
      </c>
      <c r="D55" s="60">
        <f>VLOOKUP(Network_Size_Comparison[[#This Row],[Category]],Asset_Count_5.2_AgeProfile[#All],MATCH(Network_Size_Comparison[#Headers],Asset_Count_5.2_AgeProfile[#Headers],0),FALSE)</f>
        <v>70448</v>
      </c>
      <c r="E55" s="60">
        <f>VLOOKUP(Network_Size_Comparison[[#This Row],[Category]],Asset_Count_5.2_AgeProfile[#All],MATCH(Network_Size_Comparison[#Headers],Asset_Count_5.2_AgeProfile[#Headers],0),FALSE)</f>
        <v>343055</v>
      </c>
      <c r="F55" s="60">
        <f>VLOOKUP(Network_Size_Comparison[[#This Row],[Category]],Asset_Count_5.2_AgeProfile[#All],MATCH(Network_Size_Comparison[#Headers],Asset_Count_5.2_AgeProfile[#Headers],0),FALSE)</f>
        <v>112469</v>
      </c>
      <c r="G55" s="60">
        <f>VLOOKUP(Network_Size_Comparison[[#This Row],[Category]],Asset_Count_5.2_AgeProfile[#All],MATCH(Network_Size_Comparison[#Headers],Asset_Count_5.2_AgeProfile[#Headers],0),FALSE)</f>
        <v>462447</v>
      </c>
      <c r="H55" s="60">
        <f>VLOOKUP(Network_Size_Comparison[[#This Row],[Category]],Asset_Count_5.2_AgeProfile[#All],MATCH(Network_Size_Comparison[#Headers],Asset_Count_5.2_AgeProfile[#Headers],0),FALSE)</f>
        <v>469243</v>
      </c>
      <c r="I55" s="143">
        <f>VLOOKUP(Network_Size_Comparison[[#This Row],[Category]],Asset_Count_5.2_AgeProfile[#All],MATCH(Network_Size_Comparison[#Headers],Asset_Count_5.2_AgeProfile[#Headers],0),FALSE)</f>
        <v>14045</v>
      </c>
      <c r="J55" s="142">
        <f>Network_Size_Comparison[[#This Row],[Powercor]]+Network_Size_Comparison[[#This Row],[AusNet]]</f>
        <v>455524</v>
      </c>
      <c r="K55" s="142">
        <f>Network_Size_Comparison[[#This Row],[Powercor]]+Network_Size_Comparison[[#This Row],[SA Power]]</f>
        <v>357100</v>
      </c>
      <c r="L55" s="59" t="s">
        <v>1515</v>
      </c>
      <c r="M55" s="227" t="s">
        <v>1317</v>
      </c>
      <c r="N55" s="59" t="s">
        <v>2</v>
      </c>
      <c r="O55" s="59">
        <f>Network_Size_Comparison[[#This Row],[Essential]]</f>
        <v>469243</v>
      </c>
      <c r="P55" s="59">
        <f>Network_Size_Comparison[[#This Row],[Essential]]</f>
        <v>469243</v>
      </c>
      <c r="Q55" s="60" t="str">
        <f>VLOOKUP(Network_Size_Comparison[[#This Row],[Category]],Asset_Count_5.2_AgeProfile[#All],MATCH(Network_Size_Comparison[#Headers],Asset_Count_5.2_AgeProfile[#Headers],0),FALSE)</f>
        <v>-</v>
      </c>
      <c r="R55" s="10"/>
      <c r="S55" s="10"/>
    </row>
    <row r="56" spans="1:21">
      <c r="A56" s="56" t="s">
        <v>1524</v>
      </c>
      <c r="B56" s="60">
        <f>VLOOKUP(Network_Size_Comparison[[#This Row],[Category]],Asset_Count_5.2_AgeProfile[#All],MATCH(Network_Size_Comparison[#Headers],Asset_Count_5.2_AgeProfile[#Headers],0),FALSE)</f>
        <v>238078</v>
      </c>
      <c r="C56" s="60">
        <f>VLOOKUP(Network_Size_Comparison[[#This Row],[Category]],Asset_Count_5.2_AgeProfile[#All],MATCH(Network_Size_Comparison[#Headers],Asset_Count_5.2_AgeProfile[#Headers],0),FALSE)</f>
        <v>97634</v>
      </c>
      <c r="D56" s="60">
        <f>VLOOKUP(Network_Size_Comparison[[#This Row],[Category]],Asset_Count_5.2_AgeProfile[#All],MATCH(Network_Size_Comparison[#Headers],Asset_Count_5.2_AgeProfile[#Headers],0),FALSE)</f>
        <v>196347</v>
      </c>
      <c r="E56" s="60">
        <f>VLOOKUP(Network_Size_Comparison[[#This Row],[Category]],Asset_Count_5.2_AgeProfile[#All],MATCH(Network_Size_Comparison[#Headers],Asset_Count_5.2_AgeProfile[#Headers],0),FALSE)</f>
        <v>156598</v>
      </c>
      <c r="F56" s="60">
        <f>VLOOKUP(Network_Size_Comparison[[#This Row],[Category]],Asset_Count_5.2_AgeProfile[#All],MATCH(Network_Size_Comparison[#Headers],Asset_Count_5.2_AgeProfile[#Headers],0),FALSE)</f>
        <v>96282.000000000029</v>
      </c>
      <c r="G56" s="60">
        <f>VLOOKUP(Network_Size_Comparison[[#This Row],[Category]],Asset_Count_5.2_AgeProfile[#All],MATCH(Network_Size_Comparison[#Headers],Asset_Count_5.2_AgeProfile[#Headers],0),FALSE)</f>
        <v>149306.99999999997</v>
      </c>
      <c r="H56" s="60">
        <f>VLOOKUP(Network_Size_Comparison[[#This Row],[Category]],Asset_Count_5.2_AgeProfile[#All],MATCH(Network_Size_Comparison[#Headers],Asset_Count_5.2_AgeProfile[#Headers],0),FALSE)</f>
        <v>149308</v>
      </c>
      <c r="I56" s="60">
        <f>VLOOKUP(Network_Size_Comparison[[#This Row],[Category]],Asset_Count_5.2_AgeProfile[#All],MATCH(Network_Size_Comparison[#Headers],Asset_Count_5.2_AgeProfile[#Headers],0),FALSE)</f>
        <v>0</v>
      </c>
      <c r="J56" s="142">
        <f>Network_Size_Comparison[[#This Row],[Powercor]]+Network_Size_Comparison[[#This Row],[AusNet]]</f>
        <v>252880.00000000003</v>
      </c>
      <c r="K56" s="142">
        <f>Network_Size_Comparison[[#This Row],[Powercor]]+Network_Size_Comparison[[#This Row],[SA Power]]</f>
        <v>156598</v>
      </c>
      <c r="L56" s="59" t="s">
        <v>1515</v>
      </c>
      <c r="M56" s="227"/>
      <c r="N56" s="59" t="s">
        <v>1553</v>
      </c>
      <c r="O56" s="59">
        <f>Network_Size_Comparison[[#This Row],[Essential]]</f>
        <v>149308</v>
      </c>
      <c r="P56" s="59">
        <f>Network_Size_Comparison[[#This Row],[Essential]]</f>
        <v>149308</v>
      </c>
      <c r="Q56" s="60" t="str">
        <f>VLOOKUP(Network_Size_Comparison[[#This Row],[Category]],Asset_Count_5.2_AgeProfile[#All],MATCH(Network_Size_Comparison[#Headers],Asset_Count_5.2_AgeProfile[#Headers],0),FALSE)</f>
        <v>-</v>
      </c>
      <c r="R56" s="10"/>
    </row>
    <row r="57" spans="1:21">
      <c r="A57" s="56" t="s">
        <v>659</v>
      </c>
      <c r="B57" s="143">
        <f>VLOOKUP(Network_Size_Comparison[[#This Row],[Category]],Asset_Count_5.2_AgeProfile[#All],MATCH(Network_Size_Comparison[#Headers],Asset_Count_5.2_AgeProfile[#Headers],0),FALSE)</f>
        <v>139557.30263424001</v>
      </c>
      <c r="C57" s="143">
        <f>VLOOKUP(Network_Size_Comparison[[#This Row],[Category]],Asset_Count_5.2_AgeProfile[#All],MATCH(Network_Size_Comparison[#Headers],Asset_Count_5.2_AgeProfile[#Headers],0),FALSE)</f>
        <v>40559.099999999991</v>
      </c>
      <c r="D57" s="60">
        <f>VLOOKUP(Network_Size_Comparison[[#This Row],[Category]],Asset_Count_5.2_AgeProfile[#All],MATCH(Network_Size_Comparison[#Headers],Asset_Count_5.2_AgeProfile[#Headers],0),FALSE)</f>
        <v>2349</v>
      </c>
      <c r="E57" s="60">
        <f>VLOOKUP(Network_Size_Comparison[[#This Row],[Category]],Asset_Count_5.2_AgeProfile[#All],MATCH(Network_Size_Comparison[#Headers],Asset_Count_5.2_AgeProfile[#Headers],0),FALSE)</f>
        <v>7059</v>
      </c>
      <c r="F57" s="60">
        <f>VLOOKUP(Network_Size_Comparison[[#This Row],[Category]],Asset_Count_5.2_AgeProfile[#All],MATCH(Network_Size_Comparison[#Headers],Asset_Count_5.2_AgeProfile[#Headers],0),FALSE)</f>
        <v>10455</v>
      </c>
      <c r="G57" s="60">
        <f>VLOOKUP(Network_Size_Comparison[[#This Row],[Category]],Asset_Count_5.2_AgeProfile[#All],MATCH(Network_Size_Comparison[#Headers],Asset_Count_5.2_AgeProfile[#Headers],0),FALSE)</f>
        <v>884</v>
      </c>
      <c r="H57" s="60">
        <f>VLOOKUP(Network_Size_Comparison[[#This Row],[Category]],Asset_Count_5.2_AgeProfile[#All],MATCH(Network_Size_Comparison[#Headers],Asset_Count_5.2_AgeProfile[#Headers],0),FALSE)</f>
        <v>884</v>
      </c>
      <c r="I57" s="60">
        <f>VLOOKUP(Network_Size_Comparison[[#This Row],[Category]],Asset_Count_5.2_AgeProfile[#All],MATCH(Network_Size_Comparison[#Headers],Asset_Count_5.2_AgeProfile[#Headers],0),FALSE)</f>
        <v>17147.169999999998</v>
      </c>
      <c r="J57" s="142">
        <f>Network_Size_Comparison[[#This Row],[Powercor]]+Network_Size_Comparison[[#This Row],[AusNet]]</f>
        <v>17514</v>
      </c>
      <c r="K57" s="142">
        <f>Network_Size_Comparison[[#This Row],[Powercor]]+Network_Size_Comparison[[#This Row],[SA Power]]</f>
        <v>24206.17</v>
      </c>
      <c r="L57" s="59" t="s">
        <v>1515</v>
      </c>
      <c r="M57" s="227" t="s">
        <v>1216</v>
      </c>
      <c r="N57" s="59" t="s">
        <v>1553</v>
      </c>
      <c r="O57" s="59">
        <f>Network_Size_Comparison[[#This Row],[Essential]]</f>
        <v>884</v>
      </c>
      <c r="P57" s="59">
        <f>Network_Size_Comparison[[#This Row],[Essential]]</f>
        <v>884</v>
      </c>
      <c r="Q57" s="60">
        <f>VLOOKUP(Network_Size_Comparison[[#This Row],[Category]],Asset_Count_5.2_AgeProfile[#All],MATCH(Network_Size_Comparison[#Headers],Asset_Count_5.2_AgeProfile[#Headers],0),FALSE)</f>
        <v>0</v>
      </c>
    </row>
    <row r="58" spans="1:21">
      <c r="A58" s="56" t="s">
        <v>720</v>
      </c>
      <c r="B58" s="60">
        <f>VLOOKUP(Network_Size_Comparison[[#This Row],[Category]],Asset_Count_5.2_AgeProfile[#All],MATCH(Network_Size_Comparison[#Headers],Asset_Count_5.2_AgeProfile[#Headers],0),FALSE)</f>
        <v>2447634</v>
      </c>
      <c r="C58" s="60">
        <f>VLOOKUP(Network_Size_Comparison[[#This Row],[Category]],Asset_Count_5.2_AgeProfile[#All],MATCH(Network_Size_Comparison[#Headers],Asset_Count_5.2_AgeProfile[#Headers],0),FALSE)</f>
        <v>8409</v>
      </c>
      <c r="D58" s="60">
        <f>VLOOKUP(Network_Size_Comparison[[#This Row],[Category]],Asset_Count_5.2_AgeProfile[#All],MATCH(Network_Size_Comparison[#Headers],Asset_Count_5.2_AgeProfile[#Headers],0),FALSE)</f>
        <v>31919.38</v>
      </c>
      <c r="E58" s="60">
        <f>VLOOKUP(Network_Size_Comparison[[#This Row],[Category]],Asset_Count_5.2_AgeProfile[#All],MATCH(Network_Size_Comparison[#Headers],Asset_Count_5.2_AgeProfile[#Headers],0),FALSE)</f>
        <v>0</v>
      </c>
      <c r="F58" s="60">
        <f>VLOOKUP(Network_Size_Comparison[[#This Row],[Category]],Asset_Count_5.2_AgeProfile[#All],MATCH(Network_Size_Comparison[#Headers],Asset_Count_5.2_AgeProfile[#Headers],0),FALSE)</f>
        <v>3640</v>
      </c>
      <c r="G58" s="60">
        <f>VLOOKUP(Network_Size_Comparison[[#This Row],[Category]],Asset_Count_5.2_AgeProfile[#All],MATCH(Network_Size_Comparison[#Headers],Asset_Count_5.2_AgeProfile[#Headers],0),FALSE)</f>
        <v>1459798</v>
      </c>
      <c r="H58" s="60">
        <f>VLOOKUP(Network_Size_Comparison[[#This Row],[Category]],Asset_Count_5.2_AgeProfile[#All],MATCH(Network_Size_Comparison[#Headers],Asset_Count_5.2_AgeProfile[#Headers],0),FALSE)</f>
        <v>1457634</v>
      </c>
      <c r="I58" s="60">
        <f>VLOOKUP(Network_Size_Comparison[[#This Row],[Category]],Asset_Count_5.2_AgeProfile[#All],MATCH(Network_Size_Comparison[#Headers],Asset_Count_5.2_AgeProfile[#Headers],0),FALSE)</f>
        <v>0</v>
      </c>
      <c r="J58" s="142">
        <f>Network_Size_Comparison[[#This Row],[Powercor]]+Network_Size_Comparison[[#This Row],[AusNet]]</f>
        <v>3640</v>
      </c>
      <c r="K58" s="142">
        <f>Network_Size_Comparison[[#This Row],[Powercor]]+Network_Size_Comparison[[#This Row],[SA Power]]</f>
        <v>0</v>
      </c>
      <c r="L58" s="59" t="s">
        <v>1515</v>
      </c>
      <c r="M58" s="227"/>
      <c r="N58" s="59" t="s">
        <v>1553</v>
      </c>
      <c r="O58" s="59">
        <f>Network_Size_Comparison[[#This Row],[Essential]]</f>
        <v>1457634</v>
      </c>
      <c r="P58" s="59">
        <f>Network_Size_Comparison[[#This Row],[Essential]]</f>
        <v>1457634</v>
      </c>
      <c r="Q58" s="60" t="str">
        <f>VLOOKUP(Network_Size_Comparison[[#This Row],[Category]],Asset_Count_5.2_AgeProfile[#All],MATCH(Network_Size_Comparison[#Headers],Asset_Count_5.2_AgeProfile[#Headers],0),FALSE)</f>
        <v>-</v>
      </c>
      <c r="S58" s="10"/>
    </row>
    <row r="59" spans="1:21">
      <c r="A59" s="56" t="s">
        <v>1668</v>
      </c>
      <c r="B59" s="60">
        <v>1635053</v>
      </c>
      <c r="C59" s="143">
        <v>702459</v>
      </c>
      <c r="D59" s="60">
        <v>919385</v>
      </c>
      <c r="E59" s="60">
        <v>753913</v>
      </c>
      <c r="F59" s="60">
        <v>681299</v>
      </c>
      <c r="G59" s="60">
        <v>844244</v>
      </c>
      <c r="H59" s="60">
        <v>844244</v>
      </c>
      <c r="I59" s="60">
        <v>847766</v>
      </c>
      <c r="J59" s="142">
        <f>Network_Size_Comparison[[#This Row],[Powercor]]+Network_Size_Comparison[[#This Row],[AusNet]]</f>
        <v>1435212</v>
      </c>
      <c r="K59" s="142">
        <f>Network_Size_Comparison[[#This Row],[Powercor]]+Network_Size_Comparison[[#This Row],[SA Power]]</f>
        <v>1601679</v>
      </c>
      <c r="L59" s="59" t="s">
        <v>1517</v>
      </c>
      <c r="M59" s="227" t="s">
        <v>1212</v>
      </c>
      <c r="N59" s="59" t="s">
        <v>1664</v>
      </c>
      <c r="O59" s="59">
        <f>Network_Size_Comparison[[#This Row],[Essential]]</f>
        <v>844244</v>
      </c>
      <c r="P59" s="59">
        <f>Network_Size_Comparison[[#This Row],[Essential]]</f>
        <v>844244</v>
      </c>
      <c r="Q59" s="307">
        <v>322736</v>
      </c>
      <c r="R59" s="10"/>
      <c r="S59" s="10"/>
    </row>
    <row r="60" spans="1:21">
      <c r="A60" s="74" t="s">
        <v>1647</v>
      </c>
      <c r="B60" s="146">
        <f>SUM(B40,B44,B52,B53,B54,B55,B56)</f>
        <v>1028520.7113787036</v>
      </c>
      <c r="C60" s="146">
        <f t="shared" ref="C60:K60" si="18">SUM(C40,C44,C52,C53,C54,C55,C56)</f>
        <v>1740826.172795834</v>
      </c>
      <c r="D60" s="146">
        <f t="shared" si="18"/>
        <v>668267.72871139506</v>
      </c>
      <c r="E60" s="146">
        <f t="shared" si="18"/>
        <v>1218123.056821506</v>
      </c>
      <c r="F60" s="146">
        <f t="shared" si="18"/>
        <v>693738.23421289958</v>
      </c>
      <c r="G60" s="146">
        <f t="shared" si="18"/>
        <v>2336151.4578552768</v>
      </c>
      <c r="H60" s="146">
        <f t="shared" si="18"/>
        <v>2343527.4559727535</v>
      </c>
      <c r="I60" s="146">
        <f t="shared" si="18"/>
        <v>936507.04126686789</v>
      </c>
      <c r="J60" s="146">
        <f t="shared" si="18"/>
        <v>1911490.3132470318</v>
      </c>
      <c r="K60" s="146">
        <f t="shared" si="18"/>
        <v>2153088.6597451642</v>
      </c>
      <c r="L60" s="59" t="s">
        <v>1515</v>
      </c>
      <c r="M60" s="228" t="s">
        <v>1646</v>
      </c>
      <c r="N60" s="59" t="s">
        <v>1551</v>
      </c>
      <c r="O60" s="59">
        <f>Network_Size_Comparison[[#This Row],[Essential]]</f>
        <v>2343527.4559727535</v>
      </c>
      <c r="P60" s="59">
        <f>Network_Size_Comparison[[#This Row],[Essential]]</f>
        <v>2343527.4559727535</v>
      </c>
      <c r="Q60" s="146">
        <f t="shared" ref="Q60" si="19">SUM(Q40,Q44,Q52,Q53,Q54,Q55,Q56)</f>
        <v>52557.098074339454</v>
      </c>
      <c r="R60" s="10"/>
      <c r="S60" s="10"/>
    </row>
    <row r="61" spans="1:21">
      <c r="A61" s="87" t="s">
        <v>1315</v>
      </c>
      <c r="B61" s="147">
        <f t="shared" ref="B61:K61" si="20">B59/B43</f>
        <v>40.328731803021704</v>
      </c>
      <c r="C61" s="147">
        <f t="shared" si="20"/>
        <v>4.3164148101609152</v>
      </c>
      <c r="D61" s="147">
        <f t="shared" si="20"/>
        <v>20.751309487006345</v>
      </c>
      <c r="E61" s="147">
        <f t="shared" si="20"/>
        <v>10.040361851651049</v>
      </c>
      <c r="F61" s="147">
        <f t="shared" si="20"/>
        <v>15.270155100947775</v>
      </c>
      <c r="G61" s="147">
        <f t="shared" si="20"/>
        <v>4.4373613800834253</v>
      </c>
      <c r="H61" s="147">
        <f t="shared" si="20"/>
        <v>4.3647588032912248</v>
      </c>
      <c r="I61" s="147">
        <f t="shared" si="20"/>
        <v>9.6451720821391778</v>
      </c>
      <c r="J61" s="149">
        <f t="shared" si="20"/>
        <v>11.989613712301603</v>
      </c>
      <c r="K61" s="149">
        <f t="shared" si="20"/>
        <v>9.8272400921671075</v>
      </c>
      <c r="L61" s="88" t="s">
        <v>1609</v>
      </c>
      <c r="M61" s="228"/>
      <c r="N61" s="59" t="s">
        <v>1555</v>
      </c>
      <c r="O61" s="59">
        <f>Network_Size_Comparison[[#This Row],[Essential]]</f>
        <v>4.3647588032912248</v>
      </c>
      <c r="P61" s="59">
        <f>Network_Size_Comparison[[#This Row],[Essential]]</f>
        <v>4.3647588032912248</v>
      </c>
      <c r="Q61" s="147">
        <f t="shared" ref="Q61" si="21">Q59/Q43</f>
        <v>73.869535362783239</v>
      </c>
      <c r="R61" s="10"/>
      <c r="S61" s="10"/>
    </row>
    <row r="62" spans="1:21">
      <c r="A62" s="56" t="s">
        <v>1319</v>
      </c>
      <c r="B62" s="60">
        <f t="shared" ref="B62:K62" si="22">B43/B59*1000</f>
        <v>24.796217368905044</v>
      </c>
      <c r="C62" s="60">
        <f t="shared" si="22"/>
        <v>231.67374869671534</v>
      </c>
      <c r="D62" s="60">
        <f t="shared" si="22"/>
        <v>48.189729936135386</v>
      </c>
      <c r="E62" s="60">
        <f t="shared" si="22"/>
        <v>99.598004013725728</v>
      </c>
      <c r="F62" s="60">
        <f t="shared" si="22"/>
        <v>65.487219572375722</v>
      </c>
      <c r="G62" s="60">
        <f t="shared" si="22"/>
        <v>225.3591525108553</v>
      </c>
      <c r="H62" s="142">
        <f t="shared" si="22"/>
        <v>229.10773425692039</v>
      </c>
      <c r="I62" s="142">
        <f t="shared" si="22"/>
        <v>103.67881376132094</v>
      </c>
      <c r="J62" s="142">
        <f t="shared" si="22"/>
        <v>83.405522812964236</v>
      </c>
      <c r="K62" s="142">
        <f t="shared" si="22"/>
        <v>101.75796974748374</v>
      </c>
      <c r="L62" s="88" t="s">
        <v>1609</v>
      </c>
      <c r="M62" s="228"/>
      <c r="N62" s="59" t="s">
        <v>1556</v>
      </c>
      <c r="O62" s="59">
        <f>Network_Size_Comparison[[#This Row],[Essential]]</f>
        <v>229.10773425692039</v>
      </c>
      <c r="P62" s="59">
        <f>Network_Size_Comparison[[#This Row],[Essential]]</f>
        <v>229.10773425692039</v>
      </c>
      <c r="Q62" s="60">
        <f t="shared" ref="Q62" si="23">Q43/Q59*1000</f>
        <v>13.537380397600515</v>
      </c>
      <c r="R62" s="10"/>
      <c r="S62" s="10"/>
    </row>
    <row r="63" spans="1:21">
      <c r="A63" s="56" t="s">
        <v>1320</v>
      </c>
      <c r="B63" s="148">
        <f>B60/B59</f>
        <v>0.62904426424018278</v>
      </c>
      <c r="C63" s="148">
        <f t="shared" ref="C63:I63" si="24">C60/C59</f>
        <v>2.478189008605248</v>
      </c>
      <c r="D63" s="148">
        <f t="shared" si="24"/>
        <v>0.72686385867878534</v>
      </c>
      <c r="E63" s="148">
        <f t="shared" si="24"/>
        <v>1.6157342515933615</v>
      </c>
      <c r="F63" s="148">
        <f t="shared" si="24"/>
        <v>1.0182581131234592</v>
      </c>
      <c r="G63" s="148">
        <f t="shared" si="24"/>
        <v>2.7671519819569661</v>
      </c>
      <c r="H63" s="149">
        <f t="shared" ref="H63" si="25">H60/H59</f>
        <v>2.7758887904121954</v>
      </c>
      <c r="I63" s="149">
        <f t="shared" si="24"/>
        <v>1.1046763390686438</v>
      </c>
      <c r="J63" s="149">
        <f t="shared" ref="J63:K63" si="26">J60/J59</f>
        <v>1.331852237332904</v>
      </c>
      <c r="K63" s="149">
        <f t="shared" si="26"/>
        <v>1.3442697692516192</v>
      </c>
      <c r="L63" s="88" t="s">
        <v>1609</v>
      </c>
      <c r="M63" s="228"/>
      <c r="N63" s="59" t="s">
        <v>1557</v>
      </c>
      <c r="O63" s="59">
        <f>Network_Size_Comparison[[#This Row],[Essential]]</f>
        <v>2.7758887904121954</v>
      </c>
      <c r="P63" s="59">
        <f>Network_Size_Comparison[[#This Row],[Essential]]</f>
        <v>2.7758887904121954</v>
      </c>
      <c r="Q63" s="148">
        <f t="shared" ref="Q63" si="27">Q60/Q59</f>
        <v>0.16284857615617548</v>
      </c>
      <c r="R63" s="10"/>
      <c r="S63" s="10"/>
    </row>
    <row r="64" spans="1:21">
      <c r="A64" s="56" t="s">
        <v>1559</v>
      </c>
      <c r="B64" s="60"/>
      <c r="C64" s="187">
        <v>1000000</v>
      </c>
      <c r="D64" s="187">
        <v>24500</v>
      </c>
      <c r="E64" s="187">
        <v>145651</v>
      </c>
      <c r="F64" s="187">
        <v>80000</v>
      </c>
      <c r="G64" s="187">
        <v>737000</v>
      </c>
      <c r="H64" s="188">
        <v>737000</v>
      </c>
      <c r="I64" s="188">
        <v>178200</v>
      </c>
      <c r="J64" s="186"/>
      <c r="K64" s="188"/>
      <c r="L64" s="189" t="s">
        <v>1610</v>
      </c>
      <c r="M64" s="228" t="s">
        <v>1644</v>
      </c>
      <c r="N64" s="59" t="s">
        <v>1558</v>
      </c>
      <c r="O64" s="59">
        <f>Network_Size_Comparison[[#This Row],[Essential]]</f>
        <v>737000</v>
      </c>
      <c r="P64" s="59">
        <f>Network_Size_Comparison[[#This Row],[Essential]]</f>
        <v>737000</v>
      </c>
      <c r="Q64" s="187"/>
      <c r="R64" s="10"/>
      <c r="S64" s="10"/>
    </row>
    <row r="65" spans="1:19" s="119" customFormat="1">
      <c r="A65" s="56" t="s">
        <v>1669</v>
      </c>
      <c r="B65" s="304" t="str">
        <f>IFERROR(B59/B64,"")</f>
        <v/>
      </c>
      <c r="C65" s="304">
        <f t="shared" ref="C65:K65" si="28">IFERROR(C59/C64,"")</f>
        <v>0.70245899999999994</v>
      </c>
      <c r="D65" s="304">
        <f t="shared" si="28"/>
        <v>37.525918367346939</v>
      </c>
      <c r="E65" s="304">
        <f t="shared" si="28"/>
        <v>5.176160822788721</v>
      </c>
      <c r="F65" s="304">
        <f t="shared" si="28"/>
        <v>8.5162375000000008</v>
      </c>
      <c r="G65" s="304">
        <f t="shared" si="28"/>
        <v>1.1455142469470827</v>
      </c>
      <c r="H65" s="304">
        <f t="shared" si="28"/>
        <v>1.1455142469470827</v>
      </c>
      <c r="I65" s="304">
        <f t="shared" si="28"/>
        <v>4.7573849607182943</v>
      </c>
      <c r="J65" s="304" t="str">
        <f t="shared" si="28"/>
        <v/>
      </c>
      <c r="K65" s="304" t="str">
        <f t="shared" si="28"/>
        <v/>
      </c>
      <c r="L65" s="189"/>
      <c r="M65" s="228"/>
      <c r="N65" s="59" t="s">
        <v>1387</v>
      </c>
      <c r="O65" s="59">
        <f>Network_Size_Comparison[[#This Row],[Essential]]</f>
        <v>1.1455142469470827</v>
      </c>
      <c r="P65" s="59">
        <f>Network_Size_Comparison[[#This Row],[Essential]]</f>
        <v>1.1455142469470827</v>
      </c>
      <c r="Q65" s="304" t="str">
        <f t="shared" ref="Q65" si="29">IFERROR(Q59/Q64,"")</f>
        <v/>
      </c>
      <c r="R65" s="10"/>
      <c r="S65" s="10"/>
    </row>
    <row r="66" spans="1:19">
      <c r="A66" s="56" t="s">
        <v>1213</v>
      </c>
      <c r="B66" s="60">
        <f>SUM(B39,B43,B52,B53,B54,B55,B56)</f>
        <v>1003602.9245976803</v>
      </c>
      <c r="C66" s="60">
        <f t="shared" ref="C66:K66" si="30">SUM(C39,C43,C52,C53,C54,C55,C56)</f>
        <v>1740753.1948358598</v>
      </c>
      <c r="D66" s="60">
        <f t="shared" si="30"/>
        <v>660888.6898573339</v>
      </c>
      <c r="E66" s="60">
        <f t="shared" si="30"/>
        <v>1217378.45</v>
      </c>
      <c r="F66" s="60">
        <f t="shared" si="30"/>
        <v>691672.35720743996</v>
      </c>
      <c r="G66" s="60">
        <f t="shared" si="30"/>
        <v>2335618.834497571</v>
      </c>
      <c r="H66" s="60">
        <f t="shared" si="30"/>
        <v>2343085.6011641417</v>
      </c>
      <c r="I66" s="60">
        <f t="shared" si="30"/>
        <v>929407.86322717997</v>
      </c>
      <c r="J66" s="60">
        <f t="shared" si="30"/>
        <v>1909050.80720744</v>
      </c>
      <c r="K66" s="60">
        <f t="shared" si="30"/>
        <v>2146786.3132271799</v>
      </c>
      <c r="L66" s="189"/>
      <c r="M66" s="228" t="s">
        <v>1648</v>
      </c>
      <c r="N66" s="59" t="s">
        <v>1551</v>
      </c>
      <c r="O66" s="59">
        <f>Network_Size_Comparison[[#This Row],[Essential]]</f>
        <v>2343085.6011641417</v>
      </c>
      <c r="P66" s="59">
        <f>Network_Size_Comparison[[#This Row],[Essential]]</f>
        <v>2343085.6011641417</v>
      </c>
      <c r="Q66" s="60">
        <f t="shared" ref="Q66" si="31">SUM(Q39,Q43,Q52,Q53,Q54,Q55,Q56)</f>
        <v>49080</v>
      </c>
    </row>
    <row r="67" spans="1:19" s="119" customFormat="1">
      <c r="A67" s="56" t="s">
        <v>1532</v>
      </c>
      <c r="B67" s="60"/>
      <c r="C67" s="187" t="str">
        <f>IFERROR(VLOOKUP(Asset_Count_5.2_AgeProfile[#Headers]&amp;"-Total-"&amp;Asset_Count_5.2_AgeProfile[[#This Row],[Asset Count (5.2 Age Profile)]],'5.2 Age Profiles'!$1:$1048576,MATCH("Total Count",'5.2 Age Profiles'!$1:$1,0),FALSE),"")</f>
        <v/>
      </c>
      <c r="D67" s="187" t="str">
        <f>IFERROR(VLOOKUP(Asset_Count_5.2_AgeProfile[#Headers]&amp;"-Total-"&amp;Asset_Count_5.2_AgeProfile[[#This Row],[Asset Count (5.2 Age Profile)]],'5.2 Age Profiles'!$1:$1048576,MATCH("Total Count",'5.2 Age Profiles'!$1:$1,0),FALSE),"")</f>
        <v/>
      </c>
      <c r="E67" s="187" t="str">
        <f>IFERROR(VLOOKUP(Asset_Count_5.2_AgeProfile[#Headers]&amp;"-Total-"&amp;Asset_Count_5.2_AgeProfile[[#This Row],[Asset Count (5.2 Age Profile)]],'5.2 Age Profiles'!$1:$1048576,MATCH("Total Count",'5.2 Age Profiles'!$1:$1,0),FALSE),"")</f>
        <v/>
      </c>
      <c r="F67" s="187" t="str">
        <f>IFERROR(VLOOKUP(Asset_Count_5.2_AgeProfile[#Headers]&amp;"-Total-"&amp;Asset_Count_5.2_AgeProfile[[#This Row],[Asset Count (5.2 Age Profile)]],'5.2 Age Profiles'!$1:$1048576,MATCH("Total Count",'5.2 Age Profiles'!$1:$1,0),FALSE),"")</f>
        <v/>
      </c>
      <c r="G67" s="187">
        <v>413</v>
      </c>
      <c r="H67" s="188">
        <v>413</v>
      </c>
      <c r="I67" s="188">
        <v>408</v>
      </c>
      <c r="J67" s="188"/>
      <c r="K67" s="188"/>
      <c r="L67" s="189"/>
      <c r="M67" s="228"/>
      <c r="N67" s="55"/>
      <c r="O67" s="55">
        <f>Network_Size_Comparison[[#This Row],[Essential]]</f>
        <v>413</v>
      </c>
      <c r="P67" s="55">
        <f>Network_Size_Comparison[[#This Row],[Essential]]</f>
        <v>413</v>
      </c>
      <c r="Q67" s="187" t="str">
        <f>IFERROR(VLOOKUP(Asset_Count_5.2_AgeProfile[#Headers]&amp;"-Total-"&amp;Asset_Count_5.2_AgeProfile[[#This Row],[Asset Count (5.2 Age Profile)]],'5.2 Age Profiles'!$1:$1048576,MATCH("Total Count",'5.2 Age Profiles'!$1:$1,0),FALSE),"")</f>
        <v/>
      </c>
    </row>
    <row r="68" spans="1:19">
      <c r="A68" s="125"/>
      <c r="B68" s="188"/>
      <c r="C68" s="188"/>
      <c r="D68" s="188"/>
      <c r="E68" s="188"/>
      <c r="F68" s="188"/>
      <c r="G68" s="188"/>
      <c r="H68" s="186"/>
      <c r="I68" s="188"/>
      <c r="J68" s="186"/>
      <c r="K68" s="188"/>
      <c r="L68" s="201"/>
      <c r="M68" s="230"/>
      <c r="O68" s="10"/>
    </row>
    <row r="69" spans="1:19" ht="18.75">
      <c r="A69" s="77" t="str">
        <f>A70</f>
        <v>Pole Material Comparison</v>
      </c>
      <c r="B69" s="127"/>
      <c r="C69" s="127"/>
      <c r="D69" s="127"/>
      <c r="E69" s="127"/>
      <c r="F69" s="127"/>
      <c r="G69" s="128"/>
      <c r="H69" s="128"/>
      <c r="I69" s="131"/>
      <c r="J69" s="128"/>
      <c r="K69" s="128"/>
      <c r="L69" s="10"/>
      <c r="O69" s="10"/>
    </row>
    <row r="70" spans="1:19" ht="30">
      <c r="A70" s="57" t="s">
        <v>1324</v>
      </c>
      <c r="B70" s="141" t="s">
        <v>574</v>
      </c>
      <c r="C70" s="141" t="s">
        <v>1147</v>
      </c>
      <c r="D70" s="141" t="s">
        <v>575</v>
      </c>
      <c r="E70" s="141" t="s">
        <v>310</v>
      </c>
      <c r="F70" s="141" t="s">
        <v>1674</v>
      </c>
      <c r="G70" s="141" t="s">
        <v>1560</v>
      </c>
      <c r="H70" s="141" t="s">
        <v>0</v>
      </c>
      <c r="I70" s="141" t="s">
        <v>1218</v>
      </c>
      <c r="J70" s="141" t="s">
        <v>1675</v>
      </c>
      <c r="K70" s="141" t="s">
        <v>1676</v>
      </c>
      <c r="L70" s="57" t="s">
        <v>573</v>
      </c>
      <c r="M70" s="226" t="s">
        <v>1164</v>
      </c>
      <c r="N70" s="10"/>
      <c r="O70" s="10"/>
    </row>
    <row r="71" spans="1:19">
      <c r="A71" s="56" t="s">
        <v>1325</v>
      </c>
      <c r="B71" s="60">
        <f>SUMIFS('5.2 Age Profiles'!$DG:$DG,'5.2 Age Profiles'!$B:$B,PoleMaterial[#Headers],'5.2 Age Profiles'!$DL:$DL,PoleMaterial[[#This Row],[Pole Material Comparison]])</f>
        <v>430864</v>
      </c>
      <c r="C71" s="60">
        <f>SUMIFS('5.2 Age Profiles'!$DG:$DG,'5.2 Age Profiles'!$B:$B,PoleMaterial[#Headers],'5.2 Age Profiles'!$DL:$DL,PoleMaterial[[#This Row],[Pole Material Comparison]])</f>
        <v>865057</v>
      </c>
      <c r="D71" s="60">
        <f>SUMIFS('5.2 Age Profiles'!$DG:$DG,'5.2 Age Profiles'!$B:$B,PoleMaterial[#Headers],'5.2 Age Profiles'!$DL:$DL,PoleMaterial[[#This Row],[Pole Material Comparison]])</f>
        <v>266466</v>
      </c>
      <c r="E71" s="60">
        <f>SUMIFS('5.2 Age Profiles'!$DG:$DG,'5.2 Age Profiles'!$B:$B,PoleMaterial[#Headers],'5.2 Age Profiles'!$DL:$DL,PoleMaterial[[#This Row],[Pole Material Comparison]])</f>
        <v>341109</v>
      </c>
      <c r="F71" s="60">
        <f>SUMIFS('5.2 Age Profiles'!$DG:$DG,'5.2 Age Profiles'!$B:$B,PoleMaterial[#Headers],'5.2 Age Profiles'!$DL:$DL,PoleMaterial[[#This Row],[Pole Material Comparison]])</f>
        <v>173539</v>
      </c>
      <c r="G71" s="60">
        <f>SUMIFS('5.2 Age Profiles'!$DG:$DG,'5.2 Age Profiles'!$B:$B,PoleMaterial[#Headers],'5.2 Age Profiles'!$DL:$DL,PoleMaterial[[#This Row],[Pole Material Comparison]])</f>
        <v>1193114.0000000002</v>
      </c>
      <c r="H71" s="60">
        <f>SUMIFS('5.2 Age Profiles'!$DG:$DG,'5.2 Age Profiles'!$B:$B,PoleMaterial[#Headers],'5.2 Age Profiles'!$DL:$DL,PoleMaterial[[#This Row],[Pole Material Comparison]])</f>
        <v>1162622</v>
      </c>
      <c r="I71" s="60">
        <f>SUMIFS('5.2 Age Profiles'!$DG:$DG,'5.2 Age Profiles'!$B:$B,PoleMaterial[#Headers],'5.2 Age Profiles'!$DL:$DL,PoleMaterial[[#This Row],[Pole Material Comparison]])</f>
        <v>0</v>
      </c>
      <c r="J71" s="142">
        <f>PoleMaterial[[#This Row],[Powercor]]+PoleMaterial[[#This Row],[AusNet]]</f>
        <v>514648</v>
      </c>
      <c r="K71" s="142">
        <f>PoleMaterial[[#This Row],[Powercor]]+PoleMaterial[[#This Row],[SA Power]]</f>
        <v>341109</v>
      </c>
      <c r="L71" s="59" t="s">
        <v>1515</v>
      </c>
      <c r="M71" s="227"/>
      <c r="N71" s="10"/>
      <c r="O71" s="10"/>
    </row>
    <row r="72" spans="1:19">
      <c r="A72" s="56" t="s">
        <v>1326</v>
      </c>
      <c r="B72" s="60">
        <f>SUMIFS('5.2 Age Profiles'!$DG:$DG,'5.2 Age Profiles'!$B:$B,PoleMaterial[#Headers],'5.2 Age Profiles'!$DL:$DL,PoleMaterial[[#This Row],[Pole Material Comparison]])</f>
        <v>6675</v>
      </c>
      <c r="C72" s="60">
        <f>SUMIFS('5.2 Age Profiles'!$DG:$DG,'5.2 Age Profiles'!$B:$B,PoleMaterial[#Headers],'5.2 Age Profiles'!$DL:$DL,PoleMaterial[[#This Row],[Pole Material Comparison]])</f>
        <v>30621</v>
      </c>
      <c r="D72" s="60">
        <f>SUMIFS('5.2 Age Profiles'!$DG:$DG,'5.2 Age Profiles'!$B:$B,PoleMaterial[#Headers],'5.2 Age Profiles'!$DL:$DL,PoleMaterial[[#This Row],[Pole Material Comparison]])</f>
        <v>16049</v>
      </c>
      <c r="E72" s="60">
        <f>SUMIFS('5.2 Age Profiles'!$DG:$DG,'5.2 Age Profiles'!$B:$B,PoleMaterial[#Headers],'5.2 Age Profiles'!$DL:$DL,PoleMaterial[[#This Row],[Pole Material Comparison]])</f>
        <v>117952</v>
      </c>
      <c r="F72" s="60">
        <f>SUMIFS('5.2 Age Profiles'!$DG:$DG,'5.2 Age Profiles'!$B:$B,PoleMaterial[#Headers],'5.2 Age Profiles'!$DL:$DL,PoleMaterial[[#This Row],[Pole Material Comparison]])</f>
        <v>112536</v>
      </c>
      <c r="G72" s="60">
        <f>SUMIFS('5.2 Age Profiles'!$DG:$DG,'5.2 Age Profiles'!$B:$B,PoleMaterial[#Headers],'5.2 Age Profiles'!$DL:$DL,PoleMaterial[[#This Row],[Pole Material Comparison]])</f>
        <v>104482</v>
      </c>
      <c r="H72" s="60">
        <f>SUMIFS('5.2 Age Profiles'!$DG:$DG,'5.2 Age Profiles'!$B:$B,PoleMaterial[#Headers],'5.2 Age Profiles'!$DL:$DL,PoleMaterial[[#This Row],[Pole Material Comparison]])</f>
        <v>101101</v>
      </c>
      <c r="I72" s="60">
        <f>SUMIFS('5.2 Age Profiles'!$DG:$DG,'5.2 Age Profiles'!$B:$B,PoleMaterial[#Headers],'5.2 Age Profiles'!$DL:$DL,PoleMaterial[[#This Row],[Pole Material Comparison]])</f>
        <v>0</v>
      </c>
      <c r="J72" s="142">
        <f>PoleMaterial[[#This Row],[Powercor]]+PoleMaterial[[#This Row],[AusNet]]</f>
        <v>230488</v>
      </c>
      <c r="K72" s="142">
        <f>PoleMaterial[[#This Row],[Powercor]]+PoleMaterial[[#This Row],[SA Power]]</f>
        <v>117952</v>
      </c>
      <c r="L72" s="59" t="s">
        <v>1515</v>
      </c>
      <c r="M72" s="227"/>
      <c r="N72" s="10"/>
    </row>
    <row r="73" spans="1:19">
      <c r="A73" s="56" t="s">
        <v>1327</v>
      </c>
      <c r="B73" s="60">
        <f>SUMIFS('5.2 Age Profiles'!$DG:$DG,'5.2 Age Profiles'!$B:$B,PoleMaterial[#Headers],'5.2 Age Profiles'!$DL:$DL,PoleMaterial[[#This Row],[Pole Material Comparison]])</f>
        <v>8323</v>
      </c>
      <c r="C73" s="60">
        <f>SUMIFS('5.2 Age Profiles'!$DG:$DG,'5.2 Age Profiles'!$B:$B,PoleMaterial[#Headers],'5.2 Age Profiles'!$DL:$DL,PoleMaterial[[#This Row],[Pole Material Comparison]])</f>
        <v>65685</v>
      </c>
      <c r="D73" s="60">
        <f>SUMIFS('5.2 Age Profiles'!$DG:$DG,'5.2 Age Profiles'!$B:$B,PoleMaterial[#Headers],'5.2 Age Profiles'!$DL:$DL,PoleMaterial[[#This Row],[Pole Material Comparison]])</f>
        <v>1262</v>
      </c>
      <c r="E73" s="60">
        <f>SUMIFS('5.2 Age Profiles'!$DG:$DG,'5.2 Age Profiles'!$B:$B,PoleMaterial[#Headers],'5.2 Age Profiles'!$DL:$DL,PoleMaterial[[#This Row],[Pole Material Comparison]])</f>
        <v>3190</v>
      </c>
      <c r="F73" s="60">
        <f>SUMIFS('5.2 Age Profiles'!$DG:$DG,'5.2 Age Profiles'!$B:$B,PoleMaterial[#Headers],'5.2 Age Profiles'!$DL:$DL,PoleMaterial[[#This Row],[Pole Material Comparison]])</f>
        <v>53076</v>
      </c>
      <c r="G73" s="60">
        <f>SUMIFS('5.2 Age Profiles'!$DG:$DG,'5.2 Age Profiles'!$B:$B,PoleMaterial[#Headers],'5.2 Age Profiles'!$DL:$DL,PoleMaterial[[#This Row],[Pole Material Comparison]])</f>
        <v>75709.999999999956</v>
      </c>
      <c r="H73" s="60">
        <f>SUMIFS('5.2 Age Profiles'!$DG:$DG,'5.2 Age Profiles'!$B:$B,PoleMaterial[#Headers],'5.2 Age Profiles'!$DL:$DL,PoleMaterial[[#This Row],[Pole Material Comparison]])</f>
        <v>32291</v>
      </c>
      <c r="I73" s="60">
        <f>SUMIFS('5.2 Age Profiles'!$DG:$DG,'5.2 Age Profiles'!$B:$B,PoleMaterial[#Headers],'5.2 Age Profiles'!$DL:$DL,PoleMaterial[[#This Row],[Pole Material Comparison]])</f>
        <v>0</v>
      </c>
      <c r="J73" s="142">
        <f>PoleMaterial[[#This Row],[Powercor]]+PoleMaterial[[#This Row],[AusNet]]</f>
        <v>56266</v>
      </c>
      <c r="K73" s="142">
        <f>PoleMaterial[[#This Row],[Powercor]]+PoleMaterial[[#This Row],[SA Power]]</f>
        <v>3190</v>
      </c>
      <c r="L73" s="59" t="s">
        <v>1515</v>
      </c>
      <c r="M73" s="227"/>
      <c r="N73" s="10"/>
    </row>
    <row r="74" spans="1:19">
      <c r="A74" s="90" t="s">
        <v>1332</v>
      </c>
      <c r="B74" s="150">
        <f>SUMIFS('5.2 Age Profiles'!$DG:$DG,'5.2 Age Profiles'!$B:$B,PoleMaterial[#Headers],'5.2 Age Profiles'!$DL:$DL,PoleMaterial[[#This Row],[Pole Material Comparison]])</f>
        <v>0</v>
      </c>
      <c r="C74" s="150">
        <f>SUMIFS('5.2 Age Profiles'!$DG:$DG,'5.2 Age Profiles'!$B:$B,PoleMaterial[#Headers],'5.2 Age Profiles'!$DL:$DL,PoleMaterial[[#This Row],[Pole Material Comparison]])</f>
        <v>0</v>
      </c>
      <c r="D74" s="150">
        <f>SUMIFS('5.2 Age Profiles'!$DG:$DG,'5.2 Age Profiles'!$B:$B,PoleMaterial[#Headers],'5.2 Age Profiles'!$DL:$DL,PoleMaterial[[#This Row],[Pole Material Comparison]])</f>
        <v>0</v>
      </c>
      <c r="E74" s="150">
        <f>SUMIFS('5.2 Age Profiles'!$DG:$DG,'5.2 Age Profiles'!$B:$B,PoleMaterial[#Headers],'5.2 Age Profiles'!$DL:$DL,PoleMaterial[[#This Row],[Pole Material Comparison]])</f>
        <v>0</v>
      </c>
      <c r="F74" s="150">
        <f>SUMIFS('5.2 Age Profiles'!$DG:$DG,'5.2 Age Profiles'!$B:$B,PoleMaterial[#Headers],'5.2 Age Profiles'!$DL:$DL,PoleMaterial[[#This Row],[Pole Material Comparison]])</f>
        <v>0</v>
      </c>
      <c r="G74" s="150">
        <f>SUMIFS('5.2 Age Profiles'!$DG:$DG,'5.2 Age Profiles'!$B:$B,PoleMaterial[#Headers],'5.2 Age Profiles'!$DL:$DL,PoleMaterial[[#This Row],[Pole Material Comparison]])</f>
        <v>446</v>
      </c>
      <c r="H74" s="150">
        <f>SUMIFS('5.2 Age Profiles'!$DG:$DG,'5.2 Age Profiles'!$B:$B,PoleMaterial[#Headers],'5.2 Age Profiles'!$DL:$DL,PoleMaterial[[#This Row],[Pole Material Comparison]])</f>
        <v>0</v>
      </c>
      <c r="I74" s="150">
        <f>SUMIFS('5.2 Age Profiles'!$DG:$DG,'5.2 Age Profiles'!$B:$B,PoleMaterial[#Headers],'5.2 Age Profiles'!$DL:$DL,PoleMaterial[[#This Row],[Pole Material Comparison]])</f>
        <v>739709</v>
      </c>
      <c r="J74" s="151">
        <f>PoleMaterial[[#This Row],[Powercor]]+PoleMaterial[[#This Row],[AusNet]]</f>
        <v>0</v>
      </c>
      <c r="K74" s="151">
        <f>PoleMaterial[[#This Row],[Powercor]]+PoleMaterial[[#This Row],[SA Power]]</f>
        <v>739709</v>
      </c>
      <c r="L74" s="59" t="s">
        <v>1515</v>
      </c>
      <c r="M74" s="227"/>
    </row>
    <row r="75" spans="1:19">
      <c r="A75" s="90" t="s">
        <v>720</v>
      </c>
      <c r="B75" s="150">
        <f>SUMIFS('5.2 Age Profiles'!$DG:$DG,'5.2 Age Profiles'!$B:$B,PoleMaterial[#Headers],'5.2 Age Profiles'!$DL:$DL,PoleMaterial[[#This Row],[Pole Material Comparison]])</f>
        <v>0</v>
      </c>
      <c r="C75" s="150">
        <f>SUMIFS('5.2 Age Profiles'!$DG:$DG,'5.2 Age Profiles'!$B:$B,PoleMaterial[#Headers],'5.2 Age Profiles'!$DL:$DL,PoleMaterial[[#This Row],[Pole Material Comparison]])</f>
        <v>0</v>
      </c>
      <c r="D75" s="150">
        <f>SUMIFS('5.2 Age Profiles'!$DG:$DG,'5.2 Age Profiles'!$B:$B,PoleMaterial[#Headers],'5.2 Age Profiles'!$DL:$DL,PoleMaterial[[#This Row],[Pole Material Comparison]])</f>
        <v>22045</v>
      </c>
      <c r="E75" s="150">
        <f>SUMIFS('5.2 Age Profiles'!$DG:$DG,'5.2 Age Profiles'!$B:$B,PoleMaterial[#Headers],'5.2 Age Profiles'!$DL:$DL,PoleMaterial[[#This Row],[Pole Material Comparison]])</f>
        <v>4132</v>
      </c>
      <c r="F75" s="150">
        <f>SUMIFS('5.2 Age Profiles'!$DG:$DG,'5.2 Age Profiles'!$B:$B,PoleMaterial[#Headers],'5.2 Age Profiles'!$DL:$DL,PoleMaterial[[#This Row],[Pole Material Comparison]])</f>
        <v>0</v>
      </c>
      <c r="G75" s="150">
        <f>SUMIFS('5.2 Age Profiles'!$DG:$DG,'5.2 Age Profiles'!$B:$B,PoleMaterial[#Headers],'5.2 Age Profiles'!$DL:$DL,PoleMaterial[[#This Row],[Pole Material Comparison]])</f>
        <v>364.00000000000011</v>
      </c>
      <c r="H75" s="150">
        <f>SUMIFS('5.2 Age Profiles'!$DG:$DG,'5.2 Age Profiles'!$B:$B,PoleMaterial[#Headers],'5.2 Age Profiles'!$DL:$DL,PoleMaterial[[#This Row],[Pole Material Comparison]])</f>
        <v>11902</v>
      </c>
      <c r="I75" s="150">
        <f>SUMIFS('5.2 Age Profiles'!$DG:$DG,'5.2 Age Profiles'!$B:$B,PoleMaterial[#Headers],'5.2 Age Profiles'!$DL:$DL,PoleMaterial[[#This Row],[Pole Material Comparison]])</f>
        <v>0</v>
      </c>
      <c r="J75" s="151">
        <f>PoleMaterial[[#This Row],[Powercor]]+PoleMaterial[[#This Row],[AusNet]]</f>
        <v>4132</v>
      </c>
      <c r="K75" s="151">
        <f>PoleMaterial[[#This Row],[Powercor]]+PoleMaterial[[#This Row],[SA Power]]</f>
        <v>4132</v>
      </c>
      <c r="L75" s="59" t="s">
        <v>1515</v>
      </c>
      <c r="M75" s="227"/>
    </row>
    <row r="76" spans="1:19">
      <c r="A76" s="56" t="s">
        <v>1533</v>
      </c>
      <c r="B76" s="60">
        <f>SUMIFS('5.2 Age Profiles'!$DG:$DG,'5.2 Age Profiles'!$B:$B,PoleMaterial[#Headers],'5.2 Age Profiles'!$DL:$DL,PoleMaterial[[#This Row],[Pole Material Comparison]])</f>
        <v>0</v>
      </c>
      <c r="C76" s="187">
        <f>SUMIFS('5.2 Age Profiles'!$DG:$DG,'5.2 Age Profiles'!$B:$B,PoleMaterial[#Headers],'5.2 Age Profiles'!$DL:$DL,PoleMaterial[[#This Row],[Pole Material Comparison]])</f>
        <v>0</v>
      </c>
      <c r="D76" s="187">
        <f>SUMIFS('5.2 Age Profiles'!$DG:$DG,'5.2 Age Profiles'!$B:$B,PoleMaterial[#Headers],'5.2 Age Profiles'!$DL:$DL,PoleMaterial[[#This Row],[Pole Material Comparison]])</f>
        <v>0</v>
      </c>
      <c r="E76" s="187">
        <f>SUMIFS('5.2 Age Profiles'!$DG:$DG,'5.2 Age Profiles'!$B:$B,PoleMaterial[#Headers],'5.2 Age Profiles'!$DL:$DL,PoleMaterial[[#This Row],[Pole Material Comparison]])</f>
        <v>0</v>
      </c>
      <c r="F76" s="187">
        <f>SUMIFS('5.2 Age Profiles'!$DG:$DG,'5.2 Age Profiles'!$B:$B,PoleMaterial[#Headers],'5.2 Age Profiles'!$DL:$DL,PoleMaterial[[#This Row],[Pole Material Comparison]])</f>
        <v>0</v>
      </c>
      <c r="G76" s="187">
        <f>SUMIFS('5.2 Age Profiles'!$DG:$DG,'5.2 Age Profiles'!$B:$B,PoleMaterial[#Headers],'5.2 Age Profiles'!$DL:$DL,PoleMaterial[[#This Row],[Pole Material Comparison]])</f>
        <v>0</v>
      </c>
      <c r="H76" s="187">
        <f>SUMIFS('5.2 Age Profiles'!$DG:$DG,'5.2 Age Profiles'!$B:$B,PoleMaterial[#Headers],'5.2 Age Profiles'!$DL:$DL,PoleMaterial[[#This Row],[Pole Material Comparison]])</f>
        <v>0</v>
      </c>
      <c r="I76" s="187">
        <f>SUMIFS('5.2 Age Profiles'!$DG:$DG,'5.2 Age Profiles'!$B:$B,PoleMaterial[#Headers],'5.2 Age Profiles'!$DL:$DL,PoleMaterial[[#This Row],[Pole Material Comparison]])</f>
        <v>0</v>
      </c>
      <c r="J76" s="142">
        <f>PoleMaterial[[#This Row],[Powercor]]+PoleMaterial[[#This Row],[AusNet]]</f>
        <v>0</v>
      </c>
      <c r="K76" s="142">
        <f>PoleMaterial[[#This Row],[Powercor]]+PoleMaterial[[#This Row],[SA Power]]</f>
        <v>0</v>
      </c>
      <c r="L76" s="59"/>
      <c r="M76" s="227"/>
    </row>
    <row r="77" spans="1:19">
      <c r="A77" s="125" t="s">
        <v>6</v>
      </c>
      <c r="B77" s="152">
        <f>SUBTOTAL(109,PoleMaterial[Ausgrid])</f>
        <v>445862</v>
      </c>
      <c r="C77" s="152">
        <f>SUBTOTAL(109,PoleMaterial[Ergon])</f>
        <v>961363</v>
      </c>
      <c r="D77" s="152">
        <f>SUBTOTAL(109,PoleMaterial[Endeavour])</f>
        <v>305822</v>
      </c>
      <c r="E77" s="152">
        <f>SUBTOTAL(109,PoleMaterial[Powercor])</f>
        <v>466383</v>
      </c>
      <c r="F77" s="152">
        <f>SUBTOTAL(109,PoleMaterial[AusNet])</f>
        <v>339151</v>
      </c>
      <c r="G77" s="152">
        <f>SUBTOTAL(109,PoleMaterial[Essential (Original)])</f>
        <v>1374116.0000000002</v>
      </c>
      <c r="H77" s="152">
        <f>SUBTOTAL(109,PoleMaterial[Essential])</f>
        <v>1307916</v>
      </c>
      <c r="I77" s="152">
        <f>SUBTOTAL(109,PoleMaterial[SA Power])</f>
        <v>739709</v>
      </c>
      <c r="J77" s="152">
        <f>SUBTOTAL(109,PoleMaterial[AusNet + Powercor])</f>
        <v>805534</v>
      </c>
      <c r="K77" s="152">
        <f>SUBTOTAL(109,PoleMaterial[SA Power + Powercor])</f>
        <v>1206092</v>
      </c>
      <c r="L77" s="126"/>
      <c r="M77" s="231"/>
    </row>
    <row r="78" spans="1:19">
      <c r="A78" s="5"/>
      <c r="B78" s="127"/>
      <c r="C78" s="127"/>
      <c r="D78" s="127"/>
      <c r="E78" s="127"/>
      <c r="F78" s="127"/>
      <c r="G78" s="127"/>
      <c r="H78" s="128"/>
      <c r="I78" s="128"/>
      <c r="J78" s="128"/>
      <c r="K78" s="128"/>
      <c r="L78" s="10"/>
    </row>
    <row r="79" spans="1:19" ht="18.75">
      <c r="A79" s="77" t="str">
        <f>A80</f>
        <v>Pole Material Comparison</v>
      </c>
      <c r="B79" s="127"/>
      <c r="C79" s="127"/>
      <c r="D79" s="127"/>
      <c r="E79" s="127"/>
      <c r="F79" s="127"/>
      <c r="G79" s="128"/>
      <c r="H79" s="128"/>
      <c r="I79" s="131"/>
      <c r="J79" s="128"/>
      <c r="K79" s="128"/>
      <c r="L79" s="10"/>
    </row>
    <row r="80" spans="1:19" ht="30">
      <c r="A80" s="57" t="s">
        <v>1324</v>
      </c>
      <c r="B80" s="141" t="s">
        <v>574</v>
      </c>
      <c r="C80" s="141" t="s">
        <v>1147</v>
      </c>
      <c r="D80" s="141" t="s">
        <v>575</v>
      </c>
      <c r="E80" s="141" t="s">
        <v>310</v>
      </c>
      <c r="F80" s="141" t="s">
        <v>1674</v>
      </c>
      <c r="G80" s="141" t="s">
        <v>1560</v>
      </c>
      <c r="H80" s="141" t="s">
        <v>0</v>
      </c>
      <c r="I80" s="141" t="s">
        <v>1218</v>
      </c>
      <c r="J80" s="141" t="s">
        <v>1675</v>
      </c>
      <c r="K80" s="141" t="s">
        <v>1676</v>
      </c>
      <c r="L80" s="57" t="s">
        <v>573</v>
      </c>
      <c r="M80" s="226" t="s">
        <v>1164</v>
      </c>
    </row>
    <row r="81" spans="1:13">
      <c r="A81" s="56" t="str">
        <f t="shared" ref="A81:A85" si="32">A71</f>
        <v>Wood</v>
      </c>
      <c r="B81" s="153">
        <f>VLOOKUP(PoleMaterial26[[#This Row],[Pole Material Comparison]],PoleMaterial[#All],MATCH(PoleMaterial26[#Headers],PoleMaterial[#Headers],0),FALSE)/VLOOKUP("Total",PoleMaterial[#All],MATCH(PoleMaterial26[#Headers],PoleMaterial[#Headers],0),FALSE)</f>
        <v>0.96636178907374926</v>
      </c>
      <c r="C81" s="153">
        <f>VLOOKUP(PoleMaterial26[[#This Row],[Pole Material Comparison]],PoleMaterial[#All],MATCH(PoleMaterial26[#Headers],PoleMaterial[#Headers],0),FALSE)/VLOOKUP("Total",PoleMaterial[#All],MATCH(PoleMaterial26[#Headers],PoleMaterial[#Headers],0),FALSE)</f>
        <v>0.89982347978859178</v>
      </c>
      <c r="D81" s="153">
        <f>VLOOKUP(PoleMaterial26[[#This Row],[Pole Material Comparison]],PoleMaterial[#All],MATCH(PoleMaterial26[#Headers],PoleMaterial[#Headers],0),FALSE)/VLOOKUP("Total",PoleMaterial[#All],MATCH(PoleMaterial26[#Headers],PoleMaterial[#Headers],0),FALSE)</f>
        <v>0.87131076246967187</v>
      </c>
      <c r="E81" s="153">
        <f>VLOOKUP(PoleMaterial26[[#This Row],[Pole Material Comparison]],PoleMaterial[#All],MATCH(PoleMaterial26[#Headers],PoleMaterial[#Headers],0),FALSE)/VLOOKUP("Total",PoleMaterial[#All],MATCH(PoleMaterial26[#Headers],PoleMaterial[#Headers],0),FALSE)</f>
        <v>0.73139243926129383</v>
      </c>
      <c r="F81" s="153">
        <f>VLOOKUP(PoleMaterial26[[#This Row],[Pole Material Comparison]],PoleMaterial[#All],MATCH(PoleMaterial26[#Headers],PoleMaterial[#Headers],0),FALSE)/VLOOKUP("Total",PoleMaterial[#All],MATCH(PoleMaterial26[#Headers],PoleMaterial[#Headers],0),FALSE)</f>
        <v>0.51168653490628069</v>
      </c>
      <c r="G81" s="153">
        <f>VLOOKUP(PoleMaterial26[[#This Row],[Pole Material Comparison]],PoleMaterial[#All],MATCH(PoleMaterial26[#Headers],PoleMaterial[#Headers],0),FALSE)/VLOOKUP("Total",PoleMaterial[#All],MATCH(PoleMaterial26[#Headers],PoleMaterial[#Headers],0),FALSE)</f>
        <v>0.8682774962230263</v>
      </c>
      <c r="H81" s="153">
        <f>VLOOKUP(PoleMaterial26[[#This Row],[Pole Material Comparison]],PoleMaterial[#All],MATCH(PoleMaterial26[#Headers],PoleMaterial[#Headers],0),FALSE)/VLOOKUP("Total",PoleMaterial[#All],MATCH(PoleMaterial26[#Headers],PoleMaterial[#Headers],0),FALSE)</f>
        <v>0.88891182614174002</v>
      </c>
      <c r="I81" s="153">
        <f>VLOOKUP(PoleMaterial26[[#This Row],[Pole Material Comparison]],PoleMaterial[#All],MATCH(PoleMaterial26[#Headers],PoleMaterial[#Headers],0),FALSE)/VLOOKUP("Total",PoleMaterial[#All],MATCH(PoleMaterial26[#Headers],PoleMaterial[#Headers],0),FALSE)</f>
        <v>0</v>
      </c>
      <c r="J81" s="154">
        <f>VLOOKUP(PoleMaterial26[[#This Row],[Pole Material Comparison]],PoleMaterial[#All],MATCH(PoleMaterial26[#Headers],PoleMaterial[#Headers],0),FALSE)/VLOOKUP("Total",PoleMaterial[#All],MATCH(PoleMaterial26[#Headers],PoleMaterial[#Headers],0),FALSE)</f>
        <v>0.63889047513823127</v>
      </c>
      <c r="K81" s="154">
        <f>VLOOKUP(PoleMaterial26[[#This Row],[Pole Material Comparison]],PoleMaterial[#All],MATCH(PoleMaterial26[#Headers],PoleMaterial[#Headers],0),FALSE)/VLOOKUP("Total",PoleMaterial[#All],MATCH(PoleMaterial26[#Headers],PoleMaterial[#Headers],0),FALSE)</f>
        <v>0.28282170846005111</v>
      </c>
      <c r="L81" s="59" t="s">
        <v>1515</v>
      </c>
      <c r="M81" s="227"/>
    </row>
    <row r="82" spans="1:13">
      <c r="A82" s="56" t="str">
        <f t="shared" si="32"/>
        <v>Concrete</v>
      </c>
      <c r="B82" s="153">
        <f>VLOOKUP(PoleMaterial26[[#This Row],[Pole Material Comparison]],PoleMaterial[#All],MATCH(PoleMaterial26[#Headers],PoleMaterial[#Headers],0),FALSE)/VLOOKUP("Total",PoleMaterial[#All],MATCH(PoleMaterial26[#Headers],PoleMaterial[#Headers],0),FALSE)</f>
        <v>1.4970999995514307E-2</v>
      </c>
      <c r="C82" s="153">
        <f>VLOOKUP(PoleMaterial26[[#This Row],[Pole Material Comparison]],PoleMaterial[#All],MATCH(PoleMaterial26[#Headers],PoleMaterial[#Headers],0),FALSE)/VLOOKUP("Total",PoleMaterial[#All],MATCH(PoleMaterial26[#Headers],PoleMaterial[#Headers],0),FALSE)</f>
        <v>3.1851652289509792E-2</v>
      </c>
      <c r="D82" s="153">
        <f>VLOOKUP(PoleMaterial26[[#This Row],[Pole Material Comparison]],PoleMaterial[#All],MATCH(PoleMaterial26[#Headers],PoleMaterial[#Headers],0),FALSE)/VLOOKUP("Total",PoleMaterial[#All],MATCH(PoleMaterial26[#Headers],PoleMaterial[#Headers],0),FALSE)</f>
        <v>5.2478238975613267E-2</v>
      </c>
      <c r="E82" s="153">
        <f>VLOOKUP(PoleMaterial26[[#This Row],[Pole Material Comparison]],PoleMaterial[#All],MATCH(PoleMaterial26[#Headers],PoleMaterial[#Headers],0),FALSE)/VLOOKUP("Total",PoleMaterial[#All],MATCH(PoleMaterial26[#Headers],PoleMaterial[#Headers],0),FALSE)</f>
        <v>0.25290801765930576</v>
      </c>
      <c r="F82" s="153">
        <f>VLOOKUP(PoleMaterial26[[#This Row],[Pole Material Comparison]],PoleMaterial[#All],MATCH(PoleMaterial26[#Headers],PoleMaterial[#Headers],0),FALSE)/VLOOKUP("Total",PoleMaterial[#All],MATCH(PoleMaterial26[#Headers],PoleMaterial[#Headers],0),FALSE)</f>
        <v>0.33181680136576336</v>
      </c>
      <c r="G82" s="153">
        <f>VLOOKUP(PoleMaterial26[[#This Row],[Pole Material Comparison]],PoleMaterial[#All],MATCH(PoleMaterial26[#Headers],PoleMaterial[#Headers],0),FALSE)/VLOOKUP("Total",PoleMaterial[#All],MATCH(PoleMaterial26[#Headers],PoleMaterial[#Headers],0),FALSE)</f>
        <v>7.603579319358772E-2</v>
      </c>
      <c r="H82" s="153">
        <f>VLOOKUP(PoleMaterial26[[#This Row],[Pole Material Comparison]],PoleMaterial[#All],MATCH(PoleMaterial26[#Headers],PoleMaterial[#Headers],0),FALSE)/VLOOKUP("Total",PoleMaterial[#All],MATCH(PoleMaterial26[#Headers],PoleMaterial[#Headers],0),FALSE)</f>
        <v>7.7299306683303814E-2</v>
      </c>
      <c r="I82" s="153">
        <f>VLOOKUP(PoleMaterial26[[#This Row],[Pole Material Comparison]],PoleMaterial[#All],MATCH(PoleMaterial26[#Headers],PoleMaterial[#Headers],0),FALSE)/VLOOKUP("Total",PoleMaterial[#All],MATCH(PoleMaterial26[#Headers],PoleMaterial[#Headers],0),FALSE)</f>
        <v>0</v>
      </c>
      <c r="J82" s="154">
        <f>VLOOKUP(PoleMaterial26[[#This Row],[Pole Material Comparison]],PoleMaterial[#All],MATCH(PoleMaterial26[#Headers],PoleMaterial[#Headers],0),FALSE)/VLOOKUP("Total",PoleMaterial[#All],MATCH(PoleMaterial26[#Headers],PoleMaterial[#Headers],0),FALSE)</f>
        <v>0.28613069094538529</v>
      </c>
      <c r="K82" s="154">
        <f>VLOOKUP(PoleMaterial26[[#This Row],[Pole Material Comparison]],PoleMaterial[#All],MATCH(PoleMaterial26[#Headers],PoleMaterial[#Headers],0),FALSE)/VLOOKUP("Total",PoleMaterial[#All],MATCH(PoleMaterial26[#Headers],PoleMaterial[#Headers],0),FALSE)</f>
        <v>9.7796851318141573E-2</v>
      </c>
      <c r="L82" s="59" t="s">
        <v>1515</v>
      </c>
      <c r="M82" s="227"/>
    </row>
    <row r="83" spans="1:13">
      <c r="A83" s="56" t="str">
        <f t="shared" si="32"/>
        <v>Steel</v>
      </c>
      <c r="B83" s="153">
        <f>VLOOKUP(PoleMaterial26[[#This Row],[Pole Material Comparison]],PoleMaterial[#All],MATCH(PoleMaterial26[#Headers],PoleMaterial[#Headers],0),FALSE)/VLOOKUP("Total",PoleMaterial[#All],MATCH(PoleMaterial26[#Headers],PoleMaterial[#Headers],0),FALSE)</f>
        <v>1.8667210930736415E-2</v>
      </c>
      <c r="C83" s="153">
        <f>VLOOKUP(PoleMaterial26[[#This Row],[Pole Material Comparison]],PoleMaterial[#All],MATCH(PoleMaterial26[#Headers],PoleMaterial[#Headers],0),FALSE)/VLOOKUP("Total",PoleMaterial[#All],MATCH(PoleMaterial26[#Headers],PoleMaterial[#Headers],0),FALSE)</f>
        <v>6.8324867921898388E-2</v>
      </c>
      <c r="D83" s="153">
        <f>VLOOKUP(PoleMaterial26[[#This Row],[Pole Material Comparison]],PoleMaterial[#All],MATCH(PoleMaterial26[#Headers],PoleMaterial[#Headers],0),FALSE)/VLOOKUP("Total",PoleMaterial[#All],MATCH(PoleMaterial26[#Headers],PoleMaterial[#Headers],0),FALSE)</f>
        <v>4.1265834374243845E-3</v>
      </c>
      <c r="E83" s="153">
        <f>VLOOKUP(PoleMaterial26[[#This Row],[Pole Material Comparison]],PoleMaterial[#All],MATCH(PoleMaterial26[#Headers],PoleMaterial[#Headers],0),FALSE)/VLOOKUP("Total",PoleMaterial[#All],MATCH(PoleMaterial26[#Headers],PoleMaterial[#Headers],0),FALSE)</f>
        <v>6.8398719507357687E-3</v>
      </c>
      <c r="F83" s="153">
        <f>VLOOKUP(PoleMaterial26[[#This Row],[Pole Material Comparison]],PoleMaterial[#All],MATCH(PoleMaterial26[#Headers],PoleMaterial[#Headers],0),FALSE)/VLOOKUP("Total",PoleMaterial[#All],MATCH(PoleMaterial26[#Headers],PoleMaterial[#Headers],0),FALSE)</f>
        <v>0.15649666372795598</v>
      </c>
      <c r="G83" s="153">
        <f>VLOOKUP(PoleMaterial26[[#This Row],[Pole Material Comparison]],PoleMaterial[#All],MATCH(PoleMaterial26[#Headers],PoleMaterial[#Headers],0),FALSE)/VLOOKUP("Total",PoleMaterial[#All],MATCH(PoleMaterial26[#Headers],PoleMaterial[#Headers],0),FALSE)</f>
        <v>5.5097240698747371E-2</v>
      </c>
      <c r="H83" s="153">
        <f>VLOOKUP(PoleMaterial26[[#This Row],[Pole Material Comparison]],PoleMaterial[#All],MATCH(PoleMaterial26[#Headers],PoleMaterial[#Headers],0),FALSE)/VLOOKUP("Total",PoleMaterial[#All],MATCH(PoleMaterial26[#Headers],PoleMaterial[#Headers],0),FALSE)</f>
        <v>2.4688894393829573E-2</v>
      </c>
      <c r="I83" s="153">
        <f>VLOOKUP(PoleMaterial26[[#This Row],[Pole Material Comparison]],PoleMaterial[#All],MATCH(PoleMaterial26[#Headers],PoleMaterial[#Headers],0),FALSE)/VLOOKUP("Total",PoleMaterial[#All],MATCH(PoleMaterial26[#Headers],PoleMaterial[#Headers],0),FALSE)</f>
        <v>0</v>
      </c>
      <c r="J83" s="154">
        <f>VLOOKUP(PoleMaterial26[[#This Row],[Pole Material Comparison]],PoleMaterial[#All],MATCH(PoleMaterial26[#Headers],PoleMaterial[#Headers],0),FALSE)/VLOOKUP("Total",PoleMaterial[#All],MATCH(PoleMaterial26[#Headers],PoleMaterial[#Headers],0),FALSE)</f>
        <v>6.9849317347250389E-2</v>
      </c>
      <c r="K83" s="154">
        <f>VLOOKUP(PoleMaterial26[[#This Row],[Pole Material Comparison]],PoleMaterial[#All],MATCH(PoleMaterial26[#Headers],PoleMaterial[#Headers],0),FALSE)/VLOOKUP("Total",PoleMaterial[#All],MATCH(PoleMaterial26[#Headers],PoleMaterial[#Headers],0),FALSE)</f>
        <v>2.6449060270692451E-3</v>
      </c>
      <c r="L83" s="59" t="s">
        <v>1515</v>
      </c>
      <c r="M83" s="227"/>
    </row>
    <row r="84" spans="1:13">
      <c r="A84" s="90" t="str">
        <f t="shared" si="32"/>
        <v>Stobie</v>
      </c>
      <c r="B84" s="153">
        <f>VLOOKUP(PoleMaterial26[[#This Row],[Pole Material Comparison]],PoleMaterial[#All],MATCH(PoleMaterial26[#Headers],PoleMaterial[#Headers],0),FALSE)/VLOOKUP("Total",PoleMaterial[#All],MATCH(PoleMaterial26[#Headers],PoleMaterial[#Headers],0),FALSE)</f>
        <v>0</v>
      </c>
      <c r="C84" s="153">
        <f>VLOOKUP(PoleMaterial26[[#This Row],[Pole Material Comparison]],PoleMaterial[#All],MATCH(PoleMaterial26[#Headers],PoleMaterial[#Headers],0),FALSE)/VLOOKUP("Total",PoleMaterial[#All],MATCH(PoleMaterial26[#Headers],PoleMaterial[#Headers],0),FALSE)</f>
        <v>0</v>
      </c>
      <c r="D84" s="153">
        <f>VLOOKUP(PoleMaterial26[[#This Row],[Pole Material Comparison]],PoleMaterial[#All],MATCH(PoleMaterial26[#Headers],PoleMaterial[#Headers],0),FALSE)/VLOOKUP("Total",PoleMaterial[#All],MATCH(PoleMaterial26[#Headers],PoleMaterial[#Headers],0),FALSE)</f>
        <v>0</v>
      </c>
      <c r="E84" s="153">
        <f>VLOOKUP(PoleMaterial26[[#This Row],[Pole Material Comparison]],PoleMaterial[#All],MATCH(PoleMaterial26[#Headers],PoleMaterial[#Headers],0),FALSE)/VLOOKUP("Total",PoleMaterial[#All],MATCH(PoleMaterial26[#Headers],PoleMaterial[#Headers],0),FALSE)</f>
        <v>0</v>
      </c>
      <c r="F84" s="153">
        <f>VLOOKUP(PoleMaterial26[[#This Row],[Pole Material Comparison]],PoleMaterial[#All],MATCH(PoleMaterial26[#Headers],PoleMaterial[#Headers],0),FALSE)/VLOOKUP("Total",PoleMaterial[#All],MATCH(PoleMaterial26[#Headers],PoleMaterial[#Headers],0),FALSE)</f>
        <v>0</v>
      </c>
      <c r="G84" s="153">
        <f>VLOOKUP(PoleMaterial26[[#This Row],[Pole Material Comparison]],PoleMaterial[#All],MATCH(PoleMaterial26[#Headers],PoleMaterial[#Headers],0),FALSE)/VLOOKUP("Total",PoleMaterial[#All],MATCH(PoleMaterial26[#Headers],PoleMaterial[#Headers],0),FALSE)</f>
        <v>3.2457230685036773E-4</v>
      </c>
      <c r="H84" s="153">
        <f>VLOOKUP(PoleMaterial26[[#This Row],[Pole Material Comparison]],PoleMaterial[#All],MATCH(PoleMaterial26[#Headers],PoleMaterial[#Headers],0),FALSE)/VLOOKUP("Total",PoleMaterial[#All],MATCH(PoleMaterial26[#Headers],PoleMaterial[#Headers],0),FALSE)</f>
        <v>0</v>
      </c>
      <c r="I84" s="153">
        <f>VLOOKUP(PoleMaterial26[[#This Row],[Pole Material Comparison]],PoleMaterial[#All],MATCH(PoleMaterial26[#Headers],PoleMaterial[#Headers],0),FALSE)/VLOOKUP("Total",PoleMaterial[#All],MATCH(PoleMaterial26[#Headers],PoleMaterial[#Headers],0),FALSE)</f>
        <v>1</v>
      </c>
      <c r="J84" s="154">
        <f>VLOOKUP(PoleMaterial26[[#This Row],[Pole Material Comparison]],PoleMaterial[#All],MATCH(PoleMaterial26[#Headers],PoleMaterial[#Headers],0),FALSE)/VLOOKUP("Total",PoleMaterial[#All],MATCH(PoleMaterial26[#Headers],PoleMaterial[#Headers],0),FALSE)</f>
        <v>0</v>
      </c>
      <c r="K84" s="154">
        <f>VLOOKUP(PoleMaterial26[[#This Row],[Pole Material Comparison]],PoleMaterial[#All],MATCH(PoleMaterial26[#Headers],PoleMaterial[#Headers],0),FALSE)/VLOOKUP("Total",PoleMaterial[#All],MATCH(PoleMaterial26[#Headers],PoleMaterial[#Headers],0),FALSE)</f>
        <v>0.6133105932217443</v>
      </c>
      <c r="L84" s="59" t="s">
        <v>1515</v>
      </c>
      <c r="M84" s="227"/>
    </row>
    <row r="85" spans="1:13">
      <c r="A85" s="90" t="str">
        <f t="shared" si="32"/>
        <v>Other</v>
      </c>
      <c r="B85" s="153">
        <f>VLOOKUP(PoleMaterial26[[#This Row],[Pole Material Comparison]],PoleMaterial[#All],MATCH(PoleMaterial26[#Headers],PoleMaterial[#Headers],0),FALSE)/VLOOKUP("Total",PoleMaterial[#All],MATCH(PoleMaterial26[#Headers],PoleMaterial[#Headers],0),FALSE)</f>
        <v>0</v>
      </c>
      <c r="C85" s="153">
        <f>VLOOKUP(PoleMaterial26[[#This Row],[Pole Material Comparison]],PoleMaterial[#All],MATCH(PoleMaterial26[#Headers],PoleMaterial[#Headers],0),FALSE)/VLOOKUP("Total",PoleMaterial[#All],MATCH(PoleMaterial26[#Headers],PoleMaterial[#Headers],0),FALSE)</f>
        <v>0</v>
      </c>
      <c r="D85" s="153">
        <f>VLOOKUP(PoleMaterial26[[#This Row],[Pole Material Comparison]],PoleMaterial[#All],MATCH(PoleMaterial26[#Headers],PoleMaterial[#Headers],0),FALSE)/VLOOKUP("Total",PoleMaterial[#All],MATCH(PoleMaterial26[#Headers],PoleMaterial[#Headers],0),FALSE)</f>
        <v>7.2084415117290454E-2</v>
      </c>
      <c r="E85" s="153">
        <f>VLOOKUP(PoleMaterial26[[#This Row],[Pole Material Comparison]],PoleMaterial[#All],MATCH(PoleMaterial26[#Headers],PoleMaterial[#Headers],0),FALSE)/VLOOKUP("Total",PoleMaterial[#All],MATCH(PoleMaterial26[#Headers],PoleMaterial[#Headers],0),FALSE)</f>
        <v>8.8596711286646375E-3</v>
      </c>
      <c r="F85" s="153">
        <f>VLOOKUP(PoleMaterial26[[#This Row],[Pole Material Comparison]],PoleMaterial[#All],MATCH(PoleMaterial26[#Headers],PoleMaterial[#Headers],0),FALSE)/VLOOKUP("Total",PoleMaterial[#All],MATCH(PoleMaterial26[#Headers],PoleMaterial[#Headers],0),FALSE)</f>
        <v>0</v>
      </c>
      <c r="G85" s="153">
        <f>VLOOKUP(PoleMaterial26[[#This Row],[Pole Material Comparison]],PoleMaterial[#All],MATCH(PoleMaterial26[#Headers],PoleMaterial[#Headers],0),FALSE)/VLOOKUP("Total",PoleMaterial[#All],MATCH(PoleMaterial26[#Headers],PoleMaterial[#Headers],0),FALSE)</f>
        <v>2.6489757778819261E-4</v>
      </c>
      <c r="H85" s="153">
        <f>VLOOKUP(PoleMaterial26[[#This Row],[Pole Material Comparison]],PoleMaterial[#All],MATCH(PoleMaterial26[#Headers],PoleMaterial[#Headers],0),FALSE)/VLOOKUP("Total",PoleMaterial[#All],MATCH(PoleMaterial26[#Headers],PoleMaterial[#Headers],0),FALSE)</f>
        <v>9.0999727811266161E-3</v>
      </c>
      <c r="I85" s="153">
        <f>VLOOKUP(PoleMaterial26[[#This Row],[Pole Material Comparison]],PoleMaterial[#All],MATCH(PoleMaterial26[#Headers],PoleMaterial[#Headers],0),FALSE)/VLOOKUP("Total",PoleMaterial[#All],MATCH(PoleMaterial26[#Headers],PoleMaterial[#Headers],0),FALSE)</f>
        <v>0</v>
      </c>
      <c r="J85" s="154">
        <f>VLOOKUP(PoleMaterial26[[#This Row],[Pole Material Comparison]],PoleMaterial[#All],MATCH(PoleMaterial26[#Headers],PoleMaterial[#Headers],0),FALSE)/VLOOKUP("Total",PoleMaterial[#All],MATCH(PoleMaterial26[#Headers],PoleMaterial[#Headers],0),FALSE)</f>
        <v>5.1295165691330226E-3</v>
      </c>
      <c r="K85" s="154">
        <f>VLOOKUP(PoleMaterial26[[#This Row],[Pole Material Comparison]],PoleMaterial[#All],MATCH(PoleMaterial26[#Headers],PoleMaterial[#Headers],0),FALSE)/VLOOKUP("Total",PoleMaterial[#All],MATCH(PoleMaterial26[#Headers],PoleMaterial[#Headers],0),FALSE)</f>
        <v>3.4259409729937682E-3</v>
      </c>
      <c r="L85" s="59" t="s">
        <v>1515</v>
      </c>
      <c r="M85" s="227"/>
    </row>
    <row r="86" spans="1:13">
      <c r="A86" s="190" t="str">
        <f>A76</f>
        <v>Streetlight Column</v>
      </c>
      <c r="B86" s="191">
        <f>VLOOKUP(PoleMaterial26[[#This Row],[Pole Material Comparison]],PoleMaterial[#All],MATCH(PoleMaterial26[#Headers],PoleMaterial[#Headers],0),FALSE)/VLOOKUP("Total",PoleMaterial[#All],MATCH(PoleMaterial26[#Headers],PoleMaterial[#Headers],0),FALSE)</f>
        <v>0</v>
      </c>
      <c r="C86" s="192">
        <f>VLOOKUP(PoleMaterial26[[#This Row],[Pole Material Comparison]],PoleMaterial[#All],MATCH(PoleMaterial26[#Headers],PoleMaterial[#Headers],0),FALSE)/VLOOKUP("Total",PoleMaterial[#All],MATCH(PoleMaterial26[#Headers],PoleMaterial[#Headers],0),FALSE)</f>
        <v>0</v>
      </c>
      <c r="D86" s="192">
        <f>VLOOKUP(PoleMaterial26[[#This Row],[Pole Material Comparison]],PoleMaterial[#All],MATCH(PoleMaterial26[#Headers],PoleMaterial[#Headers],0),FALSE)/VLOOKUP("Total",PoleMaterial[#All],MATCH(PoleMaterial26[#Headers],PoleMaterial[#Headers],0),FALSE)</f>
        <v>0</v>
      </c>
      <c r="E86" s="192">
        <f>VLOOKUP(PoleMaterial26[[#This Row],[Pole Material Comparison]],PoleMaterial[#All],MATCH(PoleMaterial26[#Headers],PoleMaterial[#Headers],0),FALSE)/VLOOKUP("Total",PoleMaterial[#All],MATCH(PoleMaterial26[#Headers],PoleMaterial[#Headers],0),FALSE)</f>
        <v>0</v>
      </c>
      <c r="F86" s="192">
        <f>VLOOKUP(PoleMaterial26[[#This Row],[Pole Material Comparison]],PoleMaterial[#All],MATCH(PoleMaterial26[#Headers],PoleMaterial[#Headers],0),FALSE)/VLOOKUP("Total",PoleMaterial[#All],MATCH(PoleMaterial26[#Headers],PoleMaterial[#Headers],0),FALSE)</f>
        <v>0</v>
      </c>
      <c r="G86" s="192">
        <f>VLOOKUP(PoleMaterial26[[#This Row],[Pole Material Comparison]],PoleMaterial[#All],MATCH(PoleMaterial26[#Headers],PoleMaterial[#Headers],0),FALSE)/VLOOKUP("Total",PoleMaterial[#All],MATCH(PoleMaterial26[#Headers],PoleMaterial[#Headers],0),FALSE)</f>
        <v>0</v>
      </c>
      <c r="H86" s="193">
        <f>VLOOKUP(PoleMaterial26[[#This Row],[Pole Material Comparison]],PoleMaterial[#All],MATCH(PoleMaterial26[#Headers],PoleMaterial[#Headers],0),FALSE)/VLOOKUP("Total",PoleMaterial[#All],MATCH(PoleMaterial26[#Headers],PoleMaterial[#Headers],0),FALSE)</f>
        <v>0</v>
      </c>
      <c r="I86" s="194">
        <f>VLOOKUP(PoleMaterial26[[#This Row],[Pole Material Comparison]],PoleMaterial[#All],MATCH(PoleMaterial26[#Headers],PoleMaterial[#Headers],0),FALSE)/VLOOKUP("Total",PoleMaterial[#All],MATCH(PoleMaterial26[#Headers],PoleMaterial[#Headers],0),FALSE)</f>
        <v>0</v>
      </c>
      <c r="J86" s="154">
        <f>VLOOKUP(PoleMaterial26[[#This Row],[Pole Material Comparison]],PoleMaterial[#All],MATCH(PoleMaterial26[#Headers],PoleMaterial[#Headers],0),FALSE)/VLOOKUP("Total",PoleMaterial[#All],MATCH(PoleMaterial26[#Headers],PoleMaterial[#Headers],0),FALSE)</f>
        <v>0</v>
      </c>
      <c r="K86" s="154">
        <f>VLOOKUP(PoleMaterial26[[#This Row],[Pole Material Comparison]],PoleMaterial[#All],MATCH(PoleMaterial26[#Headers],PoleMaterial[#Headers],0),FALSE)/VLOOKUP("Total",PoleMaterial[#All],MATCH(PoleMaterial26[#Headers],PoleMaterial[#Headers],0),FALSE)</f>
        <v>0</v>
      </c>
      <c r="L86" s="59"/>
      <c r="M86" s="227"/>
    </row>
    <row r="87" spans="1:13">
      <c r="A87" s="125" t="s">
        <v>6</v>
      </c>
      <c r="B87" s="155">
        <f>SUBTOTAL(109,PoleMaterial26[Ausgrid])</f>
        <v>1</v>
      </c>
      <c r="C87" s="155">
        <f>SUBTOTAL(109,PoleMaterial26[Ergon])</f>
        <v>1</v>
      </c>
      <c r="D87" s="155">
        <f>SUBTOTAL(109,PoleMaterial26[Endeavour])</f>
        <v>1</v>
      </c>
      <c r="E87" s="155">
        <f>SUBTOTAL(109,PoleMaterial26[Powercor])</f>
        <v>0.99999999999999989</v>
      </c>
      <c r="F87" s="155">
        <f>SUBTOTAL(109,PoleMaterial26[AusNet])</f>
        <v>1</v>
      </c>
      <c r="G87" s="155">
        <f>SUBTOTAL(109,PoleMaterial26[Essential (Original)])</f>
        <v>0.99999999999999989</v>
      </c>
      <c r="H87" s="155">
        <f>SUBTOTAL(109,PoleMaterial26[Essential])</f>
        <v>1</v>
      </c>
      <c r="I87" s="155">
        <f>SUBTOTAL(109,PoleMaterial26[SA Power])</f>
        <v>1</v>
      </c>
      <c r="J87" s="155">
        <f>SUBTOTAL(109,PoleMaterial26[AusNet + Powercor])</f>
        <v>1</v>
      </c>
      <c r="K87" s="155"/>
      <c r="L87" s="126"/>
      <c r="M87" s="231"/>
    </row>
  </sheetData>
  <conditionalFormatting sqref="B18:K19">
    <cfRule type="expression" dxfId="793" priority="1">
      <formula>IF(ABS(ROUND(B18,0)-ROUND(B5,0))&gt;1000,TRUE,FALSE)</formula>
    </cfRule>
  </conditionalFormatting>
  <conditionalFormatting sqref="B20:K20 B17:K17">
    <cfRule type="expression" dxfId="792" priority="754">
      <formula>IF(ABS(ROUND(B17,0)-ROUND(B3,0))&gt;1000,TRUE,FALSE)</formula>
    </cfRule>
  </conditionalFormatting>
  <pageMargins left="0.23622047244094491" right="0.23622047244094491" top="0.51181102362204722" bottom="0.51181102362204722" header="0.23622047244094491" footer="0.23622047244094491"/>
  <pageSetup paperSize="8" scale="66" fitToHeight="0" orientation="portrait" r:id="rId1"/>
  <headerFooter>
    <oddHeader>&amp;C&amp;"-,Bold"&amp;14&amp;A</oddHeader>
    <oddFooter>&amp;L&amp;F [&amp;A]&amp;C&amp;D &amp;T&amp;RPage &amp;P/&amp;N</oddFooter>
  </headerFooter>
  <drawing r:id="rId2"/>
  <tableParts count="6">
    <tablePart r:id="rId3"/>
    <tablePart r:id="rId4"/>
    <tablePart r:id="rId5"/>
    <tablePart r:id="rId6"/>
    <tablePart r:id="rId7"/>
    <tablePart r:id="rId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N276"/>
  <sheetViews>
    <sheetView showGridLines="0" topLeftCell="A61" zoomScaleNormal="100" workbookViewId="0">
      <selection activeCell="M93" sqref="M93"/>
    </sheetView>
  </sheetViews>
  <sheetFormatPr defaultRowHeight="15"/>
  <cols>
    <col min="1" max="1" width="26.5703125" style="29" customWidth="1"/>
    <col min="2" max="2" width="14.7109375" style="31" bestFit="1" customWidth="1"/>
    <col min="3" max="7" width="13.140625" style="31" bestFit="1" customWidth="1"/>
    <col min="8" max="8" width="18.28515625" style="31" customWidth="1"/>
    <col min="9" max="9" width="13.140625" style="31" bestFit="1" customWidth="1"/>
    <col min="10" max="10" width="18.5703125" bestFit="1" customWidth="1"/>
    <col min="11" max="11" width="20.28515625" bestFit="1" customWidth="1"/>
    <col min="12" max="12" width="18.5703125" bestFit="1" customWidth="1"/>
    <col min="13" max="13" width="10.5703125" bestFit="1" customWidth="1"/>
  </cols>
  <sheetData>
    <row r="1" spans="1:14" s="10" customFormat="1" ht="18.75">
      <c r="A1" s="77" t="str">
        <f>A2</f>
        <v>REPEX Spend (2009-13)</v>
      </c>
      <c r="B1" s="31"/>
      <c r="C1" s="31"/>
      <c r="D1" s="131"/>
      <c r="E1" s="131"/>
      <c r="F1" s="131"/>
      <c r="G1" s="132"/>
      <c r="H1" s="128"/>
      <c r="I1" s="131"/>
    </row>
    <row r="2" spans="1:14" s="10" customFormat="1" ht="30">
      <c r="A2" s="5" t="s">
        <v>1313</v>
      </c>
      <c r="B2" s="131" t="s">
        <v>574</v>
      </c>
      <c r="C2" s="132" t="s">
        <v>1147</v>
      </c>
      <c r="D2" s="131" t="s">
        <v>575</v>
      </c>
      <c r="E2" s="133" t="s">
        <v>310</v>
      </c>
      <c r="F2" s="133" t="s">
        <v>1674</v>
      </c>
      <c r="G2" s="131" t="s">
        <v>1560</v>
      </c>
      <c r="H2" s="131" t="s">
        <v>0</v>
      </c>
      <c r="I2" s="156" t="s">
        <v>1218</v>
      </c>
      <c r="J2" s="239" t="s">
        <v>1675</v>
      </c>
      <c r="K2" s="246" t="s">
        <v>1676</v>
      </c>
      <c r="L2" s="81" t="s">
        <v>573</v>
      </c>
      <c r="M2" s="81" t="s">
        <v>1164</v>
      </c>
      <c r="N2" s="6"/>
    </row>
    <row r="3" spans="1:14" s="10" customFormat="1">
      <c r="A3" s="5" t="s">
        <v>1138</v>
      </c>
      <c r="B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19733000</v>
      </c>
      <c r="C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20704556.388</v>
      </c>
      <c r="D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0</v>
      </c>
      <c r="E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3832300</v>
      </c>
      <c r="F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2426229</v>
      </c>
      <c r="G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178209.30545092493</v>
      </c>
      <c r="H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178209.30545092493</v>
      </c>
      <c r="I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0</v>
      </c>
      <c r="J3" s="127">
        <f>REPEX_Spend_5yrHistory[[#This Row],[AusNet]]+REPEX_Spend_5yrHistory[[#This Row],[Powercor]]</f>
        <v>6258529</v>
      </c>
      <c r="K3" s="127">
        <f>REPEX_Spend_5yrHistory[[#This Row],[SA Power]]+REPEX_Spend_5yrHistory[[#This Row],[Powercor]]</f>
        <v>3832300</v>
      </c>
      <c r="L3" s="82" t="s">
        <v>1310</v>
      </c>
      <c r="M3" s="82"/>
      <c r="N3" s="6"/>
    </row>
    <row r="4" spans="1:14" s="4" customFormat="1">
      <c r="A4" s="5" t="s">
        <v>1</v>
      </c>
      <c r="B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235128000</v>
      </c>
      <c r="C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69478351.123669997</v>
      </c>
      <c r="D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67239424</v>
      </c>
      <c r="E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63041473.1846193</v>
      </c>
      <c r="F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106874421.72999999</v>
      </c>
      <c r="G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203440568.33023095</v>
      </c>
      <c r="H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203440568.33023098</v>
      </c>
      <c r="I4" s="15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45057064.407960057</v>
      </c>
      <c r="J4" s="157">
        <f>REPEX_Spend_5yrHistory[[#This Row],[AusNet]]+REPEX_Spend_5yrHistory[[#This Row],[Powercor]]</f>
        <v>169915894.9146193</v>
      </c>
      <c r="K4" s="157">
        <f>REPEX_Spend_5yrHistory[[#This Row],[SA Power]]+REPEX_Spend_5yrHistory[[#This Row],[Powercor]]</f>
        <v>108098537.59257936</v>
      </c>
      <c r="L4" s="82" t="s">
        <v>1310</v>
      </c>
      <c r="M4" s="82"/>
      <c r="N4" s="5"/>
    </row>
    <row r="5" spans="1:14" s="4" customFormat="1">
      <c r="A5" s="5" t="s">
        <v>1131</v>
      </c>
      <c r="B5"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0</v>
      </c>
      <c r="C5"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44703037.034400001</v>
      </c>
      <c r="D5"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0</v>
      </c>
      <c r="E5"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82242248.379383162</v>
      </c>
      <c r="F5"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146958132</v>
      </c>
      <c r="G5"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26963890.065142497</v>
      </c>
      <c r="H5"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26963890.065142497</v>
      </c>
      <c r="I5" s="15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41027307.780240797</v>
      </c>
      <c r="J5" s="157">
        <f>REPEX_Spend_5yrHistory[[#This Row],[AusNet]]+REPEX_Spend_5yrHistory[[#This Row],[Powercor]]</f>
        <v>229200380.37938315</v>
      </c>
      <c r="K5" s="157">
        <f>REPEX_Spend_5yrHistory[[#This Row],[SA Power]]+REPEX_Spend_5yrHistory[[#This Row],[Powercor]]</f>
        <v>123269556.15962395</v>
      </c>
      <c r="L5" s="82" t="s">
        <v>1310</v>
      </c>
      <c r="M5" s="82"/>
      <c r="N5" s="5"/>
    </row>
    <row r="6" spans="1:14" s="8" customFormat="1">
      <c r="A6" s="5" t="s">
        <v>1132</v>
      </c>
      <c r="B6"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135137000</v>
      </c>
      <c r="C6"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152345435.25489998</v>
      </c>
      <c r="D6"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86331375.999999985</v>
      </c>
      <c r="E6"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8657571.7903963141</v>
      </c>
      <c r="F6"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23143695</v>
      </c>
      <c r="G6"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56961527.957163751</v>
      </c>
      <c r="H6"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56961527.957163751</v>
      </c>
      <c r="I6" s="15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15093310.434885472</v>
      </c>
      <c r="J6" s="157">
        <f>REPEX_Spend_5yrHistory[[#This Row],[AusNet]]+REPEX_Spend_5yrHistory[[#This Row],[Powercor]]</f>
        <v>31801266.790396314</v>
      </c>
      <c r="K6" s="157">
        <f>REPEX_Spend_5yrHistory[[#This Row],[SA Power]]+REPEX_Spend_5yrHistory[[#This Row],[Powercor]]</f>
        <v>23750882.225281786</v>
      </c>
      <c r="L6" s="82" t="s">
        <v>1310</v>
      </c>
      <c r="M6" s="82"/>
      <c r="N6" s="5"/>
    </row>
    <row r="7" spans="1:14" s="8" customFormat="1">
      <c r="A7" s="5" t="s">
        <v>1133</v>
      </c>
      <c r="B7"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1021174000</v>
      </c>
      <c r="C7"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6382117.0324599994</v>
      </c>
      <c r="D7"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34368206.000000007</v>
      </c>
      <c r="E7"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11363173.057629876</v>
      </c>
      <c r="F7"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12475504.17</v>
      </c>
      <c r="G7"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25556486.492528956</v>
      </c>
      <c r="H7"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25556486.492528956</v>
      </c>
      <c r="I7" s="15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22583640.803429388</v>
      </c>
      <c r="J7" s="157">
        <f>REPEX_Spend_5yrHistory[[#This Row],[AusNet]]+REPEX_Spend_5yrHistory[[#This Row],[Powercor]]</f>
        <v>23838677.227629878</v>
      </c>
      <c r="K7" s="157">
        <f>REPEX_Spend_5yrHistory[[#This Row],[SA Power]]+REPEX_Spend_5yrHistory[[#This Row],[Powercor]]</f>
        <v>33946813.861059263</v>
      </c>
      <c r="L7" s="82" t="s">
        <v>1310</v>
      </c>
      <c r="M7" s="82"/>
      <c r="N7" s="5"/>
    </row>
    <row r="8" spans="1:14" s="8" customFormat="1">
      <c r="A8" s="5" t="s">
        <v>719</v>
      </c>
      <c r="B8"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54541000</v>
      </c>
      <c r="C8"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31153113.925299998</v>
      </c>
      <c r="D8"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6260011</v>
      </c>
      <c r="E8"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20673241.448500786</v>
      </c>
      <c r="F8"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18605171.442816354</v>
      </c>
      <c r="G8"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22496543.592275076</v>
      </c>
      <c r="H8"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22496543.592275076</v>
      </c>
      <c r="I8" s="15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15891726.058808193</v>
      </c>
      <c r="J8" s="157">
        <f>REPEX_Spend_5yrHistory[[#This Row],[AusNet]]+REPEX_Spend_5yrHistory[[#This Row],[Powercor]]</f>
        <v>39278412.891317144</v>
      </c>
      <c r="K8" s="157">
        <f>REPEX_Spend_5yrHistory[[#This Row],[SA Power]]+REPEX_Spend_5yrHistory[[#This Row],[Powercor]]</f>
        <v>36564967.507308975</v>
      </c>
      <c r="L8" s="82" t="s">
        <v>1310</v>
      </c>
      <c r="M8" s="82"/>
      <c r="N8" s="5"/>
    </row>
    <row r="9" spans="1:14" s="8" customFormat="1">
      <c r="A9" s="5" t="s">
        <v>4</v>
      </c>
      <c r="B9"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305940000</v>
      </c>
      <c r="C9"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159673572.99908301</v>
      </c>
      <c r="D9"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73678250</v>
      </c>
      <c r="E9"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37811891.217172131</v>
      </c>
      <c r="F9"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21203311.999999996</v>
      </c>
      <c r="G9"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80831785.497606635</v>
      </c>
      <c r="H9"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61896771.955927759</v>
      </c>
      <c r="I9" s="15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35090904.875871353</v>
      </c>
      <c r="J9" s="157">
        <f>REPEX_Spend_5yrHistory[[#This Row],[AusNet]]+REPEX_Spend_5yrHistory[[#This Row],[Powercor]]</f>
        <v>59015203.217172131</v>
      </c>
      <c r="K9" s="157">
        <f>REPEX_Spend_5yrHistory[[#This Row],[SA Power]]+REPEX_Spend_5yrHistory[[#This Row],[Powercor]]</f>
        <v>72902796.093043476</v>
      </c>
      <c r="L9" s="82" t="s">
        <v>1310</v>
      </c>
      <c r="M9" s="82"/>
      <c r="N9" s="5"/>
    </row>
    <row r="10" spans="1:14" s="10" customFormat="1">
      <c r="A10" s="5" t="s">
        <v>2</v>
      </c>
      <c r="B10"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642251000</v>
      </c>
      <c r="C10"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106555625.09740999</v>
      </c>
      <c r="D10"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29131699.999999996</v>
      </c>
      <c r="E10"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47788664.491418138</v>
      </c>
      <c r="F10"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58452753</v>
      </c>
      <c r="G10"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139871213.70346034</v>
      </c>
      <c r="H10"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159934389.37204921</v>
      </c>
      <c r="I10" s="15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50025698.142336071</v>
      </c>
      <c r="J10" s="157">
        <f>REPEX_Spend_5yrHistory[[#This Row],[AusNet]]+REPEX_Spend_5yrHistory[[#This Row],[Powercor]]</f>
        <v>106241417.49141814</v>
      </c>
      <c r="K10" s="157">
        <f>REPEX_Spend_5yrHistory[[#This Row],[SA Power]]+REPEX_Spend_5yrHistory[[#This Row],[Powercor]]</f>
        <v>97814362.633754209</v>
      </c>
      <c r="L10" s="82" t="s">
        <v>1310</v>
      </c>
      <c r="M10" s="82"/>
      <c r="N10" s="5"/>
    </row>
    <row r="11" spans="1:14" s="10" customFormat="1">
      <c r="A11" s="5" t="s">
        <v>1135</v>
      </c>
      <c r="B11"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55777000</v>
      </c>
      <c r="C11"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990882.02010000008</v>
      </c>
      <c r="D11"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23550703.999999996</v>
      </c>
      <c r="E11"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2587740.3643846628</v>
      </c>
      <c r="F11"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0</v>
      </c>
      <c r="G11"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4775324.4034123784</v>
      </c>
      <c r="H11"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4775324.4034123784</v>
      </c>
      <c r="I11" s="15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0</v>
      </c>
      <c r="J11" s="157">
        <f>REPEX_Spend_5yrHistory[[#This Row],[AusNet]]+REPEX_Spend_5yrHistory[[#This Row],[Powercor]]</f>
        <v>2587740.3643846628</v>
      </c>
      <c r="K11" s="157">
        <f>REPEX_Spend_5yrHistory[[#This Row],[SA Power]]+REPEX_Spend_5yrHistory[[#This Row],[Powercor]]</f>
        <v>2587740.3643846628</v>
      </c>
      <c r="L11" s="82" t="s">
        <v>1310</v>
      </c>
      <c r="M11" s="82"/>
      <c r="N11" s="5"/>
    </row>
    <row r="12" spans="1:14" s="10" customFormat="1">
      <c r="A12" s="5" t="s">
        <v>1134</v>
      </c>
      <c r="B12"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96511000</v>
      </c>
      <c r="C12"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1388874.0371300001</v>
      </c>
      <c r="D12"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0</v>
      </c>
      <c r="E12"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5503210.4172545187</v>
      </c>
      <c r="F12"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0</v>
      </c>
      <c r="G12"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3554624.514834967</v>
      </c>
      <c r="H12"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3554624.514834967</v>
      </c>
      <c r="I12" s="15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0</v>
      </c>
      <c r="J12" s="157">
        <f>REPEX_Spend_5yrHistory[[#This Row],[AusNet]]+REPEX_Spend_5yrHistory[[#This Row],[Powercor]]</f>
        <v>5503210.4172545187</v>
      </c>
      <c r="K12" s="157">
        <f>REPEX_Spend_5yrHistory[[#This Row],[SA Power]]+REPEX_Spend_5yrHistory[[#This Row],[Powercor]]</f>
        <v>5503210.4172545187</v>
      </c>
      <c r="L12" s="82" t="s">
        <v>1310</v>
      </c>
      <c r="M12" s="82"/>
      <c r="N12" s="5"/>
    </row>
    <row r="13" spans="1:14" s="10" customFormat="1">
      <c r="A13" s="5" t="s">
        <v>659</v>
      </c>
      <c r="B1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44087000</v>
      </c>
      <c r="C1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90607074.084839985</v>
      </c>
      <c r="D1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24270159</v>
      </c>
      <c r="E1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14995059.85</v>
      </c>
      <c r="F1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13201065.999999998</v>
      </c>
      <c r="G1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15377468.619329644</v>
      </c>
      <c r="H13"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15377468.619329644</v>
      </c>
      <c r="I13" s="15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19770693.370571524</v>
      </c>
      <c r="J13" s="157">
        <f>REPEX_Spend_5yrHistory[[#This Row],[AusNet]]+REPEX_Spend_5yrHistory[[#This Row],[Powercor]]</f>
        <v>28196125.849999998</v>
      </c>
      <c r="K13" s="157">
        <f>REPEX_Spend_5yrHistory[[#This Row],[SA Power]]+REPEX_Spend_5yrHistory[[#This Row],[Powercor]]</f>
        <v>34765753.220571525</v>
      </c>
      <c r="L13" s="82" t="s">
        <v>1310</v>
      </c>
      <c r="M13" s="82"/>
      <c r="N13" s="5"/>
    </row>
    <row r="14" spans="1:14" s="10" customFormat="1">
      <c r="A14" s="5" t="s">
        <v>720</v>
      </c>
      <c r="B1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543329000</v>
      </c>
      <c r="C1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33650251.116600007</v>
      </c>
      <c r="D1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291734222.51999998</v>
      </c>
      <c r="E1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47784248.938048013</v>
      </c>
      <c r="F1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5091798</v>
      </c>
      <c r="G1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22411567.377569016</v>
      </c>
      <c r="H14" s="12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21283405.250658941</v>
      </c>
      <c r="I14" s="157">
        <f>(SUMIFS('2.2.1 REPEX'!$G:$G,'2.2.1 REPEX'!$B:$B,REPEX_Spend_5yrHistory[#Headers],'2.2.1 REPEX'!$C:$C,REPEX_Spend_5yrHistory[[#This Row],[REPEX Spend (2009-13)]])+SUMIFS('2.2.1 REPEX'!$H:$H,'2.2.1 REPEX'!$B:$B,REPEX_Spend_5yrHistory[#Headers],'2.2.1 REPEX'!$C:$C,REPEX_Spend_5yrHistory[[#This Row],[REPEX Spend (2009-13)]])+SUMIFS('2.2.1 REPEX'!$I:$I,'2.2.1 REPEX'!$B:$B,REPEX_Spend_5yrHistory[#Headers],'2.2.1 REPEX'!$C:$C,REPEX_Spend_5yrHistory[[#This Row],[REPEX Spend (2009-13)]])+SUMIFS('2.2.1 REPEX'!$J:$J,'2.2.1 REPEX'!$B:$B,REPEX_Spend_5yrHistory[#Headers],'2.2.1 REPEX'!$C:$C,REPEX_Spend_5yrHistory[[#This Row],[REPEX Spend (2009-13)]])+SUMIFS('2.2.1 REPEX'!$K:$K,'2.2.1 REPEX'!$B:$B,REPEX_Spend_5yrHistory[#Headers],'2.2.1 REPEX'!$C:$C,REPEX_Spend_5yrHistory[[#This Row],[REPEX Spend (2009-13)]]))*1000</f>
        <v>26959654.125897188</v>
      </c>
      <c r="J14" s="157">
        <f>REPEX_Spend_5yrHistory[[#This Row],[AusNet]]+REPEX_Spend_5yrHistory[[#This Row],[Powercor]]</f>
        <v>52876046.938048013</v>
      </c>
      <c r="K14" s="157">
        <f>REPEX_Spend_5yrHistory[[#This Row],[SA Power]]+REPEX_Spend_5yrHistory[[#This Row],[Powercor]]</f>
        <v>74743903.063945204</v>
      </c>
      <c r="L14" s="82" t="s">
        <v>1310</v>
      </c>
      <c r="M14" s="82"/>
      <c r="N14" s="5"/>
    </row>
    <row r="15" spans="1:14" s="10" customFormat="1">
      <c r="A15" s="287" t="s">
        <v>6</v>
      </c>
      <c r="B15" s="286">
        <f>SUBTOTAL(109,REPEX_Spend_5yrHistory[Ausgrid])</f>
        <v>3153608000</v>
      </c>
      <c r="C15" s="286">
        <f>SUBTOTAL(109,REPEX_Spend_5yrHistory[Ergon])</f>
        <v>717632890.11389291</v>
      </c>
      <c r="D15" s="286">
        <f>SUBTOTAL(109,REPEX_Spend_5yrHistory[Endeavour])</f>
        <v>636564052.51999998</v>
      </c>
      <c r="E15" s="286">
        <f>SUBTOTAL(109,REPEX_Spend_5yrHistory[Powercor])</f>
        <v>346280823.13880688</v>
      </c>
      <c r="F15" s="286">
        <f>SUBTOTAL(109,REPEX_Spend_5yrHistory[AusNet])</f>
        <v>408432082.34281641</v>
      </c>
      <c r="G15" s="286">
        <f>SUBTOTAL(109,REPEX_Spend_5yrHistory[Essential (Original)])</f>
        <v>602419209.85900509</v>
      </c>
      <c r="H15" s="286">
        <f>SUBTOTAL(109,REPEX_Spend_5yrHistory[Essential])</f>
        <v>602419209.85900521</v>
      </c>
      <c r="I15" s="286">
        <f>SUBTOTAL(109,REPEX_Spend_5yrHistory[SA Power])</f>
        <v>271500000.00000006</v>
      </c>
      <c r="J15" s="286">
        <f>SUBTOTAL(109,REPEX_Spend_5yrHistory[AusNet + Powercor])</f>
        <v>754712905.48162329</v>
      </c>
      <c r="K15" s="286">
        <f>SUBTOTAL(109,REPEX_Spend_5yrHistory[SA Power + Powercor])</f>
        <v>617780823.13880682</v>
      </c>
      <c r="L15" s="287"/>
      <c r="M15" s="287"/>
    </row>
    <row r="16" spans="1:14" s="10" customFormat="1">
      <c r="A16" s="5"/>
      <c r="B16" s="127"/>
      <c r="C16" s="127"/>
      <c r="D16" s="127"/>
      <c r="E16" s="127"/>
      <c r="F16" s="127"/>
      <c r="G16" s="128"/>
      <c r="H16" s="128"/>
      <c r="I16" s="131"/>
    </row>
    <row r="17" spans="1:9" s="10" customFormat="1">
      <c r="A17" s="5"/>
      <c r="B17" s="127"/>
      <c r="C17" s="127"/>
      <c r="D17" s="127"/>
      <c r="E17" s="127"/>
      <c r="F17" s="127"/>
      <c r="G17" s="128"/>
      <c r="H17" s="128"/>
      <c r="I17" s="131"/>
    </row>
    <row r="18" spans="1:9" s="10" customFormat="1">
      <c r="A18" s="5"/>
      <c r="B18" s="127"/>
      <c r="C18" s="127"/>
      <c r="D18" s="127"/>
      <c r="E18" s="127"/>
      <c r="F18" s="127"/>
      <c r="G18" s="128"/>
      <c r="H18" s="128"/>
      <c r="I18" s="131"/>
    </row>
    <row r="19" spans="1:9" s="10" customFormat="1">
      <c r="A19" s="5"/>
      <c r="B19" s="127"/>
      <c r="C19" s="127"/>
      <c r="D19" s="127"/>
      <c r="E19" s="127"/>
      <c r="F19" s="127"/>
      <c r="G19" s="128"/>
      <c r="H19" s="128"/>
      <c r="I19" s="131"/>
    </row>
    <row r="20" spans="1:9" s="10" customFormat="1">
      <c r="A20" s="5"/>
      <c r="B20" s="127"/>
      <c r="C20" s="127"/>
      <c r="D20" s="127"/>
      <c r="E20" s="127"/>
      <c r="F20" s="127"/>
      <c r="G20" s="128"/>
      <c r="H20" s="128"/>
      <c r="I20" s="131"/>
    </row>
    <row r="21" spans="1:9" s="10" customFormat="1">
      <c r="A21" s="5"/>
      <c r="B21" s="127"/>
      <c r="C21" s="127"/>
      <c r="D21" s="127"/>
      <c r="E21" s="127"/>
      <c r="F21" s="127"/>
      <c r="G21" s="128"/>
      <c r="H21" s="128"/>
      <c r="I21" s="131"/>
    </row>
    <row r="22" spans="1:9" s="10" customFormat="1">
      <c r="A22" s="5"/>
      <c r="B22" s="127"/>
      <c r="C22" s="127"/>
      <c r="D22" s="127"/>
      <c r="E22" s="127"/>
      <c r="F22" s="127"/>
      <c r="G22" s="128"/>
      <c r="H22" s="128"/>
      <c r="I22" s="131"/>
    </row>
    <row r="23" spans="1:9" s="10" customFormat="1">
      <c r="A23" s="5"/>
      <c r="B23" s="127"/>
      <c r="C23" s="127"/>
      <c r="D23" s="127"/>
      <c r="E23" s="127"/>
      <c r="F23" s="127"/>
      <c r="G23" s="128"/>
      <c r="H23" s="128"/>
      <c r="I23" s="131"/>
    </row>
    <row r="24" spans="1:9" s="10" customFormat="1">
      <c r="A24" s="5"/>
      <c r="B24" s="127"/>
      <c r="C24" s="127"/>
      <c r="D24" s="127"/>
      <c r="E24" s="127"/>
      <c r="F24" s="127"/>
      <c r="G24" s="128"/>
      <c r="H24" s="128"/>
      <c r="I24" s="131"/>
    </row>
    <row r="25" spans="1:9" s="10" customFormat="1">
      <c r="A25" s="5"/>
      <c r="B25" s="127"/>
      <c r="C25" s="127"/>
      <c r="D25" s="127"/>
      <c r="E25" s="127"/>
      <c r="F25" s="127"/>
      <c r="G25" s="128"/>
      <c r="H25" s="128"/>
      <c r="I25" s="131"/>
    </row>
    <row r="26" spans="1:9" s="10" customFormat="1">
      <c r="A26" s="5"/>
      <c r="B26" s="127"/>
      <c r="C26" s="127"/>
      <c r="D26" s="127"/>
      <c r="E26" s="127"/>
      <c r="F26" s="127"/>
      <c r="G26" s="128"/>
      <c r="H26" s="128"/>
      <c r="I26" s="131"/>
    </row>
    <row r="27" spans="1:9" s="10" customFormat="1">
      <c r="A27" s="5"/>
      <c r="B27" s="127"/>
      <c r="C27" s="127"/>
      <c r="D27" s="127"/>
      <c r="E27" s="127"/>
      <c r="F27" s="127"/>
      <c r="G27" s="128"/>
      <c r="H27" s="128"/>
      <c r="I27" s="131"/>
    </row>
    <row r="28" spans="1:9" s="10" customFormat="1">
      <c r="A28" s="5"/>
      <c r="B28" s="127"/>
      <c r="C28" s="127"/>
      <c r="D28" s="127"/>
      <c r="E28" s="127"/>
      <c r="F28" s="127"/>
      <c r="G28" s="128"/>
      <c r="H28" s="128"/>
      <c r="I28" s="131"/>
    </row>
    <row r="29" spans="1:9" s="10" customFormat="1">
      <c r="A29" s="5"/>
      <c r="B29" s="127"/>
      <c r="C29" s="127"/>
      <c r="D29" s="127"/>
      <c r="E29" s="127"/>
      <c r="F29" s="127"/>
      <c r="G29" s="128"/>
      <c r="H29" s="128"/>
      <c r="I29" s="131"/>
    </row>
    <row r="30" spans="1:9" s="10" customFormat="1">
      <c r="A30" s="5"/>
      <c r="B30" s="127"/>
      <c r="C30" s="127"/>
      <c r="D30" s="127"/>
      <c r="E30" s="127"/>
      <c r="F30" s="127"/>
      <c r="G30" s="128"/>
      <c r="H30" s="128"/>
      <c r="I30" s="131"/>
    </row>
    <row r="31" spans="1:9" s="10" customFormat="1">
      <c r="A31" s="5"/>
      <c r="B31" s="127"/>
      <c r="C31" s="127"/>
      <c r="D31" s="127"/>
      <c r="E31" s="127"/>
      <c r="F31" s="127"/>
      <c r="G31" s="128"/>
      <c r="H31" s="128"/>
      <c r="I31" s="131"/>
    </row>
    <row r="32" spans="1:9" s="10" customFormat="1">
      <c r="A32" s="5"/>
      <c r="B32" s="127"/>
      <c r="C32" s="127"/>
      <c r="D32" s="127"/>
      <c r="E32" s="127"/>
      <c r="F32" s="127"/>
      <c r="G32" s="128"/>
      <c r="H32" s="128"/>
      <c r="I32" s="131"/>
    </row>
    <row r="33" spans="1:12" s="10" customFormat="1">
      <c r="A33" s="5"/>
      <c r="B33" s="127"/>
      <c r="C33" s="127"/>
      <c r="D33" s="127"/>
      <c r="E33" s="127"/>
      <c r="F33" s="127"/>
      <c r="G33" s="128"/>
      <c r="H33" s="128"/>
      <c r="I33" s="131"/>
    </row>
    <row r="34" spans="1:12" s="10" customFormat="1">
      <c r="A34" s="5"/>
      <c r="B34" s="127"/>
      <c r="C34" s="127"/>
      <c r="D34" s="127"/>
      <c r="E34" s="127"/>
      <c r="F34" s="127"/>
      <c r="G34" s="128"/>
      <c r="H34" s="128"/>
      <c r="I34" s="131"/>
    </row>
    <row r="35" spans="1:12" s="10" customFormat="1">
      <c r="A35" s="5"/>
      <c r="B35" s="127"/>
      <c r="C35" s="127"/>
      <c r="D35" s="127"/>
      <c r="E35" s="127"/>
      <c r="F35" s="127"/>
      <c r="G35" s="128"/>
      <c r="H35" s="128"/>
      <c r="I35" s="131"/>
    </row>
    <row r="36" spans="1:12" s="10" customFormat="1">
      <c r="A36" s="5"/>
      <c r="B36" s="127"/>
      <c r="C36" s="127"/>
      <c r="D36" s="127"/>
      <c r="E36" s="127"/>
      <c r="F36" s="127"/>
      <c r="G36" s="128"/>
      <c r="H36" s="128"/>
      <c r="I36" s="131"/>
    </row>
    <row r="37" spans="1:12" s="10" customFormat="1">
      <c r="A37" s="5"/>
      <c r="B37" s="127"/>
      <c r="C37" s="127"/>
      <c r="D37" s="127"/>
      <c r="E37" s="127"/>
      <c r="F37" s="127"/>
      <c r="G37" s="128"/>
      <c r="H37" s="128"/>
      <c r="I37" s="131"/>
    </row>
    <row r="38" spans="1:12" s="10" customFormat="1">
      <c r="A38" s="5"/>
      <c r="B38" s="127"/>
      <c r="C38" s="127"/>
      <c r="D38" s="127"/>
      <c r="E38" s="127"/>
      <c r="F38" s="127"/>
      <c r="G38" s="128"/>
      <c r="H38" s="128"/>
      <c r="I38" s="131"/>
    </row>
    <row r="39" spans="1:12" s="10" customFormat="1">
      <c r="A39" s="5"/>
      <c r="B39" s="127"/>
      <c r="C39" s="127"/>
      <c r="D39" s="127"/>
      <c r="E39" s="127"/>
      <c r="F39" s="127"/>
      <c r="G39" s="128"/>
      <c r="H39" s="128"/>
      <c r="I39" s="131"/>
    </row>
    <row r="40" spans="1:12" s="10" customFormat="1">
      <c r="A40" s="5"/>
      <c r="B40" s="127"/>
      <c r="C40" s="127"/>
      <c r="D40" s="127"/>
      <c r="E40" s="127"/>
      <c r="F40" s="127"/>
      <c r="G40" s="128"/>
      <c r="H40" s="128"/>
      <c r="I40" s="131"/>
    </row>
    <row r="41" spans="1:12" s="10" customFormat="1">
      <c r="A41" s="5"/>
      <c r="B41" s="127"/>
      <c r="C41" s="127"/>
      <c r="D41" s="127"/>
      <c r="E41" s="127"/>
      <c r="F41" s="127"/>
      <c r="G41" s="128"/>
      <c r="H41" s="128"/>
      <c r="I41" s="131"/>
    </row>
    <row r="42" spans="1:12" s="10" customFormat="1">
      <c r="A42" s="5"/>
      <c r="B42" s="127"/>
      <c r="C42" s="127"/>
      <c r="D42" s="127"/>
      <c r="E42" s="127"/>
      <c r="F42" s="127"/>
      <c r="G42" s="128"/>
      <c r="H42" s="128"/>
      <c r="I42" s="131"/>
    </row>
    <row r="43" spans="1:12" s="10" customFormat="1" ht="18.75">
      <c r="A43" s="77" t="str">
        <f>A44</f>
        <v>Asset Replacements (2009-13)</v>
      </c>
      <c r="B43" s="31"/>
      <c r="C43" s="31"/>
      <c r="D43" s="131"/>
      <c r="E43" s="131"/>
      <c r="F43" s="131"/>
      <c r="G43" s="132"/>
      <c r="H43" s="128"/>
      <c r="I43" s="131"/>
    </row>
    <row r="44" spans="1:12" s="10" customFormat="1" ht="30">
      <c r="A44" s="5" t="s">
        <v>1312</v>
      </c>
      <c r="B44" s="131" t="s">
        <v>574</v>
      </c>
      <c r="C44" s="132" t="s">
        <v>1147</v>
      </c>
      <c r="D44" s="131" t="s">
        <v>575</v>
      </c>
      <c r="E44" s="133" t="s">
        <v>310</v>
      </c>
      <c r="F44" s="133" t="s">
        <v>1674</v>
      </c>
      <c r="G44" s="131" t="s">
        <v>1560</v>
      </c>
      <c r="H44" s="131" t="s">
        <v>0</v>
      </c>
      <c r="I44" s="156" t="s">
        <v>1218</v>
      </c>
      <c r="J44" s="81" t="s">
        <v>573</v>
      </c>
      <c r="K44" s="81" t="s">
        <v>1164</v>
      </c>
      <c r="L44" s="6"/>
    </row>
    <row r="45" spans="1:12" s="10" customFormat="1">
      <c r="A45" s="5" t="s">
        <v>1138</v>
      </c>
      <c r="B4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16256</v>
      </c>
      <c r="C4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15286</v>
      </c>
      <c r="D4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0</v>
      </c>
      <c r="E4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4630</v>
      </c>
      <c r="F4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1587</v>
      </c>
      <c r="G4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281</v>
      </c>
      <c r="H4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281</v>
      </c>
      <c r="I4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0</v>
      </c>
      <c r="J45" s="82" t="s">
        <v>1310</v>
      </c>
      <c r="K45" s="82"/>
      <c r="L45" s="6"/>
    </row>
    <row r="46" spans="1:12" s="10" customFormat="1">
      <c r="A46" s="5" t="s">
        <v>1</v>
      </c>
      <c r="B4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16914</v>
      </c>
      <c r="C4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16112</v>
      </c>
      <c r="D4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6047</v>
      </c>
      <c r="E4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6381</v>
      </c>
      <c r="F4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12107</v>
      </c>
      <c r="G4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28340</v>
      </c>
      <c r="H4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28340</v>
      </c>
      <c r="I46" s="159">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15460</v>
      </c>
      <c r="J46" s="82" t="s">
        <v>1310</v>
      </c>
      <c r="K46" s="82"/>
      <c r="L46" s="5"/>
    </row>
    <row r="47" spans="1:12" s="10" customFormat="1">
      <c r="A47" s="5" t="s">
        <v>1131</v>
      </c>
      <c r="B47"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0</v>
      </c>
      <c r="C47"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39103</v>
      </c>
      <c r="D47"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0</v>
      </c>
      <c r="E47"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30683</v>
      </c>
      <c r="F47"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43184</v>
      </c>
      <c r="G47"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6399</v>
      </c>
      <c r="H47"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6399</v>
      </c>
      <c r="I47" s="159">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30901</v>
      </c>
      <c r="J47" s="82" t="s">
        <v>1310</v>
      </c>
      <c r="K47" s="82"/>
      <c r="L47" s="5"/>
    </row>
    <row r="48" spans="1:12" s="10" customFormat="1">
      <c r="A48" s="5" t="s">
        <v>1132</v>
      </c>
      <c r="B48"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6240</v>
      </c>
      <c r="C48"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1525.0269999990001</v>
      </c>
      <c r="D48"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741.0487450166429</v>
      </c>
      <c r="E48"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171.54400000000001</v>
      </c>
      <c r="F48"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549</v>
      </c>
      <c r="G48"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1062.2</v>
      </c>
      <c r="H48"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1062.2</v>
      </c>
      <c r="I48" s="159">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658.86299999999846</v>
      </c>
      <c r="J48" s="82" t="s">
        <v>1310</v>
      </c>
      <c r="K48" s="82"/>
      <c r="L48" s="5"/>
    </row>
    <row r="49" spans="1:12" s="10" customFormat="1">
      <c r="A49" s="5" t="s">
        <v>1133</v>
      </c>
      <c r="B49"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634</v>
      </c>
      <c r="C49"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32.345500000000001</v>
      </c>
      <c r="D49"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656.63197947059234</v>
      </c>
      <c r="E49"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61.400000000000006</v>
      </c>
      <c r="F49"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443</v>
      </c>
      <c r="G49"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6.6</v>
      </c>
      <c r="H49"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6.6</v>
      </c>
      <c r="I49" s="159">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55.304999999999602</v>
      </c>
      <c r="J49" s="82" t="s">
        <v>1310</v>
      </c>
      <c r="K49" s="82"/>
      <c r="L49" s="5"/>
    </row>
    <row r="50" spans="1:12" s="10" customFormat="1">
      <c r="A50" s="5" t="s">
        <v>719</v>
      </c>
      <c r="B50"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73720</v>
      </c>
      <c r="C50"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23385.992425299999</v>
      </c>
      <c r="D50"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15000</v>
      </c>
      <c r="E50"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815.54960000000005</v>
      </c>
      <c r="F50"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721.29280000000006</v>
      </c>
      <c r="G50"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63809</v>
      </c>
      <c r="H50"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63809</v>
      </c>
      <c r="I50" s="159">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38382</v>
      </c>
      <c r="J50" s="82" t="s">
        <v>1310</v>
      </c>
      <c r="K50" s="82"/>
      <c r="L50" s="5"/>
    </row>
    <row r="51" spans="1:12" s="10" customFormat="1">
      <c r="A51" s="5" t="s">
        <v>4</v>
      </c>
      <c r="B51"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1162</v>
      </c>
      <c r="C51"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7171</v>
      </c>
      <c r="D51"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1236</v>
      </c>
      <c r="E51"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3480</v>
      </c>
      <c r="F51"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2463</v>
      </c>
      <c r="G51"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1740</v>
      </c>
      <c r="H51"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1740</v>
      </c>
      <c r="I51" s="159">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1717.9999999999998</v>
      </c>
      <c r="J51" s="82" t="s">
        <v>1310</v>
      </c>
      <c r="K51" s="82"/>
      <c r="L51" s="5"/>
    </row>
    <row r="52" spans="1:12" s="10" customFormat="1">
      <c r="A52" s="5" t="s">
        <v>2</v>
      </c>
      <c r="B52"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5067</v>
      </c>
      <c r="C52"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70426</v>
      </c>
      <c r="D52"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3447</v>
      </c>
      <c r="E52"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14371</v>
      </c>
      <c r="F52"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3975</v>
      </c>
      <c r="G52"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8679</v>
      </c>
      <c r="H52"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8679</v>
      </c>
      <c r="I52" s="159">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1307</v>
      </c>
      <c r="J52" s="82" t="s">
        <v>1310</v>
      </c>
      <c r="K52" s="82"/>
      <c r="L52" s="5"/>
    </row>
    <row r="53" spans="1:12" s="10" customFormat="1">
      <c r="A53" s="5" t="s">
        <v>1135</v>
      </c>
      <c r="B53"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51325</v>
      </c>
      <c r="C53"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3705</v>
      </c>
      <c r="D53"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3780</v>
      </c>
      <c r="E53"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657.41454377880177</v>
      </c>
      <c r="F53"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0</v>
      </c>
      <c r="G53"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72271</v>
      </c>
      <c r="H53"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72271</v>
      </c>
      <c r="I53" s="159">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0</v>
      </c>
      <c r="J53" s="82" t="s">
        <v>1310</v>
      </c>
      <c r="K53" s="82"/>
      <c r="L53" s="5"/>
    </row>
    <row r="54" spans="1:12" s="10" customFormat="1">
      <c r="A54" s="5" t="s">
        <v>1134</v>
      </c>
      <c r="B54"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666255</v>
      </c>
      <c r="C54"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9769</v>
      </c>
      <c r="D54"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0</v>
      </c>
      <c r="E54"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1060.4872626728111</v>
      </c>
      <c r="F54"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0</v>
      </c>
      <c r="G54"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1521</v>
      </c>
      <c r="H54"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1521</v>
      </c>
      <c r="I54" s="159">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0</v>
      </c>
      <c r="J54" s="82" t="s">
        <v>1310</v>
      </c>
      <c r="K54" s="82"/>
      <c r="L54" s="5"/>
    </row>
    <row r="55" spans="1:12" s="10" customFormat="1">
      <c r="A55" s="5" t="s">
        <v>659</v>
      </c>
      <c r="B5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150</v>
      </c>
      <c r="C5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2867.342629623</v>
      </c>
      <c r="D5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164</v>
      </c>
      <c r="E5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395</v>
      </c>
      <c r="F5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2748</v>
      </c>
      <c r="G5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112</v>
      </c>
      <c r="H55"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112000</v>
      </c>
      <c r="I55" s="159">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285</v>
      </c>
      <c r="J55" s="82" t="s">
        <v>1310</v>
      </c>
      <c r="K55" s="82"/>
      <c r="L55" s="5"/>
    </row>
    <row r="56" spans="1:12" s="10" customFormat="1">
      <c r="A56" s="5" t="s">
        <v>720</v>
      </c>
      <c r="B5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9068</v>
      </c>
      <c r="C5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354</v>
      </c>
      <c r="D5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968.98712105805134</v>
      </c>
      <c r="E5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387465</v>
      </c>
      <c r="F5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403</v>
      </c>
      <c r="G5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0</v>
      </c>
      <c r="H56" s="134">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186449</v>
      </c>
      <c r="I56" s="159">
        <f>(SUMIFS('2.2.1 REPEX'!$R:$R,'2.2.1 REPEX'!$B:$B,REPEX_Spend_5yrHistory13[#Headers],'2.2.1 REPEX'!$C:$C,REPEX_Spend_5yrHistory13[[#This Row],[Asset Replacements (2009-13)]])+SUMIFS('2.2.1 REPEX'!$S:$S,'2.2.1 REPEX'!$B:$B,REPEX_Spend_5yrHistory13[#Headers],'2.2.1 REPEX'!$C:$C,REPEX_Spend_5yrHistory13[[#This Row],[Asset Replacements (2009-13)]])+SUMIFS('2.2.1 REPEX'!$T:$T,'2.2.1 REPEX'!$B:$B,REPEX_Spend_5yrHistory13[#Headers],'2.2.1 REPEX'!$C:$C,REPEX_Spend_5yrHistory13[[#This Row],[Asset Replacements (2009-13)]])+SUMIFS('2.2.1 REPEX'!$U:$U,'2.2.1 REPEX'!$B:$B,REPEX_Spend_5yrHistory13[#Headers],'2.2.1 REPEX'!$C:$C,REPEX_Spend_5yrHistory13[[#This Row],[Asset Replacements (2009-13)]])+SUMIFS('2.2.1 REPEX'!$V:$V,'2.2.1 REPEX'!$B:$B,REPEX_Spend_5yrHistory13[#Headers],'2.2.1 REPEX'!$C:$C,REPEX_Spend_5yrHistory13[[#This Row],[Asset Replacements (2009-13)]]))</f>
        <v>261</v>
      </c>
      <c r="J56" s="82" t="s">
        <v>1310</v>
      </c>
      <c r="K56" s="82"/>
      <c r="L56" s="5"/>
    </row>
    <row r="57" spans="1:12" s="10" customFormat="1">
      <c r="A57" s="5" t="s">
        <v>6</v>
      </c>
      <c r="B57" s="160">
        <f>SUBTOTAL(109,REPEX_Spend_5yrHistory13[Ausgrid])</f>
        <v>846791</v>
      </c>
      <c r="C57" s="160">
        <f>SUBTOTAL(109,REPEX_Spend_5yrHistory13[Ergon])</f>
        <v>189736.70755492197</v>
      </c>
      <c r="D57" s="160">
        <f>SUBTOTAL(109,REPEX_Spend_5yrHistory13[Endeavour])</f>
        <v>32040.667845545286</v>
      </c>
      <c r="E57" s="160">
        <f>SUBTOTAL(109,REPEX_Spend_5yrHistory13[Powercor])</f>
        <v>450171.3954064516</v>
      </c>
      <c r="F57" s="160">
        <f>SUBTOTAL(109,REPEX_Spend_5yrHistory13[AusNet])</f>
        <v>68180.292799999996</v>
      </c>
      <c r="G57" s="160">
        <f>SUBTOTAL(109,REPEX_Spend_5yrHistory13[Essential (Original)])</f>
        <v>184220.79999999999</v>
      </c>
      <c r="H57" s="160">
        <f>SUBTOTAL(109,REPEX_Spend_5yrHistory13[Essential])</f>
        <v>482557.8</v>
      </c>
      <c r="I57" s="160">
        <f>SUBTOTAL(109,REPEX_Spend_5yrHistory13[SA Power])</f>
        <v>89028.168000000005</v>
      </c>
      <c r="J57" s="5"/>
      <c r="K57" s="5"/>
    </row>
    <row r="58" spans="1:12" s="10" customFormat="1">
      <c r="A58" s="5"/>
      <c r="B58" s="127"/>
      <c r="C58" s="127"/>
      <c r="D58" s="127"/>
      <c r="E58" s="127"/>
      <c r="F58" s="127"/>
      <c r="G58" s="128"/>
      <c r="H58" s="128"/>
      <c r="I58" s="131"/>
    </row>
    <row r="59" spans="1:12" s="10" customFormat="1">
      <c r="A59" s="5"/>
      <c r="B59" s="127"/>
      <c r="C59" s="127"/>
      <c r="D59" s="127"/>
      <c r="E59" s="127"/>
      <c r="F59" s="127"/>
      <c r="G59" s="128"/>
      <c r="H59" s="128"/>
      <c r="I59" s="131"/>
    </row>
    <row r="60" spans="1:12" s="10" customFormat="1">
      <c r="A60" s="5"/>
      <c r="B60" s="127"/>
      <c r="C60" s="127"/>
      <c r="D60" s="127"/>
      <c r="E60" s="127"/>
      <c r="F60" s="127"/>
      <c r="G60" s="128"/>
      <c r="H60" s="128"/>
      <c r="I60" s="131"/>
    </row>
    <row r="61" spans="1:12" s="10" customFormat="1">
      <c r="A61" s="5"/>
      <c r="B61" s="127"/>
      <c r="C61" s="127"/>
      <c r="D61" s="127"/>
      <c r="E61" s="127"/>
      <c r="F61" s="127"/>
      <c r="G61" s="128"/>
      <c r="H61" s="128"/>
      <c r="I61" s="131"/>
    </row>
    <row r="62" spans="1:12" s="10" customFormat="1">
      <c r="A62" s="5"/>
      <c r="B62" s="127"/>
      <c r="C62" s="127"/>
      <c r="D62" s="127"/>
      <c r="E62" s="127"/>
      <c r="F62" s="127"/>
      <c r="G62" s="128"/>
      <c r="H62" s="128"/>
      <c r="I62" s="131"/>
    </row>
    <row r="63" spans="1:12" s="10" customFormat="1">
      <c r="A63" s="5"/>
      <c r="B63" s="127"/>
      <c r="C63" s="127"/>
      <c r="D63" s="127"/>
      <c r="E63" s="127"/>
      <c r="F63" s="127"/>
      <c r="G63" s="128"/>
      <c r="H63" s="128"/>
      <c r="I63" s="131"/>
    </row>
    <row r="64" spans="1:12" s="10" customFormat="1">
      <c r="A64" s="5"/>
      <c r="B64" s="127"/>
      <c r="C64" s="127"/>
      <c r="D64" s="127"/>
      <c r="E64" s="127"/>
      <c r="F64" s="127"/>
      <c r="G64" s="128"/>
      <c r="H64" s="128"/>
      <c r="I64" s="131"/>
    </row>
    <row r="65" spans="1:9" s="10" customFormat="1">
      <c r="A65" s="5"/>
      <c r="B65" s="127"/>
      <c r="C65" s="127"/>
      <c r="D65" s="127"/>
      <c r="E65" s="127"/>
      <c r="F65" s="127"/>
      <c r="G65" s="128"/>
      <c r="H65" s="128"/>
      <c r="I65" s="131"/>
    </row>
    <row r="66" spans="1:9" s="10" customFormat="1">
      <c r="A66" s="5"/>
      <c r="B66" s="127"/>
      <c r="C66" s="127"/>
      <c r="D66" s="127"/>
      <c r="E66" s="127"/>
      <c r="F66" s="127"/>
      <c r="G66" s="128"/>
      <c r="H66" s="128"/>
      <c r="I66" s="131"/>
    </row>
    <row r="67" spans="1:9" s="10" customFormat="1">
      <c r="A67" s="5"/>
      <c r="B67" s="127"/>
      <c r="C67" s="127"/>
      <c r="D67" s="127"/>
      <c r="E67" s="127"/>
      <c r="F67" s="127"/>
      <c r="G67" s="128"/>
      <c r="H67" s="128"/>
      <c r="I67" s="131"/>
    </row>
    <row r="68" spans="1:9" s="10" customFormat="1">
      <c r="A68" s="5"/>
      <c r="B68" s="127"/>
      <c r="C68" s="127"/>
      <c r="D68" s="127"/>
      <c r="E68" s="127"/>
      <c r="F68" s="127"/>
      <c r="G68" s="128"/>
      <c r="H68" s="128"/>
      <c r="I68" s="131"/>
    </row>
    <row r="69" spans="1:9" s="10" customFormat="1">
      <c r="A69" s="5"/>
      <c r="B69" s="127"/>
      <c r="C69" s="127"/>
      <c r="D69" s="127"/>
      <c r="E69" s="127"/>
      <c r="F69" s="127"/>
      <c r="G69" s="128"/>
      <c r="H69" s="128"/>
      <c r="I69" s="131"/>
    </row>
    <row r="70" spans="1:9" s="10" customFormat="1">
      <c r="A70" s="5"/>
      <c r="B70" s="127"/>
      <c r="C70" s="127"/>
      <c r="D70" s="127"/>
      <c r="E70" s="127"/>
      <c r="F70" s="127"/>
      <c r="G70" s="128"/>
      <c r="H70" s="128"/>
      <c r="I70" s="131"/>
    </row>
    <row r="71" spans="1:9" s="10" customFormat="1">
      <c r="A71" s="5"/>
      <c r="B71" s="127"/>
      <c r="C71" s="127"/>
      <c r="D71" s="127"/>
      <c r="E71" s="127"/>
      <c r="F71" s="127"/>
      <c r="G71" s="128"/>
      <c r="H71" s="128"/>
      <c r="I71" s="131"/>
    </row>
    <row r="72" spans="1:9" s="10" customFormat="1">
      <c r="A72" s="5"/>
      <c r="B72" s="127"/>
      <c r="C72" s="127"/>
      <c r="D72" s="127"/>
      <c r="E72" s="127"/>
      <c r="F72" s="127"/>
      <c r="G72" s="128"/>
      <c r="H72" s="128"/>
      <c r="I72" s="131"/>
    </row>
    <row r="73" spans="1:9" s="10" customFormat="1">
      <c r="A73" s="5"/>
      <c r="B73" s="127"/>
      <c r="C73" s="127"/>
      <c r="D73" s="127"/>
      <c r="E73" s="127"/>
      <c r="F73" s="127"/>
      <c r="G73" s="128"/>
      <c r="H73" s="128"/>
      <c r="I73" s="131"/>
    </row>
    <row r="74" spans="1:9" s="10" customFormat="1">
      <c r="A74" s="5"/>
      <c r="B74" s="127"/>
      <c r="C74" s="127"/>
      <c r="D74" s="127"/>
      <c r="E74" s="127"/>
      <c r="F74" s="127"/>
      <c r="G74" s="128"/>
      <c r="H74" s="128"/>
      <c r="I74" s="131"/>
    </row>
    <row r="75" spans="1:9" s="10" customFormat="1">
      <c r="A75" s="5"/>
      <c r="B75" s="127"/>
      <c r="C75" s="127"/>
      <c r="D75" s="127"/>
      <c r="E75" s="127"/>
      <c r="F75" s="127"/>
      <c r="G75" s="128"/>
      <c r="H75" s="128"/>
      <c r="I75" s="131"/>
    </row>
    <row r="76" spans="1:9" s="10" customFormat="1">
      <c r="A76" s="5"/>
      <c r="B76" s="127"/>
      <c r="C76" s="127"/>
      <c r="D76" s="127"/>
      <c r="E76" s="127"/>
      <c r="F76" s="127"/>
      <c r="G76" s="128"/>
      <c r="H76" s="128"/>
      <c r="I76" s="131"/>
    </row>
    <row r="77" spans="1:9" s="10" customFormat="1">
      <c r="A77" s="5"/>
      <c r="B77" s="127"/>
      <c r="C77" s="127"/>
      <c r="D77" s="127"/>
      <c r="E77" s="127"/>
      <c r="F77" s="127"/>
      <c r="G77" s="128"/>
      <c r="H77" s="128"/>
      <c r="I77" s="131"/>
    </row>
    <row r="78" spans="1:9" s="10" customFormat="1">
      <c r="A78" s="5"/>
      <c r="B78" s="127"/>
      <c r="C78" s="127"/>
      <c r="D78" s="127"/>
      <c r="E78" s="127"/>
      <c r="F78" s="127"/>
      <c r="G78" s="128"/>
      <c r="H78" s="128"/>
      <c r="I78" s="131"/>
    </row>
    <row r="79" spans="1:9" s="10" customFormat="1">
      <c r="A79" s="5"/>
      <c r="B79" s="127"/>
      <c r="C79" s="127"/>
      <c r="D79" s="127"/>
      <c r="E79" s="127"/>
      <c r="F79" s="127"/>
      <c r="G79" s="128"/>
      <c r="H79" s="128"/>
      <c r="I79" s="131"/>
    </row>
    <row r="80" spans="1:9" s="10" customFormat="1">
      <c r="A80" s="5"/>
      <c r="B80" s="127"/>
      <c r="C80" s="127"/>
      <c r="D80" s="127"/>
      <c r="E80" s="127"/>
      <c r="F80" s="127"/>
      <c r="G80" s="128"/>
      <c r="H80" s="128"/>
      <c r="I80" s="131"/>
    </row>
    <row r="81" spans="1:11" s="10" customFormat="1">
      <c r="A81" s="5"/>
      <c r="B81" s="127"/>
      <c r="C81" s="127"/>
      <c r="D81" s="127"/>
      <c r="E81" s="127"/>
      <c r="F81" s="127"/>
      <c r="G81" s="128"/>
      <c r="H81" s="128"/>
      <c r="I81" s="131"/>
    </row>
    <row r="82" spans="1:11" s="10" customFormat="1">
      <c r="A82" s="5"/>
      <c r="B82" s="127"/>
      <c r="C82" s="127"/>
      <c r="D82" s="127"/>
      <c r="E82" s="127"/>
      <c r="F82" s="127"/>
      <c r="G82" s="128"/>
      <c r="H82" s="128"/>
      <c r="I82" s="131"/>
    </row>
    <row r="83" spans="1:11" s="10" customFormat="1">
      <c r="A83" s="5"/>
      <c r="B83" s="127"/>
      <c r="C83" s="127"/>
      <c r="D83" s="127"/>
      <c r="E83" s="127"/>
      <c r="F83" s="127"/>
      <c r="G83" s="128"/>
      <c r="H83" s="128"/>
      <c r="I83" s="131"/>
    </row>
    <row r="84" spans="1:11" s="10" customFormat="1">
      <c r="A84" s="5"/>
      <c r="B84" s="127"/>
      <c r="C84" s="127"/>
      <c r="D84" s="127"/>
      <c r="E84" s="127"/>
      <c r="F84" s="127"/>
      <c r="G84" s="128"/>
      <c r="H84" s="128"/>
      <c r="I84" s="131"/>
    </row>
    <row r="85" spans="1:11" s="10" customFormat="1" ht="18.75">
      <c r="A85" s="77" t="s">
        <v>1314</v>
      </c>
      <c r="B85" s="31"/>
      <c r="C85" s="31"/>
      <c r="D85" s="131"/>
      <c r="E85" s="131"/>
      <c r="F85" s="131"/>
      <c r="G85" s="132"/>
      <c r="H85" s="128"/>
      <c r="I85" s="131"/>
    </row>
    <row r="86" spans="1:11" s="10" customFormat="1" ht="30">
      <c r="A86" s="5" t="s">
        <v>1334</v>
      </c>
      <c r="B86" s="133" t="s">
        <v>574</v>
      </c>
      <c r="C86" s="133" t="s">
        <v>1147</v>
      </c>
      <c r="D86" s="131" t="s">
        <v>575</v>
      </c>
      <c r="E86" s="131" t="s">
        <v>310</v>
      </c>
      <c r="F86" s="131" t="s">
        <v>1674</v>
      </c>
      <c r="G86" s="131" t="s">
        <v>1560</v>
      </c>
      <c r="H86" s="132" t="s">
        <v>0</v>
      </c>
      <c r="I86" s="161" t="s">
        <v>1218</v>
      </c>
      <c r="J86" s="83" t="s">
        <v>573</v>
      </c>
      <c r="K86" s="83" t="s">
        <v>1164</v>
      </c>
    </row>
    <row r="87" spans="1:11" s="10" customFormat="1">
      <c r="A87" s="5" t="s">
        <v>1138</v>
      </c>
      <c r="B8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1213.8902559055118</v>
      </c>
      <c r="C8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1354.4783715818396</v>
      </c>
      <c r="D87" s="127" t="str">
        <f>IFERROR(VLOOKUP(Unit_Rates_2013FY[[#This Row],[Category]],REPEX_Spend_5yrHistory[#All],MATCH(Unit_Rates_2013FY[#Headers],REPEX_Spend_5yrHistory[#Headers],0),FALSE)/VLOOKUP(Unit_Rates_2013FY[[#This Row],[Category]],REPEX_Spend_5yrHistory13[#All],MATCH(Unit_Rates_2013FY[#Headers],REPEX_Spend_5yrHistory13[#Headers],0),FALSE),"")</f>
        <v/>
      </c>
      <c r="E8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827.71058315334778</v>
      </c>
      <c r="F8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1528.8147448015122</v>
      </c>
      <c r="G8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634.19681655133434</v>
      </c>
      <c r="H8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634.19681655133434</v>
      </c>
      <c r="I87" s="127" t="str">
        <f>IFERROR(VLOOKUP(Unit_Rates_2013FY[[#This Row],[Category]],REPEX_Spend_5yrHistory[#All],MATCH(Unit_Rates_2013FY[#Headers],REPEX_Spend_5yrHistory[#Headers],0),FALSE)/VLOOKUP(Unit_Rates_2013FY[[#This Row],[Category]],REPEX_Spend_5yrHistory13[#All],MATCH(Unit_Rates_2013FY[#Headers],REPEX_Spend_5yrHistory13[#Headers],0),FALSE),"")</f>
        <v/>
      </c>
      <c r="J87" s="84" t="s">
        <v>1310</v>
      </c>
      <c r="K87" s="84"/>
    </row>
    <row r="88" spans="1:11" s="10" customFormat="1">
      <c r="A88" s="5" t="s">
        <v>1</v>
      </c>
      <c r="B8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13901.38346931536</v>
      </c>
      <c r="C8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4312.2114649745527</v>
      </c>
      <c r="D8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11119.468166032744</v>
      </c>
      <c r="E8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9879.5601292304182</v>
      </c>
      <c r="F8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8827.490024779052</v>
      </c>
      <c r="G8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7178.5662784132301</v>
      </c>
      <c r="H8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7178.5662784132319</v>
      </c>
      <c r="I8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2914.4284869314397</v>
      </c>
      <c r="J88" s="84" t="s">
        <v>1310</v>
      </c>
      <c r="K88" s="84"/>
    </row>
    <row r="89" spans="1:11" s="10" customFormat="1">
      <c r="A89" s="5" t="s">
        <v>1131</v>
      </c>
      <c r="B89" s="127" t="str">
        <f>IFERROR(VLOOKUP(Unit_Rates_2013FY[[#This Row],[Category]],REPEX_Spend_5yrHistory[#All],MATCH(Unit_Rates_2013FY[#Headers],REPEX_Spend_5yrHistory[#Headers],0),FALSE)/VLOOKUP(Unit_Rates_2013FY[[#This Row],[Category]],REPEX_Spend_5yrHistory13[#All],MATCH(Unit_Rates_2013FY[#Headers],REPEX_Spend_5yrHistory13[#Headers],0),FALSE),"")</f>
        <v/>
      </c>
      <c r="C89"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1143.212465396517</v>
      </c>
      <c r="D89" s="127" t="str">
        <f>IFERROR(VLOOKUP(Unit_Rates_2013FY[[#This Row],[Category]],REPEX_Spend_5yrHistory[#All],MATCH(Unit_Rates_2013FY[#Headers],REPEX_Spend_5yrHistory[#Headers],0),FALSE)/VLOOKUP(Unit_Rates_2013FY[[#This Row],[Category]],REPEX_Spend_5yrHistory13[#All],MATCH(Unit_Rates_2013FY[#Headers],REPEX_Spend_5yrHistory13[#Headers],0),FALSE),"")</f>
        <v/>
      </c>
      <c r="E89"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2680.3848508745286</v>
      </c>
      <c r="F89"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3403.0690070396445</v>
      </c>
      <c r="G89" s="127">
        <f>IFERROR(VLOOKUP(Unit_Rates_2013FY[[#This Row],[Category]],REPEX_Spend_5yrHistory[#All],MATCH(Unit_Rates_2013FY[#Headers],REPEX_Spend_5yrHistory[#Headers],0),FALSE)/VLOOKUP(Unit_Rates_2013FY[[#This Row],[Category]],REPEX_Spend_5yrHistory13[#All],MATCH(Unit_Rates_2013FY[#Headers],REPEX_Spend_5yrHistory13[#Headers],0),FALSE),"")</f>
        <v>4213.7662236509605</v>
      </c>
      <c r="H89" s="127">
        <f>IFERROR(VLOOKUP(Unit_Rates_2013FY[[#This Row],[Category]],REPEX_Spend_5yrHistory[#All],MATCH(Unit_Rates_2013FY[#Headers],REPEX_Spend_5yrHistory[#Headers],0),FALSE)/VLOOKUP(Unit_Rates_2013FY[[#This Row],[Category]],REPEX_Spend_5yrHistory13[#All],MATCH(Unit_Rates_2013FY[#Headers],REPEX_Spend_5yrHistory13[#Headers],0),FALSE),"")</f>
        <v>4213.7662236509605</v>
      </c>
      <c r="I89"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1327.7016206673181</v>
      </c>
      <c r="J89" s="84" t="s">
        <v>1310</v>
      </c>
      <c r="K89" s="84"/>
    </row>
    <row r="90" spans="1:11" s="10" customFormat="1">
      <c r="A90" s="5" t="s">
        <v>1132</v>
      </c>
      <c r="B90"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21656.570512820512</v>
      </c>
      <c r="C90" s="127">
        <f>IFERROR(VLOOKUP(Unit_Rates_2013FY[[#This Row],[Category]],REPEX_Spend_5yrHistory[#All],MATCH(Unit_Rates_2013FY[#Headers],REPEX_Spend_5yrHistory[#Headers],0),FALSE)/VLOOKUP(Unit_Rates_2013FY[[#This Row],[Category]],REPEX_Spend_5yrHistory13[#All],MATCH(Unit_Rates_2013FY[#Headers],REPEX_Spend_5yrHistory13[#Headers],0),FALSE),"")</f>
        <v>99896.877402826227</v>
      </c>
      <c r="D90"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116498.91667795903</v>
      </c>
      <c r="E90" s="127">
        <f>IFERROR(VLOOKUP(Unit_Rates_2013FY[[#This Row],[Category]],REPEX_Spend_5yrHistory[#All],MATCH(Unit_Rates_2013FY[#Headers],REPEX_Spend_5yrHistory[#Headers],0),FALSE)/VLOOKUP(Unit_Rates_2013FY[[#This Row],[Category]],REPEX_Spend_5yrHistory13[#All],MATCH(Unit_Rates_2013FY[#Headers],REPEX_Spend_5yrHistory13[#Headers],0),FALSE),"")</f>
        <v>50468.519973862763</v>
      </c>
      <c r="F90" s="127">
        <f>IFERROR(VLOOKUP(Unit_Rates_2013FY[[#This Row],[Category]],REPEX_Spend_5yrHistory[#All],MATCH(Unit_Rates_2013FY[#Headers],REPEX_Spend_5yrHistory[#Headers],0),FALSE)/VLOOKUP(Unit_Rates_2013FY[[#This Row],[Category]],REPEX_Spend_5yrHistory13[#All],MATCH(Unit_Rates_2013FY[#Headers],REPEX_Spend_5yrHistory13[#Headers],0),FALSE),"")</f>
        <v>42156.092896174865</v>
      </c>
      <c r="G90" s="127">
        <f>IFERROR(VLOOKUP(Unit_Rates_2013FY[[#This Row],[Category]],REPEX_Spend_5yrHistory[#All],MATCH(Unit_Rates_2013FY[#Headers],REPEX_Spend_5yrHistory[#Headers],0),FALSE)/VLOOKUP(Unit_Rates_2013FY[[#This Row],[Category]],REPEX_Spend_5yrHistory13[#All],MATCH(Unit_Rates_2013FY[#Headers],REPEX_Spend_5yrHistory13[#Headers],0),FALSE),"")</f>
        <v>53625.991298403074</v>
      </c>
      <c r="H90" s="127">
        <f>IFERROR(VLOOKUP(Unit_Rates_2013FY[[#This Row],[Category]],REPEX_Spend_5yrHistory[#All],MATCH(Unit_Rates_2013FY[#Headers],REPEX_Spend_5yrHistory[#Headers],0),FALSE)/VLOOKUP(Unit_Rates_2013FY[[#This Row],[Category]],REPEX_Spend_5yrHistory13[#All],MATCH(Unit_Rates_2013FY[#Headers],REPEX_Spend_5yrHistory13[#Headers],0),FALSE),"")</f>
        <v>53625.991298403074</v>
      </c>
      <c r="I90"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22908.116611322093</v>
      </c>
      <c r="J90" s="84" t="s">
        <v>1310</v>
      </c>
      <c r="K90" s="84"/>
    </row>
    <row r="91" spans="1:11" s="10" customFormat="1">
      <c r="A91" s="5" t="s">
        <v>1133</v>
      </c>
      <c r="B91"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1610684.5425867508</v>
      </c>
      <c r="C91"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197310.81703668204</v>
      </c>
      <c r="D91" s="127">
        <f>IFERROR(VLOOKUP(Unit_Rates_2013FY[[#This Row],[Category]],REPEX_Spend_5yrHistory[#All],MATCH(Unit_Rates_2013FY[#Headers],REPEX_Spend_5yrHistory[#Headers],0),FALSE)/VLOOKUP(Unit_Rates_2013FY[[#This Row],[Category]],REPEX_Spend_5yrHistory13[#All],MATCH(Unit_Rates_2013FY[#Headers],REPEX_Spend_5yrHistory13[#Headers],0),FALSE),"")</f>
        <v>52340.134313454051</v>
      </c>
      <c r="E91"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185067.96510797841</v>
      </c>
      <c r="F91"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28161.408961625282</v>
      </c>
      <c r="G91"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3872194.9231104483</v>
      </c>
      <c r="H91"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3872194.9231104483</v>
      </c>
      <c r="I91" s="127">
        <f>IFERROR(VLOOKUP(Unit_Rates_2013FY[[#This Row],[Category]],REPEX_Spend_5yrHistory[#All],MATCH(Unit_Rates_2013FY[#Headers],REPEX_Spend_5yrHistory[#Headers],0),FALSE)/VLOOKUP(Unit_Rates_2013FY[[#This Row],[Category]],REPEX_Spend_5yrHistory13[#All],MATCH(Unit_Rates_2013FY[#Headers],REPEX_Spend_5yrHistory13[#Headers],0),FALSE),"")</f>
        <v>408347.18024463521</v>
      </c>
      <c r="J91" s="84" t="s">
        <v>1310</v>
      </c>
      <c r="K91" s="84"/>
    </row>
    <row r="92" spans="1:11" s="10" customFormat="1">
      <c r="A92" s="5" t="s">
        <v>719</v>
      </c>
      <c r="B92" s="127">
        <f>IFERROR(VLOOKUP(Unit_Rates_2013FY[[#This Row],[Category]],REPEX_Spend_5yrHistory[#All],MATCH(Unit_Rates_2013FY[#Headers],REPEX_Spend_5yrHistory[#Headers],0),FALSE)/VLOOKUP(Unit_Rates_2013FY[[#This Row],[Category]],REPEX_Spend_5yrHistory13[#All],MATCH(Unit_Rates_2013FY[#Headers],REPEX_Spend_5yrHistory13[#Headers],0),FALSE),"")</f>
        <v>739.83993488876831</v>
      </c>
      <c r="C92"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1332.1270852545554</v>
      </c>
      <c r="D92" s="127">
        <f>IFERROR(VLOOKUP(Unit_Rates_2013FY[[#This Row],[Category]],REPEX_Spend_5yrHistory[#All],MATCH(Unit_Rates_2013FY[#Headers],REPEX_Spend_5yrHistory[#Headers],0),FALSE)/VLOOKUP(Unit_Rates_2013FY[[#This Row],[Category]],REPEX_Spend_5yrHistory13[#All],MATCH(Unit_Rates_2013FY[#Headers],REPEX_Spend_5yrHistory13[#Headers],0),FALSE),"")</f>
        <v>417.33406666666667</v>
      </c>
      <c r="E92"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25348.846285377105</v>
      </c>
      <c r="F92"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25794.200971944199</v>
      </c>
      <c r="G92"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352.56066686948668</v>
      </c>
      <c r="H92"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352.56066686948668</v>
      </c>
      <c r="I92" s="127">
        <f>IFERROR(VLOOKUP(Unit_Rates_2013FY[[#This Row],[Category]],REPEX_Spend_5yrHistory[#All],MATCH(Unit_Rates_2013FY[#Headers],REPEX_Spend_5yrHistory[#Headers],0),FALSE)/VLOOKUP(Unit_Rates_2013FY[[#This Row],[Category]],REPEX_Spend_5yrHistory13[#All],MATCH(Unit_Rates_2013FY[#Headers],REPEX_Spend_5yrHistory13[#Headers],0),FALSE),"")</f>
        <v>414.04111455391052</v>
      </c>
      <c r="J92" s="84" t="s">
        <v>1310</v>
      </c>
      <c r="K92" s="84"/>
    </row>
    <row r="93" spans="1:11" s="10" customFormat="1">
      <c r="A93" s="5" t="s">
        <v>4</v>
      </c>
      <c r="B93"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263287.43545611016</v>
      </c>
      <c r="C93"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22266.56993433036</v>
      </c>
      <c r="D93" s="127">
        <f>IFERROR(VLOOKUP(Unit_Rates_2013FY[[#This Row],[Category]],REPEX_Spend_5yrHistory[#All],MATCH(Unit_Rates_2013FY[#Headers],REPEX_Spend_5yrHistory[#Headers],0),FALSE)/VLOOKUP(Unit_Rates_2013FY[[#This Row],[Category]],REPEX_Spend_5yrHistory13[#All],MATCH(Unit_Rates_2013FY[#Headers],REPEX_Spend_5yrHistory13[#Headers],0),FALSE),"")</f>
        <v>59610.234627831713</v>
      </c>
      <c r="E93"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10865.485981946014</v>
      </c>
      <c r="F93" s="127">
        <f>IFERROR(VLOOKUP(Unit_Rates_2013FY[[#This Row],[Category]],REPEX_Spend_5yrHistory[#All],MATCH(Unit_Rates_2013FY[#Headers],REPEX_Spend_5yrHistory[#Headers],0),FALSE)/VLOOKUP(Unit_Rates_2013FY[[#This Row],[Category]],REPEX_Spend_5yrHistory13[#All],MATCH(Unit_Rates_2013FY[#Headers],REPEX_Spend_5yrHistory13[#Headers],0),FALSE),"")</f>
        <v>8608.7340641494102</v>
      </c>
      <c r="G93" s="127">
        <f>IFERROR(VLOOKUP(Unit_Rates_2013FY[[#This Row],[Category]],REPEX_Spend_5yrHistory[#All],MATCH(Unit_Rates_2013FY[#Headers],REPEX_Spend_5yrHistory[#Headers],0),FALSE)/VLOOKUP(Unit_Rates_2013FY[[#This Row],[Category]],REPEX_Spend_5yrHistory13[#All],MATCH(Unit_Rates_2013FY[#Headers],REPEX_Spend_5yrHistory13[#Headers],0),FALSE),"")</f>
        <v>46455.049136555535</v>
      </c>
      <c r="H93"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35572.857445935493</v>
      </c>
      <c r="I93"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20425.439392241769</v>
      </c>
      <c r="J93" s="84" t="s">
        <v>1310</v>
      </c>
      <c r="K93" s="84"/>
    </row>
    <row r="94" spans="1:11" s="10" customFormat="1">
      <c r="A94" s="5" t="s">
        <v>2</v>
      </c>
      <c r="B94"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126751.726860075</v>
      </c>
      <c r="C94"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1513.0154360237696</v>
      </c>
      <c r="D94" s="127">
        <f>IFERROR(VLOOKUP(Unit_Rates_2013FY[[#This Row],[Category]],REPEX_Spend_5yrHistory[#All],MATCH(Unit_Rates_2013FY[#Headers],REPEX_Spend_5yrHistory[#Headers],0),FALSE)/VLOOKUP(Unit_Rates_2013FY[[#This Row],[Category]],REPEX_Spend_5yrHistory13[#All],MATCH(Unit_Rates_2013FY[#Headers],REPEX_Spend_5yrHistory13[#Headers],0),FALSE),"")</f>
        <v>8451.3199883957059</v>
      </c>
      <c r="E94"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3325.3541501230352</v>
      </c>
      <c r="F94"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14705.095094339622</v>
      </c>
      <c r="G94"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16116.051815123901</v>
      </c>
      <c r="H94"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18427.743907368269</v>
      </c>
      <c r="I94"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38275.208984189805</v>
      </c>
      <c r="J94" s="84" t="s">
        <v>1310</v>
      </c>
      <c r="K94" s="84"/>
    </row>
    <row r="95" spans="1:11" s="10" customFormat="1">
      <c r="A95" s="5" t="s">
        <v>1135</v>
      </c>
      <c r="B95"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1086.7413541159278</v>
      </c>
      <c r="C95"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267.4445398380567</v>
      </c>
      <c r="D95" s="127">
        <f>IFERROR(VLOOKUP(Unit_Rates_2013FY[[#This Row],[Category]],REPEX_Spend_5yrHistory[#All],MATCH(Unit_Rates_2013FY[#Headers],REPEX_Spend_5yrHistory[#Headers],0),FALSE)/VLOOKUP(Unit_Rates_2013FY[[#This Row],[Category]],REPEX_Spend_5yrHistory13[#All],MATCH(Unit_Rates_2013FY[#Headers],REPEX_Spend_5yrHistory13[#Headers],0),FALSE),"")</f>
        <v>6230.3449735449722</v>
      </c>
      <c r="E95"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3936.2383885065856</v>
      </c>
      <c r="F95" s="127" t="str">
        <f>IFERROR(VLOOKUP(Unit_Rates_2013FY[[#This Row],[Category]],REPEX_Spend_5yrHistory[#All],MATCH(Unit_Rates_2013FY[#Headers],REPEX_Spend_5yrHistory[#Headers],0),FALSE)/VLOOKUP(Unit_Rates_2013FY[[#This Row],[Category]],REPEX_Spend_5yrHistory13[#All],MATCH(Unit_Rates_2013FY[#Headers],REPEX_Spend_5yrHistory13[#Headers],0),FALSE),"")</f>
        <v/>
      </c>
      <c r="G95" s="127">
        <f>IFERROR(VLOOKUP(Unit_Rates_2013FY[[#This Row],[Category]],REPEX_Spend_5yrHistory[#All],MATCH(Unit_Rates_2013FY[#Headers],REPEX_Spend_5yrHistory[#Headers],0),FALSE)/VLOOKUP(Unit_Rates_2013FY[[#This Row],[Category]],REPEX_Spend_5yrHistory13[#All],MATCH(Unit_Rates_2013FY[#Headers],REPEX_Spend_5yrHistory13[#Headers],0),FALSE),"")</f>
        <v>66.075250147533296</v>
      </c>
      <c r="H95" s="127">
        <f>IFERROR(VLOOKUP(Unit_Rates_2013FY[[#This Row],[Category]],REPEX_Spend_5yrHistory[#All],MATCH(Unit_Rates_2013FY[#Headers],REPEX_Spend_5yrHistory[#Headers],0),FALSE)/VLOOKUP(Unit_Rates_2013FY[[#This Row],[Category]],REPEX_Spend_5yrHistory13[#All],MATCH(Unit_Rates_2013FY[#Headers],REPEX_Spend_5yrHistory13[#Headers],0),FALSE),"")</f>
        <v>66.075250147533296</v>
      </c>
      <c r="I95" s="127" t="str">
        <f>IFERROR(VLOOKUP(Unit_Rates_2013FY[[#This Row],[Category]],REPEX_Spend_5yrHistory[#All],MATCH(Unit_Rates_2013FY[#Headers],REPEX_Spend_5yrHistory[#Headers],0),FALSE)/VLOOKUP(Unit_Rates_2013FY[[#This Row],[Category]],REPEX_Spend_5yrHistory13[#All],MATCH(Unit_Rates_2013FY[#Headers],REPEX_Spend_5yrHistory13[#Headers],0),FALSE),"")</f>
        <v/>
      </c>
      <c r="J95" s="84" t="s">
        <v>1310</v>
      </c>
      <c r="K95" s="84"/>
    </row>
    <row r="96" spans="1:11" s="10" customFormat="1">
      <c r="A96" s="5" t="s">
        <v>1134</v>
      </c>
      <c r="B96"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144.85594854822853</v>
      </c>
      <c r="C96"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142.1715669085884</v>
      </c>
      <c r="D96" s="127" t="str">
        <f>IFERROR(VLOOKUP(Unit_Rates_2013FY[[#This Row],[Category]],REPEX_Spend_5yrHistory[#All],MATCH(Unit_Rates_2013FY[#Headers],REPEX_Spend_5yrHistory[#Headers],0),FALSE)/VLOOKUP(Unit_Rates_2013FY[[#This Row],[Category]],REPEX_Spend_5yrHistory13[#All],MATCH(Unit_Rates_2013FY[#Headers],REPEX_Spend_5yrHistory13[#Headers],0),FALSE),"")</f>
        <v/>
      </c>
      <c r="E96" s="127">
        <f>IFERROR(VLOOKUP(Unit_Rates_2013FY[[#This Row],[Category]],REPEX_Spend_5yrHistory[#All],MATCH(Unit_Rates_2013FY[#Headers],REPEX_Spend_5yrHistory[#Headers],0),FALSE)/VLOOKUP(Unit_Rates_2013FY[[#This Row],[Category]],REPEX_Spend_5yrHistory13[#All],MATCH(Unit_Rates_2013FY[#Headers],REPEX_Spend_5yrHistory13[#Headers],0),FALSE),"")</f>
        <v>5189.3225038690607</v>
      </c>
      <c r="F96" s="127" t="str">
        <f>IFERROR(VLOOKUP(Unit_Rates_2013FY[[#This Row],[Category]],REPEX_Spend_5yrHistory[#All],MATCH(Unit_Rates_2013FY[#Headers],REPEX_Spend_5yrHistory[#Headers],0),FALSE)/VLOOKUP(Unit_Rates_2013FY[[#This Row],[Category]],REPEX_Spend_5yrHistory13[#All],MATCH(Unit_Rates_2013FY[#Headers],REPEX_Spend_5yrHistory13[#Headers],0),FALSE),"")</f>
        <v/>
      </c>
      <c r="G96"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2337.0312392077362</v>
      </c>
      <c r="H96"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2337.0312392077362</v>
      </c>
      <c r="I96" s="127" t="str">
        <f>IFERROR(VLOOKUP(Unit_Rates_2013FY[[#This Row],[Category]],REPEX_Spend_5yrHistory[#All],MATCH(Unit_Rates_2013FY[#Headers],REPEX_Spend_5yrHistory[#Headers],0),FALSE)/VLOOKUP(Unit_Rates_2013FY[[#This Row],[Category]],REPEX_Spend_5yrHistory13[#All],MATCH(Unit_Rates_2013FY[#Headers],REPEX_Spend_5yrHistory13[#Headers],0),FALSE),"")</f>
        <v/>
      </c>
      <c r="J96" s="84" t="s">
        <v>1310</v>
      </c>
      <c r="K96" s="84"/>
    </row>
    <row r="97" spans="1:11" s="10" customFormat="1">
      <c r="A97" s="5" t="s">
        <v>659</v>
      </c>
      <c r="B9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293913.33333333331</v>
      </c>
      <c r="C9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31599.667632588804</v>
      </c>
      <c r="D9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147988.7743902439</v>
      </c>
      <c r="E9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37962.176835443039</v>
      </c>
      <c r="F9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4803.8813682678301</v>
      </c>
      <c r="G9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137298.8269583004</v>
      </c>
      <c r="H9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137.2988269583004</v>
      </c>
      <c r="I97" s="127">
        <f>IFERROR(VLOOKUP(Unit_Rates_2013FY[[#This Row],[Category]],REPEX_Spend_5yrHistory[#All],MATCH(Unit_Rates_2013FY[#Headers],REPEX_Spend_5yrHistory[#Headers],0),FALSE)/VLOOKUP(Unit_Rates_2013FY[[#This Row],[Category]],REPEX_Spend_5yrHistory13[#All],MATCH(Unit_Rates_2013FY[#Headers],REPEX_Spend_5yrHistory13[#Headers],0),FALSE),"")</f>
        <v>69370.853931829915</v>
      </c>
      <c r="J97" s="84" t="s">
        <v>1310</v>
      </c>
      <c r="K97" s="84"/>
    </row>
    <row r="98" spans="1:11" s="10" customFormat="1">
      <c r="A98" s="5" t="s">
        <v>720</v>
      </c>
      <c r="B9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59917.181296868104</v>
      </c>
      <c r="C9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95057.206544067813</v>
      </c>
      <c r="D9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301071.31062944478</v>
      </c>
      <c r="E9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123.3253298699186</v>
      </c>
      <c r="F9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12634.734491315137</v>
      </c>
      <c r="G98" s="127" t="str">
        <f>IFERROR(VLOOKUP(Unit_Rates_2013FY[[#This Row],[Category]],REPEX_Spend_5yrHistory[#All],MATCH(Unit_Rates_2013FY[#Headers],REPEX_Spend_5yrHistory[#Headers],0),FALSE)/VLOOKUP(Unit_Rates_2013FY[[#This Row],[Category]],REPEX_Spend_5yrHistory13[#All],MATCH(Unit_Rates_2013FY[#Headers],REPEX_Spend_5yrHistory13[#Headers],0),FALSE),"")</f>
        <v/>
      </c>
      <c r="H9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114.15135104322866</v>
      </c>
      <c r="I98" s="127">
        <f>IFERROR(VLOOKUP(Unit_Rates_2013FY[[#This Row],[Category]],REPEX_Spend_5yrHistory[#All],MATCH(Unit_Rates_2013FY[#Headers],REPEX_Spend_5yrHistory[#Headers],0),FALSE)/VLOOKUP(Unit_Rates_2013FY[[#This Row],[Category]],REPEX_Spend_5yrHistory13[#All],MATCH(Unit_Rates_2013FY[#Headers],REPEX_Spend_5yrHistory13[#Headers],0),FALSE),"")</f>
        <v>103293.69396895474</v>
      </c>
      <c r="J98" s="84" t="s">
        <v>1310</v>
      </c>
      <c r="K98" s="84"/>
    </row>
    <row r="99" spans="1:11" s="10" customFormat="1">
      <c r="A99" s="5"/>
      <c r="B99" s="127"/>
      <c r="C99" s="127"/>
      <c r="D99" s="127"/>
      <c r="E99" s="127"/>
      <c r="F99" s="127"/>
      <c r="G99" s="127"/>
      <c r="H99" s="128"/>
      <c r="I99" s="128"/>
    </row>
    <row r="100" spans="1:11" s="10" customFormat="1">
      <c r="A100" s="5"/>
      <c r="B100" s="127"/>
      <c r="C100" s="127"/>
      <c r="D100" s="127"/>
      <c r="E100" s="127"/>
      <c r="F100" s="127"/>
      <c r="G100" s="127"/>
      <c r="H100" s="128"/>
      <c r="I100" s="128"/>
    </row>
    <row r="101" spans="1:11" s="10" customFormat="1">
      <c r="A101" s="5"/>
      <c r="B101" s="127"/>
      <c r="C101" s="127"/>
      <c r="D101" s="127"/>
      <c r="E101" s="127"/>
      <c r="F101" s="127"/>
      <c r="G101" s="127"/>
      <c r="H101" s="128"/>
      <c r="I101" s="128"/>
    </row>
    <row r="102" spans="1:11" s="10" customFormat="1">
      <c r="A102" s="5"/>
      <c r="B102" s="127"/>
      <c r="C102" s="127"/>
      <c r="D102" s="127"/>
      <c r="E102" s="127"/>
      <c r="F102" s="127"/>
      <c r="G102" s="127"/>
      <c r="H102" s="128"/>
      <c r="I102" s="128"/>
    </row>
    <row r="103" spans="1:11" s="10" customFormat="1">
      <c r="A103" s="5"/>
      <c r="B103" s="127"/>
      <c r="C103" s="127"/>
      <c r="D103" s="127"/>
      <c r="E103" s="127"/>
      <c r="F103" s="127"/>
      <c r="G103" s="127"/>
      <c r="H103" s="128"/>
      <c r="I103" s="128"/>
    </row>
    <row r="104" spans="1:11" s="10" customFormat="1">
      <c r="A104" s="5"/>
      <c r="B104" s="127"/>
      <c r="C104" s="127"/>
      <c r="D104" s="127"/>
      <c r="E104" s="127"/>
      <c r="F104" s="127"/>
      <c r="G104" s="127"/>
      <c r="H104" s="128"/>
      <c r="I104" s="128"/>
    </row>
    <row r="105" spans="1:11" s="10" customFormat="1">
      <c r="A105" s="5"/>
      <c r="B105" s="127"/>
      <c r="C105" s="127"/>
      <c r="D105" s="127"/>
      <c r="E105" s="127"/>
      <c r="F105" s="127"/>
      <c r="G105" s="127"/>
      <c r="H105" s="128"/>
      <c r="I105" s="128"/>
    </row>
    <row r="106" spans="1:11" s="10" customFormat="1">
      <c r="A106" s="5"/>
      <c r="B106" s="127"/>
      <c r="C106" s="127"/>
      <c r="D106" s="127"/>
      <c r="E106" s="127"/>
      <c r="F106" s="127"/>
      <c r="G106" s="127"/>
      <c r="H106" s="128"/>
      <c r="I106" s="128"/>
    </row>
    <row r="107" spans="1:11" s="10" customFormat="1">
      <c r="A107" s="5"/>
      <c r="B107" s="127"/>
      <c r="C107" s="127"/>
      <c r="D107" s="127"/>
      <c r="E107" s="127"/>
      <c r="F107" s="127"/>
      <c r="G107" s="127"/>
      <c r="H107" s="128"/>
      <c r="I107" s="128"/>
    </row>
    <row r="108" spans="1:11" s="10" customFormat="1">
      <c r="A108" s="5"/>
      <c r="B108" s="127"/>
      <c r="C108" s="127"/>
      <c r="D108" s="127"/>
      <c r="E108" s="127"/>
      <c r="F108" s="127"/>
      <c r="G108" s="127"/>
      <c r="H108" s="128"/>
      <c r="I108" s="128"/>
    </row>
    <row r="109" spans="1:11" s="10" customFormat="1">
      <c r="A109" s="5"/>
      <c r="B109" s="127"/>
      <c r="C109" s="127"/>
      <c r="D109" s="127"/>
      <c r="E109" s="127"/>
      <c r="F109" s="127"/>
      <c r="G109" s="127"/>
      <c r="H109" s="128"/>
      <c r="I109" s="128"/>
    </row>
    <row r="110" spans="1:11" s="10" customFormat="1">
      <c r="A110" s="5"/>
      <c r="B110" s="127"/>
      <c r="C110" s="127"/>
      <c r="D110" s="127"/>
      <c r="E110" s="127"/>
      <c r="F110" s="127"/>
      <c r="G110" s="127"/>
      <c r="H110" s="128"/>
      <c r="I110" s="128"/>
    </row>
    <row r="111" spans="1:11" s="10" customFormat="1">
      <c r="A111" s="5"/>
      <c r="B111" s="127"/>
      <c r="C111" s="127"/>
      <c r="D111" s="127"/>
      <c r="E111" s="127"/>
      <c r="F111" s="127"/>
      <c r="G111" s="127"/>
      <c r="H111" s="128"/>
      <c r="I111" s="128"/>
    </row>
    <row r="112" spans="1:11" s="10" customFormat="1">
      <c r="A112" s="5"/>
      <c r="B112" s="127"/>
      <c r="C112" s="127"/>
      <c r="D112" s="127"/>
      <c r="E112" s="127"/>
      <c r="F112" s="127"/>
      <c r="G112" s="127"/>
      <c r="H112" s="128"/>
      <c r="I112" s="128"/>
    </row>
    <row r="113" spans="1:11" s="10" customFormat="1">
      <c r="A113" s="5"/>
      <c r="B113" s="127"/>
      <c r="C113" s="127"/>
      <c r="D113" s="127"/>
      <c r="E113" s="127"/>
      <c r="F113" s="127"/>
      <c r="G113" s="127"/>
      <c r="H113" s="128"/>
      <c r="I113" s="128"/>
    </row>
    <row r="114" spans="1:11" s="10" customFormat="1">
      <c r="B114" s="128"/>
      <c r="C114" s="128"/>
      <c r="D114" s="128"/>
      <c r="E114" s="128"/>
      <c r="F114" s="128"/>
      <c r="G114" s="128"/>
      <c r="H114" s="128"/>
      <c r="I114" s="128"/>
    </row>
    <row r="115" spans="1:11" s="10" customFormat="1">
      <c r="B115" s="128"/>
      <c r="C115" s="128"/>
      <c r="D115" s="128"/>
      <c r="E115" s="128"/>
      <c r="F115" s="128"/>
      <c r="G115" s="128"/>
      <c r="H115" s="134"/>
      <c r="I115" s="128"/>
    </row>
    <row r="116" spans="1:11" s="10" customFormat="1">
      <c r="B116" s="128"/>
      <c r="C116" s="128"/>
      <c r="D116" s="128"/>
      <c r="E116" s="128"/>
      <c r="F116" s="128"/>
      <c r="G116" s="128"/>
      <c r="H116" s="134"/>
      <c r="I116" s="128"/>
    </row>
    <row r="117" spans="1:11" s="10" customFormat="1">
      <c r="B117" s="128"/>
      <c r="C117" s="128"/>
      <c r="D117" s="128"/>
      <c r="E117" s="128"/>
      <c r="F117" s="128"/>
      <c r="G117" s="128"/>
      <c r="H117" s="131"/>
      <c r="I117" s="128"/>
    </row>
    <row r="118" spans="1:11" s="10" customFormat="1">
      <c r="B118" s="128"/>
      <c r="C118" s="128"/>
      <c r="D118" s="128"/>
      <c r="E118" s="128"/>
      <c r="F118" s="128"/>
      <c r="G118" s="128"/>
      <c r="H118" s="131"/>
      <c r="I118" s="128"/>
    </row>
    <row r="119" spans="1:11" s="10" customFormat="1">
      <c r="B119" s="128"/>
      <c r="C119" s="128"/>
      <c r="D119" s="128"/>
      <c r="E119" s="128"/>
      <c r="F119" s="128"/>
      <c r="G119" s="128"/>
      <c r="H119" s="131"/>
      <c r="I119" s="128"/>
    </row>
    <row r="120" spans="1:11" s="10" customFormat="1">
      <c r="B120" s="128"/>
      <c r="C120" s="128"/>
      <c r="D120" s="128"/>
      <c r="E120" s="128"/>
      <c r="F120" s="128"/>
      <c r="G120" s="128"/>
      <c r="H120" s="131"/>
      <c r="I120" s="128"/>
    </row>
    <row r="121" spans="1:11" s="10" customFormat="1">
      <c r="B121" s="128"/>
      <c r="C121" s="128"/>
      <c r="D121" s="128"/>
      <c r="E121" s="128"/>
      <c r="F121" s="128"/>
      <c r="G121" s="128"/>
      <c r="H121" s="131"/>
      <c r="I121" s="128"/>
    </row>
    <row r="122" spans="1:11" s="10" customFormat="1">
      <c r="B122" s="128"/>
      <c r="C122" s="128"/>
      <c r="D122" s="128"/>
      <c r="E122" s="128"/>
      <c r="F122" s="128"/>
      <c r="G122" s="128"/>
      <c r="H122" s="131"/>
      <c r="I122" s="128"/>
    </row>
    <row r="123" spans="1:11" s="10" customFormat="1">
      <c r="B123" s="128"/>
      <c r="C123" s="128"/>
      <c r="D123" s="128"/>
      <c r="E123" s="128"/>
      <c r="F123" s="128"/>
      <c r="G123" s="128"/>
      <c r="H123" s="131"/>
      <c r="I123" s="128"/>
    </row>
    <row r="124" spans="1:11">
      <c r="H124" s="128"/>
      <c r="I124" s="128"/>
      <c r="J124" s="10"/>
      <c r="K124" s="10"/>
    </row>
    <row r="125" spans="1:11" ht="18.75">
      <c r="A125" s="77" t="str">
        <f>A126</f>
        <v>Asset Failures (2009-13)</v>
      </c>
      <c r="D125" s="131"/>
      <c r="E125" s="131"/>
      <c r="F125" s="131"/>
      <c r="G125" s="132"/>
      <c r="H125" s="128"/>
      <c r="I125" s="131"/>
      <c r="J125" s="10"/>
      <c r="K125" s="10"/>
    </row>
    <row r="126" spans="1:11" ht="30">
      <c r="A126" s="5" t="s">
        <v>1311</v>
      </c>
      <c r="B126" s="131" t="s">
        <v>574</v>
      </c>
      <c r="C126" s="132" t="s">
        <v>1147</v>
      </c>
      <c r="D126" s="131" t="s">
        <v>575</v>
      </c>
      <c r="E126" s="133" t="s">
        <v>310</v>
      </c>
      <c r="F126" s="133" t="s">
        <v>1674</v>
      </c>
      <c r="G126" s="131" t="s">
        <v>1560</v>
      </c>
      <c r="H126" s="131" t="s">
        <v>0</v>
      </c>
      <c r="I126" s="156" t="s">
        <v>1218</v>
      </c>
      <c r="J126" s="81" t="s">
        <v>573</v>
      </c>
      <c r="K126" s="81" t="s">
        <v>1164</v>
      </c>
    </row>
    <row r="127" spans="1:11">
      <c r="A127" s="5" t="s">
        <v>1138</v>
      </c>
      <c r="B12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C12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766</v>
      </c>
      <c r="D12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E12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F12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G12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v>
      </c>
      <c r="H12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v>
      </c>
      <c r="I12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J127" s="82" t="s">
        <v>1310</v>
      </c>
      <c r="K127" s="82"/>
    </row>
    <row r="128" spans="1:11">
      <c r="A128" s="5" t="s">
        <v>1</v>
      </c>
      <c r="B12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65</v>
      </c>
      <c r="C12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1665</v>
      </c>
      <c r="D12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72</v>
      </c>
      <c r="E12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100</v>
      </c>
      <c r="F12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26077.000000357999</v>
      </c>
      <c r="G12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892.55102723037271</v>
      </c>
      <c r="H12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892.55102723037271</v>
      </c>
      <c r="I12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484</v>
      </c>
      <c r="J128" s="82" t="s">
        <v>1310</v>
      </c>
      <c r="K128" s="82"/>
    </row>
    <row r="129" spans="1:12">
      <c r="A129" s="5" t="s">
        <v>1131</v>
      </c>
      <c r="B129"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727</v>
      </c>
      <c r="C129"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1134</v>
      </c>
      <c r="D129"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E129"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684</v>
      </c>
      <c r="F129"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141277</v>
      </c>
      <c r="G129"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8819</v>
      </c>
      <c r="H129"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8819</v>
      </c>
      <c r="I129"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19230</v>
      </c>
      <c r="J129" s="82" t="s">
        <v>1310</v>
      </c>
      <c r="K129" s="82"/>
    </row>
    <row r="130" spans="1:12">
      <c r="A130" s="5" t="s">
        <v>1132</v>
      </c>
      <c r="B130"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2155</v>
      </c>
      <c r="C130"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1919</v>
      </c>
      <c r="D130"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E130"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20.04</v>
      </c>
      <c r="F130"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49035</v>
      </c>
      <c r="G130"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2205</v>
      </c>
      <c r="H130"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2205</v>
      </c>
      <c r="I130"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5887</v>
      </c>
      <c r="J130" s="82" t="s">
        <v>1310</v>
      </c>
      <c r="K130" s="82"/>
    </row>
    <row r="131" spans="1:12">
      <c r="A131" s="5" t="s">
        <v>1133</v>
      </c>
      <c r="B131"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4305</v>
      </c>
      <c r="C131"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272</v>
      </c>
      <c r="D131"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E131"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1.0609999999999999</v>
      </c>
      <c r="F131"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23796</v>
      </c>
      <c r="G131"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96</v>
      </c>
      <c r="H131"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96</v>
      </c>
      <c r="I131"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4533</v>
      </c>
      <c r="J131" s="82" t="s">
        <v>1310</v>
      </c>
      <c r="K131" s="82"/>
    </row>
    <row r="132" spans="1:12">
      <c r="A132" s="5" t="s">
        <v>719</v>
      </c>
      <c r="B132"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46763</v>
      </c>
      <c r="C132"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38414.454548399997</v>
      </c>
      <c r="D132"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E132"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240.654</v>
      </c>
      <c r="F132"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33013</v>
      </c>
      <c r="G132"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4340</v>
      </c>
      <c r="H132"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4340</v>
      </c>
      <c r="I132"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33922</v>
      </c>
      <c r="J132" s="82" t="s">
        <v>1310</v>
      </c>
      <c r="K132" s="82"/>
    </row>
    <row r="133" spans="1:12">
      <c r="A133" s="5" t="s">
        <v>4</v>
      </c>
      <c r="B133"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1149</v>
      </c>
      <c r="C133"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7327</v>
      </c>
      <c r="D133"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191</v>
      </c>
      <c r="E133"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87</v>
      </c>
      <c r="F133"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8414</v>
      </c>
      <c r="G133"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2300</v>
      </c>
      <c r="H133"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2300</v>
      </c>
      <c r="I133"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1074</v>
      </c>
      <c r="J133" s="82" t="s">
        <v>1310</v>
      </c>
      <c r="K133" s="82"/>
    </row>
    <row r="134" spans="1:12">
      <c r="A134" s="5" t="s">
        <v>2</v>
      </c>
      <c r="B134"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3761</v>
      </c>
      <c r="C134"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86326</v>
      </c>
      <c r="D134"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1887</v>
      </c>
      <c r="E134"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876</v>
      </c>
      <c r="F134"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16573</v>
      </c>
      <c r="G134"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3714</v>
      </c>
      <c r="H134"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3714</v>
      </c>
      <c r="I134"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755</v>
      </c>
      <c r="J134" s="82" t="s">
        <v>1310</v>
      </c>
      <c r="K134" s="82"/>
    </row>
    <row r="135" spans="1:12">
      <c r="A135" s="5" t="s">
        <v>1135</v>
      </c>
      <c r="B135"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C135"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544</v>
      </c>
      <c r="D135"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E135"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7140</v>
      </c>
      <c r="F135"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G135"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17917</v>
      </c>
      <c r="H135"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17917</v>
      </c>
      <c r="I135"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J135" s="82" t="s">
        <v>1310</v>
      </c>
      <c r="K135" s="82"/>
    </row>
    <row r="136" spans="1:12">
      <c r="A136" s="5" t="s">
        <v>1134</v>
      </c>
      <c r="B136"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C136"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2506</v>
      </c>
      <c r="D136"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E136"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805</v>
      </c>
      <c r="F136"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G136"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1521</v>
      </c>
      <c r="H136"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1521</v>
      </c>
      <c r="I136"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J136" s="82" t="s">
        <v>1310</v>
      </c>
      <c r="K136" s="82"/>
    </row>
    <row r="137" spans="1:12">
      <c r="A137" s="5" t="s">
        <v>659</v>
      </c>
      <c r="B13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2145</v>
      </c>
      <c r="C13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1822</v>
      </c>
      <c r="D13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E13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123</v>
      </c>
      <c r="F13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704</v>
      </c>
      <c r="G13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71</v>
      </c>
      <c r="H13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71000</v>
      </c>
      <c r="I137"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331</v>
      </c>
      <c r="J137" s="82" t="s">
        <v>1310</v>
      </c>
      <c r="K137" s="82"/>
    </row>
    <row r="138" spans="1:12">
      <c r="A138" s="5" t="s">
        <v>720</v>
      </c>
      <c r="B13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1784</v>
      </c>
      <c r="C13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553</v>
      </c>
      <c r="D13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E13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F13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317</v>
      </c>
      <c r="G13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0</v>
      </c>
      <c r="H13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20000</v>
      </c>
      <c r="I138" s="134">
        <f>(SUMIFS('2.2.1 REPEX'!$AC:$AC,'2.2.1 REPEX'!$B:$B,REPEX_Spend_5yrHistory12[#Headers],'2.2.1 REPEX'!$C:$C,REPEX_Spend_5yrHistory12[[#This Row],[Asset Failures (2009-13)]])+SUMIFS('2.2.1 REPEX'!$AD:$AD,'2.2.1 REPEX'!$B:$B,REPEX_Spend_5yrHistory12[#Headers],'2.2.1 REPEX'!$C:$C,REPEX_Spend_5yrHistory12[[#This Row],[Asset Failures (2009-13)]])+SUMIFS('2.2.1 REPEX'!$AE:$AE,'2.2.1 REPEX'!$B:$B,REPEX_Spend_5yrHistory12[#Headers],'2.2.1 REPEX'!$C:$C,REPEX_Spend_5yrHistory12[[#This Row],[Asset Failures (2009-13)]])+SUMIFS('2.2.1 REPEX'!$AF:$AF,'2.2.1 REPEX'!$B:$B,REPEX_Spend_5yrHistory12[#Headers],'2.2.1 REPEX'!$C:$C,REPEX_Spend_5yrHistory12[[#This Row],[Asset Failures (2009-13)]])+SUMIFS('2.2.1 REPEX'!$AG:$AG,'2.2.1 REPEX'!$B:$B,REPEX_Spend_5yrHistory12[#Headers],'2.2.1 REPEX'!$C:$C,REPEX_Spend_5yrHistory12[[#This Row],[Asset Failures (2009-13)]]))</f>
        <v>37</v>
      </c>
      <c r="J138" s="82" t="s">
        <v>1310</v>
      </c>
      <c r="K138" s="82"/>
    </row>
    <row r="139" spans="1:12">
      <c r="A139" s="5" t="s">
        <v>6</v>
      </c>
      <c r="B139" s="160">
        <f>SUBTOTAL(109,REPEX_Spend_5yrHistory12[Ausgrid])</f>
        <v>62854</v>
      </c>
      <c r="C139" s="160">
        <f>SUBTOTAL(109,REPEX_Spend_5yrHistory12[Ergon])</f>
        <v>143248.45454840001</v>
      </c>
      <c r="D139" s="160">
        <f>SUBTOTAL(109,REPEX_Spend_5yrHistory12[Endeavour])</f>
        <v>2150</v>
      </c>
      <c r="E139" s="160">
        <f>SUBTOTAL(109,REPEX_Spend_5yrHistory12[Powercor])</f>
        <v>10076.755000000001</v>
      </c>
      <c r="F139" s="160">
        <f>SUBTOTAL(109,REPEX_Spend_5yrHistory12[AusNet])</f>
        <v>299206.00000035798</v>
      </c>
      <c r="G139" s="160">
        <f>SUBTOTAL(109,REPEX_Spend_5yrHistory12[Essential (Original)])</f>
        <v>41876.551027230373</v>
      </c>
      <c r="H139" s="160">
        <f>SUBTOTAL(109,REPEX_Spend_5yrHistory12[Essential])</f>
        <v>132805.55102723037</v>
      </c>
      <c r="I139" s="160">
        <f>SUBTOTAL(109,REPEX_Spend_5yrHistory12[SA Power])</f>
        <v>66253</v>
      </c>
      <c r="J139" s="5"/>
      <c r="K139" s="5"/>
    </row>
    <row r="140" spans="1:12">
      <c r="A140"/>
    </row>
    <row r="141" spans="1:12" s="119" customFormat="1">
      <c r="B141" s="31"/>
      <c r="C141" s="31"/>
      <c r="D141" s="31"/>
      <c r="E141" s="31"/>
      <c r="F141" s="31"/>
      <c r="G141" s="31"/>
      <c r="H141" s="31"/>
      <c r="I141" s="31"/>
    </row>
    <row r="142" spans="1:12" s="119" customFormat="1">
      <c r="B142" s="31"/>
      <c r="C142" s="31"/>
      <c r="D142" s="31"/>
      <c r="E142" s="31"/>
      <c r="F142" s="31"/>
      <c r="G142" s="31"/>
      <c r="H142" s="31"/>
      <c r="I142" s="31"/>
    </row>
    <row r="143" spans="1:12" s="10" customFormat="1" ht="18.75">
      <c r="A143" s="77" t="str">
        <f>A144</f>
        <v>5 yr REPEX Spend (2015-19)</v>
      </c>
      <c r="B143" s="31"/>
      <c r="C143" s="31"/>
      <c r="D143" s="131"/>
      <c r="E143" s="131"/>
      <c r="F143" s="131"/>
      <c r="G143" s="132"/>
      <c r="H143" s="128"/>
      <c r="I143" s="131"/>
    </row>
    <row r="144" spans="1:12" ht="30">
      <c r="A144" s="5" t="s">
        <v>1203</v>
      </c>
      <c r="B144" s="131" t="s">
        <v>574</v>
      </c>
      <c r="C144" s="132" t="s">
        <v>1147</v>
      </c>
      <c r="D144" s="131" t="s">
        <v>575</v>
      </c>
      <c r="E144" s="133" t="s">
        <v>310</v>
      </c>
      <c r="F144" s="133" t="s">
        <v>1674</v>
      </c>
      <c r="G144" s="131" t="s">
        <v>1560</v>
      </c>
      <c r="H144" s="131" t="s">
        <v>0</v>
      </c>
      <c r="I144" s="161" t="s">
        <v>1218</v>
      </c>
      <c r="J144" s="83" t="s">
        <v>573</v>
      </c>
      <c r="K144" s="83" t="s">
        <v>1164</v>
      </c>
      <c r="L144" s="10"/>
    </row>
    <row r="145" spans="1:12">
      <c r="A145" s="5" t="s">
        <v>1138</v>
      </c>
      <c r="B14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13678000</v>
      </c>
      <c r="C14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4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E14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4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4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4861735.0628571762</v>
      </c>
      <c r="H14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5120537.6009890037</v>
      </c>
      <c r="I14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45" s="84" t="s">
        <v>1310</v>
      </c>
      <c r="K145" s="84"/>
      <c r="L145" s="10"/>
    </row>
    <row r="146" spans="1:12">
      <c r="A146" s="5" t="s">
        <v>1</v>
      </c>
      <c r="B14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372120000</v>
      </c>
      <c r="C14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4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82078048.000000015</v>
      </c>
      <c r="E14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4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4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277153913.76447541</v>
      </c>
      <c r="H14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306498901.81341916</v>
      </c>
      <c r="I146" s="162">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46" s="84" t="s">
        <v>1310</v>
      </c>
      <c r="K146" s="84"/>
      <c r="L146" s="10"/>
    </row>
    <row r="147" spans="1:12">
      <c r="A147" s="5" t="s">
        <v>1131</v>
      </c>
      <c r="B147"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60808000</v>
      </c>
      <c r="C147"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47"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E147"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47"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47"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37345470</v>
      </c>
      <c r="H147"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58972548.717986219</v>
      </c>
      <c r="I147" s="162">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47" s="84" t="s">
        <v>1310</v>
      </c>
      <c r="K147" s="84"/>
      <c r="L147" s="10"/>
    </row>
    <row r="148" spans="1:12">
      <c r="A148" s="5" t="s">
        <v>1132</v>
      </c>
      <c r="B148"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174589000</v>
      </c>
      <c r="C148"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48"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137446343.00000003</v>
      </c>
      <c r="E148"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48"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48"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78892735.000000015</v>
      </c>
      <c r="H148"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91695316.857347906</v>
      </c>
      <c r="I148" s="162">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48" s="84" t="s">
        <v>1310</v>
      </c>
      <c r="K148" s="84"/>
      <c r="L148" s="10"/>
    </row>
    <row r="149" spans="1:12">
      <c r="A149" s="5" t="s">
        <v>1133</v>
      </c>
      <c r="B149"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794236000</v>
      </c>
      <c r="C149"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49"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75754963</v>
      </c>
      <c r="E149"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49"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49"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33905643.200026505</v>
      </c>
      <c r="H149"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42658138.419676058</v>
      </c>
      <c r="I149" s="162">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49" s="84" t="s">
        <v>1310</v>
      </c>
      <c r="K149" s="84"/>
      <c r="L149" s="10"/>
    </row>
    <row r="150" spans="1:12">
      <c r="A150" s="5" t="s">
        <v>719</v>
      </c>
      <c r="B150"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58386000</v>
      </c>
      <c r="C150"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50"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63595754</v>
      </c>
      <c r="E150"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50"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50"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31158115.234830115</v>
      </c>
      <c r="H150"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32956816.184283998</v>
      </c>
      <c r="I150" s="162">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50" s="84" t="s">
        <v>1310</v>
      </c>
      <c r="K150" s="84"/>
      <c r="L150" s="10"/>
    </row>
    <row r="151" spans="1:12">
      <c r="A151" s="5" t="s">
        <v>4</v>
      </c>
      <c r="B151"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266964000</v>
      </c>
      <c r="C151"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51"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68742262</v>
      </c>
      <c r="E151"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51"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51"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77101504.98622936</v>
      </c>
      <c r="H151"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95388193.466767266</v>
      </c>
      <c r="I151" s="162">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51" s="84" t="s">
        <v>1310</v>
      </c>
      <c r="K151" s="84"/>
      <c r="L151" s="10"/>
    </row>
    <row r="152" spans="1:12">
      <c r="A152" s="5" t="s">
        <v>2</v>
      </c>
      <c r="B152"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948536000</v>
      </c>
      <c r="C152"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52"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56892432</v>
      </c>
      <c r="E152"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52"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52"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154791995.13984275</v>
      </c>
      <c r="H152"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195187970.93197733</v>
      </c>
      <c r="I152" s="162">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52" s="84" t="s">
        <v>1310</v>
      </c>
      <c r="K152" s="84"/>
      <c r="L152" s="10"/>
    </row>
    <row r="153" spans="1:12">
      <c r="A153" s="5" t="s">
        <v>1135</v>
      </c>
      <c r="B153"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41278000</v>
      </c>
      <c r="C153"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53"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30102481.999999996</v>
      </c>
      <c r="E153"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53"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53"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2276280.5252729193</v>
      </c>
      <c r="H153"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6803790.4004867924</v>
      </c>
      <c r="I153" s="162">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53" s="84" t="s">
        <v>1310</v>
      </c>
      <c r="K153" s="84"/>
      <c r="L153" s="10"/>
    </row>
    <row r="154" spans="1:12">
      <c r="A154" s="5" t="s">
        <v>1134</v>
      </c>
      <c r="B154"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131742000</v>
      </c>
      <c r="C154"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54"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E154"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54"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54"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3718975.85806377</v>
      </c>
      <c r="H154"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11119501.847894996</v>
      </c>
      <c r="I154" s="162">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54" s="84" t="s">
        <v>1310</v>
      </c>
      <c r="K154" s="84"/>
      <c r="L154" s="10"/>
    </row>
    <row r="155" spans="1:12">
      <c r="A155" s="5" t="s">
        <v>659</v>
      </c>
      <c r="B15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114400000</v>
      </c>
      <c r="C15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5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51824394.000000007</v>
      </c>
      <c r="E15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5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5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28375108.903017025</v>
      </c>
      <c r="H155"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28375108.903017025</v>
      </c>
      <c r="I155" s="162">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55" s="84" t="s">
        <v>1310</v>
      </c>
      <c r="K155" s="84"/>
      <c r="L155" s="10"/>
    </row>
    <row r="156" spans="1:12">
      <c r="A156" s="5" t="s">
        <v>720</v>
      </c>
      <c r="B15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658555000</v>
      </c>
      <c r="C15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D15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173219034.822</v>
      </c>
      <c r="E15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F15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G15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133267311.3541539</v>
      </c>
      <c r="H156" s="127">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I156" s="162">
        <f>(SUMIFS('2.2.1 REPEX'!$M:$M,'2.2.1 REPEX'!$B:$B,REPEX_Spend_5yrForecast[#Headers],'2.2.1 REPEX'!$C:$C,REPEX_Spend_5yrForecast[[#This Row],[5 yr REPEX Spend (2015-19)]])+SUMIFS('2.2.1 REPEX'!$N:$N,'2.2.1 REPEX'!$B:$B,REPEX_Spend_5yrForecast[#Headers],'2.2.1 REPEX'!$C:$C,REPEX_Spend_5yrForecast[[#This Row],[5 yr REPEX Spend (2015-19)]])+SUMIFS('2.2.1 REPEX'!$O:$O,'2.2.1 REPEX'!$B:$B,REPEX_Spend_5yrForecast[#Headers],'2.2.1 REPEX'!$C:$C,REPEX_Spend_5yrForecast[[#This Row],[5 yr REPEX Spend (2015-19)]])+SUMIFS('2.2.1 REPEX'!$P:$P,'2.2.1 REPEX'!$B:$B,REPEX_Spend_5yrForecast[#Headers],'2.2.1 REPEX'!$C:$C,REPEX_Spend_5yrForecast[[#This Row],[5 yr REPEX Spend (2015-19)]])+SUMIFS('2.2.1 REPEX'!$Q:$Q,'2.2.1 REPEX'!$B:$B,REPEX_Spend_5yrForecast[#Headers],'2.2.1 REPEX'!$C:$C,REPEX_Spend_5yrForecast[[#This Row],[5 yr REPEX Spend (2015-19)]]))*1000</f>
        <v>0</v>
      </c>
      <c r="J156" s="84" t="s">
        <v>1310</v>
      </c>
      <c r="K156" s="84"/>
      <c r="L156" s="10"/>
    </row>
    <row r="157" spans="1:12">
      <c r="A157" s="5" t="s">
        <v>6</v>
      </c>
      <c r="B157" s="158">
        <f>SUBTOTAL(109,REPEX_Spend_5yrForecast[Ausgrid])</f>
        <v>3635292000</v>
      </c>
      <c r="C157" s="158">
        <f>SUBTOTAL(109,REPEX_Spend_5yrForecast[Ergon])</f>
        <v>0</v>
      </c>
      <c r="D157" s="158">
        <f>SUBTOTAL(109,REPEX_Spend_5yrForecast[Endeavour])</f>
        <v>739655712.82200015</v>
      </c>
      <c r="E157" s="158">
        <f>SUBTOTAL(109,REPEX_Spend_5yrForecast[Powercor])</f>
        <v>0</v>
      </c>
      <c r="F157" s="158">
        <f>SUBTOTAL(109,REPEX_Spend_5yrForecast[AusNet])</f>
        <v>0</v>
      </c>
      <c r="G157" s="158">
        <f>SUBTOTAL(109,REPEX_Spend_5yrForecast[Essential (Original)])</f>
        <v>862848789.02876902</v>
      </c>
      <c r="H157" s="158">
        <f>SUBTOTAL(109,REPEX_Spend_5yrForecast[Essential])</f>
        <v>874776825.1438458</v>
      </c>
      <c r="I157" s="158">
        <f>SUBTOTAL(109,REPEX_Spend_5yrForecast[SA Power])</f>
        <v>0</v>
      </c>
      <c r="J157" s="5"/>
      <c r="K157" s="5"/>
      <c r="L157" s="10"/>
    </row>
    <row r="158" spans="1:12">
      <c r="A158"/>
    </row>
    <row r="159" spans="1:12">
      <c r="A159"/>
    </row>
    <row r="160" spans="1:12">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1">
      <c r="A177"/>
    </row>
    <row r="178" spans="1:11">
      <c r="A178"/>
    </row>
    <row r="179" spans="1:11">
      <c r="A179"/>
    </row>
    <row r="180" spans="1:11">
      <c r="A180"/>
    </row>
    <row r="181" spans="1:11">
      <c r="A181"/>
    </row>
    <row r="182" spans="1:11">
      <c r="A182"/>
    </row>
    <row r="183" spans="1:11">
      <c r="A183"/>
    </row>
    <row r="184" spans="1:11" s="10" customFormat="1" ht="18.75">
      <c r="A184" s="77" t="s">
        <v>1537</v>
      </c>
      <c r="B184" s="31"/>
      <c r="C184" s="31"/>
      <c r="D184" s="131"/>
      <c r="E184" s="131"/>
      <c r="F184" s="131"/>
      <c r="G184" s="132"/>
      <c r="H184" s="128"/>
      <c r="I184" s="131"/>
    </row>
    <row r="185" spans="1:11" ht="30">
      <c r="A185" s="5" t="s">
        <v>1203</v>
      </c>
      <c r="B185" s="131" t="s">
        <v>574</v>
      </c>
      <c r="C185" s="132" t="s">
        <v>1147</v>
      </c>
      <c r="D185" s="131" t="s">
        <v>575</v>
      </c>
      <c r="E185" s="133" t="s">
        <v>310</v>
      </c>
      <c r="F185" s="133" t="s">
        <v>1674</v>
      </c>
      <c r="G185" s="131" t="s">
        <v>1560</v>
      </c>
      <c r="H185" s="131" t="s">
        <v>0</v>
      </c>
      <c r="I185" s="161" t="s">
        <v>1218</v>
      </c>
      <c r="J185" s="83" t="s">
        <v>573</v>
      </c>
      <c r="K185" s="83" t="s">
        <v>1164</v>
      </c>
    </row>
    <row r="186" spans="1:11">
      <c r="A186" s="5" t="s">
        <v>1138</v>
      </c>
      <c r="B18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14142</v>
      </c>
      <c r="C18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8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E18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8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8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6400</v>
      </c>
      <c r="H18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6400</v>
      </c>
      <c r="I18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86" s="84" t="s">
        <v>1310</v>
      </c>
      <c r="K186" s="84"/>
    </row>
    <row r="187" spans="1:11">
      <c r="A187" s="5" t="s">
        <v>1</v>
      </c>
      <c r="B18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29096</v>
      </c>
      <c r="C18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8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7381</v>
      </c>
      <c r="E18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8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8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45586</v>
      </c>
      <c r="H18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46457.089940388687</v>
      </c>
      <c r="I187" s="195">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87" s="84" t="s">
        <v>1310</v>
      </c>
      <c r="K187" s="84"/>
    </row>
    <row r="188" spans="1:11">
      <c r="A188" s="5" t="s">
        <v>1131</v>
      </c>
      <c r="B188"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1719</v>
      </c>
      <c r="C188"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88"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E188"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88"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88"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20525</v>
      </c>
      <c r="H188"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23875.457132548123</v>
      </c>
      <c r="I188" s="195">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88" s="84" t="s">
        <v>1310</v>
      </c>
      <c r="K188" s="84"/>
    </row>
    <row r="189" spans="1:11">
      <c r="A189" s="5" t="s">
        <v>1132</v>
      </c>
      <c r="B189"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6089</v>
      </c>
      <c r="C189"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89"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1179.8079068127986</v>
      </c>
      <c r="E189"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89"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89"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1755</v>
      </c>
      <c r="H189"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1898.0869273447806</v>
      </c>
      <c r="I189" s="195">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89" s="84" t="s">
        <v>1310</v>
      </c>
      <c r="K189" s="84"/>
    </row>
    <row r="190" spans="1:11">
      <c r="A190" s="5" t="s">
        <v>1133</v>
      </c>
      <c r="B190"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1963</v>
      </c>
      <c r="C190"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90"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1447.3590487505548</v>
      </c>
      <c r="E190"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90"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90"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121</v>
      </c>
      <c r="H190"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127.99493691008877</v>
      </c>
      <c r="I190" s="195">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90" s="84" t="s">
        <v>1310</v>
      </c>
      <c r="K190" s="84"/>
    </row>
    <row r="191" spans="1:11">
      <c r="A191" s="5" t="s">
        <v>719</v>
      </c>
      <c r="B191"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110558</v>
      </c>
      <c r="C191"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91"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81000</v>
      </c>
      <c r="E191"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91"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91"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42000</v>
      </c>
      <c r="H191"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42000</v>
      </c>
      <c r="I191" s="195">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91" s="84" t="s">
        <v>1310</v>
      </c>
      <c r="K191" s="84"/>
    </row>
    <row r="192" spans="1:11">
      <c r="A192" s="5" t="s">
        <v>4</v>
      </c>
      <c r="B192"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2280</v>
      </c>
      <c r="C192"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92"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1318</v>
      </c>
      <c r="E192"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92"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92"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2131.7126311352022</v>
      </c>
      <c r="H192"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2131.7126311352022</v>
      </c>
      <c r="I192" s="195">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92" s="84" t="s">
        <v>1310</v>
      </c>
      <c r="K192" s="84"/>
    </row>
    <row r="193" spans="1:11">
      <c r="A193" s="5" t="s">
        <v>2</v>
      </c>
      <c r="B193"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6271</v>
      </c>
      <c r="C193"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93"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6735</v>
      </c>
      <c r="E193"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93"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93"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16865</v>
      </c>
      <c r="H193"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16865</v>
      </c>
      <c r="I193" s="195">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93" s="84" t="s">
        <v>1310</v>
      </c>
      <c r="K193" s="84"/>
    </row>
    <row r="194" spans="1:11">
      <c r="A194" s="5" t="s">
        <v>1135</v>
      </c>
      <c r="B194"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76747</v>
      </c>
      <c r="C194"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94"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4833</v>
      </c>
      <c r="E194"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94"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94"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17489.798699999999</v>
      </c>
      <c r="H194"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17489.798699999999</v>
      </c>
      <c r="I194" s="195">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94" s="84" t="s">
        <v>1310</v>
      </c>
      <c r="K194" s="84"/>
    </row>
    <row r="195" spans="1:11">
      <c r="A195" s="5" t="s">
        <v>1134</v>
      </c>
      <c r="B195"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574893</v>
      </c>
      <c r="C195"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95"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E195"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95"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95"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1861</v>
      </c>
      <c r="H195"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1861</v>
      </c>
      <c r="I195" s="195">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95" s="84" t="s">
        <v>1310</v>
      </c>
      <c r="K195" s="84"/>
    </row>
    <row r="196" spans="1:11">
      <c r="A196" s="5" t="s">
        <v>659</v>
      </c>
      <c r="B19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1399</v>
      </c>
      <c r="C19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9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344</v>
      </c>
      <c r="E19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9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9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363</v>
      </c>
      <c r="H196"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363000</v>
      </c>
      <c r="I196" s="195">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96" s="84" t="s">
        <v>1310</v>
      </c>
      <c r="K196" s="84"/>
    </row>
    <row r="197" spans="1:11">
      <c r="A197" s="5" t="s">
        <v>720</v>
      </c>
      <c r="B19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13457</v>
      </c>
      <c r="C19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D19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2124</v>
      </c>
      <c r="E19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F19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G19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11</v>
      </c>
      <c r="H197" s="134">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I197" s="195">
        <f>(SUMIFS('2.2.1 REPEX'!$X:$X,'2.2.1 REPEX'!$B:$B,REPEX_Spend_5yrForecast18[#Headers],'2.2.1 REPEX'!$C:$C,REPEX_Spend_5yrForecast18[[#This Row],[5 yr REPEX Spend (2015-19)]])+SUMIFS('2.2.1 REPEX'!$Y:$Y,'2.2.1 REPEX'!$B:$B,REPEX_Spend_5yrForecast18[#Headers],'2.2.1 REPEX'!$C:$C,REPEX_Spend_5yrForecast18[[#This Row],[5 yr REPEX Spend (2015-19)]])+SUMIFS('2.2.1 REPEX'!$Z:$Z,'2.2.1 REPEX'!$B:$B,REPEX_Spend_5yrForecast18[#Headers],'2.2.1 REPEX'!$C:$C,REPEX_Spend_5yrForecast18[[#This Row],[5 yr REPEX Spend (2015-19)]])+SUMIFS('2.2.1 REPEX'!$AA:$AA,'2.2.1 REPEX'!$B:$B,REPEX_Spend_5yrForecast18[#Headers],'2.2.1 REPEX'!$C:$C,REPEX_Spend_5yrForecast18[[#This Row],[5 yr REPEX Spend (2015-19)]])+SUMIFS('2.2.1 REPEX'!$AB:$AB,'2.2.1 REPEX'!$B:$B,REPEX_Spend_5yrForecast18[#Headers],'2.2.1 REPEX'!$C:$C,REPEX_Spend_5yrForecast18[[#This Row],[5 yr REPEX Spend (2015-19)]]))</f>
        <v>0</v>
      </c>
      <c r="J197" s="84" t="s">
        <v>1310</v>
      </c>
      <c r="K197" s="84"/>
    </row>
    <row r="198" spans="1:11">
      <c r="A198" s="5" t="s">
        <v>6</v>
      </c>
      <c r="B198" s="160">
        <f>SUBTOTAL(109,REPEX_Spend_5yrForecast18[Ausgrid])</f>
        <v>838614</v>
      </c>
      <c r="C198" s="160">
        <f>SUBTOTAL(109,REPEX_Spend_5yrForecast18[Ergon])</f>
        <v>0</v>
      </c>
      <c r="D198" s="160">
        <f>SUBTOTAL(109,REPEX_Spend_5yrForecast18[Endeavour])</f>
        <v>106362.16695556336</v>
      </c>
      <c r="E198" s="160">
        <f>SUBTOTAL(109,REPEX_Spend_5yrForecast18[Powercor])</f>
        <v>0</v>
      </c>
      <c r="F198" s="160">
        <f>SUBTOTAL(109,REPEX_Spend_5yrForecast18[AusNet])</f>
        <v>0</v>
      </c>
      <c r="G198" s="160">
        <f>SUBTOTAL(109,REPEX_Spend_5yrForecast18[Essential (Original)])</f>
        <v>155108.51133113517</v>
      </c>
      <c r="H198" s="160">
        <f>SUBTOTAL(109,REPEX_Spend_5yrForecast18[Essential])</f>
        <v>522106.14026832685</v>
      </c>
      <c r="I198" s="160">
        <f>SUBTOTAL(109,REPEX_Spend_5yrForecast18[SA Power])</f>
        <v>0</v>
      </c>
      <c r="J198" s="5"/>
      <c r="K198" s="5"/>
    </row>
    <row r="199" spans="1:11">
      <c r="A199" s="119"/>
      <c r="J199" s="119"/>
      <c r="K199" s="119"/>
    </row>
    <row r="200" spans="1:11" ht="18.75">
      <c r="A200" s="77" t="s">
        <v>1538</v>
      </c>
      <c r="D200" s="131"/>
      <c r="E200" s="131"/>
      <c r="F200" s="131"/>
      <c r="G200" s="132"/>
      <c r="H200" s="128"/>
      <c r="I200" s="131"/>
      <c r="J200" s="10"/>
      <c r="K200" s="10"/>
    </row>
    <row r="201" spans="1:11" ht="30">
      <c r="A201" s="5" t="s">
        <v>1334</v>
      </c>
      <c r="B201" s="131" t="s">
        <v>574</v>
      </c>
      <c r="C201" s="132" t="s">
        <v>1147</v>
      </c>
      <c r="D201" s="131" t="s">
        <v>575</v>
      </c>
      <c r="E201" s="133" t="s">
        <v>310</v>
      </c>
      <c r="F201" s="133" t="s">
        <v>1674</v>
      </c>
      <c r="G201" s="131" t="s">
        <v>1560</v>
      </c>
      <c r="H201" s="131" t="s">
        <v>0</v>
      </c>
      <c r="I201" s="161" t="s">
        <v>1218</v>
      </c>
      <c r="J201" s="83" t="s">
        <v>573</v>
      </c>
      <c r="K201" s="83" t="s">
        <v>1164</v>
      </c>
    </row>
    <row r="202" spans="1:11">
      <c r="A202" s="5" t="s">
        <v>1138</v>
      </c>
      <c r="B202" s="127">
        <f>IFERROR(VLOOKUP(Table18[[#This Row],[Category]],REPEX_Spend_5yrForecast[#All],MATCH(Table18[#Headers],REPEX_Spend_5yrForecast[#Headers],0),FALSE)/VLOOKUP(Table18[[#This Row],[Category]],REPEX_Spend_5yrForecast18[#All],MATCH(Table18[#Headers],REPEX_Spend_5yrForecast18[#Headers],0),FALSE),"")</f>
        <v>967.18993070287092</v>
      </c>
      <c r="C202" s="127" t="str">
        <f>IFERROR(VLOOKUP(Table18[[#This Row],[Category]],REPEX_Spend_5yrForecast[#All],MATCH(Table18[#Headers],REPEX_Spend_5yrForecast[#Headers],0),FALSE)/VLOOKUP(Table18[[#This Row],[Category]],REPEX_Spend_5yrForecast18[#All],MATCH(Table18[#Headers],REPEX_Spend_5yrForecast18[#Headers],0),FALSE),"")</f>
        <v/>
      </c>
      <c r="D202" s="127" t="str">
        <f>IFERROR(VLOOKUP(Table18[[#This Row],[Category]],REPEX_Spend_5yrForecast[#All],MATCH(Table18[#Headers],REPEX_Spend_5yrForecast[#Headers],0),FALSE)/VLOOKUP(Table18[[#This Row],[Category]],REPEX_Spend_5yrForecast18[#All],MATCH(Table18[#Headers],REPEX_Spend_5yrForecast18[#Headers],0),FALSE),"")</f>
        <v/>
      </c>
      <c r="E202" s="127" t="str">
        <f>IFERROR(VLOOKUP(Table18[[#This Row],[Category]],REPEX_Spend_5yrForecast[#All],MATCH(Table18[#Headers],REPEX_Spend_5yrForecast[#Headers],0),FALSE)/VLOOKUP(Table18[[#This Row],[Category]],REPEX_Spend_5yrForecast18[#All],MATCH(Table18[#Headers],REPEX_Spend_5yrForecast18[#Headers],0),FALSE),"")</f>
        <v/>
      </c>
      <c r="F202" s="127" t="str">
        <f>IFERROR(VLOOKUP(Table18[[#This Row],[Category]],REPEX_Spend_5yrForecast[#All],MATCH(Table18[#Headers],REPEX_Spend_5yrForecast[#Headers],0),FALSE)/VLOOKUP(Table18[[#This Row],[Category]],REPEX_Spend_5yrForecast18[#All],MATCH(Table18[#Headers],REPEX_Spend_5yrForecast18[#Headers],0),FALSE),"")</f>
        <v/>
      </c>
      <c r="G202" s="127">
        <f>IFERROR(VLOOKUP(Table18[[#This Row],[Category]],REPEX_Spend_5yrForecast[#All],MATCH(Table18[#Headers],REPEX_Spend_5yrForecast[#Headers],0),FALSE)/VLOOKUP(Table18[[#This Row],[Category]],REPEX_Spend_5yrForecast18[#All],MATCH(Table18[#Headers],REPEX_Spend_5yrForecast18[#Headers],0),FALSE),"")</f>
        <v>759.64610357143374</v>
      </c>
      <c r="H202" s="127">
        <f>IFERROR(VLOOKUP(Table18[[#This Row],[Category]],REPEX_Spend_5yrForecast[#All],MATCH(Table18[#Headers],REPEX_Spend_5yrForecast[#Headers],0),FALSE)/VLOOKUP(Table18[[#This Row],[Category]],REPEX_Spend_5yrForecast18[#All],MATCH(Table18[#Headers],REPEX_Spend_5yrForecast18[#Headers],0),FALSE),"")</f>
        <v>800.08400015453185</v>
      </c>
      <c r="I202" s="127" t="str">
        <f>IFERROR(VLOOKUP(Table18[[#This Row],[Category]],REPEX_Spend_5yrForecast[#All],MATCH(Table18[#Headers],REPEX_Spend_5yrForecast[#Headers],0),FALSE)/VLOOKUP(Table18[[#This Row],[Category]],REPEX_Spend_5yrForecast18[#All],MATCH(Table18[#Headers],REPEX_Spend_5yrForecast18[#Headers],0),FALSE),"")</f>
        <v/>
      </c>
      <c r="J202" s="84" t="s">
        <v>1310</v>
      </c>
      <c r="K202" s="84"/>
    </row>
    <row r="203" spans="1:11">
      <c r="A203" s="5" t="s">
        <v>1</v>
      </c>
      <c r="B203" s="127">
        <f>IFERROR(VLOOKUP(Table18[[#This Row],[Category]],REPEX_Spend_5yrForecast[#All],MATCH(Table18[#Headers],REPEX_Spend_5yrForecast[#Headers],0),FALSE)/VLOOKUP(Table18[[#This Row],[Category]],REPEX_Spend_5yrForecast18[#All],MATCH(Table18[#Headers],REPEX_Spend_5yrForecast18[#Headers],0),FALSE),"")</f>
        <v>12789.386857299973</v>
      </c>
      <c r="C203" s="127" t="str">
        <f>IFERROR(VLOOKUP(Table18[[#This Row],[Category]],REPEX_Spend_5yrForecast[#All],MATCH(Table18[#Headers],REPEX_Spend_5yrForecast[#Headers],0),FALSE)/VLOOKUP(Table18[[#This Row],[Category]],REPEX_Spend_5yrForecast18[#All],MATCH(Table18[#Headers],REPEX_Spend_5yrForecast18[#Headers],0),FALSE),"")</f>
        <v/>
      </c>
      <c r="D203" s="127">
        <f>IFERROR(VLOOKUP(Table18[[#This Row],[Category]],REPEX_Spend_5yrForecast[#All],MATCH(Table18[#Headers],REPEX_Spend_5yrForecast[#Headers],0),FALSE)/VLOOKUP(Table18[[#This Row],[Category]],REPEX_Spend_5yrForecast18[#All],MATCH(Table18[#Headers],REPEX_Spend_5yrForecast18[#Headers],0),FALSE),"")</f>
        <v>11120.179921419864</v>
      </c>
      <c r="E203" s="127" t="str">
        <f>IFERROR(VLOOKUP(Table18[[#This Row],[Category]],REPEX_Spend_5yrForecast[#All],MATCH(Table18[#Headers],REPEX_Spend_5yrForecast[#Headers],0),FALSE)/VLOOKUP(Table18[[#This Row],[Category]],REPEX_Spend_5yrForecast18[#All],MATCH(Table18[#Headers],REPEX_Spend_5yrForecast18[#Headers],0),FALSE),"")</f>
        <v/>
      </c>
      <c r="F203" s="127" t="str">
        <f>IFERROR(VLOOKUP(Table18[[#This Row],[Category]],REPEX_Spend_5yrForecast[#All],MATCH(Table18[#Headers],REPEX_Spend_5yrForecast[#Headers],0),FALSE)/VLOOKUP(Table18[[#This Row],[Category]],REPEX_Spend_5yrForecast18[#All],MATCH(Table18[#Headers],REPEX_Spend_5yrForecast18[#Headers],0),FALSE),"")</f>
        <v/>
      </c>
      <c r="G203" s="127">
        <f>IFERROR(VLOOKUP(Table18[[#This Row],[Category]],REPEX_Spend_5yrForecast[#All],MATCH(Table18[#Headers],REPEX_Spend_5yrForecast[#Headers],0),FALSE)/VLOOKUP(Table18[[#This Row],[Category]],REPEX_Spend_5yrForecast18[#All],MATCH(Table18[#Headers],REPEX_Spend_5yrForecast18[#Headers],0),FALSE),"")</f>
        <v>6079.8033116411925</v>
      </c>
      <c r="H203" s="127">
        <f>IFERROR(VLOOKUP(Table18[[#This Row],[Category]],REPEX_Spend_5yrForecast[#All],MATCH(Table18[#Headers],REPEX_Spend_5yrForecast[#Headers],0),FALSE)/VLOOKUP(Table18[[#This Row],[Category]],REPEX_Spend_5yrForecast18[#All],MATCH(Table18[#Headers],REPEX_Spend_5yrForecast18[#Headers],0),FALSE),"")</f>
        <v>6597.4623508855711</v>
      </c>
      <c r="I203" s="162" t="str">
        <f>IFERROR(VLOOKUP(Table18[[#This Row],[Category]],REPEX_Spend_5yrForecast[#All],MATCH(Table18[#Headers],REPEX_Spend_5yrForecast[#Headers],0),FALSE)/VLOOKUP(Table18[[#This Row],[Category]],REPEX_Spend_5yrForecast18[#All],MATCH(Table18[#Headers],REPEX_Spend_5yrForecast18[#Headers],0),FALSE),"")</f>
        <v/>
      </c>
      <c r="J203" s="84" t="s">
        <v>1310</v>
      </c>
      <c r="K203" s="84"/>
    </row>
    <row r="204" spans="1:11">
      <c r="A204" s="5" t="s">
        <v>1131</v>
      </c>
      <c r="B204" s="127">
        <f>IFERROR(VLOOKUP(Table18[[#This Row],[Category]],REPEX_Spend_5yrForecast[#All],MATCH(Table18[#Headers],REPEX_Spend_5yrForecast[#Headers],0),FALSE)/VLOOKUP(Table18[[#This Row],[Category]],REPEX_Spend_5yrForecast18[#All],MATCH(Table18[#Headers],REPEX_Spend_5yrForecast18[#Headers],0),FALSE),"")</f>
        <v>35374.054682955204</v>
      </c>
      <c r="C204" s="127" t="str">
        <f>IFERROR(VLOOKUP(Table18[[#This Row],[Category]],REPEX_Spend_5yrForecast[#All],MATCH(Table18[#Headers],REPEX_Spend_5yrForecast[#Headers],0),FALSE)/VLOOKUP(Table18[[#This Row],[Category]],REPEX_Spend_5yrForecast18[#All],MATCH(Table18[#Headers],REPEX_Spend_5yrForecast18[#Headers],0),FALSE),"")</f>
        <v/>
      </c>
      <c r="D204" s="127" t="str">
        <f>IFERROR(VLOOKUP(Table18[[#This Row],[Category]],REPEX_Spend_5yrForecast[#All],MATCH(Table18[#Headers],REPEX_Spend_5yrForecast[#Headers],0),FALSE)/VLOOKUP(Table18[[#This Row],[Category]],REPEX_Spend_5yrForecast18[#All],MATCH(Table18[#Headers],REPEX_Spend_5yrForecast18[#Headers],0),FALSE),"")</f>
        <v/>
      </c>
      <c r="E204" s="127" t="str">
        <f>IFERROR(VLOOKUP(Table18[[#This Row],[Category]],REPEX_Spend_5yrForecast[#All],MATCH(Table18[#Headers],REPEX_Spend_5yrForecast[#Headers],0),FALSE)/VLOOKUP(Table18[[#This Row],[Category]],REPEX_Spend_5yrForecast18[#All],MATCH(Table18[#Headers],REPEX_Spend_5yrForecast18[#Headers],0),FALSE),"")</f>
        <v/>
      </c>
      <c r="F204" s="127" t="str">
        <f>IFERROR(VLOOKUP(Table18[[#This Row],[Category]],REPEX_Spend_5yrForecast[#All],MATCH(Table18[#Headers],REPEX_Spend_5yrForecast[#Headers],0),FALSE)/VLOOKUP(Table18[[#This Row],[Category]],REPEX_Spend_5yrForecast18[#All],MATCH(Table18[#Headers],REPEX_Spend_5yrForecast18[#Headers],0),FALSE),"")</f>
        <v/>
      </c>
      <c r="G204" s="127">
        <f>IFERROR(VLOOKUP(Table18[[#This Row],[Category]],REPEX_Spend_5yrForecast[#All],MATCH(Table18[#Headers],REPEX_Spend_5yrForecast[#Headers],0),FALSE)/VLOOKUP(Table18[[#This Row],[Category]],REPEX_Spend_5yrForecast18[#All],MATCH(Table18[#Headers],REPEX_Spend_5yrForecast18[#Headers],0),FALSE),"")</f>
        <v>1819.5113276492082</v>
      </c>
      <c r="H204" s="127">
        <f>IFERROR(VLOOKUP(Table18[[#This Row],[Category]],REPEX_Spend_5yrForecast[#All],MATCH(Table18[#Headers],REPEX_Spend_5yrForecast[#Headers],0),FALSE)/VLOOKUP(Table18[[#This Row],[Category]],REPEX_Spend_5yrForecast18[#All],MATCH(Table18[#Headers],REPEX_Spend_5yrForecast18[#Headers],0),FALSE),"")</f>
        <v>2470.0071035537212</v>
      </c>
      <c r="I204" s="162" t="str">
        <f>IFERROR(VLOOKUP(Table18[[#This Row],[Category]],REPEX_Spend_5yrForecast[#All],MATCH(Table18[#Headers],REPEX_Spend_5yrForecast[#Headers],0),FALSE)/VLOOKUP(Table18[[#This Row],[Category]],REPEX_Spend_5yrForecast18[#All],MATCH(Table18[#Headers],REPEX_Spend_5yrForecast18[#Headers],0),FALSE),"")</f>
        <v/>
      </c>
      <c r="J204" s="84" t="s">
        <v>1310</v>
      </c>
      <c r="K204" s="84"/>
    </row>
    <row r="205" spans="1:11">
      <c r="A205" s="5" t="s">
        <v>1132</v>
      </c>
      <c r="B205" s="127">
        <f>IFERROR(VLOOKUP(Table18[[#This Row],[Category]],REPEX_Spend_5yrForecast[#All],MATCH(Table18[#Headers],REPEX_Spend_5yrForecast[#Headers],0),FALSE)/VLOOKUP(Table18[[#This Row],[Category]],REPEX_Spend_5yrForecast18[#All],MATCH(Table18[#Headers],REPEX_Spend_5yrForecast18[#Headers],0),FALSE),"")</f>
        <v>28672.852685169979</v>
      </c>
      <c r="C205" s="127" t="str">
        <f>IFERROR(VLOOKUP(Table18[[#This Row],[Category]],REPEX_Spend_5yrForecast[#All],MATCH(Table18[#Headers],REPEX_Spend_5yrForecast[#Headers],0),FALSE)/VLOOKUP(Table18[[#This Row],[Category]],REPEX_Spend_5yrForecast18[#All],MATCH(Table18[#Headers],REPEX_Spend_5yrForecast18[#Headers],0),FALSE),"")</f>
        <v/>
      </c>
      <c r="D205" s="127">
        <f>IFERROR(VLOOKUP(Table18[[#This Row],[Category]],REPEX_Spend_5yrForecast[#All],MATCH(Table18[#Headers],REPEX_Spend_5yrForecast[#Headers],0),FALSE)/VLOOKUP(Table18[[#This Row],[Category]],REPEX_Spend_5yrForecast18[#All],MATCH(Table18[#Headers],REPEX_Spend_5yrForecast18[#Headers],0),FALSE),"")</f>
        <v>116498.91665102122</v>
      </c>
      <c r="E205" s="127" t="str">
        <f>IFERROR(VLOOKUP(Table18[[#This Row],[Category]],REPEX_Spend_5yrForecast[#All],MATCH(Table18[#Headers],REPEX_Spend_5yrForecast[#Headers],0),FALSE)/VLOOKUP(Table18[[#This Row],[Category]],REPEX_Spend_5yrForecast18[#All],MATCH(Table18[#Headers],REPEX_Spend_5yrForecast18[#Headers],0),FALSE),"")</f>
        <v/>
      </c>
      <c r="F205" s="127" t="str">
        <f>IFERROR(VLOOKUP(Table18[[#This Row],[Category]],REPEX_Spend_5yrForecast[#All],MATCH(Table18[#Headers],REPEX_Spend_5yrForecast[#Headers],0),FALSE)/VLOOKUP(Table18[[#This Row],[Category]],REPEX_Spend_5yrForecast18[#All],MATCH(Table18[#Headers],REPEX_Spend_5yrForecast18[#Headers],0),FALSE),"")</f>
        <v/>
      </c>
      <c r="G205" s="127">
        <f>IFERROR(VLOOKUP(Table18[[#This Row],[Category]],REPEX_Spend_5yrForecast[#All],MATCH(Table18[#Headers],REPEX_Spend_5yrForecast[#Headers],0),FALSE)/VLOOKUP(Table18[[#This Row],[Category]],REPEX_Spend_5yrForecast18[#All],MATCH(Table18[#Headers],REPEX_Spend_5yrForecast18[#Headers],0),FALSE),"")</f>
        <v>44953.125356125362</v>
      </c>
      <c r="H205" s="127">
        <f>IFERROR(VLOOKUP(Table18[[#This Row],[Category]],REPEX_Spend_5yrForecast[#All],MATCH(Table18[#Headers],REPEX_Spend_5yrForecast[#Headers],0),FALSE)/VLOOKUP(Table18[[#This Row],[Category]],REPEX_Spend_5yrForecast18[#All],MATCH(Table18[#Headers],REPEX_Spend_5yrForecast18[#Headers],0),FALSE),"")</f>
        <v>48309.334802500212</v>
      </c>
      <c r="I205" s="162" t="str">
        <f>IFERROR(VLOOKUP(Table18[[#This Row],[Category]],REPEX_Spend_5yrForecast[#All],MATCH(Table18[#Headers],REPEX_Spend_5yrForecast[#Headers],0),FALSE)/VLOOKUP(Table18[[#This Row],[Category]],REPEX_Spend_5yrForecast18[#All],MATCH(Table18[#Headers],REPEX_Spend_5yrForecast18[#Headers],0),FALSE),"")</f>
        <v/>
      </c>
      <c r="J205" s="84" t="s">
        <v>1310</v>
      </c>
      <c r="K205" s="84"/>
    </row>
    <row r="206" spans="1:11">
      <c r="A206" s="5" t="s">
        <v>1133</v>
      </c>
      <c r="B206" s="127">
        <f>IFERROR(VLOOKUP(Table18[[#This Row],[Category]],REPEX_Spend_5yrForecast[#All],MATCH(Table18[#Headers],REPEX_Spend_5yrForecast[#Headers],0),FALSE)/VLOOKUP(Table18[[#This Row],[Category]],REPEX_Spend_5yrForecast18[#All],MATCH(Table18[#Headers],REPEX_Spend_5yrForecast18[#Headers],0),FALSE),"")</f>
        <v>404603.15843097301</v>
      </c>
      <c r="C206" s="127" t="str">
        <f>IFERROR(VLOOKUP(Table18[[#This Row],[Category]],REPEX_Spend_5yrForecast[#All],MATCH(Table18[#Headers],REPEX_Spend_5yrForecast[#Headers],0),FALSE)/VLOOKUP(Table18[[#This Row],[Category]],REPEX_Spend_5yrForecast18[#All],MATCH(Table18[#Headers],REPEX_Spend_5yrForecast18[#Headers],0),FALSE),"")</f>
        <v/>
      </c>
      <c r="D206" s="127">
        <f>IFERROR(VLOOKUP(Table18[[#This Row],[Category]],REPEX_Spend_5yrForecast[#All],MATCH(Table18[#Headers],REPEX_Spend_5yrForecast[#Headers],0),FALSE)/VLOOKUP(Table18[[#This Row],[Category]],REPEX_Spend_5yrForecast18[#All],MATCH(Table18[#Headers],REPEX_Spend_5yrForecast18[#Headers],0),FALSE),"")</f>
        <v>52340.131541925359</v>
      </c>
      <c r="E206" s="127" t="str">
        <f>IFERROR(VLOOKUP(Table18[[#This Row],[Category]],REPEX_Spend_5yrForecast[#All],MATCH(Table18[#Headers],REPEX_Spend_5yrForecast[#Headers],0),FALSE)/VLOOKUP(Table18[[#This Row],[Category]],REPEX_Spend_5yrForecast18[#All],MATCH(Table18[#Headers],REPEX_Spend_5yrForecast18[#Headers],0),FALSE),"")</f>
        <v/>
      </c>
      <c r="F206" s="127" t="str">
        <f>IFERROR(VLOOKUP(Table18[[#This Row],[Category]],REPEX_Spend_5yrForecast[#All],MATCH(Table18[#Headers],REPEX_Spend_5yrForecast[#Headers],0),FALSE)/VLOOKUP(Table18[[#This Row],[Category]],REPEX_Spend_5yrForecast18[#All],MATCH(Table18[#Headers],REPEX_Spend_5yrForecast18[#Headers],0),FALSE),"")</f>
        <v/>
      </c>
      <c r="G206" s="127">
        <f>IFERROR(VLOOKUP(Table18[[#This Row],[Category]],REPEX_Spend_5yrForecast[#All],MATCH(Table18[#Headers],REPEX_Spend_5yrForecast[#Headers],0),FALSE)/VLOOKUP(Table18[[#This Row],[Category]],REPEX_Spend_5yrForecast18[#All],MATCH(Table18[#Headers],REPEX_Spend_5yrForecast18[#Headers],0),FALSE),"")</f>
        <v>280211.92727294634</v>
      </c>
      <c r="H206" s="127">
        <f>IFERROR(VLOOKUP(Table18[[#This Row],[Category]],REPEX_Spend_5yrForecast[#All],MATCH(Table18[#Headers],REPEX_Spend_5yrForecast[#Headers],0),FALSE)/VLOOKUP(Table18[[#This Row],[Category]],REPEX_Spend_5yrForecast18[#All],MATCH(Table18[#Headers],REPEX_Spend_5yrForecast18[#Headers],0),FALSE),"")</f>
        <v>333279.88941970153</v>
      </c>
      <c r="I206" s="162" t="str">
        <f>IFERROR(VLOOKUP(Table18[[#This Row],[Category]],REPEX_Spend_5yrForecast[#All],MATCH(Table18[#Headers],REPEX_Spend_5yrForecast[#Headers],0),FALSE)/VLOOKUP(Table18[[#This Row],[Category]],REPEX_Spend_5yrForecast18[#All],MATCH(Table18[#Headers],REPEX_Spend_5yrForecast18[#Headers],0),FALSE),"")</f>
        <v/>
      </c>
      <c r="J206" s="84" t="s">
        <v>1310</v>
      </c>
      <c r="K206" s="84"/>
    </row>
    <row r="207" spans="1:11">
      <c r="A207" s="5" t="s">
        <v>719</v>
      </c>
      <c r="B207" s="127">
        <f>IFERROR(VLOOKUP(Table18[[#This Row],[Category]],REPEX_Spend_5yrForecast[#All],MATCH(Table18[#Headers],REPEX_Spend_5yrForecast[#Headers],0),FALSE)/VLOOKUP(Table18[[#This Row],[Category]],REPEX_Spend_5yrForecast18[#All],MATCH(Table18[#Headers],REPEX_Spend_5yrForecast18[#Headers],0),FALSE),"")</f>
        <v>528.10289621737002</v>
      </c>
      <c r="C207" s="127" t="str">
        <f>IFERROR(VLOOKUP(Table18[[#This Row],[Category]],REPEX_Spend_5yrForecast[#All],MATCH(Table18[#Headers],REPEX_Spend_5yrForecast[#Headers],0),FALSE)/VLOOKUP(Table18[[#This Row],[Category]],REPEX_Spend_5yrForecast18[#All],MATCH(Table18[#Headers],REPEX_Spend_5yrForecast18[#Headers],0),FALSE),"")</f>
        <v/>
      </c>
      <c r="D207" s="127">
        <f>IFERROR(VLOOKUP(Table18[[#This Row],[Category]],REPEX_Spend_5yrForecast[#All],MATCH(Table18[#Headers],REPEX_Spend_5yrForecast[#Headers],0),FALSE)/VLOOKUP(Table18[[#This Row],[Category]],REPEX_Spend_5yrForecast18[#All],MATCH(Table18[#Headers],REPEX_Spend_5yrForecast18[#Headers],0),FALSE),"")</f>
        <v>785.13276543209872</v>
      </c>
      <c r="E207" s="127" t="str">
        <f>IFERROR(VLOOKUP(Table18[[#This Row],[Category]],REPEX_Spend_5yrForecast[#All],MATCH(Table18[#Headers],REPEX_Spend_5yrForecast[#Headers],0),FALSE)/VLOOKUP(Table18[[#This Row],[Category]],REPEX_Spend_5yrForecast18[#All],MATCH(Table18[#Headers],REPEX_Spend_5yrForecast18[#Headers],0),FALSE),"")</f>
        <v/>
      </c>
      <c r="F207" s="127" t="str">
        <f>IFERROR(VLOOKUP(Table18[[#This Row],[Category]],REPEX_Spend_5yrForecast[#All],MATCH(Table18[#Headers],REPEX_Spend_5yrForecast[#Headers],0),FALSE)/VLOOKUP(Table18[[#This Row],[Category]],REPEX_Spend_5yrForecast18[#All],MATCH(Table18[#Headers],REPEX_Spend_5yrForecast18[#Headers],0),FALSE),"")</f>
        <v/>
      </c>
      <c r="G207" s="127">
        <f>IFERROR(VLOOKUP(Table18[[#This Row],[Category]],REPEX_Spend_5yrForecast[#All],MATCH(Table18[#Headers],REPEX_Spend_5yrForecast[#Headers],0),FALSE)/VLOOKUP(Table18[[#This Row],[Category]],REPEX_Spend_5yrForecast18[#All],MATCH(Table18[#Headers],REPEX_Spend_5yrForecast18[#Headers],0),FALSE),"")</f>
        <v>741.85988654357413</v>
      </c>
      <c r="H207" s="127">
        <f>IFERROR(VLOOKUP(Table18[[#This Row],[Category]],REPEX_Spend_5yrForecast[#All],MATCH(Table18[#Headers],REPEX_Spend_5yrForecast[#Headers],0),FALSE)/VLOOKUP(Table18[[#This Row],[Category]],REPEX_Spend_5yrForecast18[#All],MATCH(Table18[#Headers],REPEX_Spend_5yrForecast18[#Headers],0),FALSE),"")</f>
        <v>784.68609962580945</v>
      </c>
      <c r="I207" s="162" t="str">
        <f>IFERROR(VLOOKUP(Table18[[#This Row],[Category]],REPEX_Spend_5yrForecast[#All],MATCH(Table18[#Headers],REPEX_Spend_5yrForecast[#Headers],0),FALSE)/VLOOKUP(Table18[[#This Row],[Category]],REPEX_Spend_5yrForecast18[#All],MATCH(Table18[#Headers],REPEX_Spend_5yrForecast18[#Headers],0),FALSE),"")</f>
        <v/>
      </c>
      <c r="J207" s="84" t="s">
        <v>1310</v>
      </c>
      <c r="K207" s="84"/>
    </row>
    <row r="208" spans="1:11">
      <c r="A208" s="5" t="s">
        <v>4</v>
      </c>
      <c r="B208" s="127">
        <f>IFERROR(VLOOKUP(Table18[[#This Row],[Category]],REPEX_Spend_5yrForecast[#All],MATCH(Table18[#Headers],REPEX_Spend_5yrForecast[#Headers],0),FALSE)/VLOOKUP(Table18[[#This Row],[Category]],REPEX_Spend_5yrForecast18[#All],MATCH(Table18[#Headers],REPEX_Spend_5yrForecast18[#Headers],0),FALSE),"")</f>
        <v>117089.47368421052</v>
      </c>
      <c r="C208" s="127" t="str">
        <f>IFERROR(VLOOKUP(Table18[[#This Row],[Category]],REPEX_Spend_5yrForecast[#All],MATCH(Table18[#Headers],REPEX_Spend_5yrForecast[#Headers],0),FALSE)/VLOOKUP(Table18[[#This Row],[Category]],REPEX_Spend_5yrForecast18[#All],MATCH(Table18[#Headers],REPEX_Spend_5yrForecast18[#Headers],0),FALSE),"")</f>
        <v/>
      </c>
      <c r="D208" s="127">
        <f>IFERROR(VLOOKUP(Table18[[#This Row],[Category]],REPEX_Spend_5yrForecast[#All],MATCH(Table18[#Headers],REPEX_Spend_5yrForecast[#Headers],0),FALSE)/VLOOKUP(Table18[[#This Row],[Category]],REPEX_Spend_5yrForecast18[#All],MATCH(Table18[#Headers],REPEX_Spend_5yrForecast18[#Headers],0),FALSE),"")</f>
        <v>52156.496206373296</v>
      </c>
      <c r="E208" s="127" t="str">
        <f>IFERROR(VLOOKUP(Table18[[#This Row],[Category]],REPEX_Spend_5yrForecast[#All],MATCH(Table18[#Headers],REPEX_Spend_5yrForecast[#Headers],0),FALSE)/VLOOKUP(Table18[[#This Row],[Category]],REPEX_Spend_5yrForecast18[#All],MATCH(Table18[#Headers],REPEX_Spend_5yrForecast18[#Headers],0),FALSE),"")</f>
        <v/>
      </c>
      <c r="F208" s="127" t="str">
        <f>IFERROR(VLOOKUP(Table18[[#This Row],[Category]],REPEX_Spend_5yrForecast[#All],MATCH(Table18[#Headers],REPEX_Spend_5yrForecast[#Headers],0),FALSE)/VLOOKUP(Table18[[#This Row],[Category]],REPEX_Spend_5yrForecast18[#All],MATCH(Table18[#Headers],REPEX_Spend_5yrForecast18[#Headers],0),FALSE),"")</f>
        <v/>
      </c>
      <c r="G208" s="127">
        <f>IFERROR(VLOOKUP(Table18[[#This Row],[Category]],REPEX_Spend_5yrForecast[#All],MATCH(Table18[#Headers],REPEX_Spend_5yrForecast[#Headers],0),FALSE)/VLOOKUP(Table18[[#This Row],[Category]],REPEX_Spend_5yrForecast18[#All],MATCH(Table18[#Headers],REPEX_Spend_5yrForecast18[#Headers],0),FALSE),"")</f>
        <v>36168.808056070135</v>
      </c>
      <c r="H208" s="127">
        <f>IFERROR(VLOOKUP(Table18[[#This Row],[Category]],REPEX_Spend_5yrForecast[#All],MATCH(Table18[#Headers],REPEX_Spend_5yrForecast[#Headers],0),FALSE)/VLOOKUP(Table18[[#This Row],[Category]],REPEX_Spend_5yrForecast18[#All],MATCH(Table18[#Headers],REPEX_Spend_5yrForecast18[#Headers],0),FALSE),"")</f>
        <v>44747.210329175621</v>
      </c>
      <c r="I208" s="162" t="str">
        <f>IFERROR(VLOOKUP(Table18[[#This Row],[Category]],REPEX_Spend_5yrForecast[#All],MATCH(Table18[#Headers],REPEX_Spend_5yrForecast[#Headers],0),FALSE)/VLOOKUP(Table18[[#This Row],[Category]],REPEX_Spend_5yrForecast18[#All],MATCH(Table18[#Headers],REPEX_Spend_5yrForecast18[#Headers],0),FALSE),"")</f>
        <v/>
      </c>
      <c r="J208" s="84" t="s">
        <v>1310</v>
      </c>
      <c r="K208" s="84"/>
    </row>
    <row r="209" spans="1:11">
      <c r="A209" s="5" t="s">
        <v>2</v>
      </c>
      <c r="B209" s="127">
        <f>IFERROR(VLOOKUP(Table18[[#This Row],[Category]],REPEX_Spend_5yrForecast[#All],MATCH(Table18[#Headers],REPEX_Spend_5yrForecast[#Headers],0),FALSE)/VLOOKUP(Table18[[#This Row],[Category]],REPEX_Spend_5yrForecast18[#All],MATCH(Table18[#Headers],REPEX_Spend_5yrForecast18[#Headers],0),FALSE),"")</f>
        <v>151257.53468346357</v>
      </c>
      <c r="C209" s="127" t="str">
        <f>IFERROR(VLOOKUP(Table18[[#This Row],[Category]],REPEX_Spend_5yrForecast[#All],MATCH(Table18[#Headers],REPEX_Spend_5yrForecast[#Headers],0),FALSE)/VLOOKUP(Table18[[#This Row],[Category]],REPEX_Spend_5yrForecast18[#All],MATCH(Table18[#Headers],REPEX_Spend_5yrForecast18[#Headers],0),FALSE),"")</f>
        <v/>
      </c>
      <c r="D209" s="127">
        <f>IFERROR(VLOOKUP(Table18[[#This Row],[Category]],REPEX_Spend_5yrForecast[#All],MATCH(Table18[#Headers],REPEX_Spend_5yrForecast[#Headers],0),FALSE)/VLOOKUP(Table18[[#This Row],[Category]],REPEX_Spend_5yrForecast18[#All],MATCH(Table18[#Headers],REPEX_Spend_5yrForecast18[#Headers],0),FALSE),"")</f>
        <v>8447.2801781737198</v>
      </c>
      <c r="E209" s="127" t="str">
        <f>IFERROR(VLOOKUP(Table18[[#This Row],[Category]],REPEX_Spend_5yrForecast[#All],MATCH(Table18[#Headers],REPEX_Spend_5yrForecast[#Headers],0),FALSE)/VLOOKUP(Table18[[#This Row],[Category]],REPEX_Spend_5yrForecast18[#All],MATCH(Table18[#Headers],REPEX_Spend_5yrForecast18[#Headers],0),FALSE),"")</f>
        <v/>
      </c>
      <c r="F209" s="127" t="str">
        <f>IFERROR(VLOOKUP(Table18[[#This Row],[Category]],REPEX_Spend_5yrForecast[#All],MATCH(Table18[#Headers],REPEX_Spend_5yrForecast[#Headers],0),FALSE)/VLOOKUP(Table18[[#This Row],[Category]],REPEX_Spend_5yrForecast18[#All],MATCH(Table18[#Headers],REPEX_Spend_5yrForecast18[#Headers],0),FALSE),"")</f>
        <v/>
      </c>
      <c r="G209" s="127">
        <f>IFERROR(VLOOKUP(Table18[[#This Row],[Category]],REPEX_Spend_5yrForecast[#All],MATCH(Table18[#Headers],REPEX_Spend_5yrForecast[#Headers],0),FALSE)/VLOOKUP(Table18[[#This Row],[Category]],REPEX_Spend_5yrForecast18[#All],MATCH(Table18[#Headers],REPEX_Spend_5yrForecast18[#Headers],0),FALSE),"")</f>
        <v>9178.2979626352062</v>
      </c>
      <c r="H209" s="127">
        <f>IFERROR(VLOOKUP(Table18[[#This Row],[Category]],REPEX_Spend_5yrForecast[#All],MATCH(Table18[#Headers],REPEX_Spend_5yrForecast[#Headers],0),FALSE)/VLOOKUP(Table18[[#This Row],[Category]],REPEX_Spend_5yrForecast18[#All],MATCH(Table18[#Headers],REPEX_Spend_5yrForecast18[#Headers],0),FALSE),"")</f>
        <v>11573.552975510071</v>
      </c>
      <c r="I209" s="162" t="str">
        <f>IFERROR(VLOOKUP(Table18[[#This Row],[Category]],REPEX_Spend_5yrForecast[#All],MATCH(Table18[#Headers],REPEX_Spend_5yrForecast[#Headers],0),FALSE)/VLOOKUP(Table18[[#This Row],[Category]],REPEX_Spend_5yrForecast18[#All],MATCH(Table18[#Headers],REPEX_Spend_5yrForecast18[#Headers],0),FALSE),"")</f>
        <v/>
      </c>
      <c r="J209" s="84" t="s">
        <v>1310</v>
      </c>
      <c r="K209" s="84"/>
    </row>
    <row r="210" spans="1:11">
      <c r="A210" s="5" t="s">
        <v>1135</v>
      </c>
      <c r="B210" s="127">
        <f>IFERROR(VLOOKUP(Table18[[#This Row],[Category]],REPEX_Spend_5yrForecast[#All],MATCH(Table18[#Headers],REPEX_Spend_5yrForecast[#Headers],0),FALSE)/VLOOKUP(Table18[[#This Row],[Category]],REPEX_Spend_5yrForecast18[#All],MATCH(Table18[#Headers],REPEX_Spend_5yrForecast18[#Headers],0),FALSE),"")</f>
        <v>537.84512749684029</v>
      </c>
      <c r="C210" s="127" t="str">
        <f>IFERROR(VLOOKUP(Table18[[#This Row],[Category]],REPEX_Spend_5yrForecast[#All],MATCH(Table18[#Headers],REPEX_Spend_5yrForecast[#Headers],0),FALSE)/VLOOKUP(Table18[[#This Row],[Category]],REPEX_Spend_5yrForecast18[#All],MATCH(Table18[#Headers],REPEX_Spend_5yrForecast18[#Headers],0),FALSE),"")</f>
        <v/>
      </c>
      <c r="D210" s="127">
        <f>IFERROR(VLOOKUP(Table18[[#This Row],[Category]],REPEX_Spend_5yrForecast[#All],MATCH(Table18[#Headers],REPEX_Spend_5yrForecast[#Headers],0),FALSE)/VLOOKUP(Table18[[#This Row],[Category]],REPEX_Spend_5yrForecast18[#All],MATCH(Table18[#Headers],REPEX_Spend_5yrForecast18[#Headers],0),FALSE),"")</f>
        <v>6228.5292778812327</v>
      </c>
      <c r="E210" s="127" t="str">
        <f>IFERROR(VLOOKUP(Table18[[#This Row],[Category]],REPEX_Spend_5yrForecast[#All],MATCH(Table18[#Headers],REPEX_Spend_5yrForecast[#Headers],0),FALSE)/VLOOKUP(Table18[[#This Row],[Category]],REPEX_Spend_5yrForecast18[#All],MATCH(Table18[#Headers],REPEX_Spend_5yrForecast18[#Headers],0),FALSE),"")</f>
        <v/>
      </c>
      <c r="F210" s="127" t="str">
        <f>IFERROR(VLOOKUP(Table18[[#This Row],[Category]],REPEX_Spend_5yrForecast[#All],MATCH(Table18[#Headers],REPEX_Spend_5yrForecast[#Headers],0),FALSE)/VLOOKUP(Table18[[#This Row],[Category]],REPEX_Spend_5yrForecast18[#All],MATCH(Table18[#Headers],REPEX_Spend_5yrForecast18[#Headers],0),FALSE),"")</f>
        <v/>
      </c>
      <c r="G210" s="127">
        <f>IFERROR(VLOOKUP(Table18[[#This Row],[Category]],REPEX_Spend_5yrForecast[#All],MATCH(Table18[#Headers],REPEX_Spend_5yrForecast[#Headers],0),FALSE)/VLOOKUP(Table18[[#This Row],[Category]],REPEX_Spend_5yrForecast18[#All],MATCH(Table18[#Headers],REPEX_Spend_5yrForecast18[#Headers],0),FALSE),"")</f>
        <v>130.14904083904176</v>
      </c>
      <c r="H210" s="127">
        <f>IFERROR(VLOOKUP(Table18[[#This Row],[Category]],REPEX_Spend_5yrForecast[#All],MATCH(Table18[#Headers],REPEX_Spend_5yrForecast[#Headers],0),FALSE)/VLOOKUP(Table18[[#This Row],[Category]],REPEX_Spend_5yrForecast18[#All],MATCH(Table18[#Headers],REPEX_Spend_5yrForecast18[#Headers],0),FALSE),"")</f>
        <v>389.01479183329837</v>
      </c>
      <c r="I210" s="162" t="str">
        <f>IFERROR(VLOOKUP(Table18[[#This Row],[Category]],REPEX_Spend_5yrForecast[#All],MATCH(Table18[#Headers],REPEX_Spend_5yrForecast[#Headers],0),FALSE)/VLOOKUP(Table18[[#This Row],[Category]],REPEX_Spend_5yrForecast18[#All],MATCH(Table18[#Headers],REPEX_Spend_5yrForecast18[#Headers],0),FALSE),"")</f>
        <v/>
      </c>
      <c r="J210" s="84" t="s">
        <v>1310</v>
      </c>
      <c r="K210" s="84"/>
    </row>
    <row r="211" spans="1:11">
      <c r="A211" s="5" t="s">
        <v>1134</v>
      </c>
      <c r="B211" s="127">
        <f>IFERROR(VLOOKUP(Table18[[#This Row],[Category]],REPEX_Spend_5yrForecast[#All],MATCH(Table18[#Headers],REPEX_Spend_5yrForecast[#Headers],0),FALSE)/VLOOKUP(Table18[[#This Row],[Category]],REPEX_Spend_5yrForecast18[#All],MATCH(Table18[#Headers],REPEX_Spend_5yrForecast18[#Headers],0),FALSE),"")</f>
        <v>229.15916527075473</v>
      </c>
      <c r="C211" s="127" t="str">
        <f>IFERROR(VLOOKUP(Table18[[#This Row],[Category]],REPEX_Spend_5yrForecast[#All],MATCH(Table18[#Headers],REPEX_Spend_5yrForecast[#Headers],0),FALSE)/VLOOKUP(Table18[[#This Row],[Category]],REPEX_Spend_5yrForecast18[#All],MATCH(Table18[#Headers],REPEX_Spend_5yrForecast18[#Headers],0),FALSE),"")</f>
        <v/>
      </c>
      <c r="D211" s="127" t="str">
        <f>IFERROR(VLOOKUP(Table18[[#This Row],[Category]],REPEX_Spend_5yrForecast[#All],MATCH(Table18[#Headers],REPEX_Spend_5yrForecast[#Headers],0),FALSE)/VLOOKUP(Table18[[#This Row],[Category]],REPEX_Spend_5yrForecast18[#All],MATCH(Table18[#Headers],REPEX_Spend_5yrForecast18[#Headers],0),FALSE),"")</f>
        <v/>
      </c>
      <c r="E211" s="127" t="str">
        <f>IFERROR(VLOOKUP(Table18[[#This Row],[Category]],REPEX_Spend_5yrForecast[#All],MATCH(Table18[#Headers],REPEX_Spend_5yrForecast[#Headers],0),FALSE)/VLOOKUP(Table18[[#This Row],[Category]],REPEX_Spend_5yrForecast18[#All],MATCH(Table18[#Headers],REPEX_Spend_5yrForecast18[#Headers],0),FALSE),"")</f>
        <v/>
      </c>
      <c r="F211" s="127" t="str">
        <f>IFERROR(VLOOKUP(Table18[[#This Row],[Category]],REPEX_Spend_5yrForecast[#All],MATCH(Table18[#Headers],REPEX_Spend_5yrForecast[#Headers],0),FALSE)/VLOOKUP(Table18[[#This Row],[Category]],REPEX_Spend_5yrForecast18[#All],MATCH(Table18[#Headers],REPEX_Spend_5yrForecast18[#Headers],0),FALSE),"")</f>
        <v/>
      </c>
      <c r="G211" s="127">
        <f>IFERROR(VLOOKUP(Table18[[#This Row],[Category]],REPEX_Spend_5yrForecast[#All],MATCH(Table18[#Headers],REPEX_Spend_5yrForecast[#Headers],0),FALSE)/VLOOKUP(Table18[[#This Row],[Category]],REPEX_Spend_5yrForecast18[#All],MATCH(Table18[#Headers],REPEX_Spend_5yrForecast18[#Headers],0),FALSE),"")</f>
        <v>1998.3749908993927</v>
      </c>
      <c r="H211" s="127">
        <f>IFERROR(VLOOKUP(Table18[[#This Row],[Category]],REPEX_Spend_5yrForecast[#All],MATCH(Table18[#Headers],REPEX_Spend_5yrForecast[#Headers],0),FALSE)/VLOOKUP(Table18[[#This Row],[Category]],REPEX_Spend_5yrForecast18[#All],MATCH(Table18[#Headers],REPEX_Spend_5yrForecast18[#Headers],0),FALSE),"")</f>
        <v>5975.0144265959143</v>
      </c>
      <c r="I211" s="162" t="str">
        <f>IFERROR(VLOOKUP(Table18[[#This Row],[Category]],REPEX_Spend_5yrForecast[#All],MATCH(Table18[#Headers],REPEX_Spend_5yrForecast[#Headers],0),FALSE)/VLOOKUP(Table18[[#This Row],[Category]],REPEX_Spend_5yrForecast18[#All],MATCH(Table18[#Headers],REPEX_Spend_5yrForecast18[#Headers],0),FALSE),"")</f>
        <v/>
      </c>
      <c r="J211" s="84" t="s">
        <v>1310</v>
      </c>
      <c r="K211" s="84"/>
    </row>
    <row r="212" spans="1:11">
      <c r="A212" s="5" t="s">
        <v>659</v>
      </c>
      <c r="B212" s="127">
        <f>IFERROR(VLOOKUP(Table18[[#This Row],[Category]],REPEX_Spend_5yrForecast[#All],MATCH(Table18[#Headers],REPEX_Spend_5yrForecast[#Headers],0),FALSE)/VLOOKUP(Table18[[#This Row],[Category]],REPEX_Spend_5yrForecast18[#All],MATCH(Table18[#Headers],REPEX_Spend_5yrForecast18[#Headers],0),FALSE),"")</f>
        <v>81772.694781987127</v>
      </c>
      <c r="C212" s="127" t="str">
        <f>IFERROR(VLOOKUP(Table18[[#This Row],[Category]],REPEX_Spend_5yrForecast[#All],MATCH(Table18[#Headers],REPEX_Spend_5yrForecast[#Headers],0),FALSE)/VLOOKUP(Table18[[#This Row],[Category]],REPEX_Spend_5yrForecast18[#All],MATCH(Table18[#Headers],REPEX_Spend_5yrForecast18[#Headers],0),FALSE),"")</f>
        <v/>
      </c>
      <c r="D212" s="127">
        <f>IFERROR(VLOOKUP(Table18[[#This Row],[Category]],REPEX_Spend_5yrForecast[#All],MATCH(Table18[#Headers],REPEX_Spend_5yrForecast[#Headers],0),FALSE)/VLOOKUP(Table18[[#This Row],[Category]],REPEX_Spend_5yrForecast18[#All],MATCH(Table18[#Headers],REPEX_Spend_5yrForecast18[#Headers],0),FALSE),"")</f>
        <v>150652.3081395349</v>
      </c>
      <c r="E212" s="127" t="str">
        <f>IFERROR(VLOOKUP(Table18[[#This Row],[Category]],REPEX_Spend_5yrForecast[#All],MATCH(Table18[#Headers],REPEX_Spend_5yrForecast[#Headers],0),FALSE)/VLOOKUP(Table18[[#This Row],[Category]],REPEX_Spend_5yrForecast18[#All],MATCH(Table18[#Headers],REPEX_Spend_5yrForecast18[#Headers],0),FALSE),"")</f>
        <v/>
      </c>
      <c r="F212" s="127" t="str">
        <f>IFERROR(VLOOKUP(Table18[[#This Row],[Category]],REPEX_Spend_5yrForecast[#All],MATCH(Table18[#Headers],REPEX_Spend_5yrForecast[#Headers],0),FALSE)/VLOOKUP(Table18[[#This Row],[Category]],REPEX_Spend_5yrForecast18[#All],MATCH(Table18[#Headers],REPEX_Spend_5yrForecast18[#Headers],0),FALSE),"")</f>
        <v/>
      </c>
      <c r="G212" s="127">
        <f>IFERROR(VLOOKUP(Table18[[#This Row],[Category]],REPEX_Spend_5yrForecast[#All],MATCH(Table18[#Headers],REPEX_Spend_5yrForecast[#Headers],0),FALSE)/VLOOKUP(Table18[[#This Row],[Category]],REPEX_Spend_5yrForecast18[#All],MATCH(Table18[#Headers],REPEX_Spend_5yrForecast18[#Headers],0),FALSE),"")</f>
        <v>78168.344085446355</v>
      </c>
      <c r="H212" s="127">
        <f>IFERROR(VLOOKUP(Table18[[#This Row],[Category]],REPEX_Spend_5yrForecast[#All],MATCH(Table18[#Headers],REPEX_Spend_5yrForecast[#Headers],0),FALSE)/VLOOKUP(Table18[[#This Row],[Category]],REPEX_Spend_5yrForecast18[#All],MATCH(Table18[#Headers],REPEX_Spend_5yrForecast18[#Headers],0),FALSE),"")</f>
        <v>78.16834408544635</v>
      </c>
      <c r="I212" s="162" t="str">
        <f>IFERROR(VLOOKUP(Table18[[#This Row],[Category]],REPEX_Spend_5yrForecast[#All],MATCH(Table18[#Headers],REPEX_Spend_5yrForecast[#Headers],0),FALSE)/VLOOKUP(Table18[[#This Row],[Category]],REPEX_Spend_5yrForecast18[#All],MATCH(Table18[#Headers],REPEX_Spend_5yrForecast18[#Headers],0),FALSE),"")</f>
        <v/>
      </c>
      <c r="J212" s="84" t="s">
        <v>1310</v>
      </c>
      <c r="K212" s="84"/>
    </row>
    <row r="213" spans="1:11">
      <c r="A213" s="5" t="s">
        <v>720</v>
      </c>
      <c r="B213" s="127">
        <f>IFERROR(VLOOKUP(Table18[[#This Row],[Category]],REPEX_Spend_5yrForecast[#All],MATCH(Table18[#Headers],REPEX_Spend_5yrForecast[#Headers],0),FALSE)/VLOOKUP(Table18[[#This Row],[Category]],REPEX_Spend_5yrForecast18[#All],MATCH(Table18[#Headers],REPEX_Spend_5yrForecast18[#Headers],0),FALSE),"")</f>
        <v>48937.727576725869</v>
      </c>
      <c r="C213" s="127" t="str">
        <f>IFERROR(VLOOKUP(Table18[[#This Row],[Category]],REPEX_Spend_5yrForecast[#All],MATCH(Table18[#Headers],REPEX_Spend_5yrForecast[#Headers],0),FALSE)/VLOOKUP(Table18[[#This Row],[Category]],REPEX_Spend_5yrForecast18[#All],MATCH(Table18[#Headers],REPEX_Spend_5yrForecast18[#Headers],0),FALSE),"")</f>
        <v/>
      </c>
      <c r="D213" s="127">
        <f>IFERROR(VLOOKUP(Table18[[#This Row],[Category]],REPEX_Spend_5yrForecast[#All],MATCH(Table18[#Headers],REPEX_Spend_5yrForecast[#Headers],0),FALSE)/VLOOKUP(Table18[[#This Row],[Category]],REPEX_Spend_5yrForecast18[#All],MATCH(Table18[#Headers],REPEX_Spend_5yrForecast18[#Headers],0),FALSE),"")</f>
        <v>81553.217901129945</v>
      </c>
      <c r="E213" s="127" t="str">
        <f>IFERROR(VLOOKUP(Table18[[#This Row],[Category]],REPEX_Spend_5yrForecast[#All],MATCH(Table18[#Headers],REPEX_Spend_5yrForecast[#Headers],0),FALSE)/VLOOKUP(Table18[[#This Row],[Category]],REPEX_Spend_5yrForecast18[#All],MATCH(Table18[#Headers],REPEX_Spend_5yrForecast18[#Headers],0),FALSE),"")</f>
        <v/>
      </c>
      <c r="F213" s="127" t="str">
        <f>IFERROR(VLOOKUP(Table18[[#This Row],[Category]],REPEX_Spend_5yrForecast[#All],MATCH(Table18[#Headers],REPEX_Spend_5yrForecast[#Headers],0),FALSE)/VLOOKUP(Table18[[#This Row],[Category]],REPEX_Spend_5yrForecast18[#All],MATCH(Table18[#Headers],REPEX_Spend_5yrForecast18[#Headers],0),FALSE),"")</f>
        <v/>
      </c>
      <c r="G213" s="127">
        <f>IFERROR(VLOOKUP(Table18[[#This Row],[Category]],REPEX_Spend_5yrForecast[#All],MATCH(Table18[#Headers],REPEX_Spend_5yrForecast[#Headers],0),FALSE)/VLOOKUP(Table18[[#This Row],[Category]],REPEX_Spend_5yrForecast18[#All],MATCH(Table18[#Headers],REPEX_Spend_5yrForecast18[#Headers],0),FALSE),"")</f>
        <v>12115210.1231049</v>
      </c>
      <c r="H213" s="127" t="str">
        <f>IFERROR(VLOOKUP(Table18[[#This Row],[Category]],REPEX_Spend_5yrForecast[#All],MATCH(Table18[#Headers],REPEX_Spend_5yrForecast[#Headers],0),FALSE)/VLOOKUP(Table18[[#This Row],[Category]],REPEX_Spend_5yrForecast18[#All],MATCH(Table18[#Headers],REPEX_Spend_5yrForecast18[#Headers],0),FALSE),"")</f>
        <v/>
      </c>
      <c r="I213" s="162" t="str">
        <f>IFERROR(VLOOKUP(Table18[[#This Row],[Category]],REPEX_Spend_5yrForecast[#All],MATCH(Table18[#Headers],REPEX_Spend_5yrForecast[#Headers],0),FALSE)/VLOOKUP(Table18[[#This Row],[Category]],REPEX_Spend_5yrForecast18[#All],MATCH(Table18[#Headers],REPEX_Spend_5yrForecast18[#Headers],0),FALSE),"")</f>
        <v/>
      </c>
      <c r="J213" s="84" t="s">
        <v>1310</v>
      </c>
      <c r="K213" s="84"/>
    </row>
    <row r="214" spans="1:11">
      <c r="A214"/>
    </row>
    <row r="215" spans="1:11">
      <c r="A215"/>
    </row>
    <row r="216" spans="1:11">
      <c r="A216"/>
    </row>
    <row r="217" spans="1:11">
      <c r="A217"/>
    </row>
    <row r="218" spans="1:11">
      <c r="A218"/>
    </row>
    <row r="219" spans="1:11">
      <c r="A219"/>
    </row>
    <row r="220" spans="1:11">
      <c r="A220"/>
    </row>
    <row r="221" spans="1:11">
      <c r="A221"/>
    </row>
    <row r="222" spans="1:11">
      <c r="A222"/>
    </row>
    <row r="223" spans="1:11">
      <c r="A223"/>
    </row>
    <row r="224" spans="1: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0" spans="1:1">
      <c r="A240"/>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sheetData>
  <pageMargins left="0.23622047244094491" right="0.23622047244094491" top="0.51181102362204722" bottom="0.51181102362204722" header="0.23622047244094491" footer="0.23622047244094491"/>
  <pageSetup paperSize="8" scale="77" fitToHeight="0" orientation="portrait" r:id="rId1"/>
  <headerFooter>
    <oddHeader>&amp;C&amp;"-,Bold"&amp;14&amp;A</oddHeader>
    <oddFooter>&amp;L&amp;F [&amp;A]&amp;C&amp;D &amp;T&amp;RPage &amp;P/&amp;N</oddFooter>
  </headerFooter>
  <rowBreaks count="1" manualBreakCount="1">
    <brk id="84" max="10" man="1"/>
  </rowBreaks>
  <drawing r:id="rId2"/>
  <tableParts count="7">
    <tablePart r:id="rId3"/>
    <tablePart r:id="rId4"/>
    <tablePart r:id="rId5"/>
    <tablePart r:id="rId6"/>
    <tablePart r:id="rId7"/>
    <tablePart r:id="rId8"/>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A1:P157"/>
  <sheetViews>
    <sheetView showGridLines="0" topLeftCell="B1" zoomScaleNormal="100" workbookViewId="0">
      <selection activeCell="O32" sqref="O32"/>
    </sheetView>
  </sheetViews>
  <sheetFormatPr defaultRowHeight="15"/>
  <cols>
    <col min="1" max="1" width="29.140625" style="119" bestFit="1" customWidth="1"/>
    <col min="2" max="2" width="14" style="119" bestFit="1" customWidth="1"/>
    <col min="3" max="3" width="27.5703125" style="29" customWidth="1"/>
    <col min="4" max="13" width="13.140625" style="31" bestFit="1" customWidth="1"/>
    <col min="14" max="14" width="13.140625" style="248" bestFit="1" customWidth="1"/>
    <col min="15" max="15" width="13.7109375" style="174" bestFit="1" customWidth="1"/>
    <col min="16" max="16384" width="9.140625" style="44"/>
  </cols>
  <sheetData>
    <row r="1" spans="3:15" ht="18.75">
      <c r="C1" s="77" t="str">
        <f>C2</f>
        <v>5 yr Total Maint Spend (2009-13)</v>
      </c>
    </row>
    <row r="2" spans="3:15" s="128" customFormat="1" ht="30">
      <c r="C2" s="131" t="s">
        <v>1200</v>
      </c>
      <c r="D2" s="131" t="s">
        <v>574</v>
      </c>
      <c r="E2" s="132" t="s">
        <v>1147</v>
      </c>
      <c r="F2" s="131" t="s">
        <v>575</v>
      </c>
      <c r="G2" s="133" t="s">
        <v>310</v>
      </c>
      <c r="H2" s="133" t="s">
        <v>1674</v>
      </c>
      <c r="I2" s="131" t="s">
        <v>1560</v>
      </c>
      <c r="J2" s="131" t="s">
        <v>0</v>
      </c>
      <c r="K2" s="131" t="s">
        <v>1218</v>
      </c>
      <c r="L2" s="131" t="s">
        <v>1675</v>
      </c>
      <c r="M2" s="131" t="s">
        <v>1676</v>
      </c>
      <c r="N2" s="262" t="s">
        <v>1569</v>
      </c>
      <c r="O2" s="131" t="s">
        <v>1677</v>
      </c>
    </row>
    <row r="3" spans="3:15" s="10" customFormat="1">
      <c r="C3" s="5" t="s">
        <v>1189</v>
      </c>
      <c r="D3"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69869500</v>
      </c>
      <c r="E3"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68238505.622600004</v>
      </c>
      <c r="F3"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G3"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58537940.498890065</v>
      </c>
      <c r="H3"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57640971.589999996</v>
      </c>
      <c r="I3"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215742710</v>
      </c>
      <c r="J3"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215742710</v>
      </c>
      <c r="K3"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2679905.0398983299</v>
      </c>
      <c r="L3" s="163">
        <f>OPEX_TotalSpend_5yrHistory[[#This Row],[Powercor]]+OPEX_TotalSpend_5yrHistory[[#This Row],[AusNet]]</f>
        <v>116178912.08889006</v>
      </c>
      <c r="M3" s="163">
        <f>OPEX_TotalSpend_5yrHistory[[#This Row],[Powercor]]+OPEX_TotalSpend_5yrHistory[[#This Row],[SA Power]]</f>
        <v>61217845.538788393</v>
      </c>
      <c r="N3"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194168439</v>
      </c>
      <c r="O3"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225235389.23999998</v>
      </c>
    </row>
    <row r="4" spans="3:15" s="10" customFormat="1">
      <c r="C4" s="5" t="s">
        <v>1190</v>
      </c>
      <c r="D4"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47278970.000000007</v>
      </c>
      <c r="E4"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118260105.89979999</v>
      </c>
      <c r="F4"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39238114</v>
      </c>
      <c r="G4"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40374167.519548342</v>
      </c>
      <c r="H4"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17564658.916700341</v>
      </c>
      <c r="I4"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48805216.007623665</v>
      </c>
      <c r="J4"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48805216.007623665</v>
      </c>
      <c r="K4"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11755556.610408658</v>
      </c>
      <c r="L4" s="163">
        <f>OPEX_TotalSpend_5yrHistory[[#This Row],[Powercor]]+OPEX_TotalSpend_5yrHistory[[#This Row],[AusNet]]</f>
        <v>57938826.436248682</v>
      </c>
      <c r="M4" s="163">
        <f>OPEX_TotalSpend_5yrHistory[[#This Row],[Powercor]]+OPEX_TotalSpend_5yrHistory[[#This Row],[SA Power]]</f>
        <v>52129724.129956998</v>
      </c>
      <c r="N4"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43924694.406861298</v>
      </c>
      <c r="O4"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50952645.511959098</v>
      </c>
    </row>
    <row r="5" spans="3:15" s="10" customFormat="1">
      <c r="C5" s="5" t="s">
        <v>1191</v>
      </c>
      <c r="D5"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18121220</v>
      </c>
      <c r="E5"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6881693.5247999998</v>
      </c>
      <c r="F5"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53973479.998933598</v>
      </c>
      <c r="G5"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2142352.0499999998</v>
      </c>
      <c r="H5"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21830659.923299663</v>
      </c>
      <c r="I5"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20916521.146124426</v>
      </c>
      <c r="J5"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20916521.146124426</v>
      </c>
      <c r="K5"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25031147.773727197</v>
      </c>
      <c r="L5" s="163">
        <f>OPEX_TotalSpend_5yrHistory[[#This Row],[Powercor]]+OPEX_TotalSpend_5yrHistory[[#This Row],[AusNet]]</f>
        <v>23973011.973299664</v>
      </c>
      <c r="M5" s="163">
        <f>OPEX_TotalSpend_5yrHistory[[#This Row],[Powercor]]+OPEX_TotalSpend_5yrHistory[[#This Row],[SA Power]]</f>
        <v>27173499.823727198</v>
      </c>
      <c r="N5"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18824869.031511985</v>
      </c>
      <c r="O5"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21836848.0765539</v>
      </c>
    </row>
    <row r="6" spans="3:15" s="10" customFormat="1">
      <c r="C6" s="5" t="s">
        <v>1192</v>
      </c>
      <c r="D6"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28460570</v>
      </c>
      <c r="E6"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1415470.0798000002</v>
      </c>
      <c r="F6"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9189906.8438277151</v>
      </c>
      <c r="G6"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256070</v>
      </c>
      <c r="H6"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4942680.209999999</v>
      </c>
      <c r="I6"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5600730</v>
      </c>
      <c r="J6"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5600730</v>
      </c>
      <c r="K6"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768867.61458621814</v>
      </c>
      <c r="L6" s="163">
        <f>OPEX_TotalSpend_5yrHistory[[#This Row],[Powercor]]+OPEX_TotalSpend_5yrHistory[[#This Row],[AusNet]]</f>
        <v>5198750.209999999</v>
      </c>
      <c r="M6" s="163">
        <f>OPEX_TotalSpend_5yrHistory[[#This Row],[Powercor]]+OPEX_TotalSpend_5yrHistory[[#This Row],[SA Power]]</f>
        <v>1024937.6145862181</v>
      </c>
      <c r="N6"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5040657</v>
      </c>
      <c r="O6"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5847162.1199999992</v>
      </c>
    </row>
    <row r="7" spans="3:15" s="10" customFormat="1">
      <c r="C7" s="5" t="s">
        <v>1381</v>
      </c>
      <c r="D7"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62563490</v>
      </c>
      <c r="E7"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30589932.495172001</v>
      </c>
      <c r="F7"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21360519.68</v>
      </c>
      <c r="G7"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14541527.883128015</v>
      </c>
      <c r="H7"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2606286.6</v>
      </c>
      <c r="I7"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1065514.0000000002</v>
      </c>
      <c r="J7"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1065514.0000000002</v>
      </c>
      <c r="K7"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3972164.8235593364</v>
      </c>
      <c r="L7" s="163">
        <f>OPEX_TotalSpend_5yrHistory[[#This Row],[Powercor]]+OPEX_TotalSpend_5yrHistory[[#This Row],[AusNet]]</f>
        <v>17147814.483128015</v>
      </c>
      <c r="M7" s="163">
        <f>OPEX_TotalSpend_5yrHistory[[#This Row],[Powercor]]+OPEX_TotalSpend_5yrHistory[[#This Row],[SA Power]]</f>
        <v>18513692.706687354</v>
      </c>
      <c r="N7"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958962.60000000021</v>
      </c>
      <c r="O7"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1112396.6160000002</v>
      </c>
    </row>
    <row r="8" spans="3:15" s="10" customFormat="1">
      <c r="C8" s="5" t="s">
        <v>1380</v>
      </c>
      <c r="D8"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68668389.999999985</v>
      </c>
      <c r="E8"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79168719.361760005</v>
      </c>
      <c r="F8"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50147189.819999993</v>
      </c>
      <c r="G8"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25025909.09644052</v>
      </c>
      <c r="H8"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11302181.15</v>
      </c>
      <c r="I8"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77554980.301574528</v>
      </c>
      <c r="J8"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77554980.301574528</v>
      </c>
      <c r="K8"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28852663.595777266</v>
      </c>
      <c r="L8" s="163">
        <f>OPEX_TotalSpend_5yrHistory[[#This Row],[Powercor]]+OPEX_TotalSpend_5yrHistory[[#This Row],[AusNet]]</f>
        <v>36328090.246440522</v>
      </c>
      <c r="M8" s="163">
        <f>OPEX_TotalSpend_5yrHistory[[#This Row],[Powercor]]+OPEX_TotalSpend_5yrHistory[[#This Row],[SA Power]]</f>
        <v>53878572.692217782</v>
      </c>
      <c r="N8"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69799482.271417081</v>
      </c>
      <c r="O8"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80967399.434843808</v>
      </c>
    </row>
    <row r="9" spans="3:15" s="10" customFormat="1">
      <c r="C9" s="5" t="s">
        <v>1194</v>
      </c>
      <c r="D9"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1055640</v>
      </c>
      <c r="E9"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6515929.9775300007</v>
      </c>
      <c r="F9"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G9"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44710.401884449515</v>
      </c>
      <c r="H9"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421061.29599999997</v>
      </c>
      <c r="I9"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2491875.9699999997</v>
      </c>
      <c r="J9"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2491875.9699999997</v>
      </c>
      <c r="K9"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217510.26734091193</v>
      </c>
      <c r="L9" s="163">
        <f>OPEX_TotalSpend_5yrHistory[[#This Row],[Powercor]]+OPEX_TotalSpend_5yrHistory[[#This Row],[AusNet]]</f>
        <v>465771.6978844495</v>
      </c>
      <c r="M9" s="163">
        <f>OPEX_TotalSpend_5yrHistory[[#This Row],[Powercor]]+OPEX_TotalSpend_5yrHistory[[#This Row],[SA Power]]</f>
        <v>262220.66922536143</v>
      </c>
      <c r="N9"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2242688.3729999997</v>
      </c>
      <c r="O9"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2601518.5126799997</v>
      </c>
    </row>
    <row r="10" spans="3:15" s="10" customFormat="1">
      <c r="C10" s="5" t="s">
        <v>1195</v>
      </c>
      <c r="D10"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575470</v>
      </c>
      <c r="E10"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9381116.7360000014</v>
      </c>
      <c r="F10"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587545.34</v>
      </c>
      <c r="G10"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6759275.9238674995</v>
      </c>
      <c r="H10"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403112.42400000006</v>
      </c>
      <c r="I10"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1874748</v>
      </c>
      <c r="J10"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1874748</v>
      </c>
      <c r="K10"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4434497.938347037</v>
      </c>
      <c r="L10" s="163">
        <f>OPEX_TotalSpend_5yrHistory[[#This Row],[Powercor]]+OPEX_TotalSpend_5yrHistory[[#This Row],[AusNet]]</f>
        <v>7162388.3478674991</v>
      </c>
      <c r="M10" s="163">
        <f>OPEX_TotalSpend_5yrHistory[[#This Row],[Powercor]]+OPEX_TotalSpend_5yrHistory[[#This Row],[SA Power]]</f>
        <v>11193773.862214535</v>
      </c>
      <c r="N10"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1687273.2</v>
      </c>
      <c r="O10"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1957236.9119999998</v>
      </c>
    </row>
    <row r="11" spans="3:15" s="10" customFormat="1">
      <c r="C11" s="5" t="s">
        <v>1196</v>
      </c>
      <c r="D11"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30117370</v>
      </c>
      <c r="E11"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F11"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G11"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H11"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I11"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J11"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K11"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L11" s="163">
        <f>OPEX_TotalSpend_5yrHistory[[#This Row],[Powercor]]+OPEX_TotalSpend_5yrHistory[[#This Row],[AusNet]]</f>
        <v>0</v>
      </c>
      <c r="M11" s="163">
        <f>OPEX_TotalSpend_5yrHistory[[#This Row],[Powercor]]+OPEX_TotalSpend_5yrHistory[[#This Row],[SA Power]]</f>
        <v>0</v>
      </c>
      <c r="N11"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O11"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row>
    <row r="12" spans="3:15" s="10" customFormat="1">
      <c r="C12" s="5" t="s">
        <v>720</v>
      </c>
      <c r="D12"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E12"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53018633.793200001</v>
      </c>
      <c r="F12"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G12"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50940913.291783504</v>
      </c>
      <c r="H12"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0</v>
      </c>
      <c r="I12"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47760714.54707963</v>
      </c>
      <c r="J12"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47760714.54707963</v>
      </c>
      <c r="K12"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23638544.492581047</v>
      </c>
      <c r="L12" s="163">
        <f>OPEX_TotalSpend_5yrHistory[[#This Row],[Powercor]]+OPEX_TotalSpend_5yrHistory[[#This Row],[AusNet]]</f>
        <v>50940913.291783504</v>
      </c>
      <c r="M12" s="163">
        <f>OPEX_TotalSpend_5yrHistory[[#This Row],[Powercor]]+OPEX_TotalSpend_5yrHistory[[#This Row],[SA Power]]</f>
        <v>74579457.784364551</v>
      </c>
      <c r="N12"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42984643.092371665</v>
      </c>
      <c r="O12" s="127">
        <f>VLOOKUP(OPEX_TotalSpend_5yrHistory[[#This Row],[5 yr Total Maint Spend (2009-13)]],OPEX_RoutineSpend_5yrHistory[#All],MATCH(OPEX_TotalSpend_5yrHistory[#Headers],OPEX_RoutineSpend_5yrHistory[#Headers],0),FALSE)+VLOOKUP(OPEX_TotalSpend_5yrHistory[[#This Row],[5 yr Total Maint Spend (2009-13)]],OPEX_NonRoutineSpend_5yrHistory[#All],MATCH(OPEX_RoutineSpend_5yrHistory[#Headers],OPEX_NonRoutineSpend_5yrHistory[#Headers],0),FALSE)</f>
        <v>49862185.987151131</v>
      </c>
    </row>
    <row r="13" spans="3:15" s="10" customFormat="1">
      <c r="C13" s="5" t="s">
        <v>6</v>
      </c>
      <c r="D13" s="158">
        <f>SUBTOTAL(109,OPEX_TotalSpend_5yrHistory[Ausgrid])</f>
        <v>326710620</v>
      </c>
      <c r="E13" s="158">
        <f>SUBTOTAL(109,OPEX_TotalSpend_5yrHistory[Ergon])</f>
        <v>373470107.49066204</v>
      </c>
      <c r="F13" s="158">
        <f>SUBTOTAL(109,OPEX_TotalSpend_5yrHistory[Endeavour])</f>
        <v>174496755.68276131</v>
      </c>
      <c r="G13" s="158">
        <f>SUBTOTAL(109,OPEX_TotalSpend_5yrHistory[Powercor])</f>
        <v>198622866.66554236</v>
      </c>
      <c r="H13" s="158">
        <f>SUBTOTAL(109,OPEX_TotalSpend_5yrHistory[AusNet])</f>
        <v>116711612.11</v>
      </c>
      <c r="I13" s="158">
        <f>SUBTOTAL(109,OPEX_TotalSpend_5yrHistory[Essential (Original)])</f>
        <v>421813009.97240227</v>
      </c>
      <c r="J13" s="158">
        <f>SUBTOTAL(109,OPEX_TotalSpend_5yrHistory[Essential])</f>
        <v>421813009.97240227</v>
      </c>
      <c r="K13" s="158">
        <f>SUBTOTAL(109,OPEX_TotalSpend_5yrHistory[SA Power])</f>
        <v>101350858.15622601</v>
      </c>
      <c r="L13" s="164">
        <f>SUBTOTAL(109,OPEX_TotalSpend_5yrHistory[AusNet + Powercor])</f>
        <v>315334478.77554238</v>
      </c>
      <c r="M13" s="164">
        <f>SUBTOTAL(109,OPEX_TotalSpend_5yrHistory[SA Power + Powercor])</f>
        <v>299973724.8217684</v>
      </c>
      <c r="N13" s="158">
        <f>SUBTOTAL(109,OPEX_TotalSpend_5yrHistory[Essential -10%])</f>
        <v>379631708.97516203</v>
      </c>
      <c r="O13" s="158">
        <f>SUBTOTAL(109,OPEX_TotalSpend_5yrHistory[Essential +16%Dir])</f>
        <v>440372782.41118789</v>
      </c>
    </row>
    <row r="14" spans="3:15" s="10" customFormat="1">
      <c r="C14" s="5"/>
      <c r="D14" s="127"/>
      <c r="E14" s="127"/>
      <c r="F14" s="127"/>
      <c r="G14" s="127"/>
      <c r="H14" s="127"/>
      <c r="I14" s="128"/>
      <c r="J14" s="128"/>
      <c r="K14" s="131"/>
      <c r="L14" s="128"/>
      <c r="M14" s="128"/>
      <c r="N14" s="175"/>
      <c r="O14" s="173"/>
    </row>
    <row r="15" spans="3:15" s="10" customFormat="1" ht="18.75">
      <c r="C15" s="77" t="str">
        <f>C16</f>
        <v>5 yr Routine Maint Spend (2009-13)</v>
      </c>
      <c r="D15" s="134"/>
      <c r="E15" s="134"/>
      <c r="F15" s="134"/>
      <c r="G15" s="134"/>
      <c r="H15" s="134"/>
      <c r="I15" s="134"/>
      <c r="J15" s="134"/>
      <c r="K15" s="134"/>
      <c r="L15" s="140"/>
      <c r="M15" s="128"/>
      <c r="N15" s="175"/>
      <c r="O15" s="173"/>
    </row>
    <row r="16" spans="3:15" s="128" customFormat="1" ht="30">
      <c r="C16" s="131" t="s">
        <v>1198</v>
      </c>
      <c r="D16" s="131" t="s">
        <v>574</v>
      </c>
      <c r="E16" s="132" t="s">
        <v>1147</v>
      </c>
      <c r="F16" s="131" t="s">
        <v>575</v>
      </c>
      <c r="G16" s="133" t="s">
        <v>310</v>
      </c>
      <c r="H16" s="133" t="s">
        <v>1674</v>
      </c>
      <c r="I16" s="131" t="s">
        <v>1560</v>
      </c>
      <c r="J16" s="131" t="s">
        <v>0</v>
      </c>
      <c r="K16" s="131" t="s">
        <v>1218</v>
      </c>
      <c r="L16" s="131" t="s">
        <v>1675</v>
      </c>
      <c r="M16" s="131" t="s">
        <v>1676</v>
      </c>
      <c r="N16" s="175" t="s">
        <v>1569</v>
      </c>
      <c r="O16" s="131" t="s">
        <v>1677</v>
      </c>
    </row>
    <row r="17" spans="3:16" s="10" customFormat="1">
      <c r="C17" s="5" t="s">
        <v>1189</v>
      </c>
      <c r="D17" s="127">
        <f>SUMIFS('2.8 Maintenance'!$AL:$AL,'2.8 Maintenance'!$A:$A,OPEX_RoutineSpend_5yrHistory[#Headers],'2.8 Maintenance'!$B:$B,OPEX_RoutineSpend_5yrHistory[[#This Row],[5 yr Routine Maint Spend (2009-13)]])*1000</f>
        <v>21426380</v>
      </c>
      <c r="E17" s="127">
        <f>SUMIFS('2.8 Maintenance'!$AL:$AL,'2.8 Maintenance'!$A:$A,OPEX_RoutineSpend_5yrHistory[#Headers],'2.8 Maintenance'!$B:$B,OPEX_RoutineSpend_5yrHistory[[#This Row],[5 yr Routine Maint Spend (2009-13)]])*1000</f>
        <v>8788762.273</v>
      </c>
      <c r="F17" s="127">
        <f>SUMIFS('2.8 Maintenance'!$AL:$AL,'2.8 Maintenance'!$A:$A,OPEX_RoutineSpend_5yrHistory[#Headers],'2.8 Maintenance'!$B:$B,OPEX_RoutineSpend_5yrHistory[[#This Row],[5 yr Routine Maint Spend (2009-13)]])*1000</f>
        <v>0</v>
      </c>
      <c r="G17" s="127">
        <f>SUMIFS('2.8 Maintenance'!$AL:$AL,'2.8 Maintenance'!$A:$A,OPEX_RoutineSpend_5yrHistory[#Headers],'2.8 Maintenance'!$B:$B,OPEX_RoutineSpend_5yrHistory[[#This Row],[5 yr Routine Maint Spend (2009-13)]])*1000</f>
        <v>0</v>
      </c>
      <c r="H17" s="127">
        <f>SUMIFS('2.8 Maintenance'!$AL:$AL,'2.8 Maintenance'!$A:$A,OPEX_RoutineSpend_5yrHistory[#Headers],'2.8 Maintenance'!$B:$B,OPEX_RoutineSpend_5yrHistory[[#This Row],[5 yr Routine Maint Spend (2009-13)]])*1000</f>
        <v>5318239.9994999999</v>
      </c>
      <c r="I17" s="127">
        <f>SUMIFS('2.8 Maintenance'!$AL:$AL,'2.8 Maintenance'!$A:$A,OPEX_RoutineSpend_5yrHistory[#Headers],'2.8 Maintenance'!$B:$B,OPEX_RoutineSpend_5yrHistory[[#This Row],[5 yr Routine Maint Spend (2009-13)]])*1000</f>
        <v>0</v>
      </c>
      <c r="J17" s="127">
        <f>SUMIFS('2.8 Maintenance'!$AL:$AL,'2.8 Maintenance'!$A:$A,OPEX_RoutineSpend_5yrHistory[#Headers],'2.8 Maintenance'!$B:$B,OPEX_RoutineSpend_5yrHistory[[#This Row],[5 yr Routine Maint Spend (2009-13)]])*1000</f>
        <v>0</v>
      </c>
      <c r="K17" s="127">
        <f>SUMIFS('2.8 Maintenance'!$AL:$AL,'2.8 Maintenance'!$A:$A,OPEX_RoutineSpend_5yrHistory[#Headers],'2.8 Maintenance'!$B:$B,OPEX_RoutineSpend_5yrHistory[[#This Row],[5 yr Routine Maint Spend (2009-13)]])*1000</f>
        <v>73062.71671774266</v>
      </c>
      <c r="L17" s="163">
        <f>OPEX_RoutineSpend_5yrHistory[[#This Row],[AusNet]]+OPEX_RoutineSpend_5yrHistory[[#This Row],[Powercor]]</f>
        <v>5318239.9994999999</v>
      </c>
      <c r="M17" s="163">
        <f>OPEX_RoutineSpend_5yrHistory[[#This Row],[Powercor]]+OPEX_RoutineSpend_5yrHistory[[#This Row],[SA Power]]</f>
        <v>73062.71671774266</v>
      </c>
      <c r="N17" s="256">
        <f>OPEX_RoutineSpend_5yrHistory[[#This Row],[Essential]]*0.9</f>
        <v>0</v>
      </c>
      <c r="O17" s="256">
        <f>OPEX_RoutineSpend_5yrHistory[[#This Row],[Essential -10%]]*(1+DirectCostInc)</f>
        <v>0</v>
      </c>
      <c r="P17" s="236"/>
    </row>
    <row r="18" spans="3:16" s="10" customFormat="1">
      <c r="C18" s="5" t="s">
        <v>1190</v>
      </c>
      <c r="D18" s="127">
        <f>SUMIFS('2.8 Maintenance'!$AL:$AL,'2.8 Maintenance'!$A:$A,OPEX_RoutineSpend_5yrHistory[#Headers],'2.8 Maintenance'!$B:$B,OPEX_RoutineSpend_5yrHistory[[#This Row],[5 yr Routine Maint Spend (2009-13)]])*1000</f>
        <v>44120350.000000007</v>
      </c>
      <c r="E18" s="127">
        <f>SUMIFS('2.8 Maintenance'!$AL:$AL,'2.8 Maintenance'!$A:$A,OPEX_RoutineSpend_5yrHistory[#Headers],'2.8 Maintenance'!$B:$B,OPEX_RoutineSpend_5yrHistory[[#This Row],[5 yr Routine Maint Spend (2009-13)]])*1000</f>
        <v>116844635.81999999</v>
      </c>
      <c r="F18" s="127">
        <f>SUMIFS('2.8 Maintenance'!$AL:$AL,'2.8 Maintenance'!$A:$A,OPEX_RoutineSpend_5yrHistory[#Headers],'2.8 Maintenance'!$B:$B,OPEX_RoutineSpend_5yrHistory[[#This Row],[5 yr Routine Maint Spend (2009-13)]])*1000</f>
        <v>34503233</v>
      </c>
      <c r="G18" s="127">
        <f>SUMIFS('2.8 Maintenance'!$AL:$AL,'2.8 Maintenance'!$A:$A,OPEX_RoutineSpend_5yrHistory[#Headers],'2.8 Maintenance'!$B:$B,OPEX_RoutineSpend_5yrHistory[[#This Row],[5 yr Routine Maint Spend (2009-13)]])*1000</f>
        <v>40374167.519548342</v>
      </c>
      <c r="H18" s="127">
        <f>SUMIFS('2.8 Maintenance'!$AL:$AL,'2.8 Maintenance'!$A:$A,OPEX_RoutineSpend_5yrHistory[#Headers],'2.8 Maintenance'!$B:$B,OPEX_RoutineSpend_5yrHistory[[#This Row],[5 yr Routine Maint Spend (2009-13)]])*1000</f>
        <v>17564658.916700341</v>
      </c>
      <c r="I18" s="127">
        <f>SUMIFS('2.8 Maintenance'!$AL:$AL,'2.8 Maintenance'!$A:$A,OPEX_RoutineSpend_5yrHistory[#Headers],'2.8 Maintenance'!$B:$B,OPEX_RoutineSpend_5yrHistory[[#This Row],[5 yr Routine Maint Spend (2009-13)]])*1000</f>
        <v>48805216.007623665</v>
      </c>
      <c r="J18" s="127">
        <f>SUMIFS('2.8 Maintenance'!$AL:$AL,'2.8 Maintenance'!$A:$A,OPEX_RoutineSpend_5yrHistory[#Headers],'2.8 Maintenance'!$B:$B,OPEX_RoutineSpend_5yrHistory[[#This Row],[5 yr Routine Maint Spend (2009-13)]])*1000</f>
        <v>48805216.007623665</v>
      </c>
      <c r="K18" s="127">
        <f>SUMIFS('2.8 Maintenance'!$AL:$AL,'2.8 Maintenance'!$A:$A,OPEX_RoutineSpend_5yrHistory[#Headers],'2.8 Maintenance'!$B:$B,OPEX_RoutineSpend_5yrHistory[[#This Row],[5 yr Routine Maint Spend (2009-13)]])*1000</f>
        <v>11755556.610408658</v>
      </c>
      <c r="L18" s="163">
        <f>OPEX_RoutineSpend_5yrHistory[[#This Row],[AusNet]]+OPEX_RoutineSpend_5yrHistory[[#This Row],[Powercor]]</f>
        <v>57938826.436248682</v>
      </c>
      <c r="M18" s="163">
        <f>OPEX_RoutineSpend_5yrHistory[[#This Row],[Powercor]]+OPEX_RoutineSpend_5yrHistory[[#This Row],[SA Power]]</f>
        <v>52129724.129956998</v>
      </c>
      <c r="N18" s="256">
        <f>OPEX_RoutineSpend_5yrHistory[[#This Row],[Essential]]*0.9</f>
        <v>43924694.406861298</v>
      </c>
      <c r="O18" s="256">
        <f>OPEX_RoutineSpend_5yrHistory[[#This Row],[Essential -10%]]*(1+DirectCostInc)</f>
        <v>50952645.511959098</v>
      </c>
    </row>
    <row r="19" spans="3:16" s="10" customFormat="1">
      <c r="C19" s="5" t="s">
        <v>1191</v>
      </c>
      <c r="D19" s="127">
        <f>SUMIFS('2.8 Maintenance'!$AL:$AL,'2.8 Maintenance'!$A:$A,OPEX_RoutineSpend_5yrHistory[#Headers],'2.8 Maintenance'!$B:$B,OPEX_RoutineSpend_5yrHistory[[#This Row],[5 yr Routine Maint Spend (2009-13)]])*1000</f>
        <v>18121220</v>
      </c>
      <c r="E19" s="127">
        <f>SUMIFS('2.8 Maintenance'!$AL:$AL,'2.8 Maintenance'!$A:$A,OPEX_RoutineSpend_5yrHistory[#Headers],'2.8 Maintenance'!$B:$B,OPEX_RoutineSpend_5yrHistory[[#This Row],[5 yr Routine Maint Spend (2009-13)]])*1000</f>
        <v>5466223.4449999994</v>
      </c>
      <c r="F19" s="127">
        <f>SUMIFS('2.8 Maintenance'!$AL:$AL,'2.8 Maintenance'!$A:$A,OPEX_RoutineSpend_5yrHistory[#Headers],'2.8 Maintenance'!$B:$B,OPEX_RoutineSpend_5yrHistory[[#This Row],[5 yr Routine Maint Spend (2009-13)]])*1000</f>
        <v>13131304.992896752</v>
      </c>
      <c r="G19" s="127">
        <f>SUMIFS('2.8 Maintenance'!$AL:$AL,'2.8 Maintenance'!$A:$A,OPEX_RoutineSpend_5yrHistory[#Headers],'2.8 Maintenance'!$B:$B,OPEX_RoutineSpend_5yrHistory[[#This Row],[5 yr Routine Maint Spend (2009-13)]])*1000</f>
        <v>2142352.0499999998</v>
      </c>
      <c r="H19" s="127">
        <f>SUMIFS('2.8 Maintenance'!$AL:$AL,'2.8 Maintenance'!$A:$A,OPEX_RoutineSpend_5yrHistory[#Headers],'2.8 Maintenance'!$B:$B,OPEX_RoutineSpend_5yrHistory[[#This Row],[5 yr Routine Maint Spend (2009-13)]])*1000</f>
        <v>21830659.923299663</v>
      </c>
      <c r="I19" s="127">
        <f>SUMIFS('2.8 Maintenance'!$AL:$AL,'2.8 Maintenance'!$A:$A,OPEX_RoutineSpend_5yrHistory[#Headers],'2.8 Maintenance'!$B:$B,OPEX_RoutineSpend_5yrHistory[[#This Row],[5 yr Routine Maint Spend (2009-13)]])*1000</f>
        <v>20916521.146124426</v>
      </c>
      <c r="J19" s="127">
        <f>SUMIFS('2.8 Maintenance'!$AL:$AL,'2.8 Maintenance'!$A:$A,OPEX_RoutineSpend_5yrHistory[#Headers],'2.8 Maintenance'!$B:$B,OPEX_RoutineSpend_5yrHistory[[#This Row],[5 yr Routine Maint Spend (2009-13)]])*1000</f>
        <v>20916521.146124426</v>
      </c>
      <c r="K19" s="127">
        <f>SUMIFS('2.8 Maintenance'!$AL:$AL,'2.8 Maintenance'!$A:$A,OPEX_RoutineSpend_5yrHistory[#Headers],'2.8 Maintenance'!$B:$B,OPEX_RoutineSpend_5yrHistory[[#This Row],[5 yr Routine Maint Spend (2009-13)]])*1000</f>
        <v>25031147.773727197</v>
      </c>
      <c r="L19" s="163">
        <f>OPEX_RoutineSpend_5yrHistory[[#This Row],[AusNet]]+OPEX_RoutineSpend_5yrHistory[[#This Row],[Powercor]]</f>
        <v>23973011.973299664</v>
      </c>
      <c r="M19" s="163">
        <f>OPEX_RoutineSpend_5yrHistory[[#This Row],[Powercor]]+OPEX_RoutineSpend_5yrHistory[[#This Row],[SA Power]]</f>
        <v>27173499.823727198</v>
      </c>
      <c r="N19" s="256">
        <f>OPEX_RoutineSpend_5yrHistory[[#This Row],[Essential]]*0.9</f>
        <v>18824869.031511985</v>
      </c>
      <c r="O19" s="256">
        <f>OPEX_RoutineSpend_5yrHistory[[#This Row],[Essential -10%]]*(1+DirectCostInc)</f>
        <v>21836848.0765539</v>
      </c>
    </row>
    <row r="20" spans="3:16" s="10" customFormat="1">
      <c r="C20" s="5" t="s">
        <v>1192</v>
      </c>
      <c r="D20" s="127">
        <f>SUMIFS('2.8 Maintenance'!$AL:$AL,'2.8 Maintenance'!$A:$A,OPEX_RoutineSpend_5yrHistory[#Headers],'2.8 Maintenance'!$B:$B,OPEX_RoutineSpend_5yrHistory[[#This Row],[5 yr Routine Maint Spend (2009-13)]])*1000</f>
        <v>9601430</v>
      </c>
      <c r="E20" s="127">
        <f>SUMIFS('2.8 Maintenance'!$AL:$AL,'2.8 Maintenance'!$A:$A,OPEX_RoutineSpend_5yrHistory[#Headers],'2.8 Maintenance'!$B:$B,OPEX_RoutineSpend_5yrHistory[[#This Row],[5 yr Routine Maint Spend (2009-13)]])*1000</f>
        <v>0</v>
      </c>
      <c r="F20" s="127">
        <f>SUMIFS('2.8 Maintenance'!$AL:$AL,'2.8 Maintenance'!$A:$A,OPEX_RoutineSpend_5yrHistory[#Headers],'2.8 Maintenance'!$B:$B,OPEX_RoutineSpend_5yrHistory[[#This Row],[5 yr Routine Maint Spend (2009-13)]])*1000</f>
        <v>2694006.6171032493</v>
      </c>
      <c r="G20" s="127">
        <f>SUMIFS('2.8 Maintenance'!$AL:$AL,'2.8 Maintenance'!$A:$A,OPEX_RoutineSpend_5yrHistory[#Headers],'2.8 Maintenance'!$B:$B,OPEX_RoutineSpend_5yrHistory[[#This Row],[5 yr Routine Maint Spend (2009-13)]])*1000</f>
        <v>104220</v>
      </c>
      <c r="H20" s="127">
        <f>SUMIFS('2.8 Maintenance'!$AL:$AL,'2.8 Maintenance'!$A:$A,OPEX_RoutineSpend_5yrHistory[#Headers],'2.8 Maintenance'!$B:$B,OPEX_RoutineSpend_5yrHistory[[#This Row],[5 yr Routine Maint Spend (2009-13)]])*1000</f>
        <v>1800357.3609999996</v>
      </c>
      <c r="I20" s="127">
        <f>SUMIFS('2.8 Maintenance'!$AL:$AL,'2.8 Maintenance'!$A:$A,OPEX_RoutineSpend_5yrHistory[#Headers],'2.8 Maintenance'!$B:$B,OPEX_RoutineSpend_5yrHistory[[#This Row],[5 yr Routine Maint Spend (2009-13)]])*1000</f>
        <v>0</v>
      </c>
      <c r="J20" s="127">
        <f>SUMIFS('2.8 Maintenance'!$AL:$AL,'2.8 Maintenance'!$A:$A,OPEX_RoutineSpend_5yrHistory[#Headers],'2.8 Maintenance'!$B:$B,OPEX_RoutineSpend_5yrHistory[[#This Row],[5 yr Routine Maint Spend (2009-13)]])*1000</f>
        <v>0</v>
      </c>
      <c r="K20" s="127">
        <f>SUMIFS('2.8 Maintenance'!$AL:$AL,'2.8 Maintenance'!$A:$A,OPEX_RoutineSpend_5yrHistory[#Headers],'2.8 Maintenance'!$B:$B,OPEX_RoutineSpend_5yrHistory[[#This Row],[5 yr Routine Maint Spend (2009-13)]])*1000</f>
        <v>293829.14673100307</v>
      </c>
      <c r="L20" s="163">
        <f>OPEX_RoutineSpend_5yrHistory[[#This Row],[AusNet]]+OPEX_RoutineSpend_5yrHistory[[#This Row],[Powercor]]</f>
        <v>1904577.3609999996</v>
      </c>
      <c r="M20" s="163">
        <f>OPEX_RoutineSpend_5yrHistory[[#This Row],[Powercor]]+OPEX_RoutineSpend_5yrHistory[[#This Row],[SA Power]]</f>
        <v>398049.14673100307</v>
      </c>
      <c r="N20" s="256">
        <f>OPEX_RoutineSpend_5yrHistory[[#This Row],[Essential]]*0.9</f>
        <v>0</v>
      </c>
      <c r="O20" s="256">
        <f>OPEX_RoutineSpend_5yrHistory[[#This Row],[Essential -10%]]*(1+DirectCostInc)</f>
        <v>0</v>
      </c>
    </row>
    <row r="21" spans="3:16" s="10" customFormat="1">
      <c r="C21" s="5" t="s">
        <v>1381</v>
      </c>
      <c r="D21" s="127">
        <f>SUMIFS('2.8 Maintenance'!$AL:$AL,'2.8 Maintenance'!$A:$A,OPEX_RoutineSpend_5yrHistory[#Headers],'2.8 Maintenance'!$B:$B,OPEX_RoutineSpend_5yrHistory[[#This Row],[5 yr Routine Maint Spend (2009-13)]])*1000</f>
        <v>23952050</v>
      </c>
      <c r="E21" s="127">
        <f>SUMIFS('2.8 Maintenance'!$AL:$AL,'2.8 Maintenance'!$A:$A,OPEX_RoutineSpend_5yrHistory[#Headers],'2.8 Maintenance'!$B:$B,OPEX_RoutineSpend_5yrHistory[[#This Row],[5 yr Routine Maint Spend (2009-13)]])*1000</f>
        <v>23512582.096172001</v>
      </c>
      <c r="F21" s="127">
        <f>SUMIFS('2.8 Maintenance'!$AL:$AL,'2.8 Maintenance'!$A:$A,OPEX_RoutineSpend_5yrHistory[#Headers],'2.8 Maintenance'!$B:$B,OPEX_RoutineSpend_5yrHistory[[#This Row],[5 yr Routine Maint Spend (2009-13)]])*1000</f>
        <v>12593341.519999998</v>
      </c>
      <c r="G21" s="127">
        <f>SUMIFS('2.8 Maintenance'!$AL:$AL,'2.8 Maintenance'!$A:$A,OPEX_RoutineSpend_5yrHistory[#Headers],'2.8 Maintenance'!$B:$B,OPEX_RoutineSpend_5yrHistory[[#This Row],[5 yr Routine Maint Spend (2009-13)]])*1000</f>
        <v>12075366.050708666</v>
      </c>
      <c r="H21" s="127">
        <f>SUMIFS('2.8 Maintenance'!$AL:$AL,'2.8 Maintenance'!$A:$A,OPEX_RoutineSpend_5yrHistory[#Headers],'2.8 Maintenance'!$B:$B,OPEX_RoutineSpend_5yrHistory[[#This Row],[5 yr Routine Maint Spend (2009-13)]])*1000</f>
        <v>78188.598000000013</v>
      </c>
      <c r="I21" s="127">
        <f>SUMIFS('2.8 Maintenance'!$AL:$AL,'2.8 Maintenance'!$A:$A,OPEX_RoutineSpend_5yrHistory[#Headers],'2.8 Maintenance'!$B:$B,OPEX_RoutineSpend_5yrHistory[[#This Row],[5 yr Routine Maint Spend (2009-13)]])*1000</f>
        <v>0</v>
      </c>
      <c r="J21" s="127">
        <f>SUMIFS('2.8 Maintenance'!$AL:$AL,'2.8 Maintenance'!$A:$A,OPEX_RoutineSpend_5yrHistory[#Headers],'2.8 Maintenance'!$B:$B,OPEX_RoutineSpend_5yrHistory[[#This Row],[5 yr Routine Maint Spend (2009-13)]])*1000</f>
        <v>0</v>
      </c>
      <c r="K21" s="127">
        <f>SUMIFS('2.8 Maintenance'!$AL:$AL,'2.8 Maintenance'!$A:$A,OPEX_RoutineSpend_5yrHistory[#Headers],'2.8 Maintenance'!$B:$B,OPEX_RoutineSpend_5yrHistory[[#This Row],[5 yr Routine Maint Spend (2009-13)]])*1000</f>
        <v>790096.56078667357</v>
      </c>
      <c r="L21" s="163">
        <f>OPEX_RoutineSpend_5yrHistory[[#This Row],[AusNet]]+OPEX_RoutineSpend_5yrHistory[[#This Row],[Powercor]]</f>
        <v>12153554.648708666</v>
      </c>
      <c r="M21" s="163">
        <f>OPEX_RoutineSpend_5yrHistory[[#This Row],[Powercor]]+OPEX_RoutineSpend_5yrHistory[[#This Row],[SA Power]]</f>
        <v>12865462.61149534</v>
      </c>
      <c r="N21" s="256">
        <f>OPEX_RoutineSpend_5yrHistory[[#This Row],[Essential]]*0.9</f>
        <v>0</v>
      </c>
      <c r="O21" s="256">
        <f>OPEX_RoutineSpend_5yrHistory[[#This Row],[Essential -10%]]*(1+DirectCostInc)</f>
        <v>0</v>
      </c>
    </row>
    <row r="22" spans="3:16" s="10" customFormat="1">
      <c r="C22" s="5" t="s">
        <v>1380</v>
      </c>
      <c r="D22" s="127">
        <f>SUMIFS('2.8 Maintenance'!$AL:$AL,'2.8 Maintenance'!$A:$A,OPEX_RoutineSpend_5yrHistory[#Headers],'2.8 Maintenance'!$B:$B,OPEX_RoutineSpend_5yrHistory[[#This Row],[5 yr Routine Maint Spend (2009-13)]])*1000</f>
        <v>38238479.999999993</v>
      </c>
      <c r="E22" s="127">
        <f>SUMIFS('2.8 Maintenance'!$AL:$AL,'2.8 Maintenance'!$A:$A,OPEX_RoutineSpend_5yrHistory[#Headers],'2.8 Maintenance'!$B:$B,OPEX_RoutineSpend_5yrHistory[[#This Row],[5 yr Routine Maint Spend (2009-13)]])*1000</f>
        <v>34545388.037700005</v>
      </c>
      <c r="F22" s="127">
        <f>SUMIFS('2.8 Maintenance'!$AL:$AL,'2.8 Maintenance'!$A:$A,OPEX_RoutineSpend_5yrHistory[#Headers],'2.8 Maintenance'!$B:$B,OPEX_RoutineSpend_5yrHistory[[#This Row],[5 yr Routine Maint Spend (2009-13)]])*1000</f>
        <v>37975158.039999999</v>
      </c>
      <c r="G22" s="127">
        <f>SUMIFS('2.8 Maintenance'!$AL:$AL,'2.8 Maintenance'!$A:$A,OPEX_RoutineSpend_5yrHistory[#Headers],'2.8 Maintenance'!$B:$B,OPEX_RoutineSpend_5yrHistory[[#This Row],[5 yr Routine Maint Spend (2009-13)]])*1000</f>
        <v>17192079.078953233</v>
      </c>
      <c r="H22" s="127">
        <f>SUMIFS('2.8 Maintenance'!$AL:$AL,'2.8 Maintenance'!$A:$A,OPEX_RoutineSpend_5yrHistory[#Headers],'2.8 Maintenance'!$B:$B,OPEX_RoutineSpend_5yrHistory[[#This Row],[5 yr Routine Maint Spend (2009-13)]])*1000</f>
        <v>8649090.9360000007</v>
      </c>
      <c r="I22" s="127">
        <f>SUMIFS('2.8 Maintenance'!$AL:$AL,'2.8 Maintenance'!$A:$A,OPEX_RoutineSpend_5yrHistory[#Headers],'2.8 Maintenance'!$B:$B,OPEX_RoutineSpend_5yrHistory[[#This Row],[5 yr Routine Maint Spend (2009-13)]])*1000</f>
        <v>67877792.165442407</v>
      </c>
      <c r="J22" s="127">
        <f>SUMIFS('2.8 Maintenance'!$AL:$AL,'2.8 Maintenance'!$A:$A,OPEX_RoutineSpend_5yrHistory[#Headers],'2.8 Maintenance'!$B:$B,OPEX_RoutineSpend_5yrHistory[[#This Row],[5 yr Routine Maint Spend (2009-13)]])*1000</f>
        <v>67877792.165442407</v>
      </c>
      <c r="K22" s="127">
        <f>SUMIFS('2.8 Maintenance'!$AL:$AL,'2.8 Maintenance'!$A:$A,OPEX_RoutineSpend_5yrHistory[#Headers],'2.8 Maintenance'!$B:$B,OPEX_RoutineSpend_5yrHistory[[#This Row],[5 yr Routine Maint Spend (2009-13)]])*1000</f>
        <v>12797465.15409372</v>
      </c>
      <c r="L22" s="163">
        <f>OPEX_RoutineSpend_5yrHistory[[#This Row],[AusNet]]+OPEX_RoutineSpend_5yrHistory[[#This Row],[Powercor]]</f>
        <v>25841170.014953233</v>
      </c>
      <c r="M22" s="163">
        <f>OPEX_RoutineSpend_5yrHistory[[#This Row],[Powercor]]+OPEX_RoutineSpend_5yrHistory[[#This Row],[SA Power]]</f>
        <v>29989544.233046953</v>
      </c>
      <c r="N22" s="256">
        <f>OPEX_RoutineSpend_5yrHistory[[#This Row],[Essential]]*0.9</f>
        <v>61090012.948898166</v>
      </c>
      <c r="O22" s="256">
        <f>OPEX_RoutineSpend_5yrHistory[[#This Row],[Essential -10%]]*(1+DirectCostInc)</f>
        <v>70864415.020721868</v>
      </c>
    </row>
    <row r="23" spans="3:16" s="10" customFormat="1">
      <c r="C23" s="5" t="s">
        <v>1194</v>
      </c>
      <c r="D23" s="127">
        <f>SUMIFS('2.8 Maintenance'!$AL:$AL,'2.8 Maintenance'!$A:$A,OPEX_RoutineSpend_5yrHistory[#Headers],'2.8 Maintenance'!$B:$B,OPEX_RoutineSpend_5yrHistory[[#This Row],[5 yr Routine Maint Spend (2009-13)]])*1000</f>
        <v>155359.99999999997</v>
      </c>
      <c r="E23" s="127">
        <f>SUMIFS('2.8 Maintenance'!$AL:$AL,'2.8 Maintenance'!$A:$A,OPEX_RoutineSpend_5yrHistory[#Headers],'2.8 Maintenance'!$B:$B,OPEX_RoutineSpend_5yrHistory[[#This Row],[5 yr Routine Maint Spend (2009-13)]])*1000</f>
        <v>266419.50253</v>
      </c>
      <c r="F23" s="127">
        <f>SUMIFS('2.8 Maintenance'!$AL:$AL,'2.8 Maintenance'!$A:$A,OPEX_RoutineSpend_5yrHistory[#Headers],'2.8 Maintenance'!$B:$B,OPEX_RoutineSpend_5yrHistory[[#This Row],[5 yr Routine Maint Spend (2009-13)]])*1000</f>
        <v>0</v>
      </c>
      <c r="G23" s="127">
        <f>SUMIFS('2.8 Maintenance'!$AL:$AL,'2.8 Maintenance'!$A:$A,OPEX_RoutineSpend_5yrHistory[#Headers],'2.8 Maintenance'!$B:$B,OPEX_RoutineSpend_5yrHistory[[#This Row],[5 yr Routine Maint Spend (2009-13)]])*1000</f>
        <v>0</v>
      </c>
      <c r="H23" s="127">
        <f>SUMIFS('2.8 Maintenance'!$AL:$AL,'2.8 Maintenance'!$A:$A,OPEX_RoutineSpend_5yrHistory[#Headers],'2.8 Maintenance'!$B:$B,OPEX_RoutineSpend_5yrHistory[[#This Row],[5 yr Routine Maint Spend (2009-13)]])*1000</f>
        <v>357004.658</v>
      </c>
      <c r="I23" s="127">
        <f>SUMIFS('2.8 Maintenance'!$AL:$AL,'2.8 Maintenance'!$A:$A,OPEX_RoutineSpend_5yrHistory[#Headers],'2.8 Maintenance'!$B:$B,OPEX_RoutineSpend_5yrHistory[[#This Row],[5 yr Routine Maint Spend (2009-13)]])*1000</f>
        <v>1147667.1876603975</v>
      </c>
      <c r="J23" s="127">
        <f>SUMIFS('2.8 Maintenance'!$AL:$AL,'2.8 Maintenance'!$A:$A,OPEX_RoutineSpend_5yrHistory[#Headers],'2.8 Maintenance'!$B:$B,OPEX_RoutineSpend_5yrHistory[[#This Row],[5 yr Routine Maint Spend (2009-13)]])*1000</f>
        <v>1147667.1876603975</v>
      </c>
      <c r="K23" s="127">
        <f>SUMIFS('2.8 Maintenance'!$AL:$AL,'2.8 Maintenance'!$A:$A,OPEX_RoutineSpend_5yrHistory[#Headers],'2.8 Maintenance'!$B:$B,OPEX_RoutineSpend_5yrHistory[[#This Row],[5 yr Routine Maint Spend (2009-13)]])*1000</f>
        <v>0</v>
      </c>
      <c r="L23" s="163">
        <f>OPEX_RoutineSpend_5yrHistory[[#This Row],[AusNet]]+OPEX_RoutineSpend_5yrHistory[[#This Row],[Powercor]]</f>
        <v>357004.658</v>
      </c>
      <c r="M23" s="163">
        <f>OPEX_RoutineSpend_5yrHistory[[#This Row],[Powercor]]+OPEX_RoutineSpend_5yrHistory[[#This Row],[SA Power]]</f>
        <v>0</v>
      </c>
      <c r="N23" s="256">
        <f>OPEX_RoutineSpend_5yrHistory[[#This Row],[Essential]]*0.9</f>
        <v>1032900.4688943578</v>
      </c>
      <c r="O23" s="256">
        <f>OPEX_RoutineSpend_5yrHistory[[#This Row],[Essential -10%]]*(1+DirectCostInc)</f>
        <v>1198164.543917455</v>
      </c>
    </row>
    <row r="24" spans="3:16" s="10" customFormat="1">
      <c r="C24" s="5" t="s">
        <v>1195</v>
      </c>
      <c r="D24" s="127">
        <f>SUMIFS('2.8 Maintenance'!$AL:$AL,'2.8 Maintenance'!$A:$A,OPEX_RoutineSpend_5yrHistory[#Headers],'2.8 Maintenance'!$B:$B,OPEX_RoutineSpend_5yrHistory[[#This Row],[5 yr Routine Maint Spend (2009-13)]])*1000</f>
        <v>0</v>
      </c>
      <c r="E24" s="127">
        <f>SUMIFS('2.8 Maintenance'!$AL:$AL,'2.8 Maintenance'!$A:$A,OPEX_RoutineSpend_5yrHistory[#Headers],'2.8 Maintenance'!$B:$B,OPEX_RoutineSpend_5yrHistory[[#This Row],[5 yr Routine Maint Spend (2009-13)]])*1000</f>
        <v>4938696.7509000003</v>
      </c>
      <c r="F24" s="127">
        <f>SUMIFS('2.8 Maintenance'!$AL:$AL,'2.8 Maintenance'!$A:$A,OPEX_RoutineSpend_5yrHistory[#Headers],'2.8 Maintenance'!$B:$B,OPEX_RoutineSpend_5yrHistory[[#This Row],[5 yr Routine Maint Spend (2009-13)]])*1000</f>
        <v>216914</v>
      </c>
      <c r="G24" s="127">
        <f>SUMIFS('2.8 Maintenance'!$AL:$AL,'2.8 Maintenance'!$A:$A,OPEX_RoutineSpend_5yrHistory[#Headers],'2.8 Maintenance'!$B:$B,OPEX_RoutineSpend_5yrHistory[[#This Row],[5 yr Routine Maint Spend (2009-13)]])*1000</f>
        <v>3075364.7005031542</v>
      </c>
      <c r="H24" s="127">
        <f>SUMIFS('2.8 Maintenance'!$AL:$AL,'2.8 Maintenance'!$A:$A,OPEX_RoutineSpend_5yrHistory[#Headers],'2.8 Maintenance'!$B:$B,OPEX_RoutineSpend_5yrHistory[[#This Row],[5 yr Routine Maint Spend (2009-13)]])*1000</f>
        <v>0</v>
      </c>
      <c r="I24" s="127">
        <f>SUMIFS('2.8 Maintenance'!$AL:$AL,'2.8 Maintenance'!$A:$A,OPEX_RoutineSpend_5yrHistory[#Headers],'2.8 Maintenance'!$B:$B,OPEX_RoutineSpend_5yrHistory[[#This Row],[5 yr Routine Maint Spend (2009-13)]])*1000</f>
        <v>0</v>
      </c>
      <c r="J24" s="127">
        <f>SUMIFS('2.8 Maintenance'!$AL:$AL,'2.8 Maintenance'!$A:$A,OPEX_RoutineSpend_5yrHistory[#Headers],'2.8 Maintenance'!$B:$B,OPEX_RoutineSpend_5yrHistory[[#This Row],[5 yr Routine Maint Spend (2009-13)]])*1000</f>
        <v>0</v>
      </c>
      <c r="K24" s="127">
        <f>SUMIFS('2.8 Maintenance'!$AL:$AL,'2.8 Maintenance'!$A:$A,OPEX_RoutineSpend_5yrHistory[#Headers],'2.8 Maintenance'!$B:$B,OPEX_RoutineSpend_5yrHistory[[#This Row],[5 yr Routine Maint Spend (2009-13)]])*1000</f>
        <v>3301741.8444036948</v>
      </c>
      <c r="L24" s="163">
        <f>OPEX_RoutineSpend_5yrHistory[[#This Row],[AusNet]]+OPEX_RoutineSpend_5yrHistory[[#This Row],[Powercor]]</f>
        <v>3075364.7005031542</v>
      </c>
      <c r="M24" s="163">
        <f>OPEX_RoutineSpend_5yrHistory[[#This Row],[Powercor]]+OPEX_RoutineSpend_5yrHistory[[#This Row],[SA Power]]</f>
        <v>6377106.544906849</v>
      </c>
      <c r="N24" s="256">
        <f>OPEX_RoutineSpend_5yrHistory[[#This Row],[Essential]]*0.9</f>
        <v>0</v>
      </c>
      <c r="O24" s="256">
        <f>OPEX_RoutineSpend_5yrHistory[[#This Row],[Essential -10%]]*(1+DirectCostInc)</f>
        <v>0</v>
      </c>
    </row>
    <row r="25" spans="3:16" s="10" customFormat="1">
      <c r="C25" s="5" t="s">
        <v>1196</v>
      </c>
      <c r="D25" s="127">
        <f>SUMIFS('2.8 Maintenance'!$AL:$AL,'2.8 Maintenance'!$A:$A,OPEX_RoutineSpend_5yrHistory[#Headers],'2.8 Maintenance'!$B:$B,OPEX_RoutineSpend_5yrHistory[[#This Row],[5 yr Routine Maint Spend (2009-13)]])*1000</f>
        <v>9056090</v>
      </c>
      <c r="E25" s="127">
        <f>SUMIFS('2.8 Maintenance'!$AL:$AL,'2.8 Maintenance'!$A:$A,OPEX_RoutineSpend_5yrHistory[#Headers],'2.8 Maintenance'!$B:$B,OPEX_RoutineSpend_5yrHistory[[#This Row],[5 yr Routine Maint Spend (2009-13)]])*1000</f>
        <v>0</v>
      </c>
      <c r="F25" s="127">
        <f>SUMIFS('2.8 Maintenance'!$AL:$AL,'2.8 Maintenance'!$A:$A,OPEX_RoutineSpend_5yrHistory[#Headers],'2.8 Maintenance'!$B:$B,OPEX_RoutineSpend_5yrHistory[[#This Row],[5 yr Routine Maint Spend (2009-13)]])*1000</f>
        <v>0</v>
      </c>
      <c r="G25" s="127">
        <f>SUMIFS('2.8 Maintenance'!$AL:$AL,'2.8 Maintenance'!$A:$A,OPEX_RoutineSpend_5yrHistory[#Headers],'2.8 Maintenance'!$B:$B,OPEX_RoutineSpend_5yrHistory[[#This Row],[5 yr Routine Maint Spend (2009-13)]])*1000</f>
        <v>0</v>
      </c>
      <c r="H25" s="127">
        <f>SUMIFS('2.8 Maintenance'!$AL:$AL,'2.8 Maintenance'!$A:$A,OPEX_RoutineSpend_5yrHistory[#Headers],'2.8 Maintenance'!$B:$B,OPEX_RoutineSpend_5yrHistory[[#This Row],[5 yr Routine Maint Spend (2009-13)]])*1000</f>
        <v>0</v>
      </c>
      <c r="I25" s="127">
        <f>SUMIFS('2.8 Maintenance'!$AL:$AL,'2.8 Maintenance'!$A:$A,OPEX_RoutineSpend_5yrHistory[#Headers],'2.8 Maintenance'!$B:$B,OPEX_RoutineSpend_5yrHistory[[#This Row],[5 yr Routine Maint Spend (2009-13)]])*1000</f>
        <v>0</v>
      </c>
      <c r="J25" s="127">
        <f>SUMIFS('2.8 Maintenance'!$AL:$AL,'2.8 Maintenance'!$A:$A,OPEX_RoutineSpend_5yrHistory[#Headers],'2.8 Maintenance'!$B:$B,OPEX_RoutineSpend_5yrHistory[[#This Row],[5 yr Routine Maint Spend (2009-13)]])*1000</f>
        <v>0</v>
      </c>
      <c r="K25" s="127">
        <f>SUMIFS('2.8 Maintenance'!$AL:$AL,'2.8 Maintenance'!$A:$A,OPEX_RoutineSpend_5yrHistory[#Headers],'2.8 Maintenance'!$B:$B,OPEX_RoutineSpend_5yrHistory[[#This Row],[5 yr Routine Maint Spend (2009-13)]])*1000</f>
        <v>0</v>
      </c>
      <c r="L25" s="163">
        <f>OPEX_RoutineSpend_5yrHistory[[#This Row],[AusNet]]+OPEX_RoutineSpend_5yrHistory[[#This Row],[Powercor]]</f>
        <v>0</v>
      </c>
      <c r="M25" s="163">
        <f>OPEX_RoutineSpend_5yrHistory[[#This Row],[Powercor]]+OPEX_RoutineSpend_5yrHistory[[#This Row],[SA Power]]</f>
        <v>0</v>
      </c>
      <c r="N25" s="256">
        <f>OPEX_RoutineSpend_5yrHistory[[#This Row],[Essential]]*0.9</f>
        <v>0</v>
      </c>
      <c r="O25" s="256">
        <f>OPEX_RoutineSpend_5yrHistory[[#This Row],[Essential -10%]]*(1+DirectCostInc)</f>
        <v>0</v>
      </c>
    </row>
    <row r="26" spans="3:16" s="10" customFormat="1">
      <c r="C26" s="5" t="s">
        <v>720</v>
      </c>
      <c r="D26" s="127">
        <f>SUMIFS('2.8 Maintenance'!$AL:$AL,'2.8 Maintenance'!$A:$A,OPEX_RoutineSpend_5yrHistory[#Headers],'2.8 Maintenance'!$B:$B,OPEX_RoutineSpend_5yrHistory[[#This Row],[5 yr Routine Maint Spend (2009-13)]])*1000</f>
        <v>0</v>
      </c>
      <c r="E26" s="127">
        <f>SUMIFS('2.8 Maintenance'!$AL:$AL,'2.8 Maintenance'!$A:$A,OPEX_RoutineSpend_5yrHistory[#Headers],'2.8 Maintenance'!$B:$B,OPEX_RoutineSpend_5yrHistory[[#This Row],[5 yr Routine Maint Spend (2009-13)]])*1000</f>
        <v>32725244.3202</v>
      </c>
      <c r="F26" s="127">
        <f>SUMIFS('2.8 Maintenance'!$AL:$AL,'2.8 Maintenance'!$A:$A,OPEX_RoutineSpend_5yrHistory[#Headers],'2.8 Maintenance'!$B:$B,OPEX_RoutineSpend_5yrHistory[[#This Row],[5 yr Routine Maint Spend (2009-13)]])*1000</f>
        <v>0</v>
      </c>
      <c r="G26" s="127">
        <f>SUMIFS('2.8 Maintenance'!$AL:$AL,'2.8 Maintenance'!$A:$A,OPEX_RoutineSpend_5yrHistory[#Headers],'2.8 Maintenance'!$B:$B,OPEX_RoutineSpend_5yrHistory[[#This Row],[5 yr Routine Maint Spend (2009-13)]])*1000</f>
        <v>11255090.43</v>
      </c>
      <c r="H26" s="127">
        <f>SUMIFS('2.8 Maintenance'!$AL:$AL,'2.8 Maintenance'!$A:$A,OPEX_RoutineSpend_5yrHistory[#Headers],'2.8 Maintenance'!$B:$B,OPEX_RoutineSpend_5yrHistory[[#This Row],[5 yr Routine Maint Spend (2009-13)]])*1000</f>
        <v>0</v>
      </c>
      <c r="I26" s="127">
        <f>SUMIFS('2.8 Maintenance'!$AL:$AL,'2.8 Maintenance'!$A:$A,OPEX_RoutineSpend_5yrHistory[#Headers],'2.8 Maintenance'!$B:$B,OPEX_RoutineSpend_5yrHistory[[#This Row],[5 yr Routine Maint Spend (2009-13)]])*1000</f>
        <v>47760714.54707963</v>
      </c>
      <c r="J26" s="127">
        <f>SUMIFS('2.8 Maintenance'!$AL:$AL,'2.8 Maintenance'!$A:$A,OPEX_RoutineSpend_5yrHistory[#Headers],'2.8 Maintenance'!$B:$B,OPEX_RoutineSpend_5yrHistory[[#This Row],[5 yr Routine Maint Spend (2009-13)]])*1000</f>
        <v>47760714.54707963</v>
      </c>
      <c r="K26" s="127">
        <f>SUMIFS('2.8 Maintenance'!$AL:$AL,'2.8 Maintenance'!$A:$A,OPEX_RoutineSpend_5yrHistory[#Headers],'2.8 Maintenance'!$B:$B,OPEX_RoutineSpend_5yrHistory[[#This Row],[5 yr Routine Maint Spend (2009-13)]])*1000</f>
        <v>12772361.931404866</v>
      </c>
      <c r="L26" s="163">
        <f>OPEX_RoutineSpend_5yrHistory[[#This Row],[AusNet]]+OPEX_RoutineSpend_5yrHistory[[#This Row],[Powercor]]</f>
        <v>11255090.43</v>
      </c>
      <c r="M26" s="163">
        <f>OPEX_RoutineSpend_5yrHistory[[#This Row],[Powercor]]+OPEX_RoutineSpend_5yrHistory[[#This Row],[SA Power]]</f>
        <v>24027452.361404866</v>
      </c>
      <c r="N26" s="256">
        <f>OPEX_RoutineSpend_5yrHistory[[#This Row],[Essential]]*0.9</f>
        <v>42984643.092371665</v>
      </c>
      <c r="O26" s="256">
        <f>OPEX_RoutineSpend_5yrHistory[[#This Row],[Essential -10%]]*(1+DirectCostInc)</f>
        <v>49862185.987151131</v>
      </c>
    </row>
    <row r="27" spans="3:16" s="10" customFormat="1">
      <c r="C27" s="5" t="s">
        <v>6</v>
      </c>
      <c r="D27" s="158">
        <f>SUBTOTAL(109,OPEX_RoutineSpend_5yrHistory[Ausgrid])</f>
        <v>164671360</v>
      </c>
      <c r="E27" s="158">
        <f>SUBTOTAL(109,OPEX_RoutineSpend_5yrHistory[Ergon])</f>
        <v>227087952.245502</v>
      </c>
      <c r="F27" s="158">
        <f>SUBTOTAL(109,OPEX_RoutineSpend_5yrHistory[Endeavour])</f>
        <v>101113958.16999999</v>
      </c>
      <c r="G27" s="158">
        <f>SUBTOTAL(109,OPEX_RoutineSpend_5yrHistory[Powercor])</f>
        <v>86218639.829713404</v>
      </c>
      <c r="H27" s="158">
        <f>SUBTOTAL(109,OPEX_RoutineSpend_5yrHistory[AusNet])</f>
        <v>55598200.392500006</v>
      </c>
      <c r="I27" s="158">
        <f>SUBTOTAL(109,OPEX_RoutineSpend_5yrHistory[Essential (Original)])</f>
        <v>186507911.05393052</v>
      </c>
      <c r="J27" s="158">
        <f>SUBTOTAL(109,OPEX_RoutineSpend_5yrHistory[Essential])</f>
        <v>186507911.05393052</v>
      </c>
      <c r="K27" s="158">
        <f>SUBTOTAL(109,OPEX_RoutineSpend_5yrHistory[SA Power])</f>
        <v>66815261.738273554</v>
      </c>
      <c r="L27" s="164">
        <f>SUBTOTAL(109,OPEX_RoutineSpend_5yrHistory[AusNet + Powercor])</f>
        <v>141816840.22221342</v>
      </c>
      <c r="M27" s="164">
        <f>SUBTOTAL(109,OPEX_RoutineSpend_5yrHistory[SA Power + Powercor])</f>
        <v>153033901.56798697</v>
      </c>
      <c r="N27" s="258">
        <f>SUBTOTAL(109,OPEX_RoutineSpend_5yrHistory[Essential -10%])</f>
        <v>167857119.94853747</v>
      </c>
      <c r="O27" s="259">
        <f>SUBTOTAL(109,OPEX_RoutineSpend_5yrHistory[Essential +16%Dir])</f>
        <v>194714259.14030343</v>
      </c>
    </row>
    <row r="28" spans="3:16" s="10" customFormat="1">
      <c r="C28" s="5"/>
      <c r="D28" s="127"/>
      <c r="E28" s="127"/>
      <c r="F28" s="127"/>
      <c r="G28" s="127"/>
      <c r="H28" s="127"/>
      <c r="I28" s="128"/>
      <c r="J28" s="128"/>
      <c r="K28" s="131"/>
      <c r="L28" s="128"/>
      <c r="M28" s="128"/>
      <c r="N28" s="175"/>
      <c r="O28" s="173"/>
    </row>
    <row r="29" spans="3:16" s="10" customFormat="1" ht="18.75">
      <c r="C29" s="77" t="str">
        <f>C30</f>
        <v>5 yr Non Routine Maint Spend (2009-13)</v>
      </c>
      <c r="D29" s="31"/>
      <c r="E29" s="31"/>
      <c r="F29" s="131"/>
      <c r="G29" s="131"/>
      <c r="H29" s="131"/>
      <c r="I29" s="132"/>
      <c r="J29" s="128"/>
      <c r="K29" s="131"/>
      <c r="L29" s="128"/>
      <c r="M29" s="128"/>
      <c r="N29" s="175"/>
      <c r="O29" s="173"/>
    </row>
    <row r="30" spans="3:16" s="128" customFormat="1" ht="30">
      <c r="C30" s="131" t="s">
        <v>1199</v>
      </c>
      <c r="D30" s="131" t="s">
        <v>574</v>
      </c>
      <c r="E30" s="132" t="s">
        <v>1147</v>
      </c>
      <c r="F30" s="131" t="s">
        <v>575</v>
      </c>
      <c r="G30" s="133" t="s">
        <v>310</v>
      </c>
      <c r="H30" s="133" t="s">
        <v>1674</v>
      </c>
      <c r="I30" s="131" t="s">
        <v>1560</v>
      </c>
      <c r="J30" s="131" t="s">
        <v>0</v>
      </c>
      <c r="K30" s="131" t="s">
        <v>1218</v>
      </c>
      <c r="L30" s="131" t="s">
        <v>1675</v>
      </c>
      <c r="M30" s="131" t="s">
        <v>1676</v>
      </c>
      <c r="N30" s="175" t="s">
        <v>1569</v>
      </c>
      <c r="O30" s="131" t="s">
        <v>1677</v>
      </c>
    </row>
    <row r="31" spans="3:16" s="10" customFormat="1">
      <c r="C31" s="5" t="s">
        <v>1189</v>
      </c>
      <c r="D31" s="127">
        <f>SUMIFS('2.8 Maintenance'!$AM:$AM,'2.8 Maintenance'!$A:$A,OPEX_NonRoutineSpend_5yrHistory[#Headers],'2.8 Maintenance'!$B:$B,OPEX_NonRoutineSpend_5yrHistory[[#This Row],[5 yr Non Routine Maint Spend (2009-13)]])*1000</f>
        <v>48443119.999999993</v>
      </c>
      <c r="E31" s="127">
        <f>SUMIFS('2.8 Maintenance'!$AM:$AM,'2.8 Maintenance'!$A:$A,OPEX_NonRoutineSpend_5yrHistory[#Headers],'2.8 Maintenance'!$B:$B,OPEX_NonRoutineSpend_5yrHistory[[#This Row],[5 yr Non Routine Maint Spend (2009-13)]])*1000</f>
        <v>59449743.34960001</v>
      </c>
      <c r="F31" s="127">
        <f>SUMIFS('2.8 Maintenance'!$AM:$AM,'2.8 Maintenance'!$A:$A,OPEX_NonRoutineSpend_5yrHistory[#Headers],'2.8 Maintenance'!$B:$B,OPEX_NonRoutineSpend_5yrHistory[[#This Row],[5 yr Non Routine Maint Spend (2009-13)]])*1000</f>
        <v>0</v>
      </c>
      <c r="G31" s="127">
        <f>SUMIFS('2.8 Maintenance'!$AM:$AM,'2.8 Maintenance'!$A:$A,OPEX_NonRoutineSpend_5yrHistory[#Headers],'2.8 Maintenance'!$B:$B,OPEX_NonRoutineSpend_5yrHistory[[#This Row],[5 yr Non Routine Maint Spend (2009-13)]])*1000</f>
        <v>58537940.498890065</v>
      </c>
      <c r="H31" s="127">
        <f>SUMIFS('2.8 Maintenance'!$AM:$AM,'2.8 Maintenance'!$A:$A,OPEX_NonRoutineSpend_5yrHistory[#Headers],'2.8 Maintenance'!$B:$B,OPEX_NonRoutineSpend_5yrHistory[[#This Row],[5 yr Non Routine Maint Spend (2009-13)]])*1000</f>
        <v>52322731.590499997</v>
      </c>
      <c r="I31" s="127">
        <f>SUMIFS('2.8 Maintenance'!$AM:$AM,'2.8 Maintenance'!$A:$A,OPEX_NonRoutineSpend_5yrHistory[#Headers],'2.8 Maintenance'!$B:$B,OPEX_NonRoutineSpend_5yrHistory[[#This Row],[5 yr Non Routine Maint Spend (2009-13)]])*1000</f>
        <v>215742710</v>
      </c>
      <c r="J31" s="127">
        <f>SUMIFS('2.8 Maintenance'!$AM:$AM,'2.8 Maintenance'!$A:$A,OPEX_NonRoutineSpend_5yrHistory[#Headers],'2.8 Maintenance'!$B:$B,OPEX_NonRoutineSpend_5yrHistory[[#This Row],[5 yr Non Routine Maint Spend (2009-13)]])*1000</f>
        <v>215742710</v>
      </c>
      <c r="K31" s="127">
        <f>SUMIFS('2.8 Maintenance'!$AM:$AM,'2.8 Maintenance'!$A:$A,OPEX_NonRoutineSpend_5yrHistory[#Headers],'2.8 Maintenance'!$B:$B,OPEX_NonRoutineSpend_5yrHistory[[#This Row],[5 yr Non Routine Maint Spend (2009-13)]])*1000</f>
        <v>2606842.323180587</v>
      </c>
      <c r="L31" s="163">
        <f>OPEX_NonRoutineSpend_5yrHistory[[#This Row],[AusNet]]+OPEX_NonRoutineSpend_5yrHistory[[#This Row],[Powercor]]</f>
        <v>110860672.08939007</v>
      </c>
      <c r="M31" s="163">
        <f>OPEX_NonRoutineSpend_5yrHistory[[#This Row],[Powercor]]+OPEX_NonRoutineSpend_5yrHistory[[#This Row],[SA Power]]</f>
        <v>61144782.822070651</v>
      </c>
      <c r="N31" s="256">
        <f>OPEX_NonRoutineSpend_5yrHistory[[#This Row],[Essential]]*0.9</f>
        <v>194168439</v>
      </c>
      <c r="O31" s="257">
        <f>OPEX_NonRoutineSpend_5yrHistory[[#This Row],[Essential -10%]]*(1+DirectCostInc)</f>
        <v>225235389.23999998</v>
      </c>
    </row>
    <row r="32" spans="3:16" s="10" customFormat="1">
      <c r="C32" s="5" t="s">
        <v>1190</v>
      </c>
      <c r="D32" s="127">
        <f>SUMIFS('2.8 Maintenance'!$AM:$AM,'2.8 Maintenance'!$A:$A,OPEX_NonRoutineSpend_5yrHistory[#Headers],'2.8 Maintenance'!$B:$B,OPEX_NonRoutineSpend_5yrHistory[[#This Row],[5 yr Non Routine Maint Spend (2009-13)]])*1000</f>
        <v>3158620</v>
      </c>
      <c r="E32" s="127">
        <f>SUMIFS('2.8 Maintenance'!$AM:$AM,'2.8 Maintenance'!$A:$A,OPEX_NonRoutineSpend_5yrHistory[#Headers],'2.8 Maintenance'!$B:$B,OPEX_NonRoutineSpend_5yrHistory[[#This Row],[5 yr Non Routine Maint Spend (2009-13)]])*1000</f>
        <v>1415470.0798000002</v>
      </c>
      <c r="F32" s="127">
        <f>SUMIFS('2.8 Maintenance'!$AM:$AM,'2.8 Maintenance'!$A:$A,OPEX_NonRoutineSpend_5yrHistory[#Headers],'2.8 Maintenance'!$B:$B,OPEX_NonRoutineSpend_5yrHistory[[#This Row],[5 yr Non Routine Maint Spend (2009-13)]])*1000</f>
        <v>4734880.9999999991</v>
      </c>
      <c r="G32" s="127">
        <f>SUMIFS('2.8 Maintenance'!$AM:$AM,'2.8 Maintenance'!$A:$A,OPEX_NonRoutineSpend_5yrHistory[#Headers],'2.8 Maintenance'!$B:$B,OPEX_NonRoutineSpend_5yrHistory[[#This Row],[5 yr Non Routine Maint Spend (2009-13)]])*1000</f>
        <v>0</v>
      </c>
      <c r="H32" s="127">
        <f>SUMIFS('2.8 Maintenance'!$AM:$AM,'2.8 Maintenance'!$A:$A,OPEX_NonRoutineSpend_5yrHistory[#Headers],'2.8 Maintenance'!$B:$B,OPEX_NonRoutineSpend_5yrHistory[[#This Row],[5 yr Non Routine Maint Spend (2009-13)]])*1000</f>
        <v>0</v>
      </c>
      <c r="I32" s="127">
        <f>SUMIFS('2.8 Maintenance'!$AM:$AM,'2.8 Maintenance'!$A:$A,OPEX_NonRoutineSpend_5yrHistory[#Headers],'2.8 Maintenance'!$B:$B,OPEX_NonRoutineSpend_5yrHistory[[#This Row],[5 yr Non Routine Maint Spend (2009-13)]])*1000</f>
        <v>0</v>
      </c>
      <c r="J32" s="127">
        <f>SUMIFS('2.8 Maintenance'!$AM:$AM,'2.8 Maintenance'!$A:$A,OPEX_NonRoutineSpend_5yrHistory[#Headers],'2.8 Maintenance'!$B:$B,OPEX_NonRoutineSpend_5yrHistory[[#This Row],[5 yr Non Routine Maint Spend (2009-13)]])*1000</f>
        <v>0</v>
      </c>
      <c r="K32" s="127">
        <f>SUMIFS('2.8 Maintenance'!$AM:$AM,'2.8 Maintenance'!$A:$A,OPEX_NonRoutineSpend_5yrHistory[#Headers],'2.8 Maintenance'!$B:$B,OPEX_NonRoutineSpend_5yrHistory[[#This Row],[5 yr Non Routine Maint Spend (2009-13)]])*1000</f>
        <v>0</v>
      </c>
      <c r="L32" s="163">
        <f>OPEX_NonRoutineSpend_5yrHistory[[#This Row],[AusNet]]+OPEX_NonRoutineSpend_5yrHistory[[#This Row],[Powercor]]</f>
        <v>0</v>
      </c>
      <c r="M32" s="163">
        <f>OPEX_NonRoutineSpend_5yrHistory[[#This Row],[Powercor]]+OPEX_NonRoutineSpend_5yrHistory[[#This Row],[SA Power]]</f>
        <v>0</v>
      </c>
      <c r="N32" s="256">
        <f>OPEX_NonRoutineSpend_5yrHistory[[#This Row],[Essential]]*0.9</f>
        <v>0</v>
      </c>
      <c r="O32" s="257">
        <f>OPEX_NonRoutineSpend_5yrHistory[[#This Row],[Essential -10%]]*(1+DirectCostInc)</f>
        <v>0</v>
      </c>
    </row>
    <row r="33" spans="3:15" s="10" customFormat="1">
      <c r="C33" s="5" t="s">
        <v>1191</v>
      </c>
      <c r="D33" s="127">
        <f>SUMIFS('2.8 Maintenance'!$AM:$AM,'2.8 Maintenance'!$A:$A,OPEX_NonRoutineSpend_5yrHistory[#Headers],'2.8 Maintenance'!$B:$B,OPEX_NonRoutineSpend_5yrHistory[[#This Row],[5 yr Non Routine Maint Spend (2009-13)]])*1000</f>
        <v>0</v>
      </c>
      <c r="E33" s="127">
        <f>SUMIFS('2.8 Maintenance'!$AM:$AM,'2.8 Maintenance'!$A:$A,OPEX_NonRoutineSpend_5yrHistory[#Headers],'2.8 Maintenance'!$B:$B,OPEX_NonRoutineSpend_5yrHistory[[#This Row],[5 yr Non Routine Maint Spend (2009-13)]])*1000</f>
        <v>1415470.0798000002</v>
      </c>
      <c r="F33" s="127">
        <f>SUMIFS('2.8 Maintenance'!$AM:$AM,'2.8 Maintenance'!$A:$A,OPEX_NonRoutineSpend_5yrHistory[#Headers],'2.8 Maintenance'!$B:$B,OPEX_NonRoutineSpend_5yrHistory[[#This Row],[5 yr Non Routine Maint Spend (2009-13)]])*1000</f>
        <v>40842175.006036848</v>
      </c>
      <c r="G33" s="127">
        <f>SUMIFS('2.8 Maintenance'!$AM:$AM,'2.8 Maintenance'!$A:$A,OPEX_NonRoutineSpend_5yrHistory[#Headers],'2.8 Maintenance'!$B:$B,OPEX_NonRoutineSpend_5yrHistory[[#This Row],[5 yr Non Routine Maint Spend (2009-13)]])*1000</f>
        <v>0</v>
      </c>
      <c r="H33" s="127">
        <f>SUMIFS('2.8 Maintenance'!$AM:$AM,'2.8 Maintenance'!$A:$A,OPEX_NonRoutineSpend_5yrHistory[#Headers],'2.8 Maintenance'!$B:$B,OPEX_NonRoutineSpend_5yrHistory[[#This Row],[5 yr Non Routine Maint Spend (2009-13)]])*1000</f>
        <v>0</v>
      </c>
      <c r="I33" s="127">
        <f>SUMIFS('2.8 Maintenance'!$AM:$AM,'2.8 Maintenance'!$A:$A,OPEX_NonRoutineSpend_5yrHistory[#Headers],'2.8 Maintenance'!$B:$B,OPEX_NonRoutineSpend_5yrHistory[[#This Row],[5 yr Non Routine Maint Spend (2009-13)]])*1000</f>
        <v>0</v>
      </c>
      <c r="J33" s="127">
        <f>SUMIFS('2.8 Maintenance'!$AM:$AM,'2.8 Maintenance'!$A:$A,OPEX_NonRoutineSpend_5yrHistory[#Headers],'2.8 Maintenance'!$B:$B,OPEX_NonRoutineSpend_5yrHistory[[#This Row],[5 yr Non Routine Maint Spend (2009-13)]])*1000</f>
        <v>0</v>
      </c>
      <c r="K33" s="127">
        <f>SUMIFS('2.8 Maintenance'!$AM:$AM,'2.8 Maintenance'!$A:$A,OPEX_NonRoutineSpend_5yrHistory[#Headers],'2.8 Maintenance'!$B:$B,OPEX_NonRoutineSpend_5yrHistory[[#This Row],[5 yr Non Routine Maint Spend (2009-13)]])*1000</f>
        <v>0</v>
      </c>
      <c r="L33" s="163">
        <f>OPEX_NonRoutineSpend_5yrHistory[[#This Row],[AusNet]]+OPEX_NonRoutineSpend_5yrHistory[[#This Row],[Powercor]]</f>
        <v>0</v>
      </c>
      <c r="M33" s="163">
        <f>OPEX_NonRoutineSpend_5yrHistory[[#This Row],[Powercor]]+OPEX_NonRoutineSpend_5yrHistory[[#This Row],[SA Power]]</f>
        <v>0</v>
      </c>
      <c r="N33" s="256">
        <f>OPEX_NonRoutineSpend_5yrHistory[[#This Row],[Essential]]*0.9</f>
        <v>0</v>
      </c>
      <c r="O33" s="257">
        <f>OPEX_NonRoutineSpend_5yrHistory[[#This Row],[Essential -10%]]*(1+DirectCostInc)</f>
        <v>0</v>
      </c>
    </row>
    <row r="34" spans="3:15" s="10" customFormat="1">
      <c r="C34" s="5" t="s">
        <v>1192</v>
      </c>
      <c r="D34" s="127">
        <f>SUMIFS('2.8 Maintenance'!$AM:$AM,'2.8 Maintenance'!$A:$A,OPEX_NonRoutineSpend_5yrHistory[#Headers],'2.8 Maintenance'!$B:$B,OPEX_NonRoutineSpend_5yrHistory[[#This Row],[5 yr Non Routine Maint Spend (2009-13)]])*1000</f>
        <v>18859140</v>
      </c>
      <c r="E34" s="127">
        <f>SUMIFS('2.8 Maintenance'!$AM:$AM,'2.8 Maintenance'!$A:$A,OPEX_NonRoutineSpend_5yrHistory[#Headers],'2.8 Maintenance'!$B:$B,OPEX_NonRoutineSpend_5yrHistory[[#This Row],[5 yr Non Routine Maint Spend (2009-13)]])*1000</f>
        <v>1415470.0798000002</v>
      </c>
      <c r="F34" s="127">
        <f>SUMIFS('2.8 Maintenance'!$AM:$AM,'2.8 Maintenance'!$A:$A,OPEX_NonRoutineSpend_5yrHistory[#Headers],'2.8 Maintenance'!$B:$B,OPEX_NonRoutineSpend_5yrHistory[[#This Row],[5 yr Non Routine Maint Spend (2009-13)]])*1000</f>
        <v>6495900.2267244663</v>
      </c>
      <c r="G34" s="127">
        <f>SUMIFS('2.8 Maintenance'!$AM:$AM,'2.8 Maintenance'!$A:$A,OPEX_NonRoutineSpend_5yrHistory[#Headers],'2.8 Maintenance'!$B:$B,OPEX_NonRoutineSpend_5yrHistory[[#This Row],[5 yr Non Routine Maint Spend (2009-13)]])*1000</f>
        <v>151850</v>
      </c>
      <c r="H34" s="127">
        <f>SUMIFS('2.8 Maintenance'!$AM:$AM,'2.8 Maintenance'!$A:$A,OPEX_NonRoutineSpend_5yrHistory[#Headers],'2.8 Maintenance'!$B:$B,OPEX_NonRoutineSpend_5yrHistory[[#This Row],[5 yr Non Routine Maint Spend (2009-13)]])*1000</f>
        <v>3142322.8489999995</v>
      </c>
      <c r="I34" s="127">
        <f>SUMIFS('2.8 Maintenance'!$AM:$AM,'2.8 Maintenance'!$A:$A,OPEX_NonRoutineSpend_5yrHistory[#Headers],'2.8 Maintenance'!$B:$B,OPEX_NonRoutineSpend_5yrHistory[[#This Row],[5 yr Non Routine Maint Spend (2009-13)]])*1000</f>
        <v>5600730</v>
      </c>
      <c r="J34" s="127">
        <f>SUMIFS('2.8 Maintenance'!$AM:$AM,'2.8 Maintenance'!$A:$A,OPEX_NonRoutineSpend_5yrHistory[#Headers],'2.8 Maintenance'!$B:$B,OPEX_NonRoutineSpend_5yrHistory[[#This Row],[5 yr Non Routine Maint Spend (2009-13)]])*1000</f>
        <v>5600730</v>
      </c>
      <c r="K34" s="127">
        <f>SUMIFS('2.8 Maintenance'!$AM:$AM,'2.8 Maintenance'!$A:$A,OPEX_NonRoutineSpend_5yrHistory[#Headers],'2.8 Maintenance'!$B:$B,OPEX_NonRoutineSpend_5yrHistory[[#This Row],[5 yr Non Routine Maint Spend (2009-13)]])*1000</f>
        <v>475038.46785521507</v>
      </c>
      <c r="L34" s="163">
        <f>OPEX_NonRoutineSpend_5yrHistory[[#This Row],[AusNet]]+OPEX_NonRoutineSpend_5yrHistory[[#This Row],[Powercor]]</f>
        <v>3294172.8489999995</v>
      </c>
      <c r="M34" s="163">
        <f>OPEX_NonRoutineSpend_5yrHistory[[#This Row],[Powercor]]+OPEX_NonRoutineSpend_5yrHistory[[#This Row],[SA Power]]</f>
        <v>626888.46785521507</v>
      </c>
      <c r="N34" s="256">
        <f>OPEX_NonRoutineSpend_5yrHistory[[#This Row],[Essential]]*0.9</f>
        <v>5040657</v>
      </c>
      <c r="O34" s="257">
        <f>OPEX_NonRoutineSpend_5yrHistory[[#This Row],[Essential -10%]]*(1+DirectCostInc)</f>
        <v>5847162.1199999992</v>
      </c>
    </row>
    <row r="35" spans="3:15" s="10" customFormat="1">
      <c r="C35" s="5" t="s">
        <v>1381</v>
      </c>
      <c r="D35" s="127">
        <f>SUMIFS('2.8 Maintenance'!$AM:$AM,'2.8 Maintenance'!$A:$A,OPEX_NonRoutineSpend_5yrHistory[#Headers],'2.8 Maintenance'!$B:$B,OPEX_NonRoutineSpend_5yrHistory[[#This Row],[5 yr Non Routine Maint Spend (2009-13)]])*1000</f>
        <v>38611440</v>
      </c>
      <c r="E35" s="127">
        <f>SUMIFS('2.8 Maintenance'!$AM:$AM,'2.8 Maintenance'!$A:$A,OPEX_NonRoutineSpend_5yrHistory[#Headers],'2.8 Maintenance'!$B:$B,OPEX_NonRoutineSpend_5yrHistory[[#This Row],[5 yr Non Routine Maint Spend (2009-13)]])*1000</f>
        <v>7077350.3990000002</v>
      </c>
      <c r="F35" s="127">
        <f>SUMIFS('2.8 Maintenance'!$AM:$AM,'2.8 Maintenance'!$A:$A,OPEX_NonRoutineSpend_5yrHistory[#Headers],'2.8 Maintenance'!$B:$B,OPEX_NonRoutineSpend_5yrHistory[[#This Row],[5 yr Non Routine Maint Spend (2009-13)]])*1000</f>
        <v>8767178.160000002</v>
      </c>
      <c r="G35" s="127">
        <f>SUMIFS('2.8 Maintenance'!$AM:$AM,'2.8 Maintenance'!$A:$A,OPEX_NonRoutineSpend_5yrHistory[#Headers],'2.8 Maintenance'!$B:$B,OPEX_NonRoutineSpend_5yrHistory[[#This Row],[5 yr Non Routine Maint Spend (2009-13)]])*1000</f>
        <v>2466161.8324193484</v>
      </c>
      <c r="H35" s="127">
        <f>SUMIFS('2.8 Maintenance'!$AM:$AM,'2.8 Maintenance'!$A:$A,OPEX_NonRoutineSpend_5yrHistory[#Headers],'2.8 Maintenance'!$B:$B,OPEX_NonRoutineSpend_5yrHistory[[#This Row],[5 yr Non Routine Maint Spend (2009-13)]])*1000</f>
        <v>2528098.0019999999</v>
      </c>
      <c r="I35" s="127">
        <f>SUMIFS('2.8 Maintenance'!$AM:$AM,'2.8 Maintenance'!$A:$A,OPEX_NonRoutineSpend_5yrHistory[#Headers],'2.8 Maintenance'!$B:$B,OPEX_NonRoutineSpend_5yrHistory[[#This Row],[5 yr Non Routine Maint Spend (2009-13)]])*1000</f>
        <v>1065514.0000000002</v>
      </c>
      <c r="J35" s="127">
        <f>SUMIFS('2.8 Maintenance'!$AM:$AM,'2.8 Maintenance'!$A:$A,OPEX_NonRoutineSpend_5yrHistory[#Headers],'2.8 Maintenance'!$B:$B,OPEX_NonRoutineSpend_5yrHistory[[#This Row],[5 yr Non Routine Maint Spend (2009-13)]])*1000</f>
        <v>1065514.0000000002</v>
      </c>
      <c r="K35" s="127">
        <f>SUMIFS('2.8 Maintenance'!$AM:$AM,'2.8 Maintenance'!$A:$A,OPEX_NonRoutineSpend_5yrHistory[#Headers],'2.8 Maintenance'!$B:$B,OPEX_NonRoutineSpend_5yrHistory[[#This Row],[5 yr Non Routine Maint Spend (2009-13)]])*1000</f>
        <v>3182068.262772663</v>
      </c>
      <c r="L35" s="163">
        <f>OPEX_NonRoutineSpend_5yrHistory[[#This Row],[AusNet]]+OPEX_NonRoutineSpend_5yrHistory[[#This Row],[Powercor]]</f>
        <v>4994259.8344193483</v>
      </c>
      <c r="M35" s="163">
        <f>OPEX_NonRoutineSpend_5yrHistory[[#This Row],[Powercor]]+OPEX_NonRoutineSpend_5yrHistory[[#This Row],[SA Power]]</f>
        <v>5648230.0951920114</v>
      </c>
      <c r="N35" s="256">
        <f>OPEX_NonRoutineSpend_5yrHistory[[#This Row],[Essential]]*0.9</f>
        <v>958962.60000000021</v>
      </c>
      <c r="O35" s="257">
        <f>OPEX_NonRoutineSpend_5yrHistory[[#This Row],[Essential -10%]]*(1+DirectCostInc)</f>
        <v>1112396.6160000002</v>
      </c>
    </row>
    <row r="36" spans="3:15" s="10" customFormat="1">
      <c r="C36" s="5" t="s">
        <v>1380</v>
      </c>
      <c r="D36" s="127">
        <f>SUMIFS('2.8 Maintenance'!$AM:$AM,'2.8 Maintenance'!$A:$A,OPEX_NonRoutineSpend_5yrHistory[#Headers],'2.8 Maintenance'!$B:$B,OPEX_NonRoutineSpend_5yrHistory[[#This Row],[5 yr Non Routine Maint Spend (2009-13)]])*1000</f>
        <v>30429909.999999996</v>
      </c>
      <c r="E36" s="127">
        <f>SUMIFS('2.8 Maintenance'!$AM:$AM,'2.8 Maintenance'!$A:$A,OPEX_NonRoutineSpend_5yrHistory[#Headers],'2.8 Maintenance'!$B:$B,OPEX_NonRoutineSpend_5yrHistory[[#This Row],[5 yr Non Routine Maint Spend (2009-13)]])*1000</f>
        <v>44623331.32406</v>
      </c>
      <c r="F36" s="127">
        <f>SUMIFS('2.8 Maintenance'!$AM:$AM,'2.8 Maintenance'!$A:$A,OPEX_NonRoutineSpend_5yrHistory[#Headers],'2.8 Maintenance'!$B:$B,OPEX_NonRoutineSpend_5yrHistory[[#This Row],[5 yr Non Routine Maint Spend (2009-13)]])*1000</f>
        <v>12172031.779999997</v>
      </c>
      <c r="G36" s="127">
        <f>SUMIFS('2.8 Maintenance'!$AM:$AM,'2.8 Maintenance'!$A:$A,OPEX_NonRoutineSpend_5yrHistory[#Headers],'2.8 Maintenance'!$B:$B,OPEX_NonRoutineSpend_5yrHistory[[#This Row],[5 yr Non Routine Maint Spend (2009-13)]])*1000</f>
        <v>7833830.0174872885</v>
      </c>
      <c r="H36" s="127">
        <f>SUMIFS('2.8 Maintenance'!$AM:$AM,'2.8 Maintenance'!$A:$A,OPEX_NonRoutineSpend_5yrHistory[#Headers],'2.8 Maintenance'!$B:$B,OPEX_NonRoutineSpend_5yrHistory[[#This Row],[5 yr Non Routine Maint Spend (2009-13)]])*1000</f>
        <v>2653090.2139999992</v>
      </c>
      <c r="I36" s="127">
        <f>SUMIFS('2.8 Maintenance'!$AM:$AM,'2.8 Maintenance'!$A:$A,OPEX_NonRoutineSpend_5yrHistory[#Headers],'2.8 Maintenance'!$B:$B,OPEX_NonRoutineSpend_5yrHistory[[#This Row],[5 yr Non Routine Maint Spend (2009-13)]])*1000</f>
        <v>9677188.1361321267</v>
      </c>
      <c r="J36" s="127">
        <f>SUMIFS('2.8 Maintenance'!$AM:$AM,'2.8 Maintenance'!$A:$A,OPEX_NonRoutineSpend_5yrHistory[#Headers],'2.8 Maintenance'!$B:$B,OPEX_NonRoutineSpend_5yrHistory[[#This Row],[5 yr Non Routine Maint Spend (2009-13)]])*1000</f>
        <v>9677188.1361321267</v>
      </c>
      <c r="K36" s="127">
        <f>SUMIFS('2.8 Maintenance'!$AM:$AM,'2.8 Maintenance'!$A:$A,OPEX_NonRoutineSpend_5yrHistory[#Headers],'2.8 Maintenance'!$B:$B,OPEX_NonRoutineSpend_5yrHistory[[#This Row],[5 yr Non Routine Maint Spend (2009-13)]])*1000</f>
        <v>16055198.441683548</v>
      </c>
      <c r="L36" s="163">
        <f>OPEX_NonRoutineSpend_5yrHistory[[#This Row],[AusNet]]+OPEX_NonRoutineSpend_5yrHistory[[#This Row],[Powercor]]</f>
        <v>10486920.231487287</v>
      </c>
      <c r="M36" s="163">
        <f>OPEX_NonRoutineSpend_5yrHistory[[#This Row],[Powercor]]+OPEX_NonRoutineSpend_5yrHistory[[#This Row],[SA Power]]</f>
        <v>23889028.459170837</v>
      </c>
      <c r="N36" s="256">
        <f>OPEX_NonRoutineSpend_5yrHistory[[#This Row],[Essential]]*0.9</f>
        <v>8709469.3225189149</v>
      </c>
      <c r="O36" s="257">
        <f>OPEX_NonRoutineSpend_5yrHistory[[#This Row],[Essential -10%]]*(1+DirectCostInc)</f>
        <v>10102984.414121941</v>
      </c>
    </row>
    <row r="37" spans="3:15" s="10" customFormat="1">
      <c r="C37" s="5" t="s">
        <v>1194</v>
      </c>
      <c r="D37" s="127">
        <f>SUMIFS('2.8 Maintenance'!$AM:$AM,'2.8 Maintenance'!$A:$A,OPEX_NonRoutineSpend_5yrHistory[#Headers],'2.8 Maintenance'!$B:$B,OPEX_NonRoutineSpend_5yrHistory[[#This Row],[5 yr Non Routine Maint Spend (2009-13)]])*1000</f>
        <v>900280.00000000012</v>
      </c>
      <c r="E37" s="127">
        <f>SUMIFS('2.8 Maintenance'!$AM:$AM,'2.8 Maintenance'!$A:$A,OPEX_NonRoutineSpend_5yrHistory[#Headers],'2.8 Maintenance'!$B:$B,OPEX_NonRoutineSpend_5yrHistory[[#This Row],[5 yr Non Routine Maint Spend (2009-13)]])*1000</f>
        <v>6249510.4750000006</v>
      </c>
      <c r="F37" s="127">
        <f>SUMIFS('2.8 Maintenance'!$AM:$AM,'2.8 Maintenance'!$A:$A,OPEX_NonRoutineSpend_5yrHistory[#Headers],'2.8 Maintenance'!$B:$B,OPEX_NonRoutineSpend_5yrHistory[[#This Row],[5 yr Non Routine Maint Spend (2009-13)]])*1000</f>
        <v>0</v>
      </c>
      <c r="G37" s="127">
        <f>SUMIFS('2.8 Maintenance'!$AM:$AM,'2.8 Maintenance'!$A:$A,OPEX_NonRoutineSpend_5yrHistory[#Headers],'2.8 Maintenance'!$B:$B,OPEX_NonRoutineSpend_5yrHistory[[#This Row],[5 yr Non Routine Maint Spend (2009-13)]])*1000</f>
        <v>44710.401884449515</v>
      </c>
      <c r="H37" s="127">
        <f>SUMIFS('2.8 Maintenance'!$AM:$AM,'2.8 Maintenance'!$A:$A,OPEX_NonRoutineSpend_5yrHistory[#Headers],'2.8 Maintenance'!$B:$B,OPEX_NonRoutineSpend_5yrHistory[[#This Row],[5 yr Non Routine Maint Spend (2009-13)]])*1000</f>
        <v>64056.637999999992</v>
      </c>
      <c r="I37" s="127">
        <f>SUMIFS('2.8 Maintenance'!$AM:$AM,'2.8 Maintenance'!$A:$A,OPEX_NonRoutineSpend_5yrHistory[#Headers],'2.8 Maintenance'!$B:$B,OPEX_NonRoutineSpend_5yrHistory[[#This Row],[5 yr Non Routine Maint Spend (2009-13)]])*1000</f>
        <v>1344208.782339602</v>
      </c>
      <c r="J37" s="127">
        <f>SUMIFS('2.8 Maintenance'!$AM:$AM,'2.8 Maintenance'!$A:$A,OPEX_NonRoutineSpend_5yrHistory[#Headers],'2.8 Maintenance'!$B:$B,OPEX_NonRoutineSpend_5yrHistory[[#This Row],[5 yr Non Routine Maint Spend (2009-13)]])*1000</f>
        <v>1344208.782339602</v>
      </c>
      <c r="K37" s="127">
        <f>SUMIFS('2.8 Maintenance'!$AM:$AM,'2.8 Maintenance'!$A:$A,OPEX_NonRoutineSpend_5yrHistory[#Headers],'2.8 Maintenance'!$B:$B,OPEX_NonRoutineSpend_5yrHistory[[#This Row],[5 yr Non Routine Maint Spend (2009-13)]])*1000</f>
        <v>217510.26734091193</v>
      </c>
      <c r="L37" s="163">
        <f>OPEX_NonRoutineSpend_5yrHistory[[#This Row],[AusNet]]+OPEX_NonRoutineSpend_5yrHistory[[#This Row],[Powercor]]</f>
        <v>108767.03988444951</v>
      </c>
      <c r="M37" s="163">
        <f>OPEX_NonRoutineSpend_5yrHistory[[#This Row],[Powercor]]+OPEX_NonRoutineSpend_5yrHistory[[#This Row],[SA Power]]</f>
        <v>262220.66922536143</v>
      </c>
      <c r="N37" s="256">
        <f>OPEX_NonRoutineSpend_5yrHistory[[#This Row],[Essential]]*0.9</f>
        <v>1209787.9041056419</v>
      </c>
      <c r="O37" s="257">
        <f>OPEX_NonRoutineSpend_5yrHistory[[#This Row],[Essential -10%]]*(1+DirectCostInc)</f>
        <v>1403353.9687625444</v>
      </c>
    </row>
    <row r="38" spans="3:15" s="10" customFormat="1">
      <c r="C38" s="5" t="s">
        <v>1195</v>
      </c>
      <c r="D38" s="127">
        <f>SUMIFS('2.8 Maintenance'!$AM:$AM,'2.8 Maintenance'!$A:$A,OPEX_NonRoutineSpend_5yrHistory[#Headers],'2.8 Maintenance'!$B:$B,OPEX_NonRoutineSpend_5yrHistory[[#This Row],[5 yr Non Routine Maint Spend (2009-13)]])*1000</f>
        <v>575470</v>
      </c>
      <c r="E38" s="127">
        <f>SUMIFS('2.8 Maintenance'!$AM:$AM,'2.8 Maintenance'!$A:$A,OPEX_NonRoutineSpend_5yrHistory[#Headers],'2.8 Maintenance'!$B:$B,OPEX_NonRoutineSpend_5yrHistory[[#This Row],[5 yr Non Routine Maint Spend (2009-13)]])*1000</f>
        <v>4442419.9851000002</v>
      </c>
      <c r="F38" s="127">
        <f>SUMIFS('2.8 Maintenance'!$AM:$AM,'2.8 Maintenance'!$A:$A,OPEX_NonRoutineSpend_5yrHistory[#Headers],'2.8 Maintenance'!$B:$B,OPEX_NonRoutineSpend_5yrHistory[[#This Row],[5 yr Non Routine Maint Spend (2009-13)]])*1000</f>
        <v>370631.33999999997</v>
      </c>
      <c r="G38" s="127">
        <f>SUMIFS('2.8 Maintenance'!$AM:$AM,'2.8 Maintenance'!$A:$A,OPEX_NonRoutineSpend_5yrHistory[#Headers],'2.8 Maintenance'!$B:$B,OPEX_NonRoutineSpend_5yrHistory[[#This Row],[5 yr Non Routine Maint Spend (2009-13)]])*1000</f>
        <v>3683911.2233643453</v>
      </c>
      <c r="H38" s="127">
        <f>SUMIFS('2.8 Maintenance'!$AM:$AM,'2.8 Maintenance'!$A:$A,OPEX_NonRoutineSpend_5yrHistory[#Headers],'2.8 Maintenance'!$B:$B,OPEX_NonRoutineSpend_5yrHistory[[#This Row],[5 yr Non Routine Maint Spend (2009-13)]])*1000</f>
        <v>403112.42400000006</v>
      </c>
      <c r="I38" s="127">
        <f>SUMIFS('2.8 Maintenance'!$AM:$AM,'2.8 Maintenance'!$A:$A,OPEX_NonRoutineSpend_5yrHistory[#Headers],'2.8 Maintenance'!$B:$B,OPEX_NonRoutineSpend_5yrHistory[[#This Row],[5 yr Non Routine Maint Spend (2009-13)]])*1000</f>
        <v>1874748</v>
      </c>
      <c r="J38" s="127">
        <f>SUMIFS('2.8 Maintenance'!$AM:$AM,'2.8 Maintenance'!$A:$A,OPEX_NonRoutineSpend_5yrHistory[#Headers],'2.8 Maintenance'!$B:$B,OPEX_NonRoutineSpend_5yrHistory[[#This Row],[5 yr Non Routine Maint Spend (2009-13)]])*1000</f>
        <v>1874748</v>
      </c>
      <c r="K38" s="127">
        <f>SUMIFS('2.8 Maintenance'!$AM:$AM,'2.8 Maintenance'!$A:$A,OPEX_NonRoutineSpend_5yrHistory[#Headers],'2.8 Maintenance'!$B:$B,OPEX_NonRoutineSpend_5yrHistory[[#This Row],[5 yr Non Routine Maint Spend (2009-13)]])*1000</f>
        <v>1132756.0939433419</v>
      </c>
      <c r="L38" s="163">
        <f>OPEX_NonRoutineSpend_5yrHistory[[#This Row],[AusNet]]+OPEX_NonRoutineSpend_5yrHistory[[#This Row],[Powercor]]</f>
        <v>4087023.6473643454</v>
      </c>
      <c r="M38" s="163">
        <f>OPEX_NonRoutineSpend_5yrHistory[[#This Row],[Powercor]]+OPEX_NonRoutineSpend_5yrHistory[[#This Row],[SA Power]]</f>
        <v>4816667.3173076874</v>
      </c>
      <c r="N38" s="256">
        <f>OPEX_NonRoutineSpend_5yrHistory[[#This Row],[Essential]]*0.9</f>
        <v>1687273.2</v>
      </c>
      <c r="O38" s="257">
        <f>OPEX_NonRoutineSpend_5yrHistory[[#This Row],[Essential -10%]]*(1+DirectCostInc)</f>
        <v>1957236.9119999998</v>
      </c>
    </row>
    <row r="39" spans="3:15" s="10" customFormat="1">
      <c r="C39" s="5" t="s">
        <v>1196</v>
      </c>
      <c r="D39" s="127">
        <f>SUMIFS('2.8 Maintenance'!$AM:$AM,'2.8 Maintenance'!$A:$A,OPEX_NonRoutineSpend_5yrHistory[#Headers],'2.8 Maintenance'!$B:$B,OPEX_NonRoutineSpend_5yrHistory[[#This Row],[5 yr Non Routine Maint Spend (2009-13)]])*1000</f>
        <v>21061280</v>
      </c>
      <c r="E39" s="127">
        <f>SUMIFS('2.8 Maintenance'!$AM:$AM,'2.8 Maintenance'!$A:$A,OPEX_NonRoutineSpend_5yrHistory[#Headers],'2.8 Maintenance'!$B:$B,OPEX_NonRoutineSpend_5yrHistory[[#This Row],[5 yr Non Routine Maint Spend (2009-13)]])*1000</f>
        <v>0</v>
      </c>
      <c r="F39" s="127">
        <f>SUMIFS('2.8 Maintenance'!$AM:$AM,'2.8 Maintenance'!$A:$A,OPEX_NonRoutineSpend_5yrHistory[#Headers],'2.8 Maintenance'!$B:$B,OPEX_NonRoutineSpend_5yrHistory[[#This Row],[5 yr Non Routine Maint Spend (2009-13)]])*1000</f>
        <v>0</v>
      </c>
      <c r="G39" s="127">
        <f>SUMIFS('2.8 Maintenance'!$AM:$AM,'2.8 Maintenance'!$A:$A,OPEX_NonRoutineSpend_5yrHistory[#Headers],'2.8 Maintenance'!$B:$B,OPEX_NonRoutineSpend_5yrHistory[[#This Row],[5 yr Non Routine Maint Spend (2009-13)]])*1000</f>
        <v>0</v>
      </c>
      <c r="H39" s="127">
        <f>SUMIFS('2.8 Maintenance'!$AM:$AM,'2.8 Maintenance'!$A:$A,OPEX_NonRoutineSpend_5yrHistory[#Headers],'2.8 Maintenance'!$B:$B,OPEX_NonRoutineSpend_5yrHistory[[#This Row],[5 yr Non Routine Maint Spend (2009-13)]])*1000</f>
        <v>0</v>
      </c>
      <c r="I39" s="127">
        <f>SUMIFS('2.8 Maintenance'!$AM:$AM,'2.8 Maintenance'!$A:$A,OPEX_NonRoutineSpend_5yrHistory[#Headers],'2.8 Maintenance'!$B:$B,OPEX_NonRoutineSpend_5yrHistory[[#This Row],[5 yr Non Routine Maint Spend (2009-13)]])*1000</f>
        <v>0</v>
      </c>
      <c r="J39" s="127">
        <f>SUMIFS('2.8 Maintenance'!$AM:$AM,'2.8 Maintenance'!$A:$A,OPEX_NonRoutineSpend_5yrHistory[#Headers],'2.8 Maintenance'!$B:$B,OPEX_NonRoutineSpend_5yrHistory[[#This Row],[5 yr Non Routine Maint Spend (2009-13)]])*1000</f>
        <v>0</v>
      </c>
      <c r="K39" s="127">
        <f>SUMIFS('2.8 Maintenance'!$AM:$AM,'2.8 Maintenance'!$A:$A,OPEX_NonRoutineSpend_5yrHistory[#Headers],'2.8 Maintenance'!$B:$B,OPEX_NonRoutineSpend_5yrHistory[[#This Row],[5 yr Non Routine Maint Spend (2009-13)]])*1000</f>
        <v>0</v>
      </c>
      <c r="L39" s="163">
        <f>OPEX_NonRoutineSpend_5yrHistory[[#This Row],[AusNet]]+OPEX_NonRoutineSpend_5yrHistory[[#This Row],[Powercor]]</f>
        <v>0</v>
      </c>
      <c r="M39" s="163">
        <f>OPEX_NonRoutineSpend_5yrHistory[[#This Row],[Powercor]]+OPEX_NonRoutineSpend_5yrHistory[[#This Row],[SA Power]]</f>
        <v>0</v>
      </c>
      <c r="N39" s="256">
        <f>OPEX_NonRoutineSpend_5yrHistory[[#This Row],[Essential]]*0.9</f>
        <v>0</v>
      </c>
      <c r="O39" s="257">
        <f>OPEX_NonRoutineSpend_5yrHistory[[#This Row],[Essential -10%]]*(1+DirectCostInc)</f>
        <v>0</v>
      </c>
    </row>
    <row r="40" spans="3:15" s="10" customFormat="1">
      <c r="C40" s="5" t="s">
        <v>720</v>
      </c>
      <c r="D40" s="127">
        <f>SUMIFS('2.8 Maintenance'!$AM:$AM,'2.8 Maintenance'!$A:$A,OPEX_NonRoutineSpend_5yrHistory[#Headers],'2.8 Maintenance'!$B:$B,OPEX_NonRoutineSpend_5yrHistory[[#This Row],[5 yr Non Routine Maint Spend (2009-13)]])*1000</f>
        <v>0</v>
      </c>
      <c r="E40" s="127">
        <f>SUMIFS('2.8 Maintenance'!$AM:$AM,'2.8 Maintenance'!$A:$A,OPEX_NonRoutineSpend_5yrHistory[#Headers],'2.8 Maintenance'!$B:$B,OPEX_NonRoutineSpend_5yrHistory[[#This Row],[5 yr Non Routine Maint Spend (2009-13)]])*1000</f>
        <v>20293389.472999997</v>
      </c>
      <c r="F40" s="127">
        <f>SUMIFS('2.8 Maintenance'!$AM:$AM,'2.8 Maintenance'!$A:$A,OPEX_NonRoutineSpend_5yrHistory[#Headers],'2.8 Maintenance'!$B:$B,OPEX_NonRoutineSpend_5yrHistory[[#This Row],[5 yr Non Routine Maint Spend (2009-13)]])*1000</f>
        <v>0</v>
      </c>
      <c r="G40" s="127">
        <f>SUMIFS('2.8 Maintenance'!$AM:$AM,'2.8 Maintenance'!$A:$A,OPEX_NonRoutineSpend_5yrHistory[#Headers],'2.8 Maintenance'!$B:$B,OPEX_NonRoutineSpend_5yrHistory[[#This Row],[5 yr Non Routine Maint Spend (2009-13)]])*1000</f>
        <v>39685822.861783504</v>
      </c>
      <c r="H40" s="127">
        <f>SUMIFS('2.8 Maintenance'!$AM:$AM,'2.8 Maintenance'!$A:$A,OPEX_NonRoutineSpend_5yrHistory[#Headers],'2.8 Maintenance'!$B:$B,OPEX_NonRoutineSpend_5yrHistory[[#This Row],[5 yr Non Routine Maint Spend (2009-13)]])*1000</f>
        <v>0</v>
      </c>
      <c r="I40" s="127">
        <f>SUMIFS('2.8 Maintenance'!$AM:$AM,'2.8 Maintenance'!$A:$A,OPEX_NonRoutineSpend_5yrHistory[#Headers],'2.8 Maintenance'!$B:$B,OPEX_NonRoutineSpend_5yrHistory[[#This Row],[5 yr Non Routine Maint Spend (2009-13)]])*1000</f>
        <v>0</v>
      </c>
      <c r="J40" s="127">
        <f>SUMIFS('2.8 Maintenance'!$AM:$AM,'2.8 Maintenance'!$A:$A,OPEX_NonRoutineSpend_5yrHistory[#Headers],'2.8 Maintenance'!$B:$B,OPEX_NonRoutineSpend_5yrHistory[[#This Row],[5 yr Non Routine Maint Spend (2009-13)]])*1000</f>
        <v>0</v>
      </c>
      <c r="K40" s="127">
        <f>SUMIFS('2.8 Maintenance'!$AM:$AM,'2.8 Maintenance'!$A:$A,OPEX_NonRoutineSpend_5yrHistory[#Headers],'2.8 Maintenance'!$B:$B,OPEX_NonRoutineSpend_5yrHistory[[#This Row],[5 yr Non Routine Maint Spend (2009-13)]])*1000</f>
        <v>10866182.561176179</v>
      </c>
      <c r="L40" s="163">
        <f>OPEX_NonRoutineSpend_5yrHistory[[#This Row],[AusNet]]+OPEX_NonRoutineSpend_5yrHistory[[#This Row],[Powercor]]</f>
        <v>39685822.861783504</v>
      </c>
      <c r="M40" s="163">
        <f>OPEX_NonRoutineSpend_5yrHistory[[#This Row],[Powercor]]+OPEX_NonRoutineSpend_5yrHistory[[#This Row],[SA Power]]</f>
        <v>50552005.422959685</v>
      </c>
      <c r="N40" s="256">
        <f>OPEX_NonRoutineSpend_5yrHistory[[#This Row],[Essential]]*0.9</f>
        <v>0</v>
      </c>
      <c r="O40" s="257">
        <f>OPEX_NonRoutineSpend_5yrHistory[[#This Row],[Essential -10%]]*(1+DirectCostInc)</f>
        <v>0</v>
      </c>
    </row>
    <row r="41" spans="3:15" s="10" customFormat="1">
      <c r="C41" s="5" t="s">
        <v>6</v>
      </c>
      <c r="D41" s="158">
        <f>SUBTOTAL(109,OPEX_NonRoutineSpend_5yrHistory[Ausgrid])</f>
        <v>162039260</v>
      </c>
      <c r="E41" s="158">
        <f>SUBTOTAL(109,OPEX_NonRoutineSpend_5yrHistory[Ergon])</f>
        <v>146382155.24516001</v>
      </c>
      <c r="F41" s="158">
        <f>SUBTOTAL(109,OPEX_NonRoutineSpend_5yrHistory[Endeavour])</f>
        <v>73382797.512761325</v>
      </c>
      <c r="G41" s="158">
        <f>SUBTOTAL(109,OPEX_NonRoutineSpend_5yrHistory[Powercor])</f>
        <v>112404226.835829</v>
      </c>
      <c r="H41" s="158">
        <f>SUBTOTAL(109,OPEX_NonRoutineSpend_5yrHistory[AusNet])</f>
        <v>61113411.717499994</v>
      </c>
      <c r="I41" s="158">
        <f>SUBTOTAL(109,OPEX_NonRoutineSpend_5yrHistory[Essential (Original)])</f>
        <v>235305098.91847172</v>
      </c>
      <c r="J41" s="158">
        <f>SUBTOTAL(109,OPEX_NonRoutineSpend_5yrHistory[Essential])</f>
        <v>235305098.91847172</v>
      </c>
      <c r="K41" s="158">
        <f>SUBTOTAL(109,OPEX_NonRoutineSpend_5yrHistory[SA Power])</f>
        <v>34535596.417952448</v>
      </c>
      <c r="L41" s="164">
        <f>SUBTOTAL(109,OPEX_NonRoutineSpend_5yrHistory[AusNet + Powercor])</f>
        <v>173517638.55332902</v>
      </c>
      <c r="M41" s="164">
        <f>SUBTOTAL(109,OPEX_NonRoutineSpend_5yrHistory[SA Power + Powercor])</f>
        <v>146939823.25378144</v>
      </c>
      <c r="N41" s="258">
        <f>SUBTOTAL(109,OPEX_NonRoutineSpend_5yrHistory[Essential -10%])</f>
        <v>211774589.02662453</v>
      </c>
      <c r="O41" s="259">
        <f>SUBTOTAL(109,OPEX_NonRoutineSpend_5yrHistory[Essential +16%Dir])</f>
        <v>245658523.27088448</v>
      </c>
    </row>
    <row r="42" spans="3:15" s="10" customFormat="1">
      <c r="C42" s="5"/>
      <c r="D42" s="127"/>
      <c r="E42" s="127"/>
      <c r="F42" s="127"/>
      <c r="G42" s="127"/>
      <c r="H42" s="127"/>
      <c r="I42" s="128"/>
      <c r="J42" s="128"/>
      <c r="K42" s="131"/>
      <c r="L42" s="128"/>
      <c r="M42" s="128"/>
      <c r="N42" s="175"/>
      <c r="O42" s="173"/>
    </row>
    <row r="43" spans="3:15" s="10" customFormat="1" ht="18.75">
      <c r="C43" s="77" t="str">
        <f>C44</f>
        <v>5 yr Maintenance/Inspection Qty (2009-13)</v>
      </c>
      <c r="D43" s="127"/>
      <c r="E43" s="127"/>
      <c r="F43" s="127"/>
      <c r="G43" s="127"/>
      <c r="H43" s="127"/>
      <c r="I43" s="127"/>
      <c r="J43" s="128"/>
      <c r="K43" s="128"/>
      <c r="L43" s="128"/>
      <c r="M43" s="128"/>
      <c r="N43" s="175"/>
      <c r="O43" s="173"/>
    </row>
    <row r="44" spans="3:15" s="128" customFormat="1" ht="30">
      <c r="C44" s="131" t="s">
        <v>1201</v>
      </c>
      <c r="D44" s="131" t="s">
        <v>574</v>
      </c>
      <c r="E44" s="132" t="s">
        <v>1147</v>
      </c>
      <c r="F44" s="131" t="s">
        <v>575</v>
      </c>
      <c r="G44" s="133" t="s">
        <v>310</v>
      </c>
      <c r="H44" s="133" t="s">
        <v>1674</v>
      </c>
      <c r="I44" s="131" t="s">
        <v>1560</v>
      </c>
      <c r="J44" s="131" t="s">
        <v>0</v>
      </c>
      <c r="K44" s="131" t="s">
        <v>1218</v>
      </c>
      <c r="L44" s="131" t="s">
        <v>1675</v>
      </c>
      <c r="M44" s="131" t="s">
        <v>1676</v>
      </c>
      <c r="N44" s="262" t="s">
        <v>1569</v>
      </c>
      <c r="O44" s="131" t="s">
        <v>1677</v>
      </c>
    </row>
    <row r="45" spans="3:15" s="10" customFormat="1">
      <c r="C45" s="5" t="s">
        <v>1189</v>
      </c>
      <c r="D45" s="165">
        <f>SUMIFS('2.8 Maintenance'!$AK:$AK,'2.8 Maintenance'!$A:$A,OPEX_MaintQty_5yrHistory[#Headers],'2.8 Maintenance'!$B:$B,OPEX_MaintQty_5yrHistory[[#This Row],[5 yr Maintenance/Inspection Qty (2009-13)]])*1000</f>
        <v>580550</v>
      </c>
      <c r="E45" s="165">
        <f>SUMIFS('2.8 Maintenance'!$AK:$AK,'2.8 Maintenance'!$A:$A,OPEX_MaintQty_5yrHistory[#Headers],'2.8 Maintenance'!$B:$B,OPEX_MaintQty_5yrHistory[[#This Row],[5 yr Maintenance/Inspection Qty (2009-13)]])*1000</f>
        <v>48430.801078999997</v>
      </c>
      <c r="F45" s="165">
        <f>SUMIFS('2.8 Maintenance'!$AK:$AK,'2.8 Maintenance'!$A:$A,OPEX_MaintQty_5yrHistory[#Headers],'2.8 Maintenance'!$B:$B,OPEX_MaintQty_5yrHistory[[#This Row],[5 yr Maintenance/Inspection Qty (2009-13)]])*1000</f>
        <v>443991.99999999994</v>
      </c>
      <c r="G45" s="165">
        <f>SUMIFS('2.8 Maintenance'!$AK:$AK,'2.8 Maintenance'!$A:$A,OPEX_MaintQty_5yrHistory[#Headers],'2.8 Maintenance'!$B:$B,OPEX_MaintQty_5yrHistory[[#This Row],[5 yr Maintenance/Inspection Qty (2009-13)]])*1000</f>
        <v>104575</v>
      </c>
      <c r="H45" s="165">
        <f>SUMIFS('2.8 Maintenance'!$AK:$AK,'2.8 Maintenance'!$A:$A,OPEX_MaintQty_5yrHistory[#Headers],'2.8 Maintenance'!$B:$B,OPEX_MaintQty_5yrHistory[[#This Row],[5 yr Maintenance/Inspection Qty (2009-13)]])*1000</f>
        <v>307385.75000000006</v>
      </c>
      <c r="I45" s="165">
        <f>SUMIFS('2.8 Maintenance'!$AK:$AK,'2.8 Maintenance'!$A:$A,OPEX_MaintQty_5yrHistory[#Headers],'2.8 Maintenance'!$B:$B,OPEX_MaintQty_5yrHistory[[#This Row],[5 yr Maintenance/Inspection Qty (2009-13)]])*1000</f>
        <v>565194.00000000012</v>
      </c>
      <c r="J45" s="165">
        <f>SUMIFS('2.8 Maintenance'!$AK:$AK,'2.8 Maintenance'!$A:$A,OPEX_MaintQty_5yrHistory[#Headers],'2.8 Maintenance'!$B:$B,OPEX_MaintQty_5yrHistory[[#This Row],[5 yr Maintenance/Inspection Qty (2009-13)]])*1000</f>
        <v>565194.00000000012</v>
      </c>
      <c r="K45" s="165">
        <f>SUMIFS('2.8 Maintenance'!$AK:$AK,'2.8 Maintenance'!$A:$A,OPEX_MaintQty_5yrHistory[#Headers],'2.8 Maintenance'!$B:$B,OPEX_MaintQty_5yrHistory[[#This Row],[5 yr Maintenance/Inspection Qty (2009-13)]])*1000</f>
        <v>16054.000000000002</v>
      </c>
      <c r="L45" s="166">
        <f>OPEX_MaintQty_5yrHistory[[#This Row],[Powercor]]+OPEX_MaintQty_5yrHistory[[#This Row],[AusNet]]</f>
        <v>411960.75000000006</v>
      </c>
      <c r="M45" s="166">
        <f>OPEX_MaintQty_5yrHistory[[#This Row],[Powercor]]+OPEX_MaintQty_5yrHistory[[#This Row],[SA Power]]</f>
        <v>120629</v>
      </c>
      <c r="N45" s="165">
        <f>OPEX_MaintQty_5yrHistory[[#This Row],[Essential]]</f>
        <v>565194.00000000012</v>
      </c>
      <c r="O45" s="165">
        <f>OPEX_MaintQty_5yrHistory[[#This Row],[Essential]]</f>
        <v>565194.00000000012</v>
      </c>
    </row>
    <row r="46" spans="3:15" s="10" customFormat="1">
      <c r="C46" s="5" t="s">
        <v>1190</v>
      </c>
      <c r="D46" s="165">
        <f>SUMIFS('2.8 Maintenance'!$AK:$AK,'2.8 Maintenance'!$A:$A,OPEX_MaintQty_5yrHistory[#Headers],'2.8 Maintenance'!$B:$B,OPEX_MaintQty_5yrHistory[[#This Row],[5 yr Maintenance/Inspection Qty (2009-13)]])*1000</f>
        <v>618180</v>
      </c>
      <c r="E46" s="165">
        <f>SUMIFS('2.8 Maintenance'!$AK:$AK,'2.8 Maintenance'!$A:$A,OPEX_MaintQty_5yrHistory[#Headers],'2.8 Maintenance'!$B:$B,OPEX_MaintQty_5yrHistory[[#This Row],[5 yr Maintenance/Inspection Qty (2009-13)]])*1000</f>
        <v>1312667.5429</v>
      </c>
      <c r="F46" s="165">
        <f>SUMIFS('2.8 Maintenance'!$AK:$AK,'2.8 Maintenance'!$A:$A,OPEX_MaintQty_5yrHistory[#Headers],'2.8 Maintenance'!$B:$B,OPEX_MaintQty_5yrHistory[[#This Row],[5 yr Maintenance/Inspection Qty (2009-13)]])*1000</f>
        <v>443991.99999999994</v>
      </c>
      <c r="G46" s="165">
        <f>SUMIFS('2.8 Maintenance'!$AK:$AK,'2.8 Maintenance'!$A:$A,OPEX_MaintQty_5yrHistory[#Headers],'2.8 Maintenance'!$B:$B,OPEX_MaintQty_5yrHistory[[#This Row],[5 yr Maintenance/Inspection Qty (2009-13)]])*1000</f>
        <v>754544</v>
      </c>
      <c r="H46" s="165">
        <f>SUMIFS('2.8 Maintenance'!$AK:$AK,'2.8 Maintenance'!$A:$A,OPEX_MaintQty_5yrHistory[#Headers],'2.8 Maintenance'!$B:$B,OPEX_MaintQty_5yrHistory[[#This Row],[5 yr Maintenance/Inspection Qty (2009-13)]])*1000</f>
        <v>362497.25</v>
      </c>
      <c r="I46" s="165">
        <f>SUMIFS('2.8 Maintenance'!$AK:$AK,'2.8 Maintenance'!$A:$A,OPEX_MaintQty_5yrHistory[#Headers],'2.8 Maintenance'!$B:$B,OPEX_MaintQty_5yrHistory[[#This Row],[5 yr Maintenance/Inspection Qty (2009-13)]])*1000</f>
        <v>1619954.0000000002</v>
      </c>
      <c r="J46" s="165">
        <f>SUMIFS('2.8 Maintenance'!$AK:$AK,'2.8 Maintenance'!$A:$A,OPEX_MaintQty_5yrHistory[#Headers],'2.8 Maintenance'!$B:$B,OPEX_MaintQty_5yrHistory[[#This Row],[5 yr Maintenance/Inspection Qty (2009-13)]])*1000</f>
        <v>1619954.0000000002</v>
      </c>
      <c r="K46" s="165">
        <f>SUMIFS('2.8 Maintenance'!$AK:$AK,'2.8 Maintenance'!$A:$A,OPEX_MaintQty_5yrHistory[#Headers],'2.8 Maintenance'!$B:$B,OPEX_MaintQty_5yrHistory[[#This Row],[5 yr Maintenance/Inspection Qty (2009-13)]])*1000</f>
        <v>323193</v>
      </c>
      <c r="L46" s="166">
        <f>OPEX_MaintQty_5yrHistory[[#This Row],[Powercor]]+OPEX_MaintQty_5yrHistory[[#This Row],[AusNet]]</f>
        <v>1117041.25</v>
      </c>
      <c r="M46" s="166">
        <f>OPEX_MaintQty_5yrHistory[[#This Row],[Powercor]]+OPEX_MaintQty_5yrHistory[[#This Row],[SA Power]]</f>
        <v>1077737</v>
      </c>
      <c r="N46" s="165">
        <f>OPEX_MaintQty_5yrHistory[[#This Row],[Essential]]</f>
        <v>1619954.0000000002</v>
      </c>
      <c r="O46" s="165">
        <f>OPEX_MaintQty_5yrHistory[[#This Row],[Essential]]</f>
        <v>1619954.0000000002</v>
      </c>
    </row>
    <row r="47" spans="3:15" s="10" customFormat="1">
      <c r="C47" s="5" t="s">
        <v>1191</v>
      </c>
      <c r="D47" s="165">
        <f>SUMIFS('2.8 Maintenance'!$AK:$AK,'2.8 Maintenance'!$A:$A,OPEX_MaintQty_5yrHistory[#Headers],'2.8 Maintenance'!$B:$B,OPEX_MaintQty_5yrHistory[[#This Row],[5 yr Maintenance/Inspection Qty (2009-13)]])*1000</f>
        <v>30034.33</v>
      </c>
      <c r="E47" s="165">
        <f>SUMIFS('2.8 Maintenance'!$AK:$AK,'2.8 Maintenance'!$A:$A,OPEX_MaintQty_5yrHistory[#Headers],'2.8 Maintenance'!$B:$B,OPEX_MaintQty_5yrHistory[[#This Row],[5 yr Maintenance/Inspection Qty (2009-13)]])*1000</f>
        <v>154799.54289000001</v>
      </c>
      <c r="F47" s="165">
        <f>SUMIFS('2.8 Maintenance'!$AK:$AK,'2.8 Maintenance'!$A:$A,OPEX_MaintQty_5yrHistory[#Headers],'2.8 Maintenance'!$B:$B,OPEX_MaintQty_5yrHistory[[#This Row],[5 yr Maintenance/Inspection Qty (2009-13)]])*1000</f>
        <v>41938.372000000003</v>
      </c>
      <c r="G47" s="165">
        <f>SUMIFS('2.8 Maintenance'!$AK:$AK,'2.8 Maintenance'!$A:$A,OPEX_MaintQty_5yrHistory[#Headers],'2.8 Maintenance'!$B:$B,OPEX_MaintQty_5yrHistory[[#This Row],[5 yr Maintenance/Inspection Qty (2009-13)]])*1000</f>
        <v>47956.115918095646</v>
      </c>
      <c r="H47" s="165">
        <f>SUMIFS('2.8 Maintenance'!$AK:$AK,'2.8 Maintenance'!$A:$A,OPEX_MaintQty_5yrHistory[#Headers],'2.8 Maintenance'!$B:$B,OPEX_MaintQty_5yrHistory[[#This Row],[5 yr Maintenance/Inspection Qty (2009-13)]])*1000</f>
        <v>12011</v>
      </c>
      <c r="I47" s="165">
        <f>SUMIFS('2.8 Maintenance'!$AK:$AK,'2.8 Maintenance'!$A:$A,OPEX_MaintQty_5yrHistory[#Headers],'2.8 Maintenance'!$B:$B,OPEX_MaintQty_5yrHistory[[#This Row],[5 yr Maintenance/Inspection Qty (2009-13)]])*1000</f>
        <v>240180</v>
      </c>
      <c r="J47" s="165">
        <f>SUMIFS('2.8 Maintenance'!$AK:$AK,'2.8 Maintenance'!$A:$A,OPEX_MaintQty_5yrHistory[#Headers],'2.8 Maintenance'!$B:$B,OPEX_MaintQty_5yrHistory[[#This Row],[5 yr Maintenance/Inspection Qty (2009-13)]])*1000</f>
        <v>240180</v>
      </c>
      <c r="K47" s="165">
        <f>SUMIFS('2.8 Maintenance'!$AK:$AK,'2.8 Maintenance'!$A:$A,OPEX_MaintQty_5yrHistory[#Headers],'2.8 Maintenance'!$B:$B,OPEX_MaintQty_5yrHistory[[#This Row],[5 yr Maintenance/Inspection Qty (2009-13)]])*1000</f>
        <v>249304.99999999997</v>
      </c>
      <c r="L47" s="166">
        <f>OPEX_MaintQty_5yrHistory[[#This Row],[Powercor]]+OPEX_MaintQty_5yrHistory[[#This Row],[AusNet]]</f>
        <v>59967.115918095646</v>
      </c>
      <c r="M47" s="166">
        <f>OPEX_MaintQty_5yrHistory[[#This Row],[Powercor]]+OPEX_MaintQty_5yrHistory[[#This Row],[SA Power]]</f>
        <v>297261.11591809563</v>
      </c>
      <c r="N47" s="165">
        <f>OPEX_MaintQty_5yrHistory[[#This Row],[Essential]]</f>
        <v>240180</v>
      </c>
      <c r="O47" s="165">
        <f>OPEX_MaintQty_5yrHistory[[#This Row],[Essential]]</f>
        <v>240180</v>
      </c>
    </row>
    <row r="48" spans="3:15" s="10" customFormat="1">
      <c r="C48" s="5" t="s">
        <v>1192</v>
      </c>
      <c r="D48" s="165">
        <f>SUMIFS('2.8 Maintenance'!$AK:$AK,'2.8 Maintenance'!$A:$A,OPEX_MaintQty_5yrHistory[#Headers],'2.8 Maintenance'!$B:$B,OPEX_MaintQty_5yrHistory[[#This Row],[5 yr Maintenance/Inspection Qty (2009-13)]])*1000</f>
        <v>91840</v>
      </c>
      <c r="E48" s="165">
        <f>SUMIFS('2.8 Maintenance'!$AK:$AK,'2.8 Maintenance'!$A:$A,OPEX_MaintQty_5yrHistory[#Headers],'2.8 Maintenance'!$B:$B,OPEX_MaintQty_5yrHistory[[#This Row],[5 yr Maintenance/Inspection Qty (2009-13)]])*1000</f>
        <v>724.54288199999996</v>
      </c>
      <c r="F48" s="165">
        <f>SUMIFS('2.8 Maintenance'!$AK:$AK,'2.8 Maintenance'!$A:$A,OPEX_MaintQty_5yrHistory[#Headers],'2.8 Maintenance'!$B:$B,OPEX_MaintQty_5yrHistory[[#This Row],[5 yr Maintenance/Inspection Qty (2009-13)]])*1000</f>
        <v>209.99999999999997</v>
      </c>
      <c r="G48" s="165">
        <f>SUMIFS('2.8 Maintenance'!$AK:$AK,'2.8 Maintenance'!$A:$A,OPEX_MaintQty_5yrHistory[#Headers],'2.8 Maintenance'!$B:$B,OPEX_MaintQty_5yrHistory[[#This Row],[5 yr Maintenance/Inspection Qty (2009-13)]])*1000</f>
        <v>34</v>
      </c>
      <c r="H48" s="165">
        <f>SUMIFS('2.8 Maintenance'!$AK:$AK,'2.8 Maintenance'!$A:$A,OPEX_MaintQty_5yrHistory[#Headers],'2.8 Maintenance'!$B:$B,OPEX_MaintQty_5yrHistory[[#This Row],[5 yr Maintenance/Inspection Qty (2009-13)]])*1000</f>
        <v>0</v>
      </c>
      <c r="I48" s="165">
        <f>SUMIFS('2.8 Maintenance'!$AK:$AK,'2.8 Maintenance'!$A:$A,OPEX_MaintQty_5yrHistory[#Headers],'2.8 Maintenance'!$B:$B,OPEX_MaintQty_5yrHistory[[#This Row],[5 yr Maintenance/Inspection Qty (2009-13)]])*1000</f>
        <v>16827</v>
      </c>
      <c r="J48" s="165">
        <f>SUMIFS('2.8 Maintenance'!$AK:$AK,'2.8 Maintenance'!$A:$A,OPEX_MaintQty_5yrHistory[#Headers],'2.8 Maintenance'!$B:$B,OPEX_MaintQty_5yrHistory[[#This Row],[5 yr Maintenance/Inspection Qty (2009-13)]])*1000</f>
        <v>16827</v>
      </c>
      <c r="K48" s="165">
        <f>SUMIFS('2.8 Maintenance'!$AK:$AK,'2.8 Maintenance'!$A:$A,OPEX_MaintQty_5yrHistory[#Headers],'2.8 Maintenance'!$B:$B,OPEX_MaintQty_5yrHistory[[#This Row],[5 yr Maintenance/Inspection Qty (2009-13)]])*1000</f>
        <v>8780.9999999999982</v>
      </c>
      <c r="L48" s="166">
        <f>OPEX_MaintQty_5yrHistory[[#This Row],[Powercor]]+OPEX_MaintQty_5yrHistory[[#This Row],[AusNet]]</f>
        <v>34</v>
      </c>
      <c r="M48" s="166">
        <f>OPEX_MaintQty_5yrHistory[[#This Row],[Powercor]]+OPEX_MaintQty_5yrHistory[[#This Row],[SA Power]]</f>
        <v>8814.9999999999982</v>
      </c>
      <c r="N48" s="165">
        <f>OPEX_MaintQty_5yrHistory[[#This Row],[Essential]]</f>
        <v>16827</v>
      </c>
      <c r="O48" s="165">
        <f>OPEX_MaintQty_5yrHistory[[#This Row],[Essential]]</f>
        <v>16827</v>
      </c>
    </row>
    <row r="49" spans="3:15" s="10" customFormat="1">
      <c r="C49" s="5" t="s">
        <v>1381</v>
      </c>
      <c r="D49" s="165">
        <f>SUMIFS('2.8 Maintenance'!$AK:$AK,'2.8 Maintenance'!$A:$A,OPEX_MaintQty_5yrHistory[#Headers],'2.8 Maintenance'!$B:$B,OPEX_MaintQty_5yrHistory[[#This Row],[5 yr Maintenance/Inspection Qty (2009-13)]])*1000</f>
        <v>63800</v>
      </c>
      <c r="E49" s="165">
        <f>SUMIFS('2.8 Maintenance'!$AK:$AK,'2.8 Maintenance'!$A:$A,OPEX_MaintQty_5yrHistory[#Headers],'2.8 Maintenance'!$B:$B,OPEX_MaintQty_5yrHistory[[#This Row],[5 yr Maintenance/Inspection Qty (2009-13)]])*1000</f>
        <v>96678.36671799999</v>
      </c>
      <c r="F49" s="165">
        <f>SUMIFS('2.8 Maintenance'!$AK:$AK,'2.8 Maintenance'!$A:$A,OPEX_MaintQty_5yrHistory[#Headers],'2.8 Maintenance'!$B:$B,OPEX_MaintQty_5yrHistory[[#This Row],[5 yr Maintenance/Inspection Qty (2009-13)]])*1000</f>
        <v>352499</v>
      </c>
      <c r="G49" s="165">
        <f>SUMIFS('2.8 Maintenance'!$AK:$AK,'2.8 Maintenance'!$A:$A,OPEX_MaintQty_5yrHistory[#Headers],'2.8 Maintenance'!$B:$B,OPEX_MaintQty_5yrHistory[[#This Row],[5 yr Maintenance/Inspection Qty (2009-13)]])*1000</f>
        <v>1380</v>
      </c>
      <c r="H49" s="165">
        <f>SUMIFS('2.8 Maintenance'!$AK:$AK,'2.8 Maintenance'!$A:$A,OPEX_MaintQty_5yrHistory[#Headers],'2.8 Maintenance'!$B:$B,OPEX_MaintQty_5yrHistory[[#This Row],[5 yr Maintenance/Inspection Qty (2009-13)]])*1000</f>
        <v>22028</v>
      </c>
      <c r="I49" s="165">
        <f>SUMIFS('2.8 Maintenance'!$AK:$AK,'2.8 Maintenance'!$A:$A,OPEX_MaintQty_5yrHistory[#Headers],'2.8 Maintenance'!$B:$B,OPEX_MaintQty_5yrHistory[[#This Row],[5 yr Maintenance/Inspection Qty (2009-13)]])*1000</f>
        <v>56911</v>
      </c>
      <c r="J49" s="165">
        <f>SUMIFS('2.8 Maintenance'!$AK:$AK,'2.8 Maintenance'!$A:$A,OPEX_MaintQty_5yrHistory[#Headers],'2.8 Maintenance'!$B:$B,OPEX_MaintQty_5yrHistory[[#This Row],[5 yr Maintenance/Inspection Qty (2009-13)]])*1000</f>
        <v>56941</v>
      </c>
      <c r="K49" s="165">
        <f>SUMIFS('2.8 Maintenance'!$AK:$AK,'2.8 Maintenance'!$A:$A,OPEX_MaintQty_5yrHistory[#Headers],'2.8 Maintenance'!$B:$B,OPEX_MaintQty_5yrHistory[[#This Row],[5 yr Maintenance/Inspection Qty (2009-13)]])*1000</f>
        <v>25503.999999999996</v>
      </c>
      <c r="L49" s="166">
        <f>OPEX_MaintQty_5yrHistory[[#This Row],[Powercor]]+OPEX_MaintQty_5yrHistory[[#This Row],[AusNet]]</f>
        <v>23408</v>
      </c>
      <c r="M49" s="166">
        <f>OPEX_MaintQty_5yrHistory[[#This Row],[Powercor]]+OPEX_MaintQty_5yrHistory[[#This Row],[SA Power]]</f>
        <v>26883.999999999996</v>
      </c>
      <c r="N49" s="165">
        <f>OPEX_MaintQty_5yrHistory[[#This Row],[Essential]]</f>
        <v>56941</v>
      </c>
      <c r="O49" s="165">
        <f>OPEX_MaintQty_5yrHistory[[#This Row],[Essential]]</f>
        <v>56941</v>
      </c>
    </row>
    <row r="50" spans="3:15" s="10" customFormat="1">
      <c r="C50" s="5" t="s">
        <v>1380</v>
      </c>
      <c r="D50" s="165">
        <f>SUMIFS('2.8 Maintenance'!$AK:$AK,'2.8 Maintenance'!$A:$A,OPEX_MaintQty_5yrHistory[#Headers],'2.8 Maintenance'!$B:$B,OPEX_MaintQty_5yrHistory[[#This Row],[5 yr Maintenance/Inspection Qty (2009-13)]])*1000</f>
        <v>76610</v>
      </c>
      <c r="E50" s="165">
        <f>SUMIFS('2.8 Maintenance'!$AK:$AK,'2.8 Maintenance'!$A:$A,OPEX_MaintQty_5yrHistory[#Headers],'2.8 Maintenance'!$B:$B,OPEX_MaintQty_5yrHistory[[#This Row],[5 yr Maintenance/Inspection Qty (2009-13)]])*1000</f>
        <v>44971.448573999995</v>
      </c>
      <c r="F50" s="165">
        <f>SUMIFS('2.8 Maintenance'!$AK:$AK,'2.8 Maintenance'!$A:$A,OPEX_MaintQty_5yrHistory[#Headers],'2.8 Maintenance'!$B:$B,OPEX_MaintQty_5yrHistory[[#This Row],[5 yr Maintenance/Inspection Qty (2009-13)]])*1000</f>
        <v>7916</v>
      </c>
      <c r="G50" s="165">
        <f>SUMIFS('2.8 Maintenance'!$AK:$AK,'2.8 Maintenance'!$A:$A,OPEX_MaintQty_5yrHistory[#Headers],'2.8 Maintenance'!$B:$B,OPEX_MaintQty_5yrHistory[[#This Row],[5 yr Maintenance/Inspection Qty (2009-13)]])*1000</f>
        <v>2934</v>
      </c>
      <c r="H50" s="165">
        <f>SUMIFS('2.8 Maintenance'!$AK:$AK,'2.8 Maintenance'!$A:$A,OPEX_MaintQty_5yrHistory[#Headers],'2.8 Maintenance'!$B:$B,OPEX_MaintQty_5yrHistory[[#This Row],[5 yr Maintenance/Inspection Qty (2009-13)]])*1000</f>
        <v>13476</v>
      </c>
      <c r="I50" s="165">
        <f>SUMIFS('2.8 Maintenance'!$AK:$AK,'2.8 Maintenance'!$A:$A,OPEX_MaintQty_5yrHistory[#Headers],'2.8 Maintenance'!$B:$B,OPEX_MaintQty_5yrHistory[[#This Row],[5 yr Maintenance/Inspection Qty (2009-13)]])*1000</f>
        <v>44192.000000000007</v>
      </c>
      <c r="J50" s="165">
        <f>SUMIFS('2.8 Maintenance'!$AK:$AK,'2.8 Maintenance'!$A:$A,OPEX_MaintQty_5yrHistory[#Headers],'2.8 Maintenance'!$B:$B,OPEX_MaintQty_5yrHistory[[#This Row],[5 yr Maintenance/Inspection Qty (2009-13)]])*1000</f>
        <v>44192.000000000007</v>
      </c>
      <c r="K50" s="165">
        <f>SUMIFS('2.8 Maintenance'!$AK:$AK,'2.8 Maintenance'!$A:$A,OPEX_MaintQty_5yrHistory[#Headers],'2.8 Maintenance'!$B:$B,OPEX_MaintQty_5yrHistory[[#This Row],[5 yr Maintenance/Inspection Qty (2009-13)]])*1000</f>
        <v>10186</v>
      </c>
      <c r="L50" s="166">
        <f>OPEX_MaintQty_5yrHistory[[#This Row],[Powercor]]+OPEX_MaintQty_5yrHistory[[#This Row],[AusNet]]</f>
        <v>16410</v>
      </c>
      <c r="M50" s="166">
        <f>OPEX_MaintQty_5yrHistory[[#This Row],[Powercor]]+OPEX_MaintQty_5yrHistory[[#This Row],[SA Power]]</f>
        <v>13120</v>
      </c>
      <c r="N50" s="165">
        <f>OPEX_MaintQty_5yrHistory[[#This Row],[Essential]]</f>
        <v>44192.000000000007</v>
      </c>
      <c r="O50" s="165">
        <f>OPEX_MaintQty_5yrHistory[[#This Row],[Essential]]</f>
        <v>44192.000000000007</v>
      </c>
    </row>
    <row r="51" spans="3:15" s="10" customFormat="1">
      <c r="C51" s="5" t="s">
        <v>1194</v>
      </c>
      <c r="D51" s="165">
        <f>SUMIFS('2.8 Maintenance'!$AK:$AK,'2.8 Maintenance'!$A:$A,OPEX_MaintQty_5yrHistory[#Headers],'2.8 Maintenance'!$B:$B,OPEX_MaintQty_5yrHistory[[#This Row],[5 yr Maintenance/Inspection Qty (2009-13)]])*1000</f>
        <v>0</v>
      </c>
      <c r="E51" s="165">
        <f>SUMIFS('2.8 Maintenance'!$AK:$AK,'2.8 Maintenance'!$A:$A,OPEX_MaintQty_5yrHistory[#Headers],'2.8 Maintenance'!$B:$B,OPEX_MaintQty_5yrHistory[[#This Row],[5 yr Maintenance/Inspection Qty (2009-13)]])*1000</f>
        <v>4806.4582019999998</v>
      </c>
      <c r="F51" s="165">
        <f>SUMIFS('2.8 Maintenance'!$AK:$AK,'2.8 Maintenance'!$A:$A,OPEX_MaintQty_5yrHistory[#Headers],'2.8 Maintenance'!$B:$B,OPEX_MaintQty_5yrHistory[[#This Row],[5 yr Maintenance/Inspection Qty (2009-13)]])*1000</f>
        <v>448000</v>
      </c>
      <c r="G51" s="165">
        <f>SUMIFS('2.8 Maintenance'!$AK:$AK,'2.8 Maintenance'!$A:$A,OPEX_MaintQty_5yrHistory[#Headers],'2.8 Maintenance'!$B:$B,OPEX_MaintQty_5yrHistory[[#This Row],[5 yr Maintenance/Inspection Qty (2009-13)]])*1000</f>
        <v>9.0000000000000018</v>
      </c>
      <c r="H51" s="165">
        <f>SUMIFS('2.8 Maintenance'!$AK:$AK,'2.8 Maintenance'!$A:$A,OPEX_MaintQty_5yrHistory[#Headers],'2.8 Maintenance'!$B:$B,OPEX_MaintQty_5yrHistory[[#This Row],[5 yr Maintenance/Inspection Qty (2009-13)]])*1000</f>
        <v>7002.0000000000009</v>
      </c>
      <c r="I51" s="165">
        <f>SUMIFS('2.8 Maintenance'!$AK:$AK,'2.8 Maintenance'!$A:$A,OPEX_MaintQty_5yrHistory[#Headers],'2.8 Maintenance'!$B:$B,OPEX_MaintQty_5yrHistory[[#This Row],[5 yr Maintenance/Inspection Qty (2009-13)]])*1000</f>
        <v>3147</v>
      </c>
      <c r="J51" s="165">
        <f>SUMIFS('2.8 Maintenance'!$AK:$AK,'2.8 Maintenance'!$A:$A,OPEX_MaintQty_5yrHistory[#Headers],'2.8 Maintenance'!$B:$B,OPEX_MaintQty_5yrHistory[[#This Row],[5 yr Maintenance/Inspection Qty (2009-13)]])*1000</f>
        <v>3147</v>
      </c>
      <c r="K51" s="165">
        <f>SUMIFS('2.8 Maintenance'!$AK:$AK,'2.8 Maintenance'!$A:$A,OPEX_MaintQty_5yrHistory[#Headers],'2.8 Maintenance'!$B:$B,OPEX_MaintQty_5yrHistory[[#This Row],[5 yr Maintenance/Inspection Qty (2009-13)]])*1000</f>
        <v>51.999999999999993</v>
      </c>
      <c r="L51" s="166">
        <f>OPEX_MaintQty_5yrHistory[[#This Row],[Powercor]]+OPEX_MaintQty_5yrHistory[[#This Row],[AusNet]]</f>
        <v>7011.0000000000009</v>
      </c>
      <c r="M51" s="166">
        <f>OPEX_MaintQty_5yrHistory[[#This Row],[Powercor]]+OPEX_MaintQty_5yrHistory[[#This Row],[SA Power]]</f>
        <v>60.999999999999993</v>
      </c>
      <c r="N51" s="165">
        <f>OPEX_MaintQty_5yrHistory[[#This Row],[Essential]]</f>
        <v>3147</v>
      </c>
      <c r="O51" s="165">
        <f>OPEX_MaintQty_5yrHistory[[#This Row],[Essential]]</f>
        <v>3147</v>
      </c>
    </row>
    <row r="52" spans="3:15" s="10" customFormat="1">
      <c r="C52" s="5" t="s">
        <v>1195</v>
      </c>
      <c r="D52" s="165">
        <f>SUMIFS('2.8 Maintenance'!$AK:$AK,'2.8 Maintenance'!$A:$A,OPEX_MaintQty_5yrHistory[#Headers],'2.8 Maintenance'!$B:$B,OPEX_MaintQty_5yrHistory[[#This Row],[5 yr Maintenance/Inspection Qty (2009-13)]])*1000</f>
        <v>0</v>
      </c>
      <c r="E52" s="165">
        <f>SUMIFS('2.8 Maintenance'!$AK:$AK,'2.8 Maintenance'!$A:$A,OPEX_MaintQty_5yrHistory[#Headers],'2.8 Maintenance'!$B:$B,OPEX_MaintQty_5yrHistory[[#This Row],[5 yr Maintenance/Inspection Qty (2009-13)]])*1000</f>
        <v>5866.1417300000003</v>
      </c>
      <c r="F52" s="165">
        <f>SUMIFS('2.8 Maintenance'!$AK:$AK,'2.8 Maintenance'!$A:$A,OPEX_MaintQty_5yrHistory[#Headers],'2.8 Maintenance'!$B:$B,OPEX_MaintQty_5yrHistory[[#This Row],[5 yr Maintenance/Inspection Qty (2009-13)]])*1000</f>
        <v>7728</v>
      </c>
      <c r="G52" s="165">
        <f>SUMIFS('2.8 Maintenance'!$AK:$AK,'2.8 Maintenance'!$A:$A,OPEX_MaintQty_5yrHistory[#Headers],'2.8 Maintenance'!$B:$B,OPEX_MaintQty_5yrHistory[[#This Row],[5 yr Maintenance/Inspection Qty (2009-13)]])*1000</f>
        <v>2816</v>
      </c>
      <c r="H52" s="165">
        <f>SUMIFS('2.8 Maintenance'!$AK:$AK,'2.8 Maintenance'!$A:$A,OPEX_MaintQty_5yrHistory[#Headers],'2.8 Maintenance'!$B:$B,OPEX_MaintQty_5yrHistory[[#This Row],[5 yr Maintenance/Inspection Qty (2009-13)]])*1000</f>
        <v>5275.666666666667</v>
      </c>
      <c r="I52" s="165">
        <f>SUMIFS('2.8 Maintenance'!$AK:$AK,'2.8 Maintenance'!$A:$A,OPEX_MaintQty_5yrHistory[#Headers],'2.8 Maintenance'!$B:$B,OPEX_MaintQty_5yrHistory[[#This Row],[5 yr Maintenance/Inspection Qty (2009-13)]])*1000</f>
        <v>11807.000000000002</v>
      </c>
      <c r="J52" s="165">
        <f>SUMIFS('2.8 Maintenance'!$AK:$AK,'2.8 Maintenance'!$A:$A,OPEX_MaintQty_5yrHistory[#Headers],'2.8 Maintenance'!$B:$B,OPEX_MaintQty_5yrHistory[[#This Row],[5 yr Maintenance/Inspection Qty (2009-13)]])*1000</f>
        <v>11807.000000000002</v>
      </c>
      <c r="K52" s="165">
        <f>SUMIFS('2.8 Maintenance'!$AK:$AK,'2.8 Maintenance'!$A:$A,OPEX_MaintQty_5yrHistory[#Headers],'2.8 Maintenance'!$B:$B,OPEX_MaintQty_5yrHistory[[#This Row],[5 yr Maintenance/Inspection Qty (2009-13)]])*1000</f>
        <v>2919</v>
      </c>
      <c r="L52" s="166">
        <f>OPEX_MaintQty_5yrHistory[[#This Row],[Powercor]]+OPEX_MaintQty_5yrHistory[[#This Row],[AusNet]]</f>
        <v>8091.666666666667</v>
      </c>
      <c r="M52" s="166">
        <f>OPEX_MaintQty_5yrHistory[[#This Row],[Powercor]]+OPEX_MaintQty_5yrHistory[[#This Row],[SA Power]]</f>
        <v>5735</v>
      </c>
      <c r="N52" s="165">
        <f>OPEX_MaintQty_5yrHistory[[#This Row],[Essential]]</f>
        <v>11807.000000000002</v>
      </c>
      <c r="O52" s="165">
        <f>OPEX_MaintQty_5yrHistory[[#This Row],[Essential]]</f>
        <v>11807.000000000002</v>
      </c>
    </row>
    <row r="53" spans="3:15" s="10" customFormat="1">
      <c r="C53" s="5" t="s">
        <v>1196</v>
      </c>
      <c r="D53" s="165">
        <f>SUMIFS('2.8 Maintenance'!$AK:$AK,'2.8 Maintenance'!$A:$A,OPEX_MaintQty_5yrHistory[#Headers],'2.8 Maintenance'!$B:$B,OPEX_MaintQty_5yrHistory[[#This Row],[5 yr Maintenance/Inspection Qty (2009-13)]])*1000</f>
        <v>20880</v>
      </c>
      <c r="E53" s="165">
        <f>SUMIFS('2.8 Maintenance'!$AK:$AK,'2.8 Maintenance'!$A:$A,OPEX_MaintQty_5yrHistory[#Headers],'2.8 Maintenance'!$B:$B,OPEX_MaintQty_5yrHistory[[#This Row],[5 yr Maintenance/Inspection Qty (2009-13)]])*1000</f>
        <v>0</v>
      </c>
      <c r="F53" s="165">
        <f>SUMIFS('2.8 Maintenance'!$AK:$AK,'2.8 Maintenance'!$A:$A,OPEX_MaintQty_5yrHistory[#Headers],'2.8 Maintenance'!$B:$B,OPEX_MaintQty_5yrHistory[[#This Row],[5 yr Maintenance/Inspection Qty (2009-13)]])*1000</f>
        <v>0</v>
      </c>
      <c r="G53" s="165">
        <f>SUMIFS('2.8 Maintenance'!$AK:$AK,'2.8 Maintenance'!$A:$A,OPEX_MaintQty_5yrHistory[#Headers],'2.8 Maintenance'!$B:$B,OPEX_MaintQty_5yrHistory[[#This Row],[5 yr Maintenance/Inspection Qty (2009-13)]])*1000</f>
        <v>0</v>
      </c>
      <c r="H53" s="165">
        <f>SUMIFS('2.8 Maintenance'!$AK:$AK,'2.8 Maintenance'!$A:$A,OPEX_MaintQty_5yrHistory[#Headers],'2.8 Maintenance'!$B:$B,OPEX_MaintQty_5yrHistory[[#This Row],[5 yr Maintenance/Inspection Qty (2009-13)]])*1000</f>
        <v>0</v>
      </c>
      <c r="I53" s="165">
        <f>SUMIFS('2.8 Maintenance'!$AK:$AK,'2.8 Maintenance'!$A:$A,OPEX_MaintQty_5yrHistory[#Headers],'2.8 Maintenance'!$B:$B,OPEX_MaintQty_5yrHistory[[#This Row],[5 yr Maintenance/Inspection Qty (2009-13)]])*1000</f>
        <v>0</v>
      </c>
      <c r="J53" s="165">
        <f>SUMIFS('2.8 Maintenance'!$AK:$AK,'2.8 Maintenance'!$A:$A,OPEX_MaintQty_5yrHistory[#Headers],'2.8 Maintenance'!$B:$B,OPEX_MaintQty_5yrHistory[[#This Row],[5 yr Maintenance/Inspection Qty (2009-13)]])*1000</f>
        <v>0</v>
      </c>
      <c r="K53" s="165">
        <f>SUMIFS('2.8 Maintenance'!$AK:$AK,'2.8 Maintenance'!$A:$A,OPEX_MaintQty_5yrHistory[#Headers],'2.8 Maintenance'!$B:$B,OPEX_MaintQty_5yrHistory[[#This Row],[5 yr Maintenance/Inspection Qty (2009-13)]])*1000</f>
        <v>0</v>
      </c>
      <c r="L53" s="166">
        <f>OPEX_MaintQty_5yrHistory[[#This Row],[Powercor]]+OPEX_MaintQty_5yrHistory[[#This Row],[AusNet]]</f>
        <v>0</v>
      </c>
      <c r="M53" s="166">
        <f>OPEX_MaintQty_5yrHistory[[#This Row],[Powercor]]+OPEX_MaintQty_5yrHistory[[#This Row],[SA Power]]</f>
        <v>0</v>
      </c>
      <c r="N53" s="165">
        <f>OPEX_MaintQty_5yrHistory[[#This Row],[Essential]]</f>
        <v>0</v>
      </c>
      <c r="O53" s="165">
        <f>OPEX_MaintQty_5yrHistory[[#This Row],[Essential]]</f>
        <v>0</v>
      </c>
    </row>
    <row r="54" spans="3:15" s="10" customFormat="1">
      <c r="C54" s="5" t="s">
        <v>720</v>
      </c>
      <c r="D54" s="165">
        <f>SUMIFS('2.8 Maintenance'!$AK:$AK,'2.8 Maintenance'!$A:$A,OPEX_MaintQty_5yrHistory[#Headers],'2.8 Maintenance'!$B:$B,OPEX_MaintQty_5yrHistory[[#This Row],[5 yr Maintenance/Inspection Qty (2009-13)]])*1000</f>
        <v>0</v>
      </c>
      <c r="E54" s="165">
        <f>SUMIFS('2.8 Maintenance'!$AK:$AK,'2.8 Maintenance'!$A:$A,OPEX_MaintQty_5yrHistory[#Headers],'2.8 Maintenance'!$B:$B,OPEX_MaintQty_5yrHistory[[#This Row],[5 yr Maintenance/Inspection Qty (2009-13)]])*1000</f>
        <v>1101.960343</v>
      </c>
      <c r="F54" s="165">
        <f>SUMIFS('2.8 Maintenance'!$AK:$AK,'2.8 Maintenance'!$A:$A,OPEX_MaintQty_5yrHistory[#Headers],'2.8 Maintenance'!$B:$B,OPEX_MaintQty_5yrHistory[[#This Row],[5 yr Maintenance/Inspection Qty (2009-13)]])*1000</f>
        <v>0</v>
      </c>
      <c r="G54" s="165">
        <f>SUMIFS('2.8 Maintenance'!$AK:$AK,'2.8 Maintenance'!$A:$A,OPEX_MaintQty_5yrHistory[#Headers],'2.8 Maintenance'!$B:$B,OPEX_MaintQty_5yrHistory[[#This Row],[5 yr Maintenance/Inspection Qty (2009-13)]])*1000</f>
        <v>0</v>
      </c>
      <c r="H54" s="165">
        <f>SUMIFS('2.8 Maintenance'!$AK:$AK,'2.8 Maintenance'!$A:$A,OPEX_MaintQty_5yrHistory[#Headers],'2.8 Maintenance'!$B:$B,OPEX_MaintQty_5yrHistory[[#This Row],[5 yr Maintenance/Inspection Qty (2009-13)]])*1000</f>
        <v>0</v>
      </c>
      <c r="I54" s="165">
        <f>SUMIFS('2.8 Maintenance'!$AK:$AK,'2.8 Maintenance'!$A:$A,OPEX_MaintQty_5yrHistory[#Headers],'2.8 Maintenance'!$B:$B,OPEX_MaintQty_5yrHistory[[#This Row],[5 yr Maintenance/Inspection Qty (2009-13)]])*1000</f>
        <v>2134413.9999999995</v>
      </c>
      <c r="J54" s="165">
        <f>SUMIFS('2.8 Maintenance'!$AK:$AK,'2.8 Maintenance'!$A:$A,OPEX_MaintQty_5yrHistory[#Headers],'2.8 Maintenance'!$B:$B,OPEX_MaintQty_5yrHistory[[#This Row],[5 yr Maintenance/Inspection Qty (2009-13)]])*1000</f>
        <v>2134413.9999999995</v>
      </c>
      <c r="K54" s="165">
        <f>SUMIFS('2.8 Maintenance'!$AK:$AK,'2.8 Maintenance'!$A:$A,OPEX_MaintQty_5yrHistory[#Headers],'2.8 Maintenance'!$B:$B,OPEX_MaintQty_5yrHistory[[#This Row],[5 yr Maintenance/Inspection Qty (2009-13)]])*1000</f>
        <v>937546.99999999988</v>
      </c>
      <c r="L54" s="166">
        <f>OPEX_MaintQty_5yrHistory[[#This Row],[Powercor]]+OPEX_MaintQty_5yrHistory[[#This Row],[AusNet]]</f>
        <v>0</v>
      </c>
      <c r="M54" s="166">
        <f>OPEX_MaintQty_5yrHistory[[#This Row],[Powercor]]+OPEX_MaintQty_5yrHistory[[#This Row],[SA Power]]</f>
        <v>937546.99999999988</v>
      </c>
      <c r="N54" s="165">
        <f>OPEX_MaintQty_5yrHistory[[#This Row],[Essential]]</f>
        <v>2134413.9999999995</v>
      </c>
      <c r="O54" s="165">
        <f>OPEX_MaintQty_5yrHistory[[#This Row],[Essential]]</f>
        <v>2134413.9999999995</v>
      </c>
    </row>
    <row r="55" spans="3:15" s="10" customFormat="1">
      <c r="C55" s="5" t="s">
        <v>6</v>
      </c>
      <c r="D55" s="167">
        <f>SUBTOTAL(109,OPEX_MaintQty_5yrHistory[Ausgrid])</f>
        <v>1481894.33</v>
      </c>
      <c r="E55" s="167">
        <f>SUBTOTAL(109,OPEX_MaintQty_5yrHistory[Ergon])</f>
        <v>1670046.8053180003</v>
      </c>
      <c r="F55" s="167">
        <f>SUBTOTAL(109,OPEX_MaintQty_5yrHistory[Endeavour])</f>
        <v>1746275.372</v>
      </c>
      <c r="G55" s="167">
        <f>SUBTOTAL(109,OPEX_MaintQty_5yrHistory[Powercor])</f>
        <v>914248.11591809569</v>
      </c>
      <c r="H55" s="167">
        <f>SUBTOTAL(109,OPEX_MaintQty_5yrHistory[AusNet])</f>
        <v>729675.66666666663</v>
      </c>
      <c r="I55" s="167">
        <f>SUBTOTAL(109,OPEX_MaintQty_5yrHistory[Essential (Original)])</f>
        <v>4692626</v>
      </c>
      <c r="J55" s="167">
        <f>SUBTOTAL(109,OPEX_MaintQty_5yrHistory[Essential])</f>
        <v>4692656</v>
      </c>
      <c r="K55" s="167">
        <f>SUBTOTAL(109,OPEX_MaintQty_5yrHistory[SA Power])</f>
        <v>1573541</v>
      </c>
      <c r="L55" s="168">
        <f>SUBTOTAL(109,OPEX_MaintQty_5yrHistory[AusNet + Powercor])</f>
        <v>1643923.7825847624</v>
      </c>
      <c r="M55" s="168">
        <f>SUBTOTAL(109,OPEX_MaintQty_5yrHistory[SA Power + Powercor])</f>
        <v>2487789.1159180957</v>
      </c>
      <c r="N55" s="167">
        <f>SUBTOTAL(109,OPEX_MaintQty_5yrHistory[Essential -10%])</f>
        <v>4692656</v>
      </c>
      <c r="O55" s="167">
        <f>SUBTOTAL(109,OPEX_MaintQty_5yrHistory[Essential +16%Dir])</f>
        <v>4692656</v>
      </c>
    </row>
    <row r="56" spans="3:15" s="10" customFormat="1">
      <c r="C56" s="5"/>
      <c r="D56" s="127"/>
      <c r="E56" s="127"/>
      <c r="F56" s="127"/>
      <c r="G56" s="127"/>
      <c r="H56" s="127"/>
      <c r="I56" s="128"/>
      <c r="J56" s="128"/>
      <c r="K56" s="131"/>
      <c r="L56" s="128"/>
      <c r="M56" s="128"/>
      <c r="N56" s="175"/>
      <c r="O56" s="173"/>
    </row>
    <row r="57" spans="3:15" s="10" customFormat="1" ht="18.75">
      <c r="C57" s="77" t="s">
        <v>1202</v>
      </c>
      <c r="D57" s="127"/>
      <c r="E57" s="127"/>
      <c r="F57" s="127"/>
      <c r="G57" s="127"/>
      <c r="H57" s="127"/>
      <c r="I57" s="127"/>
      <c r="J57" s="128"/>
      <c r="K57" s="128"/>
      <c r="L57" s="128"/>
      <c r="M57" s="128"/>
      <c r="N57" s="175"/>
      <c r="O57" s="173"/>
    </row>
    <row r="58" spans="3:15" s="128" customFormat="1" ht="30">
      <c r="C58" s="131" t="s">
        <v>1334</v>
      </c>
      <c r="D58" s="131" t="s">
        <v>574</v>
      </c>
      <c r="E58" s="132" t="s">
        <v>1147</v>
      </c>
      <c r="F58" s="131" t="s">
        <v>575</v>
      </c>
      <c r="G58" s="133" t="s">
        <v>310</v>
      </c>
      <c r="H58" s="133" t="s">
        <v>1674</v>
      </c>
      <c r="I58" s="131" t="s">
        <v>1560</v>
      </c>
      <c r="J58" s="131" t="s">
        <v>0</v>
      </c>
      <c r="K58" s="131" t="s">
        <v>1218</v>
      </c>
      <c r="L58" s="131" t="s">
        <v>1675</v>
      </c>
      <c r="M58" s="131" t="s">
        <v>1676</v>
      </c>
      <c r="N58" s="262" t="s">
        <v>1569</v>
      </c>
      <c r="O58" s="131" t="s">
        <v>1677</v>
      </c>
    </row>
    <row r="59" spans="3:15" s="10" customFormat="1">
      <c r="C59" s="5" t="s">
        <v>1189</v>
      </c>
      <c r="D59"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120.35052967014039</v>
      </c>
      <c r="E59"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1408.9898185101215</v>
      </c>
      <c r="F59"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0</v>
      </c>
      <c r="G59"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559.7699306611529</v>
      </c>
      <c r="H59"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187.51998617372467</v>
      </c>
      <c r="I59"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381.71443787442888</v>
      </c>
      <c r="J59"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381.71443787442888</v>
      </c>
      <c r="K59"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166.93067396900022</v>
      </c>
      <c r="L59"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282.01451737547825</v>
      </c>
      <c r="M59"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507.48862660544637</v>
      </c>
      <c r="N59"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343.54299408698597</v>
      </c>
      <c r="O59"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398.50987314090372</v>
      </c>
    </row>
    <row r="60" spans="3:15" s="10" customFormat="1">
      <c r="C60" s="5" t="s">
        <v>1190</v>
      </c>
      <c r="D60"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76.480911708563866</v>
      </c>
      <c r="E60"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90.091437500263638</v>
      </c>
      <c r="F60"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88.375722985999758</v>
      </c>
      <c r="G60"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53.508036005253956</v>
      </c>
      <c r="H60"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48.454599080959483</v>
      </c>
      <c r="I60"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30.127532021047301</v>
      </c>
      <c r="J60"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30.127532021047301</v>
      </c>
      <c r="K60"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36.373178287922876</v>
      </c>
      <c r="L60"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51.868117167784703</v>
      </c>
      <c r="M60"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48.369615342107579</v>
      </c>
      <c r="N60"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27.114778818942568</v>
      </c>
      <c r="O60"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31.453143429973377</v>
      </c>
    </row>
    <row r="61" spans="3:15" s="10" customFormat="1">
      <c r="C61" s="5" t="s">
        <v>1191</v>
      </c>
      <c r="D61"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603.35023288350362</v>
      </c>
      <c r="E61"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44.455515800134542</v>
      </c>
      <c r="F61"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1286.9712729653311</v>
      </c>
      <c r="G61"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44.67317690321142</v>
      </c>
      <c r="H61"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1817.5555676712731</v>
      </c>
      <c r="I61"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87.086856299960132</v>
      </c>
      <c r="J61"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87.086856299960132</v>
      </c>
      <c r="K61"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100.40371341821142</v>
      </c>
      <c r="L61"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399.76930032857524</v>
      </c>
      <c r="M61"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91.412897175607426</v>
      </c>
      <c r="N61"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78.378170669964135</v>
      </c>
      <c r="O61"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90.918677977158382</v>
      </c>
    </row>
    <row r="62" spans="3:15" s="10" customFormat="1">
      <c r="C62" s="5" t="s">
        <v>1192</v>
      </c>
      <c r="D62"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309.89296602787459</v>
      </c>
      <c r="E62"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1953.6042861849553</v>
      </c>
      <c r="F62"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43761.461161084364</v>
      </c>
      <c r="G62"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7531.4705882352937</v>
      </c>
      <c r="H62" s="12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I62"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332.84186129434835</v>
      </c>
      <c r="J62"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332.84186129434835</v>
      </c>
      <c r="K62"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87.560370639587546</v>
      </c>
      <c r="L62"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152904.41794117645</v>
      </c>
      <c r="M62"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116.2719925792647</v>
      </c>
      <c r="N62"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299.55767516491352</v>
      </c>
      <c r="O62"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347.48690319129963</v>
      </c>
    </row>
    <row r="63" spans="3:15" s="10" customFormat="1">
      <c r="C63" s="5" t="s">
        <v>1381</v>
      </c>
      <c r="D63"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980.61896551724135</v>
      </c>
      <c r="E63"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316.40928093457995</v>
      </c>
      <c r="F63"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60.597390857846406</v>
      </c>
      <c r="G63"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10537.339045744939</v>
      </c>
      <c r="H63"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118.31698747049211</v>
      </c>
      <c r="I63"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18.722461387078074</v>
      </c>
      <c r="J63"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18.712597249784871</v>
      </c>
      <c r="K63"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155.74673869037551</v>
      </c>
      <c r="L63"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732.56213615550303</v>
      </c>
      <c r="M63"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688.65097108642146</v>
      </c>
      <c r="N63"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16.841337524806381</v>
      </c>
      <c r="O63"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19.535951528775403</v>
      </c>
    </row>
    <row r="64" spans="3:15" s="10" customFormat="1">
      <c r="C64" s="5" t="s">
        <v>1380</v>
      </c>
      <c r="D64"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896.3371622503588</v>
      </c>
      <c r="E64"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1760.4218203353801</v>
      </c>
      <c r="F64"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6334.9153385548252</v>
      </c>
      <c r="G64"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8529.6213689299657</v>
      </c>
      <c r="H64"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838.68960745028198</v>
      </c>
      <c r="I64"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1754.9552023346876</v>
      </c>
      <c r="J64"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1754.9552023346876</v>
      </c>
      <c r="K64"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2832.5803647925845</v>
      </c>
      <c r="L64"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2213.7775896673079</v>
      </c>
      <c r="M64"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4106.5985283702576</v>
      </c>
      <c r="N64"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1579.459682101219</v>
      </c>
      <c r="O64"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1832.1732312374138</v>
      </c>
    </row>
    <row r="65" spans="3:15" s="10" customFormat="1">
      <c r="C65" s="5" t="s">
        <v>1194</v>
      </c>
      <c r="D65" s="12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E65"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1355.6614254584963</v>
      </c>
      <c r="F65"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0</v>
      </c>
      <c r="G65"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4967.8224316055002</v>
      </c>
      <c r="H65"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60.134432447872022</v>
      </c>
      <c r="I65"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791.8258563711471</v>
      </c>
      <c r="J65"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791.8258563711471</v>
      </c>
      <c r="K65"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4182.8897565559992</v>
      </c>
      <c r="L65"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66.434417042426105</v>
      </c>
      <c r="M65"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4298.699495497729</v>
      </c>
      <c r="N65"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712.64327073403228</v>
      </c>
      <c r="O65"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826.66619405147753</v>
      </c>
    </row>
    <row r="66" spans="3:15" s="10" customFormat="1">
      <c r="C66" s="5" t="s">
        <v>1195</v>
      </c>
      <c r="D66" s="12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E66"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1599.1970817929762</v>
      </c>
      <c r="F66"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76.028123706004138</v>
      </c>
      <c r="G66"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2400.3110525097654</v>
      </c>
      <c r="H66"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76.409760030327931</v>
      </c>
      <c r="I66"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158.782755992208</v>
      </c>
      <c r="J66"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158.782755992208</v>
      </c>
      <c r="K66"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1519.1839459907628</v>
      </c>
      <c r="L66"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885.15612949958791</v>
      </c>
      <c r="M66" s="163">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1951.8350239258127</v>
      </c>
      <c r="N66"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142.90448039298718</v>
      </c>
      <c r="O66" s="25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165.76919725586512</v>
      </c>
    </row>
    <row r="67" spans="3:15" s="10" customFormat="1">
      <c r="C67" s="5" t="s">
        <v>1196</v>
      </c>
      <c r="D67" s="127">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1442.4027777777778</v>
      </c>
      <c r="E67" s="12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F67" s="12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G67" s="12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H67" s="12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I67" s="12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J67" s="12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K67" s="12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L67" s="163"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M67" s="163"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N67" s="25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c r="O67" s="257" t="str">
        <f>IFERROR(VLOOKUP(OPEX_NonRoutineSpend_5yrHistory7162224[[#This Row],[Category]],OPEX_TotalSpend_5yrHistory[#All],MATCH(OPEX_NonRoutineSpend_5yrHistory7162224[#Headers],OPEX_TotalSpend_5yrHistory[#Headers],0),FALSE)/VLOOKUP(OPEX_NonRoutineSpend_5yrHistory7162224[[#This Row],[Category]],OPEX_MaintQty_5yrHistory[#All],MATCH(OPEX_NonRoutineSpend_5yrHistory7162224[#Headers],OPEX_MaintQty_5yrHistory[#Headers],0),FALSE),"")</f>
        <v/>
      </c>
    </row>
    <row r="68" spans="3:15" s="10" customFormat="1">
      <c r="C68" s="5"/>
      <c r="D68" s="31"/>
      <c r="E68" s="31"/>
      <c r="F68" s="31"/>
      <c r="G68" s="31"/>
      <c r="H68" s="31"/>
      <c r="I68" s="31"/>
      <c r="J68" s="31"/>
      <c r="K68" s="131"/>
      <c r="L68" s="128"/>
      <c r="M68" s="128"/>
      <c r="N68" s="175"/>
      <c r="O68" s="173"/>
    </row>
    <row r="69" spans="3:15" s="10" customFormat="1">
      <c r="C69" s="5"/>
      <c r="D69" s="127"/>
      <c r="E69" s="127"/>
      <c r="F69" s="127"/>
      <c r="G69" s="127"/>
      <c r="H69" s="127"/>
      <c r="I69" s="128"/>
      <c r="J69" s="128"/>
      <c r="K69" s="131"/>
      <c r="L69" s="128"/>
      <c r="M69" s="128"/>
      <c r="N69" s="175"/>
      <c r="O69" s="173"/>
    </row>
    <row r="70" spans="3:15" s="10" customFormat="1" ht="18.75">
      <c r="C70" s="77" t="s">
        <v>1566</v>
      </c>
      <c r="D70" s="127"/>
      <c r="E70" s="127"/>
      <c r="F70" s="127"/>
      <c r="G70" s="127"/>
      <c r="H70" s="127"/>
      <c r="I70" s="128"/>
      <c r="J70" s="128"/>
      <c r="K70" s="131"/>
      <c r="L70" s="134"/>
      <c r="M70" s="128"/>
      <c r="N70" s="175"/>
      <c r="O70" s="173"/>
    </row>
    <row r="71" spans="3:15" s="128" customFormat="1" ht="30">
      <c r="C71" s="131" t="s">
        <v>1388</v>
      </c>
      <c r="D71" s="131" t="s">
        <v>574</v>
      </c>
      <c r="E71" s="132" t="s">
        <v>1147</v>
      </c>
      <c r="F71" s="131" t="s">
        <v>575</v>
      </c>
      <c r="G71" s="133" t="s">
        <v>310</v>
      </c>
      <c r="H71" s="133" t="s">
        <v>1674</v>
      </c>
      <c r="I71" s="131" t="s">
        <v>1560</v>
      </c>
      <c r="J71" s="131" t="s">
        <v>0</v>
      </c>
      <c r="K71" s="131" t="s">
        <v>1218</v>
      </c>
      <c r="L71" s="131" t="s">
        <v>1675</v>
      </c>
      <c r="M71" s="131" t="s">
        <v>1676</v>
      </c>
      <c r="N71" s="262" t="s">
        <v>1569</v>
      </c>
      <c r="O71" s="131" t="s">
        <v>1677</v>
      </c>
    </row>
    <row r="72" spans="3:15" s="10" customFormat="1">
      <c r="C72" s="76" t="s">
        <v>1214</v>
      </c>
      <c r="D72"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65342124</v>
      </c>
      <c r="E72"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74694021.498132408</v>
      </c>
      <c r="F72"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34899351.136552259</v>
      </c>
      <c r="G72"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39724573.33310847</v>
      </c>
      <c r="H72"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23342322.421999998</v>
      </c>
      <c r="I72"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84362601.994480461</v>
      </c>
      <c r="J72"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84362601.994480461</v>
      </c>
      <c r="K72"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20270171.631245203</v>
      </c>
      <c r="L72"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63066895.755108476</v>
      </c>
      <c r="M72"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59994744.964353681</v>
      </c>
      <c r="N72"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75926341.795032412</v>
      </c>
      <c r="O72"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88074556.482237577</v>
      </c>
    </row>
    <row r="73" spans="3:15" s="10" customFormat="1">
      <c r="C73" s="5" t="s">
        <v>1</v>
      </c>
      <c r="D73"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139.35223576932347</v>
      </c>
      <c r="E73"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74.344083895237532</v>
      </c>
      <c r="F73"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114.11654863467069</v>
      </c>
      <c r="G73"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72.54742037615209</v>
      </c>
      <c r="H73"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62.723392696971892</v>
      </c>
      <c r="I73"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60.9629933629856</v>
      </c>
      <c r="J73"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64.114528602117218</v>
      </c>
      <c r="K73"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27.402899831210927</v>
      </c>
      <c r="L73"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68.572290685048259</v>
      </c>
      <c r="M73"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46.605968700071841</v>
      </c>
      <c r="N73"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57.703075741905494</v>
      </c>
      <c r="O73"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66.935567860610362</v>
      </c>
    </row>
    <row r="74" spans="3:15" s="10" customFormat="1">
      <c r="C74" s="233" t="s">
        <v>1572</v>
      </c>
      <c r="D74"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115.4137633193377</v>
      </c>
      <c r="E74"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67.89084559105963</v>
      </c>
      <c r="F74"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106.71386347567366</v>
      </c>
      <c r="G74"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71.733998001687041</v>
      </c>
      <c r="H74"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61.490221737538313</v>
      </c>
      <c r="I74"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60.653257020388907</v>
      </c>
      <c r="J74"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60.909639232525961</v>
      </c>
      <c r="K74"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26.620554759960914</v>
      </c>
      <c r="L74"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67.594697324810582</v>
      </c>
      <c r="M74"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45.669126188817195</v>
      </c>
      <c r="N74"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54.81867530927336</v>
      </c>
      <c r="O74"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63.589663358757086</v>
      </c>
    </row>
    <row r="75" spans="3:15" s="10" customFormat="1">
      <c r="C75" s="5" t="s">
        <v>718</v>
      </c>
      <c r="D75"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2535.151835566091</v>
      </c>
      <c r="E75"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483.25781970058938</v>
      </c>
      <c r="F75"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1224.8516870444446</v>
      </c>
      <c r="G75"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577.03057144591787</v>
      </c>
      <c r="H75"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607.11602879662189</v>
      </c>
      <c r="I75"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461.52617936272088</v>
      </c>
      <c r="J75"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455.31185090368047</v>
      </c>
      <c r="K75"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284.83744071785179</v>
      </c>
      <c r="L75"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587.81173866756876</v>
      </c>
      <c r="M75"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428.51216091436561</v>
      </c>
      <c r="N75"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409.7806658133124</v>
      </c>
      <c r="O75"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475.34557234344226</v>
      </c>
    </row>
    <row r="76" spans="3:15" s="10" customFormat="1">
      <c r="C76" s="5" t="s">
        <v>1211</v>
      </c>
      <c r="D76"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1611.6694652930441</v>
      </c>
      <c r="E76"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458.97394812368623</v>
      </c>
      <c r="F76"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787.70834452411407</v>
      </c>
      <c r="G76"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529.03861674603945</v>
      </c>
      <c r="H76"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523.17834577809583</v>
      </c>
      <c r="I76"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443.41132659948613</v>
      </c>
      <c r="J76"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436.156383372535</v>
      </c>
      <c r="K76"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230.6170494191272</v>
      </c>
      <c r="L76"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526.8543728297592</v>
      </c>
      <c r="M76"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368.10294886368445</v>
      </c>
      <c r="N76"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392.54074503528153</v>
      </c>
      <c r="O76"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455.34726424092645</v>
      </c>
    </row>
    <row r="77" spans="3:15" s="10" customFormat="1">
      <c r="C77" s="233" t="s">
        <v>1570</v>
      </c>
      <c r="D77"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2365.7087248907496</v>
      </c>
      <c r="E77"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480.08273007646</v>
      </c>
      <c r="F77"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1145.3961522062521</v>
      </c>
      <c r="G77"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570.560740056589</v>
      </c>
      <c r="H77"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595.17984640075508</v>
      </c>
      <c r="I77"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459.18129071925688</v>
      </c>
      <c r="J77"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452.82590428069437</v>
      </c>
      <c r="K77"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276.70541201922214</v>
      </c>
      <c r="L77"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579.43166492275975</v>
      </c>
      <c r="M77"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419.89849146104615</v>
      </c>
      <c r="N77"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407.54331385262492</v>
      </c>
      <c r="O77"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472.75024406904475</v>
      </c>
    </row>
    <row r="78" spans="3:15" s="10" customFormat="1">
      <c r="C78" s="5" t="s">
        <v>4</v>
      </c>
      <c r="D78"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2015.7989819527995</v>
      </c>
      <c r="E78"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770.16849684620558</v>
      </c>
      <c r="F78"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1174.2320627351792</v>
      </c>
      <c r="G78"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472.10226912327045</v>
      </c>
      <c r="H78"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399.83423127783487</v>
      </c>
      <c r="I78"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623.19092570458054</v>
      </c>
      <c r="J78"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619.7436326499942</v>
      </c>
      <c r="K78"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272.79687277094683</v>
      </c>
      <c r="L78"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442.50018070716845</v>
      </c>
      <c r="M78"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378.6375740102726</v>
      </c>
      <c r="N78"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557.7692693849948</v>
      </c>
      <c r="O78"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647.01235248659373</v>
      </c>
    </row>
    <row r="79" spans="3:15" s="10" customFormat="1">
      <c r="C79" s="58" t="s">
        <v>3</v>
      </c>
      <c r="D79" s="127"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c r="E79" s="127"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c r="F79" s="127"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c r="G79" s="127"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c r="H79" s="127"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c r="I79" s="127"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c r="J79" s="127"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c r="K79" s="127"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c r="L79" s="163"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c r="M79" s="163"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c r="N79" s="257"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c r="O79" s="257" t="str">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
      </c>
    </row>
    <row r="80" spans="3:15" s="10" customFormat="1">
      <c r="C80" s="75" t="s">
        <v>1213</v>
      </c>
      <c r="D80"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65.107546419510527</v>
      </c>
      <c r="E80"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42.909024507161973</v>
      </c>
      <c r="F80"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52.80670054148753</v>
      </c>
      <c r="G80"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32.631244074600197</v>
      </c>
      <c r="H80"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33.747658380106962</v>
      </c>
      <c r="I80"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36.120021275915171</v>
      </c>
      <c r="J80"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36.004916744213546</v>
      </c>
      <c r="K80" s="12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21.809769890326891</v>
      </c>
      <c r="L80"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33.035734573959687</v>
      </c>
      <c r="M80" s="163">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27.946304946469464</v>
      </c>
      <c r="N80"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32.40442506979219</v>
      </c>
      <c r="O80" s="257">
        <f>IFERROR(VLOOKUP("Total",OPEX_TotalSpend_5yrHistory[#All],MATCH(NormalisedOPEX_TotalSpend_5yrHistory29[#Headers],OPEX_TotalSpend_5yrHistory[#Headers],0),FALSE)/5/VLOOKUP(NormalisedOPEX_TotalSpend_5yrHistory29[[#This Row],[Normalised by]],Network_Size_Comparison[#All],MATCH(NormalisedOPEX_TotalSpend_5yrHistory29[#Headers],Network_Size_Comparison[#Headers],0),FALSE),"")</f>
        <v>37.589133080958931</v>
      </c>
    </row>
    <row r="81" spans="3:15" s="10" customFormat="1">
      <c r="C81" s="44"/>
      <c r="D81" s="31"/>
      <c r="E81" s="31"/>
      <c r="F81" s="31"/>
      <c r="G81" s="31"/>
      <c r="H81" s="31"/>
      <c r="I81" s="31"/>
      <c r="J81" s="31"/>
      <c r="K81" s="31"/>
      <c r="L81" s="131"/>
      <c r="M81" s="128"/>
      <c r="N81" s="175"/>
      <c r="O81" s="173"/>
    </row>
    <row r="82" spans="3:15" s="10" customFormat="1" ht="18.75">
      <c r="C82" s="77" t="s">
        <v>1565</v>
      </c>
      <c r="D82" s="127"/>
      <c r="E82" s="127"/>
      <c r="F82" s="127"/>
      <c r="G82" s="127"/>
      <c r="H82" s="127"/>
      <c r="I82" s="128"/>
      <c r="J82" s="128"/>
      <c r="K82" s="131"/>
      <c r="L82" s="131"/>
      <c r="M82" s="128"/>
      <c r="N82" s="175"/>
      <c r="O82" s="173"/>
    </row>
    <row r="83" spans="3:15" s="128" customFormat="1" ht="30">
      <c r="C83" s="131" t="s">
        <v>1388</v>
      </c>
      <c r="D83" s="131" t="s">
        <v>574</v>
      </c>
      <c r="E83" s="132" t="s">
        <v>1147</v>
      </c>
      <c r="F83" s="131" t="s">
        <v>575</v>
      </c>
      <c r="G83" s="133" t="s">
        <v>310</v>
      </c>
      <c r="H83" s="133" t="s">
        <v>1674</v>
      </c>
      <c r="I83" s="131" t="s">
        <v>1560</v>
      </c>
      <c r="J83" s="131" t="s">
        <v>0</v>
      </c>
      <c r="K83" s="131" t="s">
        <v>1218</v>
      </c>
      <c r="L83" s="31" t="s">
        <v>1675</v>
      </c>
      <c r="M83" s="131" t="s">
        <v>1676</v>
      </c>
      <c r="N83" s="262" t="s">
        <v>1569</v>
      </c>
      <c r="O83" s="131" t="s">
        <v>1677</v>
      </c>
    </row>
    <row r="84" spans="3:15" s="10" customFormat="1">
      <c r="C84" s="76" t="s">
        <v>1214</v>
      </c>
      <c r="D84"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32934272</v>
      </c>
      <c r="E84"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45417590.449100398</v>
      </c>
      <c r="F84"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20222791.633999996</v>
      </c>
      <c r="G84"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17243727.965942681</v>
      </c>
      <c r="H84"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11119640.078500001</v>
      </c>
      <c r="I84"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37301582.210786104</v>
      </c>
      <c r="J84"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37301582.210786104</v>
      </c>
      <c r="K84"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13363052.347654711</v>
      </c>
      <c r="L84"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28363368.044442683</v>
      </c>
      <c r="M84"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30606780.313597392</v>
      </c>
      <c r="N84"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33571423.989707492</v>
      </c>
      <c r="O84"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38942851.828060687</v>
      </c>
    </row>
    <row r="85" spans="3:15" s="10" customFormat="1">
      <c r="C85" s="5" t="s">
        <v>1</v>
      </c>
      <c r="D85"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70.237454121249996</v>
      </c>
      <c r="E85"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45.204811401831975</v>
      </c>
      <c r="F85"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66.126019821987938</v>
      </c>
      <c r="G85"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31.491539785894112</v>
      </c>
      <c r="H85"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29.879698287235961</v>
      </c>
      <c r="I85"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26.955262817685441</v>
      </c>
      <c r="J85"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28.348738694832392</v>
      </c>
      <c r="K85"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18.065282898619202</v>
      </c>
      <c r="L85"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30.839334885021522</v>
      </c>
      <c r="M85"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23.77639318498705</v>
      </c>
      <c r="N85"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25.513864825349152</v>
      </c>
      <c r="O85"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29.596083197405012</v>
      </c>
    </row>
    <row r="86" spans="3:15" s="10" customFormat="1">
      <c r="C86" s="233" t="s">
        <v>1572</v>
      </c>
      <c r="D86"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58.17178936060742</v>
      </c>
      <c r="E86"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41.280929295994</v>
      </c>
      <c r="F86"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61.836456989809442</v>
      </c>
      <c r="G86"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31.138447657526402</v>
      </c>
      <c r="H86"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29.29224957599564</v>
      </c>
      <c r="I86"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26.818310478925259</v>
      </c>
      <c r="J86"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26.931671872923502</v>
      </c>
      <c r="K86"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17.549524160546724</v>
      </c>
      <c r="L86"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30.399677281103717</v>
      </c>
      <c r="M86"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23.298455776511581</v>
      </c>
      <c r="N86"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24.238504685631153</v>
      </c>
      <c r="O86"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28.116665435332134</v>
      </c>
    </row>
    <row r="87" spans="3:15" s="10" customFormat="1">
      <c r="C87" s="5" t="s">
        <v>718</v>
      </c>
      <c r="D87"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1277.7879720260228</v>
      </c>
      <c r="E87"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293.84420996846922</v>
      </c>
      <c r="F87"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709.75303674658005</v>
      </c>
      <c r="G87"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250.47866766520798</v>
      </c>
      <c r="H87"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289.2133697778068</v>
      </c>
      <c r="I87"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204.06739852636247</v>
      </c>
      <c r="J87"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201.3196847477513</v>
      </c>
      <c r="K87"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187.77826355537508</v>
      </c>
      <c r="L87"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264.35930427607167</v>
      </c>
      <c r="M87"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218.60877279507534</v>
      </c>
      <c r="N87"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181.18771627297616</v>
      </c>
      <c r="O87"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210.17775087665234</v>
      </c>
    </row>
    <row r="88" spans="3:15" s="10" customFormat="1">
      <c r="C88" s="5" t="s">
        <v>1211</v>
      </c>
      <c r="D88"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812.32683137229628</v>
      </c>
      <c r="E88"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279.07843739822522</v>
      </c>
      <c r="F88"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456.44578483266173</v>
      </c>
      <c r="G88"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229.64621706947517</v>
      </c>
      <c r="H88"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249.22776734651026</v>
      </c>
      <c r="I88"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196.05777514338175</v>
      </c>
      <c r="J88"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192.84994543191306</v>
      </c>
      <c r="K88"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152.03362653817638</v>
      </c>
      <c r="L88"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236.94466492246934</v>
      </c>
      <c r="M88"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187.7905489114456</v>
      </c>
      <c r="N88"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173.56495088872174</v>
      </c>
      <c r="O88"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201.33534303091722</v>
      </c>
    </row>
    <row r="89" spans="3:15" s="10" customFormat="1">
      <c r="C89" s="233" t="s">
        <v>1570</v>
      </c>
      <c r="D89"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1192.3838689162465</v>
      </c>
      <c r="E89"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291.91360136960691</v>
      </c>
      <c r="F89"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663.71170151046783</v>
      </c>
      <c r="G89"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247.67022938375462</v>
      </c>
      <c r="H89"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283.52730093881792</v>
      </c>
      <c r="I89"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203.03058773056657</v>
      </c>
      <c r="J89"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200.22050406654128</v>
      </c>
      <c r="K89"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182.41724702481389</v>
      </c>
      <c r="L89"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260.59049477597296</v>
      </c>
      <c r="M89"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214.21444311156162</v>
      </c>
      <c r="N89"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180.19845365988715</v>
      </c>
      <c r="O89"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209.03020624546906</v>
      </c>
    </row>
    <row r="90" spans="3:15" s="10" customFormat="1">
      <c r="C90" s="5" t="s">
        <v>4</v>
      </c>
      <c r="D90"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1016.0194971463828</v>
      </c>
      <c r="E90"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468.29982728182375</v>
      </c>
      <c r="F90"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680.42096948285712</v>
      </c>
      <c r="G90"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204.93116521609005</v>
      </c>
      <c r="H90"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190.47002532545395</v>
      </c>
      <c r="I90"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275.54872655191701</v>
      </c>
      <c r="J90"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274.02447905077025</v>
      </c>
      <c r="K90"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179.84055376697009</v>
      </c>
      <c r="L90"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199.00766217930092</v>
      </c>
      <c r="M90"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193.16486890796025</v>
      </c>
      <c r="N90"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246.62203114569323</v>
      </c>
      <c r="O90"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286.08155612900413</v>
      </c>
    </row>
    <row r="91" spans="3:15" s="10" customFormat="1">
      <c r="C91" s="58" t="s">
        <v>3</v>
      </c>
      <c r="D91" s="127"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c r="E91" s="127"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c r="F91" s="127"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c r="G91" s="127"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c r="H91" s="127"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c r="I91" s="127"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c r="J91" s="127"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c r="K91" s="127"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c r="L91" s="163"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c r="M91" s="163"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c r="N91" s="257"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c r="O91" s="257" t="str">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
      </c>
    </row>
    <row r="92" spans="3:15" s="10" customFormat="1">
      <c r="C92" s="75" t="s">
        <v>1213</v>
      </c>
      <c r="D92"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32.816038288452113</v>
      </c>
      <c r="E92"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26.090769549547165</v>
      </c>
      <c r="F92"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30.599391311062522</v>
      </c>
      <c r="G92"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14.164640392593348</v>
      </c>
      <c r="H92"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16.076455799671493</v>
      </c>
      <c r="I92"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15.970749019417919</v>
      </c>
      <c r="J92"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15.919854653305512</v>
      </c>
      <c r="K92" s="12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14.378028071824383</v>
      </c>
      <c r="L92"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14.857314398003176</v>
      </c>
      <c r="M92" s="163">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14.257022287228679</v>
      </c>
      <c r="N92"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14.32786918797496</v>
      </c>
      <c r="O92" s="257">
        <f>IFERROR(HLOOKUP(NormalisedOPEX_RoutineSpend_5yrHistory[#Headers],OPEX_RoutineSpend_5yrHistory[#All],MATCH("Total",OPEX_RoutineSpend_5yrHistory[[#All],[5 yr Routine Maint Spend (2009-13)]],0),FALSE)/5/VLOOKUP(NormalisedOPEX_RoutineSpend_5yrHistory[[#This Row],[Normalised by]],Network_Size_Comparison[#All],MATCH(NormalisedOPEX_RoutineSpend_5yrHistory[#Headers],Network_Size_Comparison[#Headers],0),FALSE),"")</f>
        <v>16.620328258050954</v>
      </c>
    </row>
    <row r="93" spans="3:15" s="10" customFormat="1">
      <c r="C93" s="58"/>
      <c r="D93" s="127"/>
      <c r="E93" s="127"/>
      <c r="F93" s="127"/>
      <c r="G93" s="127"/>
      <c r="H93" s="127"/>
      <c r="I93" s="127"/>
      <c r="J93" s="163"/>
      <c r="K93" s="31"/>
      <c r="L93" s="128"/>
      <c r="M93" s="128"/>
      <c r="N93" s="175"/>
      <c r="O93" s="173"/>
    </row>
    <row r="94" spans="3:15" s="10" customFormat="1" ht="18.75">
      <c r="C94" s="77" t="s">
        <v>1564</v>
      </c>
      <c r="D94" s="127"/>
      <c r="E94" s="127"/>
      <c r="F94" s="127"/>
      <c r="G94" s="127"/>
      <c r="H94" s="127"/>
      <c r="I94" s="128"/>
      <c r="J94" s="128"/>
      <c r="K94" s="131"/>
      <c r="L94" s="128"/>
      <c r="M94" s="128"/>
      <c r="N94" s="175"/>
      <c r="O94" s="173"/>
    </row>
    <row r="95" spans="3:15" s="128" customFormat="1" ht="30">
      <c r="C95" s="131" t="s">
        <v>1388</v>
      </c>
      <c r="D95" s="131" t="s">
        <v>574</v>
      </c>
      <c r="E95" s="132" t="s">
        <v>1147</v>
      </c>
      <c r="F95" s="131" t="s">
        <v>575</v>
      </c>
      <c r="G95" s="133" t="s">
        <v>310</v>
      </c>
      <c r="H95" s="133" t="s">
        <v>1674</v>
      </c>
      <c r="I95" s="131" t="s">
        <v>1560</v>
      </c>
      <c r="J95" s="131" t="s">
        <v>0</v>
      </c>
      <c r="K95" s="131" t="s">
        <v>1218</v>
      </c>
      <c r="L95" s="131" t="s">
        <v>1675</v>
      </c>
      <c r="M95" s="131" t="s">
        <v>1676</v>
      </c>
      <c r="N95" s="262" t="s">
        <v>1569</v>
      </c>
      <c r="O95" s="131" t="s">
        <v>1677</v>
      </c>
    </row>
    <row r="96" spans="3:15" s="10" customFormat="1">
      <c r="C96" s="76" t="s">
        <v>1214</v>
      </c>
      <c r="D96"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32407852</v>
      </c>
      <c r="E96"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29276431.049032003</v>
      </c>
      <c r="F96"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14676559.502552265</v>
      </c>
      <c r="G96"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22480845.3671658</v>
      </c>
      <c r="H96"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12222682.343499999</v>
      </c>
      <c r="I96"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47061019.783694342</v>
      </c>
      <c r="J96"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47061019.783694342</v>
      </c>
      <c r="K96"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6907119.28359049</v>
      </c>
      <c r="L96"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34703527.710665807</v>
      </c>
      <c r="M96"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29387964.650756288</v>
      </c>
      <c r="N96"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42354917.805324905</v>
      </c>
      <c r="O96"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49131704.654176898</v>
      </c>
    </row>
    <row r="97" spans="3:15" s="10" customFormat="1">
      <c r="C97" s="5" t="s">
        <v>1</v>
      </c>
      <c r="D97"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69.11478164807346</v>
      </c>
      <c r="E97"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29.139272493405542</v>
      </c>
      <c r="F97"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47.990528812682754</v>
      </c>
      <c r="G97"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41.055880590257999</v>
      </c>
      <c r="H97"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32.843694409735939</v>
      </c>
      <c r="I97"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34.007730545300142</v>
      </c>
      <c r="J97"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35.76578990728482</v>
      </c>
      <c r="K97"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9.3376169325917218</v>
      </c>
      <c r="L97" s="163">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37.732955800026758</v>
      </c>
      <c r="M97" s="163">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22.829575515084791</v>
      </c>
      <c r="N97"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32.189210916556334</v>
      </c>
      <c r="O97"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37.339484663205354</v>
      </c>
    </row>
    <row r="98" spans="3:15" s="10" customFormat="1">
      <c r="C98" s="233" t="s">
        <v>1572</v>
      </c>
      <c r="D98"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57.241973958730284</v>
      </c>
      <c r="E98"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26.609916295065624</v>
      </c>
      <c r="F98"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44.877406485864228</v>
      </c>
      <c r="G98"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40.595550344160664</v>
      </c>
      <c r="H98"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32.19797216154268</v>
      </c>
      <c r="I98"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33.834946541463637</v>
      </c>
      <c r="J98"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33.977967359602445</v>
      </c>
      <c r="K98"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9.0710305994141862</v>
      </c>
      <c r="L98" s="235">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37.195020043706876</v>
      </c>
      <c r="M98" s="235">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22.370670412305611</v>
      </c>
      <c r="N98"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30.580170623642196</v>
      </c>
      <c r="O98"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35.472997923424956</v>
      </c>
    </row>
    <row r="99" spans="3:15" s="10" customFormat="1">
      <c r="C99" s="233" t="s">
        <v>718</v>
      </c>
      <c r="D99"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1257.3638635400682</v>
      </c>
      <c r="E99"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189.41360973212016</v>
      </c>
      <c r="F99"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515.09865029786465</v>
      </c>
      <c r="G99"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326.55190378071001</v>
      </c>
      <c r="H99"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317.90265901881509</v>
      </c>
      <c r="I99"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257.4587808363583</v>
      </c>
      <c r="J99"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253.99216615592908</v>
      </c>
      <c r="K99" s="234">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97.059177162476672</v>
      </c>
      <c r="L99" s="235">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323.45243439149721</v>
      </c>
      <c r="M99" s="235">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209.9033881192903</v>
      </c>
      <c r="N99"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228.59294954033615</v>
      </c>
      <c r="O99"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265.16782146678997</v>
      </c>
    </row>
    <row r="100" spans="3:15">
      <c r="C100" s="5" t="s">
        <v>1211</v>
      </c>
      <c r="D100"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799.34263392074774</v>
      </c>
      <c r="E100"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179.89551072546098</v>
      </c>
      <c r="F100"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331.2625596914524</v>
      </c>
      <c r="G100"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299.39239967656442</v>
      </c>
      <c r="H100"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273.95057843158554</v>
      </c>
      <c r="I100"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247.3535514561043</v>
      </c>
      <c r="J100"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243.30643794062189</v>
      </c>
      <c r="K100"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78.58342288095082</v>
      </c>
      <c r="L100" s="163">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289.90970790728994</v>
      </c>
      <c r="M100" s="163">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180.31239995223885</v>
      </c>
      <c r="N100"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218.97579414655968</v>
      </c>
      <c r="O100"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254.01192121000929</v>
      </c>
    </row>
    <row r="101" spans="3:15">
      <c r="C101" s="5" t="s">
        <v>1570</v>
      </c>
      <c r="D101"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1173.3248559745032</v>
      </c>
      <c r="E101"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188.16912870685303</v>
      </c>
      <c r="F101"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481.68445069578422</v>
      </c>
      <c r="G101"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322.89051067283458</v>
      </c>
      <c r="H101"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311.65254546193722</v>
      </c>
      <c r="I101"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256.15070298869023</v>
      </c>
      <c r="J101"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252.60540021415298</v>
      </c>
      <c r="K101"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94.288164994408248</v>
      </c>
      <c r="L101" s="163">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318.84117014678696</v>
      </c>
      <c r="M101" s="163">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205.6840483494845</v>
      </c>
      <c r="N101"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227.34486019273766</v>
      </c>
      <c r="O101"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263.72003782357575</v>
      </c>
    </row>
    <row r="102" spans="3:15">
      <c r="C102" s="5" t="s">
        <v>4</v>
      </c>
      <c r="D102"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999.7794848064168</v>
      </c>
      <c r="E102"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301.86866956438178</v>
      </c>
      <c r="F102"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493.81109325232211</v>
      </c>
      <c r="G102"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267.17110390718057</v>
      </c>
      <c r="H102"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209.36420595238096</v>
      </c>
      <c r="I102"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347.64219915266341</v>
      </c>
      <c r="J102"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345.71915359922383</v>
      </c>
      <c r="K102"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92.956319003976716</v>
      </c>
      <c r="L102" s="163">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243.49251852786765</v>
      </c>
      <c r="M102" s="163">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185.47270510231235</v>
      </c>
      <c r="N102"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311.14723823930143</v>
      </c>
      <c r="O102"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360.93079635758971</v>
      </c>
    </row>
    <row r="103" spans="3:15">
      <c r="C103" s="58" t="s">
        <v>3</v>
      </c>
      <c r="D103" s="127"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c r="E103" s="127"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c r="F103" s="127"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c r="G103" s="127"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c r="H103" s="127"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c r="I103" s="127"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c r="J103" s="127"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c r="K103" s="127"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c r="L103" s="163"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c r="M103" s="163"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c r="N103" s="257"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c r="O103" s="257" t="str">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
      </c>
    </row>
    <row r="104" spans="3:15">
      <c r="C104" s="75" t="s">
        <v>1213</v>
      </c>
      <c r="D104"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32.291508131058414</v>
      </c>
      <c r="E104"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16.818254957614801</v>
      </c>
      <c r="F104"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22.207309230425015</v>
      </c>
      <c r="G104"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18.466603682006859</v>
      </c>
      <c r="H104"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17.671202580435473</v>
      </c>
      <c r="I104"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20.149272256497248</v>
      </c>
      <c r="J104"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20.085062090908025</v>
      </c>
      <c r="K104" s="12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7.4317418185025055</v>
      </c>
      <c r="L104" s="163">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18.178420175956518</v>
      </c>
      <c r="M104" s="163">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13.689282659240783</v>
      </c>
      <c r="N104"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18.076555881817221</v>
      </c>
      <c r="O104" s="257">
        <f>IFERROR(HLOOKUP(NormalisedOPEX_NonRoutineSpend_5yrHistory[#Headers],OPEX_NonRoutineSpend_5yrHistory[#All],MATCH("Total",OPEX_NonRoutineSpend_5yrHistory[[#All],[5 yr Non Routine Maint Spend (2009-13)]],0),FALSE)/5/VLOOKUP(NormalisedOPEX_NonRoutineSpend_5yrHistory[[#This Row],[Normalised by]],Network_Size_Comparison[#All],MATCH(NormalisedOPEX_NonRoutineSpend_5yrHistory[#Headers],Network_Size_Comparison[#Headers],0),FALSE),"")</f>
        <v>20.96880482290798</v>
      </c>
    </row>
    <row r="106" spans="3:15">
      <c r="L106" s="128"/>
    </row>
    <row r="107" spans="3:15" ht="18.75">
      <c r="C107" s="77" t="s">
        <v>1316</v>
      </c>
      <c r="D107" s="127"/>
      <c r="E107" s="127"/>
      <c r="F107" s="127"/>
      <c r="G107" s="127"/>
      <c r="H107" s="127"/>
      <c r="I107" s="128"/>
      <c r="J107" s="128"/>
      <c r="K107" s="131"/>
    </row>
    <row r="108" spans="3:15" s="31" customFormat="1" ht="30">
      <c r="C108" s="31" t="s">
        <v>1316</v>
      </c>
      <c r="D108" s="31" t="s">
        <v>574</v>
      </c>
      <c r="E108" s="31" t="s">
        <v>1147</v>
      </c>
      <c r="F108" s="31" t="s">
        <v>575</v>
      </c>
      <c r="G108" s="31" t="s">
        <v>310</v>
      </c>
      <c r="H108" s="133" t="s">
        <v>1674</v>
      </c>
      <c r="I108" s="131" t="s">
        <v>1560</v>
      </c>
      <c r="J108" s="131" t="s">
        <v>0</v>
      </c>
      <c r="K108" s="131" t="s">
        <v>1218</v>
      </c>
      <c r="L108" s="31" t="s">
        <v>1675</v>
      </c>
      <c r="M108" s="31" t="s">
        <v>1676</v>
      </c>
      <c r="N108" s="175" t="s">
        <v>1569</v>
      </c>
      <c r="O108" s="131" t="s">
        <v>1677</v>
      </c>
    </row>
    <row r="109" spans="3:15">
      <c r="C109" s="44" t="s">
        <v>1214</v>
      </c>
      <c r="D109" s="165">
        <f>IFERROR((SUMIFS('2.8 Maintenance'!$AK:$AK,'2.8 Maintenance'!$A:$A,OH_Maint[#Headers],'2.8 Maintenance'!$B:$B,"OH Maintenance"))*1000/VLOOKUP(OH_Maint[[#This Row],[OH Maintenance (Defects) Normalised by]],Network_Size_Comparison[#All],MATCH(OH_Maint[#Headers],Network_Size_Comparison[#Headers],0),FALSE)/5,"")</f>
        <v>116110</v>
      </c>
      <c r="E109" s="165">
        <f>IFERROR((SUMIFS('2.8 Maintenance'!$AK:$AK,'2.8 Maintenance'!$A:$A,OH_Maint[#Headers],'2.8 Maintenance'!$B:$B,"OH Maintenance"))*1000/VLOOKUP(OH_Maint[[#This Row],[OH Maintenance (Defects) Normalised by]],Network_Size_Comparison[#All],MATCH(OH_Maint[#Headers],Network_Size_Comparison[#Headers],0),FALSE)/5,"")</f>
        <v>9686.1602157999987</v>
      </c>
      <c r="F109" s="165">
        <f>IFERROR((SUMIFS('2.8 Maintenance'!$AK:$AK,'2.8 Maintenance'!$A:$A,OH_Maint[#Headers],'2.8 Maintenance'!$B:$B,"OH Maintenance"))*1000/VLOOKUP(OH_Maint[[#This Row],[OH Maintenance (Defects) Normalised by]],Network_Size_Comparison[#All],MATCH(OH_Maint[#Headers],Network_Size_Comparison[#Headers],0),FALSE)/5,"")</f>
        <v>88798.399999999994</v>
      </c>
      <c r="G109" s="165">
        <f>IFERROR((SUMIFS('2.8 Maintenance'!$AK:$AK,'2.8 Maintenance'!$A:$A,OH_Maint[#Headers],'2.8 Maintenance'!$B:$B,"OH Maintenance"))*1000/VLOOKUP(OH_Maint[[#This Row],[OH Maintenance (Defects) Normalised by]],Network_Size_Comparison[#All],MATCH(OH_Maint[#Headers],Network_Size_Comparison[#Headers],0),FALSE)/5,"")</f>
        <v>20915</v>
      </c>
      <c r="H109" s="165">
        <f>IFERROR((SUMIFS('2.8 Maintenance'!$AK:$AK,'2.8 Maintenance'!$A:$A,OH_Maint[#Headers],'2.8 Maintenance'!$B:$B,"OH Maintenance"))*1000/VLOOKUP(OH_Maint[[#This Row],[OH Maintenance (Defects) Normalised by]],Network_Size_Comparison[#All],MATCH(OH_Maint[#Headers],Network_Size_Comparison[#Headers],0),FALSE)/5,"")</f>
        <v>61477.150000000009</v>
      </c>
      <c r="I109" s="165">
        <f>IFERROR((SUMIFS('2.8 Maintenance'!$AK:$AK,'2.8 Maintenance'!$A:$A,OH_Maint[#Headers],'2.8 Maintenance'!$B:$B,"OH Maintenance"))*1000/VLOOKUP(OH_Maint[[#This Row],[OH Maintenance (Defects) Normalised by]],Network_Size_Comparison[#All],MATCH(OH_Maint[#Headers],Network_Size_Comparison[#Headers],0),FALSE)/5,"")</f>
        <v>113038.80000000002</v>
      </c>
      <c r="J109" s="165">
        <f>IFERROR((SUMIFS('2.8 Maintenance'!$AK:$AK,'2.8 Maintenance'!$A:$A,OH_Maint[#Headers],'2.8 Maintenance'!$B:$B,"OH Maintenance"))*1000/VLOOKUP(OH_Maint[[#This Row],[OH Maintenance (Defects) Normalised by]],Network_Size_Comparison[#All],MATCH(OH_Maint[#Headers],Network_Size_Comparison[#Headers],0),FALSE)/5,"")</f>
        <v>113038.80000000002</v>
      </c>
      <c r="K109" s="165">
        <f>IFERROR((SUMIFS('2.8 Maintenance'!$AK:$AK,'2.8 Maintenance'!$A:$A,OH_Maint[#Headers],'2.8 Maintenance'!$B:$B,"OH Maintenance"))*1000/VLOOKUP(OH_Maint[[#This Row],[OH Maintenance (Defects) Normalised by]],Network_Size_Comparison[#All],MATCH(OH_Maint[#Headers],Network_Size_Comparison[#Headers],0),FALSE)/5,"")</f>
        <v>3210.8</v>
      </c>
      <c r="L109" s="166">
        <f>IFERROR((SUMIFS('2.8 Maintenance'!$AK:$AK,'2.8 Maintenance'!$A:$A,OH_Maint[#Headers],'2.8 Maintenance'!$B:$B,"OH Maintenance"))*1000/VLOOKUP(OH_Maint[[#This Row],[OH Maintenance (Defects) Normalised by]],Network_Size_Comparison[#All],MATCH(OH_Maint[#Headers],Network_Size_Comparison[#Headers],0),FALSE)/5,"")</f>
        <v>0</v>
      </c>
      <c r="M109" s="169">
        <f>IFERROR((SUMIFS('2.8 Maintenance'!$AK:$AK,'2.8 Maintenance'!$A:$A,OH_Maint[#Headers],'2.8 Maintenance'!$B:$B,"OH Maintenance"))*1000/VLOOKUP(OH_Maint[[#This Row],[OH Maintenance (Defects) Normalised by]],Network_Size_Comparison[#All],MATCH(OH_Maint[#Headers],Network_Size_Comparison[#Headers],0),FALSE)/5,"")</f>
        <v>0</v>
      </c>
      <c r="N109" s="169">
        <f>OH_Maint[[#This Row],[Essential]]</f>
        <v>113038.80000000002</v>
      </c>
      <c r="O109" s="169">
        <f>OH_Maint[[#This Row],[Essential]]</f>
        <v>113038.80000000002</v>
      </c>
    </row>
    <row r="110" spans="3:15">
      <c r="C110" s="29" t="s">
        <v>1</v>
      </c>
      <c r="D110" s="170">
        <f>IFERROR((SUMIFS('2.8 Maintenance'!$AK:$AK,'2.8 Maintenance'!$A:$A,OH_Maint[#Headers],'2.8 Maintenance'!$B:$B,"OH Maintenance"))*1000/VLOOKUP(OH_Maint[[#This Row],[OH Maintenance (Defects) Normalised by]],Network_Size_Comparison[#All],MATCH(OH_Maint[#Headers],Network_Size_Comparison[#Headers],0),FALSE)/5,"")</f>
        <v>0.24762262235577387</v>
      </c>
      <c r="E110" s="170">
        <f>IFERROR((SUMIFS('2.8 Maintenance'!$AK:$AK,'2.8 Maintenance'!$A:$A,OH_Maint[#Headers],'2.8 Maintenance'!$B:$B,"OH Maintenance"))*1000/VLOOKUP(OH_Maint[[#This Row],[OH Maintenance (Defects) Normalised by]],Network_Size_Comparison[#All],MATCH(OH_Maint[#Headers],Network_Size_Comparison[#Headers],0),FALSE)/5,"")</f>
        <v>9.640781059353622E-3</v>
      </c>
      <c r="F110" s="170">
        <f>IFERROR((SUMIFS('2.8 Maintenance'!$AK:$AK,'2.8 Maintenance'!$A:$A,OH_Maint[#Headers],'2.8 Maintenance'!$B:$B,"OH Maintenance"))*1000/VLOOKUP(OH_Maint[[#This Row],[OH Maintenance (Defects) Normalised by]],Network_Size_Comparison[#All],MATCH(OH_Maint[#Headers],Network_Size_Comparison[#Headers],0),FALSE)/5,"")</f>
        <v>0.29035975175101852</v>
      </c>
      <c r="G110" s="170">
        <f>IFERROR((SUMIFS('2.8 Maintenance'!$AK:$AK,'2.8 Maintenance'!$A:$A,OH_Maint[#Headers],'2.8 Maintenance'!$B:$B,"OH Maintenance"))*1000/VLOOKUP(OH_Maint[[#This Row],[OH Maintenance (Defects) Normalised by]],Network_Size_Comparison[#All],MATCH(OH_Maint[#Headers],Network_Size_Comparison[#Headers],0),FALSE)/5,"")</f>
        <v>3.8196238999063124E-2</v>
      </c>
      <c r="H110" s="170">
        <f>IFERROR((SUMIFS('2.8 Maintenance'!$AK:$AK,'2.8 Maintenance'!$A:$A,OH_Maint[#Headers],'2.8 Maintenance'!$B:$B,"OH Maintenance"))*1000/VLOOKUP(OH_Maint[[#This Row],[OH Maintenance (Defects) Normalised by]],Network_Size_Comparison[#All],MATCH(OH_Maint[#Headers],Network_Size_Comparison[#Headers],0),FALSE)/5,"")</f>
        <v>0.1651958768981075</v>
      </c>
      <c r="I110" s="170">
        <f>IFERROR((SUMIFS('2.8 Maintenance'!$AK:$AK,'2.8 Maintenance'!$A:$A,OH_Maint[#Headers],'2.8 Maintenance'!$B:$B,"OH Maintenance"))*1000/VLOOKUP(OH_Maint[[#This Row],[OH Maintenance (Defects) Normalised by]],Network_Size_Comparison[#All],MATCH(OH_Maint[#Headers],Network_Size_Comparison[#Headers],0),FALSE)/5,"")</f>
        <v>8.1685290060289073E-2</v>
      </c>
      <c r="J110" s="170">
        <f>IFERROR((SUMIFS('2.8 Maintenance'!$AK:$AK,'2.8 Maintenance'!$A:$A,OH_Maint[#Headers],'2.8 Maintenance'!$B:$B,"OH Maintenance"))*1000/VLOOKUP(OH_Maint[[#This Row],[OH Maintenance (Defects) Normalised by]],Network_Size_Comparison[#All],MATCH(OH_Maint[#Headers],Network_Size_Comparison[#Headers],0),FALSE)/5,"")</f>
        <v>8.5908082543769609E-2</v>
      </c>
      <c r="K110" s="170">
        <f>IFERROR((SUMIFS('2.8 Maintenance'!$AK:$AK,'2.8 Maintenance'!$A:$A,OH_Maint[#Headers],'2.8 Maintenance'!$B:$B,"OH Maintenance"))*1000/VLOOKUP(OH_Maint[[#This Row],[OH Maintenance (Defects) Normalised by]],Network_Size_Comparison[#All],MATCH(OH_Maint[#Headers],Network_Size_Comparison[#Headers],0),FALSE)/5,"")</f>
        <v>4.3406258407022221E-3</v>
      </c>
      <c r="L110" s="171">
        <f>IFERROR((SUMIFS('2.8 Maintenance'!$AK:$AK,'2.8 Maintenance'!$A:$A,OH_Maint[#Headers],'2.8 Maintenance'!$B:$B,"OH Maintenance"))*1000/VLOOKUP(OH_Maint[[#This Row],[OH Maintenance (Defects) Normalised by]],Network_Size_Comparison[#All],MATCH(OH_Maint[#Headers],Network_Size_Comparison[#Headers],0),FALSE)/5,"")</f>
        <v>0</v>
      </c>
      <c r="M110" s="172">
        <f>IFERROR((SUMIFS('2.8 Maintenance'!$AK:$AK,'2.8 Maintenance'!$A:$A,OH_Maint[#Headers],'2.8 Maintenance'!$B:$B,"OH Maintenance"))*1000/VLOOKUP(OH_Maint[[#This Row],[OH Maintenance (Defects) Normalised by]],Network_Size_Comparison[#All],MATCH(OH_Maint[#Headers],Network_Size_Comparison[#Headers],0),FALSE)/5,"")</f>
        <v>0</v>
      </c>
      <c r="N110" s="172">
        <f>OH_Maint[[#This Row],[Essential]]</f>
        <v>8.5908082543769609E-2</v>
      </c>
      <c r="O110" s="172">
        <f>OH_Maint[[#This Row],[Essential]]</f>
        <v>8.5908082543769609E-2</v>
      </c>
    </row>
    <row r="111" spans="3:15">
      <c r="C111" s="44" t="s">
        <v>718</v>
      </c>
      <c r="D111" s="170">
        <f>IFERROR((SUMIFS('2.8 Maintenance'!$AK:$AK,'2.8 Maintenance'!$A:$A,OH_Maint[#Headers],'2.8 Maintenance'!$B:$B,"OH Maintenance"))*1000/VLOOKUP(OH_Maint[[#This Row],[OH Maintenance (Defects) Normalised by]],Network_Size_Comparison[#All],MATCH(OH_Maint[#Headers],Network_Size_Comparison[#Headers],0),FALSE)/5,"")</f>
        <v>4.5048501886406207</v>
      </c>
      <c r="E111" s="170">
        <f>IFERROR((SUMIFS('2.8 Maintenance'!$AK:$AK,'2.8 Maintenance'!$A:$A,OH_Maint[#Headers],'2.8 Maintenance'!$B:$B,"OH Maintenance"))*1000/VLOOKUP(OH_Maint[[#This Row],[OH Maintenance (Defects) Normalised by]],Network_Size_Comparison[#All],MATCH(OH_Maint[#Headers],Network_Size_Comparison[#Headers],0),FALSE)/5,"")</f>
        <v>6.2667835701885943E-2</v>
      </c>
      <c r="F111" s="170">
        <f>IFERROR((SUMIFS('2.8 Maintenance'!$AK:$AK,'2.8 Maintenance'!$A:$A,OH_Maint[#Headers],'2.8 Maintenance'!$B:$B,"OH Maintenance"))*1000/VLOOKUP(OH_Maint[[#This Row],[OH Maintenance (Defects) Normalised by]],Network_Size_Comparison[#All],MATCH(OH_Maint[#Headers],Network_Size_Comparison[#Headers],0),FALSE)/5,"")</f>
        <v>3.116529863872775</v>
      </c>
      <c r="G111" s="170">
        <f>IFERROR((SUMIFS('2.8 Maintenance'!$AK:$AK,'2.8 Maintenance'!$A:$A,OH_Maint[#Headers],'2.8 Maintenance'!$B:$B,"OH Maintenance"))*1000/VLOOKUP(OH_Maint[[#This Row],[OH Maintenance (Defects) Normalised by]],Network_Size_Comparison[#All],MATCH(OH_Maint[#Headers],Network_Size_Comparison[#Headers],0),FALSE)/5,"")</f>
        <v>0.30380677221101315</v>
      </c>
      <c r="H111" s="170">
        <f>IFERROR((SUMIFS('2.8 Maintenance'!$AK:$AK,'2.8 Maintenance'!$A:$A,OH_Maint[#Headers],'2.8 Maintenance'!$B:$B,"OH Maintenance"))*1000/VLOOKUP(OH_Maint[[#This Row],[OH Maintenance (Defects) Normalised by]],Network_Size_Comparison[#All],MATCH(OH_Maint[#Headers],Network_Size_Comparison[#Headers],0),FALSE)/5,"")</f>
        <v>1.598973850800588</v>
      </c>
      <c r="I111" s="170">
        <f>IFERROR((SUMIFS('2.8 Maintenance'!$AK:$AK,'2.8 Maintenance'!$A:$A,OH_Maint[#Headers],'2.8 Maintenance'!$B:$B,"OH Maintenance"))*1000/VLOOKUP(OH_Maint[[#This Row],[OH Maintenance (Defects) Normalised by]],Network_Size_Comparison[#All],MATCH(OH_Maint[#Headers],Network_Size_Comparison[#Headers],0),FALSE)/5,"")</f>
        <v>0.61840631097604193</v>
      </c>
      <c r="J111" s="170">
        <f>IFERROR((SUMIFS('2.8 Maintenance'!$AK:$AK,'2.8 Maintenance'!$A:$A,OH_Maint[#Headers],'2.8 Maintenance'!$B:$B,"OH Maintenance"))*1000/VLOOKUP(OH_Maint[[#This Row],[OH Maintenance (Defects) Normalised by]],Network_Size_Comparison[#All],MATCH(OH_Maint[#Headers],Network_Size_Comparison[#Headers],0),FALSE)/5,"")</f>
        <v>0.61007963286028466</v>
      </c>
      <c r="K111" s="170">
        <f>IFERROR((SUMIFS('2.8 Maintenance'!$AK:$AK,'2.8 Maintenance'!$A:$A,OH_Maint[#Headers],'2.8 Maintenance'!$B:$B,"OH Maintenance"))*1000/VLOOKUP(OH_Maint[[#This Row],[OH Maintenance (Defects) Normalised by]],Network_Size_Comparison[#All],MATCH(OH_Maint[#Headers],Network_Size_Comparison[#Headers],0),FALSE)/5,"")</f>
        <v>4.5118318250800968E-2</v>
      </c>
      <c r="L111" s="171">
        <f>IFERROR((SUMIFS('2.8 Maintenance'!$AK:$AK,'2.8 Maintenance'!$A:$A,OH_Maint[#Headers],'2.8 Maintenance'!$B:$B,"OH Maintenance"))*1000/VLOOKUP(OH_Maint[[#This Row],[OH Maintenance (Defects) Normalised by]],Network_Size_Comparison[#All],MATCH(OH_Maint[#Headers],Network_Size_Comparison[#Headers],0),FALSE)/5,"")</f>
        <v>0</v>
      </c>
      <c r="M111" s="172">
        <f>IFERROR((SUMIFS('2.8 Maintenance'!$AK:$AK,'2.8 Maintenance'!$A:$A,OH_Maint[#Headers],'2.8 Maintenance'!$B:$B,"OH Maintenance"))*1000/VLOOKUP(OH_Maint[[#This Row],[OH Maintenance (Defects) Normalised by]],Network_Size_Comparison[#All],MATCH(OH_Maint[#Headers],Network_Size_Comparison[#Headers],0),FALSE)/5,"")</f>
        <v>0</v>
      </c>
      <c r="N111" s="172">
        <f>OH_Maint[[#This Row],[Essential]]</f>
        <v>0.61007963286028466</v>
      </c>
      <c r="O111" s="172">
        <f>OH_Maint[[#This Row],[Essential]]</f>
        <v>0.61007963286028466</v>
      </c>
    </row>
    <row r="112" spans="3:15">
      <c r="C112" s="44" t="s">
        <v>1211</v>
      </c>
      <c r="D112" s="170">
        <f>IFERROR((SUMIFS('2.8 Maintenance'!$AK:$AK,'2.8 Maintenance'!$A:$A,OH_Maint[#Headers],'2.8 Maintenance'!$B:$B,"OH Maintenance"))*1000/VLOOKUP(OH_Maint[[#This Row],[OH Maintenance (Defects) Normalised by]],Network_Size_Comparison[#All],MATCH(OH_Maint[#Headers],Network_Size_Comparison[#Headers],0),FALSE)/5,"")</f>
        <v>2.8638637705620855</v>
      </c>
      <c r="E112" s="170">
        <f>IFERROR((SUMIFS('2.8 Maintenance'!$AK:$AK,'2.8 Maintenance'!$A:$A,OH_Maint[#Headers],'2.8 Maintenance'!$B:$B,"OH Maintenance"))*1000/VLOOKUP(OH_Maint[[#This Row],[OH Maintenance (Defects) Normalised by]],Network_Size_Comparison[#All],MATCH(OH_Maint[#Headers],Network_Size_Comparison[#Headers],0),FALSE)/5,"")</f>
        <v>5.951875541358366E-2</v>
      </c>
      <c r="F112" s="170">
        <f>IFERROR((SUMIFS('2.8 Maintenance'!$AK:$AK,'2.8 Maintenance'!$A:$A,OH_Maint[#Headers],'2.8 Maintenance'!$B:$B,"OH Maintenance"))*1000/VLOOKUP(OH_Maint[[#This Row],[OH Maintenance (Defects) Normalised by]],Network_Size_Comparison[#All],MATCH(OH_Maint[#Headers],Network_Size_Comparison[#Headers],0),FALSE)/5,"")</f>
        <v>2.00425619338034</v>
      </c>
      <c r="G112" s="170">
        <f>IFERROR((SUMIFS('2.8 Maintenance'!$AK:$AK,'2.8 Maintenance'!$A:$A,OH_Maint[#Headers],'2.8 Maintenance'!$B:$B,"OH Maintenance"))*1000/VLOOKUP(OH_Maint[[#This Row],[OH Maintenance (Defects) Normalised by]],Network_Size_Comparison[#All],MATCH(OH_Maint[#Headers],Network_Size_Comparison[#Headers],0),FALSE)/5,"")</f>
        <v>0.2785389933948369</v>
      </c>
      <c r="H112" s="170">
        <f>IFERROR((SUMIFS('2.8 Maintenance'!$AK:$AK,'2.8 Maintenance'!$A:$A,OH_Maint[#Headers],'2.8 Maintenance'!$B:$B,"OH Maintenance"))*1000/VLOOKUP(OH_Maint[[#This Row],[OH Maintenance (Defects) Normalised by]],Network_Size_Comparison[#All],MATCH(OH_Maint[#Headers],Network_Size_Comparison[#Headers],0),FALSE)/5,"")</f>
        <v>1.3779054653892515</v>
      </c>
      <c r="I112" s="170">
        <f>IFERROR((SUMIFS('2.8 Maintenance'!$AK:$AK,'2.8 Maintenance'!$A:$A,OH_Maint[#Headers],'2.8 Maintenance'!$B:$B,"OH Maintenance"))*1000/VLOOKUP(OH_Maint[[#This Row],[OH Maintenance (Defects) Normalised by]],Network_Size_Comparison[#All],MATCH(OH_Maint[#Headers],Network_Size_Comparison[#Headers],0),FALSE)/5,"")</f>
        <v>0.59413392996689873</v>
      </c>
      <c r="J112" s="170">
        <f>IFERROR((SUMIFS('2.8 Maintenance'!$AK:$AK,'2.8 Maintenance'!$A:$A,OH_Maint[#Headers],'2.8 Maintenance'!$B:$B,"OH Maintenance"))*1000/VLOOKUP(OH_Maint[[#This Row],[OH Maintenance (Defects) Normalised by]],Network_Size_Comparison[#All],MATCH(OH_Maint[#Headers],Network_Size_Comparison[#Headers],0),FALSE)/5,"")</f>
        <v>0.58441291547642182</v>
      </c>
      <c r="K112" s="170">
        <f>IFERROR((SUMIFS('2.8 Maintenance'!$AK:$AK,'2.8 Maintenance'!$A:$A,OH_Maint[#Headers],'2.8 Maintenance'!$B:$B,"OH Maintenance"))*1000/VLOOKUP(OH_Maint[[#This Row],[OH Maintenance (Defects) Normalised by]],Network_Size_Comparison[#All],MATCH(OH_Maint[#Headers],Network_Size_Comparison[#Headers],0),FALSE)/5,"")</f>
        <v>3.6529795393224637E-2</v>
      </c>
      <c r="L112" s="171">
        <f>IFERROR((SUMIFS('2.8 Maintenance'!$AK:$AK,'2.8 Maintenance'!$A:$A,OH_Maint[#Headers],'2.8 Maintenance'!$B:$B,"OH Maintenance"))*1000/VLOOKUP(OH_Maint[[#This Row],[OH Maintenance (Defects) Normalised by]],Network_Size_Comparison[#All],MATCH(OH_Maint[#Headers],Network_Size_Comparison[#Headers],0),FALSE)/5,"")</f>
        <v>0</v>
      </c>
      <c r="M112" s="172">
        <f>IFERROR((SUMIFS('2.8 Maintenance'!$AK:$AK,'2.8 Maintenance'!$A:$A,OH_Maint[#Headers],'2.8 Maintenance'!$B:$B,"OH Maintenance"))*1000/VLOOKUP(OH_Maint[[#This Row],[OH Maintenance (Defects) Normalised by]],Network_Size_Comparison[#All],MATCH(OH_Maint[#Headers],Network_Size_Comparison[#Headers],0),FALSE)/5,"")</f>
        <v>0</v>
      </c>
      <c r="N112" s="172">
        <f>OH_Maint[[#This Row],[Essential]]</f>
        <v>0.58441291547642182</v>
      </c>
      <c r="O112" s="172">
        <f>OH_Maint[[#This Row],[Essential]]</f>
        <v>0.58441291547642182</v>
      </c>
    </row>
    <row r="113" spans="1:15">
      <c r="C113" s="44" t="s">
        <v>4</v>
      </c>
      <c r="D113" s="170">
        <f>IFERROR((SUMIFS('2.8 Maintenance'!$AK:$AK,'2.8 Maintenance'!$A:$A,OH_Maint[#Headers],'2.8 Maintenance'!$B:$B,"OH Maintenance"))*1000/VLOOKUP(OH_Maint[[#This Row],[OH Maintenance (Defects) Normalised by]],Network_Size_Comparison[#All],MATCH(OH_Maint[#Headers],Network_Size_Comparison[#Headers],0),FALSE)/5,"")</f>
        <v>3.5819836495449637</v>
      </c>
      <c r="E113" s="170">
        <f>IFERROR((SUMIFS('2.8 Maintenance'!$AK:$AK,'2.8 Maintenance'!$A:$A,OH_Maint[#Headers],'2.8 Maintenance'!$B:$B,"OH Maintenance"))*1000/VLOOKUP(OH_Maint[[#This Row],[OH Maintenance (Defects) Normalised by]],Network_Size_Comparison[#All],MATCH(OH_Maint[#Headers],Network_Size_Comparison[#Headers],0),FALSE)/5,"")</f>
        <v>9.9873795840551019E-2</v>
      </c>
      <c r="F113" s="170">
        <f>IFERROR((SUMIFS('2.8 Maintenance'!$AK:$AK,'2.8 Maintenance'!$A:$A,OH_Maint[#Headers],'2.8 Maintenance'!$B:$B,"OH Maintenance"))*1000/VLOOKUP(OH_Maint[[#This Row],[OH Maintenance (Defects) Normalised by]],Network_Size_Comparison[#All],MATCH(OH_Maint[#Headers],Network_Size_Comparison[#Headers],0),FALSE)/5,"")</f>
        <v>2.987732579657481</v>
      </c>
      <c r="G113" s="170">
        <f>IFERROR((SUMIFS('2.8 Maintenance'!$AK:$AK,'2.8 Maintenance'!$A:$A,OH_Maint[#Headers],'2.8 Maintenance'!$B:$B,"OH Maintenance"))*1000/VLOOKUP(OH_Maint[[#This Row],[OH Maintenance (Defects) Normalised by]],Network_Size_Comparison[#All],MATCH(OH_Maint[#Headers],Network_Size_Comparison[#Headers],0),FALSE)/5,"")</f>
        <v>0.24856198897128728</v>
      </c>
      <c r="H113" s="170">
        <f>IFERROR((SUMIFS('2.8 Maintenance'!$AK:$AK,'2.8 Maintenance'!$A:$A,OH_Maint[#Headers],'2.8 Maintenance'!$B:$B,"OH Maintenance"))*1000/VLOOKUP(OH_Maint[[#This Row],[OH Maintenance (Defects) Normalised by]],Network_Size_Comparison[#All],MATCH(OH_Maint[#Headers],Network_Size_Comparison[#Headers],0),FALSE)/5,"")</f>
        <v>1.0530515587529978</v>
      </c>
      <c r="I113" s="170">
        <f>IFERROR((SUMIFS('2.8 Maintenance'!$AK:$AK,'2.8 Maintenance'!$A:$A,OH_Maint[#Headers],'2.8 Maintenance'!$B:$B,"OH Maintenance"))*1000/VLOOKUP(OH_Maint[[#This Row],[OH Maintenance (Defects) Normalised by]],Network_Size_Comparison[#All],MATCH(OH_Maint[#Headers],Network_Size_Comparison[#Headers],0),FALSE)/5,"")</f>
        <v>0.83502349082528171</v>
      </c>
      <c r="J113" s="170">
        <f>IFERROR((SUMIFS('2.8 Maintenance'!$AK:$AK,'2.8 Maintenance'!$A:$A,OH_Maint[#Headers],'2.8 Maintenance'!$B:$B,"OH Maintenance"))*1000/VLOOKUP(OH_Maint[[#This Row],[OH Maintenance (Defects) Normalised by]],Network_Size_Comparison[#All],MATCH(OH_Maint[#Headers],Network_Size_Comparison[#Headers],0),FALSE)/5,"")</f>
        <v>0.83040440771349877</v>
      </c>
      <c r="K113" s="170">
        <f>IFERROR((SUMIFS('2.8 Maintenance'!$AK:$AK,'2.8 Maintenance'!$A:$A,OH_Maint[#Headers],'2.8 Maintenance'!$B:$B,"OH Maintenance"))*1000/VLOOKUP(OH_Maint[[#This Row],[OH Maintenance (Defects) Normalised by]],Network_Size_Comparison[#All],MATCH(OH_Maint[#Headers],Network_Size_Comparison[#Headers],0),FALSE)/5,"")</f>
        <v>4.3211089428706009E-2</v>
      </c>
      <c r="L113" s="171">
        <f>IFERROR((SUMIFS('2.8 Maintenance'!$AK:$AK,'2.8 Maintenance'!$A:$A,OH_Maint[#Headers],'2.8 Maintenance'!$B:$B,"OH Maintenance"))*1000/VLOOKUP(OH_Maint[[#This Row],[OH Maintenance (Defects) Normalised by]],Network_Size_Comparison[#All],MATCH(OH_Maint[#Headers],Network_Size_Comparison[#Headers],0),FALSE)/5,"")</f>
        <v>0</v>
      </c>
      <c r="M113" s="172">
        <f>IFERROR((SUMIFS('2.8 Maintenance'!$AK:$AK,'2.8 Maintenance'!$A:$A,OH_Maint[#Headers],'2.8 Maintenance'!$B:$B,"OH Maintenance"))*1000/VLOOKUP(OH_Maint[[#This Row],[OH Maintenance (Defects) Normalised by]],Network_Size_Comparison[#All],MATCH(OH_Maint[#Headers],Network_Size_Comparison[#Headers],0),FALSE)/5,"")</f>
        <v>0</v>
      </c>
      <c r="N113" s="172">
        <f>OH_Maint[[#This Row],[Essential]]</f>
        <v>0.83040440771349877</v>
      </c>
      <c r="O113" s="172">
        <f>OH_Maint[[#This Row],[Essential]]</f>
        <v>0.83040440771349877</v>
      </c>
    </row>
    <row r="114" spans="1:15">
      <c r="C114" s="29" t="s">
        <v>3</v>
      </c>
      <c r="D114" s="170" t="str">
        <f>IFERROR((SUMIFS('2.8 Maintenance'!$AK:$AK,'2.8 Maintenance'!$A:$A,OH_Maint[#Headers],'2.8 Maintenance'!$B:$B,"OH Maintenance"))*1000/VLOOKUP(OH_Maint[[#This Row],[OH Maintenance (Defects) Normalised by]],Network_Size_Comparison[#All],MATCH(OH_Maint[#Headers],Network_Size_Comparison[#Headers],0),FALSE)/5,"")</f>
        <v/>
      </c>
      <c r="E114" s="170" t="str">
        <f>IFERROR((SUMIFS('2.8 Maintenance'!$AK:$AK,'2.8 Maintenance'!$A:$A,OH_Maint[#Headers],'2.8 Maintenance'!$B:$B,"OH Maintenance"))*1000/VLOOKUP(OH_Maint[[#This Row],[OH Maintenance (Defects) Normalised by]],Network_Size_Comparison[#All],MATCH(OH_Maint[#Headers],Network_Size_Comparison[#Headers],0),FALSE)/5,"")</f>
        <v/>
      </c>
      <c r="F114" s="170" t="str">
        <f>IFERROR((SUMIFS('2.8 Maintenance'!$AK:$AK,'2.8 Maintenance'!$A:$A,OH_Maint[#Headers],'2.8 Maintenance'!$B:$B,"OH Maintenance"))*1000/VLOOKUP(OH_Maint[[#This Row],[OH Maintenance (Defects) Normalised by]],Network_Size_Comparison[#All],MATCH(OH_Maint[#Headers],Network_Size_Comparison[#Headers],0),FALSE)/5,"")</f>
        <v/>
      </c>
      <c r="G114" s="170" t="str">
        <f>IFERROR((SUMIFS('2.8 Maintenance'!$AK:$AK,'2.8 Maintenance'!$A:$A,OH_Maint[#Headers],'2.8 Maintenance'!$B:$B,"OH Maintenance"))*1000/VLOOKUP(OH_Maint[[#This Row],[OH Maintenance (Defects) Normalised by]],Network_Size_Comparison[#All],MATCH(OH_Maint[#Headers],Network_Size_Comparison[#Headers],0),FALSE)/5,"")</f>
        <v/>
      </c>
      <c r="H114" s="170" t="str">
        <f>IFERROR((SUMIFS('2.8 Maintenance'!$AK:$AK,'2.8 Maintenance'!$A:$A,OH_Maint[#Headers],'2.8 Maintenance'!$B:$B,"OH Maintenance"))*1000/VLOOKUP(OH_Maint[[#This Row],[OH Maintenance (Defects) Normalised by]],Network_Size_Comparison[#All],MATCH(OH_Maint[#Headers],Network_Size_Comparison[#Headers],0),FALSE)/5,"")</f>
        <v/>
      </c>
      <c r="I114" s="170" t="str">
        <f>IFERROR((SUMIFS('2.8 Maintenance'!$AK:$AK,'2.8 Maintenance'!$A:$A,OH_Maint[#Headers],'2.8 Maintenance'!$B:$B,"OH Maintenance"))*1000/VLOOKUP(OH_Maint[[#This Row],[OH Maintenance (Defects) Normalised by]],Network_Size_Comparison[#All],MATCH(OH_Maint[#Headers],Network_Size_Comparison[#Headers],0),FALSE)/5,"")</f>
        <v/>
      </c>
      <c r="J114" s="170" t="str">
        <f>IFERROR((SUMIFS('2.8 Maintenance'!$AK:$AK,'2.8 Maintenance'!$A:$A,OH_Maint[#Headers],'2.8 Maintenance'!$B:$B,"OH Maintenance"))*1000/VLOOKUP(OH_Maint[[#This Row],[OH Maintenance (Defects) Normalised by]],Network_Size_Comparison[#All],MATCH(OH_Maint[#Headers],Network_Size_Comparison[#Headers],0),FALSE)/5,"")</f>
        <v/>
      </c>
      <c r="K114" s="170" t="str">
        <f>IFERROR((SUMIFS('2.8 Maintenance'!$AK:$AK,'2.8 Maintenance'!$A:$A,OH_Maint[#Headers],'2.8 Maintenance'!$B:$B,"OH Maintenance"))*1000/VLOOKUP(OH_Maint[[#This Row],[OH Maintenance (Defects) Normalised by]],Network_Size_Comparison[#All],MATCH(OH_Maint[#Headers],Network_Size_Comparison[#Headers],0),FALSE)/5,"")</f>
        <v/>
      </c>
      <c r="L114" s="171" t="str">
        <f>IFERROR((SUMIFS('2.8 Maintenance'!$AK:$AK,'2.8 Maintenance'!$A:$A,OH_Maint[#Headers],'2.8 Maintenance'!$B:$B,"OH Maintenance"))*1000/VLOOKUP(OH_Maint[[#This Row],[OH Maintenance (Defects) Normalised by]],Network_Size_Comparison[#All],MATCH(OH_Maint[#Headers],Network_Size_Comparison[#Headers],0),FALSE)/5,"")</f>
        <v/>
      </c>
      <c r="M114" s="172" t="str">
        <f>IFERROR((SUMIFS('2.8 Maintenance'!$AK:$AK,'2.8 Maintenance'!$A:$A,OH_Maint[#Headers],'2.8 Maintenance'!$B:$B,"OH Maintenance"))*1000/VLOOKUP(OH_Maint[[#This Row],[OH Maintenance (Defects) Normalised by]],Network_Size_Comparison[#All],MATCH(OH_Maint[#Headers],Network_Size_Comparison[#Headers],0),FALSE)/5,"")</f>
        <v/>
      </c>
      <c r="N114" s="172" t="str">
        <f>OH_Maint[[#This Row],[Essential]]</f>
        <v/>
      </c>
      <c r="O114" s="172" t="str">
        <f>OH_Maint[[#This Row],[Essential]]</f>
        <v/>
      </c>
    </row>
    <row r="115" spans="1:15">
      <c r="C115" s="44" t="s">
        <v>1213</v>
      </c>
      <c r="D115" s="170">
        <f>IFERROR((SUMIFS('2.8 Maintenance'!$AK:$AK,'2.8 Maintenance'!$A:$A,OH_Maint[#Headers],'2.8 Maintenance'!$B:$B,"OH Maintenance"))*1000/VLOOKUP(OH_Maint[[#This Row],[OH Maintenance (Defects) Normalised by]],Network_Size_Comparison[#All],MATCH(OH_Maint[#Headers],Network_Size_Comparison[#Headers],0),FALSE)/5,"")</f>
        <v>0.1156931662455504</v>
      </c>
      <c r="E115" s="170">
        <f>IFERROR((SUMIFS('2.8 Maintenance'!$AK:$AK,'2.8 Maintenance'!$A:$A,OH_Maint[#Headers],'2.8 Maintenance'!$B:$B,"OH Maintenance"))*1000/VLOOKUP(OH_Maint[[#This Row],[OH Maintenance (Defects) Normalised by]],Network_Size_Comparison[#All],MATCH(OH_Maint[#Headers],Network_Size_Comparison[#Headers],0),FALSE)/5,"")</f>
        <v>5.5643501011717706E-3</v>
      </c>
      <c r="F115" s="170">
        <f>IFERROR((SUMIFS('2.8 Maintenance'!$AK:$AK,'2.8 Maintenance'!$A:$A,OH_Maint[#Headers],'2.8 Maintenance'!$B:$B,"OH Maintenance"))*1000/VLOOKUP(OH_Maint[[#This Row],[OH Maintenance (Defects) Normalised by]],Network_Size_Comparison[#All],MATCH(OH_Maint[#Headers],Network_Size_Comparison[#Headers],0),FALSE)/5,"")</f>
        <v>0.1343621117486046</v>
      </c>
      <c r="G115" s="170">
        <f>IFERROR((SUMIFS('2.8 Maintenance'!$AK:$AK,'2.8 Maintenance'!$A:$A,OH_Maint[#Headers],'2.8 Maintenance'!$B:$B,"OH Maintenance"))*1000/VLOOKUP(OH_Maint[[#This Row],[OH Maintenance (Defects) Normalised by]],Network_Size_Comparison[#All],MATCH(OH_Maint[#Headers],Network_Size_Comparison[#Headers],0),FALSE)/5,"")</f>
        <v>1.7180359977622406E-2</v>
      </c>
      <c r="H115" s="170">
        <f>IFERROR((SUMIFS('2.8 Maintenance'!$AK:$AK,'2.8 Maintenance'!$A:$A,OH_Maint[#Headers],'2.8 Maintenance'!$B:$B,"OH Maintenance"))*1000/VLOOKUP(OH_Maint[[#This Row],[OH Maintenance (Defects) Normalised by]],Network_Size_Comparison[#All],MATCH(OH_Maint[#Headers],Network_Size_Comparison[#Headers],0),FALSE)/5,"")</f>
        <v>8.8881895249085907E-2</v>
      </c>
      <c r="I115" s="170">
        <f>IFERROR((SUMIFS('2.8 Maintenance'!$AK:$AK,'2.8 Maintenance'!$A:$A,OH_Maint[#Headers],'2.8 Maintenance'!$B:$B,"OH Maintenance"))*1000/VLOOKUP(OH_Maint[[#This Row],[OH Maintenance (Defects) Normalised by]],Network_Size_Comparison[#All],MATCH(OH_Maint[#Headers],Network_Size_Comparison[#Headers],0),FALSE)/5,"")</f>
        <v>4.8397794336299087E-2</v>
      </c>
      <c r="J115" s="170">
        <f>IFERROR((SUMIFS('2.8 Maintenance'!$AK:$AK,'2.8 Maintenance'!$A:$A,OH_Maint[#Headers],'2.8 Maintenance'!$B:$B,"OH Maintenance"))*1000/VLOOKUP(OH_Maint[[#This Row],[OH Maintenance (Defects) Normalised by]],Network_Size_Comparison[#All],MATCH(OH_Maint[#Headers],Network_Size_Comparison[#Headers],0),FALSE)/5,"")</f>
        <v>4.82435639328916E-2</v>
      </c>
      <c r="K115" s="170">
        <f>IFERROR((SUMIFS('2.8 Maintenance'!$AK:$AK,'2.8 Maintenance'!$A:$A,OH_Maint[#Headers],'2.8 Maintenance'!$B:$B,"OH Maintenance"))*1000/VLOOKUP(OH_Maint[[#This Row],[OH Maintenance (Defects) Normalised by]],Network_Size_Comparison[#All],MATCH(OH_Maint[#Headers],Network_Size_Comparison[#Headers],0),FALSE)/5,"")</f>
        <v>3.4546727298509715E-3</v>
      </c>
      <c r="L115" s="171">
        <f>IFERROR((SUMIFS('2.8 Maintenance'!$AK:$AK,'2.8 Maintenance'!$A:$A,OH_Maint[#Headers],'2.8 Maintenance'!$B:$B,"OH Maintenance"))*1000/VLOOKUP(OH_Maint[[#This Row],[OH Maintenance (Defects) Normalised by]],Network_Size_Comparison[#All],MATCH(OH_Maint[#Headers],Network_Size_Comparison[#Headers],0),FALSE)/5,"")</f>
        <v>0</v>
      </c>
      <c r="M115" s="172">
        <f>IFERROR((SUMIFS('2.8 Maintenance'!$AK:$AK,'2.8 Maintenance'!$A:$A,OH_Maint[#Headers],'2.8 Maintenance'!$B:$B,"OH Maintenance"))*1000/VLOOKUP(OH_Maint[[#This Row],[OH Maintenance (Defects) Normalised by]],Network_Size_Comparison[#All],MATCH(OH_Maint[#Headers],Network_Size_Comparison[#Headers],0),FALSE)/5,"")</f>
        <v>0</v>
      </c>
      <c r="N115" s="172">
        <f>OH_Maint[[#This Row],[Essential]]</f>
        <v>4.82435639328916E-2</v>
      </c>
      <c r="O115" s="172">
        <f>OH_Maint[[#This Row],[Essential]]</f>
        <v>4.82435639328916E-2</v>
      </c>
    </row>
    <row r="117" spans="1:15">
      <c r="L117" s="128"/>
    </row>
    <row r="118" spans="1:15" ht="18.75">
      <c r="A118" s="77" t="s">
        <v>1444</v>
      </c>
      <c r="C118" s="77"/>
    </row>
    <row r="119" spans="1:15" s="31" customFormat="1" ht="30">
      <c r="A119" s="31" t="s">
        <v>1386</v>
      </c>
      <c r="B119" s="263" t="s">
        <v>1334</v>
      </c>
      <c r="C119" s="31" t="s">
        <v>1388</v>
      </c>
      <c r="D119" s="31" t="s">
        <v>574</v>
      </c>
      <c r="E119" s="31" t="s">
        <v>1147</v>
      </c>
      <c r="F119" s="31" t="s">
        <v>575</v>
      </c>
      <c r="G119" s="31" t="s">
        <v>310</v>
      </c>
      <c r="H119" s="31" t="s">
        <v>1674</v>
      </c>
      <c r="I119" s="131" t="s">
        <v>1560</v>
      </c>
      <c r="J119" s="31" t="s">
        <v>0</v>
      </c>
      <c r="K119" s="31" t="s">
        <v>1218</v>
      </c>
      <c r="L119" s="31" t="s">
        <v>1675</v>
      </c>
      <c r="M119" s="31" t="s">
        <v>1676</v>
      </c>
      <c r="N119" s="175" t="s">
        <v>1569</v>
      </c>
      <c r="O119" s="131" t="s">
        <v>1677</v>
      </c>
    </row>
    <row r="120" spans="1:15" s="119" customFormat="1">
      <c r="A120" s="6" t="s">
        <v>6</v>
      </c>
      <c r="B120" s="29" t="s">
        <v>6</v>
      </c>
      <c r="C120" s="27" t="s">
        <v>1214</v>
      </c>
      <c r="D120"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73171460</v>
      </c>
      <c r="E120"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76962400.992572397</v>
      </c>
      <c r="F120"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34899362.836552277</v>
      </c>
      <c r="G120"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44792059.04792361</v>
      </c>
      <c r="H120"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22353786.380000003</v>
      </c>
      <c r="I120"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92438507.244635612</v>
      </c>
      <c r="J120"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92438507.244635612</v>
      </c>
      <c r="K120"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20270171.6312452</v>
      </c>
      <c r="L120"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Maintenance'!$A:$A,AvgAnnualMaintRate[[#Headers],[AusNet]],'2.8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67145845.427923635</v>
      </c>
      <c r="M120"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Maintenance'!$A:$A,AvgAnnualMaintRate[[#Headers],[SA Power]],'2.8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65062230.679168805</v>
      </c>
      <c r="N120" s="127"/>
      <c r="O120" s="127"/>
    </row>
    <row r="121" spans="1:15">
      <c r="A121" s="6" t="s">
        <v>1389</v>
      </c>
      <c r="B121" s="29" t="s">
        <v>6</v>
      </c>
      <c r="C121" s="27" t="s">
        <v>1214</v>
      </c>
      <c r="D121"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59111560</v>
      </c>
      <c r="E121"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57949247.777514398</v>
      </c>
      <c r="F121"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24752415.804552265</v>
      </c>
      <c r="G121"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38426079.963485114</v>
      </c>
      <c r="H121"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19928515.406000003</v>
      </c>
      <c r="I121"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75650449.428086668</v>
      </c>
      <c r="J121"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75650449.428086668</v>
      </c>
      <c r="K121"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14034559.230042059</v>
      </c>
      <c r="L121"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Maintenance'!$A:$A,AvgAnnualMaintRate[[#Headers],[AusNet]],'2.8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58354595.369485117</v>
      </c>
      <c r="M121"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Maintenance'!$A:$A,AvgAnnualMaintRate[[#Headers],[SA Power]],'2.8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52460639.19352717</v>
      </c>
      <c r="N121" s="127"/>
      <c r="O121" s="127"/>
    </row>
    <row r="122" spans="1:15">
      <c r="A122" s="6" t="s">
        <v>1390</v>
      </c>
      <c r="B122" s="29" t="s">
        <v>6</v>
      </c>
      <c r="C122" s="27" t="s">
        <v>1214</v>
      </c>
      <c r="D122"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14059900</v>
      </c>
      <c r="E122"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19013153.215057999</v>
      </c>
      <c r="F122"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10146947.032</v>
      </c>
      <c r="G122"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6365979.0844384944</v>
      </c>
      <c r="H122"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2425270.9740000004</v>
      </c>
      <c r="I122"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16788057.816548925</v>
      </c>
      <c r="J122"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16788057.816548925</v>
      </c>
      <c r="K122"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6235612.4012031406</v>
      </c>
      <c r="L122"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Maintenance'!$A:$A,AvgAnnualMaintRate[[#Headers],[AusNet]],'2.8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8791250.0584384948</v>
      </c>
      <c r="M122"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Maintenance'!$A:$A,AvgAnnualMaintRate[[#Headers],[SA Power]],'2.8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12601591.485641634</v>
      </c>
      <c r="N122" s="127"/>
      <c r="O122" s="127"/>
    </row>
    <row r="123" spans="1:15">
      <c r="A123" s="6" t="s">
        <v>1389</v>
      </c>
      <c r="B123" s="29" t="s">
        <v>1392</v>
      </c>
      <c r="C123" s="27" t="s">
        <v>1211</v>
      </c>
      <c r="D123"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662.7237775333781</v>
      </c>
      <c r="E123"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253.6766070079405</v>
      </c>
      <c r="F123"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420.77315484787215</v>
      </c>
      <c r="G123"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255.54521380799798</v>
      </c>
      <c r="H123"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417.57795711152505</v>
      </c>
      <c r="I123"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324.28250353383521</v>
      </c>
      <c r="J123"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309.16530448630357</v>
      </c>
      <c r="K123"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114.30013421823132</v>
      </c>
      <c r="L123"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Maintenance'!$A:$A,AvgAnnualMaintRate[[#Headers],[AusNet]],'2.8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315.93816077835601</v>
      </c>
      <c r="M123"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Maintenance'!$A:$A,AvgAnnualMaintRate[[#Headers],[SA Power]],'2.8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179.37320176982672</v>
      </c>
      <c r="N123" s="127"/>
      <c r="O123" s="127"/>
    </row>
    <row r="124" spans="1:15">
      <c r="A124" s="6" t="s">
        <v>1389</v>
      </c>
      <c r="B124" s="29" t="s">
        <v>719</v>
      </c>
      <c r="C124" s="27" t="s">
        <v>719</v>
      </c>
      <c r="D124"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7.5447911066695301</v>
      </c>
      <c r="E124"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53.733910156559546</v>
      </c>
      <c r="F124"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0</v>
      </c>
      <c r="G124"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94.792635777274199</v>
      </c>
      <c r="H124"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101.86886320877252</v>
      </c>
      <c r="I124"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0</v>
      </c>
      <c r="J124"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115.58409826929707</v>
      </c>
      <c r="K124"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0</v>
      </c>
      <c r="L124"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Maintenance'!$A:$A,AvgAnnualMaintRate[[#Headers],[AusNet]],'2.8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97.72257265096809</v>
      </c>
      <c r="M124"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Maintenance'!$A:$A,AvgAnnualMaintRate[[#Headers],[SA Power]],'2.8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43.503673570986095</v>
      </c>
      <c r="N124" s="127"/>
      <c r="O124" s="127"/>
    </row>
    <row r="125" spans="1:15">
      <c r="A125" s="6" t="s">
        <v>1389</v>
      </c>
      <c r="B125" s="29" t="s">
        <v>1393</v>
      </c>
      <c r="C125" s="27" t="s">
        <v>572</v>
      </c>
      <c r="D125"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385.41772722938953</v>
      </c>
      <c r="E125"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34.617352062078609</v>
      </c>
      <c r="F125"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116.23818885224686</v>
      </c>
      <c r="G125"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8.2006299308421156</v>
      </c>
      <c r="H125"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160.25549397582887</v>
      </c>
      <c r="I125"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497.90812844225013</v>
      </c>
      <c r="J125"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456.91912061915366</v>
      </c>
      <c r="K125"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9.1907293459594559</v>
      </c>
      <c r="L125"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Maintenance'!$A:$A,AvgAnnualMaintRate[[#Headers],[AusNet]],'2.8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83.758741614975222</v>
      </c>
      <c r="M125"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Maintenance'!$A:$A,AvgAnnualMaintRate[[#Headers],[SA Power]],'2.8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8.9216153080575857</v>
      </c>
      <c r="N125" s="127"/>
      <c r="O125" s="127"/>
    </row>
    <row r="126" spans="1:15">
      <c r="A126" s="6" t="s">
        <v>1389</v>
      </c>
      <c r="B126" s="29" t="s">
        <v>1391</v>
      </c>
      <c r="C126" s="27" t="s">
        <v>1211</v>
      </c>
      <c r="D126"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457.19637788052148</v>
      </c>
      <c r="E126"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37.5933222192279</v>
      </c>
      <c r="F126"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96.425056898463581</v>
      </c>
      <c r="G126"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38.731843547591978</v>
      </c>
      <c r="H126"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11.683093801553159</v>
      </c>
      <c r="I126"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11.347654230131184</v>
      </c>
      <c r="J126"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11.161987824561361</v>
      </c>
      <c r="K126"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9.0383934391918999</v>
      </c>
      <c r="L126"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Maintenance'!$A:$A,AvgAnnualMaintRate[[#Headers],[AusNet]],'2.8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28.650216367047609</v>
      </c>
      <c r="M126"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Maintenance'!$A:$A,AvgAnnualMaintRate[[#Headers],[SA Power]],'2.8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22.718472705357279</v>
      </c>
      <c r="N126" s="127"/>
      <c r="O126" s="127"/>
    </row>
    <row r="127" spans="1:15">
      <c r="A127" s="6" t="s">
        <v>1390</v>
      </c>
      <c r="B127" s="29" t="s">
        <v>1387</v>
      </c>
      <c r="C127" s="27" t="s">
        <v>1530</v>
      </c>
      <c r="D127"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23952.12947189097</v>
      </c>
      <c r="E127"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28335.54875567511</v>
      </c>
      <c r="F127"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22300.982487912086</v>
      </c>
      <c r="G127"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45471.279174560674</v>
      </c>
      <c r="H127"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15546.60880769231</v>
      </c>
      <c r="I127"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15845.57142583647</v>
      </c>
      <c r="J127"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15100.756547755675</v>
      </c>
      <c r="K127"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8460.8038008183721</v>
      </c>
      <c r="L127"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Maintenance'!$A:$A,AvgAnnualMaintRate[[#Headers],[AusNet]],'2.8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29700.169116346264</v>
      </c>
      <c r="M127"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Maintenance'!$A:$A,AvgAnnualMaintRate[[#Headers],[SA Power]],'2.8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14368.975468234476</v>
      </c>
      <c r="N127" s="127"/>
      <c r="O127" s="127"/>
    </row>
    <row r="128" spans="1:15">
      <c r="A128" s="6" t="s">
        <v>1389</v>
      </c>
      <c r="B128" s="29" t="s">
        <v>1323</v>
      </c>
      <c r="C128" s="27" t="s">
        <v>1524</v>
      </c>
      <c r="D128"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32.885592116869255</v>
      </c>
      <c r="E128"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23.233499543601617</v>
      </c>
      <c r="F128"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5.9588381793457505E-5</v>
      </c>
      <c r="G128"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32.35983674641529</v>
      </c>
      <c r="H128"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0</v>
      </c>
      <c r="I128"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54.089260718888987</v>
      </c>
      <c r="J128" s="127">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54.088898452562205</v>
      </c>
      <c r="K128" s="127" t="str">
        <f>IFERROR(SUMIFS('2.8 Maintenance'!$AN:$AN,'2.8 Maintenance'!$A:$A,AvgAnnualMaintRate[#Headers],'2.8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
      </c>
      <c r="L128"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Maintenance'!$A:$A,AvgAnnualMaintRate[[#Headers],[AusNet]],'2.8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20.039092513504986</v>
      </c>
      <c r="M128" s="127">
        <f>IFERROR((SUMIFS('2.8 Maintenance'!$AN:$AN,'2.8 Maintenance'!$A:$A,AvgAnnualMaintRate[[#Headers],[Powercor]],'2.8 Maintenance'!$AO:$AO,IF(AvgAnnualMaintRate[[#This Row],[Group]]="Total","=*",AvgAnnualMaintRate[[#This Row],[Group]]),'2.8 Maintenance'!$AP:$AP,IF(AvgAnnualMaintRate[[#This Row],[Category]]="Total","=*",AvgAnnualMaintRate[[#This Row],[Category]]))+SUMIFS('2.8 Maintenance'!$AN:$AN,'2.8 Maintenance'!$A:$A,AvgAnnualMaintRate[[#Headers],[SA Power]],'2.8 Maintenance'!$AO:$AO,IF(AvgAnnualMaintRate[[#This Row],[Group]]="Total","=*",AvgAnnualMaintRate[[#This Row],[Group]]),'2.8 Maintenance'!$AP:$AP,IF(AvgAnnualMaintRate[[#This Row],[Category]]="Total","=*",AvgAnnualMaintRate[[#This Row],[Category]])))*1000/VLOOKUP(AvgAnnualMaintRate[[#This Row],[Normalised by]],Network_Size_Comparison[#All],MATCH(AvgAnnualMaintRate[#Headers],Network_Size_Comparison[#Headers],0),FALSE)/5,"")</f>
        <v>32.35983674641529</v>
      </c>
      <c r="N128" s="127"/>
      <c r="O128" s="127"/>
    </row>
    <row r="129" spans="1:15">
      <c r="L129" s="128"/>
    </row>
    <row r="130" spans="1:15" ht="18.75">
      <c r="A130" s="77" t="s">
        <v>1443</v>
      </c>
      <c r="C130" s="77"/>
    </row>
    <row r="131" spans="1:15" s="31" customFormat="1" ht="30">
      <c r="A131" s="31" t="s">
        <v>1386</v>
      </c>
      <c r="B131" s="134" t="s">
        <v>1334</v>
      </c>
      <c r="C131" s="31" t="s">
        <v>1388</v>
      </c>
      <c r="D131" s="31" t="s">
        <v>574</v>
      </c>
      <c r="E131" s="31" t="s">
        <v>1147</v>
      </c>
      <c r="F131" s="31" t="s">
        <v>575</v>
      </c>
      <c r="G131" s="31" t="s">
        <v>310</v>
      </c>
      <c r="H131" s="31" t="s">
        <v>1674</v>
      </c>
      <c r="I131" s="131" t="s">
        <v>1560</v>
      </c>
      <c r="J131" s="31" t="s">
        <v>0</v>
      </c>
      <c r="K131" s="31" t="s">
        <v>1218</v>
      </c>
      <c r="L131" s="31" t="s">
        <v>1675</v>
      </c>
      <c r="M131" s="31" t="s">
        <v>1676</v>
      </c>
      <c r="N131" s="175" t="s">
        <v>1569</v>
      </c>
      <c r="O131" s="131" t="s">
        <v>1677</v>
      </c>
    </row>
    <row r="132" spans="1:15" s="119" customFormat="1">
      <c r="A132" s="124" t="s">
        <v>6</v>
      </c>
      <c r="B132" s="124" t="s">
        <v>6</v>
      </c>
      <c r="C132" s="27" t="s">
        <v>1214</v>
      </c>
      <c r="D13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73171460</v>
      </c>
      <c r="E13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76962400.992572397</v>
      </c>
      <c r="F13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34899362.836552277</v>
      </c>
      <c r="G13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44792059.04792361</v>
      </c>
      <c r="H13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22353786.380000003</v>
      </c>
      <c r="I13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92438507.244635612</v>
      </c>
      <c r="J13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92438507.244635612</v>
      </c>
      <c r="K13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20270171.6312452</v>
      </c>
      <c r="L132"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67145845.427923635</v>
      </c>
      <c r="M132"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65062230.679168805</v>
      </c>
      <c r="N132" s="127"/>
      <c r="O132" s="127"/>
    </row>
    <row r="133" spans="1:15" s="119" customFormat="1">
      <c r="A133" s="124" t="s">
        <v>6</v>
      </c>
      <c r="B133" s="124" t="s">
        <v>6</v>
      </c>
      <c r="C133" s="27" t="s">
        <v>1</v>
      </c>
      <c r="D13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156.04951172853856</v>
      </c>
      <c r="E13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76.601836149815213</v>
      </c>
      <c r="F13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114.11658689221925</v>
      </c>
      <c r="G13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81.801969526877286</v>
      </c>
      <c r="H13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60.067087414381966</v>
      </c>
      <c r="I13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66.798889204575687</v>
      </c>
      <c r="J13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70.252116181302341</v>
      </c>
      <c r="K13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27.40289983121092</v>
      </c>
      <c r="L133"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73.007310346394235</v>
      </c>
      <c r="M133"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50.542564826166888</v>
      </c>
      <c r="N133" s="127"/>
      <c r="O133" s="127"/>
    </row>
    <row r="134" spans="1:15" s="119" customFormat="1">
      <c r="A134" s="124" t="s">
        <v>6</v>
      </c>
      <c r="B134" s="124" t="s">
        <v>6</v>
      </c>
      <c r="C134" s="27" t="s">
        <v>718</v>
      </c>
      <c r="D13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2838.9153852735303</v>
      </c>
      <c r="E13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497.93385543611339</v>
      </c>
      <c r="F13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1224.8520976757111</v>
      </c>
      <c r="G13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650.63977432631032</v>
      </c>
      <c r="H13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581.40495920845933</v>
      </c>
      <c r="I13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505.7073877048166</v>
      </c>
      <c r="J13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498.89817091087355</v>
      </c>
      <c r="K13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284.83744071785173</v>
      </c>
      <c r="L134"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625.82937803934294</v>
      </c>
      <c r="M134"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464.70665187100377</v>
      </c>
      <c r="N134" s="127"/>
      <c r="O134" s="127"/>
    </row>
    <row r="135" spans="1:15" s="119" customFormat="1">
      <c r="A135" s="124" t="s">
        <v>6</v>
      </c>
      <c r="B135" s="124" t="s">
        <v>6</v>
      </c>
      <c r="C135" s="27" t="s">
        <v>1570</v>
      </c>
      <c r="D135"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2649.1694903427765</v>
      </c>
      <c r="E135"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494.66234165310317</v>
      </c>
      <c r="F135"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1145.3965362000674</v>
      </c>
      <c r="G135"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643.34461555416067</v>
      </c>
      <c r="H135"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569.9742683523325</v>
      </c>
      <c r="I135"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503.13802639148378</v>
      </c>
      <c r="J135"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496.17424834938458</v>
      </c>
      <c r="K135"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276.70541201922208</v>
      </c>
      <c r="L135"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616.90730997801825</v>
      </c>
      <c r="M135"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455.3654245801975</v>
      </c>
      <c r="N135" s="127"/>
      <c r="O135" s="127"/>
    </row>
    <row r="136" spans="1:15" s="119" customFormat="1">
      <c r="A136" s="124" t="s">
        <v>6</v>
      </c>
      <c r="B136" s="124" t="s">
        <v>6</v>
      </c>
      <c r="C136" s="27" t="s">
        <v>3</v>
      </c>
      <c r="D136"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E136"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F136"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G136"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H136"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I136"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J136"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K136"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L136" s="127" t="str">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
      </c>
      <c r="M136" s="127" t="str">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
      </c>
      <c r="N136" s="127"/>
      <c r="O136" s="127"/>
    </row>
    <row r="137" spans="1:15" s="119" customFormat="1">
      <c r="A137" s="124" t="s">
        <v>6</v>
      </c>
      <c r="B137" s="124" t="s">
        <v>6</v>
      </c>
      <c r="C137" s="27" t="s">
        <v>1213</v>
      </c>
      <c r="D13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72.908775180515377</v>
      </c>
      <c r="E13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44.212126808607913</v>
      </c>
      <c r="F13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52.806718244922614</v>
      </c>
      <c r="G13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36.793865578878624</v>
      </c>
      <c r="H13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32.31846140310023</v>
      </c>
      <c r="I13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39.577736692006347</v>
      </c>
      <c r="J13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39.451613376271162</v>
      </c>
      <c r="K13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21.809769890326887</v>
      </c>
      <c r="L137"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35.172372141391349</v>
      </c>
      <c r="M137"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30.30680337316074</v>
      </c>
      <c r="N137" s="127"/>
      <c r="O137" s="127"/>
    </row>
    <row r="138" spans="1:15" s="119" customFormat="1">
      <c r="A138" s="124" t="s">
        <v>6</v>
      </c>
      <c r="B138" s="124" t="s">
        <v>6</v>
      </c>
      <c r="C138" s="27" t="s">
        <v>1319</v>
      </c>
      <c r="D13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2950912.1859755302</v>
      </c>
      <c r="E13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332201.64746988256</v>
      </c>
      <c r="F13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724207.47912062402</v>
      </c>
      <c r="G13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449728.48092167347</v>
      </c>
      <c r="H13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341345.78511605394</v>
      </c>
      <c r="I13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410183.06207990798</v>
      </c>
      <c r="J13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403471.78825912299</v>
      </c>
      <c r="K13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195509.29351785575</v>
      </c>
      <c r="L138"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805052.74906671687</v>
      </c>
      <c r="M138"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639382.16181615251</v>
      </c>
      <c r="N138" s="127"/>
      <c r="O138" s="127"/>
    </row>
    <row r="139" spans="1:15">
      <c r="A139" s="6" t="s">
        <v>1389</v>
      </c>
      <c r="B139" s="124" t="s">
        <v>6</v>
      </c>
      <c r="C139" s="27" t="s">
        <v>1214</v>
      </c>
      <c r="D13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59111560</v>
      </c>
      <c r="E13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57949247.777514398</v>
      </c>
      <c r="F13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24752415.804552265</v>
      </c>
      <c r="G13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38426079.963485114</v>
      </c>
      <c r="H13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19928515.406000003</v>
      </c>
      <c r="I13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75650449.428086668</v>
      </c>
      <c r="J13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75650449.428086668</v>
      </c>
      <c r="K13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14034559.230042059</v>
      </c>
      <c r="L139"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58354595.369485117</v>
      </c>
      <c r="M139"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52460639.19352717</v>
      </c>
      <c r="N139" s="127"/>
      <c r="O139" s="127"/>
    </row>
    <row r="140" spans="1:15">
      <c r="A140" s="6" t="s">
        <v>1389</v>
      </c>
      <c r="B140" s="124" t="s">
        <v>6</v>
      </c>
      <c r="C140" s="27" t="s">
        <v>1</v>
      </c>
      <c r="D14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126.0645896024517</v>
      </c>
      <c r="E14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57.677758567935129</v>
      </c>
      <c r="F14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80.937328918626733</v>
      </c>
      <c r="G14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70.176033185866046</v>
      </c>
      <c r="H14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53.550117039771933</v>
      </c>
      <c r="I14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54.667325774198659</v>
      </c>
      <c r="J14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57.493400973305953</v>
      </c>
      <c r="K14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18.973081617287416</v>
      </c>
      <c r="L140"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63.448632259033914</v>
      </c>
      <c r="M140"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40.753217797525295</v>
      </c>
      <c r="N140" s="127"/>
      <c r="O140" s="127"/>
    </row>
    <row r="141" spans="1:15">
      <c r="A141" s="6" t="s">
        <v>1389</v>
      </c>
      <c r="B141" s="124" t="s">
        <v>6</v>
      </c>
      <c r="C141" s="27" t="s">
        <v>718</v>
      </c>
      <c r="D14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2293.4176403138522</v>
      </c>
      <c r="E14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374.92193581987061</v>
      </c>
      <c r="F14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868.72784935183086</v>
      </c>
      <c r="G14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558.16893724258659</v>
      </c>
      <c r="H14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518.32550824933594</v>
      </c>
      <c r="I14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413.86422497852681</v>
      </c>
      <c r="J14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408.29165218316763</v>
      </c>
      <c r="K14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197.21431102863889</v>
      </c>
      <c r="L141"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543.89098674800482</v>
      </c>
      <c r="M141"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374.69984874715044</v>
      </c>
      <c r="N141" s="127"/>
      <c r="O141" s="127"/>
    </row>
    <row r="142" spans="1:15">
      <c r="A142" s="6" t="s">
        <v>1389</v>
      </c>
      <c r="B142" s="124" t="s">
        <v>6</v>
      </c>
      <c r="C142" s="27" t="s">
        <v>572</v>
      </c>
      <c r="D14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4002.4924146255134</v>
      </c>
      <c r="E14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7086.1600703360964</v>
      </c>
      <c r="F14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1565.3999718023829</v>
      </c>
      <c r="G14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6152.9671861890984</v>
      </c>
      <c r="H14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3230.6905817334341</v>
      </c>
      <c r="I14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10130.476213543767</v>
      </c>
      <c r="J14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9296.510778860571</v>
      </c>
      <c r="K14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838.81693627173479</v>
      </c>
      <c r="L142"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4700.8485483659488</v>
      </c>
      <c r="M142"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2283.2299012092049</v>
      </c>
      <c r="N142" s="127"/>
      <c r="O142" s="127"/>
    </row>
    <row r="143" spans="1:15">
      <c r="A143" s="6" t="s">
        <v>1389</v>
      </c>
      <c r="B143" s="124" t="s">
        <v>6</v>
      </c>
      <c r="C143" s="27" t="s">
        <v>1211</v>
      </c>
      <c r="D14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1457.9920343244075</v>
      </c>
      <c r="E14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356.08197965226105</v>
      </c>
      <c r="F14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558.68329471476181</v>
      </c>
      <c r="G14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511.74571518712202</v>
      </c>
      <c r="H14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446.66368390566731</v>
      </c>
      <c r="I14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397.62009878441074</v>
      </c>
      <c r="J14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391.11437583705532</v>
      </c>
      <c r="K14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159.67346988524</v>
      </c>
      <c r="L143"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487.48829916262565</v>
      </c>
      <c r="M143"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321.87679100702655</v>
      </c>
      <c r="N143" s="127"/>
      <c r="O143" s="127"/>
    </row>
    <row r="144" spans="1:15">
      <c r="A144" s="6" t="s">
        <v>1389</v>
      </c>
      <c r="B144" s="124" t="s">
        <v>6</v>
      </c>
      <c r="C144" s="27" t="s">
        <v>4</v>
      </c>
      <c r="D14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1823.5866111368191</v>
      </c>
      <c r="E14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597.51348446665838</v>
      </c>
      <c r="F14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832.82580682185221</v>
      </c>
      <c r="G14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456.67046923708301</v>
      </c>
      <c r="H14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341.35860578965401</v>
      </c>
      <c r="I14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558.83380187990645</v>
      </c>
      <c r="J14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555.74251186840524</v>
      </c>
      <c r="K14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188.87772330317017</v>
      </c>
      <c r="L144"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409.4369746111891</v>
      </c>
      <c r="M144"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331.08848395084328</v>
      </c>
      <c r="N144" s="127"/>
      <c r="O144" s="127"/>
    </row>
    <row r="145" spans="1:15">
      <c r="A145" s="6" t="s">
        <v>1389</v>
      </c>
      <c r="B145" s="124" t="s">
        <v>6</v>
      </c>
      <c r="C145" s="27" t="s">
        <v>3</v>
      </c>
      <c r="D14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E14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F14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G14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H14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I14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J14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K14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L145" s="127" t="str">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
      </c>
      <c r="M145" s="127" t="str">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
      </c>
      <c r="N145" s="127"/>
      <c r="O145" s="127"/>
    </row>
    <row r="146" spans="1:15">
      <c r="A146" s="6" t="s">
        <v>1389</v>
      </c>
      <c r="B146" s="124" t="s">
        <v>6</v>
      </c>
      <c r="C146" s="27" t="s">
        <v>1213</v>
      </c>
      <c r="D14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58.899350082799302</v>
      </c>
      <c r="E14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33.28975523321018</v>
      </c>
      <c r="F14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37.453229544442003</v>
      </c>
      <c r="G14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31.564613258502412</v>
      </c>
      <c r="H14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28.812074385131496</v>
      </c>
      <c r="I14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32.38989526489253</v>
      </c>
      <c r="J14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32.286677614552545</v>
      </c>
      <c r="K14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15.100538509874344</v>
      </c>
      <c r="L146"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30.567334902336221</v>
      </c>
      <c r="M146"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24.43682394949926</v>
      </c>
      <c r="N146" s="127"/>
      <c r="O146" s="127"/>
    </row>
    <row r="147" spans="1:15">
      <c r="A147" s="6" t="s">
        <v>1389</v>
      </c>
      <c r="B147" s="124" t="s">
        <v>6</v>
      </c>
      <c r="C147" s="27" t="s">
        <v>1319</v>
      </c>
      <c r="D14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2383894.2496982259</v>
      </c>
      <c r="E14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250132.99134454766</v>
      </c>
      <c r="F14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513645.04091133131</v>
      </c>
      <c r="G14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385811.74737386877</v>
      </c>
      <c r="H14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304311.52118124726</v>
      </c>
      <c r="I14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335688.38267814607</v>
      </c>
      <c r="J14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330195.96511417895</v>
      </c>
      <c r="K14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135365.73887073039</v>
      </c>
      <c r="L147"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699649.05681779026</v>
      </c>
      <c r="M147"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515543.29674334341</v>
      </c>
      <c r="N147" s="127"/>
      <c r="O147" s="127"/>
    </row>
    <row r="148" spans="1:15">
      <c r="A148" s="6" t="s">
        <v>1390</v>
      </c>
      <c r="B148" s="124" t="s">
        <v>6</v>
      </c>
      <c r="C148" s="27" t="s">
        <v>1214</v>
      </c>
      <c r="D14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14059900</v>
      </c>
      <c r="E14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19013153.215057999</v>
      </c>
      <c r="F14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10146947.032</v>
      </c>
      <c r="G14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6365979.0844384944</v>
      </c>
      <c r="H14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2425270.9740000004</v>
      </c>
      <c r="I14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16788057.816548925</v>
      </c>
      <c r="J14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16788057.816548925</v>
      </c>
      <c r="K148"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6235612.4012031406</v>
      </c>
      <c r="L148"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8791250.0584384948</v>
      </c>
      <c r="M148"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12601591.485641634</v>
      </c>
      <c r="N148" s="127"/>
      <c r="O148" s="127"/>
    </row>
    <row r="149" spans="1:15">
      <c r="A149" s="6" t="s">
        <v>1390</v>
      </c>
      <c r="B149" s="124" t="s">
        <v>6</v>
      </c>
      <c r="C149" s="27" t="s">
        <v>1</v>
      </c>
      <c r="D14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29.984922126086854</v>
      </c>
      <c r="E14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18.924077581880091</v>
      </c>
      <c r="F14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33.179257973592478</v>
      </c>
      <c r="G14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11.625936341011228</v>
      </c>
      <c r="H14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6.5169703746100343</v>
      </c>
      <c r="I14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12.131563430377019</v>
      </c>
      <c r="J14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12.75871520799638</v>
      </c>
      <c r="K149"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8.4298182139235038</v>
      </c>
      <c r="L149"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9.5586780873603043</v>
      </c>
      <c r="M149"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9.7893470286415916</v>
      </c>
      <c r="N149" s="127"/>
      <c r="O149" s="127"/>
    </row>
    <row r="150" spans="1:15">
      <c r="A150" s="6" t="s">
        <v>1390</v>
      </c>
      <c r="B150" s="124" t="s">
        <v>6</v>
      </c>
      <c r="C150" s="27" t="s">
        <v>718</v>
      </c>
      <c r="D15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545.49774495967836</v>
      </c>
      <c r="E15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123.01191961624286</v>
      </c>
      <c r="F15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356.12424832387995</v>
      </c>
      <c r="G15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92.470837083723637</v>
      </c>
      <c r="H15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63.079450959123392</v>
      </c>
      <c r="I15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91.843162726289776</v>
      </c>
      <c r="J15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90.60651872770589</v>
      </c>
      <c r="K150"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87.623129689212817</v>
      </c>
      <c r="L150"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81.938391291337922</v>
      </c>
      <c r="M150"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90.006803123853246</v>
      </c>
      <c r="N150" s="127"/>
      <c r="O150" s="127"/>
    </row>
    <row r="151" spans="1:15">
      <c r="A151" s="6" t="s">
        <v>1390</v>
      </c>
      <c r="B151" s="124" t="s">
        <v>6</v>
      </c>
      <c r="C151" s="27" t="s">
        <v>572</v>
      </c>
      <c r="D15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952.0074093864763</v>
      </c>
      <c r="E15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2324.9697328427569</v>
      </c>
      <c r="F15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641.71637722940193</v>
      </c>
      <c r="G15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1019.3509317561839</v>
      </c>
      <c r="H15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393.17028560462916</v>
      </c>
      <c r="I15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2248.1164575739358</v>
      </c>
      <c r="J15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2063.0460443733655</v>
      </c>
      <c r="K151"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372.68981550620305</v>
      </c>
      <c r="L151"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708.19332760112161</v>
      </c>
      <c r="M151"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548.45558356045274</v>
      </c>
      <c r="N151" s="127"/>
      <c r="O151" s="127"/>
    </row>
    <row r="152" spans="1:15">
      <c r="A152" s="6" t="s">
        <v>1390</v>
      </c>
      <c r="B152" s="124" t="s">
        <v>6</v>
      </c>
      <c r="C152" s="27" t="s">
        <v>1211</v>
      </c>
      <c r="D15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346.78871955667785</v>
      </c>
      <c r="E15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116.8305283658334</v>
      </c>
      <c r="F15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229.02531388840634</v>
      </c>
      <c r="G15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84.779985950374567</v>
      </c>
      <c r="H15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54.358312480726781</v>
      </c>
      <c r="I15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88.238328494797571</v>
      </c>
      <c r="J15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86.79460339065956</v>
      </c>
      <c r="K152"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70.94357953388716</v>
      </c>
      <c r="L152"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73.441200497854283</v>
      </c>
      <c r="M152"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77.318154931674286</v>
      </c>
      <c r="N152" s="127"/>
      <c r="O152" s="127"/>
    </row>
    <row r="153" spans="1:15">
      <c r="A153" s="6" t="s">
        <v>1390</v>
      </c>
      <c r="B153" s="124" t="s">
        <v>6</v>
      </c>
      <c r="C153" s="27" t="s">
        <v>4</v>
      </c>
      <c r="D15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433.74672219651393</v>
      </c>
      <c r="E15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196.0442260069496</v>
      </c>
      <c r="F15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341.40664957437497</v>
      </c>
      <c r="G15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75.655769685758884</v>
      </c>
      <c r="H15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41.542839568345329</v>
      </c>
      <c r="I15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124.01425565514974</v>
      </c>
      <c r="J15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123.3282484227653</v>
      </c>
      <c r="K153"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83.919149467776606</v>
      </c>
      <c r="L153"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61.682594218787678</v>
      </c>
      <c r="M153"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79.53089944172342</v>
      </c>
      <c r="N153" s="127"/>
      <c r="O153" s="127"/>
    </row>
    <row r="154" spans="1:15">
      <c r="A154" s="181" t="s">
        <v>1390</v>
      </c>
      <c r="B154" s="124" t="s">
        <v>6</v>
      </c>
      <c r="C154" s="184" t="s">
        <v>1530</v>
      </c>
      <c r="D154"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23952.12947189097</v>
      </c>
      <c r="E154" s="185">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28335.54875567511</v>
      </c>
      <c r="F154" s="185">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22300.982487912086</v>
      </c>
      <c r="G154" s="185">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45471.279174560674</v>
      </c>
      <c r="H154" s="185">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15546.60880769231</v>
      </c>
      <c r="I154" s="185">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16236.032704592773</v>
      </c>
      <c r="J154" s="185">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15472.864347049701</v>
      </c>
      <c r="K154" s="185">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8460.8038008183721</v>
      </c>
      <c r="L154" s="185">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29700.169116346264</v>
      </c>
      <c r="M154" s="185">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14368.975468234476</v>
      </c>
      <c r="N154" s="127"/>
      <c r="O154" s="127"/>
    </row>
    <row r="155" spans="1:15">
      <c r="A155" s="6" t="s">
        <v>1390</v>
      </c>
      <c r="B155" s="124" t="s">
        <v>6</v>
      </c>
      <c r="C155" s="27" t="s">
        <v>3</v>
      </c>
      <c r="D15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E15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F15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G15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H15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I15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J15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K155" s="127" t="str">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
      </c>
      <c r="L155" s="127" t="str">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
      </c>
      <c r="M155" s="127" t="str">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
      </c>
      <c r="N155" s="127"/>
      <c r="O155" s="127"/>
    </row>
    <row r="156" spans="1:15">
      <c r="A156" s="6" t="s">
        <v>1390</v>
      </c>
      <c r="B156" s="124" t="s">
        <v>6</v>
      </c>
      <c r="C156" s="27" t="s">
        <v>1213</v>
      </c>
      <c r="D15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14.009425097716079</v>
      </c>
      <c r="E15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10.92237157539774</v>
      </c>
      <c r="F15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15.353488700480593</v>
      </c>
      <c r="G15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5.2292523203762107</v>
      </c>
      <c r="H15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3.5063870179687333</v>
      </c>
      <c r="I15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7.1878414271138151</v>
      </c>
      <c r="J15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7.1649357617186187</v>
      </c>
      <c r="K156"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6.7092313804525432</v>
      </c>
      <c r="L156"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4.6050372390551182</v>
      </c>
      <c r="M156"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5.86997942366148</v>
      </c>
      <c r="N156" s="127"/>
      <c r="O156" s="127"/>
    </row>
    <row r="157" spans="1:15">
      <c r="A157" s="6" t="s">
        <v>1390</v>
      </c>
      <c r="B157" s="124" t="s">
        <v>6</v>
      </c>
      <c r="C157" s="27" t="s">
        <v>1319</v>
      </c>
      <c r="D15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567017.93627730489</v>
      </c>
      <c r="E15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82068.65612533495</v>
      </c>
      <c r="F15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210562.43820929248</v>
      </c>
      <c r="G15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63916.733547804739</v>
      </c>
      <c r="H15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37034.263934806673</v>
      </c>
      <c r="I15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74494.679401761881</v>
      </c>
      <c r="J15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73275.823144944006</v>
      </c>
      <c r="K157" s="127">
        <f>IFERROR(SUMIFS('2.8 Maintenance'!$AN:$AN,'2.8 Maintenance'!$A:$A,Table3335[#Headers],'2.8 Maintenance'!$AO:$AO,IF(Table3335[[#This Row],[Group]]="Total","=*",Table3335[[#This Row],[Group]]),'2.8 Maintenance'!$AP:$AP,IF(Table3335[[#This Row],[Category]]="Total","=*",Table3335[[#This Row],[Category]]))*1000/VLOOKUP(Table3335[[#This Row],[Normalised by]],Network_Size_Comparison[#All],MATCH(Table3335[#Headers],Network_Size_Comparison[#Headers],0),FALSE)/5,"")</f>
        <v>60143.554647125377</v>
      </c>
      <c r="L157" s="127">
        <f>IFERROR((SUMIFS('2.8 Maintenance'!$AN:$AN,'2.8 Maintenance'!$A:$A,Table3335[[#Headers],[Powercor]],'2.8 Maintenance'!$AO:$AO,IF(Table3335[[#This Row],[Group]]="Total","=*",Table3335[[#This Row],[Group]]),'2.8 Maintenance'!$AP:$AP,IF(Table3335[[#This Row],[Category]]="Total","=*",Table3335[[#This Row],[Category]]))+SUMIFS('2.8 Maintenance'!$AN:$AN,'2.8 Maintenance'!$A:$A,Table3335[[#Headers],[AusNet]],'2.8 Maintenance'!$AO:$AO,IF(Table3335[[#This Row],[Group]]="Total","=*",Table3335[[#This Row],[Group]]),'2.8 Maintenance'!$AP:$AP,IF(Table3335[[#This Row],[Category]]="Total","=*",Table3335[[#This Row],[Category]])))*1000/VLOOKUP(Table3335[[#This Row],[Normalised by]],Network_Size_Comparison[#All],MATCH(Table3335[#Headers],Network_Size_Comparison[#Headers],0),FALSE)/5,"")</f>
        <v>105403.69224892643</v>
      </c>
      <c r="M157" s="127">
        <f>IFERROR((SUMIFS('2.8 Maintenance'!$AN:$AN,'2.8 Maintenance'!$A:$A,Table3335[[#Headers],[Powercor]],'2.8 Maintenance'!$AO:$AO,IF(Table3335[[#This Row],[Group]]="Total","=*",Table3335[[#This Row],[Group]]),'2.8 Maintenance'!$AP:$AP,IF(Table3335[[#This Row],[Category]]="Total","=*",Table3335[[#This Row],[Category]]))+SUMIFS('2.8 Maintenance'!$AN:$AN,'2.8 Maintenance'!$A:$A,Table3335[[#Headers],[SA Power]],'2.8 Maintenance'!$AO:$AO,IF(Table3335[[#This Row],[Group]]="Total","=*",Table3335[[#This Row],[Group]]),'2.8 Maintenance'!$AP:$AP,IF(Table3335[[#This Row],[Category]]="Total","=*",Table3335[[#This Row],[Category]])))*1000/VLOOKUP(Table3335[[#This Row],[Normalised by]],Network_Size_Comparison[#All],MATCH(Table3335[#Headers],Network_Size_Comparison[#Headers],0),FALSE)/5,"")</f>
        <v>123838.86507280916</v>
      </c>
      <c r="N157" s="127"/>
      <c r="O157" s="127"/>
    </row>
  </sheetData>
  <conditionalFormatting sqref="D3:M3">
    <cfRule type="colorScale" priority="571">
      <colorScale>
        <cfvo type="min"/>
        <cfvo type="max"/>
        <color rgb="FFFFEFEF"/>
        <color rgb="FFFF0000"/>
      </colorScale>
    </cfRule>
  </conditionalFormatting>
  <conditionalFormatting sqref="D4:M4">
    <cfRule type="colorScale" priority="573">
      <colorScale>
        <cfvo type="min"/>
        <cfvo type="max"/>
        <color rgb="FFFFEFEF"/>
        <color rgb="FFFF0000"/>
      </colorScale>
    </cfRule>
  </conditionalFormatting>
  <conditionalFormatting sqref="D5:M5">
    <cfRule type="colorScale" priority="575">
      <colorScale>
        <cfvo type="min"/>
        <cfvo type="max"/>
        <color rgb="FFFFEFEF"/>
        <color rgb="FFFF0000"/>
      </colorScale>
    </cfRule>
  </conditionalFormatting>
  <conditionalFormatting sqref="D6:M6">
    <cfRule type="colorScale" priority="577">
      <colorScale>
        <cfvo type="min"/>
        <cfvo type="max"/>
        <color rgb="FFFFEFEF"/>
        <color rgb="FFFF0000"/>
      </colorScale>
    </cfRule>
  </conditionalFormatting>
  <conditionalFormatting sqref="D7:M7">
    <cfRule type="colorScale" priority="579">
      <colorScale>
        <cfvo type="min"/>
        <cfvo type="max"/>
        <color rgb="FFFFEFEF"/>
        <color rgb="FFFF0000"/>
      </colorScale>
    </cfRule>
  </conditionalFormatting>
  <conditionalFormatting sqref="D8:M8">
    <cfRule type="colorScale" priority="581">
      <colorScale>
        <cfvo type="min"/>
        <cfvo type="max"/>
        <color rgb="FFFFEFEF"/>
        <color rgb="FFFF0000"/>
      </colorScale>
    </cfRule>
  </conditionalFormatting>
  <conditionalFormatting sqref="D9:M9">
    <cfRule type="colorScale" priority="585">
      <colorScale>
        <cfvo type="min"/>
        <cfvo type="max"/>
        <color rgb="FFFFEFEF"/>
        <color rgb="FFFF0000"/>
      </colorScale>
    </cfRule>
  </conditionalFormatting>
  <conditionalFormatting sqref="D10:M10">
    <cfRule type="colorScale" priority="587">
      <colorScale>
        <cfvo type="min"/>
        <cfvo type="max"/>
        <color rgb="FFFFEFEF"/>
        <color rgb="FFFF0000"/>
      </colorScale>
    </cfRule>
  </conditionalFormatting>
  <conditionalFormatting sqref="D11:M11">
    <cfRule type="colorScale" priority="589">
      <colorScale>
        <cfvo type="min"/>
        <cfvo type="max"/>
        <color rgb="FFFFEFEF"/>
        <color rgb="FFFF0000"/>
      </colorScale>
    </cfRule>
  </conditionalFormatting>
  <conditionalFormatting sqref="D12:M12">
    <cfRule type="colorScale" priority="591">
      <colorScale>
        <cfvo type="min"/>
        <cfvo type="max"/>
        <color rgb="FFFFEFEF"/>
        <color rgb="FFFF0000"/>
      </colorScale>
    </cfRule>
  </conditionalFormatting>
  <conditionalFormatting sqref="D13:M13">
    <cfRule type="colorScale" priority="593">
      <colorScale>
        <cfvo type="min"/>
        <cfvo type="max"/>
        <color rgb="FFFFEFEF"/>
        <color rgb="FFFF0000"/>
      </colorScale>
    </cfRule>
  </conditionalFormatting>
  <conditionalFormatting sqref="D17:M17">
    <cfRule type="colorScale" priority="594">
      <colorScale>
        <cfvo type="min"/>
        <cfvo type="max"/>
        <color rgb="FFFFEFEF"/>
        <color rgb="FFFF0000"/>
      </colorScale>
    </cfRule>
  </conditionalFormatting>
  <conditionalFormatting sqref="D18:M18">
    <cfRule type="colorScale" priority="596">
      <colorScale>
        <cfvo type="min"/>
        <cfvo type="max"/>
        <color rgb="FFFFEFEF"/>
        <color rgb="FFFF0000"/>
      </colorScale>
    </cfRule>
  </conditionalFormatting>
  <conditionalFormatting sqref="D19:M19">
    <cfRule type="colorScale" priority="598">
      <colorScale>
        <cfvo type="min"/>
        <cfvo type="max"/>
        <color rgb="FFFFEFEF"/>
        <color rgb="FFFF0000"/>
      </colorScale>
    </cfRule>
  </conditionalFormatting>
  <conditionalFormatting sqref="D20:M20">
    <cfRule type="colorScale" priority="600">
      <colorScale>
        <cfvo type="min"/>
        <cfvo type="max"/>
        <color rgb="FFFFEFEF"/>
        <color rgb="FFFF0000"/>
      </colorScale>
    </cfRule>
  </conditionalFormatting>
  <conditionalFormatting sqref="D21:M21">
    <cfRule type="colorScale" priority="602">
      <colorScale>
        <cfvo type="min"/>
        <cfvo type="max"/>
        <color rgb="FFFFEFEF"/>
        <color rgb="FFFF0000"/>
      </colorScale>
    </cfRule>
  </conditionalFormatting>
  <conditionalFormatting sqref="D22:M22">
    <cfRule type="colorScale" priority="604">
      <colorScale>
        <cfvo type="min"/>
        <cfvo type="max"/>
        <color rgb="FFFFEFEF"/>
        <color rgb="FFFF0000"/>
      </colorScale>
    </cfRule>
  </conditionalFormatting>
  <conditionalFormatting sqref="D23:M23">
    <cfRule type="colorScale" priority="608">
      <colorScale>
        <cfvo type="min"/>
        <cfvo type="max"/>
        <color rgb="FFFFEFEF"/>
        <color rgb="FFFF0000"/>
      </colorScale>
    </cfRule>
  </conditionalFormatting>
  <conditionalFormatting sqref="D24:M24">
    <cfRule type="colorScale" priority="610">
      <colorScale>
        <cfvo type="min"/>
        <cfvo type="max"/>
        <color rgb="FFFFEFEF"/>
        <color rgb="FFFF0000"/>
      </colorScale>
    </cfRule>
  </conditionalFormatting>
  <conditionalFormatting sqref="D25:M25">
    <cfRule type="colorScale" priority="612">
      <colorScale>
        <cfvo type="min"/>
        <cfvo type="max"/>
        <color rgb="FFFFEFEF"/>
        <color rgb="FFFF0000"/>
      </colorScale>
    </cfRule>
  </conditionalFormatting>
  <conditionalFormatting sqref="D26:M26">
    <cfRule type="colorScale" priority="614">
      <colorScale>
        <cfvo type="min"/>
        <cfvo type="max"/>
        <color rgb="FFFFEFEF"/>
        <color rgb="FFFF0000"/>
      </colorScale>
    </cfRule>
  </conditionalFormatting>
  <conditionalFormatting sqref="D27:M27">
    <cfRule type="colorScale" priority="616">
      <colorScale>
        <cfvo type="min"/>
        <cfvo type="max"/>
        <color rgb="FFFFEFEF"/>
        <color rgb="FFFF0000"/>
      </colorScale>
    </cfRule>
  </conditionalFormatting>
  <conditionalFormatting sqref="D31:M31">
    <cfRule type="colorScale" priority="617">
      <colorScale>
        <cfvo type="min"/>
        <cfvo type="max"/>
        <color rgb="FFFFEFEF"/>
        <color rgb="FFFF0000"/>
      </colorScale>
    </cfRule>
  </conditionalFormatting>
  <conditionalFormatting sqref="D32:M32">
    <cfRule type="colorScale" priority="619">
      <colorScale>
        <cfvo type="min"/>
        <cfvo type="max"/>
        <color rgb="FFFFEFEF"/>
        <color rgb="FFFF0000"/>
      </colorScale>
    </cfRule>
  </conditionalFormatting>
  <conditionalFormatting sqref="D33:M33">
    <cfRule type="colorScale" priority="621">
      <colorScale>
        <cfvo type="min"/>
        <cfvo type="max"/>
        <color rgb="FFFFEFEF"/>
        <color rgb="FFFF0000"/>
      </colorScale>
    </cfRule>
  </conditionalFormatting>
  <conditionalFormatting sqref="D34:M34">
    <cfRule type="colorScale" priority="623">
      <colorScale>
        <cfvo type="min"/>
        <cfvo type="max"/>
        <color rgb="FFFFEFEF"/>
        <color rgb="FFFF0000"/>
      </colorScale>
    </cfRule>
  </conditionalFormatting>
  <conditionalFormatting sqref="D35:M35">
    <cfRule type="colorScale" priority="625">
      <colorScale>
        <cfvo type="min"/>
        <cfvo type="max"/>
        <color rgb="FFFFEFEF"/>
        <color rgb="FFFF0000"/>
      </colorScale>
    </cfRule>
  </conditionalFormatting>
  <conditionalFormatting sqref="D36:M36">
    <cfRule type="colorScale" priority="627">
      <colorScale>
        <cfvo type="min"/>
        <cfvo type="max"/>
        <color rgb="FFFFEFEF"/>
        <color rgb="FFFF0000"/>
      </colorScale>
    </cfRule>
  </conditionalFormatting>
  <conditionalFormatting sqref="D37:M37">
    <cfRule type="colorScale" priority="631">
      <colorScale>
        <cfvo type="min"/>
        <cfvo type="max"/>
        <color rgb="FFFFEFEF"/>
        <color rgb="FFFF0000"/>
      </colorScale>
    </cfRule>
  </conditionalFormatting>
  <conditionalFormatting sqref="D38:M38">
    <cfRule type="colorScale" priority="633">
      <colorScale>
        <cfvo type="min"/>
        <cfvo type="max"/>
        <color rgb="FFFFEFEF"/>
        <color rgb="FFFF0000"/>
      </colorScale>
    </cfRule>
  </conditionalFormatting>
  <conditionalFormatting sqref="D39:M39">
    <cfRule type="colorScale" priority="635">
      <colorScale>
        <cfvo type="min"/>
        <cfvo type="max"/>
        <color rgb="FFFFEFEF"/>
        <color rgb="FFFF0000"/>
      </colorScale>
    </cfRule>
  </conditionalFormatting>
  <conditionalFormatting sqref="D40:M40">
    <cfRule type="colorScale" priority="637">
      <colorScale>
        <cfvo type="min"/>
        <cfvo type="max"/>
        <color rgb="FFFFEFEF"/>
        <color rgb="FFFF0000"/>
      </colorScale>
    </cfRule>
  </conditionalFormatting>
  <conditionalFormatting sqref="D41:M41">
    <cfRule type="colorScale" priority="639">
      <colorScale>
        <cfvo type="min"/>
        <cfvo type="max"/>
        <color rgb="FFFFEFEF"/>
        <color rgb="FFFF0000"/>
      </colorScale>
    </cfRule>
  </conditionalFormatting>
  <conditionalFormatting sqref="D45:M45">
    <cfRule type="colorScale" priority="640">
      <colorScale>
        <cfvo type="min"/>
        <cfvo type="max"/>
        <color rgb="FFFFEFEF"/>
        <color rgb="FFFF0000"/>
      </colorScale>
    </cfRule>
  </conditionalFormatting>
  <conditionalFormatting sqref="D46:M46">
    <cfRule type="colorScale" priority="642">
      <colorScale>
        <cfvo type="min"/>
        <cfvo type="max"/>
        <color rgb="FFFFEFEF"/>
        <color rgb="FFFF0000"/>
      </colorScale>
    </cfRule>
  </conditionalFormatting>
  <conditionalFormatting sqref="D47:M47">
    <cfRule type="colorScale" priority="644">
      <colorScale>
        <cfvo type="min"/>
        <cfvo type="max"/>
        <color rgb="FFFFEFEF"/>
        <color rgb="FFFF0000"/>
      </colorScale>
    </cfRule>
  </conditionalFormatting>
  <conditionalFormatting sqref="D48:M48">
    <cfRule type="colorScale" priority="646">
      <colorScale>
        <cfvo type="min"/>
        <cfvo type="max"/>
        <color rgb="FFFFEFEF"/>
        <color rgb="FFFF0000"/>
      </colorScale>
    </cfRule>
  </conditionalFormatting>
  <conditionalFormatting sqref="D49:M49">
    <cfRule type="colorScale" priority="648">
      <colorScale>
        <cfvo type="min"/>
        <cfvo type="max"/>
        <color rgb="FFFFEFEF"/>
        <color rgb="FFFF0000"/>
      </colorScale>
    </cfRule>
  </conditionalFormatting>
  <conditionalFormatting sqref="D50:M50">
    <cfRule type="colorScale" priority="650">
      <colorScale>
        <cfvo type="min"/>
        <cfvo type="max"/>
        <color rgb="FFFFEFEF"/>
        <color rgb="FFFF0000"/>
      </colorScale>
    </cfRule>
  </conditionalFormatting>
  <conditionalFormatting sqref="D51:M51">
    <cfRule type="colorScale" priority="654">
      <colorScale>
        <cfvo type="min"/>
        <cfvo type="max"/>
        <color rgb="FFFFEFEF"/>
        <color rgb="FFFF0000"/>
      </colorScale>
    </cfRule>
  </conditionalFormatting>
  <conditionalFormatting sqref="D52:M52">
    <cfRule type="colorScale" priority="656">
      <colorScale>
        <cfvo type="min"/>
        <cfvo type="max"/>
        <color rgb="FFFFEFEF"/>
        <color rgb="FFFF0000"/>
      </colorScale>
    </cfRule>
  </conditionalFormatting>
  <conditionalFormatting sqref="D53:M53">
    <cfRule type="colorScale" priority="658">
      <colorScale>
        <cfvo type="min"/>
        <cfvo type="max"/>
        <color rgb="FFFFEFEF"/>
        <color rgb="FFFF0000"/>
      </colorScale>
    </cfRule>
  </conditionalFormatting>
  <conditionalFormatting sqref="D54:M54">
    <cfRule type="colorScale" priority="660">
      <colorScale>
        <cfvo type="min"/>
        <cfvo type="max"/>
        <color rgb="FFFFEFEF"/>
        <color rgb="FFFF0000"/>
      </colorScale>
    </cfRule>
  </conditionalFormatting>
  <conditionalFormatting sqref="D55:M55">
    <cfRule type="colorScale" priority="662">
      <colorScale>
        <cfvo type="min"/>
        <cfvo type="max"/>
        <color rgb="FFFFEFEF"/>
        <color rgb="FFFF0000"/>
      </colorScale>
    </cfRule>
  </conditionalFormatting>
  <conditionalFormatting sqref="D59:M59">
    <cfRule type="colorScale" priority="663">
      <colorScale>
        <cfvo type="min"/>
        <cfvo type="max"/>
        <color rgb="FFFFEFEF"/>
        <color rgb="FFFF0000"/>
      </colorScale>
    </cfRule>
  </conditionalFormatting>
  <conditionalFormatting sqref="D72:M72">
    <cfRule type="colorScale" priority="682">
      <colorScale>
        <cfvo type="min"/>
        <cfvo type="max"/>
        <color rgb="FFFFEFEF"/>
        <color rgb="FFFF0000"/>
      </colorScale>
    </cfRule>
  </conditionalFormatting>
  <conditionalFormatting sqref="D109:M109">
    <cfRule type="colorScale" priority="721">
      <colorScale>
        <cfvo type="min"/>
        <cfvo type="max"/>
        <color rgb="FFFFEFEF"/>
        <color rgb="FFFF0000"/>
      </colorScale>
    </cfRule>
  </conditionalFormatting>
  <conditionalFormatting sqref="D120:M120">
    <cfRule type="colorScale" priority="738">
      <colorScale>
        <cfvo type="min"/>
        <cfvo type="max"/>
        <color rgb="FFFFEFEF"/>
        <color rgb="FFFF0000"/>
      </colorScale>
    </cfRule>
  </conditionalFormatting>
  <conditionalFormatting sqref="D60:M60">
    <cfRule type="colorScale" priority="76">
      <colorScale>
        <cfvo type="min"/>
        <cfvo type="max"/>
        <color rgb="FFFFEFEF"/>
        <color rgb="FFFF0000"/>
      </colorScale>
    </cfRule>
  </conditionalFormatting>
  <conditionalFormatting sqref="D61:M61">
    <cfRule type="colorScale" priority="75">
      <colorScale>
        <cfvo type="min"/>
        <cfvo type="max"/>
        <color rgb="FFFFEFEF"/>
        <color rgb="FFFF0000"/>
      </colorScale>
    </cfRule>
  </conditionalFormatting>
  <conditionalFormatting sqref="D62:M62">
    <cfRule type="colorScale" priority="74">
      <colorScale>
        <cfvo type="min"/>
        <cfvo type="max"/>
        <color rgb="FFFFEFEF"/>
        <color rgb="FFFF0000"/>
      </colorScale>
    </cfRule>
  </conditionalFormatting>
  <conditionalFormatting sqref="D63:M63">
    <cfRule type="colorScale" priority="73">
      <colorScale>
        <cfvo type="min"/>
        <cfvo type="max"/>
        <color rgb="FFFFEFEF"/>
        <color rgb="FFFF0000"/>
      </colorScale>
    </cfRule>
  </conditionalFormatting>
  <conditionalFormatting sqref="D64:M64">
    <cfRule type="colorScale" priority="72">
      <colorScale>
        <cfvo type="min"/>
        <cfvo type="max"/>
        <color rgb="FFFFEFEF"/>
        <color rgb="FFFF0000"/>
      </colorScale>
    </cfRule>
  </conditionalFormatting>
  <conditionalFormatting sqref="D65:M65">
    <cfRule type="colorScale" priority="70">
      <colorScale>
        <cfvo type="min"/>
        <cfvo type="max"/>
        <color rgb="FFFFEFEF"/>
        <color rgb="FFFF0000"/>
      </colorScale>
    </cfRule>
  </conditionalFormatting>
  <conditionalFormatting sqref="D66:M66">
    <cfRule type="colorScale" priority="69">
      <colorScale>
        <cfvo type="min"/>
        <cfvo type="max"/>
        <color rgb="FFFFEFEF"/>
        <color rgb="FFFF0000"/>
      </colorScale>
    </cfRule>
  </conditionalFormatting>
  <conditionalFormatting sqref="D67:M67">
    <cfRule type="colorScale" priority="68">
      <colorScale>
        <cfvo type="min"/>
        <cfvo type="max"/>
        <color rgb="FFFFEFEF"/>
        <color rgb="FFFF0000"/>
      </colorScale>
    </cfRule>
  </conditionalFormatting>
  <conditionalFormatting sqref="D73:M73">
    <cfRule type="colorScale" priority="67">
      <colorScale>
        <cfvo type="min"/>
        <cfvo type="max"/>
        <color rgb="FFFFEFEF"/>
        <color rgb="FFFF0000"/>
      </colorScale>
    </cfRule>
  </conditionalFormatting>
  <conditionalFormatting sqref="D75:M75">
    <cfRule type="colorScale" priority="66">
      <colorScale>
        <cfvo type="min"/>
        <cfvo type="max"/>
        <color rgb="FFFFEFEF"/>
        <color rgb="FFFF0000"/>
      </colorScale>
    </cfRule>
  </conditionalFormatting>
  <conditionalFormatting sqref="D76:M76">
    <cfRule type="colorScale" priority="65">
      <colorScale>
        <cfvo type="min"/>
        <cfvo type="max"/>
        <color rgb="FFFFEFEF"/>
        <color rgb="FFFF0000"/>
      </colorScale>
    </cfRule>
  </conditionalFormatting>
  <conditionalFormatting sqref="D78:M78">
    <cfRule type="colorScale" priority="64">
      <colorScale>
        <cfvo type="min"/>
        <cfvo type="max"/>
        <color rgb="FFFFEFEF"/>
        <color rgb="FFFF0000"/>
      </colorScale>
    </cfRule>
  </conditionalFormatting>
  <conditionalFormatting sqref="D79:M79">
    <cfRule type="colorScale" priority="63">
      <colorScale>
        <cfvo type="min"/>
        <cfvo type="max"/>
        <color rgb="FFFFEFEF"/>
        <color rgb="FFFF0000"/>
      </colorScale>
    </cfRule>
  </conditionalFormatting>
  <conditionalFormatting sqref="D80:M80">
    <cfRule type="colorScale" priority="62">
      <colorScale>
        <cfvo type="min"/>
        <cfvo type="max"/>
        <color rgb="FFFFEFEF"/>
        <color rgb="FFFF0000"/>
      </colorScale>
    </cfRule>
  </conditionalFormatting>
  <conditionalFormatting sqref="D84:M84">
    <cfRule type="colorScale" priority="61">
      <colorScale>
        <cfvo type="min"/>
        <cfvo type="max"/>
        <color rgb="FFFFEFEF"/>
        <color rgb="FFFF0000"/>
      </colorScale>
    </cfRule>
  </conditionalFormatting>
  <conditionalFormatting sqref="D85:M85">
    <cfRule type="colorScale" priority="60">
      <colorScale>
        <cfvo type="min"/>
        <cfvo type="max"/>
        <color rgb="FFFFEFEF"/>
        <color rgb="FFFF0000"/>
      </colorScale>
    </cfRule>
  </conditionalFormatting>
  <conditionalFormatting sqref="D87:M87">
    <cfRule type="colorScale" priority="59">
      <colorScale>
        <cfvo type="min"/>
        <cfvo type="max"/>
        <color rgb="FFFFEFEF"/>
        <color rgb="FFFF0000"/>
      </colorScale>
    </cfRule>
  </conditionalFormatting>
  <conditionalFormatting sqref="D88:M88">
    <cfRule type="colorScale" priority="58">
      <colorScale>
        <cfvo type="min"/>
        <cfvo type="max"/>
        <color rgb="FFFFEFEF"/>
        <color rgb="FFFF0000"/>
      </colorScale>
    </cfRule>
  </conditionalFormatting>
  <conditionalFormatting sqref="D90:M90">
    <cfRule type="colorScale" priority="57">
      <colorScale>
        <cfvo type="min"/>
        <cfvo type="max"/>
        <color rgb="FFFFEFEF"/>
        <color rgb="FFFF0000"/>
      </colorScale>
    </cfRule>
  </conditionalFormatting>
  <conditionalFormatting sqref="D91:M91">
    <cfRule type="colorScale" priority="56">
      <colorScale>
        <cfvo type="min"/>
        <cfvo type="max"/>
        <color rgb="FFFFEFEF"/>
        <color rgb="FFFF0000"/>
      </colorScale>
    </cfRule>
  </conditionalFormatting>
  <conditionalFormatting sqref="D92:M92">
    <cfRule type="colorScale" priority="55">
      <colorScale>
        <cfvo type="min"/>
        <cfvo type="max"/>
        <color rgb="FFFFEFEF"/>
        <color rgb="FFFF0000"/>
      </colorScale>
    </cfRule>
  </conditionalFormatting>
  <conditionalFormatting sqref="D96:M96">
    <cfRule type="colorScale" priority="54">
      <colorScale>
        <cfvo type="min"/>
        <cfvo type="max"/>
        <color rgb="FFFFEFEF"/>
        <color rgb="FFFF0000"/>
      </colorScale>
    </cfRule>
  </conditionalFormatting>
  <conditionalFormatting sqref="D97:M99">
    <cfRule type="colorScale" priority="53">
      <colorScale>
        <cfvo type="min"/>
        <cfvo type="max"/>
        <color rgb="FFFFEFEF"/>
        <color rgb="FFFF0000"/>
      </colorScale>
    </cfRule>
  </conditionalFormatting>
  <conditionalFormatting sqref="D100:M100">
    <cfRule type="colorScale" priority="52">
      <colorScale>
        <cfvo type="min"/>
        <cfvo type="max"/>
        <color rgb="FFFFEFEF"/>
        <color rgb="FFFF0000"/>
      </colorScale>
    </cfRule>
  </conditionalFormatting>
  <conditionalFormatting sqref="D101:M101">
    <cfRule type="colorScale" priority="51">
      <colorScale>
        <cfvo type="min"/>
        <cfvo type="max"/>
        <color rgb="FFFFEFEF"/>
        <color rgb="FFFF0000"/>
      </colorScale>
    </cfRule>
  </conditionalFormatting>
  <conditionalFormatting sqref="D102:M102">
    <cfRule type="colorScale" priority="50">
      <colorScale>
        <cfvo type="min"/>
        <cfvo type="max"/>
        <color rgb="FFFFEFEF"/>
        <color rgb="FFFF0000"/>
      </colorScale>
    </cfRule>
  </conditionalFormatting>
  <conditionalFormatting sqref="D103:M103">
    <cfRule type="colorScale" priority="49">
      <colorScale>
        <cfvo type="min"/>
        <cfvo type="max"/>
        <color rgb="FFFFEFEF"/>
        <color rgb="FFFF0000"/>
      </colorScale>
    </cfRule>
  </conditionalFormatting>
  <conditionalFormatting sqref="D104:M104">
    <cfRule type="colorScale" priority="48">
      <colorScale>
        <cfvo type="min"/>
        <cfvo type="max"/>
        <color rgb="FFFFEFEF"/>
        <color rgb="FFFF0000"/>
      </colorScale>
    </cfRule>
  </conditionalFormatting>
  <conditionalFormatting sqref="D110:M110">
    <cfRule type="colorScale" priority="47">
      <colorScale>
        <cfvo type="min"/>
        <cfvo type="max"/>
        <color rgb="FFFFEFEF"/>
        <color rgb="FFFF0000"/>
      </colorScale>
    </cfRule>
  </conditionalFormatting>
  <conditionalFormatting sqref="D111:M111">
    <cfRule type="colorScale" priority="46">
      <colorScale>
        <cfvo type="min"/>
        <cfvo type="max"/>
        <color rgb="FFFFEFEF"/>
        <color rgb="FFFF0000"/>
      </colorScale>
    </cfRule>
  </conditionalFormatting>
  <conditionalFormatting sqref="D112:M112">
    <cfRule type="colorScale" priority="45">
      <colorScale>
        <cfvo type="min"/>
        <cfvo type="max"/>
        <color rgb="FFFFEFEF"/>
        <color rgb="FFFF0000"/>
      </colorScale>
    </cfRule>
  </conditionalFormatting>
  <conditionalFormatting sqref="D113:M113">
    <cfRule type="colorScale" priority="44">
      <colorScale>
        <cfvo type="min"/>
        <cfvo type="max"/>
        <color rgb="FFFFEFEF"/>
        <color rgb="FFFF0000"/>
      </colorScale>
    </cfRule>
  </conditionalFormatting>
  <conditionalFormatting sqref="D114:M114">
    <cfRule type="colorScale" priority="43">
      <colorScale>
        <cfvo type="min"/>
        <cfvo type="max"/>
        <color rgb="FFFFEFEF"/>
        <color rgb="FFFF0000"/>
      </colorScale>
    </cfRule>
  </conditionalFormatting>
  <conditionalFormatting sqref="D115:M115">
    <cfRule type="colorScale" priority="42">
      <colorScale>
        <cfvo type="min"/>
        <cfvo type="max"/>
        <color rgb="FFFFEFEF"/>
        <color rgb="FFFF0000"/>
      </colorScale>
    </cfRule>
  </conditionalFormatting>
  <conditionalFormatting sqref="D121:M121">
    <cfRule type="colorScale" priority="41">
      <colorScale>
        <cfvo type="min"/>
        <cfvo type="max"/>
        <color rgb="FFFFEFEF"/>
        <color rgb="FFFF0000"/>
      </colorScale>
    </cfRule>
  </conditionalFormatting>
  <conditionalFormatting sqref="D122:M122">
    <cfRule type="colorScale" priority="40">
      <colorScale>
        <cfvo type="min"/>
        <cfvo type="max"/>
        <color rgb="FFFFEFEF"/>
        <color rgb="FFFF0000"/>
      </colorScale>
    </cfRule>
  </conditionalFormatting>
  <conditionalFormatting sqref="D123:M123">
    <cfRule type="colorScale" priority="39">
      <colorScale>
        <cfvo type="min"/>
        <cfvo type="max"/>
        <color rgb="FFFFEFEF"/>
        <color rgb="FFFF0000"/>
      </colorScale>
    </cfRule>
  </conditionalFormatting>
  <conditionalFormatting sqref="D124:M124">
    <cfRule type="colorScale" priority="38">
      <colorScale>
        <cfvo type="min"/>
        <cfvo type="max"/>
        <color rgb="FFFFEFEF"/>
        <color rgb="FFFF0000"/>
      </colorScale>
    </cfRule>
  </conditionalFormatting>
  <conditionalFormatting sqref="D125:M125">
    <cfRule type="colorScale" priority="37">
      <colorScale>
        <cfvo type="min"/>
        <cfvo type="max"/>
        <color rgb="FFFFEFEF"/>
        <color rgb="FFFF0000"/>
      </colorScale>
    </cfRule>
  </conditionalFormatting>
  <conditionalFormatting sqref="D126:M126">
    <cfRule type="colorScale" priority="36">
      <colorScale>
        <cfvo type="min"/>
        <cfvo type="max"/>
        <color rgb="FFFFEFEF"/>
        <color rgb="FFFF0000"/>
      </colorScale>
    </cfRule>
  </conditionalFormatting>
  <conditionalFormatting sqref="D127:M127">
    <cfRule type="colorScale" priority="35">
      <colorScale>
        <cfvo type="min"/>
        <cfvo type="max"/>
        <color rgb="FFFFEFEF"/>
        <color rgb="FFFF0000"/>
      </colorScale>
    </cfRule>
  </conditionalFormatting>
  <conditionalFormatting sqref="D128:M128">
    <cfRule type="colorScale" priority="34">
      <colorScale>
        <cfvo type="min"/>
        <cfvo type="max"/>
        <color rgb="FFFFEFEF"/>
        <color rgb="FFFF0000"/>
      </colorScale>
    </cfRule>
  </conditionalFormatting>
  <conditionalFormatting sqref="D132:M132">
    <cfRule type="colorScale" priority="33">
      <colorScale>
        <cfvo type="min"/>
        <cfvo type="max"/>
        <color rgb="FFFFEFEF"/>
        <color rgb="FFFF0000"/>
      </colorScale>
    </cfRule>
  </conditionalFormatting>
  <conditionalFormatting sqref="D133:M133">
    <cfRule type="colorScale" priority="32">
      <colorScale>
        <cfvo type="min"/>
        <cfvo type="max"/>
        <color rgb="FFFFEFEF"/>
        <color rgb="FFFF0000"/>
      </colorScale>
    </cfRule>
  </conditionalFormatting>
  <conditionalFormatting sqref="D134:M134">
    <cfRule type="colorScale" priority="31">
      <colorScale>
        <cfvo type="min"/>
        <cfvo type="max"/>
        <color rgb="FFFFEFEF"/>
        <color rgb="FFFF0000"/>
      </colorScale>
    </cfRule>
  </conditionalFormatting>
  <conditionalFormatting sqref="D135:M135">
    <cfRule type="colorScale" priority="30">
      <colorScale>
        <cfvo type="min"/>
        <cfvo type="max"/>
        <color rgb="FFFFEFEF"/>
        <color rgb="FFFF0000"/>
      </colorScale>
    </cfRule>
  </conditionalFormatting>
  <conditionalFormatting sqref="D136:M136">
    <cfRule type="colorScale" priority="29">
      <colorScale>
        <cfvo type="min"/>
        <cfvo type="max"/>
        <color rgb="FFFFEFEF"/>
        <color rgb="FFFF0000"/>
      </colorScale>
    </cfRule>
  </conditionalFormatting>
  <conditionalFormatting sqref="D137:M137">
    <cfRule type="colorScale" priority="28">
      <colorScale>
        <cfvo type="min"/>
        <cfvo type="max"/>
        <color rgb="FFFFEFEF"/>
        <color rgb="FFFF0000"/>
      </colorScale>
    </cfRule>
  </conditionalFormatting>
  <conditionalFormatting sqref="D138:M138">
    <cfRule type="colorScale" priority="27">
      <colorScale>
        <cfvo type="min"/>
        <cfvo type="max"/>
        <color rgb="FFFFEFEF"/>
        <color rgb="FFFF0000"/>
      </colorScale>
    </cfRule>
  </conditionalFormatting>
  <conditionalFormatting sqref="D139:M139">
    <cfRule type="colorScale" priority="26">
      <colorScale>
        <cfvo type="min"/>
        <cfvo type="max"/>
        <color rgb="FFFFEFEF"/>
        <color rgb="FFFF0000"/>
      </colorScale>
    </cfRule>
  </conditionalFormatting>
  <conditionalFormatting sqref="D140:M140">
    <cfRule type="colorScale" priority="25">
      <colorScale>
        <cfvo type="min"/>
        <cfvo type="max"/>
        <color rgb="FFFFEFEF"/>
        <color rgb="FFFF0000"/>
      </colorScale>
    </cfRule>
  </conditionalFormatting>
  <conditionalFormatting sqref="D141:M141">
    <cfRule type="colorScale" priority="24">
      <colorScale>
        <cfvo type="min"/>
        <cfvo type="max"/>
        <color rgb="FFFFEFEF"/>
        <color rgb="FFFF0000"/>
      </colorScale>
    </cfRule>
  </conditionalFormatting>
  <conditionalFormatting sqref="D142:M142">
    <cfRule type="colorScale" priority="23">
      <colorScale>
        <cfvo type="min"/>
        <cfvo type="max"/>
        <color rgb="FFFFEFEF"/>
        <color rgb="FFFF0000"/>
      </colorScale>
    </cfRule>
  </conditionalFormatting>
  <conditionalFormatting sqref="D143:M143">
    <cfRule type="colorScale" priority="22">
      <colorScale>
        <cfvo type="min"/>
        <cfvo type="max"/>
        <color rgb="FFFFEFEF"/>
        <color rgb="FFFF0000"/>
      </colorScale>
    </cfRule>
  </conditionalFormatting>
  <conditionalFormatting sqref="D144:M144">
    <cfRule type="colorScale" priority="21">
      <colorScale>
        <cfvo type="min"/>
        <cfvo type="max"/>
        <color rgb="FFFFEFEF"/>
        <color rgb="FFFF0000"/>
      </colorScale>
    </cfRule>
  </conditionalFormatting>
  <conditionalFormatting sqref="D145:M145">
    <cfRule type="colorScale" priority="20">
      <colorScale>
        <cfvo type="min"/>
        <cfvo type="max"/>
        <color rgb="FFFFEFEF"/>
        <color rgb="FFFF0000"/>
      </colorScale>
    </cfRule>
  </conditionalFormatting>
  <conditionalFormatting sqref="D146:M146">
    <cfRule type="colorScale" priority="19">
      <colorScale>
        <cfvo type="min"/>
        <cfvo type="max"/>
        <color rgb="FFFFEFEF"/>
        <color rgb="FFFF0000"/>
      </colorScale>
    </cfRule>
  </conditionalFormatting>
  <conditionalFormatting sqref="D148:M148">
    <cfRule type="colorScale" priority="18">
      <colorScale>
        <cfvo type="min"/>
        <cfvo type="max"/>
        <color rgb="FFFFEFEF"/>
        <color rgb="FFFF0000"/>
      </colorScale>
    </cfRule>
  </conditionalFormatting>
  <conditionalFormatting sqref="D147:M147">
    <cfRule type="colorScale" priority="17">
      <colorScale>
        <cfvo type="min"/>
        <cfvo type="max"/>
        <color rgb="FFFFEFEF"/>
        <color rgb="FFFF0000"/>
      </colorScale>
    </cfRule>
  </conditionalFormatting>
  <conditionalFormatting sqref="D149:M149">
    <cfRule type="colorScale" priority="16">
      <colorScale>
        <cfvo type="min"/>
        <cfvo type="max"/>
        <color rgb="FFFFEFEF"/>
        <color rgb="FFFF0000"/>
      </colorScale>
    </cfRule>
  </conditionalFormatting>
  <conditionalFormatting sqref="D150:M150">
    <cfRule type="colorScale" priority="15">
      <colorScale>
        <cfvo type="min"/>
        <cfvo type="max"/>
        <color rgb="FFFFEFEF"/>
        <color rgb="FFFF0000"/>
      </colorScale>
    </cfRule>
  </conditionalFormatting>
  <conditionalFormatting sqref="D151:M151">
    <cfRule type="colorScale" priority="14">
      <colorScale>
        <cfvo type="min"/>
        <cfvo type="max"/>
        <color rgb="FFFFEFEF"/>
        <color rgb="FFFF0000"/>
      </colorScale>
    </cfRule>
  </conditionalFormatting>
  <conditionalFormatting sqref="D152:M152">
    <cfRule type="colorScale" priority="13">
      <colorScale>
        <cfvo type="min"/>
        <cfvo type="max"/>
        <color rgb="FFFFEFEF"/>
        <color rgb="FFFF0000"/>
      </colorScale>
    </cfRule>
  </conditionalFormatting>
  <conditionalFormatting sqref="D153:M154">
    <cfRule type="colorScale" priority="12">
      <colorScale>
        <cfvo type="min"/>
        <cfvo type="max"/>
        <color rgb="FFFFEFEF"/>
        <color rgb="FFFF0000"/>
      </colorScale>
    </cfRule>
  </conditionalFormatting>
  <conditionalFormatting sqref="D155:M155">
    <cfRule type="colorScale" priority="11">
      <colorScale>
        <cfvo type="min"/>
        <cfvo type="max"/>
        <color rgb="FFFFEFEF"/>
        <color rgb="FFFF0000"/>
      </colorScale>
    </cfRule>
  </conditionalFormatting>
  <conditionalFormatting sqref="D156:M156">
    <cfRule type="colorScale" priority="10">
      <colorScale>
        <cfvo type="min"/>
        <cfvo type="max"/>
        <color rgb="FFFFEFEF"/>
        <color rgb="FFFF0000"/>
      </colorScale>
    </cfRule>
  </conditionalFormatting>
  <conditionalFormatting sqref="D157:M157">
    <cfRule type="colorScale" priority="9">
      <colorScale>
        <cfvo type="min"/>
        <cfvo type="max"/>
        <color rgb="FFFFEFEF"/>
        <color rgb="FFFF0000"/>
      </colorScale>
    </cfRule>
  </conditionalFormatting>
  <conditionalFormatting sqref="D86:M86">
    <cfRule type="colorScale" priority="6">
      <colorScale>
        <cfvo type="min"/>
        <cfvo type="max"/>
        <color rgb="FFFFEFEF"/>
        <color rgb="FFFF0000"/>
      </colorScale>
    </cfRule>
  </conditionalFormatting>
  <conditionalFormatting sqref="D89:M89">
    <cfRule type="colorScale" priority="5">
      <colorScale>
        <cfvo type="min"/>
        <cfvo type="max"/>
        <color rgb="FFFFEFEF"/>
        <color rgb="FFFF0000"/>
      </colorScale>
    </cfRule>
  </conditionalFormatting>
  <conditionalFormatting sqref="D74:M74">
    <cfRule type="colorScale" priority="4">
      <colorScale>
        <cfvo type="min"/>
        <cfvo type="max"/>
        <color rgb="FFFFEFEF"/>
        <color rgb="FFFF0000"/>
      </colorScale>
    </cfRule>
  </conditionalFormatting>
  <conditionalFormatting sqref="D77:M77">
    <cfRule type="colorScale" priority="3">
      <colorScale>
        <cfvo type="min"/>
        <cfvo type="max"/>
        <color rgb="FFFFEFEF"/>
        <color rgb="FFFF0000"/>
      </colorScale>
    </cfRule>
  </conditionalFormatting>
  <dataValidations count="4">
    <dataValidation type="list" allowBlank="1" showInputMessage="1" showErrorMessage="1" sqref="C132:C157">
      <formula1>$A$34:$A$50</formula1>
    </dataValidation>
    <dataValidation type="list" allowBlank="1" showInputMessage="1" showErrorMessage="1" sqref="C96:C104">
      <formula1>$A$36:$A$66</formula1>
    </dataValidation>
    <dataValidation type="list" allowBlank="1" showInputMessage="1" showErrorMessage="1" sqref="C109:C115">
      <formula1>$A$36:$A$66</formula1>
    </dataValidation>
    <dataValidation type="list" allowBlank="1" showInputMessage="1" showErrorMessage="1" sqref="C72:C80">
      <formula1>$A$36:$A$66</formula1>
    </dataValidation>
  </dataValidations>
  <printOptions horizontalCentered="1"/>
  <pageMargins left="0.23622047244094491" right="0.23622047244094491" top="0.51181102362204722" bottom="0.51181102362204722" header="0.23622047244094491" footer="0.23622047244094491"/>
  <pageSetup paperSize="8" scale="67" fitToHeight="0" orientation="portrait" r:id="rId1"/>
  <headerFooter>
    <oddHeader>&amp;C&amp;"-,Bold"&amp;14&amp;A</oddHeader>
    <oddFooter>&amp;L&amp;F [&amp;A]&amp;C&amp;D &amp;T&amp;RPage &amp;P/&amp;N</oddFooter>
  </headerFooter>
  <rowBreaks count="1" manualBreakCount="1">
    <brk id="69" max="13" man="1"/>
  </rowBreaks>
  <tableParts count="11">
    <tablePart r:id="rId2"/>
    <tablePart r:id="rId3"/>
    <tablePart r:id="rId4"/>
    <tablePart r:id="rId5"/>
    <tablePart r:id="rId6"/>
    <tablePart r:id="rId7"/>
    <tablePart r:id="rId8"/>
    <tablePart r:id="rId9"/>
    <tablePart r:id="rId10"/>
    <tablePart r:id="rId11"/>
    <tablePart r:id="rId12"/>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'Asset Comparison'!$A$36:$A$63</xm:f>
          </x14:formula1>
          <xm:sqref>C120:C128</xm:sqref>
        </x14:dataValidation>
        <x14:dataValidation type="list" allowBlank="1" showInputMessage="1" showErrorMessage="1">
          <x14:formula1>
            <xm:f>'Asset Comparison'!$A$36:$A$66</xm:f>
          </x14:formula1>
          <xm:sqref>C84:C92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1:Q106"/>
  <sheetViews>
    <sheetView showGridLines="0" tabSelected="1" zoomScale="90" zoomScaleNormal="90" workbookViewId="0">
      <selection activeCell="E18" sqref="E18"/>
    </sheetView>
  </sheetViews>
  <sheetFormatPr defaultRowHeight="15"/>
  <cols>
    <col min="1" max="1" width="35.28515625" style="32" customWidth="1"/>
    <col min="2" max="4" width="15.28515625" style="31" bestFit="1" customWidth="1"/>
    <col min="5" max="6" width="14.7109375" style="31" bestFit="1" customWidth="1"/>
    <col min="7" max="7" width="15.28515625" style="31" bestFit="1" customWidth="1"/>
    <col min="8" max="8" width="15.85546875" style="31" bestFit="1" customWidth="1"/>
    <col min="9" max="9" width="14.7109375" style="31" bestFit="1" customWidth="1"/>
    <col min="10" max="11" width="15.28515625" style="31" bestFit="1" customWidth="1"/>
    <col min="12" max="12" width="13.85546875" style="31" customWidth="1"/>
    <col min="13" max="13" width="14.85546875" style="32" bestFit="1" customWidth="1"/>
    <col min="14" max="14" width="82" style="32" bestFit="1" customWidth="1"/>
    <col min="15" max="15" width="9.140625" style="32"/>
    <col min="16" max="16" width="13.140625" style="32" bestFit="1" customWidth="1"/>
    <col min="17" max="17" width="13.85546875" style="32" bestFit="1" customWidth="1"/>
    <col min="18" max="16384" width="9.140625" style="32"/>
  </cols>
  <sheetData>
    <row r="1" spans="1:17" ht="18.75">
      <c r="A1" s="77" t="s">
        <v>1376</v>
      </c>
    </row>
    <row r="2" spans="1:17" ht="30">
      <c r="A2" s="32" t="s">
        <v>1520</v>
      </c>
      <c r="B2" s="31" t="s">
        <v>574</v>
      </c>
      <c r="C2" s="31" t="s">
        <v>1147</v>
      </c>
      <c r="D2" s="31" t="s">
        <v>575</v>
      </c>
      <c r="E2" s="31" t="s">
        <v>310</v>
      </c>
      <c r="F2" s="31" t="s">
        <v>1674</v>
      </c>
      <c r="G2" s="131" t="s">
        <v>1560</v>
      </c>
      <c r="H2" s="31" t="s">
        <v>0</v>
      </c>
      <c r="I2" s="31" t="s">
        <v>1218</v>
      </c>
      <c r="J2" s="31" t="s">
        <v>1675</v>
      </c>
      <c r="K2" s="31" t="s">
        <v>1676</v>
      </c>
      <c r="L2" s="175" t="s">
        <v>1569</v>
      </c>
      <c r="M2" s="175" t="s">
        <v>1677</v>
      </c>
      <c r="N2" s="32" t="s">
        <v>1164</v>
      </c>
    </row>
    <row r="3" spans="1:17">
      <c r="A3" s="32" t="s">
        <v>1364</v>
      </c>
      <c r="B3" s="127">
        <v>1</v>
      </c>
      <c r="C3" s="127">
        <f>SUMIFS('2.1 Expenditure'!$N:$N,'2.1 Expenditure'!$AD:$AD,OPEX_CategoryComparison[#Headers],'2.1 Expenditure'!$B:$B,OPEX_CategoryComparison[[#This Row],[OPEX Category]])*1000</f>
        <v>263013593.79000002</v>
      </c>
      <c r="D3" s="127">
        <f>SUMIFS('2.1 Expenditure'!$N:$N,'2.1 Expenditure'!$AD:$AD,OPEX_CategoryComparison[#Headers],'2.1 Expenditure'!$B:$B,OPEX_CategoryComparison[[#This Row],[OPEX Category]])*1000</f>
        <v>107552656.34999999</v>
      </c>
      <c r="E3" s="127">
        <f>SUMIFS('2.1 Expenditure'!$N:$N,'2.1 Expenditure'!$AD:$AD,OPEX_CategoryComparison[#Headers],'2.1 Expenditure'!$B:$B,OPEX_CategoryComparison[[#This Row],[OPEX Category]])*1000</f>
        <v>136523700</v>
      </c>
      <c r="F3" s="127">
        <f>SUMIFS('2.1 Expenditure'!$N:$N,'2.1 Expenditure'!$AD:$AD,OPEX_CategoryComparison[#Headers],'2.1 Expenditure'!$B:$B,OPEX_CategoryComparison[[#This Row],[OPEX Category]])*1000</f>
        <v>141112381.3046</v>
      </c>
      <c r="G3" s="127">
        <f>SUMIFS('2.1 Expenditure'!$N:$N,'2.1 Expenditure'!$AD:$AD,OPEX_CategoryComparison[#Headers],'2.1 Expenditure'!$B:$B,OPEX_CategoryComparison[[#This Row],[OPEX Category]])*1000</f>
        <v>384449033.68367457</v>
      </c>
      <c r="H3" s="127">
        <f>SUMIFS('2.1 Expenditure'!$N:$N,'2.1 Expenditure'!$AD:$AD,OPEX_CategoryComparison[#Headers],'2.1 Expenditure'!$B:$B,OPEX_CategoryComparison[[#This Row],[OPEX Category]])*1000</f>
        <v>384449033.68367451</v>
      </c>
      <c r="I3" s="127">
        <f>SUMIFS('2.1 Expenditure'!$N:$N,'2.1 Expenditure'!$AD:$AD,OPEX_CategoryComparison[#Headers],'2.1 Expenditure'!$B:$B,OPEX_CategoryComparison[[#This Row],[OPEX Category]])*1000</f>
        <v>125463000</v>
      </c>
      <c r="J3" s="127">
        <f>OPEX_CategoryComparison[[#This Row],[AusNet]]+OPEX_CategoryComparison[[#This Row],[Powercor]]</f>
        <v>277636081.3046</v>
      </c>
      <c r="K3" s="127">
        <f>OPEX_CategoryComparison[[#This Row],[Powercor]]+OPEX_CategoryComparison[[#This Row],[SA Power]]</f>
        <v>261986700</v>
      </c>
      <c r="L3" s="251">
        <f>OPEX_CategoryComparison[[#This Row],[Essential]]*0.9</f>
        <v>346004130.31530708</v>
      </c>
      <c r="M3" s="251"/>
    </row>
    <row r="4" spans="1:17">
      <c r="A4" s="32" t="s">
        <v>1365</v>
      </c>
      <c r="B4" s="127">
        <f>SUMIFS('2.1 Expenditure'!$N:$N,'2.1 Expenditure'!$AD:$AD,OPEX_CategoryComparison[#Headers],'2.1 Expenditure'!$B:$B,OPEX_CategoryComparison[[#This Row],[OPEX Category]])*1000</f>
        <v>326710600</v>
      </c>
      <c r="C4" s="127">
        <f>SUMIFS('2.1 Expenditure'!$N:$N,'2.1 Expenditure'!$AD:$AD,OPEX_CategoryComparison[#Headers],'2.1 Expenditure'!$B:$B,OPEX_CategoryComparison[[#This Row],[OPEX Category]])*1000</f>
        <v>386227475.05000001</v>
      </c>
      <c r="D4" s="127">
        <f>SUMIFS('2.1 Expenditure'!$N:$N,'2.1 Expenditure'!$AD:$AD,OPEX_CategoryComparison[#Headers],'2.1 Expenditure'!$B:$B,OPEX_CategoryComparison[[#This Row],[OPEX Category]])*1000</f>
        <v>292575725.40217364</v>
      </c>
      <c r="E4" s="127">
        <f>SUMIFS('2.1 Expenditure'!$N:$N,'2.1 Expenditure'!$AD:$AD,OPEX_CategoryComparison[#Headers],'2.1 Expenditure'!$B:$B,OPEX_CategoryComparison[[#This Row],[OPEX Category]])*1000</f>
        <v>198623900</v>
      </c>
      <c r="F4" s="127">
        <f>SUMIFS('2.1 Expenditure'!$N:$N,'2.1 Expenditure'!$AD:$AD,OPEX_CategoryComparison[#Headers],'2.1 Expenditure'!$B:$B,OPEX_CategoryComparison[[#This Row],[OPEX Category]])*1000</f>
        <v>116711612.10999998</v>
      </c>
      <c r="G4" s="127">
        <f>SUMIFS('2.1 Expenditure'!$N:$N,'2.1 Expenditure'!$AD:$AD,OPEX_CategoryComparison[#Headers],'2.1 Expenditure'!$B:$B,OPEX_CategoryComparison[[#This Row],[OPEX Category]])*1000</f>
        <v>421813009.97240222</v>
      </c>
      <c r="H4" s="127">
        <f>SUMIFS('2.1 Expenditure'!$N:$N,'2.1 Expenditure'!$AD:$AD,OPEX_CategoryComparison[#Headers],'2.1 Expenditure'!$B:$B,OPEX_CategoryComparison[[#This Row],[OPEX Category]])*1000</f>
        <v>421813009.97240222</v>
      </c>
      <c r="I4" s="127">
        <f>SUMIFS('2.1 Expenditure'!$N:$N,'2.1 Expenditure'!$AD:$AD,OPEX_CategoryComparison[#Headers],'2.1 Expenditure'!$B:$B,OPEX_CategoryComparison[[#This Row],[OPEX Category]])*1000</f>
        <v>101351000</v>
      </c>
      <c r="J4" s="127">
        <f>OPEX_CategoryComparison[[#This Row],[AusNet]]+OPEX_CategoryComparison[[#This Row],[Powercor]]</f>
        <v>315335512.11000001</v>
      </c>
      <c r="K4" s="127">
        <f>OPEX_CategoryComparison[[#This Row],[Powercor]]+OPEX_CategoryComparison[[#This Row],[SA Power]]</f>
        <v>299974900</v>
      </c>
      <c r="L4" s="251">
        <f>OPEX_CategoryComparison[[#This Row],[Essential]]*0.9</f>
        <v>379631708.97516203</v>
      </c>
      <c r="M4" s="251"/>
      <c r="N4" s="32" t="s">
        <v>1382</v>
      </c>
    </row>
    <row r="5" spans="1:17">
      <c r="A5" s="32" t="s">
        <v>1366</v>
      </c>
      <c r="B5" s="127">
        <f>SUMIFS('2.1 Expenditure'!$N:$N,'2.1 Expenditure'!$AD:$AD,OPEX_CategoryComparison[#Headers],'2.1 Expenditure'!$B:$B,OPEX_CategoryComparison[[#This Row],[OPEX Category]])*1000</f>
        <v>170777690</v>
      </c>
      <c r="C5" s="127">
        <f>SUMIFS('2.1 Expenditure'!$N:$N,'2.1 Expenditure'!$AD:$AD,OPEX_CategoryComparison[#Headers],'2.1 Expenditure'!$B:$B,OPEX_CategoryComparison[[#This Row],[OPEX Category]])*1000</f>
        <v>214354000</v>
      </c>
      <c r="D5" s="127">
        <f>SUMIFS('2.1 Expenditure'!$N:$N,'2.1 Expenditure'!$AD:$AD,OPEX_CategoryComparison[#Headers],'2.1 Expenditure'!$B:$B,OPEX_CategoryComparison[[#This Row],[OPEX Category]])*1000</f>
        <v>117076600.36107562</v>
      </c>
      <c r="E5" s="127">
        <f>SUMIFS('2.1 Expenditure'!$N:$N,'2.1 Expenditure'!$AD:$AD,OPEX_CategoryComparison[#Headers],'2.1 Expenditure'!$B:$B,OPEX_CategoryComparison[[#This Row],[OPEX Category]])*1000</f>
        <v>93134400</v>
      </c>
      <c r="F5" s="127">
        <f>SUMIFS('2.1 Expenditure'!$N:$N,'2.1 Expenditure'!$AD:$AD,OPEX_CategoryComparison[#Headers],'2.1 Expenditure'!$B:$B,OPEX_CategoryComparison[[#This Row],[OPEX Category]])*1000</f>
        <v>85052784.778739005</v>
      </c>
      <c r="G5" s="127">
        <f>SUMIFS('2.1 Expenditure'!$N:$N,'2.1 Expenditure'!$AD:$AD,OPEX_CategoryComparison[#Headers],'2.1 Expenditure'!$B:$B,OPEX_CategoryComparison[[#This Row],[OPEX Category]])*1000</f>
        <v>226878000</v>
      </c>
      <c r="H5" s="127">
        <f>SUMIFS('2.1 Expenditure'!$N:$N,'2.1 Expenditure'!$AD:$AD,OPEX_CategoryComparison[#Headers],'2.1 Expenditure'!$B:$B,OPEX_CategoryComparison[[#This Row],[OPEX Category]])*1000</f>
        <v>226878000</v>
      </c>
      <c r="I5" s="127">
        <f>SUMIFS('2.1 Expenditure'!$N:$N,'2.1 Expenditure'!$AD:$AD,OPEX_CategoryComparison[#Headers],'2.1 Expenditure'!$B:$B,OPEX_CategoryComparison[[#This Row],[OPEX Category]])*1000</f>
        <v>137628000</v>
      </c>
      <c r="J5" s="127">
        <f>OPEX_CategoryComparison[[#This Row],[AusNet]]+OPEX_CategoryComparison[[#This Row],[Powercor]]</f>
        <v>178187184.77873901</v>
      </c>
      <c r="K5" s="127">
        <f>OPEX_CategoryComparison[[#This Row],[Powercor]]+OPEX_CategoryComparison[[#This Row],[SA Power]]</f>
        <v>230762400</v>
      </c>
      <c r="L5" s="251">
        <f>OPEX_CategoryComparison[[#This Row],[Essential]]*0.9</f>
        <v>204190200</v>
      </c>
      <c r="M5" s="251"/>
    </row>
    <row r="6" spans="1:17">
      <c r="A6" s="32" t="s">
        <v>1357</v>
      </c>
      <c r="B6" s="127">
        <f>SUMIFS('2.1 Expenditure'!$N:$N,'2.1 Expenditure'!$AD:$AD,OPEX_CategoryComparison[#Headers],'2.1 Expenditure'!$B:$B,OPEX_CategoryComparison[[#This Row],[OPEX Category]])*1000</f>
        <v>369346250</v>
      </c>
      <c r="C6" s="127">
        <f>SUMIFS('2.1 Expenditure'!$N:$N,'2.1 Expenditure'!$AD:$AD,OPEX_CategoryComparison[#Headers],'2.1 Expenditure'!$B:$B,OPEX_CategoryComparison[[#This Row],[OPEX Category]])*1000</f>
        <v>950740031.99999988</v>
      </c>
      <c r="D6" s="127">
        <f>SUMIFS('2.1 Expenditure'!$N:$N,'2.1 Expenditure'!$AD:$AD,OPEX_CategoryComparison[#Headers],'2.1 Expenditure'!$B:$B,OPEX_CategoryComparison[[#This Row],[OPEX Category]])*1000</f>
        <v>310973325.87509245</v>
      </c>
      <c r="E6" s="127">
        <f>SUMIFS('2.1 Expenditure'!$N:$N,'2.1 Expenditure'!$AD:$AD,OPEX_CategoryComparison[#Headers],'2.1 Expenditure'!$B:$B,OPEX_CategoryComparison[[#This Row],[OPEX Category]])*1000</f>
        <v>0</v>
      </c>
      <c r="F6" s="127">
        <f>SUMIFS('2.1 Expenditure'!$N:$N,'2.1 Expenditure'!$AD:$AD,OPEX_CategoryComparison[#Headers],'2.1 Expenditure'!$B:$B,OPEX_CategoryComparison[[#This Row],[OPEX Category]])*1000</f>
        <v>131102959.78401232</v>
      </c>
      <c r="G6" s="127">
        <f>SUMIFS('2.1 Expenditure'!$N:$N,'2.1 Expenditure'!$AD:$AD,OPEX_CategoryComparison[#Headers],'2.1 Expenditure'!$B:$B,OPEX_CategoryComparison[[#This Row],[OPEX Category]])*1000</f>
        <v>648552195.34611869</v>
      </c>
      <c r="H6" s="127">
        <f>SUMIFS('2.1 Expenditure'!$N:$N,'2.1 Expenditure'!$AD:$AD,OPEX_CategoryComparison[#Headers],'2.1 Expenditure'!$B:$B,OPEX_CategoryComparison[[#This Row],[OPEX Category]])*1000</f>
        <v>677467093.39964366</v>
      </c>
      <c r="I6" s="127">
        <f>SUMIFS('2.1 Expenditure'!$N:$N,'2.1 Expenditure'!$AD:$AD,OPEX_CategoryComparison[#Headers],'2.1 Expenditure'!$B:$B,OPEX_CategoryComparison[[#This Row],[OPEX Category]])*1000</f>
        <v>122730000</v>
      </c>
      <c r="J6" s="127">
        <f>OPEX_CategoryComparison[[#This Row],[AusNet]]+OPEX_CategoryComparison[[#This Row],[Powercor]]</f>
        <v>131102959.78401232</v>
      </c>
      <c r="K6" s="127">
        <f>OPEX_CategoryComparison[[#This Row],[Powercor]]+OPEX_CategoryComparison[[#This Row],[SA Power]]</f>
        <v>122730000</v>
      </c>
      <c r="L6" s="251">
        <f>OPEX_CategoryComparison[[#This Row],[Essential]]*0.9</f>
        <v>609720384.05967927</v>
      </c>
      <c r="M6" s="251"/>
    </row>
    <row r="7" spans="1:17">
      <c r="A7" s="10" t="s">
        <v>1367</v>
      </c>
      <c r="B7" s="127">
        <f>SUMIFS('2.1 Expenditure'!$N:$N,'2.1 Expenditure'!$AD:$AD,OPEX_CategoryComparison[#Headers],'2.1 Expenditure'!$B:$B,OPEX_CategoryComparison[[#This Row],[OPEX Category]])*1000</f>
        <v>1320596270</v>
      </c>
      <c r="C7" s="127">
        <f>SUMIFS('2.1 Expenditure'!$N:$N,'2.1 Expenditure'!$AD:$AD,OPEX_CategoryComparison[#Headers],'2.1 Expenditure'!$B:$B,OPEX_CategoryComparison[[#This Row],[OPEX Category]])*1000</f>
        <v>707006300.67000008</v>
      </c>
      <c r="D7" s="127">
        <f>SUMIFS('2.1 Expenditure'!$N:$N,'2.1 Expenditure'!$AD:$AD,OPEX_CategoryComparison[#Headers],'2.1 Expenditure'!$B:$B,OPEX_CategoryComparison[[#This Row],[OPEX Category]])*1000</f>
        <v>548691432.2937814</v>
      </c>
      <c r="E7" s="127">
        <f>SUMIFS('2.1 Expenditure'!$N:$N,'2.1 Expenditure'!$AD:$AD,OPEX_CategoryComparison[#Headers],'2.1 Expenditure'!$B:$B,OPEX_CategoryComparison[[#This Row],[OPEX Category]])*1000</f>
        <v>221086300</v>
      </c>
      <c r="F7" s="127">
        <f>SUMIFS('2.1 Expenditure'!$N:$N,'2.1 Expenditure'!$AD:$AD,OPEX_CategoryComparison[#Headers],'2.1 Expenditure'!$B:$B,OPEX_CategoryComparison[[#This Row],[OPEX Category]])*1000</f>
        <v>186385001.90798619</v>
      </c>
      <c r="G7" s="127">
        <f>SUMIFS('2.1 Expenditure'!$N:$N,'2.1 Expenditure'!$AD:$AD,OPEX_CategoryComparison[#Headers],'2.1 Expenditure'!$B:$B,OPEX_CategoryComparison[[#This Row],[OPEX Category]])*1000</f>
        <v>344418600.75274628</v>
      </c>
      <c r="H7" s="127">
        <f>SUMIFS('2.1 Expenditure'!$N:$N,'2.1 Expenditure'!$AD:$AD,OPEX_CategoryComparison[#Headers],'2.1 Expenditure'!$B:$B,OPEX_CategoryComparison[[#This Row],[OPEX Category]])*1000</f>
        <v>512971465.26667535</v>
      </c>
      <c r="I7" s="127">
        <f>SUMIFS('2.1 Expenditure'!$N:$N,'2.1 Expenditure'!$AD:$AD,OPEX_CategoryComparison[#Headers],'2.1 Expenditure'!$B:$B,OPEX_CategoryComparison[[#This Row],[OPEX Category]])*1000</f>
        <v>322443000</v>
      </c>
      <c r="J7" s="127">
        <f>OPEX_CategoryComparison[[#This Row],[AusNet]]+OPEX_CategoryComparison[[#This Row],[Powercor]]</f>
        <v>407471301.90798616</v>
      </c>
      <c r="K7" s="127">
        <f>OPEX_CategoryComparison[[#This Row],[Powercor]]+OPEX_CategoryComparison[[#This Row],[SA Power]]</f>
        <v>543529300</v>
      </c>
      <c r="L7" s="251">
        <f>OPEX_CategoryComparison[[#This Row],[Essential]]*0.9</f>
        <v>461674318.74000782</v>
      </c>
      <c r="M7" s="254"/>
    </row>
    <row r="8" spans="1:17">
      <c r="A8" s="32" t="s">
        <v>1368</v>
      </c>
      <c r="B8" s="127">
        <f>SUMIFS('2.1 Expenditure'!$N:$N,'2.1 Expenditure'!$AD:$AD,OPEX_CategoryComparison[#Headers],'2.1 Expenditure'!$B:$B,OPEX_CategoryComparison[[#This Row],[OPEX Category]])*1000</f>
        <v>489334060</v>
      </c>
      <c r="C8" s="127">
        <f>SUMIFS('2.1 Expenditure'!$N:$N,'2.1 Expenditure'!$AD:$AD,OPEX_CategoryComparison[#Headers],'2.1 Expenditure'!$B:$B,OPEX_CategoryComparison[[#This Row],[OPEX Category]])*1000</f>
        <v>318521699.31999993</v>
      </c>
      <c r="D8" s="127">
        <f>SUMIFS('2.1 Expenditure'!$N:$N,'2.1 Expenditure'!$AD:$AD,OPEX_CategoryComparison[#Headers],'2.1 Expenditure'!$B:$B,OPEX_CategoryComparison[[#This Row],[OPEX Category]])*1000</f>
        <v>284816382.96745598</v>
      </c>
      <c r="E8" s="127">
        <f>SUMIFS('2.1 Expenditure'!$N:$N,'2.1 Expenditure'!$AD:$AD,OPEX_CategoryComparison[#Headers],'2.1 Expenditure'!$B:$B,OPEX_CategoryComparison[[#This Row],[OPEX Category]])*1000</f>
        <v>112282100</v>
      </c>
      <c r="F8" s="127">
        <f>SUMIFS('2.1 Expenditure'!$N:$N,'2.1 Expenditure'!$AD:$AD,OPEX_CategoryComparison[#Headers],'2.1 Expenditure'!$B:$B,OPEX_CategoryComparison[[#This Row],[OPEX Category]])*1000</f>
        <v>109111349.44794932</v>
      </c>
      <c r="G8" s="127">
        <f>SUMIFS('2.1 Expenditure'!$N:$N,'2.1 Expenditure'!$AD:$AD,OPEX_CategoryComparison[#Headers],'2.1 Expenditure'!$B:$B,OPEX_CategoryComparison[[#This Row],[OPEX Category]])*1000</f>
        <v>377211370.35307592</v>
      </c>
      <c r="H8" s="127">
        <f>SUMIFS('2.1 Expenditure'!$N:$N,'2.1 Expenditure'!$AD:$AD,OPEX_CategoryComparison[#Headers],'2.1 Expenditure'!$B:$B,OPEX_CategoryComparison[[#This Row],[OPEX Category]])*1000</f>
        <v>377211370.35307592</v>
      </c>
      <c r="I8" s="127">
        <f>SUMIFS('2.1 Expenditure'!$N:$N,'2.1 Expenditure'!$AD:$AD,OPEX_CategoryComparison[#Headers],'2.1 Expenditure'!$B:$B,OPEX_CategoryComparison[[#This Row],[OPEX Category]])*1000</f>
        <v>243585000</v>
      </c>
      <c r="J8" s="127">
        <f>OPEX_CategoryComparison[[#This Row],[AusNet]]+OPEX_CategoryComparison[[#This Row],[Powercor]]</f>
        <v>221393449.44794932</v>
      </c>
      <c r="K8" s="127">
        <f>OPEX_CategoryComparison[[#This Row],[Powercor]]+OPEX_CategoryComparison[[#This Row],[SA Power]]</f>
        <v>355867100</v>
      </c>
      <c r="L8" s="251">
        <f>OPEX_CategoryComparison[[#This Row],[Essential]]*0.9</f>
        <v>339490233.31776834</v>
      </c>
      <c r="M8" s="251"/>
    </row>
    <row r="9" spans="1:17">
      <c r="A9" s="32" t="s">
        <v>1370</v>
      </c>
      <c r="B9" s="127">
        <f>SUMIFS('2.1 Expenditure'!$N:$N,'2.1 Expenditure'!$AD:$AD,OPEX_CategoryComparison[#Headers],'2.1 Expenditure'!$B:$B,OPEX_CategoryComparison[[#This Row],[OPEX Category]])*1000</f>
        <v>0</v>
      </c>
      <c r="C9" s="127">
        <f>SUMIFS('2.1 Expenditure'!$N:$N,'2.1 Expenditure'!$AD:$AD,OPEX_CategoryComparison[#Headers],'2.1 Expenditure'!$B:$B,OPEX_CategoryComparison[[#This Row],[OPEX Category]])*1000</f>
        <v>66609162.639999993</v>
      </c>
      <c r="D9" s="127">
        <f>SUMIFS('2.1 Expenditure'!$N:$N,'2.1 Expenditure'!$AD:$AD,OPEX_CategoryComparison[#Headers],'2.1 Expenditure'!$B:$B,OPEX_CategoryComparison[[#This Row],[OPEX Category]])*1000</f>
        <v>0</v>
      </c>
      <c r="E9" s="127">
        <f>SUMIFS('2.1 Expenditure'!$N:$N,'2.1 Expenditure'!$AD:$AD,OPEX_CategoryComparison[#Headers],'2.1 Expenditure'!$B:$B,OPEX_CategoryComparison[[#This Row],[OPEX Category]])*1000</f>
        <v>0</v>
      </c>
      <c r="F9" s="127">
        <f>SUMIFS('2.1 Expenditure'!$N:$N,'2.1 Expenditure'!$AD:$AD,OPEX_CategoryComparison[#Headers],'2.1 Expenditure'!$B:$B,OPEX_CategoryComparison[[#This Row],[OPEX Category]])*1000</f>
        <v>0</v>
      </c>
      <c r="G9" s="127">
        <f>SUMIFS('2.1 Expenditure'!$N:$N,'2.1 Expenditure'!$AD:$AD,OPEX_CategoryComparison[#Headers],'2.1 Expenditure'!$B:$B,OPEX_CategoryComparison[[#This Row],[OPEX Category]])*1000</f>
        <v>0</v>
      </c>
      <c r="H9" s="127">
        <f>SUMIFS('2.1 Expenditure'!$N:$N,'2.1 Expenditure'!$AD:$AD,OPEX_CategoryComparison[#Headers],'2.1 Expenditure'!$B:$B,OPEX_CategoryComparison[[#This Row],[OPEX Category]])*1000</f>
        <v>0</v>
      </c>
      <c r="I9" s="127">
        <f>SUMIFS('2.1 Expenditure'!$N:$N,'2.1 Expenditure'!$AD:$AD,OPEX_CategoryComparison[#Headers],'2.1 Expenditure'!$B:$B,OPEX_CategoryComparison[[#This Row],[OPEX Category]])*1000</f>
        <v>10487000</v>
      </c>
      <c r="J9" s="127">
        <f>OPEX_CategoryComparison[[#This Row],[AusNet]]+OPEX_CategoryComparison[[#This Row],[Powercor]]</f>
        <v>0</v>
      </c>
      <c r="K9" s="127">
        <f>OPEX_CategoryComparison[[#This Row],[Powercor]]+OPEX_CategoryComparison[[#This Row],[SA Power]]</f>
        <v>10487000</v>
      </c>
      <c r="L9" s="251">
        <f>OPEX_CategoryComparison[[#This Row],[Essential]]*0.9</f>
        <v>0</v>
      </c>
      <c r="M9" s="251"/>
    </row>
    <row r="10" spans="1:17">
      <c r="A10" s="32" t="s">
        <v>1323</v>
      </c>
      <c r="B10" s="127">
        <f>SUMIFS('2.1 Expenditure'!$N:$N,'2.1 Expenditure'!$AD:$AD,OPEX_CategoryComparison[#Headers],'2.1 Expenditure'!$B:$B,OPEX_CategoryComparison[[#This Row],[OPEX Category]])*1000</f>
        <v>0</v>
      </c>
      <c r="C10" s="127">
        <f>SUMIFS('2.1 Expenditure'!$N:$N,'2.1 Expenditure'!$AD:$AD,OPEX_CategoryComparison[#Headers],'2.1 Expenditure'!$B:$B,OPEX_CategoryComparison[[#This Row],[OPEX Category]])*1000</f>
        <v>11358301</v>
      </c>
      <c r="D10" s="127">
        <f>SUMIFS('2.1 Expenditure'!$N:$N,'2.1 Expenditure'!$AD:$AD,OPEX_CategoryComparison[#Headers],'2.1 Expenditure'!$B:$B,OPEX_CategoryComparison[[#This Row],[OPEX Category]])*1000</f>
        <v>0</v>
      </c>
      <c r="E10" s="127">
        <f>SUMIFS('2.1 Expenditure'!$N:$N,'2.1 Expenditure'!$AD:$AD,OPEX_CategoryComparison[#Headers],'2.1 Expenditure'!$B:$B,OPEX_CategoryComparison[[#This Row],[OPEX Category]])*1000</f>
        <v>0</v>
      </c>
      <c r="F10" s="127">
        <f>SUMIFS('2.1 Expenditure'!$N:$N,'2.1 Expenditure'!$AD:$AD,OPEX_CategoryComparison[#Headers],'2.1 Expenditure'!$B:$B,OPEX_CategoryComparison[[#This Row],[OPEX Category]])*1000</f>
        <v>0</v>
      </c>
      <c r="G10" s="127">
        <f>SUMIFS('2.1 Expenditure'!$N:$N,'2.1 Expenditure'!$AD:$AD,OPEX_CategoryComparison[#Headers],'2.1 Expenditure'!$B:$B,OPEX_CategoryComparison[[#This Row],[OPEX Category]])*1000</f>
        <v>0</v>
      </c>
      <c r="H10" s="127">
        <f>SUMIFS('2.1 Expenditure'!$N:$N,'2.1 Expenditure'!$AD:$AD,OPEX_CategoryComparison[#Headers],'2.1 Expenditure'!$B:$B,OPEX_CategoryComparison[[#This Row],[OPEX Category]])*1000</f>
        <v>0</v>
      </c>
      <c r="I10" s="127">
        <f>SUMIFS('2.1 Expenditure'!$N:$N,'2.1 Expenditure'!$AD:$AD,OPEX_CategoryComparison[#Headers],'2.1 Expenditure'!$B:$B,OPEX_CategoryComparison[[#This Row],[OPEX Category]])*1000</f>
        <v>0</v>
      </c>
      <c r="J10" s="127">
        <f>OPEX_CategoryComparison[[#This Row],[AusNet]]+OPEX_CategoryComparison[[#This Row],[Powercor]]</f>
        <v>0</v>
      </c>
      <c r="K10" s="127">
        <f>OPEX_CategoryComparison[[#This Row],[Powercor]]+OPEX_CategoryComparison[[#This Row],[SA Power]]</f>
        <v>0</v>
      </c>
      <c r="L10" s="251">
        <f>OPEX_CategoryComparison[[#This Row],[Essential]]*0.9</f>
        <v>0</v>
      </c>
      <c r="M10" s="251"/>
    </row>
    <row r="11" spans="1:17">
      <c r="A11" s="32" t="s">
        <v>1360</v>
      </c>
      <c r="B11" s="127">
        <f>SUMIFS('2.1 Expenditure'!$N:$N,'2.1 Expenditure'!$AD:$AD,OPEX_CategoryComparison[#Headers],'2.1 Expenditure'!$B:$B,OPEX_CategoryComparison[[#This Row],[OPEX Category]])*1000</f>
        <v>-194080669.99999997</v>
      </c>
      <c r="C11" s="127">
        <f>SUMIFS('2.1 Expenditure'!$N:$N,'2.1 Expenditure'!$AD:$AD,OPEX_CategoryComparison[#Headers],'2.1 Expenditure'!$B:$B,OPEX_CategoryComparison[[#This Row],[OPEX Category]])*1000</f>
        <v>-1028707495.7</v>
      </c>
      <c r="D11" s="127">
        <f>SUMIFS('2.1 Expenditure'!$N:$N,'2.1 Expenditure'!$AD:$AD,OPEX_CategoryComparison[#Headers],'2.1 Expenditure'!$B:$B,OPEX_CategoryComparison[[#This Row],[OPEX Category]])*1000</f>
        <v>-311000608.37320578</v>
      </c>
      <c r="E11" s="127">
        <f>SUMIFS('2.1 Expenditure'!$N:$N,'2.1 Expenditure'!$AD:$AD,OPEX_CategoryComparison[#Headers],'2.1 Expenditure'!$B:$B,OPEX_CategoryComparison[[#This Row],[OPEX Category]])*1000</f>
        <v>0</v>
      </c>
      <c r="F11" s="127">
        <f>SUMIFS('2.1 Expenditure'!$N:$N,'2.1 Expenditure'!$AD:$AD,OPEX_CategoryComparison[#Headers],'2.1 Expenditure'!$B:$B,OPEX_CategoryComparison[[#This Row],[OPEX Category]])*1000</f>
        <v>-866776.21697730501</v>
      </c>
      <c r="G11" s="127">
        <f>SUMIFS('2.1 Expenditure'!$N:$N,'2.1 Expenditure'!$AD:$AD,OPEX_CategoryComparison[#Headers],'2.1 Expenditure'!$B:$B,OPEX_CategoryComparison[[#This Row],[OPEX Category]])*1000</f>
        <v>-365914391.14960319</v>
      </c>
      <c r="H11" s="127">
        <f>SUMIFS('2.1 Expenditure'!$N:$N,'2.1 Expenditure'!$AD:$AD,OPEX_CategoryComparison[#Headers],'2.1 Expenditure'!$B:$B,OPEX_CategoryComparison[[#This Row],[OPEX Category]])*1000</f>
        <v>-563382153.71705735</v>
      </c>
      <c r="I11" s="127">
        <f>SUMIFS('2.1 Expenditure'!$N:$N,'2.1 Expenditure'!$AD:$AD,OPEX_CategoryComparison[#Headers],'2.1 Expenditure'!$B:$B,OPEX_CategoryComparison[[#This Row],[OPEX Category]])*1000</f>
        <v>-132981000</v>
      </c>
      <c r="J11" s="127">
        <f>OPEX_CategoryComparison[[#This Row],[AusNet]]+OPEX_CategoryComparison[[#This Row],[Powercor]]</f>
        <v>-866776.21697730501</v>
      </c>
      <c r="K11" s="127">
        <f>OPEX_CategoryComparison[[#This Row],[Powercor]]+OPEX_CategoryComparison[[#This Row],[SA Power]]</f>
        <v>-132981000</v>
      </c>
      <c r="L11" s="251">
        <f>OPEX_CategoryComparison[[#This Row],[Essential]]*0.9</f>
        <v>-507043938.34535164</v>
      </c>
      <c r="M11" s="251"/>
    </row>
    <row r="12" spans="1:17">
      <c r="A12" t="s">
        <v>6</v>
      </c>
      <c r="B12" s="158">
        <f>SUBTOTAL(109,OPEX_CategoryComparison[Ausgrid])</f>
        <v>2482684201</v>
      </c>
      <c r="C12" s="158">
        <f>SUBTOTAL(109,OPEX_CategoryComparison[Ergon])</f>
        <v>1889123068.7699997</v>
      </c>
      <c r="D12" s="158">
        <f>SUBTOTAL(109,OPEX_CategoryComparison[Endeavour])</f>
        <v>1350685514.8763733</v>
      </c>
      <c r="E12" s="158">
        <f>SUBTOTAL(109,OPEX_CategoryComparison[Powercor])</f>
        <v>761650400</v>
      </c>
      <c r="F12" s="158">
        <f>SUBTOTAL(109,OPEX_CategoryComparison[AusNet])</f>
        <v>768609313.1163094</v>
      </c>
      <c r="G12" s="158">
        <f>SUBTOTAL(109,OPEX_CategoryComparison[Essential (Original)])</f>
        <v>2037407818.9584143</v>
      </c>
      <c r="H12" s="158">
        <f>SUBTOTAL(109,OPEX_CategoryComparison[Essential])</f>
        <v>2037407818.9584146</v>
      </c>
      <c r="I12" s="158">
        <f>SUBTOTAL(109,OPEX_CategoryComparison[SA Power])</f>
        <v>930706000</v>
      </c>
      <c r="J12" s="158">
        <f>SUBTOTAL(109,OPEX_CategoryComparison[AusNet + Powercor])</f>
        <v>1530259713.1163094</v>
      </c>
      <c r="K12" s="158">
        <f>SUBTOTAL(109,OPEX_CategoryComparison[SA Power + Powercor])</f>
        <v>1692356400</v>
      </c>
      <c r="L12" s="253">
        <f>SUBTOTAL(109,OPEX_CategoryComparison[Essential -10%])</f>
        <v>1833667037.062573</v>
      </c>
      <c r="M12" s="253"/>
      <c r="N12" t="s">
        <v>1373</v>
      </c>
    </row>
    <row r="13" spans="1:17" ht="15.75" thickBot="1">
      <c r="A13" s="130"/>
      <c r="B13" s="127"/>
      <c r="C13" s="127"/>
      <c r="D13" s="127"/>
      <c r="E13" s="127"/>
      <c r="F13" s="127"/>
      <c r="G13" s="127"/>
      <c r="H13" s="127"/>
      <c r="I13" s="127"/>
      <c r="J13" s="127"/>
      <c r="K13" s="127"/>
      <c r="L13" s="176"/>
    </row>
    <row r="14" spans="1:17" ht="19.5" thickBot="1">
      <c r="A14" s="77" t="s">
        <v>1567</v>
      </c>
      <c r="L14" s="305" t="s">
        <v>1671</v>
      </c>
      <c r="M14" s="306">
        <v>0.16</v>
      </c>
    </row>
    <row r="15" spans="1:17" ht="30">
      <c r="A15" s="32" t="s">
        <v>1520</v>
      </c>
      <c r="B15" s="31" t="s">
        <v>574</v>
      </c>
      <c r="C15" s="31" t="s">
        <v>1147</v>
      </c>
      <c r="D15" s="31" t="s">
        <v>575</v>
      </c>
      <c r="E15" s="31" t="s">
        <v>310</v>
      </c>
      <c r="F15" s="31" t="s">
        <v>1674</v>
      </c>
      <c r="G15" s="131" t="s">
        <v>1560</v>
      </c>
      <c r="H15" s="31" t="s">
        <v>0</v>
      </c>
      <c r="I15" s="31" t="s">
        <v>1218</v>
      </c>
      <c r="J15" s="31" t="s">
        <v>1675</v>
      </c>
      <c r="K15" s="31" t="s">
        <v>1676</v>
      </c>
      <c r="L15" s="175" t="s">
        <v>1569</v>
      </c>
      <c r="M15" s="175" t="s">
        <v>1677</v>
      </c>
      <c r="N15" s="32" t="s">
        <v>1164</v>
      </c>
      <c r="P15" s="428"/>
      <c r="Q15" s="428"/>
    </row>
    <row r="16" spans="1:17">
      <c r="A16" s="32" t="s">
        <v>1364</v>
      </c>
      <c r="B16" s="127">
        <f>VLOOKUP(OPEX_CategoryComparisonBalanced[[#This Row],[OPEX Category]],OPEX_CategoryComparison[],MATCH(OPEX_CategoryComparisonBalanced[#Headers],OPEX_CategoryComparison[#Headers],0),FALSE)</f>
        <v>1</v>
      </c>
      <c r="C16" s="127">
        <f>VLOOKUP(OPEX_CategoryComparisonBalanced[[#This Row],[OPEX Category]],OPEX_CategoryComparison[],MATCH(OPEX_CategoryComparisonBalanced[#Headers],OPEX_CategoryComparison[#Headers],0),FALSE)</f>
        <v>263013593.79000002</v>
      </c>
      <c r="D16" s="127">
        <f>VLOOKUP(OPEX_CategoryComparisonBalanced[[#This Row],[OPEX Category]],OPEX_CategoryComparison[],MATCH(OPEX_CategoryComparisonBalanced[#Headers],OPEX_CategoryComparison[#Headers],0),FALSE)</f>
        <v>107552656.34999999</v>
      </c>
      <c r="E16" s="127">
        <f>VLOOKUP(OPEX_CategoryComparisonBalanced[[#This Row],[OPEX Category]],OPEX_CategoryComparison[],MATCH(OPEX_CategoryComparisonBalanced[#Headers],OPEX_CategoryComparison[#Headers],0),FALSE)</f>
        <v>136523700</v>
      </c>
      <c r="F16" s="127">
        <f>VLOOKUP(OPEX_CategoryComparisonBalanced[[#This Row],[OPEX Category]],OPEX_CategoryComparison[],MATCH(OPEX_CategoryComparisonBalanced[#Headers],OPEX_CategoryComparison[#Headers],0),FALSE)</f>
        <v>141112381.3046</v>
      </c>
      <c r="G16" s="127">
        <f>VLOOKUP(OPEX_CategoryComparisonBalanced[[#This Row],[OPEX Category]],OPEX_CategoryComparison[],MATCH(OPEX_CategoryComparisonBalanced[#Headers],OPEX_CategoryComparison[#Headers],0),FALSE)</f>
        <v>384449033.68367457</v>
      </c>
      <c r="H16" s="127">
        <f>VLOOKUP(OPEX_CategoryComparisonBalanced[[#This Row],[OPEX Category]],OPEX_CategoryComparison[],MATCH(OPEX_CategoryComparisonBalanced[#Headers],OPEX_CategoryComparison[#Headers],0),FALSE)</f>
        <v>384449033.68367451</v>
      </c>
      <c r="I16" s="127">
        <f>VLOOKUP(OPEX_CategoryComparisonBalanced[[#This Row],[OPEX Category]],OPEX_CategoryComparison[],MATCH(OPEX_CategoryComparisonBalanced[#Headers],OPEX_CategoryComparison[#Headers],0),FALSE)</f>
        <v>125463000</v>
      </c>
      <c r="J16" s="127">
        <f>VLOOKUP(OPEX_CategoryComparisonBalanced[[#This Row],[OPEX Category]],OPEX_CategoryComparison[],MATCH(OPEX_CategoryComparisonBalanced[#Headers],OPEX_CategoryComparison[#Headers],0),FALSE)</f>
        <v>277636081.3046</v>
      </c>
      <c r="K16" s="127">
        <f>VLOOKUP(OPEX_CategoryComparisonBalanced[[#This Row],[OPEX Category]],OPEX_CategoryComparison[],MATCH(OPEX_CategoryComparisonBalanced[#Headers],OPEX_CategoryComparison[#Headers],0),FALSE)</f>
        <v>261986700</v>
      </c>
      <c r="L16" s="251">
        <f>OPEX_CategoryComparisonBalanced[[#This Row],[Essential]]*0.9</f>
        <v>346004130.31530708</v>
      </c>
      <c r="M16" s="251">
        <f>OPEX_CategoryComparisonBalanced[[#This Row],[Essential]]</f>
        <v>384449033.68367451</v>
      </c>
      <c r="N16" s="32" t="s">
        <v>1683</v>
      </c>
    </row>
    <row r="17" spans="1:14">
      <c r="A17" s="32" t="s">
        <v>1365</v>
      </c>
      <c r="B17" s="127">
        <f>VLOOKUP(OPEX_CategoryComparisonBalanced[[#This Row],[OPEX Category]],OPEX_CategoryComparison[],MATCH(OPEX_CategoryComparisonBalanced[#Headers],OPEX_CategoryComparison[#Headers],0),FALSE)</f>
        <v>326710600</v>
      </c>
      <c r="C17" s="127">
        <f>VLOOKUP(OPEX_CategoryComparisonBalanced[[#This Row],[OPEX Category]],OPEX_CategoryComparison[],MATCH(OPEX_CategoryComparisonBalanced[#Headers],OPEX_CategoryComparison[#Headers],0),FALSE)</f>
        <v>386227475.05000001</v>
      </c>
      <c r="D17" s="127">
        <f>VLOOKUP(OPEX_CategoryComparisonBalanced[[#This Row],[OPEX Category]],OPEX_CategoryComparison[],MATCH(OPEX_CategoryComparisonBalanced[#Headers],OPEX_CategoryComparison[#Headers],0),FALSE)</f>
        <v>292575725.40217364</v>
      </c>
      <c r="E17" s="127">
        <f>VLOOKUP(OPEX_CategoryComparisonBalanced[[#This Row],[OPEX Category]],OPEX_CategoryComparison[],MATCH(OPEX_CategoryComparisonBalanced[#Headers],OPEX_CategoryComparison[#Headers],0),FALSE)</f>
        <v>198623900</v>
      </c>
      <c r="F17" s="127">
        <f>VLOOKUP(OPEX_CategoryComparisonBalanced[[#This Row],[OPEX Category]],OPEX_CategoryComparison[],MATCH(OPEX_CategoryComparisonBalanced[#Headers],OPEX_CategoryComparison[#Headers],0),FALSE)</f>
        <v>116711612.10999998</v>
      </c>
      <c r="G17" s="127">
        <f>VLOOKUP(OPEX_CategoryComparisonBalanced[[#This Row],[OPEX Category]],OPEX_CategoryComparison[],MATCH(OPEX_CategoryComparisonBalanced[#Headers],OPEX_CategoryComparison[#Headers],0),FALSE)</f>
        <v>421813009.97240222</v>
      </c>
      <c r="H17" s="127">
        <f>VLOOKUP(OPEX_CategoryComparisonBalanced[[#This Row],[OPEX Category]],OPEX_CategoryComparison[],MATCH(OPEX_CategoryComparisonBalanced[#Headers],OPEX_CategoryComparison[#Headers],0),FALSE)</f>
        <v>421813009.97240222</v>
      </c>
      <c r="I17" s="127">
        <f>VLOOKUP(OPEX_CategoryComparisonBalanced[[#This Row],[OPEX Category]],OPEX_CategoryComparison[],MATCH(OPEX_CategoryComparisonBalanced[#Headers],OPEX_CategoryComparison[#Headers],0),FALSE)</f>
        <v>101351000</v>
      </c>
      <c r="J17" s="127">
        <f>VLOOKUP(OPEX_CategoryComparisonBalanced[[#This Row],[OPEX Category]],OPEX_CategoryComparison[],MATCH(OPEX_CategoryComparisonBalanced[#Headers],OPEX_CategoryComparison[#Headers],0),FALSE)</f>
        <v>315335512.11000001</v>
      </c>
      <c r="K17" s="127">
        <f>VLOOKUP(OPEX_CategoryComparisonBalanced[[#This Row],[OPEX Category]],OPEX_CategoryComparison[],MATCH(OPEX_CategoryComparisonBalanced[#Headers],OPEX_CategoryComparison[#Headers],0),FALSE)</f>
        <v>299974900</v>
      </c>
      <c r="L17" s="251">
        <f>OPEX_CategoryComparisonBalanced[[#This Row],[Essential]]*0.9</f>
        <v>379631708.97516203</v>
      </c>
      <c r="M17" s="251">
        <f>OPEX_CategoryComparisonBalanced[[#This Row],[Essential]]*(1+DirectCostInc)</f>
        <v>489303091.56798655</v>
      </c>
    </row>
    <row r="18" spans="1:14">
      <c r="A18" s="32" t="s">
        <v>1366</v>
      </c>
      <c r="B18" s="127">
        <f>VLOOKUP(OPEX_CategoryComparisonBalanced[[#This Row],[OPEX Category]],OPEX_CategoryComparison[],MATCH(OPEX_CategoryComparisonBalanced[#Headers],OPEX_CategoryComparison[#Headers],0),FALSE)</f>
        <v>170777690</v>
      </c>
      <c r="C18" s="127">
        <f>VLOOKUP(OPEX_CategoryComparisonBalanced[[#This Row],[OPEX Category]],OPEX_CategoryComparison[],MATCH(OPEX_CategoryComparisonBalanced[#Headers],OPEX_CategoryComparison[#Headers],0),FALSE)</f>
        <v>214354000</v>
      </c>
      <c r="D18" s="127">
        <f>VLOOKUP(OPEX_CategoryComparisonBalanced[[#This Row],[OPEX Category]],OPEX_CategoryComparison[],MATCH(OPEX_CategoryComparisonBalanced[#Headers],OPEX_CategoryComparison[#Headers],0),FALSE)</f>
        <v>117076600.36107562</v>
      </c>
      <c r="E18" s="127">
        <f>VLOOKUP(OPEX_CategoryComparisonBalanced[[#This Row],[OPEX Category]],OPEX_CategoryComparison[],MATCH(OPEX_CategoryComparisonBalanced[#Headers],OPEX_CategoryComparison[#Headers],0),FALSE)</f>
        <v>93134400</v>
      </c>
      <c r="F18" s="127">
        <f>VLOOKUP(OPEX_CategoryComparisonBalanced[[#This Row],[OPEX Category]],OPEX_CategoryComparison[],MATCH(OPEX_CategoryComparisonBalanced[#Headers],OPEX_CategoryComparison[#Headers],0),FALSE)</f>
        <v>85052784.778739005</v>
      </c>
      <c r="G18" s="127">
        <f>VLOOKUP(OPEX_CategoryComparisonBalanced[[#This Row],[OPEX Category]],OPEX_CategoryComparison[],MATCH(OPEX_CategoryComparisonBalanced[#Headers],OPEX_CategoryComparison[#Headers],0),FALSE)</f>
        <v>226878000</v>
      </c>
      <c r="H18" s="127">
        <f>VLOOKUP(OPEX_CategoryComparisonBalanced[[#This Row],[OPEX Category]],OPEX_CategoryComparison[],MATCH(OPEX_CategoryComparisonBalanced[#Headers],OPEX_CategoryComparison[#Headers],0),FALSE)</f>
        <v>226878000</v>
      </c>
      <c r="I18" s="127">
        <f>VLOOKUP(OPEX_CategoryComparisonBalanced[[#This Row],[OPEX Category]],OPEX_CategoryComparison[],MATCH(OPEX_CategoryComparisonBalanced[#Headers],OPEX_CategoryComparison[#Headers],0),FALSE)</f>
        <v>137628000</v>
      </c>
      <c r="J18" s="127">
        <f>VLOOKUP(OPEX_CategoryComparisonBalanced[[#This Row],[OPEX Category]],OPEX_CategoryComparison[],MATCH(OPEX_CategoryComparisonBalanced[#Headers],OPEX_CategoryComparison[#Headers],0),FALSE)</f>
        <v>178187184.77873901</v>
      </c>
      <c r="K18" s="127">
        <f>VLOOKUP(OPEX_CategoryComparisonBalanced[[#This Row],[OPEX Category]],OPEX_CategoryComparison[],MATCH(OPEX_CategoryComparisonBalanced[#Headers],OPEX_CategoryComparison[#Headers],0),FALSE)</f>
        <v>230762400</v>
      </c>
      <c r="L18" s="251">
        <f>OPEX_CategoryComparisonBalanced[[#This Row],[Essential]]*0.9</f>
        <v>204190200</v>
      </c>
      <c r="M18" s="251">
        <f>OPEX_CategoryComparisonBalanced[[#This Row],[Essential]]*(1+DirectCostInc)</f>
        <v>263178479.99999997</v>
      </c>
    </row>
    <row r="19" spans="1:14">
      <c r="A19" s="32" t="s">
        <v>1357</v>
      </c>
      <c r="B19" s="127">
        <f>VLOOKUP(OPEX_CategoryComparisonBalanced[[#This Row],[OPEX Category]],OPEX_CategoryComparison[],MATCH(OPEX_CategoryComparisonBalanced[#Headers],OPEX_CategoryComparison[#Headers],0),FALSE)+VLOOKUP("Metering",OPEX_CategoryComparison[],MATCH(OPEX_CategoryComparisonBalanced[#Headers],OPEX_CategoryComparison[#Headers],0),FALSE)+VLOOKUP("balancing item",OPEX_CategoryComparison[],MATCH(OPEX_CategoryComparisonBalanced[#Headers],OPEX_CategoryComparison[#Headers],0),FALSE)</f>
        <v>175265580.00000003</v>
      </c>
      <c r="C19" s="127">
        <f>VLOOKUP(OPEX_CategoryComparisonBalanced[[#This Row],[OPEX Category]],OPEX_CategoryComparison[],MATCH(OPEX_CategoryComparisonBalanced[#Headers],OPEX_CategoryComparison[#Headers],0),FALSE)+VLOOKUP("Metering",OPEX_CategoryComparison[],MATCH(OPEX_CategoryComparisonBalanced[#Headers],OPEX_CategoryComparison[#Headers],0),FALSE)+VLOOKUP("balancing item",OPEX_CategoryComparison[],MATCH(OPEX_CategoryComparisonBalanced[#Headers],OPEX_CategoryComparison[#Headers],0),FALSE)</f>
        <v>-11358301.060000181</v>
      </c>
      <c r="D19" s="127">
        <f>VLOOKUP(OPEX_CategoryComparisonBalanced[[#This Row],[OPEX Category]],OPEX_CategoryComparison[],MATCH(OPEX_CategoryComparisonBalanced[#Headers],OPEX_CategoryComparison[#Headers],0),FALSE)+VLOOKUP("Metering",OPEX_CategoryComparison[],MATCH(OPEX_CategoryComparisonBalanced[#Headers],OPEX_CategoryComparison[#Headers],0),FALSE)+VLOOKUP("balancing item",OPEX_CategoryComparison[],MATCH(OPEX_CategoryComparisonBalanced[#Headers],OPEX_CategoryComparison[#Headers],0),FALSE)</f>
        <v>-27282.498113334179</v>
      </c>
      <c r="E19" s="127">
        <f>VLOOKUP(OPEX_CategoryComparisonBalanced[[#This Row],[OPEX Category]],OPEX_CategoryComparison[],MATCH(OPEX_CategoryComparisonBalanced[#Headers],OPEX_CategoryComparison[#Headers],0),FALSE)+VLOOKUP("Metering",OPEX_CategoryComparison[],MATCH(OPEX_CategoryComparisonBalanced[#Headers],OPEX_CategoryComparison[#Headers],0),FALSE)+VLOOKUP("balancing item",OPEX_CategoryComparison[],MATCH(OPEX_CategoryComparisonBalanced[#Headers],OPEX_CategoryComparison[#Headers],0),FALSE)</f>
        <v>0</v>
      </c>
      <c r="F19" s="127">
        <f>VLOOKUP(OPEX_CategoryComparisonBalanced[[#This Row],[OPEX Category]],OPEX_CategoryComparison[],MATCH(OPEX_CategoryComparisonBalanced[#Headers],OPEX_CategoryComparison[#Headers],0),FALSE)+VLOOKUP("Metering",OPEX_CategoryComparison[],MATCH(OPEX_CategoryComparisonBalanced[#Headers],OPEX_CategoryComparison[#Headers],0),FALSE)+VLOOKUP("balancing item",OPEX_CategoryComparison[],MATCH(OPEX_CategoryComparisonBalanced[#Headers],OPEX_CategoryComparison[#Headers],0),FALSE)</f>
        <v>130236183.56703502</v>
      </c>
      <c r="G19" s="127">
        <f>VLOOKUP(OPEX_CategoryComparisonBalanced[[#This Row],[OPEX Category]],OPEX_CategoryComparison[],MATCH(OPEX_CategoryComparisonBalanced[#Headers],OPEX_CategoryComparison[#Headers],0),FALSE)+VLOOKUP("Metering",OPEX_CategoryComparison[],MATCH(OPEX_CategoryComparisonBalanced[#Headers],OPEX_CategoryComparison[#Headers],0),FALSE)+VLOOKUP("balancing item",OPEX_CategoryComparison[],MATCH(OPEX_CategoryComparisonBalanced[#Headers],OPEX_CategoryComparison[#Headers],0),FALSE)</f>
        <v>282637804.1965155</v>
      </c>
      <c r="H19" s="127">
        <f>VLOOKUP(OPEX_CategoryComparisonBalanced[[#This Row],[OPEX Category]],OPEX_CategoryComparison[],MATCH(OPEX_CategoryComparisonBalanced[#Headers],OPEX_CategoryComparison[#Headers],0),FALSE)+VLOOKUP("Metering",OPEX_CategoryComparison[],MATCH(OPEX_CategoryComparisonBalanced[#Headers],OPEX_CategoryComparison[#Headers],0),FALSE)+VLOOKUP("balancing item",OPEX_CategoryComparison[],MATCH(OPEX_CategoryComparisonBalanced[#Headers],OPEX_CategoryComparison[#Headers],0),FALSE)</f>
        <v>114084939.68258631</v>
      </c>
      <c r="I19" s="127">
        <f>VLOOKUP(OPEX_CategoryComparisonBalanced[[#This Row],[OPEX Category]],OPEX_CategoryComparison[],MATCH(OPEX_CategoryComparisonBalanced[#Headers],OPEX_CategoryComparison[#Headers],0),FALSE)+VLOOKUP("Metering",OPEX_CategoryComparison[],MATCH(OPEX_CategoryComparisonBalanced[#Headers],OPEX_CategoryComparison[#Headers],0),FALSE)+VLOOKUP("balancing item",OPEX_CategoryComparison[],MATCH(OPEX_CategoryComparisonBalanced[#Headers],OPEX_CategoryComparison[#Headers],0),FALSE)</f>
        <v>236000</v>
      </c>
      <c r="J19" s="127">
        <f>VLOOKUP(OPEX_CategoryComparisonBalanced[[#This Row],[OPEX Category]],OPEX_CategoryComparison[],MATCH(OPEX_CategoryComparisonBalanced[#Headers],OPEX_CategoryComparison[#Headers],0),FALSE)+VLOOKUP("Metering",OPEX_CategoryComparison[],MATCH(OPEX_CategoryComparisonBalanced[#Headers],OPEX_CategoryComparison[#Headers],0),FALSE)+VLOOKUP("balancing item",OPEX_CategoryComparison[],MATCH(OPEX_CategoryComparisonBalanced[#Headers],OPEX_CategoryComparison[#Headers],0),FALSE)</f>
        <v>130236183.56703502</v>
      </c>
      <c r="K19" s="127">
        <f>VLOOKUP(OPEX_CategoryComparisonBalanced[[#This Row],[OPEX Category]],OPEX_CategoryComparison[],MATCH(OPEX_CategoryComparisonBalanced[#Headers],OPEX_CategoryComparison[#Headers],0),FALSE)+VLOOKUP("Metering",OPEX_CategoryComparison[],MATCH(OPEX_CategoryComparisonBalanced[#Headers],OPEX_CategoryComparison[#Headers],0),FALSE)+VLOOKUP("balancing item",OPEX_CategoryComparison[],MATCH(OPEX_CategoryComparisonBalanced[#Headers],OPEX_CategoryComparison[#Headers],0),FALSE)</f>
        <v>236000</v>
      </c>
      <c r="L19" s="251">
        <f>OPEX_CategoryComparisonBalanced[[#This Row],[Essential]]*0.9</f>
        <v>102676445.71432768</v>
      </c>
      <c r="M19" s="251">
        <f>OPEX_CategoryComparisonBalanced[[#This Row],[Essential]]*(1+DirectCostInc)</f>
        <v>132338530.03180011</v>
      </c>
    </row>
    <row r="20" spans="1:14">
      <c r="A20" s="10" t="s">
        <v>1367</v>
      </c>
      <c r="B20" s="127">
        <f>VLOOKUP(OPEX_CategoryComparisonBalanced[[#This Row],[OPEX Category]],OPEX_CategoryComparison[],MATCH(OPEX_CategoryComparisonBalanced[#Headers],OPEX_CategoryComparison[#Headers],0),FALSE)</f>
        <v>1320596270</v>
      </c>
      <c r="C20" s="127">
        <f>VLOOKUP(OPEX_CategoryComparisonBalanced[[#This Row],[OPEX Category]],OPEX_CategoryComparison[],MATCH(OPEX_CategoryComparisonBalanced[#Headers],OPEX_CategoryComparison[#Headers],0),FALSE)</f>
        <v>707006300.67000008</v>
      </c>
      <c r="D20" s="127">
        <f>VLOOKUP(OPEX_CategoryComparisonBalanced[[#This Row],[OPEX Category]],OPEX_CategoryComparison[],MATCH(OPEX_CategoryComparisonBalanced[#Headers],OPEX_CategoryComparison[#Headers],0),FALSE)</f>
        <v>548691432.2937814</v>
      </c>
      <c r="E20" s="127">
        <f>VLOOKUP(OPEX_CategoryComparisonBalanced[[#This Row],[OPEX Category]],OPEX_CategoryComparison[],MATCH(OPEX_CategoryComparisonBalanced[#Headers],OPEX_CategoryComparison[#Headers],0),FALSE)</f>
        <v>221086300</v>
      </c>
      <c r="F20" s="127">
        <f>VLOOKUP(OPEX_CategoryComparisonBalanced[[#This Row],[OPEX Category]],OPEX_CategoryComparison[],MATCH(OPEX_CategoryComparisonBalanced[#Headers],OPEX_CategoryComparison[#Headers],0),FALSE)</f>
        <v>186385001.90798619</v>
      </c>
      <c r="G20" s="127">
        <f>VLOOKUP(OPEX_CategoryComparisonBalanced[[#This Row],[OPEX Category]],OPEX_CategoryComparison[],MATCH(OPEX_CategoryComparisonBalanced[#Headers],OPEX_CategoryComparison[#Headers],0),FALSE)</f>
        <v>344418600.75274628</v>
      </c>
      <c r="H20" s="127">
        <f>VLOOKUP(OPEX_CategoryComparisonBalanced[[#This Row],[OPEX Category]],OPEX_CategoryComparison[],MATCH(OPEX_CategoryComparisonBalanced[#Headers],OPEX_CategoryComparison[#Headers],0),FALSE)</f>
        <v>512971465.26667535</v>
      </c>
      <c r="I20" s="127">
        <f>VLOOKUP(OPEX_CategoryComparisonBalanced[[#This Row],[OPEX Category]],OPEX_CategoryComparison[],MATCH(OPEX_CategoryComparisonBalanced[#Headers],OPEX_CategoryComparison[#Headers],0),FALSE)</f>
        <v>322443000</v>
      </c>
      <c r="J20" s="127">
        <f>VLOOKUP(OPEX_CategoryComparisonBalanced[[#This Row],[OPEX Category]],OPEX_CategoryComparison[],MATCH(OPEX_CategoryComparisonBalanced[#Headers],OPEX_CategoryComparison[#Headers],0),FALSE)</f>
        <v>407471301.90798616</v>
      </c>
      <c r="K20" s="127">
        <f>VLOOKUP(OPEX_CategoryComparisonBalanced[[#This Row],[OPEX Category]],OPEX_CategoryComparison[],MATCH(OPEX_CategoryComparisonBalanced[#Headers],OPEX_CategoryComparison[#Headers],0),FALSE)</f>
        <v>543529300</v>
      </c>
      <c r="L20" s="251">
        <f>OPEX_CategoryComparisonBalanced[[#This Row],[Essential]]*0.9</f>
        <v>461674318.74000782</v>
      </c>
      <c r="M20" s="251">
        <f>OPEX_CategoryComparisonBalanced[[#This Row],[Essential]]-OPEX_CategoryComparisonBalanced[[#This Row],[Essential]]/($H$20+$H$21)*(SUM($M$17:$M$19)-SUM($H$17:$H$19))</f>
        <v>442643028.29252756</v>
      </c>
      <c r="N20" s="32" t="s">
        <v>1684</v>
      </c>
    </row>
    <row r="21" spans="1:14">
      <c r="A21" s="32" t="s">
        <v>1368</v>
      </c>
      <c r="B21" s="127">
        <f>VLOOKUP(OPEX_CategoryComparisonBalanced[[#This Row],[OPEX Category]],OPEX_CategoryComparison[],MATCH(OPEX_CategoryComparisonBalanced[#Headers],OPEX_CategoryComparison[#Headers],0),FALSE)</f>
        <v>489334060</v>
      </c>
      <c r="C21" s="127">
        <f>VLOOKUP(OPEX_CategoryComparisonBalanced[[#This Row],[OPEX Category]],OPEX_CategoryComparison[],MATCH(OPEX_CategoryComparisonBalanced[#Headers],OPEX_CategoryComparison[#Headers],0),FALSE)</f>
        <v>318521699.31999993</v>
      </c>
      <c r="D21" s="127">
        <f>VLOOKUP(OPEX_CategoryComparisonBalanced[[#This Row],[OPEX Category]],OPEX_CategoryComparison[],MATCH(OPEX_CategoryComparisonBalanced[#Headers],OPEX_CategoryComparison[#Headers],0),FALSE)</f>
        <v>284816382.96745598</v>
      </c>
      <c r="E21" s="127">
        <f>VLOOKUP(OPEX_CategoryComparisonBalanced[[#This Row],[OPEX Category]],OPEX_CategoryComparison[],MATCH(OPEX_CategoryComparisonBalanced[#Headers],OPEX_CategoryComparison[#Headers],0),FALSE)</f>
        <v>112282100</v>
      </c>
      <c r="F21" s="127">
        <f>VLOOKUP(OPEX_CategoryComparisonBalanced[[#This Row],[OPEX Category]],OPEX_CategoryComparison[],MATCH(OPEX_CategoryComparisonBalanced[#Headers],OPEX_CategoryComparison[#Headers],0),FALSE)</f>
        <v>109111349.44794932</v>
      </c>
      <c r="G21" s="127">
        <f>VLOOKUP(OPEX_CategoryComparisonBalanced[[#This Row],[OPEX Category]],OPEX_CategoryComparison[],MATCH(OPEX_CategoryComparisonBalanced[#Headers],OPEX_CategoryComparison[#Headers],0),FALSE)</f>
        <v>377211370.35307592</v>
      </c>
      <c r="H21" s="127">
        <f>VLOOKUP(OPEX_CategoryComparisonBalanced[[#This Row],[OPEX Category]],OPEX_CategoryComparison[],MATCH(OPEX_CategoryComparisonBalanced[#Headers],OPEX_CategoryComparison[#Headers],0),FALSE)</f>
        <v>377211370.35307592</v>
      </c>
      <c r="I21" s="127">
        <f>VLOOKUP(OPEX_CategoryComparisonBalanced[[#This Row],[OPEX Category]],OPEX_CategoryComparison[],MATCH(OPEX_CategoryComparisonBalanced[#Headers],OPEX_CategoryComparison[#Headers],0),FALSE)</f>
        <v>243585000</v>
      </c>
      <c r="J21" s="127">
        <f>VLOOKUP(OPEX_CategoryComparisonBalanced[[#This Row],[OPEX Category]],OPEX_CategoryComparison[],MATCH(OPEX_CategoryComparisonBalanced[#Headers],OPEX_CategoryComparison[#Headers],0),FALSE)</f>
        <v>221393449.44794932</v>
      </c>
      <c r="K21" s="127">
        <f>VLOOKUP(OPEX_CategoryComparisonBalanced[[#This Row],[OPEX Category]],OPEX_CategoryComparison[],MATCH(OPEX_CategoryComparisonBalanced[#Headers],OPEX_CategoryComparison[#Headers],0),FALSE)</f>
        <v>355867100</v>
      </c>
      <c r="L21" s="251">
        <f>OPEX_CategoryComparisonBalanced[[#This Row],[Essential]]*0.9</f>
        <v>339490233.31776834</v>
      </c>
      <c r="M21" s="251">
        <f>OPEX_CategoryComparisonBalanced[[#This Row],[Essential]]-OPEX_CategoryComparisonBalanced[[#This Row],[Essential]]/($H$20+$H$21)*(SUM($M$17:$M$19)-SUM($H$17:$H$19))</f>
        <v>325495655.38242561</v>
      </c>
      <c r="N21" s="32" t="s">
        <v>1684</v>
      </c>
    </row>
    <row r="22" spans="1:14">
      <c r="A22" s="32" t="s">
        <v>1370</v>
      </c>
      <c r="B22" s="127"/>
      <c r="C22" s="127"/>
      <c r="D22" s="127"/>
      <c r="E22" s="127"/>
      <c r="F22" s="127"/>
      <c r="G22" s="127"/>
      <c r="H22" s="127"/>
      <c r="I22" s="127"/>
      <c r="J22" s="127"/>
      <c r="K22" s="127"/>
      <c r="L22" s="251">
        <f>OPEX_CategoryComparisonBalanced[[#This Row],[Essential]]*0.9</f>
        <v>0</v>
      </c>
      <c r="M22" s="251"/>
    </row>
    <row r="23" spans="1:14">
      <c r="A23" s="32" t="s">
        <v>1323</v>
      </c>
      <c r="B23" s="127">
        <f>VLOOKUP(OPEX_CategoryComparisonBalanced[[#This Row],[OPEX Category]],OPEX_CategoryComparison[],MATCH(OPEX_CategoryComparisonBalanced[#Headers],OPEX_CategoryComparison[#Headers],0),FALSE)</f>
        <v>0</v>
      </c>
      <c r="C23" s="127">
        <f>VLOOKUP(OPEX_CategoryComparisonBalanced[[#This Row],[OPEX Category]],OPEX_CategoryComparison[],MATCH(OPEX_CategoryComparisonBalanced[#Headers],OPEX_CategoryComparison[#Headers],0),FALSE)</f>
        <v>11358301</v>
      </c>
      <c r="D23" s="127">
        <f>VLOOKUP(OPEX_CategoryComparisonBalanced[[#This Row],[OPEX Category]],OPEX_CategoryComparison[],MATCH(OPEX_CategoryComparisonBalanced[#Headers],OPEX_CategoryComparison[#Headers],0),FALSE)</f>
        <v>0</v>
      </c>
      <c r="E23" s="127">
        <f>VLOOKUP(OPEX_CategoryComparisonBalanced[[#This Row],[OPEX Category]],OPEX_CategoryComparison[],MATCH(OPEX_CategoryComparisonBalanced[#Headers],OPEX_CategoryComparison[#Headers],0),FALSE)</f>
        <v>0</v>
      </c>
      <c r="F23" s="127">
        <f>VLOOKUP(OPEX_CategoryComparisonBalanced[[#This Row],[OPEX Category]],OPEX_CategoryComparison[],MATCH(OPEX_CategoryComparisonBalanced[#Headers],OPEX_CategoryComparison[#Headers],0),FALSE)</f>
        <v>0</v>
      </c>
      <c r="G23" s="127">
        <f>VLOOKUP(OPEX_CategoryComparisonBalanced[[#This Row],[OPEX Category]],OPEX_CategoryComparison[],MATCH(OPEX_CategoryComparisonBalanced[#Headers],OPEX_CategoryComparison[#Headers],0),FALSE)</f>
        <v>0</v>
      </c>
      <c r="H23" s="127">
        <f>VLOOKUP(OPEX_CategoryComparisonBalanced[[#This Row],[OPEX Category]],OPEX_CategoryComparison[],MATCH(OPEX_CategoryComparisonBalanced[#Headers],OPEX_CategoryComparison[#Headers],0),FALSE)</f>
        <v>0</v>
      </c>
      <c r="I23" s="127">
        <f>VLOOKUP(OPEX_CategoryComparisonBalanced[[#This Row],[OPEX Category]],OPEX_CategoryComparison[],MATCH(OPEX_CategoryComparisonBalanced[#Headers],OPEX_CategoryComparison[#Headers],0),FALSE)</f>
        <v>0</v>
      </c>
      <c r="J23" s="127">
        <f>VLOOKUP(OPEX_CategoryComparisonBalanced[[#This Row],[OPEX Category]],OPEX_CategoryComparison[],MATCH(OPEX_CategoryComparisonBalanced[#Headers],OPEX_CategoryComparison[#Headers],0),FALSE)</f>
        <v>0</v>
      </c>
      <c r="K23" s="127">
        <f>VLOOKUP(OPEX_CategoryComparisonBalanced[[#This Row],[OPEX Category]],OPEX_CategoryComparison[],MATCH(OPEX_CategoryComparisonBalanced[#Headers],OPEX_CategoryComparison[#Headers],0),FALSE)</f>
        <v>0</v>
      </c>
      <c r="L23" s="251">
        <f>OPEX_CategoryComparisonBalanced[[#This Row],[Essential]]*0.9</f>
        <v>0</v>
      </c>
      <c r="M23" s="251"/>
    </row>
    <row r="24" spans="1:14">
      <c r="A24" s="32" t="s">
        <v>1360</v>
      </c>
      <c r="B24" s="127"/>
      <c r="C24" s="127"/>
      <c r="D24" s="127"/>
      <c r="E24" s="127"/>
      <c r="F24" s="127"/>
      <c r="G24" s="127"/>
      <c r="H24" s="127"/>
      <c r="I24" s="127"/>
      <c r="J24" s="127"/>
      <c r="K24" s="127"/>
      <c r="L24" s="251">
        <f>OPEX_CategoryComparisonBalanced[[#This Row],[Essential]]*0.9</f>
        <v>0</v>
      </c>
      <c r="M24" s="251"/>
    </row>
    <row r="25" spans="1:14">
      <c r="A25" s="119" t="s">
        <v>6</v>
      </c>
      <c r="B25" s="158">
        <f>SUBTOTAL(109,OPEX_CategoryComparisonBalanced[Ausgrid])</f>
        <v>2482684201</v>
      </c>
      <c r="C25" s="158">
        <f>SUBTOTAL(109,OPEX_CategoryComparisonBalanced[Ergon])</f>
        <v>1889123068.7699997</v>
      </c>
      <c r="D25" s="158">
        <f>SUBTOTAL(109,OPEX_CategoryComparisonBalanced[Endeavour])</f>
        <v>1350685514.8763733</v>
      </c>
      <c r="E25" s="158">
        <f>SUBTOTAL(109,OPEX_CategoryComparisonBalanced[Powercor])</f>
        <v>761650400</v>
      </c>
      <c r="F25" s="158">
        <f>SUBTOTAL(109,OPEX_CategoryComparisonBalanced[AusNet])</f>
        <v>768609313.11630952</v>
      </c>
      <c r="G25" s="158">
        <f>SUBTOTAL(109,OPEX_CategoryComparisonBalanced[Essential (Original)])</f>
        <v>2037407818.9584146</v>
      </c>
      <c r="H25" s="158">
        <f>SUBTOTAL(109,OPEX_CategoryComparisonBalanced[Essential])</f>
        <v>2037407818.9584146</v>
      </c>
      <c r="I25" s="158">
        <f>SUBTOTAL(109,OPEX_CategoryComparisonBalanced[SA Power])</f>
        <v>930706000</v>
      </c>
      <c r="J25" s="158">
        <f>SUBTOTAL(109,OPEX_CategoryComparisonBalanced[AusNet + Powercor])</f>
        <v>1530259713.1163096</v>
      </c>
      <c r="K25" s="158">
        <f>SUBTOTAL(109,OPEX_CategoryComparisonBalanced[SA Power + Powercor])</f>
        <v>1692356400</v>
      </c>
      <c r="L25" s="253">
        <f>SUBTOTAL(109,OPEX_CategoryComparisonBalanced[Essential -10%])</f>
        <v>1833667037.062573</v>
      </c>
      <c r="M25" s="253">
        <f>SUBTOTAL(109,OPEX_CategoryComparisonBalanced[Essential +16%Dir])</f>
        <v>2037407818.9584143</v>
      </c>
      <c r="N25" s="119" t="s">
        <v>1373</v>
      </c>
    </row>
    <row r="26" spans="1:14">
      <c r="A26" s="130"/>
      <c r="B26" s="127"/>
      <c r="C26" s="127"/>
      <c r="D26" s="127"/>
      <c r="E26" s="127"/>
      <c r="F26" s="127"/>
      <c r="G26" s="127"/>
      <c r="H26" s="127"/>
      <c r="I26" s="127"/>
      <c r="J26" s="127"/>
      <c r="K26" s="127"/>
      <c r="L26" s="176"/>
    </row>
    <row r="27" spans="1:14" ht="18.75">
      <c r="A27" s="77" t="s">
        <v>1378</v>
      </c>
    </row>
    <row r="28" spans="1:14" ht="30">
      <c r="A28" s="32" t="s">
        <v>1520</v>
      </c>
      <c r="B28" s="31" t="s">
        <v>574</v>
      </c>
      <c r="C28" s="31" t="s">
        <v>1147</v>
      </c>
      <c r="D28" s="31" t="s">
        <v>575</v>
      </c>
      <c r="E28" s="31" t="s">
        <v>310</v>
      </c>
      <c r="F28" s="31" t="s">
        <v>1674</v>
      </c>
      <c r="G28" s="131" t="s">
        <v>1560</v>
      </c>
      <c r="H28" s="31" t="s">
        <v>0</v>
      </c>
      <c r="I28" s="31" t="s">
        <v>1218</v>
      </c>
      <c r="J28" s="31" t="s">
        <v>1675</v>
      </c>
      <c r="K28" s="31" t="s">
        <v>1676</v>
      </c>
      <c r="L28" s="175" t="s">
        <v>1569</v>
      </c>
      <c r="M28" s="175" t="s">
        <v>1677</v>
      </c>
      <c r="N28" s="32" t="s">
        <v>1164</v>
      </c>
    </row>
    <row r="29" spans="1:14">
      <c r="A29" s="32" t="s">
        <v>1364</v>
      </c>
      <c r="B29"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2.466509146983107E-5</v>
      </c>
      <c r="C29"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1616.1452433648126</v>
      </c>
      <c r="D29"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2427.555874925617</v>
      </c>
      <c r="E29"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1818.1770964637199</v>
      </c>
      <c r="F29"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3162.7933538509892</v>
      </c>
      <c r="G29"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2020.6709134780106</v>
      </c>
      <c r="H29"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1987.6093927675211</v>
      </c>
      <c r="I29"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1427.413018381756</v>
      </c>
      <c r="J29"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2319.3433217108795</v>
      </c>
      <c r="K29"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1607.4420666404171</v>
      </c>
      <c r="L29"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1788.8484534907691</v>
      </c>
      <c r="M29"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1987.6093927675211</v>
      </c>
    </row>
    <row r="30" spans="1:14">
      <c r="A30" s="32" t="s">
        <v>1365</v>
      </c>
      <c r="B30"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8058.3468331633912</v>
      </c>
      <c r="C30"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2373.2602093458486</v>
      </c>
      <c r="D30"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6603.6855356633941</v>
      </c>
      <c r="E30"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2645.2068453338156</v>
      </c>
      <c r="F30"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2615.8917288904786</v>
      </c>
      <c r="G30"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2217.0566329974304</v>
      </c>
      <c r="H30"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2180.7819168626747</v>
      </c>
      <c r="I30"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1153.0868608753924</v>
      </c>
      <c r="J30"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2634.2804965187752</v>
      </c>
      <c r="K30"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1840.5219547261461</v>
      </c>
      <c r="L30"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1962.7037251764075</v>
      </c>
      <c r="M30"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2529.7070235607025</v>
      </c>
    </row>
    <row r="31" spans="1:14">
      <c r="A31" s="32" t="s">
        <v>1366</v>
      </c>
      <c r="B31"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4212.2473448564551</v>
      </c>
      <c r="C31"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1317.1455988423991</v>
      </c>
      <c r="D31"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2642.5194752788434</v>
      </c>
      <c r="E31"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1240.3328724088981</v>
      </c>
      <c r="F31"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1906.3131097196306</v>
      </c>
      <c r="G31"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1192.4747764752458</v>
      </c>
      <c r="H31"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1172.9639153764867</v>
      </c>
      <c r="I31"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1565.8162079166314</v>
      </c>
      <c r="J31"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1488.5574493382082</v>
      </c>
      <c r="K31"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1415.8626722612353</v>
      </c>
      <c r="L31"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1055.667523838838</v>
      </c>
      <c r="M31"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1360.6381418367243</v>
      </c>
    </row>
    <row r="32" spans="1:14">
      <c r="A32" s="32" t="s">
        <v>1357</v>
      </c>
      <c r="B32"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4322.9415622129954</v>
      </c>
      <c r="C32"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-69.793594948105437</v>
      </c>
      <c r="D32"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-0.61578942654977442</v>
      </c>
      <c r="E32"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0</v>
      </c>
      <c r="F32"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2919.0219313754028</v>
      </c>
      <c r="G32"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1485.5492924950595</v>
      </c>
      <c r="H32"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589.82147910144113</v>
      </c>
      <c r="I32"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2.6850104998134463</v>
      </c>
      <c r="J32"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1087.9797077596561</v>
      </c>
      <c r="K32"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1.4479984202523961</v>
      </c>
      <c r="L32"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530.83933119129699</v>
      </c>
      <c r="M32"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684.19291575767159</v>
      </c>
    </row>
    <row r="33" spans="1:14">
      <c r="A33" s="10" t="s">
        <v>1367</v>
      </c>
      <c r="B33"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32572.62779426773</v>
      </c>
      <c r="C33"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4344.3567056427055</v>
      </c>
      <c r="D33"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12384.437123073627</v>
      </c>
      <c r="E33"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2944.3535957632771</v>
      </c>
      <c r="F33"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4177.5019303204554</v>
      </c>
      <c r="G33"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1810.2702507362903</v>
      </c>
      <c r="H33"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2652.0730012412528</v>
      </c>
      <c r="I33"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3668.4866126751995</v>
      </c>
      <c r="J33"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3403.9734260341866</v>
      </c>
      <c r="K33"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3334.8710498342825</v>
      </c>
      <c r="L33"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2386.8657011171276</v>
      </c>
      <c r="M33"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2288.4735389950019</v>
      </c>
    </row>
    <row r="34" spans="1:14">
      <c r="A34" s="32" t="s">
        <v>1368</v>
      </c>
      <c r="B34"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12069.469349203806</v>
      </c>
      <c r="C34"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1957.2270841465047</v>
      </c>
      <c r="D34"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6428.5505092288895</v>
      </c>
      <c r="E34"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1495.3355539210338</v>
      </c>
      <c r="F34"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2445.544803887718</v>
      </c>
      <c r="G34"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1982.6296271375161</v>
      </c>
      <c r="H34"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1950.1905248365813</v>
      </c>
      <c r="I34"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2771.3062821909248</v>
      </c>
      <c r="J34"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1849.4981489249565</v>
      </c>
      <c r="K34" s="127">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2183.4533839822097</v>
      </c>
      <c r="L34"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1755.1714723529233</v>
      </c>
      <c r="M34" s="252">
        <f>VLOOKUP(OPEX_TotalLineLength[[#This Row],[OPEX Category]],OPEX_CategoryComparisonBalanced[#All],MATCH(OPEX_TotalLineLength[#Headers],OPEX_CategoryComparisonBalanced[#Headers],0),FALSE)/VLOOKUP("Total Line Length",Network_Size_Comparison[#All],MATCH(OPEX_TotalLineLength[#Headers],Network_Size_Comparison[#Headers],0),FALSE)</f>
        <v>1682.8192172683359</v>
      </c>
    </row>
    <row r="36" spans="1:14" ht="18.75">
      <c r="A36" s="77" t="s">
        <v>1571</v>
      </c>
    </row>
    <row r="37" spans="1:14" ht="30">
      <c r="A37" s="32" t="s">
        <v>1520</v>
      </c>
      <c r="B37" s="31" t="s">
        <v>574</v>
      </c>
      <c r="C37" s="31" t="s">
        <v>1147</v>
      </c>
      <c r="D37" s="31" t="s">
        <v>575</v>
      </c>
      <c r="E37" s="31" t="s">
        <v>310</v>
      </c>
      <c r="F37" s="31" t="s">
        <v>1674</v>
      </c>
      <c r="G37" s="131" t="s">
        <v>1560</v>
      </c>
      <c r="H37" s="31" t="s">
        <v>0</v>
      </c>
      <c r="I37" s="31" t="s">
        <v>1218</v>
      </c>
      <c r="J37" s="31" t="s">
        <v>1675</v>
      </c>
      <c r="K37" s="31" t="s">
        <v>1676</v>
      </c>
      <c r="L37" s="175" t="s">
        <v>1569</v>
      </c>
      <c r="M37" s="175" t="s">
        <v>1677</v>
      </c>
      <c r="N37" s="32" t="s">
        <v>1164</v>
      </c>
    </row>
    <row r="38" spans="1:14">
      <c r="A38" s="32" t="s">
        <v>1364</v>
      </c>
      <c r="B38"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3.6204956008022475E-5</v>
      </c>
      <c r="C38"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1690.4737704754775</v>
      </c>
      <c r="D38"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3529.8764799620112</v>
      </c>
      <c r="E38"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1960.878538683814</v>
      </c>
      <c r="F38"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3598.067232203045</v>
      </c>
      <c r="G38"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2092.536258118148</v>
      </c>
      <c r="H38"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2063.5741099953152</v>
      </c>
      <c r="I38"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1712.678695559473</v>
      </c>
      <c r="J38"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2550.8015719946766</v>
      </c>
      <c r="K38"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1833.6242645621646</v>
      </c>
      <c r="L38"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1857.2166989957839</v>
      </c>
      <c r="M38"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2063.5741099953152</v>
      </c>
    </row>
    <row r="39" spans="1:14">
      <c r="A39" s="32" t="s">
        <v>1365</v>
      </c>
      <c r="B39"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11828.542900354629</v>
      </c>
      <c r="C39"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2482.4093941330761</v>
      </c>
      <c r="D39"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9602.3306792548301</v>
      </c>
      <c r="E39"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2852.8185419797442</v>
      </c>
      <c r="F39"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2975.8992320037751</v>
      </c>
      <c r="G39"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2295.9064535962839</v>
      </c>
      <c r="H39"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2264.1295214034712</v>
      </c>
      <c r="I39"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1383.5289963865694</v>
      </c>
      <c r="J39"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2897.1678184488455</v>
      </c>
      <c r="K39"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2099.5006822850505</v>
      </c>
      <c r="L39"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2037.7165692631243</v>
      </c>
      <c r="M39"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2626.3902448280264</v>
      </c>
    </row>
    <row r="40" spans="1:14">
      <c r="A40" s="32" t="s">
        <v>1366</v>
      </c>
      <c r="B40"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6182.9987536016997</v>
      </c>
      <c r="C40"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1377.7227609224726</v>
      </c>
      <c r="D40"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3842.4521717400871</v>
      </c>
      <c r="E40"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1337.6816345674326</v>
      </c>
      <c r="F40"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2168.6661020865563</v>
      </c>
      <c r="G40"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1234.885250251285</v>
      </c>
      <c r="H40"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1217.793584864974</v>
      </c>
      <c r="I40"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1878.7414896221128</v>
      </c>
      <c r="J40"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1637.1076443203733</v>
      </c>
      <c r="K40"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1615.0878498358888</v>
      </c>
      <c r="L40"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1096.0142263784767</v>
      </c>
      <c r="M40"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1412.6405584433699</v>
      </c>
    </row>
    <row r="41" spans="1:14">
      <c r="A41" s="32" t="s">
        <v>1357</v>
      </c>
      <c r="B41"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6345.4826136205447</v>
      </c>
      <c r="C41"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-73.003489068419981</v>
      </c>
      <c r="D41"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-0.89541115648015579</v>
      </c>
      <c r="E41"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0</v>
      </c>
      <c r="F41"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3320.7471960113107</v>
      </c>
      <c r="G41"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1538.3829880626934</v>
      </c>
      <c r="H41"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612.36394747468296</v>
      </c>
      <c r="I41"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3.2216045539484601</v>
      </c>
      <c r="J41"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1196.5543534988512</v>
      </c>
      <c r="K41"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1.6517453994293254</v>
      </c>
      <c r="L41"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551.12755272721461</v>
      </c>
      <c r="M41"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710.34217907063214</v>
      </c>
    </row>
    <row r="42" spans="1:14">
      <c r="A42" s="10" t="s">
        <v>1367</v>
      </c>
      <c r="B42"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47812.12985970857</v>
      </c>
      <c r="C42"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4544.159066537859</v>
      </c>
      <c r="D42"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18008.044127777484</v>
      </c>
      <c r="E42"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3175.4441233793937</v>
      </c>
      <c r="F42"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4752.4232936841945</v>
      </c>
      <c r="G42"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1874.6526766885838</v>
      </c>
      <c r="H42"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2753.4329446686902</v>
      </c>
      <c r="I42"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4401.6264287661152</v>
      </c>
      <c r="J42"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3743.6720492726085</v>
      </c>
      <c r="K42"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3804.1187319069563</v>
      </c>
      <c r="L42"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2478.0896502018213</v>
      </c>
      <c r="M42"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2375.937024479435</v>
      </c>
    </row>
    <row r="43" spans="1:14">
      <c r="A43" s="32" t="s">
        <v>1368</v>
      </c>
      <c r="B43"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17716.318115527032</v>
      </c>
      <c r="C43"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2047.2423887628315</v>
      </c>
      <c r="D43"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9347.6691832974484</v>
      </c>
      <c r="E43"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1612.6984557871629</v>
      </c>
      <c r="F43"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2782.1086107440278</v>
      </c>
      <c r="G43"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2053.1420299724446</v>
      </c>
      <c r="H43"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2024.7251251954872</v>
      </c>
      <c r="I43"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3325.1463782776932</v>
      </c>
      <c r="J43"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2034.0683250804705</v>
      </c>
      <c r="K43" s="127">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2490.6857848866766</v>
      </c>
      <c r="L43"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1822.2526126759385</v>
      </c>
      <c r="M43" s="252">
        <f>VLOOKUP(OPEX_WeightedLineLength[[#This Row],[OPEX Category]],OPEX_CategoryComparisonBalanced[#All],MATCH(OPEX_WeightedLineLength[#Headers],OPEX_CategoryComparisonBalanced[#Headers],0),FALSE)/VLOOKUP("Adjusted Total Line Length",Network_Size_Comparison[#All],MATCH(OPEX_WeightedLineLength[#Headers],Network_Size_Comparison[#Headers],0),FALSE)</f>
        <v>1747.135116785842</v>
      </c>
    </row>
    <row r="45" spans="1:14" ht="18.75">
      <c r="A45" s="77" t="s">
        <v>1379</v>
      </c>
    </row>
    <row r="46" spans="1:14" ht="30">
      <c r="A46" s="32" t="s">
        <v>1520</v>
      </c>
      <c r="B46" s="31" t="s">
        <v>574</v>
      </c>
      <c r="C46" s="31" t="s">
        <v>1147</v>
      </c>
      <c r="D46" s="31" t="s">
        <v>575</v>
      </c>
      <c r="E46" s="31" t="s">
        <v>310</v>
      </c>
      <c r="F46" s="31" t="s">
        <v>1674</v>
      </c>
      <c r="G46" s="131" t="s">
        <v>1560</v>
      </c>
      <c r="H46" s="31" t="s">
        <v>0</v>
      </c>
      <c r="I46" s="31" t="s">
        <v>1218</v>
      </c>
      <c r="J46" s="31" t="s">
        <v>1675</v>
      </c>
      <c r="K46" s="31" t="s">
        <v>1676</v>
      </c>
      <c r="L46" s="175" t="s">
        <v>1569</v>
      </c>
      <c r="M46" s="175" t="s">
        <v>1677</v>
      </c>
      <c r="N46" s="32" t="s">
        <v>1164</v>
      </c>
    </row>
    <row r="47" spans="1:14">
      <c r="A47" s="32" t="s">
        <v>1364</v>
      </c>
      <c r="B47" s="127">
        <f>VLOOKUP(OPEX_Poles[[#This Row],[OPEX Category]],OPEX_CategoryComparisonBalanced[#All],MATCH(OPEX_Poles[#Headers],OPEX_CategoryComparisonBalanced[#Headers],0),FALSE)/VLOOKUP("Poles",Network_Size_Comparison[#All],MATCH(OPEX_Poles[#Headers],Network_Size_Comparison[#Headers],0),FALSE)</f>
        <v>2.1326554332596147E-6</v>
      </c>
      <c r="C47" s="127">
        <f>VLOOKUP(OPEX_Poles[[#This Row],[OPEX Category]],OPEX_CategoryComparisonBalanced[#All],MATCH(OPEX_Poles[#Headers],OPEX_CategoryComparisonBalanced[#Headers],0),FALSE)/VLOOKUP("Poles",Network_Size_Comparison[#All],MATCH(OPEX_Poles[#Headers],Network_Size_Comparison[#Headers],0),FALSE)</f>
        <v>261.78138879295159</v>
      </c>
      <c r="D47" s="127">
        <f>VLOOKUP(OPEX_Poles[[#This Row],[OPEX Category]],OPEX_CategoryComparisonBalanced[#All],MATCH(OPEX_Poles[#Headers],OPEX_CategoryComparisonBalanced[#Headers],0),FALSE)/VLOOKUP("Poles",Network_Size_Comparison[#All],MATCH(OPEX_Poles[#Headers],Network_Size_Comparison[#Headers],0),FALSE)</f>
        <v>351.68384337948214</v>
      </c>
      <c r="E47" s="127">
        <f>VLOOKUP(OPEX_Poles[[#This Row],[OPEX Category]],OPEX_CategoryComparisonBalanced[#All],MATCH(OPEX_Poles[#Headers],OPEX_CategoryComparisonBalanced[#Headers],0),FALSE)/VLOOKUP("Poles",Network_Size_Comparison[#All],MATCH(OPEX_Poles[#Headers],Network_Size_Comparison[#Headers],0),FALSE)</f>
        <v>249.32784481168514</v>
      </c>
      <c r="F47" s="127">
        <f>VLOOKUP(OPEX_Poles[[#This Row],[OPEX Category]],OPEX_CategoryComparisonBalanced[#All],MATCH(OPEX_Poles[#Headers],OPEX_CategoryComparisonBalanced[#Headers],0),FALSE)/VLOOKUP("Poles",Network_Size_Comparison[#All],MATCH(OPEX_Poles[#Headers],Network_Size_Comparison[#Headers],0),FALSE)</f>
        <v>379.18451930178128</v>
      </c>
      <c r="G47" s="127">
        <f>VLOOKUP(OPEX_Poles[[#This Row],[OPEX Category]],OPEX_CategoryComparisonBalanced[#All],MATCH(OPEX_Poles[#Headers],OPEX_CategoryComparisonBalanced[#Headers],0),FALSE)/VLOOKUP("Poles",Network_Size_Comparison[#All],MATCH(OPEX_Poles[#Headers],Network_Size_Comparison[#Headers],0),FALSE)</f>
        <v>277.81461613046844</v>
      </c>
      <c r="H47" s="127">
        <f>VLOOKUP(OPEX_Poles[[#This Row],[OPEX Category]],OPEX_CategoryComparisonBalanced[#All],MATCH(OPEX_Poles[#Headers],OPEX_CategoryComparisonBalanced[#Headers],0),FALSE)/VLOOKUP("Poles",Network_Size_Comparison[#All],MATCH(OPEX_Poles[#Headers],Network_Size_Comparison[#Headers],0),FALSE)</f>
        <v>292.17648559228832</v>
      </c>
      <c r="I47" s="127">
        <f>VLOOKUP(OPEX_Poles[[#This Row],[OPEX Category]],OPEX_CategoryComparisonBalanced[#All],MATCH(OPEX_Poles[#Headers],OPEX_CategoryComparisonBalanced[#Headers],0),FALSE)/VLOOKUP("Poles",Network_Size_Comparison[#All],MATCH(OPEX_Poles[#Headers],Network_Size_Comparison[#Headers],0),FALSE)</f>
        <v>169.61129308957982</v>
      </c>
      <c r="J47" s="127">
        <f>VLOOKUP(OPEX_Poles[[#This Row],[OPEX Category]],OPEX_CategoryComparisonBalanced[#All],MATCH(OPEX_Poles[#Headers],OPEX_CategoryComparisonBalanced[#Headers],0),FALSE)/VLOOKUP("Poles",Network_Size_Comparison[#All],MATCH(OPEX_Poles[#Headers],Network_Size_Comparison[#Headers],0),FALSE)</f>
        <v>301.87219212124637</v>
      </c>
      <c r="K47" s="127">
        <f>VLOOKUP(OPEX_Poles[[#This Row],[OPEX Category]],OPEX_CategoryComparisonBalanced[#All],MATCH(OPEX_Poles[#Headers],OPEX_CategoryComparisonBalanced[#Headers],0),FALSE)/VLOOKUP("Poles",Network_Size_Comparison[#All],MATCH(OPEX_Poles[#Headers],Network_Size_Comparison[#Headers],0),FALSE)</f>
        <v>203.52022410112517</v>
      </c>
      <c r="L47" s="300">
        <f>VLOOKUP(OPEX_Poles[[#This Row],[OPEX Category]],OPEX_CategoryComparisonBalanced[#All],MATCH(OPEX_Poles[#Headers],OPEX_CategoryComparisonBalanced[#Headers],0),FALSE)/VLOOKUP("Poles",Network_Size_Comparison[#All],MATCH(OPEX_Poles[#Headers],Network_Size_Comparison[#Headers],0),FALSE)</f>
        <v>262.95883703305952</v>
      </c>
      <c r="M47" s="300">
        <f>VLOOKUP(OPEX_Poles[[#This Row],[OPEX Category]],OPEX_CategoryComparisonBalanced[#All],MATCH(OPEX_Poles[#Headers],OPEX_CategoryComparisonBalanced[#Headers],0),FALSE)/VLOOKUP("Poles",Network_Size_Comparison[#All],MATCH(OPEX_Poles[#Headers],Network_Size_Comparison[#Headers],0),FALSE)</f>
        <v>292.17648559228832</v>
      </c>
    </row>
    <row r="48" spans="1:14">
      <c r="A48" s="32" t="s">
        <v>1365</v>
      </c>
      <c r="B48" s="127">
        <f>VLOOKUP(OPEX_Poles[[#This Row],[OPEX Category]],OPEX_CategoryComparisonBalanced[#All],MATCH(OPEX_Poles[#Headers],OPEX_CategoryComparisonBalanced[#Headers],0),FALSE)/VLOOKUP("Poles",Network_Size_Comparison[#All],MATCH(OPEX_Poles[#Headers],Network_Size_Comparison[#Headers],0),FALSE)</f>
        <v>696.76113619350861</v>
      </c>
      <c r="C48" s="127">
        <f>VLOOKUP(OPEX_Poles[[#This Row],[OPEX Category]],OPEX_CategoryComparisonBalanced[#All],MATCH(OPEX_Poles[#Headers],OPEX_CategoryComparisonBalanced[#Headers],0),FALSE)/VLOOKUP("Poles",Network_Size_Comparison[#All],MATCH(OPEX_Poles[#Headers],Network_Size_Comparison[#Headers],0),FALSE)</f>
        <v>384.41801943253108</v>
      </c>
      <c r="D48" s="127">
        <f>VLOOKUP(OPEX_Poles[[#This Row],[OPEX Category]],OPEX_CategoryComparisonBalanced[#All],MATCH(OPEX_Poles[#Headers],OPEX_CategoryComparisonBalanced[#Headers],0),FALSE)/VLOOKUP("Poles",Network_Size_Comparison[#All],MATCH(OPEX_Poles[#Headers],Network_Size_Comparison[#Headers],0),FALSE)</f>
        <v>956.6863253859226</v>
      </c>
      <c r="E48" s="127">
        <f>VLOOKUP(OPEX_Poles[[#This Row],[OPEX Category]],OPEX_CategoryComparisonBalanced[#All],MATCH(OPEX_Poles[#Headers],OPEX_CategoryComparisonBalanced[#Headers],0),FALSE)/VLOOKUP("Poles",Network_Size_Comparison[#All],MATCH(OPEX_Poles[#Headers],Network_Size_Comparison[#Headers],0),FALSE)</f>
        <v>362.73898901869541</v>
      </c>
      <c r="F48" s="127">
        <f>VLOOKUP(OPEX_Poles[[#This Row],[OPEX Category]],OPEX_CategoryComparisonBalanced[#All],MATCH(OPEX_Poles[#Headers],OPEX_CategoryComparisonBalanced[#Headers],0),FALSE)/VLOOKUP("Poles",Network_Size_Comparison[#All],MATCH(OPEX_Poles[#Headers],Network_Size_Comparison[#Headers],0),FALSE)</f>
        <v>313.61696348485941</v>
      </c>
      <c r="G48" s="127">
        <f>VLOOKUP(OPEX_Poles[[#This Row],[OPEX Category]],OPEX_CategoryComparisonBalanced[#All],MATCH(OPEX_Poles[#Headers],OPEX_CategoryComparisonBalanced[#Headers],0),FALSE)/VLOOKUP("Poles",Network_Size_Comparison[#All],MATCH(OPEX_Poles[#Headers],Network_Size_Comparison[#Headers],0),FALSE)</f>
        <v>304.81496681492791</v>
      </c>
      <c r="H48" s="127">
        <f>VLOOKUP(OPEX_Poles[[#This Row],[OPEX Category]],OPEX_CategoryComparisonBalanced[#All],MATCH(OPEX_Poles[#Headers],OPEX_CategoryComparisonBalanced[#Headers],0),FALSE)/VLOOKUP("Poles",Network_Size_Comparison[#All],MATCH(OPEX_Poles[#Headers],Network_Size_Comparison[#Headers],0),FALSE)</f>
        <v>320.57264301058603</v>
      </c>
      <c r="I48" s="127">
        <f>VLOOKUP(OPEX_Poles[[#This Row],[OPEX Category]],OPEX_CategoryComparisonBalanced[#All],MATCH(OPEX_Poles[#Headers],OPEX_CategoryComparisonBalanced[#Headers],0),FALSE)/VLOOKUP("Poles",Network_Size_Comparison[#All],MATCH(OPEX_Poles[#Headers],Network_Size_Comparison[#Headers],0),FALSE)</f>
        <v>137.01469091223711</v>
      </c>
      <c r="J48" s="127">
        <f>VLOOKUP(OPEX_Poles[[#This Row],[OPEX Category]],OPEX_CategoryComparisonBalanced[#All],MATCH(OPEX_Poles[#Headers],OPEX_CategoryComparisonBalanced[#Headers],0),FALSE)/VLOOKUP("Poles",Network_Size_Comparison[#All],MATCH(OPEX_Poles[#Headers],Network_Size_Comparison[#Headers],0),FALSE)</f>
        <v>342.86257696414322</v>
      </c>
      <c r="K48" s="127">
        <f>VLOOKUP(OPEX_Poles[[#This Row],[OPEX Category]],OPEX_CategoryComparisonBalanced[#All],MATCH(OPEX_Poles[#Headers],OPEX_CategoryComparisonBalanced[#Headers],0),FALSE)/VLOOKUP("Poles",Network_Size_Comparison[#All],MATCH(OPEX_Poles[#Headers],Network_Size_Comparison[#Headers],0),FALSE)</f>
        <v>233.03075641898084</v>
      </c>
      <c r="L48" s="300">
        <f>VLOOKUP(OPEX_Poles[[#This Row],[OPEX Category]],OPEX_CategoryComparisonBalanced[#All],MATCH(OPEX_Poles[#Headers],OPEX_CategoryComparisonBalanced[#Headers],0),FALSE)/VLOOKUP("Poles",Network_Size_Comparison[#All],MATCH(OPEX_Poles[#Headers],Network_Size_Comparison[#Headers],0),FALSE)</f>
        <v>288.51537870952745</v>
      </c>
      <c r="M48" s="300">
        <f>VLOOKUP(OPEX_Poles[[#This Row],[OPEX Category]],OPEX_CategoryComparisonBalanced[#All],MATCH(OPEX_Poles[#Headers],OPEX_CategoryComparisonBalanced[#Headers],0),FALSE)/VLOOKUP("Poles",Network_Size_Comparison[#All],MATCH(OPEX_Poles[#Headers],Network_Size_Comparison[#Headers],0),FALSE)</f>
        <v>371.86426589227978</v>
      </c>
    </row>
    <row r="49" spans="1:14">
      <c r="A49" s="32" t="s">
        <v>1366</v>
      </c>
      <c r="B49" s="127">
        <f>VLOOKUP(OPEX_Poles[[#This Row],[OPEX Category]],OPEX_CategoryComparisonBalanced[#All],MATCH(OPEX_Poles[#Headers],OPEX_CategoryComparisonBalanced[#Headers],0),FALSE)/VLOOKUP("Poles",Network_Size_Comparison[#All],MATCH(OPEX_Poles[#Headers],Network_Size_Comparison[#Headers],0),FALSE)</f>
        <v>364.20996845802614</v>
      </c>
      <c r="C49" s="127">
        <f>VLOOKUP(OPEX_Poles[[#This Row],[OPEX Category]],OPEX_CategoryComparisonBalanced[#All],MATCH(OPEX_Poles[#Headers],OPEX_CategoryComparisonBalanced[#Headers],0),FALSE)/VLOOKUP("Poles",Network_Size_Comparison[#All],MATCH(OPEX_Poles[#Headers],Network_Size_Comparison[#Headers],0),FALSE)</f>
        <v>213.34976266712584</v>
      </c>
      <c r="D49" s="127">
        <f>VLOOKUP(OPEX_Poles[[#This Row],[OPEX Category]],OPEX_CategoryComparisonBalanced[#All],MATCH(OPEX_Poles[#Headers],OPEX_CategoryComparisonBalanced[#Headers],0),FALSE)/VLOOKUP("Poles",Network_Size_Comparison[#All],MATCH(OPEX_Poles[#Headers],Network_Size_Comparison[#Headers],0),FALSE)</f>
        <v>382.82595876384181</v>
      </c>
      <c r="E49" s="127">
        <f>VLOOKUP(OPEX_Poles[[#This Row],[OPEX Category]],OPEX_CategoryComparisonBalanced[#All],MATCH(OPEX_Poles[#Headers],OPEX_CategoryComparisonBalanced[#Headers],0),FALSE)/VLOOKUP("Poles",Network_Size_Comparison[#All],MATCH(OPEX_Poles[#Headers],Network_Size_Comparison[#Headers],0),FALSE)</f>
        <v>170.08767876807769</v>
      </c>
      <c r="F49" s="127">
        <f>VLOOKUP(OPEX_Poles[[#This Row],[OPEX Category]],OPEX_CategoryComparisonBalanced[#All],MATCH(OPEX_Poles[#Headers],OPEX_CategoryComparisonBalanced[#Headers],0),FALSE)/VLOOKUP("Poles",Network_Size_Comparison[#All],MATCH(OPEX_Poles[#Headers],Network_Size_Comparison[#Headers],0),FALSE)</f>
        <v>228.54620560890993</v>
      </c>
      <c r="G49" s="127">
        <f>VLOOKUP(OPEX_Poles[[#This Row],[OPEX Category]],OPEX_CategoryComparisonBalanced[#All],MATCH(OPEX_Poles[#Headers],OPEX_CategoryComparisonBalanced[#Headers],0),FALSE)/VLOOKUP("Poles",Network_Size_Comparison[#All],MATCH(OPEX_Poles[#Headers],Network_Size_Comparison[#Headers],0),FALSE)</f>
        <v>163.94897361170024</v>
      </c>
      <c r="H49" s="127">
        <f>VLOOKUP(OPEX_Poles[[#This Row],[OPEX Category]],OPEX_CategoryComparisonBalanced[#All],MATCH(OPEX_Poles[#Headers],OPEX_CategoryComparisonBalanced[#Headers],0),FALSE)/VLOOKUP("Poles",Network_Size_Comparison[#All],MATCH(OPEX_Poles[#Headers],Network_Size_Comparison[#Headers],0),FALSE)</f>
        <v>172.42445913584854</v>
      </c>
      <c r="I49" s="127">
        <f>VLOOKUP(OPEX_Poles[[#This Row],[OPEX Category]],OPEX_CategoryComparisonBalanced[#All],MATCH(OPEX_Poles[#Headers],OPEX_CategoryComparisonBalanced[#Headers],0),FALSE)/VLOOKUP("Poles",Network_Size_Comparison[#All],MATCH(OPEX_Poles[#Headers],Network_Size_Comparison[#Headers],0),FALSE)</f>
        <v>186.05694942200245</v>
      </c>
      <c r="J49" s="127">
        <f>VLOOKUP(OPEX_Poles[[#This Row],[OPEX Category]],OPEX_CategoryComparisonBalanced[#All],MATCH(OPEX_Poles[#Headers],OPEX_CategoryComparisonBalanced[#Headers],0),FALSE)/VLOOKUP("Poles",Network_Size_Comparison[#All],MATCH(OPEX_Poles[#Headers],Network_Size_Comparison[#Headers],0),FALSE)</f>
        <v>193.74195106167679</v>
      </c>
      <c r="K49" s="127">
        <f>VLOOKUP(OPEX_Poles[[#This Row],[OPEX Category]],OPEX_CategoryComparisonBalanced[#All],MATCH(OPEX_Poles[#Headers],OPEX_CategoryComparisonBalanced[#Headers],0),FALSE)/VLOOKUP("Poles",Network_Size_Comparison[#All],MATCH(OPEX_Poles[#Headers],Network_Size_Comparison[#Headers],0),FALSE)</f>
        <v>179.26412051494785</v>
      </c>
      <c r="L49" s="300">
        <f>VLOOKUP(OPEX_Poles[[#This Row],[OPEX Category]],OPEX_CategoryComparisonBalanced[#All],MATCH(OPEX_Poles[#Headers],OPEX_CategoryComparisonBalanced[#Headers],0),FALSE)/VLOOKUP("Poles",Network_Size_Comparison[#All],MATCH(OPEX_Poles[#Headers],Network_Size_Comparison[#Headers],0),FALSE)</f>
        <v>155.18201322226369</v>
      </c>
      <c r="M49" s="300">
        <f>VLOOKUP(OPEX_Poles[[#This Row],[OPEX Category]],OPEX_CategoryComparisonBalanced[#All],MATCH(OPEX_Poles[#Headers],OPEX_CategoryComparisonBalanced[#Headers],0),FALSE)/VLOOKUP("Poles",Network_Size_Comparison[#All],MATCH(OPEX_Poles[#Headers],Network_Size_Comparison[#Headers],0),FALSE)</f>
        <v>200.01237259758429</v>
      </c>
    </row>
    <row r="50" spans="1:14">
      <c r="A50" s="32" t="s">
        <v>1357</v>
      </c>
      <c r="B50" s="127">
        <f>VLOOKUP(OPEX_Poles[[#This Row],[OPEX Category]],OPEX_CategoryComparisonBalanced[#All],MATCH(OPEX_Poles[#Headers],OPEX_CategoryComparisonBalanced[#Headers],0),FALSE)/VLOOKUP("Poles",Network_Size_Comparison[#All],MATCH(OPEX_Poles[#Headers],Network_Size_Comparison[#Headers],0),FALSE)</f>
        <v>373.7810914503977</v>
      </c>
      <c r="C50" s="127">
        <f>VLOOKUP(OPEX_Poles[[#This Row],[OPEX Category]],OPEX_CategoryComparisonBalanced[#All],MATCH(OPEX_Poles[#Headers],OPEX_CategoryComparisonBalanced[#Headers],0),FALSE)/VLOOKUP("Poles",Network_Size_Comparison[#All],MATCH(OPEX_Poles[#Headers],Network_Size_Comparison[#Headers],0),FALSE)</f>
        <v>-11.305088010733657</v>
      </c>
      <c r="D50" s="127">
        <f>VLOOKUP(OPEX_Poles[[#This Row],[OPEX Category]],OPEX_CategoryComparisonBalanced[#All],MATCH(OPEX_Poles[#Headers],OPEX_CategoryComparisonBalanced[#Headers],0),FALSE)/VLOOKUP("Poles",Network_Size_Comparison[#All],MATCH(OPEX_Poles[#Headers],Network_Size_Comparison[#Headers],0),FALSE)</f>
        <v>-8.9210384188626646E-2</v>
      </c>
      <c r="E50" s="127">
        <f>VLOOKUP(OPEX_Poles[[#This Row],[OPEX Category]],OPEX_CategoryComparisonBalanced[#All],MATCH(OPEX_Poles[#Headers],OPEX_CategoryComparisonBalanced[#Headers],0),FALSE)/VLOOKUP("Poles",Network_Size_Comparison[#All],MATCH(OPEX_Poles[#Headers],Network_Size_Comparison[#Headers],0),FALSE)</f>
        <v>0</v>
      </c>
      <c r="F50" s="127">
        <f>VLOOKUP(OPEX_Poles[[#This Row],[OPEX Category]],OPEX_CategoryComparisonBalanced[#All],MATCH(OPEX_Poles[#Headers],OPEX_CategoryComparisonBalanced[#Headers],0),FALSE)/VLOOKUP("Poles",Network_Size_Comparison[#All],MATCH(OPEX_Poles[#Headers],Network_Size_Comparison[#Headers],0),FALSE)</f>
        <v>349.95897741224576</v>
      </c>
      <c r="G50" s="127">
        <f>VLOOKUP(OPEX_Poles[[#This Row],[OPEX Category]],OPEX_CategoryComparisonBalanced[#All],MATCH(OPEX_Poles[#Headers],OPEX_CategoryComparisonBalanced[#Headers],0),FALSE)/VLOOKUP("Poles",Network_Size_Comparison[#All],MATCH(OPEX_Poles[#Headers],Network_Size_Comparison[#Headers],0),FALSE)</f>
        <v>204.24271150963696</v>
      </c>
      <c r="H50" s="127">
        <f>VLOOKUP(OPEX_Poles[[#This Row],[OPEX Category]],OPEX_CategoryComparisonBalanced[#All],MATCH(OPEX_Poles[#Headers],OPEX_CategoryComparisonBalanced[#Headers],0),FALSE)/VLOOKUP("Poles",Network_Size_Comparison[#All],MATCH(OPEX_Poles[#Headers],Network_Size_Comparison[#Headers],0),FALSE)</f>
        <v>86.703135695465619</v>
      </c>
      <c r="I50" s="127">
        <f>VLOOKUP(OPEX_Poles[[#This Row],[OPEX Category]],OPEX_CategoryComparisonBalanced[#All],MATCH(OPEX_Poles[#Headers],OPEX_CategoryComparisonBalanced[#Headers],0),FALSE)/VLOOKUP("Poles",Network_Size_Comparison[#All],MATCH(OPEX_Poles[#Headers],Network_Size_Comparison[#Headers],0),FALSE)</f>
        <v>0.31904438096602855</v>
      </c>
      <c r="J50" s="127">
        <f>VLOOKUP(OPEX_Poles[[#This Row],[OPEX Category]],OPEX_CategoryComparisonBalanced[#All],MATCH(OPEX_Poles[#Headers],OPEX_CategoryComparisonBalanced[#Headers],0),FALSE)/VLOOKUP("Poles",Network_Size_Comparison[#All],MATCH(OPEX_Poles[#Headers],Network_Size_Comparison[#Headers],0),FALSE)</f>
        <v>141.60508980730424</v>
      </c>
      <c r="K50" s="127">
        <f>VLOOKUP(OPEX_Poles[[#This Row],[OPEX Category]],OPEX_CategoryComparisonBalanced[#All],MATCH(OPEX_Poles[#Headers],OPEX_CategoryComparisonBalanced[#Headers],0),FALSE)/VLOOKUP("Poles",Network_Size_Comparison[#All],MATCH(OPEX_Poles[#Headers],Network_Size_Comparison[#Headers],0),FALSE)</f>
        <v>0.18333286723282341</v>
      </c>
      <c r="L50" s="300">
        <f>VLOOKUP(OPEX_Poles[[#This Row],[OPEX Category]],OPEX_CategoryComparisonBalanced[#All],MATCH(OPEX_Poles[#Headers],OPEX_CategoryComparisonBalanced[#Headers],0),FALSE)/VLOOKUP("Poles",Network_Size_Comparison[#All],MATCH(OPEX_Poles[#Headers],Network_Size_Comparison[#Headers],0),FALSE)</f>
        <v>78.032822125919054</v>
      </c>
      <c r="M50" s="300">
        <f>VLOOKUP(OPEX_Poles[[#This Row],[OPEX Category]],OPEX_CategoryComparisonBalanced[#All],MATCH(OPEX_Poles[#Headers],OPEX_CategoryComparisonBalanced[#Headers],0),FALSE)/VLOOKUP("Poles",Network_Size_Comparison[#All],MATCH(OPEX_Poles[#Headers],Network_Size_Comparison[#Headers],0),FALSE)</f>
        <v>100.5756374067401</v>
      </c>
    </row>
    <row r="51" spans="1:14">
      <c r="A51" s="10" t="s">
        <v>1367</v>
      </c>
      <c r="B51" s="127">
        <f>VLOOKUP(OPEX_Poles[[#This Row],[OPEX Category]],OPEX_CategoryComparisonBalanced[#All],MATCH(OPEX_Poles[#Headers],OPEX_CategoryComparisonBalanced[#Headers],0),FALSE)/VLOOKUP("Poles",Network_Size_Comparison[#All],MATCH(OPEX_Poles[#Headers],Network_Size_Comparison[#Headers],0),FALSE)</f>
        <v>2816.3768103578809</v>
      </c>
      <c r="C51" s="127">
        <f>VLOOKUP(OPEX_Poles[[#This Row],[OPEX Category]],OPEX_CategoryComparisonBalanced[#All],MATCH(OPEX_Poles[#Headers],OPEX_CategoryComparisonBalanced[#Headers],0),FALSE)/VLOOKUP("Poles",Network_Size_Comparison[#All],MATCH(OPEX_Poles[#Headers],Network_Size_Comparison[#Headers],0),FALSE)</f>
        <v>703.69401295103955</v>
      </c>
      <c r="D51" s="127">
        <f>VLOOKUP(OPEX_Poles[[#This Row],[OPEX Category]],OPEX_CategoryComparisonBalanced[#All],MATCH(OPEX_Poles[#Headers],OPEX_CategoryComparisonBalanced[#Headers],0),FALSE)/VLOOKUP("Poles",Network_Size_Comparison[#All],MATCH(OPEX_Poles[#Headers],Network_Size_Comparison[#Headers],0),FALSE)</f>
        <v>1794.1529134391294</v>
      </c>
      <c r="E51" s="127">
        <f>VLOOKUP(OPEX_Poles[[#This Row],[OPEX Category]],OPEX_CategoryComparisonBalanced[#All],MATCH(OPEX_Poles[#Headers],OPEX_CategoryComparisonBalanced[#Headers],0),FALSE)/VLOOKUP("Poles",Network_Size_Comparison[#All],MATCH(OPEX_Poles[#Headers],Network_Size_Comparison[#Headers],0),FALSE)</f>
        <v>403.76118356292471</v>
      </c>
      <c r="F51" s="127">
        <f>VLOOKUP(OPEX_Poles[[#This Row],[OPEX Category]],OPEX_CategoryComparisonBalanced[#All],MATCH(OPEX_Poles[#Headers],OPEX_CategoryComparisonBalanced[#Headers],0),FALSE)/VLOOKUP("Poles",Network_Size_Comparison[#All],MATCH(OPEX_Poles[#Headers],Network_Size_Comparison[#Headers],0),FALSE)</f>
        <v>500.83703995460451</v>
      </c>
      <c r="G51" s="127">
        <f>VLOOKUP(OPEX_Poles[[#This Row],[OPEX Category]],OPEX_CategoryComparisonBalanced[#All],MATCH(OPEX_Poles[#Headers],OPEX_CategoryComparisonBalanced[#Headers],0),FALSE)/VLOOKUP("Poles",Network_Size_Comparison[#All],MATCH(OPEX_Poles[#Headers],Network_Size_Comparison[#Headers],0),FALSE)</f>
        <v>248.8874024197618</v>
      </c>
      <c r="H51" s="127">
        <f>VLOOKUP(OPEX_Poles[[#This Row],[OPEX Category]],OPEX_CategoryComparisonBalanced[#All],MATCH(OPEX_Poles[#Headers],OPEX_CategoryComparisonBalanced[#Headers],0),FALSE)/VLOOKUP("Poles",Network_Size_Comparison[#All],MATCH(OPEX_Poles[#Headers],Network_Size_Comparison[#Headers],0),FALSE)</f>
        <v>389.85193562500643</v>
      </c>
      <c r="I51" s="127">
        <f>VLOOKUP(OPEX_Poles[[#This Row],[OPEX Category]],OPEX_CategoryComparisonBalanced[#All],MATCH(OPEX_Poles[#Headers],OPEX_CategoryComparisonBalanced[#Headers],0),FALSE)/VLOOKUP("Poles",Network_Size_Comparison[#All],MATCH(OPEX_Poles[#Headers],Network_Size_Comparison[#Headers],0),FALSE)</f>
        <v>435.90520055859804</v>
      </c>
      <c r="J51" s="127">
        <f>VLOOKUP(OPEX_Poles[[#This Row],[OPEX Category]],OPEX_CategoryComparisonBalanced[#All],MATCH(OPEX_Poles[#Headers],OPEX_CategoryComparisonBalanced[#Headers],0),FALSE)/VLOOKUP("Poles",Network_Size_Comparison[#All],MATCH(OPEX_Poles[#Headers],Network_Size_Comparison[#Headers],0),FALSE)</f>
        <v>443.0413170920375</v>
      </c>
      <c r="K51" s="127">
        <f>VLOOKUP(OPEX_Poles[[#This Row],[OPEX Category]],OPEX_CategoryComparisonBalanced[#All],MATCH(OPEX_Poles[#Headers],OPEX_CategoryComparisonBalanced[#Headers],0),FALSE)/VLOOKUP("Poles",Network_Size_Comparison[#All],MATCH(OPEX_Poles[#Headers],Network_Size_Comparison[#Headers],0),FALSE)</f>
        <v>422.23213980529425</v>
      </c>
      <c r="L51" s="300">
        <f>VLOOKUP(OPEX_Poles[[#This Row],[OPEX Category]],OPEX_CategoryComparisonBalanced[#All],MATCH(OPEX_Poles[#Headers],OPEX_CategoryComparisonBalanced[#Headers],0),FALSE)/VLOOKUP("Poles",Network_Size_Comparison[#All],MATCH(OPEX_Poles[#Headers],Network_Size_Comparison[#Headers],0),FALSE)</f>
        <v>350.86674206250581</v>
      </c>
      <c r="M51" s="300">
        <f>VLOOKUP(OPEX_Poles[[#This Row],[OPEX Category]],OPEX_CategoryComparisonBalanced[#All],MATCH(OPEX_Poles[#Headers],OPEX_CategoryComparisonBalanced[#Headers],0),FALSE)/VLOOKUP("Poles",Network_Size_Comparison[#All],MATCH(OPEX_Poles[#Headers],Network_Size_Comparison[#Headers],0),FALSE)</f>
        <v>336.40319794600254</v>
      </c>
    </row>
    <row r="52" spans="1:14">
      <c r="A52" s="32" t="s">
        <v>1368</v>
      </c>
      <c r="B52" s="127">
        <f>VLOOKUP(OPEX_Poles[[#This Row],[OPEX Category]],OPEX_CategoryComparisonBalanced[#All],MATCH(OPEX_Poles[#Headers],OPEX_CategoryComparisonBalanced[#Headers],0),FALSE)/VLOOKUP("Poles",Network_Size_Comparison[#All],MATCH(OPEX_Poles[#Headers],Network_Size_Comparison[#Headers],0),FALSE)</f>
        <v>1043.5809417379862</v>
      </c>
      <c r="C52" s="127">
        <f>VLOOKUP(OPEX_Poles[[#This Row],[OPEX Category]],OPEX_CategoryComparisonBalanced[#All],MATCH(OPEX_Poles[#Headers],OPEX_CategoryComparisonBalanced[#Headers],0),FALSE)/VLOOKUP("Poles",Network_Size_Comparison[#All],MATCH(OPEX_Poles[#Headers],Network_Size_Comparison[#Headers],0),FALSE)</f>
        <v>317.0294417377404</v>
      </c>
      <c r="D52" s="127">
        <f>VLOOKUP(OPEX_Poles[[#This Row],[OPEX Category]],OPEX_CategoryComparisonBalanced[#All],MATCH(OPEX_Poles[#Headers],OPEX_CategoryComparisonBalanced[#Headers],0),FALSE)/VLOOKUP("Poles",Network_Size_Comparison[#All],MATCH(OPEX_Poles[#Headers],Network_Size_Comparison[#Headers],0),FALSE)</f>
        <v>931.31423824138221</v>
      </c>
      <c r="E52" s="127">
        <f>VLOOKUP(OPEX_Poles[[#This Row],[OPEX Category]],OPEX_CategoryComparisonBalanced[#All],MATCH(OPEX_Poles[#Headers],OPEX_CategoryComparisonBalanced[#Headers],0),FALSE)/VLOOKUP("Poles",Network_Size_Comparison[#All],MATCH(OPEX_Poles[#Headers],Network_Size_Comparison[#Headers],0),FALSE)</f>
        <v>205.05636753127928</v>
      </c>
      <c r="F52" s="127">
        <f>VLOOKUP(OPEX_Poles[[#This Row],[OPEX Category]],OPEX_CategoryComparisonBalanced[#All],MATCH(OPEX_Poles[#Headers],OPEX_CategoryComparisonBalanced[#Headers],0),FALSE)/VLOOKUP("Poles",Network_Size_Comparison[#All],MATCH(OPEX_Poles[#Headers],Network_Size_Comparison[#Headers],0),FALSE)</f>
        <v>293.19422015480257</v>
      </c>
      <c r="G52" s="127">
        <f>VLOOKUP(OPEX_Poles[[#This Row],[OPEX Category]],OPEX_CategoryComparisonBalanced[#All],MATCH(OPEX_Poles[#Headers],OPEX_CategoryComparisonBalanced[#Headers],0),FALSE)/VLOOKUP("Poles",Network_Size_Comparison[#All],MATCH(OPEX_Poles[#Headers],Network_Size_Comparison[#Headers],0),FALSE)</f>
        <v>272.58445950709068</v>
      </c>
      <c r="H52" s="127">
        <f>VLOOKUP(OPEX_Poles[[#This Row],[OPEX Category]],OPEX_CategoryComparisonBalanced[#All],MATCH(OPEX_Poles[#Headers],OPEX_CategoryComparisonBalanced[#Headers],0),FALSE)/VLOOKUP("Poles",Network_Size_Comparison[#All],MATCH(OPEX_Poles[#Headers],Network_Size_Comparison[#Headers],0),FALSE)</f>
        <v>286.67595144977196</v>
      </c>
      <c r="I52" s="127">
        <f>VLOOKUP(OPEX_Poles[[#This Row],[OPEX Category]],OPEX_CategoryComparisonBalanced[#All],MATCH(OPEX_Poles[#Headers],OPEX_CategoryComparisonBalanced[#Headers],0),FALSE)/VLOOKUP("Poles",Network_Size_Comparison[#All],MATCH(OPEX_Poles[#Headers],Network_Size_Comparison[#Headers],0),FALSE)</f>
        <v>329.29841329495787</v>
      </c>
      <c r="J52" s="127">
        <f>VLOOKUP(OPEX_Poles[[#This Row],[OPEX Category]],OPEX_CategoryComparisonBalanced[#All],MATCH(OPEX_Poles[#Headers],OPEX_CategoryComparisonBalanced[#Headers],0),FALSE)/VLOOKUP("Poles",Network_Size_Comparison[#All],MATCH(OPEX_Poles[#Headers],Network_Size_Comparison[#Headers],0),FALSE)</f>
        <v>240.71988623414379</v>
      </c>
      <c r="K52" s="127">
        <f>VLOOKUP(OPEX_Poles[[#This Row],[OPEX Category]],OPEX_CategoryComparisonBalanced[#All],MATCH(OPEX_Poles[#Headers],OPEX_CategoryComparisonBalanced[#Headers],0),FALSE)/VLOOKUP("Poles",Network_Size_Comparison[#All],MATCH(OPEX_Poles[#Headers],Network_Size_Comparison[#Headers],0),FALSE)</f>
        <v>276.44972795266904</v>
      </c>
      <c r="L52" s="300">
        <f>VLOOKUP(OPEX_Poles[[#This Row],[OPEX Category]],OPEX_CategoryComparisonBalanced[#All],MATCH(OPEX_Poles[#Headers],OPEX_CategoryComparisonBalanced[#Headers],0),FALSE)/VLOOKUP("Poles",Network_Size_Comparison[#All],MATCH(OPEX_Poles[#Headers],Network_Size_Comparison[#Headers],0),FALSE)</f>
        <v>258.0083563047948</v>
      </c>
      <c r="M52" s="300">
        <f>VLOOKUP(OPEX_Poles[[#This Row],[OPEX Category]],OPEX_CategoryComparisonBalanced[#All],MATCH(OPEX_Poles[#Headers],OPEX_CategoryComparisonBalanced[#Headers],0),FALSE)/VLOOKUP("Poles",Network_Size_Comparison[#All],MATCH(OPEX_Poles[#Headers],Network_Size_Comparison[#Headers],0),FALSE)</f>
        <v>247.37265107407188</v>
      </c>
    </row>
    <row r="54" spans="1:14" ht="18.75">
      <c r="A54" s="77" t="s">
        <v>1527</v>
      </c>
    </row>
    <row r="55" spans="1:14" ht="30">
      <c r="A55" s="32" t="s">
        <v>1520</v>
      </c>
      <c r="B55" s="31" t="s">
        <v>574</v>
      </c>
      <c r="C55" s="31" t="s">
        <v>1147</v>
      </c>
      <c r="D55" s="31" t="s">
        <v>575</v>
      </c>
      <c r="E55" s="31" t="s">
        <v>310</v>
      </c>
      <c r="F55" s="31" t="s">
        <v>1674</v>
      </c>
      <c r="G55" s="131" t="s">
        <v>1560</v>
      </c>
      <c r="H55" s="31" t="s">
        <v>0</v>
      </c>
      <c r="I55" s="31" t="s">
        <v>1218</v>
      </c>
      <c r="J55" s="31" t="s">
        <v>1675</v>
      </c>
      <c r="K55" s="31" t="s">
        <v>1676</v>
      </c>
      <c r="L55" s="175" t="s">
        <v>1569</v>
      </c>
      <c r="M55" s="175" t="s">
        <v>1677</v>
      </c>
      <c r="N55" s="32" t="s">
        <v>1164</v>
      </c>
    </row>
    <row r="56" spans="1:14">
      <c r="A56" s="32" t="s">
        <v>1364</v>
      </c>
      <c r="B56" s="127">
        <f>VLOOKUP(OPEX_Poles17[[#This Row],[OPEX Category]],OPEX_CategoryComparisonBalanced[#All],MATCH(OPEX_Poles17[#Headers],OPEX_CategoryComparisonBalanced[#Headers],0),FALSE)/VLOOKUP("Total Assets",Network_Size_Comparison[#All],MATCH(OPEX_Poles17[#Headers],Network_Size_Comparison[#Headers],0),FALSE)</f>
        <v>9.9641000986607858E-7</v>
      </c>
      <c r="C56" s="127">
        <f>VLOOKUP(OPEX_Poles17[[#This Row],[OPEX Category]],OPEX_CategoryComparisonBalanced[#All],MATCH(OPEX_Poles17[#Headers],OPEX_CategoryComparisonBalanced[#Headers],0),FALSE)/VLOOKUP("Total Assets",Network_Size_Comparison[#All],MATCH(OPEX_Poles17[#Headers],Network_Size_Comparison[#Headers],0),FALSE)</f>
        <v>151.09183459795418</v>
      </c>
      <c r="D56" s="127">
        <f>VLOOKUP(OPEX_Poles17[[#This Row],[OPEX Category]],OPEX_CategoryComparisonBalanced[#All],MATCH(OPEX_Poles17[#Headers],OPEX_CategoryComparisonBalanced[#Headers],0),FALSE)/VLOOKUP("Total Assets",Network_Size_Comparison[#All],MATCH(OPEX_Poles17[#Headers],Network_Size_Comparison[#Headers],0),FALSE)</f>
        <v>162.73944160433038</v>
      </c>
      <c r="E56" s="127">
        <f>VLOOKUP(OPEX_Poles17[[#This Row],[OPEX Category]],OPEX_CategoryComparisonBalanced[#All],MATCH(OPEX_Poles17[#Headers],OPEX_CategoryComparisonBalanced[#Headers],0),FALSE)/VLOOKUP("Total Assets",Network_Size_Comparison[#All],MATCH(OPEX_Poles17[#Headers],Network_Size_Comparison[#Headers],0),FALSE)</f>
        <v>112.14565199507187</v>
      </c>
      <c r="F56" s="127">
        <f>VLOOKUP(OPEX_Poles17[[#This Row],[OPEX Category]],OPEX_CategoryComparisonBalanced[#All],MATCH(OPEX_Poles17[#Headers],OPEX_CategoryComparisonBalanced[#Headers],0),FALSE)/VLOOKUP("Total Assets",Network_Size_Comparison[#All],MATCH(OPEX_Poles17[#Headers],Network_Size_Comparison[#Headers],0),FALSE)</f>
        <v>204.01622218116037</v>
      </c>
      <c r="G56" s="127">
        <f>VLOOKUP(OPEX_Poles17[[#This Row],[OPEX Category]],OPEX_CategoryComparisonBalanced[#All],MATCH(OPEX_Poles17[#Headers],OPEX_CategoryComparisonBalanced[#Headers],0),FALSE)/VLOOKUP("Total Assets",Network_Size_Comparison[#All],MATCH(OPEX_Poles17[#Headers],Network_Size_Comparison[#Headers],0),FALSE)</f>
        <v>164.6026432075659</v>
      </c>
      <c r="H56" s="127">
        <f>VLOOKUP(OPEX_Poles17[[#This Row],[OPEX Category]],OPEX_CategoryComparisonBalanced[#All],MATCH(OPEX_Poles17[#Headers],OPEX_CategoryComparisonBalanced[#Headers],0),FALSE)/VLOOKUP("Total Assets",Network_Size_Comparison[#All],MATCH(OPEX_Poles17[#Headers],Network_Size_Comparison[#Headers],0),FALSE)</f>
        <v>164.07810004579616</v>
      </c>
      <c r="I56" s="127">
        <f>VLOOKUP(OPEX_Poles17[[#This Row],[OPEX Category]],OPEX_CategoryComparisonBalanced[#All],MATCH(OPEX_Poles17[#Headers],OPEX_CategoryComparisonBalanced[#Headers],0),FALSE)/VLOOKUP("Total Assets",Network_Size_Comparison[#All],MATCH(OPEX_Poles17[#Headers],Network_Size_Comparison[#Headers],0),FALSE)</f>
        <v>134.99240211327159</v>
      </c>
      <c r="J56" s="127">
        <f>VLOOKUP(OPEX_Poles17[[#This Row],[OPEX Category]],OPEX_CategoryComparisonBalanced[#All],MATCH(OPEX_Poles17[#Headers],OPEX_CategoryComparisonBalanced[#Headers],0),FALSE)/VLOOKUP("Total Assets",Network_Size_Comparison[#All],MATCH(OPEX_Poles17[#Headers],Network_Size_Comparison[#Headers],0),FALSE)</f>
        <v>145.43147843756245</v>
      </c>
      <c r="K56" s="127">
        <f>VLOOKUP(OPEX_Poles17[[#This Row],[OPEX Category]],OPEX_CategoryComparisonBalanced[#All],MATCH(OPEX_Poles17[#Headers],OPEX_CategoryComparisonBalanced[#Headers],0),FALSE)/VLOOKUP("Total Assets",Network_Size_Comparison[#All],MATCH(OPEX_Poles17[#Headers],Network_Size_Comparison[#Headers],0),FALSE)</f>
        <v>122.03669195475987</v>
      </c>
      <c r="L56" s="252">
        <f>VLOOKUP(OPEX_Poles17[[#This Row],[OPEX Category]],OPEX_CategoryComparisonBalanced[#All],MATCH(OPEX_Poles17[#Headers],OPEX_CategoryComparisonBalanced[#Headers],0),FALSE)/VLOOKUP("Total Assets",Network_Size_Comparison[#All],MATCH(OPEX_Poles17[#Headers],Network_Size_Comparison[#Headers],0),FALSE)</f>
        <v>147.67029004121656</v>
      </c>
      <c r="M56" s="252">
        <f>VLOOKUP(OPEX_Poles17[[#This Row],[OPEX Category]],OPEX_CategoryComparisonBalanced[#All],MATCH(OPEX_Poles17[#Headers],OPEX_CategoryComparisonBalanced[#Headers],0),FALSE)/VLOOKUP("Total Assets",Network_Size_Comparison[#All],MATCH(OPEX_Poles17[#Headers],Network_Size_Comparison[#Headers],0),FALSE)</f>
        <v>164.07810004579616</v>
      </c>
    </row>
    <row r="57" spans="1:14">
      <c r="A57" s="32" t="s">
        <v>1365</v>
      </c>
      <c r="B57" s="127">
        <f>VLOOKUP(OPEX_Poles17[[#This Row],[OPEX Category]],OPEX_CategoryComparisonBalanced[#All],MATCH(OPEX_Poles17[#Headers],OPEX_CategoryComparisonBalanced[#Headers],0),FALSE)/VLOOKUP("Total Assets",Network_Size_Comparison[#All],MATCH(OPEX_Poles17[#Headers],Network_Size_Comparison[#Headers],0),FALSE)</f>
        <v>325.53771216935246</v>
      </c>
      <c r="C57" s="127">
        <f>VLOOKUP(OPEX_Poles17[[#This Row],[OPEX Category]],OPEX_CategoryComparisonBalanced[#All],MATCH(OPEX_Poles17[#Headers],OPEX_CategoryComparisonBalanced[#Headers],0),FALSE)/VLOOKUP("Total Assets",Network_Size_Comparison[#All],MATCH(OPEX_Poles17[#Headers],Network_Size_Comparison[#Headers],0),FALSE)</f>
        <v>221.87377061595365</v>
      </c>
      <c r="D57" s="127">
        <f>VLOOKUP(OPEX_Poles17[[#This Row],[OPEX Category]],OPEX_CategoryComparisonBalanced[#All],MATCH(OPEX_Poles17[#Headers],OPEX_CategoryComparisonBalanced[#Headers],0),FALSE)/VLOOKUP("Total Assets",Network_Size_Comparison[#All],MATCH(OPEX_Poles17[#Headers],Network_Size_Comparison[#Headers],0),FALSE)</f>
        <v>442.70045756923452</v>
      </c>
      <c r="E57" s="127">
        <f>VLOOKUP(OPEX_Poles17[[#This Row],[OPEX Category]],OPEX_CategoryComparisonBalanced[#All],MATCH(OPEX_Poles17[#Headers],OPEX_CategoryComparisonBalanced[#Headers],0),FALSE)/VLOOKUP("Total Assets",Network_Size_Comparison[#All],MATCH(OPEX_Poles17[#Headers],Network_Size_Comparison[#Headers],0),FALSE)</f>
        <v>163.15706919241097</v>
      </c>
      <c r="F57" s="127">
        <f>VLOOKUP(OPEX_Poles17[[#This Row],[OPEX Category]],OPEX_CategoryComparisonBalanced[#All],MATCH(OPEX_Poles17[#Headers],OPEX_CategoryComparisonBalanced[#Headers],0),FALSE)/VLOOKUP("Total Assets",Network_Size_Comparison[#All],MATCH(OPEX_Poles17[#Headers],Network_Size_Comparison[#Headers],0),FALSE)</f>
        <v>168.73829190053482</v>
      </c>
      <c r="G57" s="127">
        <f>VLOOKUP(OPEX_Poles17[[#This Row],[OPEX Category]],OPEX_CategoryComparisonBalanced[#All],MATCH(OPEX_Poles17[#Headers],OPEX_CategoryComparisonBalanced[#Headers],0),FALSE)/VLOOKUP("Total Assets",Network_Size_Comparison[#All],MATCH(OPEX_Poles17[#Headers],Network_Size_Comparison[#Headers],0),FALSE)</f>
        <v>180.60010637957583</v>
      </c>
      <c r="H57" s="127">
        <f>VLOOKUP(OPEX_Poles17[[#This Row],[OPEX Category]],OPEX_CategoryComparisonBalanced[#All],MATCH(OPEX_Poles17[#Headers],OPEX_CategoryComparisonBalanced[#Headers],0),FALSE)/VLOOKUP("Total Assets",Network_Size_Comparison[#All],MATCH(OPEX_Poles17[#Headers],Network_Size_Comparison[#Headers],0),FALSE)</f>
        <v>180.02458372106767</v>
      </c>
      <c r="I57" s="127">
        <f>VLOOKUP(OPEX_Poles17[[#This Row],[OPEX Category]],OPEX_CategoryComparisonBalanced[#All],MATCH(OPEX_Poles17[#Headers],OPEX_CategoryComparisonBalanced[#Headers],0),FALSE)/VLOOKUP("Total Assets",Network_Size_Comparison[#All],MATCH(OPEX_Poles17[#Headers],Network_Size_Comparison[#Headers],0),FALSE)</f>
        <v>109.04900206899396</v>
      </c>
      <c r="J57" s="127">
        <f>VLOOKUP(OPEX_Poles17[[#This Row],[OPEX Category]],OPEX_CategoryComparisonBalanced[#All],MATCH(OPEX_Poles17[#Headers],OPEX_CategoryComparisonBalanced[#Headers],0),FALSE)/VLOOKUP("Total Assets",Network_Size_Comparison[#All],MATCH(OPEX_Poles17[#Headers],Network_Size_Comparison[#Headers],0),FALSE)</f>
        <v>165.17921415159864</v>
      </c>
      <c r="K57" s="127">
        <f>VLOOKUP(OPEX_Poles17[[#This Row],[OPEX Category]],OPEX_CategoryComparisonBalanced[#All],MATCH(OPEX_Poles17[#Headers],OPEX_CategoryComparisonBalanced[#Headers],0),FALSE)/VLOOKUP("Total Assets",Network_Size_Comparison[#All],MATCH(OPEX_Poles17[#Headers],Network_Size_Comparison[#Headers],0),FALSE)</f>
        <v>139.73207214511231</v>
      </c>
      <c r="L57" s="252">
        <f>VLOOKUP(OPEX_Poles17[[#This Row],[OPEX Category]],OPEX_CategoryComparisonBalanced[#All],MATCH(OPEX_Poles17[#Headers],OPEX_CategoryComparisonBalanced[#Headers],0),FALSE)/VLOOKUP("Total Assets",Network_Size_Comparison[#All],MATCH(OPEX_Poles17[#Headers],Network_Size_Comparison[#Headers],0),FALSE)</f>
        <v>162.02212534896091</v>
      </c>
      <c r="M57" s="252">
        <f>VLOOKUP(OPEX_Poles17[[#This Row],[OPEX Category]],OPEX_CategoryComparisonBalanced[#All],MATCH(OPEX_Poles17[#Headers],OPEX_CategoryComparisonBalanced[#Headers],0),FALSE)/VLOOKUP("Total Assets",Network_Size_Comparison[#All],MATCH(OPEX_Poles17[#Headers],Network_Size_Comparison[#Headers],0),FALSE)</f>
        <v>208.82851711643849</v>
      </c>
    </row>
    <row r="58" spans="1:14">
      <c r="A58" s="32" t="s">
        <v>1366</v>
      </c>
      <c r="B58" s="127">
        <f>VLOOKUP(OPEX_Poles17[[#This Row],[OPEX Category]],OPEX_CategoryComparisonBalanced[#All],MATCH(OPEX_Poles17[#Headers],OPEX_CategoryComparisonBalanced[#Headers],0),FALSE)/VLOOKUP("Total Assets",Network_Size_Comparison[#All],MATCH(OPEX_Poles17[#Headers],Network_Size_Comparison[#Headers],0),FALSE)</f>
        <v>170.1645997778061</v>
      </c>
      <c r="C58" s="127">
        <f>VLOOKUP(OPEX_Poles17[[#This Row],[OPEX Category]],OPEX_CategoryComparisonBalanced[#All],MATCH(OPEX_Poles17[#Headers],OPEX_CategoryComparisonBalanced[#Headers],0),FALSE)/VLOOKUP("Total Assets",Network_Size_Comparison[#All],MATCH(OPEX_Poles17[#Headers],Network_Size_Comparison[#Headers],0),FALSE)</f>
        <v>123.13865092185685</v>
      </c>
      <c r="D58" s="127">
        <f>VLOOKUP(OPEX_Poles17[[#This Row],[OPEX Category]],OPEX_CategoryComparisonBalanced[#All],MATCH(OPEX_Poles17[#Headers],OPEX_CategoryComparisonBalanced[#Headers],0),FALSE)/VLOOKUP("Total Assets",Network_Size_Comparison[#All],MATCH(OPEX_Poles17[#Headers],Network_Size_Comparison[#Headers],0),FALSE)</f>
        <v>177.15025564493919</v>
      </c>
      <c r="E58" s="127">
        <f>VLOOKUP(OPEX_Poles17[[#This Row],[OPEX Category]],OPEX_CategoryComparisonBalanced[#All],MATCH(OPEX_Poles17[#Headers],OPEX_CategoryComparisonBalanced[#Headers],0),FALSE)/VLOOKUP("Total Assets",Network_Size_Comparison[#All],MATCH(OPEX_Poles17[#Headers],Network_Size_Comparison[#Headers],0),FALSE)</f>
        <v>76.504064943814313</v>
      </c>
      <c r="F58" s="127">
        <f>VLOOKUP(OPEX_Poles17[[#This Row],[OPEX Category]],OPEX_CategoryComparisonBalanced[#All],MATCH(OPEX_Poles17[#Headers],OPEX_CategoryComparisonBalanced[#Headers],0),FALSE)/VLOOKUP("Total Assets",Network_Size_Comparison[#All],MATCH(OPEX_Poles17[#Headers],Network_Size_Comparison[#Headers],0),FALSE)</f>
        <v>122.96686992397871</v>
      </c>
      <c r="G58" s="127">
        <f>VLOOKUP(OPEX_Poles17[[#This Row],[OPEX Category]],OPEX_CategoryComparisonBalanced[#All],MATCH(OPEX_Poles17[#Headers],OPEX_CategoryComparisonBalanced[#Headers],0),FALSE)/VLOOKUP("Total Assets",Network_Size_Comparison[#All],MATCH(OPEX_Poles17[#Headers],Network_Size_Comparison[#Headers],0),FALSE)</f>
        <v>97.1382815761567</v>
      </c>
      <c r="H58" s="127">
        <f>VLOOKUP(OPEX_Poles17[[#This Row],[OPEX Category]],OPEX_CategoryComparisonBalanced[#All],MATCH(OPEX_Poles17[#Headers],OPEX_CategoryComparisonBalanced[#Headers],0),FALSE)/VLOOKUP("Total Assets",Network_Size_Comparison[#All],MATCH(OPEX_Poles17[#Headers],Network_Size_Comparison[#Headers],0),FALSE)</f>
        <v>96.828728701707547</v>
      </c>
      <c r="I58" s="127">
        <f>VLOOKUP(OPEX_Poles17[[#This Row],[OPEX Category]],OPEX_CategoryComparisonBalanced[#All],MATCH(OPEX_Poles17[#Headers],OPEX_CategoryComparisonBalanced[#Headers],0),FALSE)/VLOOKUP("Total Assets",Network_Size_Comparison[#All],MATCH(OPEX_Poles17[#Headers],Network_Size_Comparison[#Headers],0),FALSE)</f>
        <v>148.08138110873597</v>
      </c>
      <c r="J58" s="127">
        <f>VLOOKUP(OPEX_Poles17[[#This Row],[OPEX Category]],OPEX_CategoryComparisonBalanced[#All],MATCH(OPEX_Poles17[#Headers],OPEX_CategoryComparisonBalanced[#Headers],0),FALSE)/VLOOKUP("Total Assets",Network_Size_Comparison[#All],MATCH(OPEX_Poles17[#Headers],Network_Size_Comparison[#Headers],0),FALSE)</f>
        <v>93.338105044669433</v>
      </c>
      <c r="K58" s="127">
        <f>VLOOKUP(OPEX_Poles17[[#This Row],[OPEX Category]],OPEX_CategoryComparisonBalanced[#All],MATCH(OPEX_Poles17[#Headers],OPEX_CategoryComparisonBalanced[#Headers],0),FALSE)/VLOOKUP("Total Assets",Network_Size_Comparison[#All],MATCH(OPEX_Poles17[#Headers],Network_Size_Comparison[#Headers],0),FALSE)</f>
        <v>107.49202124970878</v>
      </c>
      <c r="L58" s="252">
        <f>VLOOKUP(OPEX_Poles17[[#This Row],[OPEX Category]],OPEX_CategoryComparisonBalanced[#All],MATCH(OPEX_Poles17[#Headers],OPEX_CategoryComparisonBalanced[#Headers],0),FALSE)/VLOOKUP("Total Assets",Network_Size_Comparison[#All],MATCH(OPEX_Poles17[#Headers],Network_Size_Comparison[#Headers],0),FALSE)</f>
        <v>87.145855831536792</v>
      </c>
      <c r="M58" s="252">
        <f>VLOOKUP(OPEX_Poles17[[#This Row],[OPEX Category]],OPEX_CategoryComparisonBalanced[#All],MATCH(OPEX_Poles17[#Headers],OPEX_CategoryComparisonBalanced[#Headers],0),FALSE)/VLOOKUP("Total Assets",Network_Size_Comparison[#All],MATCH(OPEX_Poles17[#Headers],Network_Size_Comparison[#Headers],0),FALSE)</f>
        <v>112.32132529398073</v>
      </c>
    </row>
    <row r="59" spans="1:14">
      <c r="A59" s="32" t="s">
        <v>1357</v>
      </c>
      <c r="B59" s="127">
        <f>VLOOKUP(OPEX_Poles17[[#This Row],[OPEX Category]],OPEX_CategoryComparisonBalanced[#All],MATCH(OPEX_Poles17[#Headers],OPEX_CategoryComparisonBalanced[#Headers],0),FALSE)/VLOOKUP("Total Assets",Network_Size_Comparison[#All],MATCH(OPEX_Poles17[#Headers],Network_Size_Comparison[#Headers],0),FALSE)</f>
        <v>174.63637829698402</v>
      </c>
      <c r="C59" s="127">
        <f>VLOOKUP(OPEX_Poles17[[#This Row],[OPEX Category]],OPEX_CategoryComparisonBalanced[#All],MATCH(OPEX_Poles17[#Headers],OPEX_CategoryComparisonBalanced[#Headers],0),FALSE)/VLOOKUP("Total Assets",Network_Size_Comparison[#All],MATCH(OPEX_Poles17[#Headers],Network_Size_Comparison[#Headers],0),FALSE)</f>
        <v>-6.5249347774835966</v>
      </c>
      <c r="D59" s="127">
        <f>VLOOKUP(OPEX_Poles17[[#This Row],[OPEX Category]],OPEX_CategoryComparisonBalanced[#All],MATCH(OPEX_Poles17[#Headers],OPEX_CategoryComparisonBalanced[#Headers],0),FALSE)/VLOOKUP("Total Assets",Network_Size_Comparison[#All],MATCH(OPEX_Poles17[#Headers],Network_Size_Comparison[#Headers],0),FALSE)</f>
        <v>-4.1281532778573736E-2</v>
      </c>
      <c r="E59" s="127">
        <f>VLOOKUP(OPEX_Poles17[[#This Row],[OPEX Category]],OPEX_CategoryComparisonBalanced[#All],MATCH(OPEX_Poles17[#Headers],OPEX_CategoryComparisonBalanced[#Headers],0),FALSE)/VLOOKUP("Total Assets",Network_Size_Comparison[#All],MATCH(OPEX_Poles17[#Headers],Network_Size_Comparison[#Headers],0),FALSE)</f>
        <v>0</v>
      </c>
      <c r="F59" s="127">
        <f>VLOOKUP(OPEX_Poles17[[#This Row],[OPEX Category]],OPEX_CategoryComparisonBalanced[#All],MATCH(OPEX_Poles17[#Headers],OPEX_CategoryComparisonBalanced[#Headers],0),FALSE)/VLOOKUP("Total Assets",Network_Size_Comparison[#All],MATCH(OPEX_Poles17[#Headers],Network_Size_Comparison[#Headers],0),FALSE)</f>
        <v>188.29172831606422</v>
      </c>
      <c r="G59" s="127">
        <f>VLOOKUP(OPEX_Poles17[[#This Row],[OPEX Category]],OPEX_CategoryComparisonBalanced[#All],MATCH(OPEX_Poles17[#Headers],OPEX_CategoryComparisonBalanced[#Headers],0),FALSE)/VLOOKUP("Total Assets",Network_Size_Comparison[#All],MATCH(OPEX_Poles17[#Headers],Network_Size_Comparison[#Headers],0),FALSE)</f>
        <v>121.01195624127402</v>
      </c>
      <c r="H59" s="127">
        <f>VLOOKUP(OPEX_Poles17[[#This Row],[OPEX Category]],OPEX_CategoryComparisonBalanced[#All],MATCH(OPEX_Poles17[#Headers],OPEX_CategoryComparisonBalanced[#Headers],0),FALSE)/VLOOKUP("Total Assets",Network_Size_Comparison[#All],MATCH(OPEX_Poles17[#Headers],Network_Size_Comparison[#Headers],0),FALSE)</f>
        <v>48.690043430724089</v>
      </c>
      <c r="I59" s="127">
        <f>VLOOKUP(OPEX_Poles17[[#This Row],[OPEX Category]],OPEX_CategoryComparisonBalanced[#All],MATCH(OPEX_Poles17[#Headers],OPEX_CategoryComparisonBalanced[#Headers],0),FALSE)/VLOOKUP("Total Assets",Network_Size_Comparison[#All],MATCH(OPEX_Poles17[#Headers],Network_Size_Comparison[#Headers],0),FALSE)</f>
        <v>0.25392511655812544</v>
      </c>
      <c r="J59" s="127">
        <f>VLOOKUP(OPEX_Poles17[[#This Row],[OPEX Category]],OPEX_CategoryComparisonBalanced[#All],MATCH(OPEX_Poles17[#Headers],OPEX_CategoryComparisonBalanced[#Headers],0),FALSE)/VLOOKUP("Total Assets",Network_Size_Comparison[#All],MATCH(OPEX_Poles17[#Headers],Network_Size_Comparison[#Headers],0),FALSE)</f>
        <v>68.220386317294796</v>
      </c>
      <c r="K59" s="127">
        <f>VLOOKUP(OPEX_Poles17[[#This Row],[OPEX Category]],OPEX_CategoryComparisonBalanced[#All],MATCH(OPEX_Poles17[#Headers],OPEX_CategoryComparisonBalanced[#Headers],0),FALSE)/VLOOKUP("Total Assets",Network_Size_Comparison[#All],MATCH(OPEX_Poles17[#Headers],Network_Size_Comparison[#Headers],0),FALSE)</f>
        <v>0.10993176104482912</v>
      </c>
      <c r="L59" s="252">
        <f>VLOOKUP(OPEX_Poles17[[#This Row],[OPEX Category]],OPEX_CategoryComparisonBalanced[#All],MATCH(OPEX_Poles17[#Headers],OPEX_CategoryComparisonBalanced[#Headers],0),FALSE)/VLOOKUP("Total Assets",Network_Size_Comparison[#All],MATCH(OPEX_Poles17[#Headers],Network_Size_Comparison[#Headers],0),FALSE)</f>
        <v>43.821039087651677</v>
      </c>
      <c r="M59" s="252">
        <f>VLOOKUP(OPEX_Poles17[[#This Row],[OPEX Category]],OPEX_CategoryComparisonBalanced[#All],MATCH(OPEX_Poles17[#Headers],OPEX_CategoryComparisonBalanced[#Headers],0),FALSE)/VLOOKUP("Total Assets",Network_Size_Comparison[#All],MATCH(OPEX_Poles17[#Headers],Network_Size_Comparison[#Headers],0),FALSE)</f>
        <v>56.480450379639933</v>
      </c>
    </row>
    <row r="60" spans="1:14">
      <c r="A60" s="10" t="s">
        <v>1367</v>
      </c>
      <c r="B60" s="127">
        <f>VLOOKUP(OPEX_Poles17[[#This Row],[OPEX Category]],OPEX_CategoryComparisonBalanced[#All],MATCH(OPEX_Poles17[#Headers],OPEX_CategoryComparisonBalanced[#Headers],0),FALSE)/VLOOKUP("Total Assets",Network_Size_Comparison[#All],MATCH(OPEX_Poles17[#Headers],Network_Size_Comparison[#Headers],0),FALSE)</f>
        <v>1315.8553424198067</v>
      </c>
      <c r="C60" s="127">
        <f>VLOOKUP(OPEX_Poles17[[#This Row],[OPEX Category]],OPEX_CategoryComparisonBalanced[#All],MATCH(OPEX_Poles17[#Headers],OPEX_CategoryComparisonBalanced[#Headers],0),FALSE)/VLOOKUP("Total Assets",Network_Size_Comparison[#All],MATCH(OPEX_Poles17[#Headers],Network_Size_Comparison[#Headers],0),FALSE)</f>
        <v>406.14964991442429</v>
      </c>
      <c r="D60" s="127">
        <f>VLOOKUP(OPEX_Poles17[[#This Row],[OPEX Category]],OPEX_CategoryComparisonBalanced[#All],MATCH(OPEX_Poles17[#Headers],OPEX_CategoryComparisonBalanced[#Headers],0),FALSE)/VLOOKUP("Total Assets",Network_Size_Comparison[#All],MATCH(OPEX_Poles17[#Headers],Network_Size_Comparison[#Headers],0),FALSE)</f>
        <v>830.23274677650704</v>
      </c>
      <c r="E60" s="127">
        <f>VLOOKUP(OPEX_Poles17[[#This Row],[OPEX Category]],OPEX_CategoryComparisonBalanced[#All],MATCH(OPEX_Poles17[#Headers],OPEX_CategoryComparisonBalanced[#Headers],0),FALSE)/VLOOKUP("Total Assets",Network_Size_Comparison[#All],MATCH(OPEX_Poles17[#Headers],Network_Size_Comparison[#Headers],0),FALSE)</f>
        <v>181.60852116283149</v>
      </c>
      <c r="F60" s="127">
        <f>VLOOKUP(OPEX_Poles17[[#This Row],[OPEX Category]],OPEX_CategoryComparisonBalanced[#All],MATCH(OPEX_Poles17[#Headers],OPEX_CategoryComparisonBalanced[#Headers],0),FALSE)/VLOOKUP("Total Assets",Network_Size_Comparison[#All],MATCH(OPEX_Poles17[#Headers],Network_Size_Comparison[#Headers],0),FALSE)</f>
        <v>269.4700749072835</v>
      </c>
      <c r="G60" s="127">
        <f>VLOOKUP(OPEX_Poles17[[#This Row],[OPEX Category]],OPEX_CategoryComparisonBalanced[#All],MATCH(OPEX_Poles17[#Headers],OPEX_CategoryComparisonBalanced[#Headers],0),FALSE)/VLOOKUP("Total Assets",Network_Size_Comparison[#All],MATCH(OPEX_Poles17[#Headers],Network_Size_Comparison[#Headers],0),FALSE)</f>
        <v>147.46353114883843</v>
      </c>
      <c r="H60" s="127">
        <f>VLOOKUP(OPEX_Poles17[[#This Row],[OPEX Category]],OPEX_CategoryComparisonBalanced[#All],MATCH(OPEX_Poles17[#Headers],OPEX_CategoryComparisonBalanced[#Headers],0),FALSE)/VLOOKUP("Total Assets",Network_Size_Comparison[#All],MATCH(OPEX_Poles17[#Headers],Network_Size_Comparison[#Headers],0),FALSE)</f>
        <v>218.92988673218338</v>
      </c>
      <c r="I60" s="127">
        <f>VLOOKUP(OPEX_Poles17[[#This Row],[OPEX Category]],OPEX_CategoryComparisonBalanced[#All],MATCH(OPEX_Poles17[#Headers],OPEX_CategoryComparisonBalanced[#Headers],0),FALSE)/VLOOKUP("Total Assets",Network_Size_Comparison[#All],MATCH(OPEX_Poles17[#Headers],Network_Size_Comparison[#Headers],0),FALSE)</f>
        <v>346.93379812860866</v>
      </c>
      <c r="J60" s="127">
        <f>VLOOKUP(OPEX_Poles17[[#This Row],[OPEX Category]],OPEX_CategoryComparisonBalanced[#All],MATCH(OPEX_Poles17[#Headers],OPEX_CategoryComparisonBalanced[#Headers],0),FALSE)/VLOOKUP("Total Assets",Network_Size_Comparison[#All],MATCH(OPEX_Poles17[#Headers],Network_Size_Comparison[#Headers],0),FALSE)</f>
        <v>213.44183212391044</v>
      </c>
      <c r="K60" s="127">
        <f>VLOOKUP(OPEX_Poles17[[#This Row],[OPEX Category]],OPEX_CategoryComparisonBalanced[#All],MATCH(OPEX_Poles17[#Headers],OPEX_CategoryComparisonBalanced[#Headers],0),FALSE)/VLOOKUP("Total Assets",Network_Size_Comparison[#All],MATCH(OPEX_Poles17[#Headers],Network_Size_Comparison[#Headers],0),FALSE)</f>
        <v>253.18276749348829</v>
      </c>
      <c r="L60" s="252">
        <f>VLOOKUP(OPEX_Poles17[[#This Row],[OPEX Category]],OPEX_CategoryComparisonBalanced[#All],MATCH(OPEX_Poles17[#Headers],OPEX_CategoryComparisonBalanced[#Headers],0),FALSE)/VLOOKUP("Total Assets",Network_Size_Comparison[#All],MATCH(OPEX_Poles17[#Headers],Network_Size_Comparison[#Headers],0),FALSE)</f>
        <v>197.03689805896505</v>
      </c>
      <c r="M60" s="252">
        <f>VLOOKUP(OPEX_Poles17[[#This Row],[OPEX Category]],OPEX_CategoryComparisonBalanced[#All],MATCH(OPEX_Poles17[#Headers],OPEX_CategoryComparisonBalanced[#Headers],0),FALSE)/VLOOKUP("Total Assets",Network_Size_Comparison[#All],MATCH(OPEX_Poles17[#Headers],Network_Size_Comparison[#Headers],0),FALSE)</f>
        <v>188.91457831186545</v>
      </c>
    </row>
    <row r="61" spans="1:14">
      <c r="A61" s="32" t="s">
        <v>1368</v>
      </c>
      <c r="B61" s="127">
        <f>VLOOKUP(OPEX_Poles17[[#This Row],[OPEX Category]],OPEX_CategoryComparisonBalanced[#All],MATCH(OPEX_Poles17[#Headers],OPEX_CategoryComparisonBalanced[#Headers],0),FALSE)/VLOOKUP("Total Assets",Network_Size_Comparison[#All],MATCH(OPEX_Poles17[#Headers],Network_Size_Comparison[#Headers],0),FALSE)</f>
        <v>487.57735555240828</v>
      </c>
      <c r="C61" s="127">
        <f>VLOOKUP(OPEX_Poles17[[#This Row],[OPEX Category]],OPEX_CategoryComparisonBalanced[#All],MATCH(OPEX_Poles17[#Headers],OPEX_CategoryComparisonBalanced[#Headers],0),FALSE)/VLOOKUP("Total Assets",Network_Size_Comparison[#All],MATCH(OPEX_Poles17[#Headers],Network_Size_Comparison[#Headers],0),FALSE)</f>
        <v>182.97924155183537</v>
      </c>
      <c r="D61" s="127">
        <f>VLOOKUP(OPEX_Poles17[[#This Row],[OPEX Category]],OPEX_CategoryComparisonBalanced[#All],MATCH(OPEX_Poles17[#Headers],OPEX_CategoryComparisonBalanced[#Headers],0),FALSE)/VLOOKUP("Total Assets",Network_Size_Comparison[#All],MATCH(OPEX_Poles17[#Headers],Network_Size_Comparison[#Headers],0),FALSE)</f>
        <v>430.95968706763512</v>
      </c>
      <c r="E61" s="127">
        <f>VLOOKUP(OPEX_Poles17[[#This Row],[OPEX Category]],OPEX_CategoryComparisonBalanced[#All],MATCH(OPEX_Poles17[#Headers],OPEX_CategoryComparisonBalanced[#Headers],0),FALSE)/VLOOKUP("Total Assets",Network_Size_Comparison[#All],MATCH(OPEX_Poles17[#Headers],Network_Size_Comparison[#Headers],0),FALSE)</f>
        <v>92.232698878479411</v>
      </c>
      <c r="F61" s="127">
        <f>VLOOKUP(OPEX_Poles17[[#This Row],[OPEX Category]],OPEX_CategoryComparisonBalanced[#All],MATCH(OPEX_Poles17[#Headers],OPEX_CategoryComparisonBalanced[#Headers],0),FALSE)/VLOOKUP("Total Assets",Network_Size_Comparison[#All],MATCH(OPEX_Poles17[#Headers],Network_Size_Comparison[#Headers],0),FALSE)</f>
        <v>157.7500507443666</v>
      </c>
      <c r="G61" s="127">
        <f>VLOOKUP(OPEX_Poles17[[#This Row],[OPEX Category]],OPEX_CategoryComparisonBalanced[#All],MATCH(OPEX_Poles17[#Headers],OPEX_CategoryComparisonBalanced[#Headers],0),FALSE)/VLOOKUP("Total Assets",Network_Size_Comparison[#All],MATCH(OPEX_Poles17[#Headers],Network_Size_Comparison[#Headers],0),FALSE)</f>
        <v>161.50382279059679</v>
      </c>
      <c r="H61" s="127">
        <f>VLOOKUP(OPEX_Poles17[[#This Row],[OPEX Category]],OPEX_CategoryComparisonBalanced[#All],MATCH(OPEX_Poles17[#Headers],OPEX_CategoryComparisonBalanced[#Headers],0),FALSE)/VLOOKUP("Total Assets",Network_Size_Comparison[#All],MATCH(OPEX_Poles17[#Headers],Network_Size_Comparison[#Headers],0),FALSE)</f>
        <v>160.98915471362281</v>
      </c>
      <c r="I61" s="127">
        <f>VLOOKUP(OPEX_Poles17[[#This Row],[OPEX Category]],OPEX_CategoryComparisonBalanced[#All],MATCH(OPEX_Poles17[#Headers],OPEX_CategoryComparisonBalanced[#Headers],0),FALSE)/VLOOKUP("Total Assets",Network_Size_Comparison[#All],MATCH(OPEX_Poles17[#Headers],Network_Size_Comparison[#Headers],0),FALSE)</f>
        <v>262.08622676614829</v>
      </c>
      <c r="J61" s="127">
        <f>VLOOKUP(OPEX_Poles17[[#This Row],[OPEX Category]],OPEX_CategoryComparisonBalanced[#All],MATCH(OPEX_Poles17[#Headers],OPEX_CategoryComparisonBalanced[#Headers],0),FALSE)/VLOOKUP("Total Assets",Network_Size_Comparison[#All],MATCH(OPEX_Poles17[#Headers],Network_Size_Comparison[#Headers],0),FALSE)</f>
        <v>115.97043337563326</v>
      </c>
      <c r="K61" s="127">
        <f>VLOOKUP(OPEX_Poles17[[#This Row],[OPEX Category]],OPEX_CategoryComparisonBalanced[#All],MATCH(OPEX_Poles17[#Headers],OPEX_CategoryComparisonBalanced[#Headers],0),FALSE)/VLOOKUP("Total Assets",Network_Size_Comparison[#All],MATCH(OPEX_Poles17[#Headers],Network_Size_Comparison[#Headers],0),FALSE)</f>
        <v>165.76736017337419</v>
      </c>
      <c r="L61" s="252">
        <f>VLOOKUP(OPEX_Poles17[[#This Row],[OPEX Category]],OPEX_CategoryComparisonBalanced[#All],MATCH(OPEX_Poles17[#Headers],OPEX_CategoryComparisonBalanced[#Headers],0),FALSE)/VLOOKUP("Total Assets",Network_Size_Comparison[#All],MATCH(OPEX_Poles17[#Headers],Network_Size_Comparison[#Headers],0),FALSE)</f>
        <v>144.89023924226055</v>
      </c>
      <c r="M61" s="252">
        <f>VLOOKUP(OPEX_Poles17[[#This Row],[OPEX Category]],OPEX_CategoryComparisonBalanced[#All],MATCH(OPEX_Poles17[#Headers],OPEX_CategoryComparisonBalanced[#Headers],0),FALSE)/VLOOKUP("Total Assets",Network_Size_Comparison[#All],MATCH(OPEX_Poles17[#Headers],Network_Size_Comparison[#Headers],0),FALSE)</f>
        <v>138.91752619738088</v>
      </c>
    </row>
    <row r="63" spans="1:14" ht="18.75">
      <c r="A63" s="77" t="s">
        <v>1536</v>
      </c>
    </row>
    <row r="64" spans="1:14" ht="30">
      <c r="A64" s="32" t="s">
        <v>1520</v>
      </c>
      <c r="B64" s="31" t="s">
        <v>574</v>
      </c>
      <c r="C64" s="31" t="s">
        <v>1147</v>
      </c>
      <c r="D64" s="31" t="s">
        <v>575</v>
      </c>
      <c r="E64" s="31" t="s">
        <v>310</v>
      </c>
      <c r="F64" s="31" t="s">
        <v>1674</v>
      </c>
      <c r="G64" s="131" t="s">
        <v>1560</v>
      </c>
      <c r="H64" s="31" t="s">
        <v>0</v>
      </c>
      <c r="I64" s="31" t="s">
        <v>1218</v>
      </c>
      <c r="J64" s="31" t="s">
        <v>1675</v>
      </c>
      <c r="K64" s="31" t="s">
        <v>1676</v>
      </c>
      <c r="L64" s="175" t="s">
        <v>1569</v>
      </c>
      <c r="M64" s="175" t="s">
        <v>1677</v>
      </c>
      <c r="N64" s="32" t="s">
        <v>1164</v>
      </c>
    </row>
    <row r="65" spans="1:13">
      <c r="A65" s="32" t="s">
        <v>1364</v>
      </c>
      <c r="B65" s="127">
        <f>VLOOKUP(OPEX_Poles1715[[#This Row],[OPEX Category]],OPEX_CategoryComparisonBalanced[#All],MATCH(OPEX_Poles1715[#Headers],OPEX_CategoryComparisonBalanced[#Headers],0),FALSE)/VLOOKUP("Customer Count",Network_Size_Comparison[#All],MATCH(OPEX_Poles1715[#Headers],Network_Size_Comparison[#Headers],0),FALSE)</f>
        <v>6.1160096950985689E-7</v>
      </c>
      <c r="C65" s="127">
        <f>VLOOKUP(OPEX_Poles1715[[#This Row],[OPEX Category]],OPEX_CategoryComparisonBalanced[#All],MATCH(OPEX_Poles1715[#Headers],OPEX_CategoryComparisonBalanced[#Headers],0),FALSE)/VLOOKUP("Customer Count",Network_Size_Comparison[#All],MATCH(OPEX_Poles1715[#Headers],Network_Size_Comparison[#Headers],0),FALSE)</f>
        <v>374.41842696869145</v>
      </c>
      <c r="D65" s="127">
        <f>VLOOKUP(OPEX_Poles1715[[#This Row],[OPEX Category]],OPEX_CategoryComparisonBalanced[#All],MATCH(OPEX_Poles1715[#Headers],OPEX_CategoryComparisonBalanced[#Headers],0),FALSE)/VLOOKUP("Customer Count",Network_Size_Comparison[#All],MATCH(OPEX_Poles1715[#Headers],Network_Size_Comparison[#Headers],0),FALSE)</f>
        <v>116.98326201754433</v>
      </c>
      <c r="E65" s="127">
        <f>VLOOKUP(OPEX_Poles1715[[#This Row],[OPEX Category]],OPEX_CategoryComparisonBalanced[#All],MATCH(OPEX_Poles1715[#Headers],OPEX_CategoryComparisonBalanced[#Headers],0),FALSE)/VLOOKUP("Customer Count",Network_Size_Comparison[#All],MATCH(OPEX_Poles1715[#Headers],Network_Size_Comparison[#Headers],0),FALSE)</f>
        <v>181.08680975125776</v>
      </c>
      <c r="F65" s="127">
        <f>VLOOKUP(OPEX_Poles1715[[#This Row],[OPEX Category]],OPEX_CategoryComparisonBalanced[#All],MATCH(OPEX_Poles1715[#Headers],OPEX_CategoryComparisonBalanced[#Headers],0),FALSE)/VLOOKUP("Customer Count",Network_Size_Comparison[#All],MATCH(OPEX_Poles1715[#Headers],Network_Size_Comparison[#Headers],0),FALSE)</f>
        <v>207.12254282569035</v>
      </c>
      <c r="G65" s="127">
        <f>VLOOKUP(OPEX_Poles1715[[#This Row],[OPEX Category]],OPEX_CategoryComparisonBalanced[#All],MATCH(OPEX_Poles1715[#Headers],OPEX_CategoryComparisonBalanced[#Headers],0),FALSE)/VLOOKUP("Customer Count",Network_Size_Comparison[#All],MATCH(OPEX_Poles1715[#Headers],Network_Size_Comparison[#Headers],0),FALSE)</f>
        <v>455.37668456474023</v>
      </c>
      <c r="H65" s="127">
        <f>VLOOKUP(OPEX_Poles1715[[#This Row],[OPEX Category]],OPEX_CategoryComparisonBalanced[#All],MATCH(OPEX_Poles1715[#Headers],OPEX_CategoryComparisonBalanced[#Headers],0),FALSE)/VLOOKUP("Customer Count",Network_Size_Comparison[#All],MATCH(OPEX_Poles1715[#Headers],Network_Size_Comparison[#Headers],0),FALSE)</f>
        <v>455.37668456474017</v>
      </c>
      <c r="I65" s="127">
        <f>VLOOKUP(OPEX_Poles1715[[#This Row],[OPEX Category]],OPEX_CategoryComparisonBalanced[#All],MATCH(OPEX_Poles1715[#Headers],OPEX_CategoryComparisonBalanced[#Headers],0),FALSE)/VLOOKUP("Customer Count",Network_Size_Comparison[#All],MATCH(OPEX_Poles1715[#Headers],Network_Size_Comparison[#Headers],0),FALSE)</f>
        <v>147.99248849328706</v>
      </c>
      <c r="J65" s="127">
        <f>VLOOKUP(OPEX_Poles1715[[#This Row],[OPEX Category]],OPEX_CategoryComparisonBalanced[#All],MATCH(OPEX_Poles1715[#Headers],OPEX_CategoryComparisonBalanced[#Headers],0),FALSE)/VLOOKUP("Customer Count",Network_Size_Comparison[#All],MATCH(OPEX_Poles1715[#Headers],Network_Size_Comparison[#Headers],0),FALSE)</f>
        <v>193.44604233005299</v>
      </c>
      <c r="K65" s="127">
        <f>VLOOKUP(OPEX_Poles1715[[#This Row],[OPEX Category]],OPEX_CategoryComparisonBalanced[#All],MATCH(OPEX_Poles1715[#Headers],OPEX_CategoryComparisonBalanced[#Headers],0),FALSE)/VLOOKUP("Customer Count",Network_Size_Comparison[#All],MATCH(OPEX_Poles1715[#Headers],Network_Size_Comparison[#Headers],0),FALSE)</f>
        <v>163.57004118802831</v>
      </c>
      <c r="L65" s="252">
        <f>VLOOKUP(OPEX_Poles1715[[#This Row],[OPEX Category]],OPEX_CategoryComparisonBalanced[#All],MATCH(OPEX_Poles1715[#Headers],OPEX_CategoryComparisonBalanced[#Headers],0),FALSE)/VLOOKUP("Customer Count",Network_Size_Comparison[#All],MATCH(OPEX_Poles1715[#Headers],Network_Size_Comparison[#Headers],0),FALSE)</f>
        <v>409.83901610826621</v>
      </c>
      <c r="M65" s="252">
        <f>VLOOKUP(OPEX_Poles1715[[#This Row],[OPEX Category]],OPEX_CategoryComparisonBalanced[#All],MATCH(OPEX_Poles1715[#Headers],OPEX_CategoryComparisonBalanced[#Headers],0),FALSE)/VLOOKUP("Customer Count",Network_Size_Comparison[#All],MATCH(OPEX_Poles1715[#Headers],Network_Size_Comparison[#Headers],0),FALSE)</f>
        <v>455.37668456474017</v>
      </c>
    </row>
    <row r="66" spans="1:13">
      <c r="A66" s="32" t="s">
        <v>1365</v>
      </c>
      <c r="B66" s="127">
        <f>VLOOKUP(OPEX_Poles1715[[#This Row],[OPEX Category]],OPEX_CategoryComparisonBalanced[#All],MATCH(OPEX_Poles1715[#Headers],OPEX_CategoryComparisonBalanced[#Headers],0),FALSE)/VLOOKUP("Customer Count",Network_Size_Comparison[#All],MATCH(OPEX_Poles1715[#Headers],Network_Size_Comparison[#Headers],0),FALSE)</f>
        <v>199.81651970914703</v>
      </c>
      <c r="C66" s="127">
        <f>VLOOKUP(OPEX_Poles1715[[#This Row],[OPEX Category]],OPEX_CategoryComparisonBalanced[#All],MATCH(OPEX_Poles1715[#Headers],OPEX_CategoryComparisonBalanced[#Headers],0),FALSE)/VLOOKUP("Customer Count",Network_Size_Comparison[#All],MATCH(OPEX_Poles1715[#Headers],Network_Size_Comparison[#Headers],0),FALSE)</f>
        <v>549.82208933190407</v>
      </c>
      <c r="D66" s="127">
        <f>VLOOKUP(OPEX_Poles1715[[#This Row],[OPEX Category]],OPEX_CategoryComparisonBalanced[#All],MATCH(OPEX_Poles1715[#Headers],OPEX_CategoryComparisonBalanced[#Headers],0),FALSE)/VLOOKUP("Customer Count",Network_Size_Comparison[#All],MATCH(OPEX_Poles1715[#Headers],Network_Size_Comparison[#Headers],0),FALSE)</f>
        <v>318.22982254678249</v>
      </c>
      <c r="E66" s="127">
        <f>VLOOKUP(OPEX_Poles1715[[#This Row],[OPEX Category]],OPEX_CategoryComparisonBalanced[#All],MATCH(OPEX_Poles1715[#Headers],OPEX_CategoryComparisonBalanced[#Headers],0),FALSE)/VLOOKUP("Customer Count",Network_Size_Comparison[#All],MATCH(OPEX_Poles1715[#Headers],Network_Size_Comparison[#Headers],0),FALSE)</f>
        <v>263.45732199869218</v>
      </c>
      <c r="F66" s="127">
        <f>VLOOKUP(OPEX_Poles1715[[#This Row],[OPEX Category]],OPEX_CategoryComparisonBalanced[#All],MATCH(OPEX_Poles1715[#Headers],OPEX_CategoryComparisonBalanced[#Headers],0),FALSE)/VLOOKUP("Customer Count",Network_Size_Comparison[#All],MATCH(OPEX_Poles1715[#Headers],Network_Size_Comparison[#Headers],0),FALSE)</f>
        <v>171.30747602741232</v>
      </c>
      <c r="G66" s="127">
        <f>VLOOKUP(OPEX_Poles1715[[#This Row],[OPEX Category]],OPEX_CategoryComparisonBalanced[#All],MATCH(OPEX_Poles1715[#Headers],OPEX_CategoryComparisonBalanced[#Headers],0),FALSE)/VLOOKUP("Customer Count",Network_Size_Comparison[#All],MATCH(OPEX_Poles1715[#Headers],Network_Size_Comparison[#Headers],0),FALSE)</f>
        <v>499.63400388087121</v>
      </c>
      <c r="H66" s="127">
        <f>VLOOKUP(OPEX_Poles1715[[#This Row],[OPEX Category]],OPEX_CategoryComparisonBalanced[#All],MATCH(OPEX_Poles1715[#Headers],OPEX_CategoryComparisonBalanced[#Headers],0),FALSE)/VLOOKUP("Customer Count",Network_Size_Comparison[#All],MATCH(OPEX_Poles1715[#Headers],Network_Size_Comparison[#Headers],0),FALSE)</f>
        <v>499.63400388087121</v>
      </c>
      <c r="I66" s="127">
        <f>VLOOKUP(OPEX_Poles1715[[#This Row],[OPEX Category]],OPEX_CategoryComparisonBalanced[#All],MATCH(OPEX_Poles1715[#Headers],OPEX_CategoryComparisonBalanced[#Headers],0),FALSE)/VLOOKUP("Customer Count",Network_Size_Comparison[#All],MATCH(OPEX_Poles1715[#Headers],Network_Size_Comparison[#Headers],0),FALSE)</f>
        <v>119.55067789932599</v>
      </c>
      <c r="J66" s="127">
        <f>VLOOKUP(OPEX_Poles1715[[#This Row],[OPEX Category]],OPEX_CategoryComparisonBalanced[#All],MATCH(OPEX_Poles1715[#Headers],OPEX_CategoryComparisonBalanced[#Headers],0),FALSE)/VLOOKUP("Customer Count",Network_Size_Comparison[#All],MATCH(OPEX_Poles1715[#Headers],Network_Size_Comparison[#Headers],0),FALSE)</f>
        <v>219.71354204814341</v>
      </c>
      <c r="K66" s="127">
        <f>VLOOKUP(OPEX_Poles1715[[#This Row],[OPEX Category]],OPEX_CategoryComparisonBalanced[#All],MATCH(OPEX_Poles1715[#Headers],OPEX_CategoryComparisonBalanced[#Headers],0),FALSE)/VLOOKUP("Customer Count",Network_Size_Comparison[#All],MATCH(OPEX_Poles1715[#Headers],Network_Size_Comparison[#Headers],0),FALSE)</f>
        <v>187.28777738860285</v>
      </c>
      <c r="L66" s="252">
        <f>VLOOKUP(OPEX_Poles1715[[#This Row],[OPEX Category]],OPEX_CategoryComparisonBalanced[#All],MATCH(OPEX_Poles1715[#Headers],OPEX_CategoryComparisonBalanced[#Headers],0),FALSE)/VLOOKUP("Customer Count",Network_Size_Comparison[#All],MATCH(OPEX_Poles1715[#Headers],Network_Size_Comparison[#Headers],0),FALSE)</f>
        <v>449.6706034927841</v>
      </c>
      <c r="M66" s="252">
        <f>VLOOKUP(OPEX_Poles1715[[#This Row],[OPEX Category]],OPEX_CategoryComparisonBalanced[#All],MATCH(OPEX_Poles1715[#Headers],OPEX_CategoryComparisonBalanced[#Headers],0),FALSE)/VLOOKUP("Customer Count",Network_Size_Comparison[#All],MATCH(OPEX_Poles1715[#Headers],Network_Size_Comparison[#Headers],0),FALSE)</f>
        <v>579.57544450181058</v>
      </c>
    </row>
    <row r="67" spans="1:13">
      <c r="A67" s="32" t="s">
        <v>1366</v>
      </c>
      <c r="B67" s="127">
        <f>VLOOKUP(OPEX_Poles1715[[#This Row],[OPEX Category]],OPEX_CategoryComparisonBalanced[#All],MATCH(OPEX_Poles1715[#Headers],OPEX_CategoryComparisonBalanced[#Headers],0),FALSE)/VLOOKUP("Customer Count",Network_Size_Comparison[#All],MATCH(OPEX_Poles1715[#Headers],Network_Size_Comparison[#Headers],0),FALSE)</f>
        <v>104.44780077465379</v>
      </c>
      <c r="C67" s="127">
        <f>VLOOKUP(OPEX_Poles1715[[#This Row],[OPEX Category]],OPEX_CategoryComparisonBalanced[#All],MATCH(OPEX_Poles1715[#Headers],OPEX_CategoryComparisonBalanced[#Headers],0),FALSE)/VLOOKUP("Customer Count",Network_Size_Comparison[#All],MATCH(OPEX_Poles1715[#Headers],Network_Size_Comparison[#Headers],0),FALSE)</f>
        <v>305.14805846319854</v>
      </c>
      <c r="D67" s="127">
        <f>VLOOKUP(OPEX_Poles1715[[#This Row],[OPEX Category]],OPEX_CategoryComparisonBalanced[#All],MATCH(OPEX_Poles1715[#Headers],OPEX_CategoryComparisonBalanced[#Headers],0),FALSE)/VLOOKUP("Customer Count",Network_Size_Comparison[#All],MATCH(OPEX_Poles1715[#Headers],Network_Size_Comparison[#Headers],0),FALSE)</f>
        <v>127.34229986466565</v>
      </c>
      <c r="E67" s="127">
        <f>VLOOKUP(OPEX_Poles1715[[#This Row],[OPEX Category]],OPEX_CategoryComparisonBalanced[#All],MATCH(OPEX_Poles1715[#Headers],OPEX_CategoryComparisonBalanced[#Headers],0),FALSE)/VLOOKUP("Customer Count",Network_Size_Comparison[#All],MATCH(OPEX_Poles1715[#Headers],Network_Size_Comparison[#Headers],0),FALSE)</f>
        <v>123.53467840453739</v>
      </c>
      <c r="F67" s="127">
        <f>VLOOKUP(OPEX_Poles1715[[#This Row],[OPEX Category]],OPEX_CategoryComparisonBalanced[#All],MATCH(OPEX_Poles1715[#Headers],OPEX_CategoryComparisonBalanced[#Headers],0),FALSE)/VLOOKUP("Customer Count",Network_Size_Comparison[#All],MATCH(OPEX_Poles1715[#Headers],Network_Size_Comparison[#Headers],0),FALSE)</f>
        <v>124.83914518990781</v>
      </c>
      <c r="G67" s="127">
        <f>VLOOKUP(OPEX_Poles1715[[#This Row],[OPEX Category]],OPEX_CategoryComparisonBalanced[#All],MATCH(OPEX_Poles1715[#Headers],OPEX_CategoryComparisonBalanced[#Headers],0),FALSE)/VLOOKUP("Customer Count",Network_Size_Comparison[#All],MATCH(OPEX_Poles1715[#Headers],Network_Size_Comparison[#Headers],0),FALSE)</f>
        <v>268.73510501703299</v>
      </c>
      <c r="H67" s="127">
        <f>VLOOKUP(OPEX_Poles1715[[#This Row],[OPEX Category]],OPEX_CategoryComparisonBalanced[#All],MATCH(OPEX_Poles1715[#Headers],OPEX_CategoryComparisonBalanced[#Headers],0),FALSE)/VLOOKUP("Customer Count",Network_Size_Comparison[#All],MATCH(OPEX_Poles1715[#Headers],Network_Size_Comparison[#Headers],0),FALSE)</f>
        <v>268.73510501703299</v>
      </c>
      <c r="I67" s="127">
        <f>VLOOKUP(OPEX_Poles1715[[#This Row],[OPEX Category]],OPEX_CategoryComparisonBalanced[#All],MATCH(OPEX_Poles1715[#Headers],OPEX_CategoryComparisonBalanced[#Headers],0),FALSE)/VLOOKUP("Customer Count",Network_Size_Comparison[#All],MATCH(OPEX_Poles1715[#Headers],Network_Size_Comparison[#Headers],0),FALSE)</f>
        <v>162.3419670050462</v>
      </c>
      <c r="J67" s="127">
        <f>VLOOKUP(OPEX_Poles1715[[#This Row],[OPEX Category]],OPEX_CategoryComparisonBalanced[#All],MATCH(OPEX_Poles1715[#Headers],OPEX_CategoryComparisonBalanced[#Headers],0),FALSE)/VLOOKUP("Customer Count",Network_Size_Comparison[#All],MATCH(OPEX_Poles1715[#Headers],Network_Size_Comparison[#Headers],0),FALSE)</f>
        <v>124.15391229918576</v>
      </c>
      <c r="K67" s="127">
        <f>VLOOKUP(OPEX_Poles1715[[#This Row],[OPEX Category]],OPEX_CategoryComparisonBalanced[#All],MATCH(OPEX_Poles1715[#Headers],OPEX_CategoryComparisonBalanced[#Headers],0),FALSE)/VLOOKUP("Customer Count",Network_Size_Comparison[#All],MATCH(OPEX_Poles1715[#Headers],Network_Size_Comparison[#Headers],0),FALSE)</f>
        <v>144.07531097055028</v>
      </c>
      <c r="L67" s="252">
        <f>VLOOKUP(OPEX_Poles1715[[#This Row],[OPEX Category]],OPEX_CategoryComparisonBalanced[#All],MATCH(OPEX_Poles1715[#Headers],OPEX_CategoryComparisonBalanced[#Headers],0),FALSE)/VLOOKUP("Customer Count",Network_Size_Comparison[#All],MATCH(OPEX_Poles1715[#Headers],Network_Size_Comparison[#Headers],0),FALSE)</f>
        <v>241.8615945153297</v>
      </c>
      <c r="M67" s="252">
        <f>VLOOKUP(OPEX_Poles1715[[#This Row],[OPEX Category]],OPEX_CategoryComparisonBalanced[#All],MATCH(OPEX_Poles1715[#Headers],OPEX_CategoryComparisonBalanced[#Headers],0),FALSE)/VLOOKUP("Customer Count",Network_Size_Comparison[#All],MATCH(OPEX_Poles1715[#Headers],Network_Size_Comparison[#Headers],0),FALSE)</f>
        <v>311.73272181975824</v>
      </c>
    </row>
    <row r="68" spans="1:13">
      <c r="A68" s="32" t="s">
        <v>1357</v>
      </c>
      <c r="B68" s="127">
        <f>VLOOKUP(OPEX_Poles1715[[#This Row],[OPEX Category]],OPEX_CategoryComparisonBalanced[#All],MATCH(OPEX_Poles1715[#Headers],OPEX_CategoryComparisonBalanced[#Headers],0),FALSE)/VLOOKUP("Customer Count",Network_Size_Comparison[#All],MATCH(OPEX_Poles1715[#Headers],Network_Size_Comparison[#Headers],0),FALSE)</f>
        <v>107.19259864970739</v>
      </c>
      <c r="C68" s="127">
        <f>VLOOKUP(OPEX_Poles1715[[#This Row],[OPEX Category]],OPEX_CategoryComparisonBalanced[#All],MATCH(OPEX_Poles1715[#Headers],OPEX_CategoryComparisonBalanced[#Headers],0),FALSE)/VLOOKUP("Customer Count",Network_Size_Comparison[#All],MATCH(OPEX_Poles1715[#Headers],Network_Size_Comparison[#Headers],0),FALSE)</f>
        <v>-16.169343776647722</v>
      </c>
      <c r="D68" s="127">
        <f>VLOOKUP(OPEX_Poles1715[[#This Row],[OPEX Category]],OPEX_CategoryComparisonBalanced[#All],MATCH(OPEX_Poles1715[#Headers],OPEX_CategoryComparisonBalanced[#Headers],0),FALSE)/VLOOKUP("Customer Count",Network_Size_Comparison[#All],MATCH(OPEX_Poles1715[#Headers],Network_Size_Comparison[#Headers],0),FALSE)</f>
        <v>-2.9674726162961306E-2</v>
      </c>
      <c r="E68" s="127">
        <f>VLOOKUP(OPEX_Poles1715[[#This Row],[OPEX Category]],OPEX_CategoryComparisonBalanced[#All],MATCH(OPEX_Poles1715[#Headers],OPEX_CategoryComparisonBalanced[#Headers],0),FALSE)/VLOOKUP("Customer Count",Network_Size_Comparison[#All],MATCH(OPEX_Poles1715[#Headers],Network_Size_Comparison[#Headers],0),FALSE)</f>
        <v>0</v>
      </c>
      <c r="F68" s="127">
        <f>VLOOKUP(OPEX_Poles1715[[#This Row],[OPEX Category]],OPEX_CategoryComparisonBalanced[#All],MATCH(OPEX_Poles1715[#Headers],OPEX_CategoryComparisonBalanced[#Headers],0),FALSE)/VLOOKUP("Customer Count",Network_Size_Comparison[#All],MATCH(OPEX_Poles1715[#Headers],Network_Size_Comparison[#Headers],0),FALSE)</f>
        <v>191.15863015656126</v>
      </c>
      <c r="G68" s="127">
        <f>VLOOKUP(OPEX_Poles1715[[#This Row],[OPEX Category]],OPEX_CategoryComparisonBalanced[#All],MATCH(OPEX_Poles1715[#Headers],OPEX_CategoryComparisonBalanced[#Headers],0),FALSE)/VLOOKUP("Customer Count",Network_Size_Comparison[#All],MATCH(OPEX_Poles1715[#Headers],Network_Size_Comparison[#Headers],0),FALSE)</f>
        <v>334.78212956978729</v>
      </c>
      <c r="H68" s="127">
        <f>VLOOKUP(OPEX_Poles1715[[#This Row],[OPEX Category]],OPEX_CategoryComparisonBalanced[#All],MATCH(OPEX_Poles1715[#Headers],OPEX_CategoryComparisonBalanced[#Headers],0),FALSE)/VLOOKUP("Customer Count",Network_Size_Comparison[#All],MATCH(OPEX_Poles1715[#Headers],Network_Size_Comparison[#Headers],0),FALSE)</f>
        <v>135.13266269299672</v>
      </c>
      <c r="I68" s="127">
        <f>VLOOKUP(OPEX_Poles1715[[#This Row],[OPEX Category]],OPEX_CategoryComparisonBalanced[#All],MATCH(OPEX_Poles1715[#Headers],OPEX_CategoryComparisonBalanced[#Headers],0),FALSE)/VLOOKUP("Customer Count",Network_Size_Comparison[#All],MATCH(OPEX_Poles1715[#Headers],Network_Size_Comparison[#Headers],0),FALSE)</f>
        <v>0.27837870355734956</v>
      </c>
      <c r="J68" s="127">
        <f>VLOOKUP(OPEX_Poles1715[[#This Row],[OPEX Category]],OPEX_CategoryComparisonBalanced[#All],MATCH(OPEX_Poles1715[#Headers],OPEX_CategoryComparisonBalanced[#Headers],0),FALSE)/VLOOKUP("Customer Count",Network_Size_Comparison[#All],MATCH(OPEX_Poles1715[#Headers],Network_Size_Comparison[#Headers],0),FALSE)</f>
        <v>90.743516335590158</v>
      </c>
      <c r="K68" s="127">
        <f>VLOOKUP(OPEX_Poles1715[[#This Row],[OPEX Category]],OPEX_CategoryComparisonBalanced[#All],MATCH(OPEX_Poles1715[#Headers],OPEX_CategoryComparisonBalanced[#Headers],0),FALSE)/VLOOKUP("Customer Count",Network_Size_Comparison[#All],MATCH(OPEX_Poles1715[#Headers],Network_Size_Comparison[#Headers],0),FALSE)</f>
        <v>0.14734537944244758</v>
      </c>
      <c r="L68" s="252">
        <f>VLOOKUP(OPEX_Poles1715[[#This Row],[OPEX Category]],OPEX_CategoryComparisonBalanced[#All],MATCH(OPEX_Poles1715[#Headers],OPEX_CategoryComparisonBalanced[#Headers],0),FALSE)/VLOOKUP("Customer Count",Network_Size_Comparison[#All],MATCH(OPEX_Poles1715[#Headers],Network_Size_Comparison[#Headers],0),FALSE)</f>
        <v>121.61939642369704</v>
      </c>
      <c r="M68" s="252">
        <f>VLOOKUP(OPEX_Poles1715[[#This Row],[OPEX Category]],OPEX_CategoryComparisonBalanced[#All],MATCH(OPEX_Poles1715[#Headers],OPEX_CategoryComparisonBalanced[#Headers],0),FALSE)/VLOOKUP("Customer Count",Network_Size_Comparison[#All],MATCH(OPEX_Poles1715[#Headers],Network_Size_Comparison[#Headers],0),FALSE)</f>
        <v>156.75388872387617</v>
      </c>
    </row>
    <row r="69" spans="1:13">
      <c r="A69" s="10" t="s">
        <v>1367</v>
      </c>
      <c r="B69" s="127">
        <f>VLOOKUP(OPEX_Poles1715[[#This Row],[OPEX Category]],OPEX_CategoryComparisonBalanced[#All],MATCH(OPEX_Poles1715[#Headers],OPEX_CategoryComparisonBalanced[#Headers],0),FALSE)/VLOOKUP("Customer Count",Network_Size_Comparison[#All],MATCH(OPEX_Poles1715[#Headers],Network_Size_Comparison[#Headers],0),FALSE)</f>
        <v>807.67795906310073</v>
      </c>
      <c r="C69" s="127">
        <f>VLOOKUP(OPEX_Poles1715[[#This Row],[OPEX Category]],OPEX_CategoryComparisonBalanced[#All],MATCH(OPEX_Poles1715[#Headers],OPEX_CategoryComparisonBalanced[#Headers],0),FALSE)/VLOOKUP("Customer Count",Network_Size_Comparison[#All],MATCH(OPEX_Poles1715[#Headers],Network_Size_Comparison[#Headers],0),FALSE)</f>
        <v>1006.4734036719582</v>
      </c>
      <c r="D69" s="127">
        <f>VLOOKUP(OPEX_Poles1715[[#This Row],[OPEX Category]],OPEX_CategoryComparisonBalanced[#All],MATCH(OPEX_Poles1715[#Headers],OPEX_CategoryComparisonBalanced[#Headers],0),FALSE)/VLOOKUP("Customer Count",Network_Size_Comparison[#All],MATCH(OPEX_Poles1715[#Headers],Network_Size_Comparison[#Headers],0),FALSE)</f>
        <v>596.80268037196754</v>
      </c>
      <c r="E69" s="127">
        <f>VLOOKUP(OPEX_Poles1715[[#This Row],[OPEX Category]],OPEX_CategoryComparisonBalanced[#All],MATCH(OPEX_Poles1715[#Headers],OPEX_CategoryComparisonBalanced[#Headers],0),FALSE)/VLOOKUP("Customer Count",Network_Size_Comparison[#All],MATCH(OPEX_Poles1715[#Headers],Network_Size_Comparison[#Headers],0),FALSE)</f>
        <v>293.25174124865867</v>
      </c>
      <c r="F69" s="127">
        <f>VLOOKUP(OPEX_Poles1715[[#This Row],[OPEX Category]],OPEX_CategoryComparisonBalanced[#All],MATCH(OPEX_Poles1715[#Headers],OPEX_CategoryComparisonBalanced[#Headers],0),FALSE)/VLOOKUP("Customer Count",Network_Size_Comparison[#All],MATCH(OPEX_Poles1715[#Headers],Network_Size_Comparison[#Headers],0),FALSE)</f>
        <v>273.57298617491909</v>
      </c>
      <c r="G69" s="127">
        <f>VLOOKUP(OPEX_Poles1715[[#This Row],[OPEX Category]],OPEX_CategoryComparisonBalanced[#All],MATCH(OPEX_Poles1715[#Headers],OPEX_CategoryComparisonBalanced[#Headers],0),FALSE)/VLOOKUP("Customer Count",Network_Size_Comparison[#All],MATCH(OPEX_Poles1715[#Headers],Network_Size_Comparison[#Headers],0),FALSE)</f>
        <v>407.96096952154386</v>
      </c>
      <c r="H69" s="127">
        <f>VLOOKUP(OPEX_Poles1715[[#This Row],[OPEX Category]],OPEX_CategoryComparisonBalanced[#All],MATCH(OPEX_Poles1715[#Headers],OPEX_CategoryComparisonBalanced[#Headers],0),FALSE)/VLOOKUP("Customer Count",Network_Size_Comparison[#All],MATCH(OPEX_Poles1715[#Headers],Network_Size_Comparison[#Headers],0),FALSE)</f>
        <v>607.61043639833429</v>
      </c>
      <c r="I69" s="127">
        <f>VLOOKUP(OPEX_Poles1715[[#This Row],[OPEX Category]],OPEX_CategoryComparisonBalanced[#All],MATCH(OPEX_Poles1715[#Headers],OPEX_CategoryComparisonBalanced[#Headers],0),FALSE)/VLOOKUP("Customer Count",Network_Size_Comparison[#All],MATCH(OPEX_Poles1715[#Headers],Network_Size_Comparison[#Headers],0),FALSE)</f>
        <v>380.3443403014511</v>
      </c>
      <c r="J69" s="127">
        <f>VLOOKUP(OPEX_Poles1715[[#This Row],[OPEX Category]],OPEX_CategoryComparisonBalanced[#All],MATCH(OPEX_Poles1715[#Headers],OPEX_CategoryComparisonBalanced[#Headers],0),FALSE)/VLOOKUP("Customer Count",Network_Size_Comparison[#All],MATCH(OPEX_Poles1715[#Headers],Network_Size_Comparison[#Headers],0),FALSE)</f>
        <v>283.91018323981837</v>
      </c>
      <c r="K69" s="127">
        <f>VLOOKUP(OPEX_Poles1715[[#This Row],[OPEX Category]],OPEX_CategoryComparisonBalanced[#All],MATCH(OPEX_Poles1715[#Headers],OPEX_CategoryComparisonBalanced[#Headers],0),FALSE)/VLOOKUP("Customer Count",Network_Size_Comparison[#All],MATCH(OPEX_Poles1715[#Headers],Network_Size_Comparison[#Headers],0),FALSE)</f>
        <v>339.34970740079626</v>
      </c>
      <c r="L69" s="252">
        <f>VLOOKUP(OPEX_Poles1715[[#This Row],[OPEX Category]],OPEX_CategoryComparisonBalanced[#All],MATCH(OPEX_Poles1715[#Headers],OPEX_CategoryComparisonBalanced[#Headers],0),FALSE)/VLOOKUP("Customer Count",Network_Size_Comparison[#All],MATCH(OPEX_Poles1715[#Headers],Network_Size_Comparison[#Headers],0),FALSE)</f>
        <v>546.84939275850093</v>
      </c>
      <c r="M69" s="252">
        <f>VLOOKUP(OPEX_Poles1715[[#This Row],[OPEX Category]],OPEX_CategoryComparisonBalanced[#All],MATCH(OPEX_Poles1715[#Headers],OPEX_CategoryComparisonBalanced[#Headers],0),FALSE)/VLOOKUP("Customer Count",Network_Size_Comparison[#All],MATCH(OPEX_Poles1715[#Headers],Network_Size_Comparison[#Headers],0),FALSE)</f>
        <v>524.30698742606114</v>
      </c>
    </row>
    <row r="70" spans="1:13">
      <c r="A70" s="32" t="s">
        <v>1368</v>
      </c>
      <c r="B70" s="127">
        <f>VLOOKUP(OPEX_Poles1715[[#This Row],[OPEX Category]],OPEX_CategoryComparisonBalanced[#All],MATCH(OPEX_Poles1715[#Headers],OPEX_CategoryComparisonBalanced[#Headers],0),FALSE)/VLOOKUP("Customer Count",Network_Size_Comparison[#All],MATCH(OPEX_Poles1715[#Headers],Network_Size_Comparison[#Headers],0),FALSE)</f>
        <v>299.27718551019444</v>
      </c>
      <c r="C70" s="127">
        <f>VLOOKUP(OPEX_Poles1715[[#This Row],[OPEX Category]],OPEX_CategoryComparisonBalanced[#All],MATCH(OPEX_Poles1715[#Headers],OPEX_CategoryComparisonBalanced[#Headers],0),FALSE)/VLOOKUP("Customer Count",Network_Size_Comparison[#All],MATCH(OPEX_Poles1715[#Headers],Network_Size_Comparison[#Headers],0),FALSE)</f>
        <v>453.43813563496224</v>
      </c>
      <c r="D70" s="127">
        <f>VLOOKUP(OPEX_Poles1715[[#This Row],[OPEX Category]],OPEX_CategoryComparisonBalanced[#All],MATCH(OPEX_Poles1715[#Headers],OPEX_CategoryComparisonBalanced[#Headers],0),FALSE)/VLOOKUP("Customer Count",Network_Size_Comparison[#All],MATCH(OPEX_Poles1715[#Headers],Network_Size_Comparison[#Headers],0),FALSE)</f>
        <v>309.79011292054577</v>
      </c>
      <c r="E70" s="127">
        <f>VLOOKUP(OPEX_Poles1715[[#This Row],[OPEX Category]],OPEX_CategoryComparisonBalanced[#All],MATCH(OPEX_Poles1715[#Headers],OPEX_CategoryComparisonBalanced[#Headers],0),FALSE)/VLOOKUP("Customer Count",Network_Size_Comparison[#All],MATCH(OPEX_Poles1715[#Headers],Network_Size_Comparison[#Headers],0),FALSE)</f>
        <v>148.93243650129392</v>
      </c>
      <c r="F70" s="127">
        <f>VLOOKUP(OPEX_Poles1715[[#This Row],[OPEX Category]],OPEX_CategoryComparisonBalanced[#All],MATCH(OPEX_Poles1715[#Headers],OPEX_CategoryComparisonBalanced[#Headers],0),FALSE)/VLOOKUP("Customer Count",Network_Size_Comparison[#All],MATCH(OPEX_Poles1715[#Headers],Network_Size_Comparison[#Headers],0),FALSE)</f>
        <v>160.1519295462775</v>
      </c>
      <c r="G70" s="127">
        <f>VLOOKUP(OPEX_Poles1715[[#This Row],[OPEX Category]],OPEX_CategoryComparisonBalanced[#All],MATCH(OPEX_Poles1715[#Headers],OPEX_CategoryComparisonBalanced[#Headers],0),FALSE)/VLOOKUP("Customer Count",Network_Size_Comparison[#All],MATCH(OPEX_Poles1715[#Headers],Network_Size_Comparison[#Headers],0),FALSE)</f>
        <v>446.80373251462362</v>
      </c>
      <c r="H70" s="127">
        <f>VLOOKUP(OPEX_Poles1715[[#This Row],[OPEX Category]],OPEX_CategoryComparisonBalanced[#All],MATCH(OPEX_Poles1715[#Headers],OPEX_CategoryComparisonBalanced[#Headers],0),FALSE)/VLOOKUP("Customer Count",Network_Size_Comparison[#All],MATCH(OPEX_Poles1715[#Headers],Network_Size_Comparison[#Headers],0),FALSE)</f>
        <v>446.80373251462362</v>
      </c>
      <c r="I70" s="127">
        <f>VLOOKUP(OPEX_Poles1715[[#This Row],[OPEX Category]],OPEX_CategoryComparisonBalanced[#All],MATCH(OPEX_Poles1715[#Headers],OPEX_CategoryComparisonBalanced[#Headers],0),FALSE)/VLOOKUP("Customer Count",Network_Size_Comparison[#All],MATCH(OPEX_Poles1715[#Headers],Network_Size_Comparison[#Headers],0),FALSE)</f>
        <v>287.32574790685163</v>
      </c>
      <c r="J70" s="127">
        <f>VLOOKUP(OPEX_Poles1715[[#This Row],[OPEX Category]],OPEX_CategoryComparisonBalanced[#All],MATCH(OPEX_Poles1715[#Headers],OPEX_CategoryComparisonBalanced[#Headers],0),FALSE)/VLOOKUP("Customer Count",Network_Size_Comparison[#All],MATCH(OPEX_Poles1715[#Headers],Network_Size_Comparison[#Headers],0),FALSE)</f>
        <v>154.25836005269556</v>
      </c>
      <c r="K70" s="127">
        <f>VLOOKUP(OPEX_Poles1715[[#This Row],[OPEX Category]],OPEX_CategoryComparisonBalanced[#All],MATCH(OPEX_Poles1715[#Headers],OPEX_CategoryComparisonBalanced[#Headers],0),FALSE)/VLOOKUP("Customer Count",Network_Size_Comparison[#All],MATCH(OPEX_Poles1715[#Headers],Network_Size_Comparison[#Headers],0),FALSE)</f>
        <v>222.1837833923027</v>
      </c>
      <c r="L70" s="252">
        <f>VLOOKUP(OPEX_Poles1715[[#This Row],[OPEX Category]],OPEX_CategoryComparisonBalanced[#All],MATCH(OPEX_Poles1715[#Headers],OPEX_CategoryComparisonBalanced[#Headers],0),FALSE)/VLOOKUP("Customer Count",Network_Size_Comparison[#All],MATCH(OPEX_Poles1715[#Headers],Network_Size_Comparison[#Headers],0),FALSE)</f>
        <v>402.12335926316126</v>
      </c>
      <c r="M70" s="252">
        <f>VLOOKUP(OPEX_Poles1715[[#This Row],[OPEX Category]],OPEX_CategoryComparisonBalanced[#All],MATCH(OPEX_Poles1715[#Headers],OPEX_CategoryComparisonBalanced[#Headers],0),FALSE)/VLOOKUP("Customer Count",Network_Size_Comparison[#All],MATCH(OPEX_Poles1715[#Headers],Network_Size_Comparison[#Headers],0),FALSE)</f>
        <v>385.54689803235271</v>
      </c>
    </row>
    <row r="72" spans="1:13" ht="18.75">
      <c r="A72" s="77" t="s">
        <v>1377</v>
      </c>
    </row>
    <row r="73" spans="1:13" ht="30">
      <c r="A73" s="32" t="s">
        <v>1518</v>
      </c>
      <c r="B73" s="31" t="s">
        <v>574</v>
      </c>
      <c r="C73" s="31" t="s">
        <v>1147</v>
      </c>
      <c r="D73" s="31" t="s">
        <v>575</v>
      </c>
      <c r="E73" s="31" t="s">
        <v>310</v>
      </c>
      <c r="F73" s="31" t="s">
        <v>1674</v>
      </c>
      <c r="G73" s="131" t="s">
        <v>1560</v>
      </c>
      <c r="H73" s="31" t="s">
        <v>0</v>
      </c>
      <c r="I73" s="31" t="s">
        <v>1218</v>
      </c>
      <c r="J73" s="31" t="s">
        <v>1675</v>
      </c>
      <c r="K73" s="31" t="s">
        <v>1676</v>
      </c>
      <c r="L73" s="175" t="s">
        <v>1521</v>
      </c>
      <c r="M73" s="32" t="s">
        <v>1164</v>
      </c>
    </row>
    <row r="74" spans="1:13">
      <c r="A74" s="32" t="s">
        <v>1354</v>
      </c>
      <c r="B74" s="127">
        <f>SUMIFS('2.1 Expenditure'!$AC:$AC,'2.1 Expenditure'!$AD:$AD,Table530[#Headers],'2.1 Expenditure'!$Q:$Q,Table530[[#This Row],[CAPEX Category]])*1000</f>
        <v>2856178250</v>
      </c>
      <c r="C74" s="127">
        <f>SUMIFS('2.1 Expenditure'!$AC:$AC,'2.1 Expenditure'!$AD:$AD,Table530[#Headers],'2.1 Expenditure'!$Q:$Q,Table530[[#This Row],[CAPEX Category]])*1000</f>
        <v>717632890.13999999</v>
      </c>
      <c r="D74" s="127">
        <f>SUMIFS('2.1 Expenditure'!$AC:$AC,'2.1 Expenditure'!$AD:$AD,Table530[#Headers],'2.1 Expenditure'!$Q:$Q,Table530[[#This Row],[CAPEX Category]])*1000</f>
        <v>636564052.51999998</v>
      </c>
      <c r="E74" s="127">
        <f>SUMIFS('2.1 Expenditure'!$AC:$AC,'2.1 Expenditure'!$AD:$AD,Table530[#Headers],'2.1 Expenditure'!$Q:$Q,Table530[[#This Row],[CAPEX Category]])*1000</f>
        <v>338541800.00000006</v>
      </c>
      <c r="F74" s="127">
        <f>SUMIFS('2.1 Expenditure'!$AC:$AC,'2.1 Expenditure'!$AD:$AD,Table530[#Headers],'2.1 Expenditure'!$Q:$Q,Table530[[#This Row],[CAPEX Category]])*1000</f>
        <v>408432328.34281641</v>
      </c>
      <c r="G74" s="127">
        <f>SUMIFS('2.1 Expenditure'!$AC:$AC,'2.1 Expenditure'!$AD:$AD,Table530[#Headers],'2.1 Expenditure'!$Q:$Q,Table530[[#This Row],[CAPEX Category]])*1000*Table530[[#This Row],[EE Cost Multiplier]]</f>
        <v>594089260.94075775</v>
      </c>
      <c r="H74" s="127">
        <f>SUMIFS('2.1 Expenditure'!$AC:$AC,'2.1 Expenditure'!$AD:$AD,Table530[#Headers],'2.1 Expenditure'!$Q:$Q,Table530[[#This Row],[CAPEX Category]])*1000*Table530[[#This Row],[EE Cost Multiplier]]</f>
        <v>594089260.94075775</v>
      </c>
      <c r="I74" s="127">
        <f>SUMIFS('2.1 Expenditure'!$AC:$AC,'2.1 Expenditure'!$AD:$AD,Table530[#Headers],'2.1 Expenditure'!$Q:$Q,Table530[[#This Row],[CAPEX Category]])*1000</f>
        <v>271500000</v>
      </c>
      <c r="J74" s="127">
        <f>Table530[[#This Row],[Powercor]]+Table530[[#This Row],[AusNet]]</f>
        <v>746974128.34281647</v>
      </c>
      <c r="K74" s="127">
        <f>Table530[[#This Row],[Powercor]]+Table530[[#This Row],[SA Power]]</f>
        <v>610041800</v>
      </c>
      <c r="L74" s="176">
        <v>1</v>
      </c>
    </row>
    <row r="75" spans="1:13">
      <c r="A75" s="32" t="s">
        <v>1355</v>
      </c>
      <c r="B75" s="127">
        <f>SUMIFS('2.1 Expenditure'!$AC:$AC,'2.1 Expenditure'!$AD:$AD,Table530[#Headers],'2.1 Expenditure'!$Q:$Q,Table530[[#This Row],[CAPEX Category]])*1000</f>
        <v>379956420</v>
      </c>
      <c r="C75" s="127">
        <f>SUMIFS('2.1 Expenditure'!$AC:$AC,'2.1 Expenditure'!$AD:$AD,Table530[#Headers],'2.1 Expenditure'!$Q:$Q,Table530[[#This Row],[CAPEX Category]])*1000</f>
        <v>587163670.38999999</v>
      </c>
      <c r="D75" s="127">
        <f>SUMIFS('2.1 Expenditure'!$AC:$AC,'2.1 Expenditure'!$AD:$AD,Table530[#Headers],'2.1 Expenditure'!$Q:$Q,Table530[[#This Row],[CAPEX Category]])*1000</f>
        <v>80077844.999999985</v>
      </c>
      <c r="E75" s="127">
        <f>SUMIFS('2.1 Expenditure'!$AC:$AC,'2.1 Expenditure'!$AD:$AD,Table530[#Headers],'2.1 Expenditure'!$Q:$Q,Table530[[#This Row],[CAPEX Category]])*1000</f>
        <v>417248000</v>
      </c>
      <c r="F75" s="127">
        <f>SUMIFS('2.1 Expenditure'!$AC:$AC,'2.1 Expenditure'!$AD:$AD,Table530[#Headers],'2.1 Expenditure'!$Q:$Q,Table530[[#This Row],[CAPEX Category]])*1000</f>
        <v>311862065.71870989</v>
      </c>
      <c r="G75" s="127">
        <f>SUMIFS('2.1 Expenditure'!$AC:$AC,'2.1 Expenditure'!$AD:$AD,Table530[#Headers],'2.1 Expenditure'!$Q:$Q,Table530[[#This Row],[CAPEX Category]])*1000*Table530[[#This Row],[EE Cost Multiplier]]</f>
        <v>36543372</v>
      </c>
      <c r="H75" s="127">
        <f>SUMIFS('2.1 Expenditure'!$AC:$AC,'2.1 Expenditure'!$AD:$AD,Table530[#Headers],'2.1 Expenditure'!$Q:$Q,Table530[[#This Row],[CAPEX Category]])*1000*Table530[[#This Row],[EE Cost Multiplier]]</f>
        <v>436861970.11366755</v>
      </c>
      <c r="I75" s="127">
        <f>SUMIFS('2.1 Expenditure'!$AC:$AC,'2.1 Expenditure'!$AD:$AD,Table530[#Headers],'2.1 Expenditure'!$Q:$Q,Table530[[#This Row],[CAPEX Category]])*1000</f>
        <v>409220000</v>
      </c>
      <c r="J75" s="127">
        <f>Table530[[#This Row],[Powercor]]+Table530[[#This Row],[AusNet]]</f>
        <v>729110065.71870995</v>
      </c>
      <c r="K75" s="127">
        <f>Table530[[#This Row],[Powercor]]+Table530[[#This Row],[SA Power]]</f>
        <v>826468000</v>
      </c>
      <c r="L75" s="176">
        <v>1</v>
      </c>
    </row>
    <row r="76" spans="1:13">
      <c r="A76" s="32" t="s">
        <v>1356</v>
      </c>
      <c r="B76" s="127">
        <f>SUMIFS('2.1 Expenditure'!$AC:$AC,'2.1 Expenditure'!$AD:$AD,Table530[#Headers],'2.1 Expenditure'!$Q:$Q,Table530[[#This Row],[CAPEX Category]])*1000</f>
        <v>2414994000</v>
      </c>
      <c r="C76" s="127">
        <f>SUMIFS('2.1 Expenditure'!$AC:$AC,'2.1 Expenditure'!$AD:$AD,Table530[#Headers],'2.1 Expenditure'!$Q:$Q,Table530[[#This Row],[CAPEX Category]])*1000</f>
        <v>797568000</v>
      </c>
      <c r="D76" s="127">
        <f>SUMIFS('2.1 Expenditure'!$AC:$AC,'2.1 Expenditure'!$AD:$AD,Table530[#Headers],'2.1 Expenditure'!$Q:$Q,Table530[[#This Row],[CAPEX Category]])*1000</f>
        <v>1019316569.6</v>
      </c>
      <c r="E76" s="127">
        <f>SUMIFS('2.1 Expenditure'!$AC:$AC,'2.1 Expenditure'!$AD:$AD,Table530[#Headers],'2.1 Expenditure'!$Q:$Q,Table530[[#This Row],[CAPEX Category]])*1000</f>
        <v>163175800</v>
      </c>
      <c r="F76" s="127">
        <f>SUMIFS('2.1 Expenditure'!$AC:$AC,'2.1 Expenditure'!$AD:$AD,Table530[#Headers],'2.1 Expenditure'!$Q:$Q,Table530[[#This Row],[CAPEX Category]])*1000</f>
        <v>389624304.99999994</v>
      </c>
      <c r="G76" s="127">
        <f>SUMIFS('2.1 Expenditure'!$AC:$AC,'2.1 Expenditure'!$AD:$AD,Table530[#Headers],'2.1 Expenditure'!$Q:$Q,Table530[[#This Row],[CAPEX Category]])*1000*Table530[[#This Row],[EE Cost Multiplier]]</f>
        <v>1228181730.0232682</v>
      </c>
      <c r="H76" s="127">
        <f>SUMIFS('2.1 Expenditure'!$AC:$AC,'2.1 Expenditure'!$AD:$AD,Table530[#Headers],'2.1 Expenditure'!$Q:$Q,Table530[[#This Row],[CAPEX Category]])*1000*Table530[[#This Row],[EE Cost Multiplier]]</f>
        <v>1228181730.0232682</v>
      </c>
      <c r="I76" s="127">
        <f>SUMIFS('2.1 Expenditure'!$AC:$AC,'2.1 Expenditure'!$AD:$AD,Table530[#Headers],'2.1 Expenditure'!$Q:$Q,Table530[[#This Row],[CAPEX Category]])*1000</f>
        <v>513450000</v>
      </c>
      <c r="J76" s="127">
        <f>Table530[[#This Row],[Powercor]]+Table530[[#This Row],[AusNet]]</f>
        <v>552800105</v>
      </c>
      <c r="K76" s="127">
        <f>Table530[[#This Row],[Powercor]]+Table530[[#This Row],[SA Power]]</f>
        <v>676625800</v>
      </c>
      <c r="L76" s="176">
        <v>1</v>
      </c>
    </row>
    <row r="77" spans="1:13">
      <c r="A77" s="32" t="s">
        <v>1357</v>
      </c>
      <c r="B77" s="127">
        <f>SUMIFS('2.1 Expenditure'!$AC:$AC,'2.1 Expenditure'!$AD:$AD,Table530[#Headers],'2.1 Expenditure'!$Q:$Q,Table530[[#This Row],[CAPEX Category]])*1000</f>
        <v>733894419.99999988</v>
      </c>
      <c r="C77" s="127">
        <f>SUMIFS('2.1 Expenditure'!$AC:$AC,'2.1 Expenditure'!$AD:$AD,Table530[#Headers],'2.1 Expenditure'!$Q:$Q,Table530[[#This Row],[CAPEX Category]])*1000</f>
        <v>490886000</v>
      </c>
      <c r="D77" s="127">
        <f>SUMIFS('2.1 Expenditure'!$AC:$AC,'2.1 Expenditure'!$AD:$AD,Table530[#Headers],'2.1 Expenditure'!$Q:$Q,Table530[[#This Row],[CAPEX Category]])*1000</f>
        <v>246354602.79903856</v>
      </c>
      <c r="E77" s="127">
        <f>SUMIFS('2.1 Expenditure'!$AC:$AC,'2.1 Expenditure'!$AD:$AD,Table530[#Headers],'2.1 Expenditure'!$Q:$Q,Table530[[#This Row],[CAPEX Category]])*1000</f>
        <v>118527299.99999999</v>
      </c>
      <c r="F77" s="127">
        <f>SUMIFS('2.1 Expenditure'!$AC:$AC,'2.1 Expenditure'!$AD:$AD,Table530[#Headers],'2.1 Expenditure'!$Q:$Q,Table530[[#This Row],[CAPEX Category]])*1000</f>
        <v>202093512.22054228</v>
      </c>
      <c r="G77" s="127">
        <f>SUMIFS('2.1 Expenditure'!$AC:$AC,'2.1 Expenditure'!$AD:$AD,Table530[#Headers],'2.1 Expenditure'!$Q:$Q,Table530[[#This Row],[CAPEX Category]])*1000*Table530[[#This Row],[EE Cost Multiplier]]</f>
        <v>551042002.72876906</v>
      </c>
      <c r="H77" s="127">
        <f>SUMIFS('2.1 Expenditure'!$AC:$AC,'2.1 Expenditure'!$AD:$AD,Table530[#Headers],'2.1 Expenditure'!$Q:$Q,Table530[[#This Row],[CAPEX Category]])*1000*Table530[[#This Row],[EE Cost Multiplier]]</f>
        <v>568017740.03824413</v>
      </c>
      <c r="I77" s="127">
        <f>SUMIFS('2.1 Expenditure'!$AC:$AC,'2.1 Expenditure'!$AD:$AD,Table530[#Headers],'2.1 Expenditure'!$Q:$Q,Table530[[#This Row],[CAPEX Category]])*1000</f>
        <v>290634000</v>
      </c>
      <c r="J77" s="127">
        <f>Table530[[#This Row],[Powercor]]+Table530[[#This Row],[AusNet]]</f>
        <v>320620812.22054225</v>
      </c>
      <c r="K77" s="127">
        <f>Table530[[#This Row],[Powercor]]+Table530[[#This Row],[SA Power]]</f>
        <v>409161300</v>
      </c>
      <c r="L77" s="176">
        <v>1</v>
      </c>
    </row>
    <row r="78" spans="1:13">
      <c r="A78" s="10" t="s">
        <v>1358</v>
      </c>
      <c r="B78" s="127">
        <f>SUMIFS('2.1 Expenditure'!$AC:$AC,'2.1 Expenditure'!$AD:$AD,Table530[#Headers],'2.1 Expenditure'!$Q:$Q,Table530[[#This Row],[CAPEX Category]])*1000</f>
        <v>841412850</v>
      </c>
      <c r="C78" s="127">
        <f>SUMIFS('2.1 Expenditure'!$AC:$AC,'2.1 Expenditure'!$AD:$AD,Table530[#Headers],'2.1 Expenditure'!$Q:$Q,Table530[[#This Row],[CAPEX Category]])*1000</f>
        <v>524658559.92000002</v>
      </c>
      <c r="D78" s="127">
        <f>SUMIFS('2.1 Expenditure'!$AC:$AC,'2.1 Expenditure'!$AD:$AD,Table530[#Headers],'2.1 Expenditure'!$Q:$Q,Table530[[#This Row],[CAPEX Category]])*1000</f>
        <v>201956465.0450331</v>
      </c>
      <c r="E78" s="127">
        <f>SUMIFS('2.1 Expenditure'!$AC:$AC,'2.1 Expenditure'!$AD:$AD,Table530[#Headers],'2.1 Expenditure'!$Q:$Q,Table530[[#This Row],[CAPEX Category]])*1000</f>
        <v>124385600</v>
      </c>
      <c r="F78" s="127">
        <f>SUMIFS('2.1 Expenditure'!$AC:$AC,'2.1 Expenditure'!$AD:$AD,Table530[#Headers],'2.1 Expenditure'!$Q:$Q,Table530[[#This Row],[CAPEX Category]])*1000</f>
        <v>103771978.55479565</v>
      </c>
      <c r="G78" s="127">
        <f>SUMIFS('2.1 Expenditure'!$AC:$AC,'2.1 Expenditure'!$AD:$AD,Table530[#Headers],'2.1 Expenditure'!$Q:$Q,Table530[[#This Row],[CAPEX Category]])*1000*Table530[[#This Row],[EE Cost Multiplier]]</f>
        <v>416187351.87425214</v>
      </c>
      <c r="H78" s="127">
        <f>SUMIFS('2.1 Expenditure'!$AC:$AC,'2.1 Expenditure'!$AD:$AD,Table530[#Headers],'2.1 Expenditure'!$Q:$Q,Table530[[#This Row],[CAPEX Category]])*1000*Table530[[#This Row],[EE Cost Multiplier]]</f>
        <v>416187351.87425214</v>
      </c>
      <c r="I78" s="127">
        <f>SUMIFS('2.1 Expenditure'!$AC:$AC,'2.1 Expenditure'!$AD:$AD,Table530[#Headers],'2.1 Expenditure'!$Q:$Q,Table530[[#This Row],[CAPEX Category]])*1000</f>
        <v>53201000</v>
      </c>
      <c r="J78" s="127">
        <f>Table530[[#This Row],[Powercor]]+Table530[[#This Row],[AusNet]]</f>
        <v>228157578.55479565</v>
      </c>
      <c r="K78" s="127">
        <f>Table530[[#This Row],[Powercor]]+Table530[[#This Row],[SA Power]]</f>
        <v>177586600</v>
      </c>
      <c r="L78" s="176">
        <v>1</v>
      </c>
    </row>
    <row r="79" spans="1:13">
      <c r="A79" s="32" t="s">
        <v>1359</v>
      </c>
      <c r="B79" s="127">
        <f>SUMIFS('2.1 Expenditure'!$AC:$AC,'2.1 Expenditure'!$AD:$AD,Table530[#Headers],'2.1 Expenditure'!$Q:$Q,Table530[[#This Row],[CAPEX Category]])*1000</f>
        <v>149796770</v>
      </c>
      <c r="C79" s="127">
        <f>SUMIFS('2.1 Expenditure'!$AC:$AC,'2.1 Expenditure'!$AD:$AD,Table530[#Headers],'2.1 Expenditure'!$Q:$Q,Table530[[#This Row],[CAPEX Category]])*1000</f>
        <v>592163440.10000002</v>
      </c>
      <c r="D79" s="127">
        <f>SUMIFS('2.1 Expenditure'!$AC:$AC,'2.1 Expenditure'!$AD:$AD,Table530[#Headers],'2.1 Expenditure'!$Q:$Q,Table530[[#This Row],[CAPEX Category]])*1000</f>
        <v>108457902.51768017</v>
      </c>
      <c r="E79" s="127">
        <f>SUMIFS('2.1 Expenditure'!$AC:$AC,'2.1 Expenditure'!$AD:$AD,Table530[#Headers],'2.1 Expenditure'!$Q:$Q,Table530[[#This Row],[CAPEX Category]])*1000</f>
        <v>120820200</v>
      </c>
      <c r="F79" s="127">
        <f>SUMIFS('2.1 Expenditure'!$AC:$AC,'2.1 Expenditure'!$AD:$AD,Table530[#Headers],'2.1 Expenditure'!$Q:$Q,Table530[[#This Row],[CAPEX Category]])*1000</f>
        <v>50624011.899059005</v>
      </c>
      <c r="G79" s="127">
        <f>SUMIFS('2.1 Expenditure'!$AC:$AC,'2.1 Expenditure'!$AD:$AD,Table530[#Headers],'2.1 Expenditure'!$Q:$Q,Table530[[#This Row],[CAPEX Category]])*1000*Table530[[#This Row],[EE Cost Multiplier]]</f>
        <v>459600247.97758842</v>
      </c>
      <c r="H79" s="127">
        <f>SUMIFS('2.1 Expenditure'!$AC:$AC,'2.1 Expenditure'!$AD:$AD,Table530[#Headers],'2.1 Expenditure'!$Q:$Q,Table530[[#This Row],[CAPEX Category]])*1000*Table530[[#This Row],[EE Cost Multiplier]]</f>
        <v>459600247.97758842</v>
      </c>
      <c r="I79" s="127">
        <f>SUMIFS('2.1 Expenditure'!$AC:$AC,'2.1 Expenditure'!$AD:$AD,Table530[#Headers],'2.1 Expenditure'!$Q:$Q,Table530[[#This Row],[CAPEX Category]])*1000</f>
        <v>7012000</v>
      </c>
      <c r="J79" s="127">
        <f>Table530[[#This Row],[Powercor]]+Table530[[#This Row],[AusNet]]</f>
        <v>171444211.899059</v>
      </c>
      <c r="K79" s="127">
        <f>Table530[[#This Row],[Powercor]]+Table530[[#This Row],[SA Power]]</f>
        <v>127832200</v>
      </c>
      <c r="L79" s="176">
        <v>1</v>
      </c>
    </row>
    <row r="80" spans="1:13">
      <c r="A80" s="32" t="s">
        <v>1360</v>
      </c>
      <c r="B80" s="127">
        <f>SUMIFS('2.1 Expenditure'!$AC:$AC,'2.1 Expenditure'!$AD:$AD,Table530[#Headers],'2.1 Expenditure'!$Q:$Q,Table530[[#This Row],[CAPEX Category]])*1000</f>
        <v>-173916990.00000003</v>
      </c>
      <c r="C80" s="127">
        <f>SUMIFS('2.1 Expenditure'!$AC:$AC,'2.1 Expenditure'!$AD:$AD,Table530[#Headers],'2.1 Expenditure'!$Q:$Q,Table530[[#This Row],[CAPEX Category]])*1000</f>
        <v>-57636167</v>
      </c>
      <c r="D80" s="127">
        <f>SUMIFS('2.1 Expenditure'!$AC:$AC,'2.1 Expenditure'!$AD:$AD,Table530[#Headers],'2.1 Expenditure'!$Q:$Q,Table530[[#This Row],[CAPEX Category]])*1000</f>
        <v>489603490.32382351</v>
      </c>
      <c r="E80" s="127">
        <f>SUMIFS('2.1 Expenditure'!$AC:$AC,'2.1 Expenditure'!$AD:$AD,Table530[#Headers],'2.1 Expenditure'!$Q:$Q,Table530[[#This Row],[CAPEX Category]])*1000</f>
        <v>0</v>
      </c>
      <c r="F80" s="127">
        <f>SUMIFS('2.1 Expenditure'!$AC:$AC,'2.1 Expenditure'!$AD:$AD,Table530[#Headers],'2.1 Expenditure'!$Q:$Q,Table530[[#This Row],[CAPEX Category]])*1000</f>
        <v>77132903.471687198</v>
      </c>
      <c r="G80" s="127">
        <f>SUMIFS('2.1 Expenditure'!$AC:$AC,'2.1 Expenditure'!$AD:$AD,Table530[#Headers],'2.1 Expenditure'!$Q:$Q,Table530[[#This Row],[CAPEX Category]])*1000*Table530[[#This Row],[EE Cost Multiplier]]</f>
        <v>416693471.08939153</v>
      </c>
      <c r="H80" s="127">
        <f>SUMIFS('2.1 Expenditure'!$AC:$AC,'2.1 Expenditure'!$AD:$AD,Table530[#Headers],'2.1 Expenditure'!$Q:$Q,Table530[[#This Row],[CAPEX Category]])*1000*Table530[[#This Row],[EE Cost Multiplier]]</f>
        <v>-600864.33375091292</v>
      </c>
      <c r="I80" s="127">
        <f>SUMIFS('2.1 Expenditure'!$AC:$AC,'2.1 Expenditure'!$AD:$AD,Table530[#Headers],'2.1 Expenditure'!$Q:$Q,Table530[[#This Row],[CAPEX Category]])*1000</f>
        <v>5760000</v>
      </c>
      <c r="J80" s="127">
        <f>Table530[[#This Row],[Powercor]]+Table530[[#This Row],[AusNet]]</f>
        <v>77132903.471687198</v>
      </c>
      <c r="K80" s="127">
        <f>Table530[[#This Row],[Powercor]]+Table530[[#This Row],[SA Power]]</f>
        <v>5760000</v>
      </c>
      <c r="L80" s="176">
        <v>1</v>
      </c>
    </row>
    <row r="81" spans="1:13">
      <c r="A81" s="130" t="s">
        <v>1361</v>
      </c>
      <c r="B81" s="127">
        <f>SUMIFS('2.1 Expenditure'!$AC:$AC,'2.1 Expenditure'!$AD:$AD,Table530[#Headers],'2.1 Expenditure'!$Q:$Q,Table530[[#This Row],[CAPEX Category]])*1000</f>
        <v>7202315710</v>
      </c>
      <c r="C81" s="127">
        <f>SUMIFS('2.1 Expenditure'!$AC:$AC,'2.1 Expenditure'!$AD:$AD,Table530[#Headers],'2.1 Expenditure'!$Q:$Q,Table530[[#This Row],[CAPEX Category]])*1000</f>
        <v>3710072559.9999995</v>
      </c>
      <c r="D81" s="127">
        <f>SUMIFS('2.1 Expenditure'!$AC:$AC,'2.1 Expenditure'!$AD:$AD,Table530[#Headers],'2.1 Expenditure'!$Q:$Q,Table530[[#This Row],[CAPEX Category]])*1000</f>
        <v>2782330927.8055754</v>
      </c>
      <c r="E81" s="127">
        <f>SUMIFS('2.1 Expenditure'!$AC:$AC,'2.1 Expenditure'!$AD:$AD,Table530[#Headers],'2.1 Expenditure'!$Q:$Q,Table530[[#This Row],[CAPEX Category]])*1000</f>
        <v>1282698780</v>
      </c>
      <c r="F81" s="127">
        <f>SUMIFS('2.1 Expenditure'!$AC:$AC,'2.1 Expenditure'!$AD:$AD,Table530[#Headers],'2.1 Expenditure'!$Q:$Q,Table530[[#This Row],[CAPEX Category]])*1000</f>
        <v>1543541107.7470686</v>
      </c>
      <c r="G81" s="127">
        <f>SUMIFS('2.1 Expenditure'!$AC:$AC,'2.1 Expenditure'!$AD:$AD,Table530[#Headers],'2.1 Expenditure'!$Q:$Q,Table530[[#This Row],[CAPEX Category]])*1000*Table530[[#This Row],[EE Cost Multiplier]]</f>
        <v>3702337436.6340265</v>
      </c>
      <c r="H81" s="127">
        <f>SUMIFS('2.1 Expenditure'!$AC:$AC,'2.1 Expenditure'!$AD:$AD,Table530[#Headers],'2.1 Expenditure'!$Q:$Q,Table530[[#This Row],[CAPEX Category]])*1000*Table530[[#This Row],[EE Cost Multiplier]]</f>
        <v>3702337436.6340275</v>
      </c>
      <c r="I81" s="127">
        <f>SUMIFS('2.1 Expenditure'!$AC:$AC,'2.1 Expenditure'!$AD:$AD,Table530[#Headers],'2.1 Expenditure'!$Q:$Q,Table530[[#This Row],[CAPEX Category]])*1000</f>
        <v>1576554000</v>
      </c>
      <c r="J81" s="127">
        <f>Table530[[#This Row],[Powercor]]+Table530[[#This Row],[AusNet]]</f>
        <v>2826239887.7470684</v>
      </c>
      <c r="K81" s="127">
        <f>Table530[[#This Row],[Powercor]]+Table530[[#This Row],[SA Power]]</f>
        <v>2859252780</v>
      </c>
      <c r="L81" s="176">
        <v>1</v>
      </c>
    </row>
    <row r="82" spans="1:13">
      <c r="A82" s="32" t="s">
        <v>1362</v>
      </c>
      <c r="B82" s="127">
        <f>SUMIFS('2.1 Expenditure'!$AC:$AC,'2.1 Expenditure'!$AD:$AD,Table530[#Headers],'2.1 Expenditure'!$Q:$Q,Table530[[#This Row],[CAPEX Category]])*1000</f>
        <v>318374100</v>
      </c>
      <c r="C82" s="127">
        <f>SUMIFS('2.1 Expenditure'!$AC:$AC,'2.1 Expenditure'!$AD:$AD,Table530[#Headers],'2.1 Expenditure'!$Q:$Q,Table530[[#This Row],[CAPEX Category]])*1000</f>
        <v>343926000</v>
      </c>
      <c r="D82" s="127">
        <f>SUMIFS('2.1 Expenditure'!$AC:$AC,'2.1 Expenditure'!$AD:$AD,Table530[#Headers],'2.1 Expenditure'!$Q:$Q,Table530[[#This Row],[CAPEX Category]])*1000</f>
        <v>280554740.51999998</v>
      </c>
      <c r="E82" s="127">
        <f>SUMIFS('2.1 Expenditure'!$AC:$AC,'2.1 Expenditure'!$AD:$AD,Table530[#Headers],'2.1 Expenditure'!$Q:$Q,Table530[[#This Row],[CAPEX Category]])*1000</f>
        <v>133125684.75000001</v>
      </c>
      <c r="F82" s="127">
        <f>SUMIFS('2.1 Expenditure'!$AC:$AC,'2.1 Expenditure'!$AD:$AD,Table530[#Headers],'2.1 Expenditure'!$Q:$Q,Table530[[#This Row],[CAPEX Category]])*1000</f>
        <v>135651879.99999997</v>
      </c>
      <c r="G82" s="127">
        <f>SUMIFS('2.1 Expenditure'!$AC:$AC,'2.1 Expenditure'!$AD:$AD,Table530[#Headers],'2.1 Expenditure'!$Q:$Q,Table530[[#This Row],[CAPEX Category]])*1000*Table530[[#This Row],[EE Cost Multiplier]]</f>
        <v>400318598.11366749</v>
      </c>
      <c r="H82" s="127">
        <f>SUMIFS('2.1 Expenditure'!$AC:$AC,'2.1 Expenditure'!$AD:$AD,Table530[#Headers],'2.1 Expenditure'!$Q:$Q,Table530[[#This Row],[CAPEX Category]])*1000*Table530[[#This Row],[EE Cost Multiplier]]</f>
        <v>400318598.11366749</v>
      </c>
      <c r="I82" s="127">
        <f>SUMIFS('2.1 Expenditure'!$AC:$AC,'2.1 Expenditure'!$AD:$AD,Table530[#Headers],'2.1 Expenditure'!$Q:$Q,Table530[[#This Row],[CAPEX Category]])*1000</f>
        <v>355441000</v>
      </c>
      <c r="J82" s="127">
        <f>Table530[[#This Row],[Powercor]]+Table530[[#This Row],[AusNet]]</f>
        <v>268777564.75</v>
      </c>
      <c r="K82" s="127">
        <f>Table530[[#This Row],[Powercor]]+Table530[[#This Row],[SA Power]]</f>
        <v>488566684.75</v>
      </c>
      <c r="L82" s="176">
        <v>1</v>
      </c>
    </row>
    <row r="83" spans="1:13">
      <c r="L83"/>
    </row>
    <row r="84" spans="1:13" ht="18.75">
      <c r="A84" s="77" t="s">
        <v>1519</v>
      </c>
      <c r="L84"/>
    </row>
    <row r="85" spans="1:13" ht="30">
      <c r="A85" s="32" t="s">
        <v>1518</v>
      </c>
      <c r="B85" s="31" t="s">
        <v>574</v>
      </c>
      <c r="C85" s="31" t="s">
        <v>1147</v>
      </c>
      <c r="D85" s="31" t="s">
        <v>575</v>
      </c>
      <c r="E85" s="31" t="s">
        <v>310</v>
      </c>
      <c r="F85" s="31" t="s">
        <v>1674</v>
      </c>
      <c r="G85" s="131" t="s">
        <v>1560</v>
      </c>
      <c r="H85" s="31" t="s">
        <v>0</v>
      </c>
      <c r="I85" s="31" t="s">
        <v>1218</v>
      </c>
      <c r="J85" s="31" t="s">
        <v>1675</v>
      </c>
      <c r="K85" s="31" t="s">
        <v>1676</v>
      </c>
      <c r="L85" s="175" t="s">
        <v>1521</v>
      </c>
      <c r="M85" s="32" t="s">
        <v>1164</v>
      </c>
    </row>
    <row r="86" spans="1:13">
      <c r="A86" s="32" t="s">
        <v>1354</v>
      </c>
      <c r="B86" s="127">
        <f>VLOOKUP(Table53031[[#This Row],[CAPEX Category]],Table530[#All],MATCH(Table53031[#Headers],Table530[#Headers],0),FALSE)/VLOOKUP("Total Line Length",Network_Size_Comparison[#All],MATCH(Table53031[#Headers],Network_Size_Comparison[#Headers],0),FALSE)</f>
        <v>70447.897790392031</v>
      </c>
      <c r="C86" s="127">
        <f>VLOOKUP(Table53031[[#This Row],[CAPEX Category]],Table530[#All],MATCH(Table53031[#Headers],Table530[#Headers],0),FALSE)/VLOOKUP("Total Line Length",Network_Size_Comparison[#All],MATCH(Table53031[#Headers],Network_Size_Comparison[#Headers],0),FALSE)</f>
        <v>4409.6541367665259</v>
      </c>
      <c r="D86" s="127">
        <f>VLOOKUP(Table53031[[#This Row],[CAPEX Category]],Table530[#All],MATCH(Table53031[#Headers],Table530[#Headers],0),FALSE)/VLOOKUP("Total Line Length",Network_Size_Comparison[#All],MATCH(Table53031[#Headers],Network_Size_Comparison[#Headers],0),FALSE)</f>
        <v>14367.797671427619</v>
      </c>
      <c r="E86" s="127">
        <f>VLOOKUP(Table53031[[#This Row],[CAPEX Category]],Table530[#All],MATCH(Table53031[#Headers],Table530[#Headers],0),FALSE)/VLOOKUP("Total Line Length",Network_Size_Comparison[#All],MATCH(Table53031[#Headers],Network_Size_Comparison[#Headers],0),FALSE)</f>
        <v>4508.5867651960898</v>
      </c>
      <c r="F86" s="127">
        <f>VLOOKUP(Table53031[[#This Row],[CAPEX Category]],Table530[#All],MATCH(Table53031[#Headers],Table530[#Headers],0),FALSE)/VLOOKUP("Total Line Length",Network_Size_Comparison[#All],MATCH(Table53031[#Headers],Network_Size_Comparison[#Headers],0),FALSE)</f>
        <v>9154.3140413181791</v>
      </c>
      <c r="G86" s="127">
        <f>VLOOKUP(Table53031[[#This Row],[CAPEX Category]],Table530[#All],MATCH(Table53031[#Headers],Table530[#Headers],0),FALSE)/VLOOKUP("Total Line Length",Network_Size_Comparison[#All],MATCH(Table53031[#Headers],Network_Size_Comparison[#Headers],0),FALSE)</f>
        <v>3122.5436518599163</v>
      </c>
      <c r="H86" s="127">
        <f>VLOOKUP(Table53031[[#This Row],[CAPEX Category]],Table530[#All],MATCH(Table53031[#Headers],Table530[#Headers],0),FALSE)/VLOOKUP("Total Line Length",Network_Size_Comparison[#All],MATCH(Table53031[#Headers],Network_Size_Comparison[#Headers],0),FALSE)</f>
        <v>3071.4536693561936</v>
      </c>
      <c r="I86" s="127">
        <f>VLOOKUP(Table53031[[#This Row],[CAPEX Category]],Table530[#All],MATCH(Table53031[#Headers],Table530[#Headers],0),FALSE)/VLOOKUP("Total Line Length",Network_Size_Comparison[#All],MATCH(Table53031[#Headers],Network_Size_Comparison[#Headers],0),FALSE)</f>
        <v>3088.8997910989433</v>
      </c>
      <c r="J86" s="127">
        <f>VLOOKUP(Table53031[[#This Row],[CAPEX Category]],Table530[#All],MATCH(Table53031[#Headers],Table530[#Headers],0),FALSE)/VLOOKUP("Total Line Length",Network_Size_Comparison[#All],MATCH(Table53031[#Headers],Network_Size_Comparison[#Headers],0),FALSE)</f>
        <v>6240.1451854594088</v>
      </c>
      <c r="K86" s="127">
        <f>VLOOKUP(Table53031[[#This Row],[CAPEX Category]],Table530[#All],MATCH(Table53031[#Headers],Table530[#Headers],0),FALSE)/VLOOKUP("Total Line Length",Network_Size_Comparison[#All],MATCH(Table53031[#Headers],Network_Size_Comparison[#Headers],0),FALSE)</f>
        <v>3742.964248677662</v>
      </c>
      <c r="L86" s="176">
        <f>VLOOKUP(Table53031[[#This Row],[CAPEX Category]],Table530[#All],MATCH(Table53031[#Headers],Table530[#Headers],0),FALSE)</f>
        <v>1</v>
      </c>
    </row>
    <row r="87" spans="1:13">
      <c r="A87" s="32" t="s">
        <v>1355</v>
      </c>
      <c r="B87" s="127">
        <f>VLOOKUP(Table53031[[#This Row],[CAPEX Category]],Table530[#All],MATCH(Table53031[#Headers],Table530[#Headers],0),FALSE)/VLOOKUP("Total Line Length",Network_Size_Comparison[#All],MATCH(Table53031[#Headers],Network_Size_Comparison[#Headers],0),FALSE)</f>
        <v>9371.6598538495509</v>
      </c>
      <c r="C87" s="127">
        <f>VLOOKUP(Table53031[[#This Row],[CAPEX Category]],Table530[#All],MATCH(Table53031[#Headers],Table530[#Headers],0),FALSE)/VLOOKUP("Total Line Length",Network_Size_Comparison[#All],MATCH(Table53031[#Headers],Network_Size_Comparison[#Headers],0),FALSE)</f>
        <v>3607.957137512421</v>
      </c>
      <c r="D87" s="127">
        <f>VLOOKUP(Table53031[[#This Row],[CAPEX Category]],Table530[#All],MATCH(Table53031[#Headers],Table530[#Headers],0),FALSE)/VLOOKUP("Total Line Length",Network_Size_Comparison[#All],MATCH(Table53031[#Headers],Network_Size_Comparison[#Headers],0),FALSE)</f>
        <v>1807.4257733675483</v>
      </c>
      <c r="E87" s="127">
        <f>VLOOKUP(Table53031[[#This Row],[CAPEX Category]],Table530[#All],MATCH(Table53031[#Headers],Table530[#Headers],0),FALSE)/VLOOKUP("Total Line Length",Network_Size_Comparison[#All],MATCH(Table53031[#Headers],Network_Size_Comparison[#Headers],0),FALSE)</f>
        <v>5556.769682811806</v>
      </c>
      <c r="F87" s="127">
        <f>VLOOKUP(Table53031[[#This Row],[CAPEX Category]],Table530[#All],MATCH(Table53031[#Headers],Table530[#Headers],0),FALSE)/VLOOKUP("Total Line Length",Network_Size_Comparison[#All],MATCH(Table53031[#Headers],Network_Size_Comparison[#Headers],0),FALSE)</f>
        <v>6989.8563092367194</v>
      </c>
      <c r="G87" s="127">
        <f>VLOOKUP(Table53031[[#This Row],[CAPEX Category]],Table530[#All],MATCH(Table53031[#Headers],Table530[#Headers],0),FALSE)/VLOOKUP("Total Line Length",Network_Size_Comparison[#All],MATCH(Table53031[#Headers],Network_Size_Comparison[#Headers],0),FALSE)</f>
        <v>192.07260887944958</v>
      </c>
      <c r="H87" s="127">
        <f>VLOOKUP(Table53031[[#This Row],[CAPEX Category]],Table530[#All],MATCH(Table53031[#Headers],Table530[#Headers],0),FALSE)/VLOOKUP("Total Line Length",Network_Size_Comparison[#All],MATCH(Table53031[#Headers],Network_Size_Comparison[#Headers],0),FALSE)</f>
        <v>2258.5853495870606</v>
      </c>
      <c r="I87" s="127">
        <f>VLOOKUP(Table53031[[#This Row],[CAPEX Category]],Table530[#All],MATCH(Table53031[#Headers],Table530[#Headers],0),FALSE)/VLOOKUP("Total Line Length",Network_Size_Comparison[#All],MATCH(Table53031[#Headers],Network_Size_Comparison[#Headers],0),FALSE)</f>
        <v>4655.7626980239766</v>
      </c>
      <c r="J87" s="127">
        <f>VLOOKUP(Table53031[[#This Row],[CAPEX Category]],Table530[#All],MATCH(Table53031[#Headers],Table530[#Headers],0),FALSE)/VLOOKUP("Total Line Length",Network_Size_Comparison[#All],MATCH(Table53031[#Headers],Network_Size_Comparison[#Headers],0),FALSE)</f>
        <v>6090.9106401828913</v>
      </c>
      <c r="K87" s="127">
        <f>VLOOKUP(Table53031[[#This Row],[CAPEX Category]],Table530[#All],MATCH(Table53031[#Headers],Table530[#Headers],0),FALSE)/VLOOKUP("Total Line Length",Network_Size_Comparison[#All],MATCH(Table53031[#Headers],Network_Size_Comparison[#Headers],0),FALSE)</f>
        <v>5070.8659253777851</v>
      </c>
      <c r="L87" s="176">
        <f>VLOOKUP(Table53031[[#This Row],[CAPEX Category]],Table530[#All],MATCH(Table53031[#Headers],Table530[#Headers],0),FALSE)</f>
        <v>1</v>
      </c>
    </row>
    <row r="88" spans="1:13">
      <c r="A88" s="32" t="s">
        <v>1356</v>
      </c>
      <c r="B88" s="127">
        <f>VLOOKUP(Table53031[[#This Row],[CAPEX Category]],Table530[#All],MATCH(Table53031[#Headers],Table530[#Headers],0),FALSE)/VLOOKUP("Total Line Length",Network_Size_Comparison[#All],MATCH(Table53031[#Headers],Network_Size_Comparison[#Headers],0),FALSE)</f>
        <v>59566.047909093213</v>
      </c>
      <c r="C88" s="127">
        <f>VLOOKUP(Table53031[[#This Row],[CAPEX Category]],Table530[#All],MATCH(Table53031[#Headers],Table530[#Headers],0),FALSE)/VLOOKUP("Total Line Length",Network_Size_Comparison[#All],MATCH(Table53031[#Headers],Network_Size_Comparison[#Headers],0),FALSE)</f>
        <v>4900.8331124100059</v>
      </c>
      <c r="D88" s="127">
        <f>VLOOKUP(Table53031[[#This Row],[CAPEX Category]],Table530[#All],MATCH(Table53031[#Headers],Table530[#Headers],0),FALSE)/VLOOKUP("Total Line Length",Network_Size_Comparison[#All],MATCH(Table53031[#Headers],Network_Size_Comparison[#Headers],0),FALSE)</f>
        <v>23006.850885106072</v>
      </c>
      <c r="E88" s="127">
        <f>VLOOKUP(Table53031[[#This Row],[CAPEX Category]],Table530[#All],MATCH(Table53031[#Headers],Table530[#Headers],0),FALSE)/VLOOKUP("Total Line Length",Network_Size_Comparison[#All],MATCH(Table53031[#Headers],Network_Size_Comparison[#Headers],0),FALSE)</f>
        <v>2173.1208739372332</v>
      </c>
      <c r="F88" s="127">
        <f>VLOOKUP(Table53031[[#This Row],[CAPEX Category]],Table530[#All],MATCH(Table53031[#Headers],Table530[#Headers],0),FALSE)/VLOOKUP("Total Line Length",Network_Size_Comparison[#All],MATCH(Table53031[#Headers],Network_Size_Comparison[#Headers],0),FALSE)</f>
        <v>8732.7642759625069</v>
      </c>
      <c r="G88" s="127">
        <f>VLOOKUP(Table53031[[#This Row],[CAPEX Category]],Table530[#All],MATCH(Table53031[#Headers],Table530[#Headers],0),FALSE)/VLOOKUP("Total Line Length",Network_Size_Comparison[#All],MATCH(Table53031[#Headers],Network_Size_Comparison[#Headers],0),FALSE)</f>
        <v>6455.3448724886393</v>
      </c>
      <c r="H88" s="127">
        <f>VLOOKUP(Table53031[[#This Row],[CAPEX Category]],Table530[#All],MATCH(Table53031[#Headers],Table530[#Headers],0),FALSE)/VLOOKUP("Total Line Length",Network_Size_Comparison[#All],MATCH(Table53031[#Headers],Network_Size_Comparison[#Headers],0),FALSE)</f>
        <v>6349.7247456428559</v>
      </c>
      <c r="I88" s="127">
        <f>VLOOKUP(Table53031[[#This Row],[CAPEX Category]],Table530[#All],MATCH(Table53031[#Headers],Table530[#Headers],0),FALSE)/VLOOKUP("Total Line Length",Network_Size_Comparison[#All],MATCH(Table53031[#Headers],Network_Size_Comparison[#Headers],0),FALSE)</f>
        <v>5841.6044115644663</v>
      </c>
      <c r="J88" s="127">
        <f>VLOOKUP(Table53031[[#This Row],[CAPEX Category]],Table530[#All],MATCH(Table53031[#Headers],Table530[#Headers],0),FALSE)/VLOOKUP("Total Line Length",Network_Size_Comparison[#All],MATCH(Table53031[#Headers],Network_Size_Comparison[#Headers],0),FALSE)</f>
        <v>4618.0353279304836</v>
      </c>
      <c r="K88" s="127">
        <f>VLOOKUP(Table53031[[#This Row],[CAPEX Category]],Table530[#All],MATCH(Table53031[#Headers],Table530[#Headers],0),FALSE)/VLOOKUP("Total Line Length",Network_Size_Comparison[#All],MATCH(Table53031[#Headers],Network_Size_Comparison[#Headers],0),FALSE)</f>
        <v>4151.4961419576848</v>
      </c>
      <c r="L88" s="176">
        <f>VLOOKUP(Table53031[[#This Row],[CAPEX Category]],Table530[#All],MATCH(Table53031[#Headers],Table530[#Headers],0),FALSE)</f>
        <v>1</v>
      </c>
    </row>
    <row r="89" spans="1:13">
      <c r="A89" s="32" t="s">
        <v>1357</v>
      </c>
      <c r="B89" s="127">
        <f>VLOOKUP(Table53031[[#This Row],[CAPEX Category]],Table530[#All],MATCH(Table53031[#Headers],Table530[#Headers],0),FALSE)/VLOOKUP("Total Line Length",Network_Size_Comparison[#All],MATCH(Table53031[#Headers],Network_Size_Comparison[#Headers],0),FALSE)</f>
        <v>18101.572998498617</v>
      </c>
      <c r="C89" s="127">
        <f>VLOOKUP(Table53031[[#This Row],[CAPEX Category]],Table530[#All],MATCH(Table53031[#Headers],Table530[#Headers],0),FALSE)/VLOOKUP("Total Line Length",Network_Size_Comparison[#All],MATCH(Table53031[#Headers],Network_Size_Comparison[#Headers],0),FALSE)</f>
        <v>3016.3576813745012</v>
      </c>
      <c r="D89" s="127">
        <f>VLOOKUP(Table53031[[#This Row],[CAPEX Category]],Table530[#All],MATCH(Table53031[#Headers],Table530[#Headers],0),FALSE)/VLOOKUP("Total Line Length",Network_Size_Comparison[#All],MATCH(Table53031[#Headers],Network_Size_Comparison[#Headers],0),FALSE)</f>
        <v>5560.435080223594</v>
      </c>
      <c r="E89" s="127">
        <f>VLOOKUP(Table53031[[#This Row],[CAPEX Category]],Table530[#All],MATCH(Table53031[#Headers],Table530[#Headers],0),FALSE)/VLOOKUP("Total Line Length",Network_Size_Comparison[#All],MATCH(Table53031[#Headers],Network_Size_Comparison[#Headers],0),FALSE)</f>
        <v>1578.5070443130696</v>
      </c>
      <c r="F89" s="127">
        <f>VLOOKUP(Table53031[[#This Row],[CAPEX Category]],Table530[#All],MATCH(Table53031[#Headers],Table530[#Headers],0),FALSE)/VLOOKUP("Total Line Length",Network_Size_Comparison[#All],MATCH(Table53031[#Headers],Network_Size_Comparison[#Headers],0),FALSE)</f>
        <v>4529.5813974524626</v>
      </c>
      <c r="G89" s="127">
        <f>VLOOKUP(Table53031[[#This Row],[CAPEX Category]],Table530[#All],MATCH(Table53031[#Headers],Table530[#Headers],0),FALSE)/VLOOKUP("Total Line Length",Network_Size_Comparison[#All],MATCH(Table53031[#Headers],Network_Size_Comparison[#Headers],0),FALSE)</f>
        <v>2896.2865021397433</v>
      </c>
      <c r="H89" s="127">
        <f>VLOOKUP(Table53031[[#This Row],[CAPEX Category]],Table530[#All],MATCH(Table53031[#Headers],Table530[#Headers],0),FALSE)/VLOOKUP("Total Line Length",Network_Size_Comparison[#All],MATCH(Table53031[#Headers],Network_Size_Comparison[#Headers],0),FALSE)</f>
        <v>2936.663371320984</v>
      </c>
      <c r="I89" s="127">
        <f>VLOOKUP(Table53031[[#This Row],[CAPEX Category]],Table530[#All],MATCH(Table53031[#Headers],Table530[#Headers],0),FALSE)/VLOOKUP("Total Line Length",Network_Size_Comparison[#All],MATCH(Table53031[#Headers],Network_Size_Comparison[#Headers],0),FALSE)</f>
        <v>3306.5904305202589</v>
      </c>
      <c r="J89" s="127">
        <f>VLOOKUP(Table53031[[#This Row],[CAPEX Category]],Table530[#All],MATCH(Table53031[#Headers],Table530[#Headers],0),FALSE)/VLOOKUP("Total Line Length",Network_Size_Comparison[#All],MATCH(Table53031[#Headers],Network_Size_Comparison[#Headers],0),FALSE)</f>
        <v>2678.4333510649926</v>
      </c>
      <c r="K89" s="127">
        <f>VLOOKUP(Table53031[[#This Row],[CAPEX Category]],Table530[#All],MATCH(Table53031[#Headers],Table530[#Headers],0),FALSE)/VLOOKUP("Total Line Length",Network_Size_Comparison[#All],MATCH(Table53031[#Headers],Network_Size_Comparison[#Headers],0),FALSE)</f>
        <v>2510.4445594424437</v>
      </c>
      <c r="L89" s="176">
        <f>VLOOKUP(Table53031[[#This Row],[CAPEX Category]],Table530[#All],MATCH(Table53031[#Headers],Table530[#Headers],0),FALSE)</f>
        <v>1</v>
      </c>
    </row>
    <row r="90" spans="1:13">
      <c r="A90" s="10" t="s">
        <v>1358</v>
      </c>
      <c r="B90" s="127">
        <f>VLOOKUP(Table53031[[#This Row],[CAPEX Category]],Table530[#All],MATCH(Table53031[#Headers],Table530[#Headers],0),FALSE)/VLOOKUP("Total Line Length",Network_Size_Comparison[#All],MATCH(Table53031[#Headers],Network_Size_Comparison[#Headers],0),FALSE)</f>
        <v>20753.524909141252</v>
      </c>
      <c r="C90" s="127">
        <f>VLOOKUP(Table53031[[#This Row],[CAPEX Category]],Table530[#All],MATCH(Table53031[#Headers],Table530[#Headers],0),FALSE)/VLOOKUP("Total Line Length",Network_Size_Comparison[#All],MATCH(Table53031[#Headers],Network_Size_Comparison[#Headers],0),FALSE)</f>
        <v>3223.8806511360604</v>
      </c>
      <c r="D90" s="127">
        <f>VLOOKUP(Table53031[[#This Row],[CAPEX Category]],Table530[#All],MATCH(Table53031[#Headers],Table530[#Headers],0),FALSE)/VLOOKUP("Total Line Length",Network_Size_Comparison[#All],MATCH(Table53031[#Headers],Network_Size_Comparison[#Headers],0),FALSE)</f>
        <v>4558.3309593383201</v>
      </c>
      <c r="E90" s="127">
        <f>VLOOKUP(Table53031[[#This Row],[CAPEX Category]],Table530[#All],MATCH(Table53031[#Headers],Table530[#Headers],0),FALSE)/VLOOKUP("Total Line Length",Network_Size_Comparison[#All],MATCH(Table53031[#Headers],Network_Size_Comparison[#Headers],0),FALSE)</f>
        <v>1656.5259295631283</v>
      </c>
      <c r="F90" s="127">
        <f>VLOOKUP(Table53031[[#This Row],[CAPEX Category]],Table530[#All],MATCH(Table53031[#Headers],Table530[#Headers],0),FALSE)/VLOOKUP("Total Line Length",Network_Size_Comparison[#All],MATCH(Table53031[#Headers],Network_Size_Comparison[#Headers],0),FALSE)</f>
        <v>2325.8719118389367</v>
      </c>
      <c r="G90" s="127">
        <f>VLOOKUP(Table53031[[#This Row],[CAPEX Category]],Table530[#All],MATCH(Table53031[#Headers],Table530[#Headers],0),FALSE)/VLOOKUP("Total Line Length",Network_Size_Comparison[#All],MATCH(Table53031[#Headers],Network_Size_Comparison[#Headers],0),FALSE)</f>
        <v>2187.4880746395565</v>
      </c>
      <c r="H90" s="127">
        <f>VLOOKUP(Table53031[[#This Row],[CAPEX Category]],Table530[#All],MATCH(Table53031[#Headers],Table530[#Headers],0),FALSE)/VLOOKUP("Total Line Length",Network_Size_Comparison[#All],MATCH(Table53031[#Headers],Network_Size_Comparison[#Headers],0),FALSE)</f>
        <v>2151.6971490607039</v>
      </c>
      <c r="I90" s="127">
        <f>VLOOKUP(Table53031[[#This Row],[CAPEX Category]],Table530[#All],MATCH(Table53031[#Headers],Table530[#Headers],0),FALSE)/VLOOKUP("Total Line Length",Network_Size_Comparison[#All],MATCH(Table53031[#Headers],Network_Size_Comparison[#Headers],0),FALSE)</f>
        <v>605.27645593464047</v>
      </c>
      <c r="J90" s="127">
        <f>VLOOKUP(Table53031[[#This Row],[CAPEX Category]],Table530[#All],MATCH(Table53031[#Headers],Table530[#Headers],0),FALSE)/VLOOKUP("Total Line Length",Network_Size_Comparison[#All],MATCH(Table53031[#Headers],Network_Size_Comparison[#Headers],0),FALSE)</f>
        <v>1906.0049890929758</v>
      </c>
      <c r="K90" s="127">
        <f>VLOOKUP(Table53031[[#This Row],[CAPEX Category]],Table530[#All],MATCH(Table53031[#Headers],Table530[#Headers],0),FALSE)/VLOOKUP("Total Line Length",Network_Size_Comparison[#All],MATCH(Table53031[#Headers],Network_Size_Comparison[#Headers],0),FALSE)</f>
        <v>1089.597950245738</v>
      </c>
      <c r="L90" s="176">
        <f>VLOOKUP(Table53031[[#This Row],[CAPEX Category]],Table530[#All],MATCH(Table53031[#Headers],Table530[#Headers],0),FALSE)</f>
        <v>1</v>
      </c>
    </row>
    <row r="91" spans="1:13">
      <c r="A91" s="32" t="s">
        <v>1359</v>
      </c>
      <c r="B91" s="127">
        <f>VLOOKUP(Table53031[[#This Row],[CAPEX Category]],Table530[#All],MATCH(Table53031[#Headers],Table530[#Headers],0),FALSE)/VLOOKUP("Total Line Length",Network_Size_Comparison[#All],MATCH(Table53031[#Headers],Network_Size_Comparison[#Headers],0),FALSE)</f>
        <v>3694.7510339352466</v>
      </c>
      <c r="C91" s="127">
        <f>VLOOKUP(Table53031[[#This Row],[CAPEX Category]],Table530[#All],MATCH(Table53031[#Headers],Table530[#Headers],0),FALSE)/VLOOKUP("Total Line Length",Network_Size_Comparison[#All],MATCH(Table53031[#Headers],Network_Size_Comparison[#Headers],0),FALSE)</f>
        <v>3638.6793291615254</v>
      </c>
      <c r="D91" s="127">
        <f>VLOOKUP(Table53031[[#This Row],[CAPEX Category]],Table530[#All],MATCH(Table53031[#Headers],Table530[#Headers],0),FALSE)/VLOOKUP("Total Line Length",Network_Size_Comparison[#All],MATCH(Table53031[#Headers],Network_Size_Comparison[#Headers],0),FALSE)</f>
        <v>2447.9880588175206</v>
      </c>
      <c r="E91" s="127">
        <f>VLOOKUP(Table53031[[#This Row],[CAPEX Category]],Table530[#All],MATCH(Table53031[#Headers],Table530[#Headers],0),FALSE)/VLOOKUP("Total Line Length",Network_Size_Comparison[#All],MATCH(Table53031[#Headers],Network_Size_Comparison[#Headers],0),FALSE)</f>
        <v>1609.0431216716652</v>
      </c>
      <c r="F91" s="127">
        <f>VLOOKUP(Table53031[[#This Row],[CAPEX Category]],Table530[#All],MATCH(Table53031[#Headers],Table530[#Headers],0),FALSE)/VLOOKUP("Total Line Length",Network_Size_Comparison[#All],MATCH(Table53031[#Headers],Network_Size_Comparison[#Headers],0),FALSE)</f>
        <v>1134.650885339413</v>
      </c>
      <c r="G91" s="127">
        <f>VLOOKUP(Table53031[[#This Row],[CAPEX Category]],Table530[#All],MATCH(Table53031[#Headers],Table530[#Headers],0),FALSE)/VLOOKUP("Total Line Length",Network_Size_Comparison[#All],MATCH(Table53031[#Headers],Network_Size_Comparison[#Headers],0),FALSE)</f>
        <v>2415.6670235767342</v>
      </c>
      <c r="H91" s="127">
        <f>VLOOKUP(Table53031[[#This Row],[CAPEX Category]],Table530[#All],MATCH(Table53031[#Headers],Table530[#Headers],0),FALSE)/VLOOKUP("Total Line Length",Network_Size_Comparison[#All],MATCH(Table53031[#Headers],Network_Size_Comparison[#Headers],0),FALSE)</f>
        <v>2376.1427127169504</v>
      </c>
      <c r="I91" s="127">
        <f>VLOOKUP(Table53031[[#This Row],[CAPEX Category]],Table530[#All],MATCH(Table53031[#Headers],Table530[#Headers],0),FALSE)/VLOOKUP("Total Line Length",Network_Size_Comparison[#All],MATCH(Table53031[#Headers],Network_Size_Comparison[#Headers],0),FALSE)</f>
        <v>79.776667901236806</v>
      </c>
      <c r="J91" s="127">
        <f>VLOOKUP(Table53031[[#This Row],[CAPEX Category]],Table530[#All],MATCH(Table53031[#Headers],Table530[#Headers],0),FALSE)/VLOOKUP("Total Line Length",Network_Size_Comparison[#All],MATCH(Table53031[#Headers],Network_Size_Comparison[#Headers],0),FALSE)</f>
        <v>1432.2273461200848</v>
      </c>
      <c r="K91" s="127">
        <f>VLOOKUP(Table53031[[#This Row],[CAPEX Category]],Table530[#All],MATCH(Table53031[#Headers],Table530[#Headers],0),FALSE)/VLOOKUP("Total Line Length",Network_Size_Comparison[#All],MATCH(Table53031[#Headers],Network_Size_Comparison[#Headers],0),FALSE)</f>
        <v>784.32552397198458</v>
      </c>
      <c r="L91" s="176">
        <f>VLOOKUP(Table53031[[#This Row],[CAPEX Category]],Table530[#All],MATCH(Table53031[#Headers],Table530[#Headers],0),FALSE)</f>
        <v>1</v>
      </c>
    </row>
    <row r="92" spans="1:13">
      <c r="A92" s="32" t="s">
        <v>1360</v>
      </c>
      <c r="B92" s="127">
        <f>VLOOKUP(Table53031[[#This Row],[CAPEX Category]],Table530[#All],MATCH(Table53031[#Headers],Table530[#Headers],0),FALSE)/VLOOKUP("Total Line Length",Network_Size_Comparison[#All],MATCH(Table53031[#Headers],Network_Size_Comparison[#Headers],0),FALSE)</f>
        <v>-4289.6784665076966</v>
      </c>
      <c r="C92" s="127">
        <f>VLOOKUP(Table53031[[#This Row],[CAPEX Category]],Table530[#All],MATCH(Table53031[#Headers],Table530[#Headers],0),FALSE)/VLOOKUP("Total Line Length",Network_Size_Comparison[#All],MATCH(Table53031[#Headers],Network_Size_Comparison[#Headers],0),FALSE)</f>
        <v>-354.15818551646117</v>
      </c>
      <c r="D92" s="127">
        <f>VLOOKUP(Table53031[[#This Row],[CAPEX Category]],Table530[#All],MATCH(Table53031[#Headers],Table530[#Headers],0),FALSE)/VLOOKUP("Total Line Length",Network_Size_Comparison[#All],MATCH(Table53031[#Headers],Network_Size_Comparison[#Headers],0),FALSE)</f>
        <v>11050.77149793414</v>
      </c>
      <c r="E92" s="127">
        <f>VLOOKUP(Table53031[[#This Row],[CAPEX Category]],Table530[#All],MATCH(Table53031[#Headers],Table530[#Headers],0),FALSE)/VLOOKUP("Total Line Length",Network_Size_Comparison[#All],MATCH(Table53031[#Headers],Network_Size_Comparison[#Headers],0),FALSE)</f>
        <v>0</v>
      </c>
      <c r="F92" s="127">
        <f>VLOOKUP(Table53031[[#This Row],[CAPEX Category]],Table530[#All],MATCH(Table53031[#Headers],Table530[#Headers],0),FALSE)/VLOOKUP("Total Line Length",Network_Size_Comparison[#All],MATCH(Table53031[#Headers],Network_Size_Comparison[#Headers],0),FALSE)</f>
        <v>1728.8024779121893</v>
      </c>
      <c r="G92" s="127">
        <f>VLOOKUP(Table53031[[#This Row],[CAPEX Category]],Table530[#All],MATCH(Table53031[#Headers],Table530[#Headers],0),FALSE)/VLOOKUP("Total Line Length",Network_Size_Comparison[#All],MATCH(Table53031[#Headers],Network_Size_Comparison[#Headers],0),FALSE)</f>
        <v>2190.1482461764317</v>
      </c>
      <c r="H92" s="127">
        <f>VLOOKUP(Table53031[[#This Row],[CAPEX Category]],Table530[#All],MATCH(Table53031[#Headers],Table530[#Headers],0),FALSE)/VLOOKUP("Total Line Length",Network_Size_Comparison[#All],MATCH(Table53031[#Headers],Network_Size_Comparison[#Headers],0),FALSE)</f>
        <v>-3.1064809348044098</v>
      </c>
      <c r="I92" s="127">
        <f>VLOOKUP(Table53031[[#This Row],[CAPEX Category]],Table530[#All],MATCH(Table53031[#Headers],Table530[#Headers],0),FALSE)/VLOOKUP("Total Line Length",Network_Size_Comparison[#All],MATCH(Table53031[#Headers],Network_Size_Comparison[#Headers],0),FALSE)</f>
        <v>65.532459656463772</v>
      </c>
      <c r="J92" s="127">
        <f>VLOOKUP(Table53031[[#This Row],[CAPEX Category]],Table530[#All],MATCH(Table53031[#Headers],Table530[#Headers],0),FALSE)/VLOOKUP("Total Line Length",Network_Size_Comparison[#All],MATCH(Table53031[#Headers],Network_Size_Comparison[#Headers],0),FALSE)</f>
        <v>644.36035730872982</v>
      </c>
      <c r="K92" s="127">
        <f>VLOOKUP(Table53031[[#This Row],[CAPEX Category]],Table530[#All],MATCH(Table53031[#Headers],Table530[#Headers],0),FALSE)/VLOOKUP("Total Line Length",Network_Size_Comparison[#All],MATCH(Table53031[#Headers],Network_Size_Comparison[#Headers],0),FALSE)</f>
        <v>35.340978392600853</v>
      </c>
      <c r="L92" s="176">
        <f>VLOOKUP(Table53031[[#This Row],[CAPEX Category]],Table530[#All],MATCH(Table53031[#Headers],Table530[#Headers],0),FALSE)</f>
        <v>1</v>
      </c>
    </row>
    <row r="93" spans="1:13">
      <c r="A93" s="130" t="s">
        <v>1361</v>
      </c>
      <c r="B93" s="127">
        <f>VLOOKUP(Table53031[[#This Row],[CAPEX Category]],Table530[#All],MATCH(Table53031[#Headers],Table530[#Headers],0),FALSE)/VLOOKUP("Total Line Length",Network_Size_Comparison[#All],MATCH(Table53031[#Headers],Network_Size_Comparison[#Headers],0),FALSE)</f>
        <v>177645.77578175132</v>
      </c>
      <c r="C93" s="127">
        <f>VLOOKUP(Table53031[[#This Row],[CAPEX Category]],Table530[#All],MATCH(Table53031[#Headers],Table530[#Headers],0),FALSE)/VLOOKUP("Total Line Length",Network_Size_Comparison[#All],MATCH(Table53031[#Headers],Network_Size_Comparison[#Headers],0),FALSE)</f>
        <v>22797.362044981441</v>
      </c>
      <c r="D93" s="127">
        <f>VLOOKUP(Table53031[[#This Row],[CAPEX Category]],Table530[#All],MATCH(Table53031[#Headers],Table530[#Headers],0),FALSE)/VLOOKUP("Total Line Length",Network_Size_Comparison[#All],MATCH(Table53031[#Headers],Network_Size_Comparison[#Headers],0),FALSE)</f>
        <v>62799.599926214818</v>
      </c>
      <c r="E93" s="127">
        <f>VLOOKUP(Table53031[[#This Row],[CAPEX Category]],Table530[#All],MATCH(Table53031[#Headers],Table530[#Headers],0),FALSE)/VLOOKUP("Total Line Length",Network_Size_Comparison[#All],MATCH(Table53031[#Headers],Network_Size_Comparison[#Headers],0),FALSE)</f>
        <v>17082.554482906307</v>
      </c>
      <c r="F93" s="127">
        <f>VLOOKUP(Table53031[[#This Row],[CAPEX Category]],Table530[#All],MATCH(Table53031[#Headers],Table530[#Headers],0),FALSE)/VLOOKUP("Total Line Length",Network_Size_Comparison[#All],MATCH(Table53031[#Headers],Network_Size_Comparison[#Headers],0),FALSE)</f>
        <v>34595.841355978031</v>
      </c>
      <c r="G93" s="127">
        <f>VLOOKUP(Table53031[[#This Row],[CAPEX Category]],Table530[#All],MATCH(Table53031[#Headers],Table530[#Headers],0),FALSE)/VLOOKUP("Total Line Length",Network_Size_Comparison[#All],MATCH(Table53031[#Headers],Network_Size_Comparison[#Headers],0),FALSE)</f>
        <v>19459.550979760468</v>
      </c>
      <c r="H93" s="127">
        <f>VLOOKUP(Table53031[[#This Row],[CAPEX Category]],Table530[#All],MATCH(Table53031[#Headers],Table530[#Headers],0),FALSE)/VLOOKUP("Total Line Length",Network_Size_Comparison[#All],MATCH(Table53031[#Headers],Network_Size_Comparison[#Headers],0),FALSE)</f>
        <v>19141.160516749944</v>
      </c>
      <c r="I93" s="127">
        <f>VLOOKUP(Table53031[[#This Row],[CAPEX Category]],Table530[#All],MATCH(Table53031[#Headers],Table530[#Headers],0),FALSE)/VLOOKUP("Total Line Length",Network_Size_Comparison[#All],MATCH(Table53031[#Headers],Network_Size_Comparison[#Headers],0),FALSE)</f>
        <v>17936.712048825797</v>
      </c>
      <c r="J93" s="127">
        <f>VLOOKUP(Table53031[[#This Row],[CAPEX Category]],Table530[#All],MATCH(Table53031[#Headers],Table530[#Headers],0),FALSE)/VLOOKUP("Total Line Length",Network_Size_Comparison[#All],MATCH(Table53031[#Headers],Network_Size_Comparison[#Headers],0),FALSE)</f>
        <v>23610.117886685726</v>
      </c>
      <c r="K93" s="127">
        <f>VLOOKUP(Table53031[[#This Row],[CAPEX Category]],Table530[#All],MATCH(Table53031[#Headers],Table530[#Headers],0),FALSE)/VLOOKUP("Total Line Length",Network_Size_Comparison[#All],MATCH(Table53031[#Headers],Network_Size_Comparison[#Headers],0),FALSE)</f>
        <v>17543.192832806239</v>
      </c>
      <c r="L93" s="176">
        <f>VLOOKUP(Table53031[[#This Row],[CAPEX Category]],Table530[#All],MATCH(Table53031[#Headers],Table530[#Headers],0),FALSE)</f>
        <v>1</v>
      </c>
    </row>
    <row r="94" spans="1:13">
      <c r="A94" s="32" t="s">
        <v>1362</v>
      </c>
      <c r="B94" s="127">
        <f>VLOOKUP(Table53031[[#This Row],[CAPEX Category]],Table530[#All],MATCH(Table53031[#Headers],Table530[#Headers],0),FALSE)/VLOOKUP("Total Line Length",Network_Size_Comparison[#All],MATCH(Table53031[#Headers],Network_Size_Comparison[#Headers],0),FALSE)</f>
        <v>7852.7262981251442</v>
      </c>
      <c r="C94" s="127">
        <f>VLOOKUP(Table53031[[#This Row],[CAPEX Category]],Table530[#All],MATCH(Table53031[#Headers],Table530[#Headers],0),FALSE)/VLOOKUP("Total Line Length",Network_Size_Comparison[#All],MATCH(Table53031[#Headers],Network_Size_Comparison[#Headers],0),FALSE)</f>
        <v>2113.3294327489616</v>
      </c>
      <c r="D94" s="127">
        <f>VLOOKUP(Table53031[[#This Row],[CAPEX Category]],Table530[#All],MATCH(Table53031[#Headers],Table530[#Headers],0),FALSE)/VLOOKUP("Total Line Length",Network_Size_Comparison[#All],MATCH(Table53031[#Headers],Network_Size_Comparison[#Headers],0),FALSE)</f>
        <v>6332.3615771165287</v>
      </c>
      <c r="E94" s="127">
        <f>VLOOKUP(Table53031[[#This Row],[CAPEX Category]],Table530[#All],MATCH(Table53031[#Headers],Table530[#Headers],0),FALSE)/VLOOKUP("Total Line Length",Network_Size_Comparison[#All],MATCH(Table53031[#Headers],Network_Size_Comparison[#Headers],0),FALSE)</f>
        <v>1772.9234628383169</v>
      </c>
      <c r="F94" s="127">
        <f>VLOOKUP(Table53031[[#This Row],[CAPEX Category]],Table530[#All],MATCH(Table53031[#Headers],Table530[#Headers],0),FALSE)/VLOOKUP("Total Line Length",Network_Size_Comparison[#All],MATCH(Table53031[#Headers],Network_Size_Comparison[#Headers],0),FALSE)</f>
        <v>3040.4055302226407</v>
      </c>
      <c r="G94" s="127">
        <f>VLOOKUP(Table53031[[#This Row],[CAPEX Category]],Table530[#All],MATCH(Table53031[#Headers],Table530[#Headers],0),FALSE)/VLOOKUP("Total Line Length",Network_Size_Comparison[#All],MATCH(Table53031[#Headers],Network_Size_Comparison[#Headers],0),FALSE)</f>
        <v>2104.0816245051501</v>
      </c>
      <c r="H94" s="127">
        <f>VLOOKUP(Table53031[[#This Row],[CAPEX Category]],Table530[#All],MATCH(Table53031[#Headers],Table530[#Headers],0),FALSE)/VLOOKUP("Total Line Length",Network_Size_Comparison[#All],MATCH(Table53031[#Headers],Network_Size_Comparison[#Headers],0),FALSE)</f>
        <v>2069.65536650285</v>
      </c>
      <c r="I94" s="127">
        <f>VLOOKUP(Table53031[[#This Row],[CAPEX Category]],Table530[#All],MATCH(Table53031[#Headers],Table530[#Headers],0),FALSE)/VLOOKUP("Total Line Length",Network_Size_Comparison[#All],MATCH(Table53031[#Headers],Network_Size_Comparison[#Headers],0),FALSE)</f>
        <v>4043.91024179742</v>
      </c>
      <c r="J94" s="127">
        <f>VLOOKUP(Table53031[[#This Row],[CAPEX Category]],Table530[#All],MATCH(Table53031[#Headers],Table530[#Headers],0),FALSE)/VLOOKUP("Total Line Length",Network_Size_Comparison[#All],MATCH(Table53031[#Headers],Network_Size_Comparison[#Headers],0),FALSE)</f>
        <v>2245.3401838095219</v>
      </c>
      <c r="K94" s="127">
        <f>VLOOKUP(Table53031[[#This Row],[CAPEX Category]],Table530[#All],MATCH(Table53031[#Headers],Table530[#Headers],0),FALSE)/VLOOKUP("Total Line Length",Network_Size_Comparison[#All],MATCH(Table53031[#Headers],Network_Size_Comparison[#Headers],0),FALSE)</f>
        <v>2997.6431682455527</v>
      </c>
      <c r="L94" s="176">
        <f>VLOOKUP(Table53031[[#This Row],[CAPEX Category]],Table530[#All],MATCH(Table53031[#Headers],Table530[#Headers],0),FALSE)</f>
        <v>1</v>
      </c>
    </row>
    <row r="96" spans="1:13" ht="18.75">
      <c r="A96" s="77" t="s">
        <v>1383</v>
      </c>
    </row>
    <row r="97" spans="1:13" ht="30">
      <c r="A97" s="32" t="s">
        <v>1518</v>
      </c>
      <c r="B97" s="31" t="s">
        <v>574</v>
      </c>
      <c r="C97" s="31" t="s">
        <v>1147</v>
      </c>
      <c r="D97" s="31" t="s">
        <v>575</v>
      </c>
      <c r="E97" s="31" t="s">
        <v>310</v>
      </c>
      <c r="F97" s="31" t="s">
        <v>1674</v>
      </c>
      <c r="G97" s="131" t="s">
        <v>1560</v>
      </c>
      <c r="H97" s="31" t="s">
        <v>0</v>
      </c>
      <c r="I97" s="31" t="s">
        <v>1218</v>
      </c>
      <c r="J97" s="31" t="s">
        <v>1675</v>
      </c>
      <c r="K97" s="31" t="s">
        <v>1676</v>
      </c>
      <c r="L97" s="175" t="s">
        <v>1521</v>
      </c>
      <c r="M97" s="32" t="s">
        <v>1164</v>
      </c>
    </row>
    <row r="98" spans="1:13">
      <c r="A98" s="32" t="s">
        <v>1354</v>
      </c>
      <c r="B98" s="127">
        <f>VLOOKUP(Table53033[[#This Row],[CAPEX Category]],Table530[#All],MATCH(Table53033[#Headers],Table530[#Headers],0),FALSE)/VLOOKUP("Poles",Network_Size_Comparison[#All],MATCH(Table53033[#Headers],Network_Size_Comparison[#Headers],0),FALSE)</f>
        <v>6091.244063220438</v>
      </c>
      <c r="C98" s="127">
        <f>VLOOKUP(Table53033[[#This Row],[CAPEX Category]],Table530[#All],MATCH(Table53033[#Headers],Table530[#Headers],0),FALSE)/VLOOKUP("Poles",Network_Size_Comparison[#All],MATCH(Table53033[#Headers],Network_Size_Comparison[#Headers],0),FALSE)</f>
        <v>714.2708174024865</v>
      </c>
      <c r="D98" s="127">
        <f>VLOOKUP(Table53033[[#This Row],[CAPEX Category]],Table530[#All],MATCH(Table53033[#Headers],Table530[#Headers],0),FALSE)/VLOOKUP("Poles",Network_Size_Comparison[#All],MATCH(Table53033[#Headers],Network_Size_Comparison[#Headers],0),FALSE)</f>
        <v>2081.4854801812817</v>
      </c>
      <c r="E98" s="127">
        <f>VLOOKUP(Table53033[[#This Row],[CAPEX Category]],Table530[#All],MATCH(Table53033[#Headers],Table530[#Headers],0),FALSE)/VLOOKUP("Poles",Network_Size_Comparison[#All],MATCH(Table53033[#Headers],Network_Size_Comparison[#Headers],0),FALSE)</f>
        <v>618.26552732359698</v>
      </c>
      <c r="F98" s="127">
        <f>VLOOKUP(Table53033[[#This Row],[CAPEX Category]],Table530[#All],MATCH(Table53033[#Headers],Table530[#Headers],0),FALSE)/VLOOKUP("Poles",Network_Size_Comparison[#All],MATCH(Table53033[#Headers],Network_Size_Comparison[#Headers],0),FALSE)</f>
        <v>1097.5026759393907</v>
      </c>
      <c r="G98" s="127">
        <f>VLOOKUP(Table53033[[#This Row],[CAPEX Category]],Table530[#All],MATCH(Table53033[#Headers],Table530[#Headers],0),FALSE)/VLOOKUP("Poles",Network_Size_Comparison[#All],MATCH(Table53033[#Headers],Network_Size_Comparison[#Headers],0),FALSE)</f>
        <v>429.30704856782404</v>
      </c>
      <c r="H98" s="127">
        <f>VLOOKUP(Table53033[[#This Row],[CAPEX Category]],Table530[#All],MATCH(Table53033[#Headers],Table530[#Headers],0),FALSE)/VLOOKUP("Poles",Network_Size_Comparison[#All],MATCH(Table53033[#Headers],Network_Size_Comparison[#Headers],0),FALSE)</f>
        <v>451.50045176758499</v>
      </c>
      <c r="I98" s="127">
        <f>VLOOKUP(Table53033[[#This Row],[CAPEX Category]],Table530[#All],MATCH(Table53033[#Headers],Table530[#Headers],0),FALSE)/VLOOKUP("Poles",Network_Size_Comparison[#All],MATCH(Table53033[#Headers],Network_Size_Comparison[#Headers],0),FALSE)</f>
        <v>367.03622640795231</v>
      </c>
      <c r="J98" s="127">
        <f>VLOOKUP(Table53033[[#This Row],[CAPEX Category]],Table530[#All],MATCH(Table53033[#Headers],Table530[#Headers],0),FALSE)/VLOOKUP("Poles",Network_Size_Comparison[#All],MATCH(Table53033[#Headers],Network_Size_Comparison[#Headers],0),FALSE)</f>
        <v>812.18088269050645</v>
      </c>
      <c r="K98" s="127">
        <f>VLOOKUP(Table53033[[#This Row],[CAPEX Category]],Table530[#All],MATCH(Table53033[#Headers],Table530[#Headers],0),FALSE)/VLOOKUP("Poles",Network_Size_Comparison[#All],MATCH(Table53033[#Headers],Network_Size_Comparison[#Headers],0),FALSE)</f>
        <v>473.90132341471445</v>
      </c>
      <c r="L98" s="176">
        <f>VLOOKUP(Table53033[CAPEX Category],Table530[#All],MATCH(Table53033[#Headers],Table530[#Headers],0),FALSE)</f>
        <v>1</v>
      </c>
    </row>
    <row r="99" spans="1:13">
      <c r="A99" s="32" t="s">
        <v>1355</v>
      </c>
      <c r="B99" s="127">
        <f>VLOOKUP(Table53033[[#This Row],[CAPEX Category]],Table530[#All],MATCH(Table53033[#Headers],Table530[#Headers],0),FALSE)/VLOOKUP("Poles",Network_Size_Comparison[#All],MATCH(Table53033[#Headers],Network_Size_Comparison[#Headers],0),FALSE)</f>
        <v>810.31612351487206</v>
      </c>
      <c r="C99" s="127">
        <f>VLOOKUP(Table53033[[#This Row],[CAPEX Category]],Table530[#All],MATCH(Table53033[#Headers],Table530[#Headers],0),FALSE)/VLOOKUP("Poles",Network_Size_Comparison[#All],MATCH(Table53033[#Headers],Network_Size_Comparison[#Headers],0),FALSE)</f>
        <v>584.41283915609222</v>
      </c>
      <c r="D99" s="127">
        <f>VLOOKUP(Table53033[[#This Row],[CAPEX Category]],Table530[#All],MATCH(Table53033[#Headers],Table530[#Headers],0),FALSE)/VLOOKUP("Poles",Network_Size_Comparison[#All],MATCH(Table53033[#Headers],Network_Size_Comparison[#Headers],0),FALSE)</f>
        <v>261.844618765164</v>
      </c>
      <c r="E99" s="127">
        <f>VLOOKUP(Table53033[[#This Row],[CAPEX Category]],Table530[#All],MATCH(Table53033[#Headers],Table530[#Headers],0),FALSE)/VLOOKUP("Poles",Network_Size_Comparison[#All],MATCH(Table53033[#Headers],Network_Size_Comparison[#Headers],0),FALSE)</f>
        <v>762.00355390299273</v>
      </c>
      <c r="F99" s="127">
        <f>VLOOKUP(Table53033[[#This Row],[CAPEX Category]],Table530[#All],MATCH(Table53033[#Headers],Table530[#Headers],0),FALSE)/VLOOKUP("Poles",Network_Size_Comparison[#All],MATCH(Table53033[#Headers],Network_Size_Comparison[#Headers],0),FALSE)</f>
        <v>838.00773812152158</v>
      </c>
      <c r="G99" s="127">
        <f>VLOOKUP(Table53033[[#This Row],[CAPEX Category]],Table530[#All],MATCH(Table53033[#Headers],Table530[#Headers],0),FALSE)/VLOOKUP("Poles",Network_Size_Comparison[#All],MATCH(Table53033[#Headers],Network_Size_Comparison[#Headers],0),FALSE)</f>
        <v>26.407356957089473</v>
      </c>
      <c r="H99" s="127">
        <f>VLOOKUP(Table53033[[#This Row],[CAPEX Category]],Table530[#All],MATCH(Table53033[#Headers],Table530[#Headers],0),FALSE)/VLOOKUP("Poles",Network_Size_Comparison[#All],MATCH(Table53033[#Headers],Network_Size_Comparison[#Headers],0),FALSE)</f>
        <v>332.00966560825799</v>
      </c>
      <c r="I99" s="127">
        <f>VLOOKUP(Table53033[[#This Row],[CAPEX Category]],Table530[#All],MATCH(Table53033[#Headers],Table530[#Headers],0),FALSE)/VLOOKUP("Poles",Network_Size_Comparison[#All],MATCH(Table53033[#Headers],Network_Size_Comparison[#Headers],0),FALSE)</f>
        <v>553.21754906321269</v>
      </c>
      <c r="J99" s="127">
        <f>VLOOKUP(Table53033[[#This Row],[CAPEX Category]],Table530[#All],MATCH(Table53033[#Headers],Table530[#Headers],0),FALSE)/VLOOKUP("Poles",Network_Size_Comparison[#All],MATCH(Table53033[#Headers],Network_Size_Comparison[#Headers],0),FALSE)</f>
        <v>792.75738514223985</v>
      </c>
      <c r="K99" s="127">
        <f>VLOOKUP(Table53033[[#This Row],[CAPEX Category]],Table530[#All],MATCH(Table53033[#Headers],Table530[#Headers],0),FALSE)/VLOOKUP("Poles",Network_Size_Comparison[#All],MATCH(Table53033[#Headers],Network_Size_Comparison[#Headers],0),FALSE)</f>
        <v>642.02859371261491</v>
      </c>
      <c r="L99" s="176">
        <f>VLOOKUP(Table53033[CAPEX Category],Table530[#All],MATCH(Table53033[#Headers],Table530[#Headers],0),FALSE)</f>
        <v>1</v>
      </c>
    </row>
    <row r="100" spans="1:13">
      <c r="A100" s="32" t="s">
        <v>1356</v>
      </c>
      <c r="B100" s="127">
        <f>VLOOKUP(Table53033[[#This Row],[CAPEX Category]],Table530[#All],MATCH(Table53033[#Headers],Table530[#Headers],0),FALSE)/VLOOKUP("Poles",Network_Size_Comparison[#All],MATCH(Table53033[#Headers],Network_Size_Comparison[#Headers],0),FALSE)</f>
        <v>5150.3500753893695</v>
      </c>
      <c r="C100" s="127">
        <f>VLOOKUP(Table53033[[#This Row],[CAPEX Category]],Table530[#All],MATCH(Table53033[#Headers],Table530[#Headers],0),FALSE)/VLOOKUP("Poles",Network_Size_Comparison[#All],MATCH(Table53033[#Headers],Network_Size_Comparison[#Headers],0),FALSE)</f>
        <v>793.83143543341487</v>
      </c>
      <c r="D100" s="127">
        <f>VLOOKUP(Table53033[[#This Row],[CAPEX Category]],Table530[#All],MATCH(Table53033[#Headers],Table530[#Headers],0),FALSE)/VLOOKUP("Poles",Network_Size_Comparison[#All],MATCH(Table53033[#Headers],Network_Size_Comparison[#Headers],0),FALSE)</f>
        <v>3333.0387271026939</v>
      </c>
      <c r="E100" s="127">
        <f>VLOOKUP(Table53033[[#This Row],[CAPEX Category]],Table530[#All],MATCH(Table53033[#Headers],Table530[#Headers],0),FALSE)/VLOOKUP("Poles",Network_Size_Comparison[#All],MATCH(Table53033[#Headers],Network_Size_Comparison[#Headers],0),FALSE)</f>
        <v>298.0015231012826</v>
      </c>
      <c r="F100" s="127">
        <f>VLOOKUP(Table53033[[#This Row],[CAPEX Category]],Table530[#All],MATCH(Table53033[#Headers],Table530[#Headers],0),FALSE)/VLOOKUP("Poles",Network_Size_Comparison[#All],MATCH(Table53033[#Headers],Network_Size_Comparison[#Headers],0),FALSE)</f>
        <v>1046.9634445528243</v>
      </c>
      <c r="G100" s="127">
        <f>VLOOKUP(Table53033[[#This Row],[CAPEX Category]],Table530[#All],MATCH(Table53033[#Headers],Table530[#Headers],0),FALSE)/VLOOKUP("Poles",Network_Size_Comparison[#All],MATCH(Table53033[#Headers],Network_Size_Comparison[#Headers],0),FALSE)</f>
        <v>887.52163738201648</v>
      </c>
      <c r="H100" s="127">
        <f>VLOOKUP(Table53033[[#This Row],[CAPEX Category]],Table530[#All],MATCH(Table53033[#Headers],Table530[#Headers],0),FALSE)/VLOOKUP("Poles",Network_Size_Comparison[#All],MATCH(Table53033[#Headers],Network_Size_Comparison[#Headers],0),FALSE)</f>
        <v>933.40284434715034</v>
      </c>
      <c r="I100" s="127">
        <f>VLOOKUP(Table53033[[#This Row],[CAPEX Category]],Table530[#All],MATCH(Table53033[#Headers],Table530[#Headers],0),FALSE)/VLOOKUP("Poles",Network_Size_Comparison[#All],MATCH(Table53033[#Headers],Network_Size_Comparison[#Headers],0),FALSE)</f>
        <v>694.12431104664131</v>
      </c>
      <c r="J100" s="127">
        <f>VLOOKUP(Table53033[[#This Row],[CAPEX Category]],Table530[#All],MATCH(Table53033[#Headers],Table530[#Headers],0),FALSE)/VLOOKUP("Poles",Network_Size_Comparison[#All],MATCH(Table53033[#Headers],Network_Size_Comparison[#Headers],0),FALSE)</f>
        <v>601.05652952983212</v>
      </c>
      <c r="K100" s="127">
        <f>VLOOKUP(Table53033[[#This Row],[CAPEX Category]],Table530[#All],MATCH(Table53033[#Headers],Table530[#Headers],0),FALSE)/VLOOKUP("Poles",Network_Size_Comparison[#All],MATCH(Table53033[#Headers],Network_Size_Comparison[#Headers],0),FALSE)</f>
        <v>525.62605066823278</v>
      </c>
      <c r="L100" s="176">
        <f>VLOOKUP(Table53033[CAPEX Category],Table530[#All],MATCH(Table53033[#Headers],Table530[#Headers],0),FALSE)</f>
        <v>1</v>
      </c>
    </row>
    <row r="101" spans="1:13">
      <c r="A101" s="32" t="s">
        <v>1357</v>
      </c>
      <c r="B101" s="127">
        <f>VLOOKUP(Table53033[[#This Row],[CAPEX Category]],Table530[#All],MATCH(Table53033[#Headers],Table530[#Headers],0),FALSE)/VLOOKUP("Poles",Network_Size_Comparison[#All],MATCH(Table53033[#Headers],Network_Size_Comparison[#Headers],0),FALSE)</f>
        <v>1565.1439222519132</v>
      </c>
      <c r="C101" s="127">
        <f>VLOOKUP(Table53033[[#This Row],[CAPEX Category]],Table530[#All],MATCH(Table53033[#Headers],Table530[#Headers],0),FALSE)/VLOOKUP("Poles",Network_Size_Comparison[#All],MATCH(Table53033[#Headers],Network_Size_Comparison[#Headers],0),FALSE)</f>
        <v>488.58622464061659</v>
      </c>
      <c r="D101" s="127">
        <f>VLOOKUP(Table53033[[#This Row],[CAPEX Category]],Table530[#All],MATCH(Table53033[#Headers],Table530[#Headers],0),FALSE)/VLOOKUP("Poles",Network_Size_Comparison[#All],MATCH(Table53033[#Headers],Network_Size_Comparison[#Headers],0),FALSE)</f>
        <v>805.54898862422772</v>
      </c>
      <c r="E101" s="127">
        <f>VLOOKUP(Table53033[[#This Row],[CAPEX Category]],Table530[#All],MATCH(Table53033[#Headers],Table530[#Headers],0),FALSE)/VLOOKUP("Poles",Network_Size_Comparison[#All],MATCH(Table53033[#Headers],Network_Size_Comparison[#Headers],0),FALSE)</f>
        <v>216.46172979744941</v>
      </c>
      <c r="F101" s="127">
        <f>VLOOKUP(Table53033[[#This Row],[CAPEX Category]],Table530[#All],MATCH(Table53033[#Headers],Table530[#Headers],0),FALSE)/VLOOKUP("Poles",Network_Size_Comparison[#All],MATCH(Table53033[#Headers],Network_Size_Comparison[#Headers],0),FALSE)</f>
        <v>543.04753825918863</v>
      </c>
      <c r="G101" s="127">
        <f>VLOOKUP(Table53033[[#This Row],[CAPEX Category]],Table530[#All],MATCH(Table53033[#Headers],Table530[#Headers],0),FALSE)/VLOOKUP("Poles",Network_Size_Comparison[#All],MATCH(Table53033[#Headers],Network_Size_Comparison[#Headers],0),FALSE)</f>
        <v>398.19978474914888</v>
      </c>
      <c r="H101" s="127">
        <f>VLOOKUP(Table53033[[#This Row],[CAPEX Category]],Table530[#All],MATCH(Table53033[#Headers],Table530[#Headers],0),FALSE)/VLOOKUP("Poles",Network_Size_Comparison[#All],MATCH(Table53033[#Headers],Network_Size_Comparison[#Headers],0),FALSE)</f>
        <v>431.68642003923372</v>
      </c>
      <c r="I101" s="127">
        <f>VLOOKUP(Table53033[[#This Row],[CAPEX Category]],Table530[#All],MATCH(Table53033[#Headers],Table530[#Headers],0),FALSE)/VLOOKUP("Poles",Network_Size_Comparison[#All],MATCH(Table53033[#Headers],Network_Size_Comparison[#Headers],0),FALSE)</f>
        <v>392.90315515966415</v>
      </c>
      <c r="J101" s="127">
        <f>VLOOKUP(Table53033[[#This Row],[CAPEX Category]],Table530[#All],MATCH(Table53033[#Headers],Table530[#Headers],0),FALSE)/VLOOKUP("Poles",Network_Size_Comparison[#All],MATCH(Table53033[#Headers],Network_Size_Comparison[#Headers],0),FALSE)</f>
        <v>348.60925485590332</v>
      </c>
      <c r="K101" s="127">
        <f>VLOOKUP(Table53033[[#This Row],[CAPEX Category]],Table530[#All],MATCH(Table53033[#Headers],Table530[#Headers],0),FALSE)/VLOOKUP("Poles",Network_Size_Comparison[#All],MATCH(Table53033[#Headers],Network_Size_Comparison[#Headers],0),FALSE)</f>
        <v>317.8504842784298</v>
      </c>
      <c r="L101" s="176">
        <f>VLOOKUP(Table53033[CAPEX Category],Table530[#All],MATCH(Table53033[#Headers],Table530[#Headers],0),FALSE)</f>
        <v>1</v>
      </c>
    </row>
    <row r="102" spans="1:13">
      <c r="A102" s="10" t="s">
        <v>1358</v>
      </c>
      <c r="B102" s="127">
        <f>VLOOKUP(Table53033[[#This Row],[CAPEX Category]],Table530[#All],MATCH(Table53033[#Headers],Table530[#Headers],0),FALSE)/VLOOKUP("Poles",Network_Size_Comparison[#All],MATCH(Table53033[#Headers],Network_Size_Comparison[#Headers],0),FALSE)</f>
        <v>1794.4436861669571</v>
      </c>
      <c r="C102" s="127">
        <f>VLOOKUP(Table53033[[#This Row],[CAPEX Category]],Table530[#All],MATCH(Table53033[#Headers],Table530[#Headers],0),FALSE)/VLOOKUP("Poles",Network_Size_Comparison[#All],MATCH(Table53033[#Headers],Network_Size_Comparison[#Headers],0),FALSE)</f>
        <v>522.20056187525324</v>
      </c>
      <c r="D102" s="127">
        <f>VLOOKUP(Table53033[[#This Row],[CAPEX Category]],Table530[#All],MATCH(Table53033[#Headers],Table530[#Headers],0),FALSE)/VLOOKUP("Poles",Network_Size_Comparison[#All],MATCH(Table53033[#Headers],Network_Size_Comparison[#Headers],0),FALSE)</f>
        <v>660.37258616133931</v>
      </c>
      <c r="E102" s="127">
        <f>VLOOKUP(Table53033[[#This Row],[CAPEX Category]],Table530[#All],MATCH(Table53033[#Headers],Table530[#Headers],0),FALSE)/VLOOKUP("Poles",Network_Size_Comparison[#All],MATCH(Table53033[#Headers],Network_Size_Comparison[#Headers],0),FALSE)</f>
        <v>227.16051186430153</v>
      </c>
      <c r="F102" s="127">
        <f>VLOOKUP(Table53033[[#This Row],[CAPEX Category]],Table530[#All],MATCH(Table53033[#Headers],Table530[#Headers],0),FALSE)/VLOOKUP("Poles",Network_Size_Comparison[#All],MATCH(Table53033[#Headers],Network_Size_Comparison[#Headers],0),FALSE)</f>
        <v>278.84674216047864</v>
      </c>
      <c r="G102" s="127">
        <f>VLOOKUP(Table53033[[#This Row],[CAPEX Category]],Table530[#All],MATCH(Table53033[#Headers],Table530[#Headers],0),FALSE)/VLOOKUP("Poles",Network_Size_Comparison[#All],MATCH(Table53033[#Headers],Network_Size_Comparison[#Headers],0),FALSE)</f>
        <v>300.74969441706628</v>
      </c>
      <c r="H102" s="127">
        <f>VLOOKUP(Table53033[[#This Row],[CAPEX Category]],Table530[#All],MATCH(Table53033[#Headers],Table530[#Headers],0),FALSE)/VLOOKUP("Poles",Network_Size_Comparison[#All],MATCH(Table53033[#Headers],Network_Size_Comparison[#Headers],0),FALSE)</f>
        <v>316.29721280203017</v>
      </c>
      <c r="I102" s="127">
        <f>VLOOKUP(Table53033[[#This Row],[CAPEX Category]],Table530[#All],MATCH(Table53033[#Headers],Table530[#Headers],0),FALSE)/VLOOKUP("Poles",Network_Size_Comparison[#All],MATCH(Table53033[#Headers],Network_Size_Comparison[#Headers],0),FALSE)</f>
        <v>71.921525897346115</v>
      </c>
      <c r="J102" s="127">
        <f>VLOOKUP(Table53033[[#This Row],[CAPEX Category]],Table530[#All],MATCH(Table53033[#Headers],Table530[#Headers],0),FALSE)/VLOOKUP("Poles",Network_Size_Comparison[#All],MATCH(Table53033[#Headers],Network_Size_Comparison[#Headers],0),FALSE)</f>
        <v>248.07448680219682</v>
      </c>
      <c r="K102" s="127">
        <f>VLOOKUP(Table53033[[#This Row],[CAPEX Category]],Table530[#All],MATCH(Table53033[#Headers],Table530[#Headers],0),FALSE)/VLOOKUP("Poles",Network_Size_Comparison[#All],MATCH(Table53033[#Headers],Network_Size_Comparison[#Headers],0),FALSE)</f>
        <v>137.95534135647677</v>
      </c>
      <c r="L102" s="176">
        <f>VLOOKUP(Table53033[CAPEX Category],Table530[#All],MATCH(Table53033[#Headers],Table530[#Headers],0),FALSE)</f>
        <v>1</v>
      </c>
    </row>
    <row r="103" spans="1:13">
      <c r="A103" s="32" t="s">
        <v>1359</v>
      </c>
      <c r="B103" s="127">
        <f>VLOOKUP(Table53033[[#This Row],[CAPEX Category]],Table530[#All],MATCH(Table53033[#Headers],Table530[#Headers],0),FALSE)/VLOOKUP("Poles",Network_Size_Comparison[#All],MATCH(Table53033[#Headers],Network_Size_Comparison[#Headers],0),FALSE)</f>
        <v>319.46489542524085</v>
      </c>
      <c r="C103" s="127">
        <f>VLOOKUP(Table53033[[#This Row],[CAPEX Category]],Table530[#All],MATCH(Table53033[#Headers],Table530[#Headers],0),FALSE)/VLOOKUP("Poles",Network_Size_Comparison[#All],MATCH(Table53033[#Headers],Network_Size_Comparison[#Headers],0),FALSE)</f>
        <v>589.38918520523896</v>
      </c>
      <c r="D103" s="127">
        <f>VLOOKUP(Table53033[[#This Row],[CAPEX Category]],Table530[#All],MATCH(Table53033[#Headers],Table530[#Headers],0),FALSE)/VLOOKUP("Poles",Network_Size_Comparison[#All],MATCH(Table53033[#Headers],Network_Size_Comparison[#Headers],0),FALSE)</f>
        <v>354.64388604377763</v>
      </c>
      <c r="E103" s="127">
        <f>VLOOKUP(Table53033[[#This Row],[CAPEX Category]],Table530[#All],MATCH(Table53033[#Headers],Table530[#Headers],0),FALSE)/VLOOKUP("Poles",Network_Size_Comparison[#All],MATCH(Table53033[#Headers],Network_Size_Comparison[#Headers],0),FALSE)</f>
        <v>220.64916256823366</v>
      </c>
      <c r="F103" s="127">
        <f>VLOOKUP(Table53033[[#This Row],[CAPEX Category]],Table530[#All],MATCH(Table53033[#Headers],Table530[#Headers],0),FALSE)/VLOOKUP("Poles",Network_Size_Comparison[#All],MATCH(Table53033[#Headers],Network_Size_Comparison[#Headers],0),FALSE)</f>
        <v>136.03229879337735</v>
      </c>
      <c r="G103" s="127">
        <f>VLOOKUP(Table53033[[#This Row],[CAPEX Category]],Table530[#All],MATCH(Table53033[#Headers],Table530[#Headers],0),FALSE)/VLOOKUP("Poles",Network_Size_Comparison[#All],MATCH(Table53033[#Headers],Network_Size_Comparison[#Headers],0),FALSE)</f>
        <v>332.12117934576526</v>
      </c>
      <c r="H103" s="127">
        <f>VLOOKUP(Table53033[[#This Row],[CAPEX Category]],Table530[#All],MATCH(Table53033[#Headers],Table530[#Headers],0),FALSE)/VLOOKUP("Poles",Network_Size_Comparison[#All],MATCH(Table53033[#Headers],Network_Size_Comparison[#Headers],0),FALSE)</f>
        <v>349.2904740708114</v>
      </c>
      <c r="I103" s="127">
        <f>VLOOKUP(Table53033[[#This Row],[CAPEX Category]],Table530[#All],MATCH(Table53033[#Headers],Table530[#Headers],0),FALSE)/VLOOKUP("Poles",Network_Size_Comparison[#All],MATCH(Table53033[#Headers],Network_Size_Comparison[#Headers],0),FALSE)</f>
        <v>9.4794033870075936</v>
      </c>
      <c r="J103" s="127">
        <f>VLOOKUP(Table53033[[#This Row],[CAPEX Category]],Table530[#All],MATCH(Table53033[#Headers],Table530[#Headers],0),FALSE)/VLOOKUP("Poles",Network_Size_Comparison[#All],MATCH(Table53033[#Headers],Network_Size_Comparison[#Headers],0),FALSE)</f>
        <v>186.41035354366574</v>
      </c>
      <c r="K103" s="127">
        <f>VLOOKUP(Table53033[[#This Row],[CAPEX Category]],Table530[#All],MATCH(Table53033[#Headers],Table530[#Headers],0),FALSE)/VLOOKUP("Poles",Network_Size_Comparison[#All],MATCH(Table53033[#Headers],Network_Size_Comparison[#Headers],0),FALSE)</f>
        <v>99.304422672371743</v>
      </c>
      <c r="L103" s="176">
        <f>VLOOKUP(Table53033[CAPEX Category],Table530[#All],MATCH(Table53033[#Headers],Table530[#Headers],0),FALSE)</f>
        <v>1</v>
      </c>
    </row>
    <row r="104" spans="1:13">
      <c r="A104" s="32" t="s">
        <v>1360</v>
      </c>
      <c r="B104" s="127">
        <f>VLOOKUP(Table53033[[#This Row],[CAPEX Category]],Table530[#All],MATCH(Table53033[#Headers],Table530[#Headers],0),FALSE)/VLOOKUP("Poles",Network_Size_Comparison[#All],MATCH(Table53033[#Headers],Network_Size_Comparison[#Headers],0),FALSE)</f>
        <v>-370.9050136596581</v>
      </c>
      <c r="C104" s="127">
        <f>VLOOKUP(Table53033[[#This Row],[CAPEX Category]],Table530[#All],MATCH(Table53033[#Headers],Table530[#Headers],0),FALSE)/VLOOKUP("Poles",Network_Size_Comparison[#All],MATCH(Table53033[#Headers],Network_Size_Comparison[#Headers],0),FALSE)</f>
        <v>-57.36614455756753</v>
      </c>
      <c r="D104" s="127">
        <f>VLOOKUP(Table53033[[#This Row],[CAPEX Category]],Table530[#All],MATCH(Table53033[#Headers],Table530[#Headers],0),FALSE)/VLOOKUP("Poles",Network_Size_Comparison[#All],MATCH(Table53033[#Headers],Network_Size_Comparison[#Headers],0),FALSE)</f>
        <v>1600.9426735938666</v>
      </c>
      <c r="E104" s="127">
        <f>VLOOKUP(Table53033[[#This Row],[CAPEX Category]],Table530[#All],MATCH(Table53033[#Headers],Table530[#Headers],0),FALSE)/VLOOKUP("Poles",Network_Size_Comparison[#All],MATCH(Table53033[#Headers],Network_Size_Comparison[#Headers],0),FALSE)</f>
        <v>0</v>
      </c>
      <c r="F104" s="127">
        <f>VLOOKUP(Table53033[[#This Row],[CAPEX Category]],Table530[#All],MATCH(Table53033[#Headers],Table530[#Headers],0),FALSE)/VLOOKUP("Poles",Network_Size_Comparison[#All],MATCH(Table53033[#Headers],Network_Size_Comparison[#Headers],0),FALSE)</f>
        <v>207.26461175741628</v>
      </c>
      <c r="G104" s="127">
        <f>VLOOKUP(Table53033[[#This Row],[CAPEX Category]],Table530[#All],MATCH(Table53033[#Headers],Table530[#Headers],0),FALSE)/VLOOKUP("Poles",Network_Size_Comparison[#All],MATCH(Table53033[#Headers],Network_Size_Comparison[#Headers],0),FALSE)</f>
        <v>301.11543162317378</v>
      </c>
      <c r="H104" s="127">
        <f>VLOOKUP(Table53033[[#This Row],[CAPEX Category]],Table530[#All],MATCH(Table53033[#Headers],Table530[#Headers],0),FALSE)/VLOOKUP("Poles",Network_Size_Comparison[#All],MATCH(Table53033[#Headers],Network_Size_Comparison[#Headers],0),FALSE)</f>
        <v>-0.45664942286613575</v>
      </c>
      <c r="I104" s="127">
        <f>VLOOKUP(Table53033[[#This Row],[CAPEX Category]],Table530[#All],MATCH(Table53033[#Headers],Table530[#Headers],0),FALSE)/VLOOKUP("Poles",Network_Size_Comparison[#All],MATCH(Table53033[#Headers],Network_Size_Comparison[#Headers],0),FALSE)</f>
        <v>7.7868459083234081</v>
      </c>
      <c r="J104" s="127">
        <f>VLOOKUP(Table53033[[#This Row],[CAPEX Category]],Table530[#All],MATCH(Table53033[#Headers],Table530[#Headers],0),FALSE)/VLOOKUP("Poles",Network_Size_Comparison[#All],MATCH(Table53033[#Headers],Network_Size_Comparison[#Headers],0),FALSE)</f>
        <v>83.866183913354803</v>
      </c>
      <c r="K104" s="127">
        <f>VLOOKUP(Table53033[[#This Row],[CAPEX Category]],Table530[#All],MATCH(Table53033[#Headers],Table530[#Headers],0),FALSE)/VLOOKUP("Poles",Network_Size_Comparison[#All],MATCH(Table53033[#Headers],Network_Size_Comparison[#Headers],0),FALSE)</f>
        <v>4.4745648951739954</v>
      </c>
      <c r="L104" s="176">
        <f>VLOOKUP(Table53033[CAPEX Category],Table530[#All],MATCH(Table53033[#Headers],Table530[#Headers],0),FALSE)</f>
        <v>1</v>
      </c>
    </row>
    <row r="105" spans="1:13">
      <c r="A105" s="130" t="s">
        <v>1361</v>
      </c>
      <c r="B105" s="127">
        <f>VLOOKUP(Table53033[[#This Row],[CAPEX Category]],Table530[#All],MATCH(Table53033[#Headers],Table530[#Headers],0),FALSE)/VLOOKUP("Poles",Network_Size_Comparison[#All],MATCH(Table53033[#Headers],Network_Size_Comparison[#Headers],0),FALSE)</f>
        <v>15360.057730982579</v>
      </c>
      <c r="C105" s="127">
        <f>VLOOKUP(Table53033[[#This Row],[CAPEX Category]],Table530[#All],MATCH(Table53033[#Headers],Table530[#Headers],0),FALSE)/VLOOKUP("Poles",Network_Size_Comparison[#All],MATCH(Table53033[#Headers],Network_Size_Comparison[#Headers],0),FALSE)</f>
        <v>3692.6910631656788</v>
      </c>
      <c r="D105" s="127">
        <f>VLOOKUP(Table53033[[#This Row],[CAPEX Category]],Table530[#All],MATCH(Table53033[#Headers],Table530[#Headers],0),FALSE)/VLOOKUP("Poles",Network_Size_Comparison[#All],MATCH(Table53033[#Headers],Network_Size_Comparison[#Headers],0),FALSE)</f>
        <v>9097.8769604723511</v>
      </c>
      <c r="E105" s="127">
        <f>VLOOKUP(Table53033[[#This Row],[CAPEX Category]],Table530[#All],MATCH(Table53033[#Headers],Table530[#Headers],0),FALSE)/VLOOKUP("Poles",Network_Size_Comparison[#All],MATCH(Table53033[#Headers],Network_Size_Comparison[#Headers],0),FALSE)</f>
        <v>2342.5421546586995</v>
      </c>
      <c r="F105" s="127">
        <f>VLOOKUP(Table53033[[#This Row],[CAPEX Category]],Table530[#All],MATCH(Table53033[#Headers],Table530[#Headers],0),FALSE)/VLOOKUP("Poles",Network_Size_Comparison[#All],MATCH(Table53033[#Headers],Network_Size_Comparison[#Headers],0),FALSE)</f>
        <v>4147.6650564080019</v>
      </c>
      <c r="G105" s="127">
        <f>VLOOKUP(Table53033[[#This Row],[CAPEX Category]],Table530[#All],MATCH(Table53033[#Headers],Table530[#Headers],0),FALSE)/VLOOKUP("Poles",Network_Size_Comparison[#All],MATCH(Table53033[#Headers],Network_Size_Comparison[#Headers],0),FALSE)</f>
        <v>2675.4221330420837</v>
      </c>
      <c r="H105" s="127">
        <f>VLOOKUP(Table53033[[#This Row],[CAPEX Category]],Table530[#All],MATCH(Table53033[#Headers],Table530[#Headers],0),FALSE)/VLOOKUP("Poles",Network_Size_Comparison[#All],MATCH(Table53033[#Headers],Network_Size_Comparison[#Headers],0),FALSE)</f>
        <v>2813.7304192122024</v>
      </c>
      <c r="I105" s="127">
        <f>VLOOKUP(Table53033[[#This Row],[CAPEX Category]],Table530[#All],MATCH(Table53033[#Headers],Table530[#Headers],0),FALSE)/VLOOKUP("Poles",Network_Size_Comparison[#All],MATCH(Table53033[#Headers],Network_Size_Comparison[#Headers],0),FALSE)</f>
        <v>2131.3165041928651</v>
      </c>
      <c r="J105" s="127">
        <f>VLOOKUP(Table53033[[#This Row],[CAPEX Category]],Table530[#All],MATCH(Table53033[#Headers],Table530[#Headers],0),FALSE)/VLOOKUP("Poles",Network_Size_Comparison[#All],MATCH(Table53033[#Headers],Network_Size_Comparison[#Headers],0),FALSE)</f>
        <v>3072.9551662223998</v>
      </c>
      <c r="K105" s="127">
        <f>VLOOKUP(Table53033[[#This Row],[CAPEX Category]],Table530[#All],MATCH(Table53033[#Headers],Table530[#Headers],0),FALSE)/VLOOKUP("Poles",Network_Size_Comparison[#All],MATCH(Table53033[#Headers],Network_Size_Comparison[#Headers],0),FALSE)</f>
        <v>2221.165297884836</v>
      </c>
      <c r="L105" s="176">
        <f>VLOOKUP(Table53033[CAPEX Category],Table530[#All],MATCH(Table53033[#Headers],Table530[#Headers],0),FALSE)</f>
        <v>1</v>
      </c>
    </row>
    <row r="106" spans="1:13">
      <c r="A106" s="32" t="s">
        <v>1362</v>
      </c>
      <c r="B106" s="127">
        <f>VLOOKUP(Table53033[[#This Row],[CAPEX Category]],Table530[#All],MATCH(Table53033[#Headers],Table530[#Headers],0),FALSE)/VLOOKUP("Poles",Network_Size_Comparison[#All],MATCH(Table53033[#Headers],Network_Size_Comparison[#Headers],0),FALSE)</f>
        <v>678.98225417413983</v>
      </c>
      <c r="C106" s="127">
        <f>VLOOKUP(Table53033[[#This Row],[CAPEX Category]],Table530[#All],MATCH(Table53033[#Headers],Table530[#Headers],0),FALSE)/VLOOKUP("Poles",Network_Size_Comparison[#All],MATCH(Table53033[#Headers],Network_Size_Comparison[#Headers],0),FALSE)</f>
        <v>342.31472459134852</v>
      </c>
      <c r="D106" s="127">
        <f>VLOOKUP(Table53033[[#This Row],[CAPEX Category]],Table530[#All],MATCH(Table53033[#Headers],Table530[#Headers],0),FALSE)/VLOOKUP("Poles",Network_Size_Comparison[#All],MATCH(Table53033[#Headers],Network_Size_Comparison[#Headers],0),FALSE)</f>
        <v>917.37919613369866</v>
      </c>
      <c r="E106" s="127">
        <f>VLOOKUP(Table53033[[#This Row],[CAPEX Category]],Table530[#All],MATCH(Table53033[#Headers],Table530[#Headers],0),FALSE)/VLOOKUP("Poles",Network_Size_Comparison[#All],MATCH(Table53033[#Headers],Network_Size_Comparison[#Headers],0),FALSE)</f>
        <v>243.12218367797917</v>
      </c>
      <c r="F106" s="127">
        <f>VLOOKUP(Table53033[[#This Row],[CAPEX Category]],Table530[#All],MATCH(Table53033[#Headers],Table530[#Headers],0),FALSE)/VLOOKUP("Poles",Network_Size_Comparison[#All],MATCH(Table53033[#Headers],Network_Size_Comparison[#Headers],0),FALSE)</f>
        <v>364.51155054319923</v>
      </c>
      <c r="G106" s="127">
        <f>VLOOKUP(Table53033[[#This Row],[CAPEX Category]],Table530[#All],MATCH(Table53033[#Headers],Table530[#Headers],0),FALSE)/VLOOKUP("Poles",Network_Size_Comparison[#All],MATCH(Table53033[#Headers],Network_Size_Comparison[#Headers],0),FALSE)</f>
        <v>289.282448181007</v>
      </c>
      <c r="H106" s="127">
        <f>VLOOKUP(Table53033[[#This Row],[CAPEX Category]],Table530[#All],MATCH(Table53033[#Headers],Table530[#Headers],0),FALSE)/VLOOKUP("Poles",Network_Size_Comparison[#All],MATCH(Table53033[#Headers],Network_Size_Comparison[#Headers],0),FALSE)</f>
        <v>304.23715724649475</v>
      </c>
      <c r="I106" s="127">
        <f>VLOOKUP(Table53033[[#This Row],[CAPEX Category]],Table530[#All],MATCH(Table53033[#Headers],Table530[#Headers],0),FALSE)/VLOOKUP("Poles",Network_Size_Comparison[#All],MATCH(Table53033[#Headers],Network_Size_Comparison[#Headers],0),FALSE)</f>
        <v>480.51463480909382</v>
      </c>
      <c r="J106" s="127">
        <f>VLOOKUP(Table53033[[#This Row],[CAPEX Category]],Table530[#All],MATCH(Table53033[#Headers],Table530[#Headers],0),FALSE)/VLOOKUP("Poles",Network_Size_Comparison[#All],MATCH(Table53033[#Headers],Network_Size_Comparison[#Headers],0),FALSE)</f>
        <v>292.24037554065723</v>
      </c>
      <c r="K106" s="127">
        <f>VLOOKUP(Table53033[[#This Row],[CAPEX Category]],Table530[#All],MATCH(Table53033[#Headers],Table530[#Headers],0),FALSE)/VLOOKUP("Poles",Network_Size_Comparison[#All],MATCH(Table53033[#Headers],Network_Size_Comparison[#Headers],0),FALSE)</f>
        <v>379.53530148157813</v>
      </c>
      <c r="L106" s="176">
        <f>VLOOKUP(Table53033[CAPEX Category],Table530[#All],MATCH(Table53033[#Headers],Table530[#Headers],0),FALSE)</f>
        <v>1</v>
      </c>
    </row>
  </sheetData>
  <conditionalFormatting sqref="B47:K47">
    <cfRule type="colorScale" priority="453">
      <colorScale>
        <cfvo type="min"/>
        <cfvo type="max"/>
        <color rgb="FFFFEFEF"/>
        <color rgb="FFFF0000"/>
      </colorScale>
    </cfRule>
  </conditionalFormatting>
  <conditionalFormatting sqref="B48:K48">
    <cfRule type="colorScale" priority="455">
      <colorScale>
        <cfvo type="min"/>
        <cfvo type="max"/>
        <color rgb="FFFFEFEF"/>
        <color rgb="FFFF0000"/>
      </colorScale>
    </cfRule>
  </conditionalFormatting>
  <conditionalFormatting sqref="B49:K49">
    <cfRule type="colorScale" priority="457">
      <colorScale>
        <cfvo type="min"/>
        <cfvo type="max"/>
        <color rgb="FFFFEFEF"/>
        <color rgb="FFFF0000"/>
      </colorScale>
    </cfRule>
  </conditionalFormatting>
  <conditionalFormatting sqref="B50:K50">
    <cfRule type="colorScale" priority="459">
      <colorScale>
        <cfvo type="min"/>
        <cfvo type="max"/>
        <color rgb="FFFFEFEF"/>
        <color rgb="FFFF0000"/>
      </colorScale>
    </cfRule>
  </conditionalFormatting>
  <conditionalFormatting sqref="B51:K51">
    <cfRule type="colorScale" priority="461">
      <colorScale>
        <cfvo type="min"/>
        <cfvo type="max"/>
        <color rgb="FFFFEFEF"/>
        <color rgb="FFFF0000"/>
      </colorScale>
    </cfRule>
  </conditionalFormatting>
  <conditionalFormatting sqref="B52:K52">
    <cfRule type="colorScale" priority="463">
      <colorScale>
        <cfvo type="min"/>
        <cfvo type="max"/>
        <color rgb="FFFFEFEF"/>
        <color rgb="FFFF0000"/>
      </colorScale>
    </cfRule>
  </conditionalFormatting>
  <conditionalFormatting sqref="B29:K29">
    <cfRule type="colorScale" priority="466">
      <colorScale>
        <cfvo type="min"/>
        <cfvo type="max"/>
        <color rgb="FFFFEFEF"/>
        <color rgb="FFFF0000"/>
      </colorScale>
    </cfRule>
  </conditionalFormatting>
  <conditionalFormatting sqref="B30:K30">
    <cfRule type="colorScale" priority="468">
      <colorScale>
        <cfvo type="min"/>
        <cfvo type="max"/>
        <color rgb="FFFFEFEF"/>
        <color rgb="FFFF0000"/>
      </colorScale>
    </cfRule>
  </conditionalFormatting>
  <conditionalFormatting sqref="B31:K31">
    <cfRule type="colorScale" priority="470">
      <colorScale>
        <cfvo type="min"/>
        <cfvo type="max"/>
        <color rgb="FFFFEFEF"/>
        <color rgb="FFFF0000"/>
      </colorScale>
    </cfRule>
  </conditionalFormatting>
  <conditionalFormatting sqref="B32:K32">
    <cfRule type="colorScale" priority="472">
      <colorScale>
        <cfvo type="min"/>
        <cfvo type="max"/>
        <color rgb="FFFFEFEF"/>
        <color rgb="FFFF0000"/>
      </colorScale>
    </cfRule>
  </conditionalFormatting>
  <conditionalFormatting sqref="B33:K33">
    <cfRule type="colorScale" priority="474">
      <colorScale>
        <cfvo type="min"/>
        <cfvo type="max"/>
        <color rgb="FFFFEFEF"/>
        <color rgb="FFFF0000"/>
      </colorScale>
    </cfRule>
  </conditionalFormatting>
  <conditionalFormatting sqref="B3:K3">
    <cfRule type="colorScale" priority="475">
      <colorScale>
        <cfvo type="min"/>
        <cfvo type="max"/>
        <color rgb="FFFFEFEF"/>
        <color rgb="FFFF0000"/>
      </colorScale>
    </cfRule>
  </conditionalFormatting>
  <conditionalFormatting sqref="B4:K4">
    <cfRule type="colorScale" priority="477">
      <colorScale>
        <cfvo type="min"/>
        <cfvo type="max"/>
        <color rgb="FFFFEFEF"/>
        <color rgb="FFFF0000"/>
      </colorScale>
    </cfRule>
  </conditionalFormatting>
  <conditionalFormatting sqref="B5:K5">
    <cfRule type="colorScale" priority="479">
      <colorScale>
        <cfvo type="min"/>
        <cfvo type="max"/>
        <color rgb="FFFFEFEF"/>
        <color rgb="FFFF0000"/>
      </colorScale>
    </cfRule>
  </conditionalFormatting>
  <conditionalFormatting sqref="B6:K6">
    <cfRule type="colorScale" priority="481">
      <colorScale>
        <cfvo type="min"/>
        <cfvo type="max"/>
        <color rgb="FFFFEFEF"/>
        <color rgb="FFFF0000"/>
      </colorScale>
    </cfRule>
  </conditionalFormatting>
  <conditionalFormatting sqref="B7:K7">
    <cfRule type="colorScale" priority="483">
      <colorScale>
        <cfvo type="min"/>
        <cfvo type="max"/>
        <color rgb="FFFFEFEF"/>
        <color rgb="FFFF0000"/>
      </colorScale>
    </cfRule>
  </conditionalFormatting>
  <conditionalFormatting sqref="B8:K8">
    <cfRule type="colorScale" priority="485">
      <colorScale>
        <cfvo type="min"/>
        <cfvo type="max"/>
        <color rgb="FFFFEFEF"/>
        <color rgb="FFFF0000"/>
      </colorScale>
    </cfRule>
  </conditionalFormatting>
  <conditionalFormatting sqref="B9:K9">
    <cfRule type="colorScale" priority="487">
      <colorScale>
        <cfvo type="min"/>
        <cfvo type="max"/>
        <color rgb="FFFFEFEF"/>
        <color rgb="FFFF0000"/>
      </colorScale>
    </cfRule>
  </conditionalFormatting>
  <conditionalFormatting sqref="B10:K10">
    <cfRule type="colorScale" priority="489">
      <colorScale>
        <cfvo type="min"/>
        <cfvo type="max"/>
        <color rgb="FFFFEFEF"/>
        <color rgb="FFFF0000"/>
      </colorScale>
    </cfRule>
  </conditionalFormatting>
  <conditionalFormatting sqref="B11:K11">
    <cfRule type="colorScale" priority="491">
      <colorScale>
        <cfvo type="min"/>
        <cfvo type="max"/>
        <color rgb="FFFFEFEF"/>
        <color rgb="FFFF0000"/>
      </colorScale>
    </cfRule>
  </conditionalFormatting>
  <conditionalFormatting sqref="B98:K98">
    <cfRule type="colorScale" priority="494">
      <colorScale>
        <cfvo type="min"/>
        <cfvo type="max"/>
        <color rgb="FFFFEFEF"/>
        <color rgb="FFFF0000"/>
      </colorScale>
    </cfRule>
  </conditionalFormatting>
  <conditionalFormatting sqref="B99:K99">
    <cfRule type="colorScale" priority="496">
      <colorScale>
        <cfvo type="min"/>
        <cfvo type="max"/>
        <color rgb="FFFFEFEF"/>
        <color rgb="FFFF0000"/>
      </colorScale>
    </cfRule>
  </conditionalFormatting>
  <conditionalFormatting sqref="B100:K100">
    <cfRule type="colorScale" priority="498">
      <colorScale>
        <cfvo type="min"/>
        <cfvo type="max"/>
        <color rgb="FFFFEFEF"/>
        <color rgb="FFFF0000"/>
      </colorScale>
    </cfRule>
  </conditionalFormatting>
  <conditionalFormatting sqref="B101:K101">
    <cfRule type="colorScale" priority="500">
      <colorScale>
        <cfvo type="min"/>
        <cfvo type="max"/>
        <color rgb="FFFFEFEF"/>
        <color rgb="FFFF0000"/>
      </colorScale>
    </cfRule>
  </conditionalFormatting>
  <conditionalFormatting sqref="B102:K102">
    <cfRule type="colorScale" priority="502">
      <colorScale>
        <cfvo type="min"/>
        <cfvo type="max"/>
        <color rgb="FFFFEFEF"/>
        <color rgb="FFFF0000"/>
      </colorScale>
    </cfRule>
  </conditionalFormatting>
  <conditionalFormatting sqref="B103:K103">
    <cfRule type="colorScale" priority="504">
      <colorScale>
        <cfvo type="min"/>
        <cfvo type="max"/>
        <color rgb="FFFFEFEF"/>
        <color rgb="FFFF0000"/>
      </colorScale>
    </cfRule>
  </conditionalFormatting>
  <conditionalFormatting sqref="B104:K104">
    <cfRule type="colorScale" priority="506">
      <colorScale>
        <cfvo type="min"/>
        <cfvo type="max"/>
        <color rgb="FFFFEFEF"/>
        <color rgb="FFFF0000"/>
      </colorScale>
    </cfRule>
  </conditionalFormatting>
  <conditionalFormatting sqref="B105:K105">
    <cfRule type="colorScale" priority="508">
      <colorScale>
        <cfvo type="min"/>
        <cfvo type="max"/>
        <color rgb="FFFFEFEF"/>
        <color rgb="FFFF0000"/>
      </colorScale>
    </cfRule>
  </conditionalFormatting>
  <conditionalFormatting sqref="B106:K106">
    <cfRule type="colorScale" priority="510">
      <colorScale>
        <cfvo type="min"/>
        <cfvo type="max"/>
        <color rgb="FFFFEFEF"/>
        <color rgb="FFFF0000"/>
      </colorScale>
    </cfRule>
  </conditionalFormatting>
  <conditionalFormatting sqref="B86:K86">
    <cfRule type="colorScale" priority="511">
      <colorScale>
        <cfvo type="min"/>
        <cfvo type="max"/>
        <color rgb="FFFFEFEF"/>
        <color rgb="FFFF0000"/>
      </colorScale>
    </cfRule>
  </conditionalFormatting>
  <conditionalFormatting sqref="B87:K87">
    <cfRule type="colorScale" priority="513">
      <colorScale>
        <cfvo type="min"/>
        <cfvo type="max"/>
        <color rgb="FFFFEFEF"/>
        <color rgb="FFFF0000"/>
      </colorScale>
    </cfRule>
  </conditionalFormatting>
  <conditionalFormatting sqref="B88:K88">
    <cfRule type="colorScale" priority="515">
      <colorScale>
        <cfvo type="min"/>
        <cfvo type="max"/>
        <color rgb="FFFFEFEF"/>
        <color rgb="FFFF0000"/>
      </colorScale>
    </cfRule>
  </conditionalFormatting>
  <conditionalFormatting sqref="B89:K89">
    <cfRule type="colorScale" priority="517">
      <colorScale>
        <cfvo type="min"/>
        <cfvo type="max"/>
        <color rgb="FFFFEFEF"/>
        <color rgb="FFFF0000"/>
      </colorScale>
    </cfRule>
  </conditionalFormatting>
  <conditionalFormatting sqref="B90:K90">
    <cfRule type="colorScale" priority="519">
      <colorScale>
        <cfvo type="min"/>
        <cfvo type="max"/>
        <color rgb="FFFFEFEF"/>
        <color rgb="FFFF0000"/>
      </colorScale>
    </cfRule>
  </conditionalFormatting>
  <conditionalFormatting sqref="B91:K91">
    <cfRule type="colorScale" priority="521">
      <colorScale>
        <cfvo type="min"/>
        <cfvo type="max"/>
        <color rgb="FFFFEFEF"/>
        <color rgb="FFFF0000"/>
      </colorScale>
    </cfRule>
  </conditionalFormatting>
  <conditionalFormatting sqref="B92:K92">
    <cfRule type="colorScale" priority="523">
      <colorScale>
        <cfvo type="min"/>
        <cfvo type="max"/>
        <color rgb="FFFFEFEF"/>
        <color rgb="FFFF0000"/>
      </colorScale>
    </cfRule>
  </conditionalFormatting>
  <conditionalFormatting sqref="B93:K93">
    <cfRule type="colorScale" priority="525">
      <colorScale>
        <cfvo type="min"/>
        <cfvo type="max"/>
        <color rgb="FFFFEFEF"/>
        <color rgb="FFFF0000"/>
      </colorScale>
    </cfRule>
  </conditionalFormatting>
  <conditionalFormatting sqref="B94:K94">
    <cfRule type="colorScale" priority="527">
      <colorScale>
        <cfvo type="min"/>
        <cfvo type="max"/>
        <color rgb="FFFFEFEF"/>
        <color rgb="FFFF0000"/>
      </colorScale>
    </cfRule>
  </conditionalFormatting>
  <conditionalFormatting sqref="B74:K74">
    <cfRule type="colorScale" priority="528">
      <colorScale>
        <cfvo type="min"/>
        <cfvo type="max"/>
        <color rgb="FFFFEFEF"/>
        <color rgb="FFFF0000"/>
      </colorScale>
    </cfRule>
  </conditionalFormatting>
  <conditionalFormatting sqref="B75:K75">
    <cfRule type="colorScale" priority="530">
      <colorScale>
        <cfvo type="min"/>
        <cfvo type="max"/>
        <color rgb="FFFFEFEF"/>
        <color rgb="FFFF0000"/>
      </colorScale>
    </cfRule>
  </conditionalFormatting>
  <conditionalFormatting sqref="B76:K76">
    <cfRule type="colorScale" priority="532">
      <colorScale>
        <cfvo type="min"/>
        <cfvo type="max"/>
        <color rgb="FFFFEFEF"/>
        <color rgb="FFFF0000"/>
      </colorScale>
    </cfRule>
  </conditionalFormatting>
  <conditionalFormatting sqref="B77:K77">
    <cfRule type="colorScale" priority="534">
      <colorScale>
        <cfvo type="min"/>
        <cfvo type="max"/>
        <color rgb="FFFFEFEF"/>
        <color rgb="FFFF0000"/>
      </colorScale>
    </cfRule>
  </conditionalFormatting>
  <conditionalFormatting sqref="B78:K78">
    <cfRule type="colorScale" priority="536">
      <colorScale>
        <cfvo type="min"/>
        <cfvo type="max"/>
        <color rgb="FFFFEFEF"/>
        <color rgb="FFFF0000"/>
      </colorScale>
    </cfRule>
  </conditionalFormatting>
  <conditionalFormatting sqref="B79:K79">
    <cfRule type="colorScale" priority="538">
      <colorScale>
        <cfvo type="min"/>
        <cfvo type="max"/>
        <color rgb="FFFFEFEF"/>
        <color rgb="FFFF0000"/>
      </colorScale>
    </cfRule>
  </conditionalFormatting>
  <conditionalFormatting sqref="B80:K80">
    <cfRule type="colorScale" priority="540">
      <colorScale>
        <cfvo type="min"/>
        <cfvo type="max"/>
        <color rgb="FFFFEFEF"/>
        <color rgb="FFFF0000"/>
      </colorScale>
    </cfRule>
  </conditionalFormatting>
  <conditionalFormatting sqref="B81:K81">
    <cfRule type="colorScale" priority="542">
      <colorScale>
        <cfvo type="min"/>
        <cfvo type="max"/>
        <color rgb="FFFFEFEF"/>
        <color rgb="FFFF0000"/>
      </colorScale>
    </cfRule>
  </conditionalFormatting>
  <conditionalFormatting sqref="B82:K82">
    <cfRule type="colorScale" priority="544">
      <colorScale>
        <cfvo type="min"/>
        <cfvo type="max"/>
        <color rgb="FFFFEFEF"/>
        <color rgb="FFFF0000"/>
      </colorScale>
    </cfRule>
  </conditionalFormatting>
  <conditionalFormatting sqref="B34:K34">
    <cfRule type="colorScale" priority="783">
      <colorScale>
        <cfvo type="min"/>
        <cfvo type="max"/>
        <color rgb="FFFFEFEF"/>
        <color rgb="FFFF0000"/>
      </colorScale>
    </cfRule>
  </conditionalFormatting>
  <conditionalFormatting sqref="B38:K38">
    <cfRule type="colorScale" priority="47">
      <colorScale>
        <cfvo type="min"/>
        <cfvo type="max"/>
        <color rgb="FFFFEFEF"/>
        <color rgb="FFFF0000"/>
      </colorScale>
    </cfRule>
  </conditionalFormatting>
  <conditionalFormatting sqref="B39:K39">
    <cfRule type="colorScale" priority="48">
      <colorScale>
        <cfvo type="min"/>
        <cfvo type="max"/>
        <color rgb="FFFFEFEF"/>
        <color rgb="FFFF0000"/>
      </colorScale>
    </cfRule>
  </conditionalFormatting>
  <conditionalFormatting sqref="B40:K40">
    <cfRule type="colorScale" priority="49">
      <colorScale>
        <cfvo type="min"/>
        <cfvo type="max"/>
        <color rgb="FFFFEFEF"/>
        <color rgb="FFFF0000"/>
      </colorScale>
    </cfRule>
  </conditionalFormatting>
  <conditionalFormatting sqref="B41:K41">
    <cfRule type="colorScale" priority="50">
      <colorScale>
        <cfvo type="min"/>
        <cfvo type="max"/>
        <color rgb="FFFFEFEF"/>
        <color rgb="FFFF0000"/>
      </colorScale>
    </cfRule>
  </conditionalFormatting>
  <conditionalFormatting sqref="B42:K42">
    <cfRule type="colorScale" priority="51">
      <colorScale>
        <cfvo type="min"/>
        <cfvo type="max"/>
        <color rgb="FFFFEFEF"/>
        <color rgb="FFFF0000"/>
      </colorScale>
    </cfRule>
  </conditionalFormatting>
  <conditionalFormatting sqref="B43:K43">
    <cfRule type="colorScale" priority="52">
      <colorScale>
        <cfvo type="min"/>
        <cfvo type="max"/>
        <color rgb="FFFFEFEF"/>
        <color rgb="FFFF0000"/>
      </colorScale>
    </cfRule>
  </conditionalFormatting>
  <conditionalFormatting sqref="L74:L82">
    <cfRule type="colorScale" priority="45">
      <colorScale>
        <cfvo type="min"/>
        <cfvo type="max"/>
        <color rgb="FF63BE7B"/>
        <color rgb="FFFFEF9C"/>
      </colorScale>
    </cfRule>
  </conditionalFormatting>
  <conditionalFormatting sqref="B13:K13">
    <cfRule type="colorScale" priority="784">
      <colorScale>
        <cfvo type="min"/>
        <cfvo type="max"/>
        <color rgb="FFFFEFEF"/>
        <color rgb="FFFF0000"/>
      </colorScale>
    </cfRule>
  </conditionalFormatting>
  <conditionalFormatting sqref="B12:K12">
    <cfRule type="colorScale" priority="38">
      <colorScale>
        <cfvo type="min"/>
        <cfvo type="max"/>
        <color rgb="FFFFEFEF"/>
        <color rgb="FFFF0000"/>
      </colorScale>
    </cfRule>
  </conditionalFormatting>
  <conditionalFormatting sqref="L86:L94">
    <cfRule type="colorScale" priority="36">
      <colorScale>
        <cfvo type="min"/>
        <cfvo type="max"/>
        <color rgb="FF63BE7B"/>
        <color rgb="FFFFEF9C"/>
      </colorScale>
    </cfRule>
  </conditionalFormatting>
  <conditionalFormatting sqref="L98:L106">
    <cfRule type="colorScale" priority="35">
      <colorScale>
        <cfvo type="min"/>
        <cfvo type="max"/>
        <color rgb="FF63BE7B"/>
        <color rgb="FFFFEF9C"/>
      </colorScale>
    </cfRule>
  </conditionalFormatting>
  <conditionalFormatting sqref="B56:K56">
    <cfRule type="colorScale" priority="29">
      <colorScale>
        <cfvo type="min"/>
        <cfvo type="max"/>
        <color rgb="FFFFEFEF"/>
        <color rgb="FFFF0000"/>
      </colorScale>
    </cfRule>
  </conditionalFormatting>
  <conditionalFormatting sqref="B57:K57">
    <cfRule type="colorScale" priority="30">
      <colorScale>
        <cfvo type="min"/>
        <cfvo type="max"/>
        <color rgb="FFFFEFEF"/>
        <color rgb="FFFF0000"/>
      </colorScale>
    </cfRule>
  </conditionalFormatting>
  <conditionalFormatting sqref="B58:K58">
    <cfRule type="colorScale" priority="31">
      <colorScale>
        <cfvo type="min"/>
        <cfvo type="max"/>
        <color rgb="FFFFEFEF"/>
        <color rgb="FFFF0000"/>
      </colorScale>
    </cfRule>
  </conditionalFormatting>
  <conditionalFormatting sqref="B59:K59">
    <cfRule type="colorScale" priority="32">
      <colorScale>
        <cfvo type="min"/>
        <cfvo type="max"/>
        <color rgb="FFFFEFEF"/>
        <color rgb="FFFF0000"/>
      </colorScale>
    </cfRule>
  </conditionalFormatting>
  <conditionalFormatting sqref="B60:K60">
    <cfRule type="colorScale" priority="33">
      <colorScale>
        <cfvo type="min"/>
        <cfvo type="max"/>
        <color rgb="FFFFEFEF"/>
        <color rgb="FFFF0000"/>
      </colorScale>
    </cfRule>
  </conditionalFormatting>
  <conditionalFormatting sqref="B61:K61">
    <cfRule type="colorScale" priority="34">
      <colorScale>
        <cfvo type="min"/>
        <cfvo type="max"/>
        <color rgb="FFFFEFEF"/>
        <color rgb="FFFF0000"/>
      </colorScale>
    </cfRule>
  </conditionalFormatting>
  <conditionalFormatting sqref="B65:K65">
    <cfRule type="colorScale" priority="15">
      <colorScale>
        <cfvo type="min"/>
        <cfvo type="max"/>
        <color rgb="FFFFEFEF"/>
        <color rgb="FFFF0000"/>
      </colorScale>
    </cfRule>
  </conditionalFormatting>
  <conditionalFormatting sqref="B66:K66">
    <cfRule type="colorScale" priority="16">
      <colorScale>
        <cfvo type="min"/>
        <cfvo type="max"/>
        <color rgb="FFFFEFEF"/>
        <color rgb="FFFF0000"/>
      </colorScale>
    </cfRule>
  </conditionalFormatting>
  <conditionalFormatting sqref="B67:K67">
    <cfRule type="colorScale" priority="17">
      <colorScale>
        <cfvo type="min"/>
        <cfvo type="max"/>
        <color rgb="FFFFEFEF"/>
        <color rgb="FFFF0000"/>
      </colorScale>
    </cfRule>
  </conditionalFormatting>
  <conditionalFormatting sqref="B68:K68">
    <cfRule type="colorScale" priority="18">
      <colorScale>
        <cfvo type="min"/>
        <cfvo type="max"/>
        <color rgb="FFFFEFEF"/>
        <color rgb="FFFF0000"/>
      </colorScale>
    </cfRule>
  </conditionalFormatting>
  <conditionalFormatting sqref="B69:K69">
    <cfRule type="colorScale" priority="19">
      <colorScale>
        <cfvo type="min"/>
        <cfvo type="max"/>
        <color rgb="FFFFEFEF"/>
        <color rgb="FFFF0000"/>
      </colorScale>
    </cfRule>
  </conditionalFormatting>
  <conditionalFormatting sqref="B70:K70">
    <cfRule type="colorScale" priority="20">
      <colorScale>
        <cfvo type="min"/>
        <cfvo type="max"/>
        <color rgb="FFFFEFEF"/>
        <color rgb="FFFF0000"/>
      </colorScale>
    </cfRule>
  </conditionalFormatting>
  <conditionalFormatting sqref="B16:K16">
    <cfRule type="colorScale" priority="3">
      <colorScale>
        <cfvo type="min"/>
        <cfvo type="max"/>
        <color rgb="FFFFEFEF"/>
        <color rgb="FFFF0000"/>
      </colorScale>
    </cfRule>
  </conditionalFormatting>
  <conditionalFormatting sqref="B17:K17">
    <cfRule type="colorScale" priority="4">
      <colorScale>
        <cfvo type="min"/>
        <cfvo type="max"/>
        <color rgb="FFFFEFEF"/>
        <color rgb="FFFF0000"/>
      </colorScale>
    </cfRule>
  </conditionalFormatting>
  <conditionalFormatting sqref="B18:K18">
    <cfRule type="colorScale" priority="5">
      <colorScale>
        <cfvo type="min"/>
        <cfvo type="max"/>
        <color rgb="FFFFEFEF"/>
        <color rgb="FFFF0000"/>
      </colorScale>
    </cfRule>
  </conditionalFormatting>
  <conditionalFormatting sqref="B19:K19">
    <cfRule type="colorScale" priority="6">
      <colorScale>
        <cfvo type="min"/>
        <cfvo type="max"/>
        <color rgb="FFFFEFEF"/>
        <color rgb="FFFF0000"/>
      </colorScale>
    </cfRule>
  </conditionalFormatting>
  <conditionalFormatting sqref="B20:K20">
    <cfRule type="colorScale" priority="7">
      <colorScale>
        <cfvo type="min"/>
        <cfvo type="max"/>
        <color rgb="FFFFEFEF"/>
        <color rgb="FFFF0000"/>
      </colorScale>
    </cfRule>
  </conditionalFormatting>
  <conditionalFormatting sqref="B21:K21">
    <cfRule type="colorScale" priority="8">
      <colorScale>
        <cfvo type="min"/>
        <cfvo type="max"/>
        <color rgb="FFFFEFEF"/>
        <color rgb="FFFF0000"/>
      </colorScale>
    </cfRule>
  </conditionalFormatting>
  <conditionalFormatting sqref="B22:K22">
    <cfRule type="colorScale" priority="9">
      <colorScale>
        <cfvo type="min"/>
        <cfvo type="max"/>
        <color rgb="FFFFEFEF"/>
        <color rgb="FFFF0000"/>
      </colorScale>
    </cfRule>
  </conditionalFormatting>
  <conditionalFormatting sqref="B23:K23">
    <cfRule type="colorScale" priority="10">
      <colorScale>
        <cfvo type="min"/>
        <cfvo type="max"/>
        <color rgb="FFFFEFEF"/>
        <color rgb="FFFF0000"/>
      </colorScale>
    </cfRule>
  </conditionalFormatting>
  <conditionalFormatting sqref="B24:K24">
    <cfRule type="colorScale" priority="11">
      <colorScale>
        <cfvo type="min"/>
        <cfvo type="max"/>
        <color rgb="FFFFEFEF"/>
        <color rgb="FFFF0000"/>
      </colorScale>
    </cfRule>
  </conditionalFormatting>
  <conditionalFormatting sqref="B26:K26">
    <cfRule type="colorScale" priority="12">
      <colorScale>
        <cfvo type="min"/>
        <cfvo type="max"/>
        <color rgb="FFFFEFEF"/>
        <color rgb="FFFF0000"/>
      </colorScale>
    </cfRule>
  </conditionalFormatting>
  <conditionalFormatting sqref="L26">
    <cfRule type="colorScale" priority="13">
      <colorScale>
        <cfvo type="min"/>
        <cfvo type="max"/>
        <color rgb="FF63BE7B"/>
        <color rgb="FFFFEF9C"/>
      </colorScale>
    </cfRule>
  </conditionalFormatting>
  <conditionalFormatting sqref="B25:K25">
    <cfRule type="colorScale" priority="2">
      <colorScale>
        <cfvo type="min"/>
        <cfvo type="max"/>
        <color rgb="FFFFEFEF"/>
        <color rgb="FFFF0000"/>
      </colorScale>
    </cfRule>
  </conditionalFormatting>
  <printOptions horizontalCentered="1"/>
  <pageMargins left="0.23622047244094491" right="0.23622047244094491" top="0.51181102362204722" bottom="0.51181102362204722" header="0.23622047244094491" footer="0.23622047244094491"/>
  <pageSetup paperSize="8" scale="66" fitToHeight="0" orientation="portrait" r:id="rId1"/>
  <headerFooter>
    <oddHeader>&amp;C&amp;"-,Bold"&amp;14&amp;A</oddHeader>
    <oddFooter>&amp;L&amp;F [&amp;A]&amp;C&amp;D &amp;T&amp;RPage &amp;P/&amp;N</oddFooter>
  </headerFooter>
  <rowBreaks count="1" manualBreakCount="1">
    <brk id="71" max="12" man="1"/>
  </rowBreaks>
  <tableParts count="10">
    <tablePart r:id="rId2"/>
    <tablePart r:id="rId3"/>
    <tablePart r:id="rId4"/>
    <tablePart r:id="rId5"/>
    <tablePart r:id="rId6"/>
    <tablePart r:id="rId7"/>
    <tablePart r:id="rId8"/>
    <tablePart r:id="rId9"/>
    <tablePart r:id="rId10"/>
    <tablePart r:id="rId1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U130"/>
  <sheetViews>
    <sheetView showGridLines="0" topLeftCell="A103" workbookViewId="0">
      <selection activeCell="M36" sqref="M36"/>
    </sheetView>
  </sheetViews>
  <sheetFormatPr defaultRowHeight="15"/>
  <cols>
    <col min="1" max="1" width="23.85546875" customWidth="1"/>
    <col min="2" max="2" width="7" customWidth="1"/>
    <col min="3" max="7" width="9.7109375" customWidth="1"/>
    <col min="8" max="8" width="19" bestFit="1" customWidth="1"/>
    <col min="9" max="9" width="49.42578125" customWidth="1"/>
    <col min="10" max="10" width="11.85546875" bestFit="1" customWidth="1"/>
    <col min="11" max="12" width="9.7109375" customWidth="1"/>
    <col min="13" max="13" width="33.5703125" customWidth="1"/>
    <col min="14" max="16" width="9.7109375" customWidth="1"/>
  </cols>
  <sheetData>
    <row r="1" spans="1:9">
      <c r="A1" s="119" t="s">
        <v>1645</v>
      </c>
      <c r="B1" s="119" t="s">
        <v>1582</v>
      </c>
      <c r="C1" t="s">
        <v>1575</v>
      </c>
      <c r="D1" t="s">
        <v>1576</v>
      </c>
      <c r="E1" t="s">
        <v>1577</v>
      </c>
      <c r="F1" t="s">
        <v>1578</v>
      </c>
      <c r="G1" t="s">
        <v>1579</v>
      </c>
      <c r="H1" s="119" t="s">
        <v>658</v>
      </c>
      <c r="I1" s="119" t="s">
        <v>573</v>
      </c>
    </row>
    <row r="2" spans="1:9">
      <c r="A2" s="255" t="s">
        <v>1580</v>
      </c>
      <c r="B2" s="255" t="s">
        <v>1584</v>
      </c>
      <c r="C2" s="269">
        <v>464</v>
      </c>
      <c r="D2" s="269">
        <v>465</v>
      </c>
      <c r="E2" s="269">
        <v>461</v>
      </c>
      <c r="F2" s="269">
        <v>467</v>
      </c>
      <c r="G2" s="269">
        <v>477</v>
      </c>
      <c r="H2" s="268">
        <f>SUM(Table20[[#This Row],[2015]:[2019]])</f>
        <v>2334</v>
      </c>
      <c r="I2" s="2" t="s">
        <v>1585</v>
      </c>
    </row>
    <row r="3" spans="1:9" s="119" customFormat="1">
      <c r="A3" s="255" t="s">
        <v>1659</v>
      </c>
      <c r="B3" s="255" t="s">
        <v>1584</v>
      </c>
      <c r="C3" s="11">
        <v>163</v>
      </c>
      <c r="D3" s="11">
        <v>156</v>
      </c>
      <c r="E3" s="11">
        <v>145</v>
      </c>
      <c r="F3" s="11">
        <v>148</v>
      </c>
      <c r="G3" s="11">
        <v>150</v>
      </c>
      <c r="H3" s="268">
        <f>SUM(Table20[[#This Row],[2015]:[2019]])</f>
        <v>762</v>
      </c>
      <c r="I3" s="2"/>
    </row>
    <row r="4" spans="1:9" s="119" customFormat="1">
      <c r="A4" s="255" t="s">
        <v>1574</v>
      </c>
      <c r="B4" s="255" t="s">
        <v>1584</v>
      </c>
      <c r="C4" s="269">
        <v>281.26829268292687</v>
      </c>
      <c r="D4" s="269">
        <v>284.02141582391431</v>
      </c>
      <c r="E4" s="269">
        <v>287.49437762075416</v>
      </c>
      <c r="F4" s="269">
        <v>291.44432243208109</v>
      </c>
      <c r="G4" s="269">
        <v>295.29571749034091</v>
      </c>
      <c r="H4" s="268">
        <f>SUM(Table20[[#This Row],[2015]:[2019]])</f>
        <v>1439.5241260500175</v>
      </c>
      <c r="I4" s="2" t="s">
        <v>1607</v>
      </c>
    </row>
    <row r="5" spans="1:9" s="119" customFormat="1">
      <c r="A5" s="301" t="s">
        <v>1651</v>
      </c>
      <c r="B5" s="301" t="s">
        <v>1584</v>
      </c>
      <c r="C5" s="302">
        <v>498.02576007528893</v>
      </c>
      <c r="D5" s="302">
        <v>491.08620560247454</v>
      </c>
      <c r="E5" s="302">
        <v>454.77251193245706</v>
      </c>
      <c r="F5" s="302">
        <v>459.26079190216967</v>
      </c>
      <c r="G5" s="302">
        <v>427.59207669271501</v>
      </c>
      <c r="H5" s="303">
        <f>SUM(Table20[[#This Row],[2015]:[2019]])</f>
        <v>2330.7373462051055</v>
      </c>
      <c r="I5" s="110" t="s">
        <v>1653</v>
      </c>
    </row>
    <row r="6" spans="1:9" s="119" customFormat="1">
      <c r="A6" s="255" t="s">
        <v>1658</v>
      </c>
      <c r="B6" s="255" t="s">
        <v>1584</v>
      </c>
      <c r="C6" s="11">
        <v>167.03152194712138</v>
      </c>
      <c r="D6" s="11">
        <v>159.93666859181104</v>
      </c>
      <c r="E6" s="11">
        <v>139.42096787674487</v>
      </c>
      <c r="F6" s="11">
        <v>141.3513617135437</v>
      </c>
      <c r="G6" s="11">
        <v>129.25980192877631</v>
      </c>
      <c r="H6" s="268">
        <f>SUM(Table20[[#This Row],[2015]:[2019]])</f>
        <v>737.00032205799721</v>
      </c>
      <c r="I6" s="2"/>
    </row>
    <row r="7" spans="1:9" s="119" customFormat="1">
      <c r="A7" s="255" t="s">
        <v>1656</v>
      </c>
      <c r="B7" s="255" t="s">
        <v>1584</v>
      </c>
      <c r="C7" s="11">
        <f>C5-C6</f>
        <v>330.99423812816758</v>
      </c>
      <c r="D7" s="11">
        <f t="shared" ref="D7:G7" si="0">D5-D6</f>
        <v>331.14953701066349</v>
      </c>
      <c r="E7" s="11">
        <f t="shared" si="0"/>
        <v>315.35154405571222</v>
      </c>
      <c r="F7" s="11">
        <f t="shared" si="0"/>
        <v>317.90943018862595</v>
      </c>
      <c r="G7" s="11">
        <f t="shared" si="0"/>
        <v>298.3322747639387</v>
      </c>
      <c r="H7" s="268">
        <f>SUM(Table20[[#This Row],[2015]:[2019]])</f>
        <v>1593.7370241471081</v>
      </c>
      <c r="I7" s="2"/>
    </row>
    <row r="8" spans="1:9" s="119" customFormat="1">
      <c r="A8" s="289" t="s">
        <v>1662</v>
      </c>
      <c r="B8" s="289" t="s">
        <v>1584</v>
      </c>
      <c r="C8" s="290">
        <f>C4-C6</f>
        <v>114.23677073580549</v>
      </c>
      <c r="D8" s="290">
        <f t="shared" ref="D8:G8" si="1">D4-D6</f>
        <v>124.08474723210327</v>
      </c>
      <c r="E8" s="290">
        <f t="shared" si="1"/>
        <v>148.0734097440093</v>
      </c>
      <c r="F8" s="290">
        <f t="shared" si="1"/>
        <v>150.0929607185374</v>
      </c>
      <c r="G8" s="290">
        <f t="shared" si="1"/>
        <v>166.03591556156459</v>
      </c>
      <c r="H8" s="291">
        <f>SUM(Table20[[#This Row],[2015]:[2019]])</f>
        <v>702.52380399202002</v>
      </c>
      <c r="I8" s="281"/>
    </row>
    <row r="9" spans="1:9" s="119" customFormat="1">
      <c r="A9" s="296" t="s">
        <v>1583</v>
      </c>
      <c r="B9" s="296" t="s">
        <v>1584</v>
      </c>
      <c r="C9" s="297">
        <f>255/1.025</f>
        <v>248.78048780487808</v>
      </c>
      <c r="D9" s="297">
        <f>285.7/1.025</f>
        <v>278.73170731707319</v>
      </c>
      <c r="E9" s="297">
        <f>298.9/1.025</f>
        <v>291.60975609756099</v>
      </c>
      <c r="F9" s="297">
        <f>315.9/1.025</f>
        <v>308.19512195121951</v>
      </c>
      <c r="G9" s="297">
        <f>324.5/1.025</f>
        <v>316.58536585365857</v>
      </c>
      <c r="H9" s="298">
        <f>SUM(Table20[[#This Row],[2015]:[2019]])</f>
        <v>1443.9024390243903</v>
      </c>
      <c r="I9" s="299" t="s">
        <v>1607</v>
      </c>
    </row>
    <row r="10" spans="1:9" s="119" customFormat="1">
      <c r="A10" s="255" t="s">
        <v>1581</v>
      </c>
      <c r="B10" s="255" t="s">
        <v>1584</v>
      </c>
      <c r="C10" s="269">
        <v>267.60000000000002</v>
      </c>
      <c r="D10" s="269">
        <v>272.39999999999998</v>
      </c>
      <c r="E10" s="269">
        <v>281.2</v>
      </c>
      <c r="F10" s="269">
        <v>278.7</v>
      </c>
      <c r="G10" s="269">
        <v>284.39999999999998</v>
      </c>
      <c r="H10" s="268">
        <f>SUM(Table20[[#This Row],[2015]:[2019]])</f>
        <v>1384.3000000000002</v>
      </c>
      <c r="I10" s="2" t="s">
        <v>1586</v>
      </c>
    </row>
    <row r="11" spans="1:9" s="119" customFormat="1">
      <c r="A11" s="255" t="s">
        <v>1660</v>
      </c>
      <c r="B11" s="255" t="s">
        <v>1584</v>
      </c>
      <c r="C11" s="11">
        <v>63.6</v>
      </c>
      <c r="D11" s="11">
        <v>64.900000000000006</v>
      </c>
      <c r="E11" s="11">
        <v>66.099999999999994</v>
      </c>
      <c r="F11" s="11">
        <v>64.3</v>
      </c>
      <c r="G11" s="11">
        <v>64.5</v>
      </c>
      <c r="H11" s="268">
        <f>SUM(Table20[[#This Row],[2015]:[2019]])</f>
        <v>323.39999999999998</v>
      </c>
      <c r="I11" s="2"/>
    </row>
    <row r="12" spans="1:9">
      <c r="A12" s="255" t="s">
        <v>1573</v>
      </c>
      <c r="B12" s="255" t="s">
        <v>1584</v>
      </c>
      <c r="C12" s="269">
        <v>206.92682926829269</v>
      </c>
      <c r="D12" s="269">
        <v>209.87507436049972</v>
      </c>
      <c r="E12" s="269">
        <v>213.67072445263415</v>
      </c>
      <c r="F12" s="269">
        <v>217.88113007434103</v>
      </c>
      <c r="G12" s="269">
        <v>222.46612419131637</v>
      </c>
      <c r="H12" s="268">
        <f>SUM(Table20[[#This Row],[2015]:[2019]])</f>
        <v>1070.8198823470841</v>
      </c>
      <c r="I12" s="2" t="s">
        <v>1607</v>
      </c>
    </row>
    <row r="13" spans="1:9" s="119" customFormat="1">
      <c r="A13" s="255" t="s">
        <v>1652</v>
      </c>
      <c r="B13" s="255" t="s">
        <v>1584</v>
      </c>
      <c r="C13" s="269"/>
      <c r="D13" s="269"/>
      <c r="E13" s="269"/>
      <c r="F13" s="269"/>
      <c r="G13" s="269"/>
      <c r="H13" s="268">
        <f>SUM(Table20[[#This Row],[2015]:[2019]])</f>
        <v>0</v>
      </c>
    </row>
    <row r="14" spans="1:9" s="119" customFormat="1">
      <c r="A14" s="255" t="s">
        <v>1661</v>
      </c>
      <c r="B14" s="255" t="s">
        <v>1584</v>
      </c>
      <c r="C14" s="11">
        <f>C10-C11</f>
        <v>204.00000000000003</v>
      </c>
      <c r="D14" s="11">
        <f t="shared" ref="D14:G14" si="2">D10-D11</f>
        <v>207.49999999999997</v>
      </c>
      <c r="E14" s="11">
        <f t="shared" si="2"/>
        <v>215.1</v>
      </c>
      <c r="F14" s="11">
        <f t="shared" si="2"/>
        <v>214.39999999999998</v>
      </c>
      <c r="G14" s="11">
        <f t="shared" si="2"/>
        <v>219.89999999999998</v>
      </c>
      <c r="H14" s="288">
        <f>SUM(Table20[[#This Row],[2015]:[2019]])</f>
        <v>1060.9000000000001</v>
      </c>
    </row>
    <row r="15" spans="1:9" s="119" customFormat="1">
      <c r="A15" s="292" t="s">
        <v>1663</v>
      </c>
      <c r="B15" s="292" t="s">
        <v>1584</v>
      </c>
      <c r="C15" s="293">
        <f>C12-C11</f>
        <v>143.3268292682927</v>
      </c>
      <c r="D15" s="293">
        <f t="shared" ref="D15:G15" si="3">D12-D11</f>
        <v>144.97507436049972</v>
      </c>
      <c r="E15" s="293">
        <f t="shared" si="3"/>
        <v>147.57072445263415</v>
      </c>
      <c r="F15" s="293">
        <f t="shared" si="3"/>
        <v>153.58113007434105</v>
      </c>
      <c r="G15" s="293">
        <f t="shared" si="3"/>
        <v>157.96612419131637</v>
      </c>
      <c r="H15" s="294">
        <f>SUM(Table20[[#This Row],[2015]:[2019]])</f>
        <v>747.41988234708401</v>
      </c>
      <c r="I15" s="295"/>
    </row>
    <row r="16" spans="1:9">
      <c r="A16" s="309" t="s">
        <v>1654</v>
      </c>
    </row>
    <row r="17" spans="10:21">
      <c r="U17" s="119"/>
    </row>
    <row r="18" spans="10:21">
      <c r="U18" s="119"/>
    </row>
    <row r="22" spans="10:21">
      <c r="J22" s="119"/>
      <c r="M22" s="119"/>
    </row>
    <row r="34" spans="1:10">
      <c r="A34" t="s">
        <v>1388</v>
      </c>
      <c r="B34" s="351" t="s">
        <v>1213</v>
      </c>
      <c r="C34" s="351"/>
      <c r="E34" t="s">
        <v>1552</v>
      </c>
      <c r="F34" t="str">
        <f>VLOOKUP(B34,Network_Size_Comparison[#All],MATCH(E34,Network_Size_Comparison[#Headers],0),FALSE)</f>
        <v>Asset</v>
      </c>
      <c r="I34" t="str">
        <f>Table2037[[#Headers],[Total Opex]]&amp;" per "&amp;F34&amp;" ("&amp;B34&amp;") Real $2013-14"</f>
        <v>Total Opex per Asset (Total Assets) Real $2013-14</v>
      </c>
    </row>
    <row r="35" spans="1:10">
      <c r="A35" s="119" t="s">
        <v>1670</v>
      </c>
      <c r="B35" s="119" t="s">
        <v>1582</v>
      </c>
      <c r="C35" s="119" t="s">
        <v>1575</v>
      </c>
      <c r="D35" s="119" t="s">
        <v>1576</v>
      </c>
      <c r="E35" s="119" t="s">
        <v>1577</v>
      </c>
      <c r="F35" s="119" t="s">
        <v>1578</v>
      </c>
      <c r="G35" s="119" t="s">
        <v>1579</v>
      </c>
      <c r="H35" s="119" t="s">
        <v>6</v>
      </c>
      <c r="I35" s="119" t="s">
        <v>573</v>
      </c>
      <c r="J35" s="119" t="s">
        <v>1136</v>
      </c>
    </row>
    <row r="36" spans="1:10">
      <c r="A36" s="255" t="s">
        <v>1580</v>
      </c>
      <c r="B36" s="255" t="s">
        <v>1584</v>
      </c>
      <c r="C36" s="270">
        <f>VLOOKUP(Table2037[[#This Row],[Total Opex]],Table20[#All],MATCH(Table2037[#Headers],Table20[#Headers],0),FALSE)*1000000/VLOOKUP($B$34,Network_Size_Comparison[#All],MATCH(Table2037[[#This Row],[Company]],Network_Size_Comparison[#Headers],0),FALSE)</f>
        <v>198.02947010107766</v>
      </c>
      <c r="D36" s="270">
        <f>VLOOKUP(Table2037[[#This Row],[Total Opex]],Table20[#All],MATCH(Table2037[#Headers],Table20[#Headers],0),FALSE)*1000000/VLOOKUP($B$34,Network_Size_Comparison[#All],MATCH(Table2037[[#This Row],[Company]],Network_Size_Comparison[#Headers],0),FALSE)</f>
        <v>198.45625775215757</v>
      </c>
      <c r="E36" s="270">
        <f>VLOOKUP(Table2037[[#This Row],[Total Opex]],Table20[#All],MATCH(Table2037[#Headers],Table20[#Headers],0),FALSE)*1000000/VLOOKUP($B$34,Network_Size_Comparison[#All],MATCH(Table2037[[#This Row],[Company]],Network_Size_Comparison[#Headers],0),FALSE)</f>
        <v>196.74910714783795</v>
      </c>
      <c r="F36" s="270">
        <f>VLOOKUP(Table2037[[#This Row],[Total Opex]],Table20[#All],MATCH(Table2037[#Headers],Table20[#Headers],0),FALSE)*1000000/VLOOKUP($B$34,Network_Size_Comparison[#All],MATCH(Table2037[[#This Row],[Company]],Network_Size_Comparison[#Headers],0),FALSE)</f>
        <v>199.30983305431741</v>
      </c>
      <c r="G36" s="270">
        <f>VLOOKUP(Table2037[[#This Row],[Total Opex]],Table20[#All],MATCH(Table2037[#Headers],Table20[#Headers],0),FALSE)*1000000/VLOOKUP($B$34,Network_Size_Comparison[#All],MATCH(Table2037[[#This Row],[Company]],Network_Size_Comparison[#Headers],0),FALSE)</f>
        <v>203.57770956511649</v>
      </c>
      <c r="H36" s="270">
        <f>VLOOKUP(Table2037[[#This Row],[Total Opex]],Table20[#All],MATCH(Table2037[#Headers],Table20[#Headers],0),FALSE)*1000000/5/VLOOKUP($B$34,Network_Size_Comparison[#All],MATCH(Table2037[[#This Row],[Company]],Network_Size_Comparison[#Headers],0),FALSE)</f>
        <v>199.22447552410142</v>
      </c>
      <c r="I36" s="255" t="s">
        <v>1585</v>
      </c>
      <c r="J36" s="269" t="s">
        <v>0</v>
      </c>
    </row>
    <row r="37" spans="1:10" s="119" customFormat="1">
      <c r="A37" s="255" t="s">
        <v>1651</v>
      </c>
      <c r="B37" s="255" t="s">
        <v>1584</v>
      </c>
      <c r="C37" s="117">
        <f>VLOOKUP(Table2037[[#This Row],[Total Opex]],Table20[#All],MATCH(Table2037[#Headers],Table20[#Headers],0),FALSE)*1000000/VLOOKUP($B$34,Network_Size_Comparison[#All],MATCH(Table2037[[#This Row],[Company]],Network_Size_Comparison[#Headers],0),FALSE)</f>
        <v>212.55124431981878</v>
      </c>
      <c r="D37" s="117">
        <f>VLOOKUP(Table2037[[#This Row],[Total Opex]],Table20[#All],MATCH(Table2037[#Headers],Table20[#Headers],0),FALSE)*1000000/VLOOKUP($B$34,Network_Size_Comparison[#All],MATCH(Table2037[[#This Row],[Company]],Network_Size_Comparison[#Headers],0),FALSE)</f>
        <v>209.58952816682523</v>
      </c>
      <c r="E37" s="117">
        <f>VLOOKUP(Table2037[[#This Row],[Total Opex]],Table20[#All],MATCH(Table2037[#Headers],Table20[#Headers],0),FALSE)*1000000/VLOOKUP($B$34,Network_Size_Comparison[#All],MATCH(Table2037[[#This Row],[Company]],Network_Size_Comparison[#Headers],0),FALSE)</f>
        <v>194.09129214336315</v>
      </c>
      <c r="F37" s="117">
        <f>VLOOKUP(Table2037[[#This Row],[Total Opex]],Table20[#All],MATCH(Table2037[#Headers],Table20[#Headers],0),FALSE)*1000000/VLOOKUP($B$34,Network_Size_Comparison[#All],MATCH(Table2037[[#This Row],[Company]],Network_Size_Comparison[#Headers],0),FALSE)</f>
        <v>196.00683460902579</v>
      </c>
      <c r="G37" s="117">
        <f>VLOOKUP(Table2037[[#This Row],[Total Opex]],Table20[#All],MATCH(Table2037[#Headers],Table20[#Headers],0),FALSE)*1000000/VLOOKUP($B$34,Network_Size_Comparison[#All],MATCH(Table2037[[#This Row],[Company]],Network_Size_Comparison[#Headers],0),FALSE)</f>
        <v>182.49101803206403</v>
      </c>
      <c r="H37" s="117">
        <f>VLOOKUP(Table2037[[#This Row],[Total Opex]],Table20[#All],MATCH(Table2037[#Headers],Table20[#Headers],0),FALSE)*1000000/5/VLOOKUP($B$34,Network_Size_Comparison[#All],MATCH(Table2037[[#This Row],[Company]],Network_Size_Comparison[#Headers],0),FALSE)</f>
        <v>198.9459834542194</v>
      </c>
      <c r="I37" s="255"/>
      <c r="J37" s="269" t="s">
        <v>0</v>
      </c>
    </row>
    <row r="38" spans="1:10">
      <c r="A38" s="255" t="s">
        <v>1574</v>
      </c>
      <c r="B38" s="255" t="s">
        <v>1584</v>
      </c>
      <c r="C38" s="270">
        <f>VLOOKUP(Table2037[[#This Row],[Total Opex]],Table20[#All],MATCH(Table2037[#Headers],Table20[#Headers],0),FALSE)*1000000/VLOOKUP($B$34,Network_Size_Comparison[#All],MATCH(Table2037[[#This Row],[Company]],Network_Size_Comparison[#Headers],0),FALSE)</f>
        <v>120.04183395740266</v>
      </c>
      <c r="D38" s="270">
        <f>VLOOKUP(Table2037[[#This Row],[Total Opex]],Table20[#All],MATCH(Table2037[#Headers],Table20[#Headers],0),FALSE)*1000000/VLOOKUP($B$34,Network_Size_Comparison[#All],MATCH(Table2037[[#This Row],[Company]],Network_Size_Comparison[#Headers],0),FALSE)</f>
        <v>121.21683291587841</v>
      </c>
      <c r="E38" s="270">
        <f>VLOOKUP(Table2037[[#This Row],[Total Opex]],Table20[#All],MATCH(Table2037[#Headers],Table20[#Headers],0),FALSE)*1000000/VLOOKUP($B$34,Network_Size_Comparison[#All],MATCH(Table2037[[#This Row],[Company]],Network_Size_Comparison[#Headers],0),FALSE)</f>
        <v>122.69905012344198</v>
      </c>
      <c r="F38" s="270">
        <f>VLOOKUP(Table2037[[#This Row],[Total Opex]],Table20[#All],MATCH(Table2037[#Headers],Table20[#Headers],0),FALSE)*1000000/VLOOKUP($B$34,Network_Size_Comparison[#All],MATCH(Table2037[[#This Row],[Company]],Network_Size_Comparison[#Headers],0),FALSE)</f>
        <v>124.38483779136347</v>
      </c>
      <c r="G38" s="270">
        <f>VLOOKUP(Table2037[[#This Row],[Total Opex]],Table20[#All],MATCH(Table2037[#Headers],Table20[#Headers],0),FALSE)*1000000/VLOOKUP($B$34,Network_Size_Comparison[#All],MATCH(Table2037[[#This Row],[Company]],Network_Size_Comparison[#Headers],0),FALSE)</f>
        <v>126.02856564165893</v>
      </c>
      <c r="H38" s="270">
        <f>VLOOKUP(Table2037[[#This Row],[Total Opex]],Table20[#All],MATCH(Table2037[#Headers],Table20[#Headers],0),FALSE)*1000000/5/VLOOKUP($B$34,Network_Size_Comparison[#All],MATCH(Table2037[[#This Row],[Company]],Network_Size_Comparison[#Headers],0),FALSE)</f>
        <v>122.87422408594909</v>
      </c>
      <c r="I38" s="255" t="s">
        <v>1607</v>
      </c>
      <c r="J38" s="269" t="s">
        <v>0</v>
      </c>
    </row>
    <row r="39" spans="1:10">
      <c r="A39" s="255" t="s">
        <v>1583</v>
      </c>
      <c r="B39" s="255" t="s">
        <v>1584</v>
      </c>
      <c r="C39" s="271">
        <f>VLOOKUP(Table2037[[#This Row],[Total Opex]],Table20[#All],MATCH(Table2037[#Headers],Table20[#Headers],0),FALSE)*1000000/VLOOKUP($B$34,Network_Size_Comparison[#All],MATCH(Table2037[[#This Row],[Company]],Network_Size_Comparison[#Headers],0),FALSE)</f>
        <v>267.67633204763126</v>
      </c>
      <c r="D39" s="271">
        <f>VLOOKUP(Table2037[[#This Row],[Total Opex]],Table20[#All],MATCH(Table2037[#Headers],Table20[#Headers],0),FALSE)*1000000/VLOOKUP($B$34,Network_Size_Comparison[#All],MATCH(Table2037[[#This Row],[Company]],Network_Size_Comparison[#Headers],0),FALSE)</f>
        <v>299.90246300395387</v>
      </c>
      <c r="E39" s="271">
        <f>VLOOKUP(Table2037[[#This Row],[Total Opex]],Table20[#All],MATCH(Table2037[#Headers],Table20[#Headers],0),FALSE)*1000000/VLOOKUP($B$34,Network_Size_Comparison[#All],MATCH(Table2037[[#This Row],[Company]],Network_Size_Comparison[#Headers],0),FALSE)</f>
        <v>313.75864960406659</v>
      </c>
      <c r="F39" s="271">
        <f>VLOOKUP(Table2037[[#This Row],[Total Opex]],Table20[#All],MATCH(Table2037[#Headers],Table20[#Headers],0),FALSE)*1000000/VLOOKUP($B$34,Network_Size_Comparison[#All],MATCH(Table2037[[#This Row],[Company]],Network_Size_Comparison[#Headers],0),FALSE)</f>
        <v>331.60373840724196</v>
      </c>
      <c r="G39" s="271">
        <f>VLOOKUP(Table2037[[#This Row],[Total Opex]],Table20[#All],MATCH(Table2037[#Headers],Table20[#Headers],0),FALSE)*1000000/VLOOKUP($B$34,Network_Size_Comparison[#All],MATCH(Table2037[[#This Row],[Company]],Network_Size_Comparison[#Headers],0),FALSE)</f>
        <v>340.63125391943663</v>
      </c>
      <c r="H39" s="271">
        <f>VLOOKUP(Table2037[[#This Row],[Total Opex]],Table20[#All],MATCH(Table2037[#Headers],Table20[#Headers],0),FALSE)*1000000/5/VLOOKUP($B$34,Network_Size_Comparison[#All],MATCH(Table2037[[#This Row],[Company]],Network_Size_Comparison[#Headers],0),FALSE)</f>
        <v>310.71448739646604</v>
      </c>
      <c r="I39" s="255" t="s">
        <v>1607</v>
      </c>
      <c r="J39" s="269" t="s">
        <v>1218</v>
      </c>
    </row>
    <row r="40" spans="1:10">
      <c r="A40" s="255" t="s">
        <v>1581</v>
      </c>
      <c r="B40" s="255" t="s">
        <v>1584</v>
      </c>
      <c r="C40" s="270">
        <f>VLOOKUP(Table2037[[#This Row],[Total Opex]],Table20[#All],MATCH(Table2037[#Headers],Table20[#Headers],0),FALSE)*1000000/VLOOKUP($B$34,Network_Size_Comparison[#All],MATCH(Table2037[[#This Row],[Company]],Network_Size_Comparison[#Headers],0),FALSE)</f>
        <v>404.9093351223288</v>
      </c>
      <c r="D40" s="270">
        <f>VLOOKUP(Table2037[[#This Row],[Total Opex]],Table20[#All],MATCH(Table2037[#Headers],Table20[#Headers],0),FALSE)*1000000/VLOOKUP($B$34,Network_Size_Comparison[#All],MATCH(Table2037[[#This Row],[Company]],Network_Size_Comparison[#Headers],0),FALSE)</f>
        <v>412.17228283752746</v>
      </c>
      <c r="E40" s="270">
        <f>VLOOKUP(Table2037[[#This Row],[Total Opex]],Table20[#All],MATCH(Table2037[#Headers],Table20[#Headers],0),FALSE)*1000000/VLOOKUP($B$34,Network_Size_Comparison[#All],MATCH(Table2037[[#This Row],[Company]],Network_Size_Comparison[#Headers],0),FALSE)</f>
        <v>425.48768698205845</v>
      </c>
      <c r="F40" s="270">
        <f>VLOOKUP(Table2037[[#This Row],[Total Opex]],Table20[#All],MATCH(Table2037[#Headers],Table20[#Headers],0),FALSE)*1000000/VLOOKUP($B$34,Network_Size_Comparison[#All],MATCH(Table2037[[#This Row],[Company]],Network_Size_Comparison[#Headers],0),FALSE)</f>
        <v>421.7049017137258</v>
      </c>
      <c r="G40" s="270">
        <f>VLOOKUP(Table2037[[#This Row],[Total Opex]],Table20[#All],MATCH(Table2037[#Headers],Table20[#Headers],0),FALSE)*1000000/VLOOKUP($B$34,Network_Size_Comparison[#All],MATCH(Table2037[[#This Row],[Company]],Network_Size_Comparison[#Headers],0),FALSE)</f>
        <v>430.32965212552426</v>
      </c>
      <c r="H40" s="270">
        <f>VLOOKUP(Table2037[[#This Row],[Total Opex]],Table20[#All],MATCH(Table2037[#Headers],Table20[#Headers],0),FALSE)*1000000/5/VLOOKUP($B$34,Network_Size_Comparison[#All],MATCH(Table2037[[#This Row],[Company]],Network_Size_Comparison[#Headers],0),FALSE)</f>
        <v>418.92077175623302</v>
      </c>
      <c r="I40" s="255" t="s">
        <v>1586</v>
      </c>
      <c r="J40" s="269" t="s">
        <v>575</v>
      </c>
    </row>
    <row r="41" spans="1:10">
      <c r="A41" s="255" t="s">
        <v>1573</v>
      </c>
      <c r="B41" s="255" t="s">
        <v>1584</v>
      </c>
      <c r="C41" s="270">
        <f>VLOOKUP(Table2037[[#This Row],[Total Opex]],Table20[#All],MATCH(Table2037[#Headers],Table20[#Headers],0),FALSE)*1000000/VLOOKUP($B$34,Network_Size_Comparison[#All],MATCH(Table2037[[#This Row],[Company]],Network_Size_Comparison[#Headers],0),FALSE)</f>
        <v>313.10390455155471</v>
      </c>
      <c r="D41" s="270">
        <f>VLOOKUP(Table2037[[#This Row],[Total Opex]],Table20[#All],MATCH(Table2037[#Headers],Table20[#Headers],0),FALSE)*1000000/VLOOKUP($B$34,Network_Size_Comparison[#All],MATCH(Table2037[[#This Row],[Company]],Network_Size_Comparison[#Headers],0),FALSE)</f>
        <v>317.56493579244858</v>
      </c>
      <c r="E41" s="270">
        <f>VLOOKUP(Table2037[[#This Row],[Total Opex]],Table20[#All],MATCH(Table2037[#Headers],Table20[#Headers],0),FALSE)*1000000/VLOOKUP($B$34,Network_Size_Comparison[#All],MATCH(Table2037[[#This Row],[Company]],Network_Size_Comparison[#Headers],0),FALSE)</f>
        <v>323.30818749335725</v>
      </c>
      <c r="F41" s="270">
        <f>VLOOKUP(Table2037[[#This Row],[Total Opex]],Table20[#All],MATCH(Table2037[#Headers],Table20[#Headers],0),FALSE)*1000000/VLOOKUP($B$34,Network_Size_Comparison[#All],MATCH(Table2037[[#This Row],[Company]],Network_Size_Comparison[#Headers],0),FALSE)</f>
        <v>329.67901163715641</v>
      </c>
      <c r="G41" s="270">
        <f>VLOOKUP(Table2037[[#This Row],[Total Opex]],Table20[#All],MATCH(Table2037[#Headers],Table20[#Headers],0),FALSE)*1000000/VLOOKUP($B$34,Network_Size_Comparison[#All],MATCH(Table2037[[#This Row],[Company]],Network_Size_Comparison[#Headers],0),FALSE)</f>
        <v>336.6166309175909</v>
      </c>
      <c r="H41" s="270">
        <f>VLOOKUP(Table2037[[#This Row],[Total Opex]],Table20[#All],MATCH(Table2037[#Headers],Table20[#Headers],0),FALSE)*1000000/5/VLOOKUP($B$34,Network_Size_Comparison[#All],MATCH(Table2037[[#This Row],[Company]],Network_Size_Comparison[#Headers],0),FALSE)</f>
        <v>324.05453407842157</v>
      </c>
      <c r="I41" s="255" t="s">
        <v>1607</v>
      </c>
      <c r="J41" s="269" t="s">
        <v>575</v>
      </c>
    </row>
    <row r="42" spans="1:10">
      <c r="A42" s="119"/>
      <c r="B42" s="119"/>
      <c r="C42" s="119"/>
      <c r="D42" s="119"/>
      <c r="E42" s="119"/>
      <c r="F42" s="119"/>
      <c r="G42" s="119"/>
      <c r="H42" s="119"/>
      <c r="I42" s="119"/>
    </row>
    <row r="43" spans="1:10">
      <c r="A43" s="119"/>
      <c r="B43" s="119"/>
      <c r="C43" s="119"/>
      <c r="D43" s="119"/>
      <c r="E43" s="119"/>
      <c r="F43" s="119"/>
      <c r="G43" s="119"/>
      <c r="H43" s="119"/>
      <c r="I43" s="119"/>
    </row>
    <row r="44" spans="1:10">
      <c r="A44" s="119"/>
      <c r="B44" s="119"/>
      <c r="C44" s="119"/>
      <c r="D44" s="119"/>
      <c r="E44" s="119"/>
      <c r="F44" s="119"/>
      <c r="G44" s="119"/>
      <c r="H44" s="119"/>
      <c r="I44" s="119"/>
    </row>
    <row r="45" spans="1:10">
      <c r="A45" s="119"/>
      <c r="B45" s="119"/>
      <c r="C45" s="119"/>
      <c r="D45" s="119"/>
      <c r="E45" s="119"/>
      <c r="F45" s="119"/>
      <c r="G45" s="119"/>
      <c r="H45" s="119"/>
      <c r="I45" s="119"/>
    </row>
    <row r="46" spans="1:10">
      <c r="A46" s="119"/>
      <c r="B46" s="119"/>
      <c r="C46" s="119"/>
      <c r="D46" s="119"/>
      <c r="E46" s="119"/>
      <c r="F46" s="119"/>
      <c r="G46" s="119"/>
      <c r="H46" s="119"/>
      <c r="I46" s="119"/>
    </row>
    <row r="47" spans="1:10">
      <c r="A47" s="119"/>
      <c r="B47" s="119"/>
      <c r="C47" s="119"/>
      <c r="D47" s="119"/>
      <c r="E47" s="119"/>
      <c r="F47" s="119"/>
      <c r="G47" s="119"/>
      <c r="H47" s="119"/>
      <c r="I47" s="119"/>
    </row>
    <row r="48" spans="1:10">
      <c r="A48" s="119"/>
      <c r="B48" s="119"/>
      <c r="C48" s="119"/>
      <c r="D48" s="119"/>
      <c r="E48" s="119"/>
      <c r="F48" s="119"/>
      <c r="G48" s="119"/>
      <c r="H48" s="119"/>
      <c r="I48" s="119"/>
    </row>
    <row r="49" spans="1:16">
      <c r="A49" s="119"/>
      <c r="B49" s="119"/>
      <c r="C49" s="119"/>
      <c r="D49" s="119"/>
      <c r="E49" s="119"/>
      <c r="F49" s="119"/>
      <c r="G49" s="119"/>
      <c r="H49" s="119"/>
      <c r="I49" s="119"/>
    </row>
    <row r="50" spans="1:16">
      <c r="A50" s="119"/>
      <c r="B50" s="119"/>
      <c r="C50" s="119"/>
      <c r="D50" s="119"/>
      <c r="E50" s="119"/>
      <c r="F50" s="119"/>
      <c r="G50" s="119"/>
      <c r="H50" s="119"/>
      <c r="I50" s="119"/>
    </row>
    <row r="51" spans="1:16">
      <c r="A51" s="119"/>
      <c r="B51" s="119"/>
      <c r="C51" s="119"/>
      <c r="D51" s="119"/>
      <c r="E51" s="119"/>
      <c r="F51" s="119"/>
      <c r="G51" s="119"/>
      <c r="H51" s="119"/>
      <c r="I51" s="119"/>
    </row>
    <row r="52" spans="1:16">
      <c r="A52" s="119"/>
      <c r="B52" s="119"/>
      <c r="C52" s="119"/>
      <c r="D52" s="119"/>
      <c r="E52" s="119"/>
      <c r="F52" s="119"/>
      <c r="G52" s="119"/>
      <c r="H52" s="119"/>
      <c r="I52" s="119"/>
    </row>
    <row r="53" spans="1:16">
      <c r="A53" s="119"/>
      <c r="B53" s="119"/>
      <c r="C53" s="119"/>
      <c r="D53" s="119"/>
      <c r="E53" s="119"/>
      <c r="F53" s="119"/>
      <c r="G53" s="119"/>
      <c r="H53" s="119"/>
      <c r="I53" s="119"/>
    </row>
    <row r="54" spans="1:16">
      <c r="A54" s="119"/>
      <c r="B54" s="119"/>
      <c r="C54" s="119"/>
      <c r="D54" s="119"/>
      <c r="E54" s="119"/>
      <c r="F54" s="119"/>
      <c r="G54" s="119"/>
      <c r="H54" s="119"/>
      <c r="I54" s="119"/>
    </row>
    <row r="55" spans="1:16">
      <c r="A55" s="119"/>
      <c r="B55" s="119"/>
      <c r="C55" s="119"/>
      <c r="D55" s="119"/>
      <c r="E55" s="119"/>
      <c r="F55" s="119"/>
      <c r="G55" s="119"/>
      <c r="H55" s="119"/>
      <c r="I55" s="119"/>
    </row>
    <row r="56" spans="1:16">
      <c r="A56" s="119"/>
      <c r="B56" s="119"/>
      <c r="C56" s="119"/>
      <c r="D56" s="119"/>
      <c r="E56" s="119"/>
      <c r="F56" s="119"/>
      <c r="G56" s="119"/>
      <c r="H56" s="119"/>
      <c r="I56" s="119"/>
    </row>
    <row r="57" spans="1:16">
      <c r="A57" s="119"/>
      <c r="B57" s="119"/>
      <c r="C57" s="119"/>
      <c r="D57" s="119"/>
      <c r="E57" s="119"/>
      <c r="F57" s="119"/>
      <c r="G57" s="119"/>
      <c r="H57" s="119"/>
      <c r="I57" s="119"/>
    </row>
    <row r="58" spans="1:16">
      <c r="A58" s="119"/>
      <c r="B58" s="119"/>
      <c r="C58" s="119"/>
      <c r="D58" s="119"/>
      <c r="E58" s="119"/>
      <c r="F58" s="119"/>
      <c r="G58" s="119"/>
      <c r="H58" s="119"/>
      <c r="I58" s="119"/>
    </row>
    <row r="59" spans="1:16">
      <c r="A59" s="119"/>
      <c r="B59" s="119"/>
      <c r="C59" s="119"/>
      <c r="D59" s="119"/>
      <c r="E59" s="119"/>
      <c r="F59" s="119"/>
      <c r="G59" s="119"/>
      <c r="H59" s="119"/>
      <c r="I59" s="119"/>
    </row>
    <row r="60" spans="1:16">
      <c r="A60" s="119"/>
      <c r="B60" s="119"/>
      <c r="C60" s="119"/>
      <c r="D60" s="119"/>
      <c r="E60" s="119"/>
      <c r="F60" s="119"/>
      <c r="G60" s="119"/>
      <c r="H60" s="119"/>
      <c r="I60" s="119"/>
    </row>
    <row r="62" spans="1:16">
      <c r="A62" t="s">
        <v>1632</v>
      </c>
    </row>
    <row r="63" spans="1:16" ht="30">
      <c r="A63" s="273" t="s">
        <v>1633</v>
      </c>
      <c r="B63" s="274" t="s">
        <v>1630</v>
      </c>
      <c r="C63" s="274" t="s">
        <v>1629</v>
      </c>
      <c r="D63" s="274" t="s">
        <v>1628</v>
      </c>
      <c r="E63" s="274" t="s">
        <v>1627</v>
      </c>
      <c r="F63" s="274" t="s">
        <v>1626</v>
      </c>
      <c r="G63" s="274" t="s">
        <v>1625</v>
      </c>
      <c r="H63" s="274" t="s">
        <v>1624</v>
      </c>
      <c r="I63" s="274" t="s">
        <v>1623</v>
      </c>
      <c r="J63" s="274" t="s">
        <v>1622</v>
      </c>
      <c r="K63" s="274" t="s">
        <v>1621</v>
      </c>
      <c r="L63" s="274" t="s">
        <v>1620</v>
      </c>
      <c r="M63" s="274" t="s">
        <v>1619</v>
      </c>
      <c r="N63" s="274" t="s">
        <v>1618</v>
      </c>
      <c r="O63" s="274" t="s">
        <v>1617</v>
      </c>
      <c r="P63" s="274" t="s">
        <v>1616</v>
      </c>
    </row>
    <row r="64" spans="1:16">
      <c r="A64" s="273" t="s">
        <v>1615</v>
      </c>
      <c r="B64" s="275">
        <v>13</v>
      </c>
      <c r="C64" s="275">
        <v>15</v>
      </c>
      <c r="D64" s="275">
        <v>24</v>
      </c>
      <c r="E64" s="275">
        <v>27</v>
      </c>
      <c r="F64" s="275">
        <v>30</v>
      </c>
      <c r="G64" s="275">
        <v>38</v>
      </c>
      <c r="H64" s="275">
        <v>42</v>
      </c>
      <c r="I64" s="275">
        <v>46</v>
      </c>
      <c r="J64" s="275">
        <v>31</v>
      </c>
      <c r="K64" s="275">
        <v>32</v>
      </c>
      <c r="L64" s="275">
        <v>32</v>
      </c>
      <c r="M64" s="275">
        <v>33</v>
      </c>
      <c r="N64" s="275">
        <v>33</v>
      </c>
      <c r="O64" s="275">
        <v>34</v>
      </c>
      <c r="P64" s="275">
        <v>35</v>
      </c>
    </row>
    <row r="65" spans="1:16">
      <c r="A65" s="273" t="s">
        <v>1614</v>
      </c>
      <c r="B65" s="275">
        <v>41</v>
      </c>
      <c r="C65" s="275">
        <v>36</v>
      </c>
      <c r="D65" s="275">
        <v>49</v>
      </c>
      <c r="E65" s="275">
        <v>52</v>
      </c>
      <c r="F65" s="275">
        <v>55</v>
      </c>
      <c r="G65" s="275">
        <v>86</v>
      </c>
      <c r="H65" s="275">
        <v>72</v>
      </c>
      <c r="I65" s="275">
        <v>81</v>
      </c>
      <c r="J65" s="275">
        <v>76</v>
      </c>
      <c r="K65" s="275">
        <v>80</v>
      </c>
      <c r="L65" s="275">
        <v>78</v>
      </c>
      <c r="M65" s="275">
        <v>79</v>
      </c>
      <c r="N65" s="275">
        <v>81</v>
      </c>
      <c r="O65" s="275">
        <v>83</v>
      </c>
      <c r="P65" s="275">
        <v>85</v>
      </c>
    </row>
    <row r="66" spans="1:16">
      <c r="A66" s="273" t="s">
        <v>1613</v>
      </c>
      <c r="B66" s="275">
        <v>33</v>
      </c>
      <c r="C66" s="275">
        <v>43</v>
      </c>
      <c r="D66" s="275">
        <v>51</v>
      </c>
      <c r="E66" s="275">
        <v>56</v>
      </c>
      <c r="F66" s="275">
        <v>79</v>
      </c>
      <c r="G66" s="275">
        <v>100</v>
      </c>
      <c r="H66" s="275">
        <v>104</v>
      </c>
      <c r="I66" s="275">
        <v>152</v>
      </c>
      <c r="J66" s="275">
        <v>182</v>
      </c>
      <c r="K66" s="275">
        <v>193</v>
      </c>
      <c r="L66" s="275">
        <v>163</v>
      </c>
      <c r="M66" s="275">
        <v>156</v>
      </c>
      <c r="N66" s="275">
        <v>145</v>
      </c>
      <c r="O66" s="275">
        <v>148</v>
      </c>
      <c r="P66" s="275">
        <v>150</v>
      </c>
    </row>
    <row r="67" spans="1:16">
      <c r="A67" s="273" t="s">
        <v>1612</v>
      </c>
      <c r="B67" s="275">
        <v>47</v>
      </c>
      <c r="C67" s="275">
        <v>49</v>
      </c>
      <c r="D67" s="275">
        <v>62</v>
      </c>
      <c r="E67" s="275">
        <v>66</v>
      </c>
      <c r="F67" s="275">
        <v>69</v>
      </c>
      <c r="G67" s="275">
        <v>77</v>
      </c>
      <c r="H67" s="275">
        <v>72</v>
      </c>
      <c r="I67" s="275">
        <v>80</v>
      </c>
      <c r="J67" s="275">
        <v>74</v>
      </c>
      <c r="K67" s="275">
        <v>78</v>
      </c>
      <c r="L67" s="275">
        <v>79</v>
      </c>
      <c r="M67" s="275">
        <v>80</v>
      </c>
      <c r="N67" s="275">
        <v>82</v>
      </c>
      <c r="O67" s="275">
        <v>84</v>
      </c>
      <c r="P67" s="275">
        <v>86</v>
      </c>
    </row>
    <row r="68" spans="1:16">
      <c r="A68" s="273" t="s">
        <v>1611</v>
      </c>
      <c r="B68" s="275">
        <v>157</v>
      </c>
      <c r="C68" s="275">
        <v>159</v>
      </c>
      <c r="D68" s="275">
        <v>174</v>
      </c>
      <c r="E68" s="275">
        <v>207</v>
      </c>
      <c r="F68" s="275">
        <v>156</v>
      </c>
      <c r="G68" s="275">
        <v>103</v>
      </c>
      <c r="H68" s="275">
        <v>130</v>
      </c>
      <c r="I68" s="275">
        <v>149</v>
      </c>
      <c r="J68" s="275">
        <v>107</v>
      </c>
      <c r="K68" s="275">
        <v>113</v>
      </c>
      <c r="L68" s="275">
        <v>111</v>
      </c>
      <c r="M68" s="275">
        <v>117</v>
      </c>
      <c r="N68" s="275">
        <v>120</v>
      </c>
      <c r="O68" s="275">
        <v>118</v>
      </c>
      <c r="P68" s="275">
        <v>121</v>
      </c>
    </row>
    <row r="69" spans="1:16">
      <c r="A69" s="276" t="s">
        <v>1631</v>
      </c>
      <c r="B69" s="277">
        <v>292</v>
      </c>
      <c r="C69" s="277">
        <v>301</v>
      </c>
      <c r="D69" s="277">
        <v>361</v>
      </c>
      <c r="E69" s="277">
        <v>408</v>
      </c>
      <c r="F69" s="277">
        <v>389</v>
      </c>
      <c r="G69" s="277">
        <v>404</v>
      </c>
      <c r="H69" s="277">
        <v>420</v>
      </c>
      <c r="I69" s="277">
        <v>508</v>
      </c>
      <c r="J69" s="277">
        <v>469</v>
      </c>
      <c r="K69" s="277">
        <v>496</v>
      </c>
      <c r="L69" s="277">
        <v>464</v>
      </c>
      <c r="M69" s="277">
        <v>465</v>
      </c>
      <c r="N69" s="277">
        <v>461</v>
      </c>
      <c r="O69" s="277">
        <v>467</v>
      </c>
      <c r="P69" s="277">
        <v>477</v>
      </c>
    </row>
    <row r="71" spans="1:16">
      <c r="I71" s="265" t="s">
        <v>1635</v>
      </c>
      <c r="J71" s="278">
        <f>J69-J66</f>
        <v>287</v>
      </c>
      <c r="K71" s="278">
        <f t="shared" ref="K71:P71" si="4">K69-K66</f>
        <v>303</v>
      </c>
      <c r="L71" s="279">
        <f t="shared" si="4"/>
        <v>301</v>
      </c>
      <c r="M71" s="279">
        <f t="shared" si="4"/>
        <v>309</v>
      </c>
      <c r="N71" s="279">
        <f t="shared" si="4"/>
        <v>316</v>
      </c>
      <c r="O71" s="279">
        <f t="shared" si="4"/>
        <v>319</v>
      </c>
      <c r="P71" s="279">
        <f t="shared" si="4"/>
        <v>327</v>
      </c>
    </row>
    <row r="72" spans="1:16">
      <c r="K72" s="265" t="s">
        <v>1634</v>
      </c>
      <c r="L72" s="350">
        <f>SUM(L71:P71)</f>
        <v>1572</v>
      </c>
      <c r="M72" s="350"/>
      <c r="N72" s="350"/>
      <c r="O72" s="350"/>
      <c r="P72" s="350"/>
    </row>
    <row r="94" spans="1:10">
      <c r="A94" s="119"/>
      <c r="B94" s="119"/>
      <c r="C94" s="119"/>
      <c r="D94" s="119"/>
      <c r="E94" s="119"/>
      <c r="F94" s="119"/>
      <c r="G94" s="119"/>
      <c r="H94" s="119"/>
      <c r="I94" s="119"/>
      <c r="J94" s="119"/>
    </row>
    <row r="95" spans="1:10">
      <c r="A95" s="119" t="s">
        <v>1640</v>
      </c>
      <c r="B95" s="119" t="s">
        <v>1582</v>
      </c>
      <c r="C95" s="119" t="s">
        <v>1575</v>
      </c>
      <c r="D95" s="119" t="s">
        <v>1576</v>
      </c>
      <c r="E95" s="119" t="s">
        <v>1577</v>
      </c>
      <c r="F95" s="119" t="s">
        <v>1578</v>
      </c>
      <c r="G95" s="119" t="s">
        <v>1579</v>
      </c>
      <c r="H95" s="119" t="s">
        <v>1639</v>
      </c>
    </row>
    <row r="96" spans="1:10">
      <c r="A96" s="255" t="s">
        <v>1657</v>
      </c>
      <c r="B96" s="255" t="s">
        <v>1584</v>
      </c>
      <c r="C96" s="270">
        <v>464</v>
      </c>
      <c r="D96" s="270">
        <v>465</v>
      </c>
      <c r="E96" s="270">
        <v>461</v>
      </c>
      <c r="F96" s="270">
        <v>467</v>
      </c>
      <c r="G96" s="270">
        <v>477</v>
      </c>
      <c r="H96" s="270">
        <f>SUM(Table203739[[#This Row],[2015]:[2019]])</f>
        <v>2334</v>
      </c>
    </row>
    <row r="97" spans="1:8">
      <c r="A97" s="255" t="s">
        <v>1574</v>
      </c>
      <c r="B97" s="255" t="s">
        <v>1584</v>
      </c>
      <c r="C97" s="117">
        <v>281.26829268292687</v>
      </c>
      <c r="D97" s="117">
        <v>284.02141582391431</v>
      </c>
      <c r="E97" s="117">
        <v>287.49437762075416</v>
      </c>
      <c r="F97" s="117">
        <v>291.44432243208109</v>
      </c>
      <c r="G97" s="117">
        <v>295.29571749034091</v>
      </c>
      <c r="H97" s="117">
        <f>SUM(Table203739[[#This Row],[2015]:[2019]])</f>
        <v>1439.5241260500175</v>
      </c>
    </row>
    <row r="98" spans="1:8">
      <c r="A98" s="255" t="s">
        <v>1655</v>
      </c>
      <c r="B98" s="255" t="s">
        <v>1584</v>
      </c>
      <c r="C98" s="270">
        <v>163</v>
      </c>
      <c r="D98" s="270">
        <v>156</v>
      </c>
      <c r="E98" s="270">
        <v>145</v>
      </c>
      <c r="F98" s="270">
        <v>148</v>
      </c>
      <c r="G98" s="270">
        <v>150</v>
      </c>
      <c r="H98" s="117">
        <f>SUM(Table203739[[#This Row],[2015]:[2019]])</f>
        <v>762</v>
      </c>
    </row>
    <row r="99" spans="1:8">
      <c r="A99" s="2" t="s">
        <v>1656</v>
      </c>
      <c r="B99" s="2" t="s">
        <v>1584</v>
      </c>
      <c r="C99" s="118">
        <f>C96-C98</f>
        <v>301</v>
      </c>
      <c r="D99" s="118">
        <f>D96-D98</f>
        <v>309</v>
      </c>
      <c r="E99" s="118">
        <f>E96-E98</f>
        <v>316</v>
      </c>
      <c r="F99" s="118">
        <f>F96-F98</f>
        <v>319</v>
      </c>
      <c r="G99" s="118">
        <f>G96-G98</f>
        <v>327</v>
      </c>
      <c r="H99" s="280">
        <f>SUM(Table203739[[#This Row],[2015]:[2019]])</f>
        <v>1572</v>
      </c>
    </row>
    <row r="100" spans="1:8">
      <c r="A100" s="281" t="s">
        <v>1641</v>
      </c>
      <c r="B100" s="281" t="s">
        <v>1584</v>
      </c>
      <c r="C100" s="282">
        <f>C97-C98</f>
        <v>118.26829268292687</v>
      </c>
      <c r="D100" s="282">
        <f t="shared" ref="D100:G100" si="5">D97-D98</f>
        <v>128.02141582391431</v>
      </c>
      <c r="E100" s="282">
        <f t="shared" si="5"/>
        <v>142.49437762075416</v>
      </c>
      <c r="F100" s="282">
        <f t="shared" si="5"/>
        <v>143.44432243208109</v>
      </c>
      <c r="G100" s="282">
        <f t="shared" si="5"/>
        <v>145.29571749034091</v>
      </c>
      <c r="H100" s="283">
        <f>SUM(Table203739[[#This Row],[2015]:[2019]])</f>
        <v>677.52412605001723</v>
      </c>
    </row>
    <row r="101" spans="1:8">
      <c r="A101" s="255" t="s">
        <v>1636</v>
      </c>
      <c r="B101" s="255" t="s">
        <v>1584</v>
      </c>
      <c r="C101" s="270">
        <v>267.60000000000002</v>
      </c>
      <c r="D101" s="270">
        <v>272.39999999999998</v>
      </c>
      <c r="E101" s="270">
        <v>281.2</v>
      </c>
      <c r="F101" s="270">
        <v>278.7</v>
      </c>
      <c r="G101" s="270">
        <v>284.39999999999998</v>
      </c>
      <c r="H101" s="117">
        <f>SUM(Table203739[[#This Row],[2015]:[2019]])</f>
        <v>1384.3000000000002</v>
      </c>
    </row>
    <row r="102" spans="1:8">
      <c r="A102" s="255" t="s">
        <v>1638</v>
      </c>
      <c r="B102" s="255" t="s">
        <v>1584</v>
      </c>
      <c r="C102" s="117">
        <v>206.92682926829269</v>
      </c>
      <c r="D102" s="117">
        <v>209.87507436049972</v>
      </c>
      <c r="E102" s="117">
        <v>213.67072445263415</v>
      </c>
      <c r="F102" s="117">
        <v>217.88113007434103</v>
      </c>
      <c r="G102" s="117">
        <v>222.46612419131637</v>
      </c>
      <c r="H102" s="117">
        <f>SUM(Table203739[[#This Row],[2015]:[2019]])</f>
        <v>1070.8198823470841</v>
      </c>
    </row>
    <row r="103" spans="1:8">
      <c r="A103" s="255" t="s">
        <v>1637</v>
      </c>
      <c r="B103" s="255" t="s">
        <v>1584</v>
      </c>
      <c r="C103" s="270">
        <v>63.6</v>
      </c>
      <c r="D103" s="270">
        <v>64.900000000000006</v>
      </c>
      <c r="E103" s="270">
        <v>66.099999999999994</v>
      </c>
      <c r="F103" s="270">
        <v>64.3</v>
      </c>
      <c r="G103" s="270">
        <v>64.5</v>
      </c>
      <c r="H103" s="117">
        <f>SUM(Table203739[[#This Row],[2015]:[2019]])</f>
        <v>323.39999999999998</v>
      </c>
    </row>
    <row r="104" spans="1:8">
      <c r="A104" s="2" t="s">
        <v>1642</v>
      </c>
      <c r="B104" s="2" t="s">
        <v>1584</v>
      </c>
      <c r="C104" s="118">
        <f>C101-C103</f>
        <v>204.00000000000003</v>
      </c>
      <c r="D104" s="118">
        <f>D101-D103</f>
        <v>207.49999999999997</v>
      </c>
      <c r="E104" s="118">
        <f>E101-E103</f>
        <v>215.1</v>
      </c>
      <c r="F104" s="118">
        <f>F101-F103</f>
        <v>214.39999999999998</v>
      </c>
      <c r="G104" s="118">
        <f>G101-G103</f>
        <v>219.89999999999998</v>
      </c>
      <c r="H104" s="118">
        <f>SUM(Table203739[[#This Row],[2015]:[2019]])</f>
        <v>1060.9000000000001</v>
      </c>
    </row>
    <row r="105" spans="1:8">
      <c r="A105" s="284" t="s">
        <v>1643</v>
      </c>
      <c r="B105" s="284" t="s">
        <v>1584</v>
      </c>
      <c r="C105" s="285">
        <f>C102-C103</f>
        <v>143.3268292682927</v>
      </c>
      <c r="D105" s="285">
        <f t="shared" ref="D105:G105" si="6">D102-D103</f>
        <v>144.97507436049972</v>
      </c>
      <c r="E105" s="285">
        <f t="shared" si="6"/>
        <v>147.57072445263415</v>
      </c>
      <c r="F105" s="285">
        <f t="shared" si="6"/>
        <v>153.58113007434105</v>
      </c>
      <c r="G105" s="285">
        <f t="shared" si="6"/>
        <v>157.96612419131637</v>
      </c>
      <c r="H105" s="285">
        <f>SUM(Table203739[[#This Row],[2015]:[2019]])</f>
        <v>747.41988234708401</v>
      </c>
    </row>
    <row r="125" spans="1:12" ht="15.75" thickBot="1"/>
    <row r="126" spans="1:12" ht="26.25" thickBot="1">
      <c r="A126" s="338" t="s">
        <v>1678</v>
      </c>
      <c r="B126" s="346" t="s">
        <v>1591</v>
      </c>
      <c r="C126" s="339" t="s">
        <v>1592</v>
      </c>
      <c r="D126" s="339" t="s">
        <v>1593</v>
      </c>
      <c r="E126" s="339" t="s">
        <v>1594</v>
      </c>
      <c r="F126" s="339" t="s">
        <v>1595</v>
      </c>
      <c r="G126" s="339" t="s">
        <v>1596</v>
      </c>
      <c r="H126" s="339" t="s">
        <v>1597</v>
      </c>
      <c r="I126" s="339" t="s">
        <v>1598</v>
      </c>
      <c r="J126" s="339" t="s">
        <v>1599</v>
      </c>
      <c r="K126" s="339" t="s">
        <v>1600</v>
      </c>
      <c r="L126" s="339" t="s">
        <v>1601</v>
      </c>
    </row>
    <row r="127" spans="1:12" ht="15.75" thickBot="1">
      <c r="A127" s="340" t="s">
        <v>1679</v>
      </c>
      <c r="B127" s="347">
        <v>46</v>
      </c>
      <c r="C127" s="341">
        <v>57</v>
      </c>
      <c r="D127" s="341">
        <v>65</v>
      </c>
      <c r="E127" s="341">
        <v>99</v>
      </c>
      <c r="F127" s="341">
        <v>117</v>
      </c>
      <c r="G127" s="341">
        <v>110</v>
      </c>
      <c r="H127" s="341">
        <v>118.51450604356796</v>
      </c>
      <c r="I127" s="341">
        <v>116.50901641882305</v>
      </c>
      <c r="J127" s="341">
        <v>102.38679518753408</v>
      </c>
      <c r="K127" s="341">
        <v>105.20677701238296</v>
      </c>
      <c r="L127" s="341">
        <v>96.355420634413477</v>
      </c>
    </row>
    <row r="128" spans="1:12" ht="16.5" thickTop="1" thickBot="1">
      <c r="A128" s="342" t="s">
        <v>1680</v>
      </c>
      <c r="B128" s="348"/>
      <c r="C128" s="343"/>
      <c r="D128" s="343"/>
      <c r="E128" s="343"/>
      <c r="F128" s="343"/>
      <c r="G128" s="343"/>
      <c r="H128" s="343">
        <v>48.517015903553414</v>
      </c>
      <c r="I128" s="343">
        <v>43.42765217298799</v>
      </c>
      <c r="J128" s="343">
        <v>37.034172689210791</v>
      </c>
      <c r="K128" s="343">
        <v>36.144584701160738</v>
      </c>
      <c r="L128" s="343">
        <v>32.904381294362835</v>
      </c>
    </row>
    <row r="129" spans="1:12" ht="16.5" thickTop="1" thickBot="1">
      <c r="A129" s="344" t="s">
        <v>1681</v>
      </c>
      <c r="B129" s="349"/>
      <c r="C129" s="345"/>
      <c r="D129" s="345"/>
      <c r="E129" s="345"/>
      <c r="F129" s="345"/>
      <c r="G129" s="345"/>
      <c r="H129" s="345">
        <v>167.03152194712138</v>
      </c>
      <c r="I129" s="345">
        <v>159.93666859181104</v>
      </c>
      <c r="J129" s="345">
        <v>139.42096787674487</v>
      </c>
      <c r="K129" s="345">
        <v>141.3513617135437</v>
      </c>
      <c r="L129" s="345">
        <v>129.25980192877631</v>
      </c>
    </row>
    <row r="130" spans="1:12" ht="15.75" thickTop="1"/>
  </sheetData>
  <mergeCells count="2">
    <mergeCell ref="L72:P72"/>
    <mergeCell ref="B34:C34"/>
  </mergeCells>
  <pageMargins left="0.23622047244094491" right="0.23622047244094491" top="0.74803149606299213" bottom="0.74803149606299213" header="0.31496062992125984" footer="0.31496062992125984"/>
  <pageSetup paperSize="8" orientation="portrait" r:id="rId1"/>
  <headerFooter>
    <oddHeader>&amp;C&amp;16&amp;U&amp;A</oddHeader>
    <oddFooter>&amp;L&amp;F [&amp;A]&amp;R&amp;D &amp;T     &amp;P/&amp;N</oddFooter>
  </headerFooter>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'Asset Comparison'!$A$36:$A$66</xm:f>
          </x14:formula1>
          <xm:sqref>B34 B94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4"/>
    <pageSetUpPr fitToPage="1"/>
  </sheetPr>
  <dimension ref="A1:AJ162"/>
  <sheetViews>
    <sheetView showGridLines="0" zoomScale="80" zoomScaleNormal="80" zoomScaleSheetLayoutView="50" zoomScalePageLayoutView="30" workbookViewId="0">
      <selection activeCell="N41" sqref="N41"/>
    </sheetView>
  </sheetViews>
  <sheetFormatPr defaultRowHeight="15"/>
  <cols>
    <col min="1" max="1" width="20.5703125" customWidth="1"/>
    <col min="2" max="2" width="9.85546875" customWidth="1"/>
    <col min="3" max="3" width="9.85546875" bestFit="1" customWidth="1"/>
    <col min="4" max="4" width="9.5703125" bestFit="1" customWidth="1"/>
    <col min="5" max="5" width="11.140625" bestFit="1" customWidth="1"/>
    <col min="6" max="7" width="12.85546875" style="31" customWidth="1"/>
    <col min="8" max="8" width="13.140625" style="221" bestFit="1" customWidth="1"/>
    <col min="9" max="9" width="2.5703125" style="119" customWidth="1"/>
    <col min="10" max="10" width="20.5703125" style="119" customWidth="1"/>
    <col min="11" max="11" width="12" style="119" bestFit="1" customWidth="1"/>
    <col min="12" max="12" width="9.85546875" style="119" bestFit="1" customWidth="1"/>
    <col min="13" max="13" width="9" style="119" bestFit="1" customWidth="1"/>
    <col min="14" max="14" width="10.5703125" style="119" bestFit="1" customWidth="1"/>
    <col min="15" max="16" width="12.85546875" style="31" customWidth="1"/>
    <col min="17" max="17" width="13.140625" style="221" bestFit="1" customWidth="1"/>
    <col min="18" max="18" width="2.5703125" style="119" customWidth="1"/>
    <col min="19" max="19" width="20.5703125" style="119" customWidth="1"/>
    <col min="20" max="20" width="9.85546875" style="119" customWidth="1"/>
    <col min="21" max="21" width="9.85546875" style="119" bestFit="1" customWidth="1"/>
    <col min="22" max="22" width="9" style="119" bestFit="1" customWidth="1"/>
    <col min="23" max="23" width="10.5703125" style="119" bestFit="1" customWidth="1"/>
    <col min="24" max="25" width="12.85546875" style="31" customWidth="1"/>
    <col min="26" max="26" width="13.140625" style="221" bestFit="1" customWidth="1"/>
    <col min="27" max="27" width="2.5703125" style="119" customWidth="1"/>
    <col min="28" max="28" width="20.5703125" style="119" customWidth="1"/>
    <col min="29" max="29" width="10.5703125" style="119" bestFit="1" customWidth="1"/>
    <col min="30" max="30" width="9.85546875" style="119" bestFit="1" customWidth="1"/>
    <col min="31" max="31" width="9" style="119" bestFit="1" customWidth="1"/>
    <col min="32" max="32" width="10.5703125" style="119" bestFit="1" customWidth="1"/>
    <col min="33" max="34" width="12.85546875" style="31" customWidth="1"/>
    <col min="35" max="35" width="13.140625" style="221" bestFit="1" customWidth="1"/>
  </cols>
  <sheetData>
    <row r="1" spans="1:35" s="255" customFormat="1" ht="29.25" customHeight="1">
      <c r="A1" s="237" t="s">
        <v>1551</v>
      </c>
      <c r="B1" s="238" t="s">
        <v>310</v>
      </c>
      <c r="C1" s="238" t="s">
        <v>1674</v>
      </c>
      <c r="D1" s="238" t="s">
        <v>1218</v>
      </c>
      <c r="E1" s="238" t="s">
        <v>0</v>
      </c>
      <c r="F1" s="239" t="s">
        <v>1675</v>
      </c>
      <c r="G1" s="239" t="s">
        <v>1676</v>
      </c>
      <c r="H1" s="240" t="s">
        <v>1552</v>
      </c>
      <c r="J1" s="241" t="str">
        <f>$A1</f>
        <v>Asset</v>
      </c>
      <c r="K1" s="238" t="s">
        <v>310</v>
      </c>
      <c r="L1" s="238" t="s">
        <v>1674</v>
      </c>
      <c r="M1" s="238" t="s">
        <v>1218</v>
      </c>
      <c r="N1" s="238" t="s">
        <v>0</v>
      </c>
      <c r="O1" s="239" t="s">
        <v>1675</v>
      </c>
      <c r="P1" s="239" t="s">
        <v>1676</v>
      </c>
      <c r="Q1" s="240" t="s">
        <v>1552</v>
      </c>
      <c r="S1" s="241" t="str">
        <f>S2&amp;" ("&amp;Z2&amp;")"</f>
        <v>Total Assets (Asset)</v>
      </c>
      <c r="T1" s="238" t="s">
        <v>310</v>
      </c>
      <c r="U1" s="238" t="s">
        <v>1674</v>
      </c>
      <c r="V1" s="238" t="s">
        <v>1218</v>
      </c>
      <c r="W1" s="238" t="s">
        <v>0</v>
      </c>
      <c r="X1" s="239" t="s">
        <v>1675</v>
      </c>
      <c r="Y1" s="239" t="s">
        <v>1676</v>
      </c>
      <c r="Z1" s="240" t="s">
        <v>1552</v>
      </c>
      <c r="AB1" s="241" t="str">
        <f>$A1</f>
        <v>Asset</v>
      </c>
      <c r="AC1" s="238" t="s">
        <v>310</v>
      </c>
      <c r="AD1" s="238" t="s">
        <v>1674</v>
      </c>
      <c r="AE1" s="238" t="s">
        <v>1218</v>
      </c>
      <c r="AF1" s="238" t="s">
        <v>0</v>
      </c>
      <c r="AG1" s="239" t="s">
        <v>1675</v>
      </c>
      <c r="AH1" s="239" t="s">
        <v>1676</v>
      </c>
      <c r="AI1" s="240" t="s">
        <v>1552</v>
      </c>
    </row>
    <row r="2" spans="1:35" s="255" customFormat="1">
      <c r="A2" s="242" t="s">
        <v>1211</v>
      </c>
      <c r="B2" s="243">
        <f>VLOOKUP(Graphs!$A$2:$A$2,Network_Size_Comparison[#All],MATCH(Graphs!$A$1:$H$1,Network_Size_Comparison[#Headers],0),FALSE)</f>
        <v>75088.23000000001</v>
      </c>
      <c r="C2" s="243">
        <f>VLOOKUP(Graphs!$A$2:$A$2,Network_Size_Comparison[#All],MATCH(Graphs!$A$1:$H$1,Network_Size_Comparison[#Headers],0),FALSE)</f>
        <v>44616.377207440004</v>
      </c>
      <c r="D2" s="243">
        <f>VLOOKUP(Graphs!$A$2:$A$2,Network_Size_Comparison[#All],MATCH(Graphs!$A$1:$H$1,Network_Size_Comparison[#Headers],0),FALSE)</f>
        <v>87895.373227180011</v>
      </c>
      <c r="E2" s="243">
        <f>VLOOKUP(Graphs!$A$2:$A$2,Network_Size_Comparison[#All],MATCH(Graphs!$A$1:$H$1,Network_Size_Comparison[#Headers],0),FALSE)</f>
        <v>193422.82999999952</v>
      </c>
      <c r="F2" s="244">
        <f>VLOOKUP(Graphs!$A$2:$A$2,Network_Size_Comparison[#All],MATCH(Graphs!$A$1:$H$1,Network_Size_Comparison[#Headers],0),FALSE)</f>
        <v>119704.60720744001</v>
      </c>
      <c r="G2" s="244">
        <f>VLOOKUP(Graphs!$A$2:$A$2,Network_Size_Comparison[#All],MATCH(Graphs!$A$1:$H$1,Network_Size_Comparison[#Headers],0),FALSE)</f>
        <v>162983.60322718002</v>
      </c>
      <c r="H2" s="245" t="str">
        <f>VLOOKUP(Graphs!$A$2:$A$2,Network_Size_Comparison[#All],MATCH(Graphs!$A$1:$H$1,Network_Size_Comparison[#Headers],0),FALSE)</f>
        <v>km</v>
      </c>
      <c r="J2" s="242" t="s">
        <v>1540</v>
      </c>
      <c r="K2" s="243">
        <f>VLOOKUP(Graphs!$J$2:$J$2,Network_Size_Comparison[#All],MATCH(Graphs!$J$1:$Q$1,Network_Size_Comparison[#Headers],0),FALSE)</f>
        <v>547567</v>
      </c>
      <c r="L2" s="243">
        <f>VLOOKUP(Graphs!$J$2:$J$2,Network_Size_Comparison[#All],MATCH(Graphs!$J$1:$Q$1,Network_Size_Comparison[#Headers],0),FALSE)</f>
        <v>372147</v>
      </c>
      <c r="M2" s="243">
        <f>VLOOKUP(Graphs!$J$2:$J$2,Network_Size_Comparison[#All],MATCH(Graphs!$J$1:$Q$1,Network_Size_Comparison[#Headers],0),FALSE)</f>
        <v>739709</v>
      </c>
      <c r="N2" s="243">
        <f>VLOOKUP(Graphs!$J$2:$J$2,Network_Size_Comparison[#All],MATCH(Graphs!$J$1:$Q$1,Network_Size_Comparison[#Headers],0),FALSE)</f>
        <v>1377483</v>
      </c>
      <c r="O2" s="244">
        <f>VLOOKUP(Graphs!$J$2:$J$2,Network_Size_Comparison[#All],MATCH(Graphs!$J$1:$Q$1,Network_Size_Comparison[#Headers],0),FALSE)</f>
        <v>919714</v>
      </c>
      <c r="P2" s="244">
        <f>VLOOKUP(Graphs!$J$2:$J$2,Network_Size_Comparison[#All],MATCH(Graphs!$J$1:$Q$1,Network_Size_Comparison[#Headers],0),FALSE)</f>
        <v>1287276</v>
      </c>
      <c r="Q2" s="245" t="str">
        <f>VLOOKUP(Graphs!$J$2:$J$2,Network_Size_Comparison[#All],MATCH(Graphs!$J$1:$Q$1,Network_Size_Comparison[#Headers],0),FALSE)</f>
        <v>Pole</v>
      </c>
      <c r="S2" s="242" t="s">
        <v>1213</v>
      </c>
      <c r="T2" s="243">
        <f>VLOOKUP(Graphs!$S$2:$S$2,Network_Size_Comparison[#All],MATCH(Graphs!$S$1:$Z$1,Network_Size_Comparison[#Headers],0),FALSE)</f>
        <v>1217378.45</v>
      </c>
      <c r="U2" s="243">
        <f>VLOOKUP(Graphs!$S$2:$S$2,Network_Size_Comparison[#All],MATCH(Graphs!$S$1:$Z$1,Network_Size_Comparison[#Headers],0),FALSE)</f>
        <v>691672.35720743996</v>
      </c>
      <c r="V2" s="243">
        <f>VLOOKUP(Graphs!$S$2:$S$2,Network_Size_Comparison[#All],MATCH(Graphs!$S$1:$Z$1,Network_Size_Comparison[#Headers],0),FALSE)</f>
        <v>929407.86322717997</v>
      </c>
      <c r="W2" s="243">
        <f>VLOOKUP(Graphs!$S$2:$S$2,Network_Size_Comparison[#All],MATCH(Graphs!$S$1:$Z$1,Network_Size_Comparison[#Headers],0),FALSE)</f>
        <v>2343085.6011641417</v>
      </c>
      <c r="X2" s="244">
        <f>VLOOKUP(Graphs!$S$2:$S$2,Network_Size_Comparison[#All],MATCH(Graphs!$S$1:$Z$1,Network_Size_Comparison[#Headers],0),FALSE)</f>
        <v>1909050.80720744</v>
      </c>
      <c r="Y2" s="244">
        <f>VLOOKUP(Graphs!$S$2:$S$2,Network_Size_Comparison[#All],MATCH(Graphs!$S$1:$Z$1,Network_Size_Comparison[#Headers],0),FALSE)</f>
        <v>2146786.3132271799</v>
      </c>
      <c r="Z2" s="245" t="str">
        <f>VLOOKUP(Graphs!$S$2:$S$2,Network_Size_Comparison[#All],MATCH(Graphs!$S$1:$Z$1,Network_Size_Comparison[#Headers],0),FALSE)</f>
        <v>Asset</v>
      </c>
      <c r="AB2" s="242" t="s">
        <v>1668</v>
      </c>
      <c r="AC2" s="243">
        <f>VLOOKUP(Graphs!$AB$2:$AB$2,Network_Size_Comparison[#All],MATCH(Graphs!$AB$1:$AI$1,Network_Size_Comparison[#Headers],0),FALSE)</f>
        <v>753913</v>
      </c>
      <c r="AD2" s="243">
        <f>VLOOKUP(Graphs!$AB$2:$AB$2,Network_Size_Comparison[#All],MATCH(Graphs!$AB$1:$AI$1,Network_Size_Comparison[#Headers],0),FALSE)</f>
        <v>681299</v>
      </c>
      <c r="AE2" s="243">
        <f>VLOOKUP(Graphs!$AB$2:$AB$2,Network_Size_Comparison[#All],MATCH(Graphs!$AB$1:$AI$1,Network_Size_Comparison[#Headers],0),FALSE)</f>
        <v>847766</v>
      </c>
      <c r="AF2" s="243">
        <f>VLOOKUP(Graphs!$AB$2:$AB$2,Network_Size_Comparison[#All],MATCH(Graphs!$AB$1:$AI$1,Network_Size_Comparison[#Headers],0),FALSE)</f>
        <v>844244</v>
      </c>
      <c r="AG2" s="244">
        <f>VLOOKUP(Graphs!$AB$2:$AB$2,Network_Size_Comparison[#All],MATCH(Graphs!$AB$1:$AI$1,Network_Size_Comparison[#Headers],0),FALSE)</f>
        <v>1435212</v>
      </c>
      <c r="AH2" s="244">
        <f>VLOOKUP(Graphs!$AB$2:$AB$2,Network_Size_Comparison[#All],MATCH(Graphs!$AB$1:$AI$1,Network_Size_Comparison[#Headers],0),FALSE)</f>
        <v>1601679</v>
      </c>
      <c r="AI2" s="245" t="str">
        <f>VLOOKUP(Graphs!$AB$2:$AB$2,Network_Size_Comparison[#All],MATCH(Graphs!$AB$1:$AI$1,Network_Size_Comparison[#Headers],0),FALSE)</f>
        <v>Customer</v>
      </c>
    </row>
    <row r="12" spans="1:35" s="119" customFormat="1">
      <c r="F12" s="31"/>
      <c r="G12" s="31"/>
      <c r="H12" s="221"/>
      <c r="O12" s="31"/>
      <c r="P12" s="31"/>
      <c r="Q12" s="221"/>
      <c r="X12" s="31"/>
      <c r="Y12" s="31"/>
      <c r="Z12" s="221"/>
      <c r="AG12" s="31"/>
      <c r="AH12" s="31"/>
      <c r="AI12" s="221"/>
    </row>
    <row r="21" spans="1:35" s="119" customFormat="1" ht="30" customHeight="1">
      <c r="A21" s="241" t="str">
        <f>"Avg Annual Total Opex per "&amp;H22&amp;" ("&amp;A22&amp;")"</f>
        <v>Avg Annual Total Opex per km (Total Line Length)</v>
      </c>
      <c r="B21" s="238" t="s">
        <v>310</v>
      </c>
      <c r="C21" s="238" t="s">
        <v>1674</v>
      </c>
      <c r="D21" s="238" t="s">
        <v>1218</v>
      </c>
      <c r="E21" s="238" t="s">
        <v>0</v>
      </c>
      <c r="F21" s="239" t="s">
        <v>1675</v>
      </c>
      <c r="G21" s="246" t="s">
        <v>1676</v>
      </c>
      <c r="H21" s="240" t="s">
        <v>1552</v>
      </c>
      <c r="I21"/>
      <c r="J21" s="241" t="str">
        <f>"Avg Annual Total Opex per "&amp;Q22&amp;" ("&amp;J22&amp;")"</f>
        <v>Avg Annual Total Opex per Pole (Total Poles)</v>
      </c>
      <c r="K21" s="238" t="s">
        <v>310</v>
      </c>
      <c r="L21" s="238" t="s">
        <v>1674</v>
      </c>
      <c r="M21" s="238" t="s">
        <v>1218</v>
      </c>
      <c r="N21" s="238" t="s">
        <v>0</v>
      </c>
      <c r="O21" s="239" t="s">
        <v>1675</v>
      </c>
      <c r="P21" s="246" t="s">
        <v>1676</v>
      </c>
      <c r="Q21" s="240" t="s">
        <v>1552</v>
      </c>
      <c r="R21"/>
      <c r="S21" s="241" t="str">
        <f>"Avg Annual Total Opex per "&amp;Z22&amp;" ("&amp;S22&amp;")"</f>
        <v>Avg Annual Total Opex per Asset (Total Assets)</v>
      </c>
      <c r="T21" s="238" t="s">
        <v>310</v>
      </c>
      <c r="U21" s="238" t="s">
        <v>1674</v>
      </c>
      <c r="V21" s="238" t="s">
        <v>1218</v>
      </c>
      <c r="W21" s="238" t="s">
        <v>0</v>
      </c>
      <c r="X21" s="239" t="s">
        <v>1675</v>
      </c>
      <c r="Y21" s="246" t="s">
        <v>1676</v>
      </c>
      <c r="Z21" s="240" t="s">
        <v>1552</v>
      </c>
      <c r="AA21"/>
      <c r="AB21" s="241" t="str">
        <f>"Avg Annual Total Opex per "&amp;AI22&amp;" ("&amp;AB22&amp;")"</f>
        <v>Avg Annual Total Opex per Customer (Customer Count)</v>
      </c>
      <c r="AC21" s="238" t="s">
        <v>310</v>
      </c>
      <c r="AD21" s="238" t="s">
        <v>1674</v>
      </c>
      <c r="AE21" s="238" t="s">
        <v>1218</v>
      </c>
      <c r="AF21" s="238" t="s">
        <v>0</v>
      </c>
      <c r="AG21" s="239" t="s">
        <v>1675</v>
      </c>
      <c r="AH21" s="246" t="s">
        <v>1676</v>
      </c>
      <c r="AI21" s="240" t="s">
        <v>1552</v>
      </c>
    </row>
    <row r="22" spans="1:35" s="119" customFormat="1">
      <c r="A22" s="242" t="s">
        <v>1211</v>
      </c>
      <c r="B22" s="249">
        <f>VLOOKUP("Total",OPEX_CategoryComparisonBalanced[#All],MATCH(Graphs!$A$21:$G$21,OPEX_CategoryComparisonBalanced[#Headers],0),FALSE)/5/VLOOKUP(Graphs!$A$22:$A$22,Network_Size_Comparison[#All],MATCH(Graphs!$A$21:$G$21,Network_Size_Comparison[#Headers],0),FALSE)</f>
        <v>2028.6811927781489</v>
      </c>
      <c r="C22" s="249">
        <f>VLOOKUP("Total",OPEX_CategoryComparisonBalanced[#All],MATCH(Graphs!$A$21:$G$21,OPEX_CategoryComparisonBalanced[#Headers],0),FALSE)/5/VLOOKUP(Graphs!$A$22:$A$22,Network_Size_Comparison[#All],MATCH(Graphs!$A$21:$G$21,Network_Size_Comparison[#Headers],0),FALSE)</f>
        <v>3445.413371608935</v>
      </c>
      <c r="D22" s="249">
        <f>VLOOKUP("Total",OPEX_CategoryComparisonBalanced[#All],MATCH(Graphs!$A$21:$G$21,OPEX_CategoryComparisonBalanced[#Headers],0),FALSE)/5/VLOOKUP(Graphs!$A$22:$A$22,Network_Size_Comparison[#All],MATCH(Graphs!$A$21:$G$21,Network_Size_Comparison[#Headers],0),FALSE)</f>
        <v>2117.7587985079435</v>
      </c>
      <c r="E22" s="249">
        <f>VLOOKUP("Total",OPEX_CategoryComparisonBalanced[#All],MATCH(Graphs!$A$21:$G$21,OPEX_CategoryComparisonBalanced[#Headers],0),FALSE)/5/VLOOKUP(Graphs!$A$22:$A$22,Network_Size_Comparison[#All],MATCH(Graphs!$A$21:$G$21,Network_Size_Comparison[#Headers],0),FALSE)</f>
        <v>2106.6880460371917</v>
      </c>
      <c r="F22" s="249">
        <f>VLOOKUP("Total",OPEX_CategoryComparisonBalanced[#All],MATCH(Graphs!$A$21:$G$21,OPEX_CategoryComparisonBalanced[#Headers],0),FALSE)/5/VLOOKUP(Graphs!$A$22:$A$22,Network_Size_Comparison[#All],MATCH(Graphs!$A$21:$G$21,Network_Size_Comparison[#Headers],0),FALSE)</f>
        <v>2556.7265100573327</v>
      </c>
      <c r="G22" s="250">
        <f>VLOOKUP("Total",OPEX_CategoryComparisonBalanced[#All],MATCH(Graphs!$A$21:$G$21,OPEX_CategoryComparisonBalanced[#Headers],0),FALSE)/5/VLOOKUP(Graphs!$A$22:$A$22,Network_Size_Comparison[#All],MATCH(Graphs!$A$21:$G$21,Network_Size_Comparison[#Headers],0),FALSE)</f>
        <v>2076.7198251729087</v>
      </c>
      <c r="H22" s="245" t="str">
        <f>VLOOKUP(A22,Network_Size_Comparison[#All],MATCH(H21,Network_Size_Comparison[#Headers],0),FALSE)</f>
        <v>km</v>
      </c>
      <c r="I22"/>
      <c r="J22" s="242" t="s">
        <v>1540</v>
      </c>
      <c r="K22" s="249">
        <f>VLOOKUP("Total",OPEX_CategoryComparisonBalanced[#All],MATCH(Graphs!K21,OPEX_CategoryComparisonBalanced[#Headers],0),FALSE)/5/VLOOKUP(Graphs!$J$22,Network_Size_Comparison[#All],MATCH(Graphs!K21,Network_Size_Comparison[#Headers],0),FALSE)</f>
        <v>278.19441273853244</v>
      </c>
      <c r="L22" s="249">
        <f>VLOOKUP("Total",OPEX_CategoryComparisonBalanced[#All],MATCH(Graphs!L21,OPEX_CategoryComparisonBalanced[#Headers],0),FALSE)/5/VLOOKUP(Graphs!$J$22,Network_Size_Comparison[#All],MATCH(Graphs!L21,Network_Size_Comparison[#Headers],0),FALSE)</f>
        <v>413.06758518344066</v>
      </c>
      <c r="M22" s="249">
        <f>VLOOKUP("Total",OPEX_CategoryComparisonBalanced[#All],MATCH(Graphs!M21,OPEX_CategoryComparisonBalanced[#Headers],0),FALSE)/5/VLOOKUP(Graphs!$J$22,Network_Size_Comparison[#All],MATCH(Graphs!M21,Network_Size_Comparison[#Headers],0),FALSE)</f>
        <v>251.64111833166825</v>
      </c>
      <c r="N22" s="249">
        <f>VLOOKUP("Total",OPEX_CategoryComparisonBalanced[#All],MATCH(Graphs!N21,OPEX_CategoryComparisonBalanced[#Headers],0),FALSE)/5/VLOOKUP(Graphs!$J$22,Network_Size_Comparison[#All],MATCH(Graphs!N21,Network_Size_Comparison[#Headers],0),FALSE)</f>
        <v>295.81603823182058</v>
      </c>
      <c r="O22" s="249">
        <f>VLOOKUP("Total",OPEX_CategoryComparisonBalanced[#All],MATCH(Graphs!O21,OPEX_CategoryComparisonBalanced[#Headers],0),FALSE)/5/VLOOKUP(Graphs!$J$22,Network_Size_Comparison[#All],MATCH(Graphs!O21,Network_Size_Comparison[#Headers],0),FALSE)</f>
        <v>332.76860265611043</v>
      </c>
      <c r="P22" s="249">
        <f>VLOOKUP("Total",OPEX_CategoryComparisonBalanced[#All],MATCH(Graphs!P21,OPEX_CategoryComparisonBalanced[#Headers],0),FALSE)/5/VLOOKUP(Graphs!$J$22,Network_Size_Comparison[#All],MATCH(Graphs!P21,Network_Size_Comparison[#Headers],0),FALSE)</f>
        <v>262.93606033204998</v>
      </c>
      <c r="Q22" s="245" t="str">
        <f>VLOOKUP(J22,Network_Size_Comparison[#All],MATCH(Q21,Network_Size_Comparison[#Headers],0),FALSE)</f>
        <v>Pole</v>
      </c>
      <c r="R22"/>
      <c r="S22" s="242" t="s">
        <v>1213</v>
      </c>
      <c r="T22" s="249">
        <f>VLOOKUP("Total",OPEX_CategoryComparisonBalanced[#All],MATCH(Graphs!T21,OPEX_CategoryComparisonBalanced[#Headers],0),FALSE)/5/VLOOKUP(Graphs!$S$22,Network_Size_Comparison[#All],MATCH(Graphs!T21,Network_Size_Comparison[#Headers],0),FALSE)</f>
        <v>125.12960123452162</v>
      </c>
      <c r="U22" s="249">
        <f>VLOOKUP("Total",OPEX_CategoryComparisonBalanced[#All],MATCH(Graphs!U21,OPEX_CategoryComparisonBalanced[#Headers],0),FALSE)/5/VLOOKUP(Graphs!$S$22,Network_Size_Comparison[#All],MATCH(Graphs!U21,Network_Size_Comparison[#Headers],0),FALSE)</f>
        <v>222.24664759467765</v>
      </c>
      <c r="V22" s="249">
        <f>VLOOKUP("Total",OPEX_CategoryComparisonBalanced[#All],MATCH(Graphs!V21,OPEX_CategoryComparisonBalanced[#Headers],0),FALSE)/5/VLOOKUP(Graphs!$S$22,Network_Size_Comparison[#All],MATCH(Graphs!V21,Network_Size_Comparison[#Headers],0),FALSE)</f>
        <v>200.27934706046332</v>
      </c>
      <c r="W22" s="249">
        <f>VLOOKUP("Total",OPEX_CategoryComparisonBalanced[#All],MATCH(Graphs!W21,OPEX_CategoryComparisonBalanced[#Headers],0),FALSE)/5/VLOOKUP(Graphs!$S$22,Network_Size_Comparison[#All],MATCH(Graphs!W21,Network_Size_Comparison[#Headers],0),FALSE)</f>
        <v>173.90809946902036</v>
      </c>
      <c r="X22" s="249">
        <f>VLOOKUP("Total",OPEX_CategoryComparisonBalanced[#All],MATCH(Graphs!X21,OPEX_CategoryComparisonBalanced[#Headers],0),FALSE)/5/VLOOKUP(Graphs!$S$22,Network_Size_Comparison[#All],MATCH(Graphs!X21,Network_Size_Comparison[#Headers],0),FALSE)</f>
        <v>160.31628989013382</v>
      </c>
      <c r="Y22" s="249">
        <f>VLOOKUP("Total",OPEX_CategoryComparisonBalanced[#All],MATCH(Graphs!Y21,OPEX_CategoryComparisonBalanced[#Headers],0),FALSE)/5/VLOOKUP(Graphs!$S$22,Network_Size_Comparison[#All],MATCH(Graphs!Y21,Network_Size_Comparison[#Headers],0),FALSE)</f>
        <v>157.66416895549764</v>
      </c>
      <c r="Z22" s="245" t="str">
        <f>VLOOKUP(S22,Network_Size_Comparison[#All],MATCH(Z21,Network_Size_Comparison[#Headers],0),FALSE)</f>
        <v>Asset</v>
      </c>
      <c r="AA22"/>
      <c r="AB22" s="242" t="s">
        <v>1668</v>
      </c>
      <c r="AC22" s="249">
        <f>VLOOKUP("Total",OPEX_CategoryComparisonBalanced[#All],MATCH(Graphs!AC21,OPEX_CategoryComparisonBalanced[#Headers],0),FALSE)/5/VLOOKUP(Graphs!$AB$22,Network_Size_Comparison[#All],MATCH(Graphs!AC21,Network_Size_Comparison[#Headers],0),FALSE)</f>
        <v>202.05259758088798</v>
      </c>
      <c r="AD22" s="249">
        <f>VLOOKUP("Total",OPEX_CategoryComparisonBalanced[#All],MATCH(Graphs!AD21,OPEX_CategoryComparisonBalanced[#Headers],0),FALSE)/5/VLOOKUP(Graphs!$AB$22,Network_Size_Comparison[#All],MATCH(Graphs!AD21,Network_Size_Comparison[#Headers],0),FALSE)</f>
        <v>225.63054198415364</v>
      </c>
      <c r="AE22" s="249">
        <f>VLOOKUP("Total",OPEX_CategoryComparisonBalanced[#All],MATCH(Graphs!AE21,OPEX_CategoryComparisonBalanced[#Headers],0),FALSE)/5/VLOOKUP(Graphs!$AB$22,Network_Size_Comparison[#All],MATCH(Graphs!AE21,Network_Size_Comparison[#Headers],0),FALSE)</f>
        <v>219.56672006190388</v>
      </c>
      <c r="AF22" s="249">
        <f>VLOOKUP("Total",OPEX_CategoryComparisonBalanced[#All],MATCH(Graphs!AF21,OPEX_CategoryComparisonBalanced[#Headers],0),FALSE)/5/VLOOKUP(Graphs!$AB$22,Network_Size_Comparison[#All],MATCH(Graphs!AF21,Network_Size_Comparison[#Headers],0),FALSE)</f>
        <v>482.65852501371984</v>
      </c>
      <c r="AG22" s="249">
        <f>VLOOKUP("Total",OPEX_CategoryComparisonBalanced[#All],MATCH(Graphs!AG21,OPEX_CategoryComparisonBalanced[#Headers],0),FALSE)/5/VLOOKUP(Graphs!$AB$22,Network_Size_Comparison[#All],MATCH(Graphs!AG21,Network_Size_Comparison[#Headers],0),FALSE)</f>
        <v>213.24511126109726</v>
      </c>
      <c r="AH22" s="249">
        <f>VLOOKUP("Total",OPEX_CategoryComparisonBalanced[#All],MATCH(Graphs!AH21,OPEX_CategoryComparisonBalanced[#Headers],0),FALSE)/5/VLOOKUP(Graphs!$AB$22,Network_Size_Comparison[#All],MATCH(Graphs!AH21,Network_Size_Comparison[#Headers],0),FALSE)</f>
        <v>211.32279314394458</v>
      </c>
      <c r="AI22" s="245" t="str">
        <f>VLOOKUP(AB22,Network_Size_Comparison[#All],MATCH(AI21,Network_Size_Comparison[#Headers],0),FALSE)</f>
        <v>Customer</v>
      </c>
    </row>
    <row r="23" spans="1:35" s="119" customFormat="1">
      <c r="F23" s="31"/>
      <c r="G23" s="31"/>
      <c r="H23" s="221"/>
      <c r="I23"/>
      <c r="O23" s="31"/>
      <c r="P23" s="31"/>
      <c r="Q23" s="221"/>
      <c r="R23"/>
      <c r="X23" s="31"/>
      <c r="Y23" s="31"/>
      <c r="Z23" s="221"/>
      <c r="AA23"/>
      <c r="AG23" s="31"/>
      <c r="AH23" s="31"/>
      <c r="AI23" s="221"/>
    </row>
    <row r="24" spans="1:35" s="119" customFormat="1">
      <c r="F24" s="31"/>
      <c r="G24" s="31"/>
      <c r="H24" s="221"/>
      <c r="O24" s="31"/>
      <c r="P24" s="31"/>
      <c r="Q24" s="221"/>
      <c r="X24" s="31"/>
      <c r="Y24" s="31"/>
      <c r="Z24" s="221"/>
      <c r="AG24" s="31"/>
      <c r="AH24" s="31"/>
      <c r="AI24" s="221"/>
    </row>
    <row r="25" spans="1:35" s="119" customFormat="1">
      <c r="F25" s="31"/>
      <c r="G25" s="31"/>
      <c r="H25" s="221"/>
      <c r="O25" s="31"/>
      <c r="P25" s="31"/>
      <c r="Q25" s="221"/>
      <c r="X25" s="31"/>
      <c r="Y25" s="31"/>
      <c r="Z25" s="221"/>
      <c r="AG25" s="31"/>
      <c r="AH25" s="31"/>
      <c r="AI25" s="221"/>
    </row>
    <row r="26" spans="1:35" s="119" customFormat="1">
      <c r="F26" s="31"/>
      <c r="G26" s="31"/>
      <c r="H26" s="221"/>
      <c r="O26" s="31"/>
      <c r="P26" s="31"/>
      <c r="Q26" s="221"/>
      <c r="X26" s="31"/>
      <c r="Y26" s="31"/>
      <c r="Z26" s="221"/>
      <c r="AG26" s="31"/>
      <c r="AH26" s="31"/>
      <c r="AI26" s="221"/>
    </row>
    <row r="27" spans="1:35" s="119" customFormat="1">
      <c r="F27" s="31"/>
      <c r="G27" s="31"/>
      <c r="H27" s="221"/>
      <c r="O27" s="31"/>
      <c r="P27" s="31"/>
      <c r="Q27" s="221"/>
      <c r="X27" s="31"/>
      <c r="Y27" s="31"/>
      <c r="Z27" s="221"/>
      <c r="AG27" s="31"/>
      <c r="AH27" s="31"/>
      <c r="AI27" s="221"/>
    </row>
    <row r="28" spans="1:35" s="119" customFormat="1">
      <c r="F28" s="31"/>
      <c r="G28" s="31"/>
      <c r="H28" s="221"/>
      <c r="O28" s="31"/>
      <c r="P28" s="31"/>
      <c r="Q28" s="221"/>
      <c r="X28" s="31"/>
      <c r="Y28" s="31"/>
      <c r="Z28" s="221"/>
      <c r="AG28" s="31"/>
      <c r="AH28" s="31"/>
      <c r="AI28" s="221"/>
    </row>
    <row r="29" spans="1:35" s="119" customFormat="1">
      <c r="F29" s="31"/>
      <c r="G29" s="31"/>
      <c r="H29" s="221"/>
      <c r="O29" s="31"/>
      <c r="P29" s="31"/>
      <c r="Q29" s="221"/>
      <c r="X29" s="31"/>
      <c r="Y29" s="31"/>
      <c r="Z29" s="221"/>
      <c r="AG29" s="31"/>
      <c r="AH29" s="31"/>
      <c r="AI29" s="221"/>
    </row>
    <row r="30" spans="1:35" s="119" customFormat="1">
      <c r="F30" s="31"/>
      <c r="G30" s="31"/>
      <c r="H30" s="221"/>
      <c r="O30" s="31"/>
      <c r="P30" s="31"/>
      <c r="Q30" s="221"/>
      <c r="X30" s="31"/>
      <c r="Y30" s="31"/>
      <c r="Z30" s="221"/>
      <c r="AG30" s="31"/>
      <c r="AH30" s="31"/>
      <c r="AI30" s="221"/>
    </row>
    <row r="31" spans="1:35" s="119" customFormat="1">
      <c r="F31" s="31"/>
      <c r="G31" s="31"/>
      <c r="H31" s="221"/>
      <c r="O31" s="31"/>
      <c r="P31" s="31"/>
      <c r="Q31" s="221"/>
      <c r="X31" s="31"/>
      <c r="Y31" s="31"/>
      <c r="Z31" s="221"/>
      <c r="AG31" s="31"/>
      <c r="AH31" s="31"/>
      <c r="AI31" s="221"/>
    </row>
    <row r="32" spans="1:35" s="119" customFormat="1">
      <c r="F32" s="31"/>
      <c r="G32" s="31"/>
      <c r="H32" s="221"/>
      <c r="O32" s="31"/>
      <c r="P32" s="31"/>
      <c r="Q32" s="221"/>
      <c r="X32" s="31"/>
      <c r="Y32" s="31"/>
      <c r="Z32" s="221"/>
      <c r="AG32" s="31"/>
      <c r="AH32" s="31"/>
      <c r="AI32" s="221"/>
    </row>
    <row r="33" spans="1:35" s="119" customFormat="1">
      <c r="F33" s="31"/>
      <c r="G33" s="31"/>
      <c r="H33" s="221"/>
      <c r="O33" s="31"/>
      <c r="P33" s="31"/>
      <c r="Q33" s="221"/>
      <c r="X33" s="31"/>
      <c r="Y33" s="31"/>
      <c r="Z33" s="221"/>
      <c r="AG33" s="31"/>
      <c r="AH33" s="31"/>
      <c r="AI33" s="221"/>
    </row>
    <row r="34" spans="1:35" s="119" customFormat="1">
      <c r="F34" s="31"/>
      <c r="G34" s="31"/>
      <c r="H34" s="221"/>
      <c r="O34" s="31"/>
      <c r="P34" s="31"/>
      <c r="Q34" s="221"/>
      <c r="X34" s="31"/>
      <c r="Y34" s="31"/>
      <c r="Z34" s="221"/>
      <c r="AG34" s="31"/>
      <c r="AH34" s="31"/>
      <c r="AI34" s="221"/>
    </row>
    <row r="35" spans="1:35" s="119" customFormat="1">
      <c r="F35" s="31"/>
      <c r="G35" s="31"/>
      <c r="H35" s="221"/>
      <c r="O35" s="31"/>
      <c r="P35" s="31"/>
      <c r="Q35" s="221"/>
      <c r="X35" s="31"/>
      <c r="Y35" s="31"/>
      <c r="Z35" s="221"/>
      <c r="AG35" s="31"/>
      <c r="AH35" s="31"/>
      <c r="AI35" s="221"/>
    </row>
    <row r="36" spans="1:35" s="119" customFormat="1">
      <c r="F36" s="31"/>
      <c r="G36" s="31"/>
      <c r="H36" s="221"/>
      <c r="O36" s="31"/>
      <c r="P36" s="31"/>
      <c r="Q36" s="221"/>
      <c r="X36" s="31"/>
      <c r="Y36" s="31"/>
      <c r="Z36" s="221"/>
      <c r="AG36" s="31"/>
      <c r="AH36" s="31"/>
      <c r="AI36" s="221"/>
    </row>
    <row r="37" spans="1:35" s="119" customFormat="1">
      <c r="F37" s="31"/>
      <c r="G37" s="31"/>
      <c r="H37" s="221"/>
      <c r="O37" s="31"/>
      <c r="P37" s="31"/>
      <c r="Q37" s="221"/>
      <c r="X37" s="31"/>
      <c r="Y37" s="31"/>
      <c r="Z37" s="221"/>
      <c r="AG37" s="31"/>
      <c r="AH37" s="31"/>
      <c r="AI37" s="221"/>
    </row>
    <row r="38" spans="1:35" s="119" customFormat="1">
      <c r="F38" s="31"/>
      <c r="G38" s="31"/>
      <c r="H38" s="221"/>
      <c r="O38" s="31"/>
      <c r="P38" s="31"/>
      <c r="Q38" s="221"/>
      <c r="X38" s="31"/>
      <c r="Y38" s="31"/>
      <c r="Z38" s="221"/>
      <c r="AG38" s="31"/>
      <c r="AH38" s="31"/>
      <c r="AI38" s="221"/>
    </row>
    <row r="39" spans="1:35" s="119" customFormat="1">
      <c r="F39" s="31"/>
      <c r="G39" s="31"/>
      <c r="H39" s="221"/>
      <c r="O39" s="31"/>
      <c r="P39" s="31"/>
      <c r="Q39" s="221"/>
      <c r="X39" s="31"/>
      <c r="Y39" s="31"/>
      <c r="Z39" s="221"/>
      <c r="AG39" s="31"/>
      <c r="AH39" s="31"/>
      <c r="AI39" s="221"/>
    </row>
    <row r="40" spans="1:35" s="119" customFormat="1">
      <c r="F40" s="31"/>
      <c r="G40" s="31"/>
      <c r="H40" s="221"/>
      <c r="O40" s="31"/>
      <c r="P40" s="31"/>
      <c r="Q40" s="221"/>
      <c r="X40" s="31"/>
      <c r="Y40" s="31"/>
      <c r="Z40" s="221"/>
      <c r="AG40" s="31"/>
      <c r="AH40" s="31"/>
      <c r="AI40" s="221"/>
    </row>
    <row r="41" spans="1:35" s="31" customFormat="1" ht="30" customHeight="1">
      <c r="A41" s="241" t="str">
        <f>"Routine Maintenance Avg Annual Opex per "&amp;H42&amp;" ("&amp;A42&amp;")"</f>
        <v>Routine Maintenance Avg Annual Opex per km (Total Line Length)</v>
      </c>
      <c r="B41" s="239" t="s">
        <v>310</v>
      </c>
      <c r="C41" s="239" t="s">
        <v>1674</v>
      </c>
      <c r="D41" s="239" t="s">
        <v>1218</v>
      </c>
      <c r="E41" s="239" t="s">
        <v>0</v>
      </c>
      <c r="F41" s="239" t="s">
        <v>1675</v>
      </c>
      <c r="G41" s="246" t="s">
        <v>1676</v>
      </c>
      <c r="H41" s="240" t="s">
        <v>1552</v>
      </c>
      <c r="J41" s="241" t="str">
        <f>"Routine Maintenance Avg Annual Opex per "&amp;Q42&amp;" ("&amp;J42&amp;")"</f>
        <v>Routine Maintenance Avg Annual Opex per km (Total Line Length)</v>
      </c>
      <c r="K41" s="239" t="s">
        <v>310</v>
      </c>
      <c r="L41" s="239" t="s">
        <v>1674</v>
      </c>
      <c r="M41" s="239" t="s">
        <v>1218</v>
      </c>
      <c r="N41" s="239" t="str">
        <f>OPEX_CategoryComparisonBalanced[[#Headers],[Essential +16%Dir]]</f>
        <v>Essential +16%Dir</v>
      </c>
      <c r="O41" s="239" t="s">
        <v>1675</v>
      </c>
      <c r="P41" s="246" t="s">
        <v>1676</v>
      </c>
      <c r="Q41" s="240" t="s">
        <v>1552</v>
      </c>
      <c r="S41" s="241" t="str">
        <f>"Routine Maintenance Avg Annual Opex per "&amp;Z42&amp;" ("&amp;S42&amp;")"</f>
        <v>Routine Maintenance Avg Annual Opex per km (Total Line Length)</v>
      </c>
      <c r="T41" s="239" t="s">
        <v>310</v>
      </c>
      <c r="U41" s="239" t="s">
        <v>1674</v>
      </c>
      <c r="V41" s="239" t="s">
        <v>1218</v>
      </c>
      <c r="W41" s="239" t="s">
        <v>1569</v>
      </c>
      <c r="X41" s="239" t="s">
        <v>1675</v>
      </c>
      <c r="Y41" s="246" t="s">
        <v>1676</v>
      </c>
      <c r="Z41" s="240" t="s">
        <v>1552</v>
      </c>
      <c r="AB41"/>
      <c r="AC41"/>
      <c r="AD41"/>
      <c r="AE41"/>
      <c r="AF41"/>
      <c r="AG41"/>
      <c r="AH41"/>
      <c r="AI41"/>
    </row>
    <row r="42" spans="1:35">
      <c r="A42" s="242" t="s">
        <v>1211</v>
      </c>
      <c r="B42" s="247">
        <f>VLOOKUP(Graphs!$A$42,NormalisedOPEX_RoutineSpend_5yrHistory[#All],MATCH(Graphs!B41,NormalisedOPEX_RoutineSpend_5yrHistory[#Headers],0),FALSE)</f>
        <v>229.64621706947517</v>
      </c>
      <c r="C42" s="247">
        <f>VLOOKUP(Graphs!$A$42,NormalisedOPEX_RoutineSpend_5yrHistory[#All],MATCH(Graphs!C41,NormalisedOPEX_RoutineSpend_5yrHistory[#Headers],0),FALSE)</f>
        <v>249.22776734651026</v>
      </c>
      <c r="D42" s="247">
        <f>VLOOKUP(Graphs!$A$42,NormalisedOPEX_RoutineSpend_5yrHistory[#All],MATCH(Graphs!D41,NormalisedOPEX_RoutineSpend_5yrHistory[#Headers],0),FALSE)</f>
        <v>152.03362653817638</v>
      </c>
      <c r="E42" s="247">
        <f>VLOOKUP(Graphs!$A$42,NormalisedOPEX_RoutineSpend_5yrHistory[#All],MATCH(Graphs!E41,NormalisedOPEX_RoutineSpend_5yrHistory[#Headers],0),FALSE)</f>
        <v>192.84994543191306</v>
      </c>
      <c r="F42" s="247">
        <f>VLOOKUP(Graphs!$A$42,NormalisedOPEX_RoutineSpend_5yrHistory[#All],MATCH(Graphs!F41,NormalisedOPEX_RoutineSpend_5yrHistory[#Headers],0),FALSE)</f>
        <v>236.94466492246934</v>
      </c>
      <c r="G42" s="247">
        <f>VLOOKUP(Graphs!$A$42,NormalisedOPEX_RoutineSpend_5yrHistory[#All],MATCH(Graphs!G41,NormalisedOPEX_RoutineSpend_5yrHistory[#Headers],0),FALSE)</f>
        <v>187.7905489114456</v>
      </c>
      <c r="H42" s="245" t="str">
        <f>VLOOKUP(A42,Network_Size_Comparison[#All],MATCH(H41,Network_Size_Comparison[#Headers],0),FALSE)</f>
        <v>km</v>
      </c>
      <c r="J42" s="242" t="s">
        <v>1211</v>
      </c>
      <c r="K42" s="247">
        <f>VLOOKUP(Graphs!$J$42,NormalisedOPEX_RoutineSpend_5yrHistory[#All],MATCH(Graphs!K41,NormalisedOPEX_RoutineSpend_5yrHistory[#Headers],0),FALSE)</f>
        <v>229.64621706947517</v>
      </c>
      <c r="L42" s="247">
        <f>VLOOKUP(Graphs!$J$42,NormalisedOPEX_RoutineSpend_5yrHistory[#All],MATCH(Graphs!L41,NormalisedOPEX_RoutineSpend_5yrHistory[#Headers],0),FALSE)</f>
        <v>249.22776734651026</v>
      </c>
      <c r="M42" s="247">
        <f>VLOOKUP(Graphs!$J$42,NormalisedOPEX_RoutineSpend_5yrHistory[#All],MATCH(Graphs!M41,NormalisedOPEX_RoutineSpend_5yrHistory[#Headers],0),FALSE)</f>
        <v>152.03362653817638</v>
      </c>
      <c r="N42" s="247">
        <f>VLOOKUP(Graphs!$J$42,NormalisedOPEX_RoutineSpend_5yrHistory[#All],MATCH(Graphs!N41,NormalisedOPEX_RoutineSpend_5yrHistory[#Headers],0),FALSE)</f>
        <v>201.33534303091722</v>
      </c>
      <c r="O42" s="247">
        <f>VLOOKUP(Graphs!$J$42,NormalisedOPEX_RoutineSpend_5yrHistory[#All],MATCH(Graphs!O41,NormalisedOPEX_RoutineSpend_5yrHistory[#Headers],0),FALSE)</f>
        <v>236.94466492246934</v>
      </c>
      <c r="P42" s="247">
        <f>VLOOKUP(Graphs!$J$42,NormalisedOPEX_RoutineSpend_5yrHistory[#All],MATCH(Graphs!P41,NormalisedOPEX_RoutineSpend_5yrHistory[#Headers],0),FALSE)</f>
        <v>187.7905489114456</v>
      </c>
      <c r="Q42" s="245" t="str">
        <f>VLOOKUP(J42,Network_Size_Comparison[#All],MATCH(Q41,Network_Size_Comparison[#Headers],0),FALSE)</f>
        <v>km</v>
      </c>
      <c r="S42" s="242" t="s">
        <v>1211</v>
      </c>
      <c r="T42" s="247">
        <f>VLOOKUP(Graphs!$S$42,NormalisedOPEX_RoutineSpend_5yrHistory[#All],MATCH(Graphs!T41,NormalisedOPEX_RoutineSpend_5yrHistory[#Headers],0),FALSE)</f>
        <v>229.64621706947517</v>
      </c>
      <c r="U42" s="247">
        <f>VLOOKUP(Graphs!$S$42,NormalisedOPEX_RoutineSpend_5yrHistory[#All],MATCH(Graphs!U41,NormalisedOPEX_RoutineSpend_5yrHistory[#Headers],0),FALSE)</f>
        <v>249.22776734651026</v>
      </c>
      <c r="V42" s="247">
        <f>VLOOKUP(Graphs!$S$42,NormalisedOPEX_RoutineSpend_5yrHistory[#All],MATCH(Graphs!V41,NormalisedOPEX_RoutineSpend_5yrHistory[#Headers],0),FALSE)</f>
        <v>152.03362653817638</v>
      </c>
      <c r="W42" s="247">
        <f>VLOOKUP(Graphs!$S$42,NormalisedOPEX_RoutineSpend_5yrHistory[#All],MATCH(Graphs!W41,NormalisedOPEX_RoutineSpend_5yrHistory[#Headers],0),FALSE)</f>
        <v>173.56495088872174</v>
      </c>
      <c r="X42" s="247">
        <f>VLOOKUP(Graphs!$S$42,NormalisedOPEX_RoutineSpend_5yrHistory[#All],MATCH(Graphs!X41,NormalisedOPEX_RoutineSpend_5yrHistory[#Headers],0),FALSE)</f>
        <v>236.94466492246934</v>
      </c>
      <c r="Y42" s="247">
        <f>VLOOKUP(Graphs!$S$42,NormalisedOPEX_RoutineSpend_5yrHistory[#All],MATCH(Graphs!Y41,NormalisedOPEX_RoutineSpend_5yrHistory[#Headers],0),FALSE)</f>
        <v>187.7905489114456</v>
      </c>
      <c r="Z42" s="245" t="str">
        <f>VLOOKUP(S42,Network_Size_Comparison[#All],MATCH(Z41,Network_Size_Comparison[#Headers],0),FALSE)</f>
        <v>km</v>
      </c>
      <c r="AB42"/>
      <c r="AC42"/>
      <c r="AD42"/>
      <c r="AE42"/>
      <c r="AF42"/>
      <c r="AG42"/>
      <c r="AH42"/>
      <c r="AI42"/>
    </row>
    <row r="43" spans="1:35">
      <c r="A43" s="119"/>
      <c r="B43" s="119"/>
      <c r="C43" s="119"/>
      <c r="D43" s="119"/>
      <c r="E43" s="119"/>
    </row>
    <row r="44" spans="1:35">
      <c r="A44" s="119"/>
      <c r="B44" s="119"/>
      <c r="C44" s="119"/>
      <c r="D44" s="119"/>
      <c r="E44" s="119"/>
    </row>
    <row r="45" spans="1:35">
      <c r="A45" s="119"/>
      <c r="B45" s="119"/>
      <c r="C45" s="119"/>
      <c r="D45" s="119"/>
      <c r="E45" s="119"/>
    </row>
    <row r="46" spans="1:35">
      <c r="A46" s="119"/>
      <c r="B46" s="119"/>
      <c r="C46" s="119"/>
      <c r="D46" s="119"/>
      <c r="E46" s="119"/>
    </row>
    <row r="47" spans="1:35">
      <c r="A47" s="119"/>
      <c r="B47" s="119"/>
      <c r="C47" s="119"/>
      <c r="D47" s="119"/>
      <c r="E47" s="119"/>
    </row>
    <row r="48" spans="1:35">
      <c r="A48" s="119"/>
      <c r="B48" s="119"/>
      <c r="C48" s="119"/>
      <c r="D48" s="119"/>
      <c r="E48" s="119"/>
    </row>
    <row r="49" spans="1:35">
      <c r="A49" s="119"/>
      <c r="B49" s="119"/>
      <c r="C49" s="119"/>
      <c r="D49" s="119"/>
      <c r="E49" s="119"/>
    </row>
    <row r="50" spans="1:35">
      <c r="A50" s="119"/>
      <c r="B50" s="119"/>
      <c r="C50" s="119"/>
      <c r="D50" s="119"/>
      <c r="E50" s="119"/>
    </row>
    <row r="51" spans="1:35">
      <c r="A51" s="119"/>
      <c r="B51" s="119"/>
      <c r="C51" s="119"/>
      <c r="D51" s="119"/>
      <c r="E51" s="119"/>
    </row>
    <row r="52" spans="1:35">
      <c r="A52" s="119"/>
      <c r="B52" s="119"/>
      <c r="C52" s="119"/>
      <c r="D52" s="119"/>
      <c r="E52" s="119"/>
    </row>
    <row r="53" spans="1:35">
      <c r="A53" s="119"/>
      <c r="B53" s="119"/>
      <c r="C53" s="119"/>
      <c r="D53" s="119"/>
      <c r="E53" s="119"/>
    </row>
    <row r="54" spans="1:35">
      <c r="A54" s="119"/>
      <c r="B54" s="119"/>
      <c r="C54" s="119"/>
      <c r="D54" s="119"/>
      <c r="E54" s="119"/>
    </row>
    <row r="55" spans="1:35">
      <c r="A55" s="119"/>
      <c r="B55" s="119"/>
      <c r="C55" s="119"/>
      <c r="D55" s="119"/>
      <c r="E55" s="119"/>
    </row>
    <row r="56" spans="1:35">
      <c r="A56" s="119"/>
      <c r="B56" s="119"/>
      <c r="C56" s="119"/>
      <c r="D56" s="119"/>
      <c r="E56" s="119"/>
    </row>
    <row r="57" spans="1:35">
      <c r="A57" s="119"/>
      <c r="B57" s="119"/>
      <c r="C57" s="119"/>
      <c r="D57" s="119"/>
      <c r="E57" s="119"/>
    </row>
    <row r="58" spans="1:35">
      <c r="A58" s="119"/>
      <c r="B58" s="119"/>
      <c r="C58" s="119"/>
      <c r="D58" s="119"/>
      <c r="E58" s="119"/>
    </row>
    <row r="59" spans="1:35">
      <c r="A59" s="119"/>
      <c r="B59" s="119"/>
      <c r="C59" s="119"/>
      <c r="D59" s="119"/>
      <c r="E59" s="119"/>
    </row>
    <row r="60" spans="1:35">
      <c r="A60" s="119"/>
      <c r="B60" s="119"/>
      <c r="C60" s="119"/>
      <c r="D60" s="119"/>
      <c r="E60" s="119"/>
    </row>
    <row r="61" spans="1:35" s="31" customFormat="1" ht="30" customHeight="1">
      <c r="A61" s="241" t="str">
        <f>"Non-Routine Maintenance Avg Annual Opex per "&amp;H62&amp;" ("&amp;A62&amp;")"</f>
        <v>Non-Routine Maintenance Avg Annual Opex per km (Total Line Length)</v>
      </c>
      <c r="B61" s="239" t="s">
        <v>310</v>
      </c>
      <c r="C61" s="239" t="s">
        <v>1674</v>
      </c>
      <c r="D61" s="239" t="s">
        <v>1218</v>
      </c>
      <c r="E61" s="239" t="s">
        <v>0</v>
      </c>
      <c r="F61" s="239" t="s">
        <v>1675</v>
      </c>
      <c r="G61" s="246" t="s">
        <v>1676</v>
      </c>
      <c r="H61" s="240" t="s">
        <v>1552</v>
      </c>
      <c r="J61" s="241" t="str">
        <f>$A61</f>
        <v>Non-Routine Maintenance Avg Annual Opex per km (Total Line Length)</v>
      </c>
      <c r="K61" s="239" t="s">
        <v>310</v>
      </c>
      <c r="L61" s="239" t="s">
        <v>1674</v>
      </c>
      <c r="M61" s="239" t="s">
        <v>1218</v>
      </c>
      <c r="N61" s="239" t="str">
        <f>OPEX_CategoryComparisonBalanced[[#Headers],[Essential +16%Dir]]</f>
        <v>Essential +16%Dir</v>
      </c>
      <c r="O61" s="239" t="s">
        <v>1675</v>
      </c>
      <c r="P61" s="246" t="s">
        <v>1676</v>
      </c>
      <c r="Q61" s="240" t="s">
        <v>1552</v>
      </c>
      <c r="S61" s="241" t="str">
        <f>$A61</f>
        <v>Non-Routine Maintenance Avg Annual Opex per km (Total Line Length)</v>
      </c>
      <c r="T61" s="239" t="s">
        <v>310</v>
      </c>
      <c r="U61" s="239" t="s">
        <v>1674</v>
      </c>
      <c r="V61" s="239" t="s">
        <v>1218</v>
      </c>
      <c r="W61" s="239" t="s">
        <v>1569</v>
      </c>
      <c r="X61" s="239" t="s">
        <v>1675</v>
      </c>
      <c r="Y61" s="246" t="s">
        <v>1676</v>
      </c>
      <c r="Z61" s="240" t="s">
        <v>1552</v>
      </c>
      <c r="AB61"/>
      <c r="AC61"/>
      <c r="AD61"/>
      <c r="AE61"/>
      <c r="AF61"/>
      <c r="AG61"/>
      <c r="AH61"/>
      <c r="AI61"/>
    </row>
    <row r="62" spans="1:35" s="119" customFormat="1">
      <c r="A62" s="242" t="s">
        <v>1211</v>
      </c>
      <c r="B62" s="247">
        <f>VLOOKUP(Graphs!$A$62,NormalisedOPEX_NonRoutineSpend_5yrHistory[#All],MATCH(Graphs!B61,NormalisedOPEX_NonRoutineSpend_5yrHistory[#Headers],0),FALSE)</f>
        <v>299.39239967656442</v>
      </c>
      <c r="C62" s="247">
        <f>VLOOKUP(Graphs!$A$62,NormalisedOPEX_NonRoutineSpend_5yrHistory[#All],MATCH(Graphs!C61,NormalisedOPEX_NonRoutineSpend_5yrHistory[#Headers],0),FALSE)</f>
        <v>273.95057843158554</v>
      </c>
      <c r="D62" s="247">
        <f>VLOOKUP(Graphs!$A$62,NormalisedOPEX_NonRoutineSpend_5yrHistory[#All],MATCH(Graphs!D61,NormalisedOPEX_NonRoutineSpend_5yrHistory[#Headers],0),FALSE)</f>
        <v>78.58342288095082</v>
      </c>
      <c r="E62" s="247">
        <f>VLOOKUP(Graphs!$A$62,NormalisedOPEX_NonRoutineSpend_5yrHistory[#All],MATCH(Graphs!E61,NormalisedOPEX_NonRoutineSpend_5yrHistory[#Headers],0),FALSE)</f>
        <v>243.30643794062189</v>
      </c>
      <c r="F62" s="247">
        <f>VLOOKUP(Graphs!$A$62,NormalisedOPEX_NonRoutineSpend_5yrHistory[#All],MATCH(Graphs!F61,NormalisedOPEX_NonRoutineSpend_5yrHistory[#Headers],0),FALSE)</f>
        <v>289.90970790728994</v>
      </c>
      <c r="G62" s="247">
        <f>VLOOKUP(Graphs!$A$62,NormalisedOPEX_NonRoutineSpend_5yrHistory[#All],MATCH(Graphs!G61,NormalisedOPEX_NonRoutineSpend_5yrHistory[#Headers],0),FALSE)</f>
        <v>180.31239995223885</v>
      </c>
      <c r="H62" s="245" t="str">
        <f>VLOOKUP(A62,Network_Size_Comparison[#All],MATCH(H61,Network_Size_Comparison[#Headers],0),FALSE)</f>
        <v>km</v>
      </c>
      <c r="J62" s="242" t="s">
        <v>1211</v>
      </c>
      <c r="K62" s="247">
        <f>VLOOKUP(Graphs!$J$62,NormalisedOPEX_NonRoutineSpend_5yrHistory[#All],MATCH(K61,NormalisedOPEX_NonRoutineSpend_5yrHistory[#Headers],0),FALSE)</f>
        <v>299.39239967656442</v>
      </c>
      <c r="L62" s="247">
        <f>VLOOKUP(Graphs!$J$62,NormalisedOPEX_NonRoutineSpend_5yrHistory[#All],MATCH(L61,NormalisedOPEX_NonRoutineSpend_5yrHistory[#Headers],0),FALSE)</f>
        <v>273.95057843158554</v>
      </c>
      <c r="M62" s="247">
        <f>VLOOKUP(Graphs!$J$62,NormalisedOPEX_NonRoutineSpend_5yrHistory[#All],MATCH(M61,NormalisedOPEX_NonRoutineSpend_5yrHistory[#Headers],0),FALSE)</f>
        <v>78.58342288095082</v>
      </c>
      <c r="N62" s="247">
        <f>VLOOKUP(Graphs!$J$62,NormalisedOPEX_NonRoutineSpend_5yrHistory[#All],MATCH(N61,NormalisedOPEX_NonRoutineSpend_5yrHistory[#Headers],0),FALSE)</f>
        <v>254.01192121000929</v>
      </c>
      <c r="O62" s="247">
        <f>VLOOKUP(Graphs!$J$62,NormalisedOPEX_NonRoutineSpend_5yrHistory[#All],MATCH(O61,NormalisedOPEX_NonRoutineSpend_5yrHistory[#Headers],0),FALSE)</f>
        <v>289.90970790728994</v>
      </c>
      <c r="P62" s="247">
        <f>VLOOKUP(Graphs!$J$62,NormalisedOPEX_NonRoutineSpend_5yrHistory[#All],MATCH(P61,NormalisedOPEX_NonRoutineSpend_5yrHistory[#Headers],0),FALSE)</f>
        <v>180.31239995223885</v>
      </c>
      <c r="Q62" s="245" t="str">
        <f>VLOOKUP(J62,Network_Size_Comparison[#All],MATCH(Q61,Network_Size_Comparison[#Headers],0),FALSE)</f>
        <v>km</v>
      </c>
      <c r="S62" s="242" t="s">
        <v>1211</v>
      </c>
      <c r="T62" s="247">
        <f>VLOOKUP(Graphs!$S$62,NormalisedOPEX_NonRoutineSpend_5yrHistory[#All],MATCH(Graphs!T61,NormalisedOPEX_NonRoutineSpend_5yrHistory[#Headers],0),FALSE)</f>
        <v>299.39239967656442</v>
      </c>
      <c r="U62" s="247">
        <f>VLOOKUP(Graphs!$S$62,NormalisedOPEX_NonRoutineSpend_5yrHistory[#All],MATCH(Graphs!U61,NormalisedOPEX_NonRoutineSpend_5yrHistory[#Headers],0),FALSE)</f>
        <v>273.95057843158554</v>
      </c>
      <c r="V62" s="247">
        <f>VLOOKUP(Graphs!$S$62,NormalisedOPEX_NonRoutineSpend_5yrHistory[#All],MATCH(Graphs!V61,NormalisedOPEX_NonRoutineSpend_5yrHistory[#Headers],0),FALSE)</f>
        <v>78.58342288095082</v>
      </c>
      <c r="W62" s="247">
        <f>VLOOKUP(Graphs!$S$62,NormalisedOPEX_NonRoutineSpend_5yrHistory[#All],MATCH(Graphs!W61,NormalisedOPEX_NonRoutineSpend_5yrHistory[#Headers],0),FALSE)</f>
        <v>218.97579414655968</v>
      </c>
      <c r="X62" s="247">
        <f>VLOOKUP(Graphs!$S$62,NormalisedOPEX_NonRoutineSpend_5yrHistory[#All],MATCH(Graphs!X61,NormalisedOPEX_NonRoutineSpend_5yrHistory[#Headers],0),FALSE)</f>
        <v>289.90970790728994</v>
      </c>
      <c r="Y62" s="247">
        <f>VLOOKUP(Graphs!$S$62,NormalisedOPEX_NonRoutineSpend_5yrHistory[#All],MATCH(Graphs!Y61,NormalisedOPEX_NonRoutineSpend_5yrHistory[#Headers],0),FALSE)</f>
        <v>180.31239995223885</v>
      </c>
      <c r="Z62" s="245" t="str">
        <f>VLOOKUP(S62,Network_Size_Comparison[#All],MATCH(Z61,Network_Size_Comparison[#Headers],0),FALSE)</f>
        <v>km</v>
      </c>
      <c r="AB62"/>
      <c r="AC62"/>
      <c r="AD62"/>
      <c r="AE62"/>
      <c r="AF62"/>
      <c r="AG62"/>
      <c r="AH62"/>
      <c r="AI62"/>
    </row>
    <row r="63" spans="1:35" s="119" customFormat="1">
      <c r="F63" s="31"/>
      <c r="G63" s="31"/>
      <c r="H63" s="221"/>
      <c r="O63" s="31"/>
      <c r="P63" s="31"/>
      <c r="Q63" s="221"/>
      <c r="X63" s="31"/>
      <c r="Y63" s="31"/>
      <c r="Z63" s="221"/>
      <c r="AB63"/>
      <c r="AC63"/>
      <c r="AD63"/>
      <c r="AE63"/>
      <c r="AF63"/>
      <c r="AG63"/>
      <c r="AH63"/>
      <c r="AI63"/>
    </row>
    <row r="64" spans="1:35" s="119" customFormat="1">
      <c r="F64" s="31"/>
      <c r="G64" s="31"/>
      <c r="H64" s="221"/>
      <c r="O64" s="31"/>
      <c r="P64" s="31"/>
      <c r="Q64" s="221"/>
      <c r="X64" s="31"/>
      <c r="Y64" s="31"/>
      <c r="Z64" s="221"/>
      <c r="AB64"/>
      <c r="AC64"/>
      <c r="AD64"/>
      <c r="AE64"/>
      <c r="AF64"/>
      <c r="AG64"/>
      <c r="AH64"/>
      <c r="AI64"/>
    </row>
    <row r="65" spans="6:35" s="119" customFormat="1">
      <c r="F65" s="31"/>
      <c r="G65" s="31"/>
      <c r="H65" s="221"/>
      <c r="O65" s="31"/>
      <c r="P65" s="31"/>
      <c r="Q65" s="221"/>
      <c r="X65" s="31"/>
      <c r="Y65" s="31"/>
      <c r="Z65" s="221"/>
      <c r="AB65"/>
      <c r="AC65"/>
      <c r="AD65"/>
      <c r="AE65"/>
      <c r="AF65"/>
      <c r="AG65"/>
      <c r="AH65"/>
      <c r="AI65"/>
    </row>
    <row r="66" spans="6:35" s="119" customFormat="1">
      <c r="F66" s="31"/>
      <c r="G66" s="31"/>
      <c r="H66" s="221"/>
      <c r="O66" s="31"/>
      <c r="P66" s="31"/>
      <c r="Q66" s="221"/>
      <c r="X66" s="31"/>
      <c r="Y66" s="31"/>
      <c r="Z66" s="221"/>
      <c r="AB66"/>
      <c r="AC66"/>
      <c r="AD66"/>
      <c r="AE66"/>
      <c r="AF66"/>
      <c r="AG66"/>
      <c r="AH66"/>
      <c r="AI66"/>
    </row>
    <row r="67" spans="6:35" s="119" customFormat="1">
      <c r="F67" s="31"/>
      <c r="G67" s="31"/>
      <c r="H67" s="221"/>
      <c r="O67" s="31"/>
      <c r="P67" s="31"/>
      <c r="Q67" s="221"/>
      <c r="X67" s="31"/>
      <c r="Y67" s="31"/>
      <c r="Z67" s="221"/>
      <c r="AB67"/>
      <c r="AC67"/>
      <c r="AD67"/>
      <c r="AE67"/>
      <c r="AF67"/>
      <c r="AG67"/>
      <c r="AH67"/>
      <c r="AI67"/>
    </row>
    <row r="68" spans="6:35" s="119" customFormat="1">
      <c r="F68" s="31"/>
      <c r="G68" s="31"/>
      <c r="H68" s="221"/>
      <c r="O68" s="31"/>
      <c r="P68" s="31"/>
      <c r="Q68" s="221"/>
      <c r="X68" s="31"/>
      <c r="Y68" s="31"/>
      <c r="Z68" s="221"/>
      <c r="AB68"/>
      <c r="AC68"/>
      <c r="AD68"/>
      <c r="AE68"/>
      <c r="AF68"/>
      <c r="AG68"/>
      <c r="AH68"/>
      <c r="AI68"/>
    </row>
    <row r="69" spans="6:35" s="119" customFormat="1">
      <c r="F69" s="31"/>
      <c r="G69" s="31"/>
      <c r="H69" s="221"/>
      <c r="O69" s="31"/>
      <c r="P69" s="31"/>
      <c r="Q69" s="221"/>
      <c r="X69" s="31"/>
      <c r="Y69" s="31"/>
      <c r="Z69" s="221"/>
      <c r="AB69"/>
      <c r="AC69"/>
      <c r="AD69"/>
      <c r="AE69"/>
      <c r="AF69"/>
      <c r="AG69"/>
      <c r="AH69"/>
      <c r="AI69"/>
    </row>
    <row r="70" spans="6:35" s="119" customFormat="1">
      <c r="F70" s="31"/>
      <c r="G70" s="31"/>
      <c r="H70" s="221"/>
      <c r="O70" s="31"/>
      <c r="P70" s="31"/>
      <c r="Q70" s="221"/>
      <c r="X70" s="31"/>
      <c r="Y70" s="31"/>
      <c r="Z70" s="221"/>
      <c r="AB70"/>
      <c r="AC70"/>
      <c r="AD70"/>
      <c r="AE70"/>
      <c r="AF70"/>
      <c r="AG70"/>
      <c r="AH70"/>
      <c r="AI70"/>
    </row>
    <row r="71" spans="6:35" s="119" customFormat="1">
      <c r="F71" s="31"/>
      <c r="G71" s="31"/>
      <c r="H71" s="221"/>
      <c r="O71" s="31"/>
      <c r="P71" s="31"/>
      <c r="Q71" s="221"/>
      <c r="X71" s="31"/>
      <c r="Y71" s="31"/>
      <c r="Z71" s="221"/>
      <c r="AB71"/>
      <c r="AC71"/>
      <c r="AD71"/>
      <c r="AE71"/>
      <c r="AF71"/>
      <c r="AG71"/>
      <c r="AH71"/>
      <c r="AI71"/>
    </row>
    <row r="72" spans="6:35" s="119" customFormat="1">
      <c r="F72" s="31"/>
      <c r="G72" s="31"/>
      <c r="H72" s="221"/>
      <c r="O72" s="31"/>
      <c r="P72" s="31"/>
      <c r="Q72" s="221"/>
      <c r="X72" s="31"/>
      <c r="Y72" s="31"/>
      <c r="Z72" s="221"/>
      <c r="AB72"/>
      <c r="AC72"/>
      <c r="AD72"/>
      <c r="AE72"/>
      <c r="AF72"/>
      <c r="AG72"/>
      <c r="AH72"/>
      <c r="AI72"/>
    </row>
    <row r="73" spans="6:35" s="119" customFormat="1">
      <c r="F73" s="31"/>
      <c r="G73" s="31"/>
      <c r="H73" s="221"/>
      <c r="O73" s="31"/>
      <c r="P73" s="31"/>
      <c r="Q73" s="221"/>
      <c r="X73" s="31"/>
      <c r="Y73" s="31"/>
      <c r="Z73" s="221"/>
      <c r="AB73"/>
      <c r="AC73"/>
      <c r="AD73"/>
      <c r="AE73"/>
      <c r="AF73"/>
      <c r="AG73"/>
      <c r="AH73"/>
      <c r="AI73"/>
    </row>
    <row r="74" spans="6:35" s="119" customFormat="1">
      <c r="F74" s="31"/>
      <c r="G74" s="31"/>
      <c r="H74" s="221"/>
      <c r="O74" s="31"/>
      <c r="P74" s="31"/>
      <c r="Q74" s="221"/>
      <c r="X74" s="31"/>
      <c r="Y74" s="31"/>
      <c r="Z74" s="221"/>
      <c r="AB74"/>
      <c r="AC74"/>
      <c r="AD74"/>
      <c r="AE74"/>
      <c r="AF74"/>
      <c r="AG74"/>
      <c r="AH74"/>
      <c r="AI74"/>
    </row>
    <row r="75" spans="6:35" s="119" customFormat="1">
      <c r="F75" s="31"/>
      <c r="G75" s="31"/>
      <c r="H75" s="221"/>
      <c r="O75" s="31"/>
      <c r="P75" s="31"/>
      <c r="Q75" s="221"/>
      <c r="X75" s="31"/>
      <c r="Y75" s="31"/>
      <c r="Z75" s="221"/>
      <c r="AB75"/>
      <c r="AC75"/>
      <c r="AD75"/>
      <c r="AE75"/>
      <c r="AF75"/>
      <c r="AG75"/>
      <c r="AH75"/>
      <c r="AI75"/>
    </row>
    <row r="76" spans="6:35" s="119" customFormat="1">
      <c r="F76" s="31"/>
      <c r="G76" s="31"/>
      <c r="H76" s="221"/>
      <c r="O76" s="31"/>
      <c r="P76" s="31"/>
      <c r="Q76" s="221"/>
      <c r="X76" s="31"/>
      <c r="Y76" s="31"/>
      <c r="Z76" s="221"/>
      <c r="AB76"/>
      <c r="AC76"/>
      <c r="AD76"/>
      <c r="AE76"/>
      <c r="AF76"/>
      <c r="AG76"/>
      <c r="AH76"/>
      <c r="AI76"/>
    </row>
    <row r="77" spans="6:35" s="119" customFormat="1">
      <c r="F77" s="31"/>
      <c r="G77" s="31"/>
      <c r="H77" s="221"/>
      <c r="O77" s="31"/>
      <c r="P77" s="31"/>
      <c r="Q77" s="221"/>
      <c r="X77" s="31"/>
      <c r="Y77" s="31"/>
      <c r="Z77" s="221"/>
      <c r="AB77"/>
      <c r="AC77"/>
      <c r="AD77"/>
      <c r="AE77"/>
      <c r="AF77"/>
      <c r="AG77"/>
      <c r="AH77"/>
      <c r="AI77"/>
    </row>
    <row r="78" spans="6:35" s="119" customFormat="1">
      <c r="F78" s="31"/>
      <c r="G78" s="31"/>
      <c r="H78" s="221"/>
      <c r="O78" s="31"/>
      <c r="P78" s="31"/>
      <c r="Q78" s="221"/>
      <c r="X78" s="31"/>
      <c r="Y78" s="31"/>
      <c r="Z78" s="221"/>
      <c r="AB78"/>
      <c r="AC78"/>
      <c r="AD78"/>
      <c r="AE78"/>
      <c r="AF78"/>
      <c r="AG78"/>
      <c r="AH78"/>
      <c r="AI78"/>
    </row>
    <row r="79" spans="6:35" s="119" customFormat="1">
      <c r="F79" s="31"/>
      <c r="G79" s="31"/>
      <c r="H79" s="221"/>
      <c r="O79" s="31"/>
      <c r="P79" s="31"/>
      <c r="Q79" s="221"/>
      <c r="X79" s="31"/>
      <c r="Y79" s="31"/>
      <c r="Z79" s="221"/>
      <c r="AB79"/>
      <c r="AC79"/>
      <c r="AD79"/>
      <c r="AE79"/>
      <c r="AF79"/>
      <c r="AG79"/>
      <c r="AH79"/>
      <c r="AI79"/>
    </row>
    <row r="80" spans="6:35" s="119" customFormat="1">
      <c r="F80" s="31"/>
      <c r="G80" s="31"/>
      <c r="H80" s="221"/>
      <c r="O80" s="31"/>
      <c r="P80" s="31"/>
      <c r="Q80" s="221"/>
      <c r="X80" s="31"/>
      <c r="Y80" s="31"/>
      <c r="Z80" s="221"/>
      <c r="AG80" s="31"/>
      <c r="AH80" s="31"/>
      <c r="AI80" s="221"/>
    </row>
    <row r="81" spans="1:36" s="31" customFormat="1" ht="30" customHeight="1">
      <c r="A81" s="241" t="str">
        <f>"Emergency Response Avg Annual Opex per "&amp;H82&amp;" ("&amp;A82&amp;")"</f>
        <v>Emergency Response Avg Annual Opex per km (Total Line Length)</v>
      </c>
      <c r="B81" s="239" t="s">
        <v>310</v>
      </c>
      <c r="C81" s="239" t="s">
        <v>1674</v>
      </c>
      <c r="D81" s="239" t="s">
        <v>1218</v>
      </c>
      <c r="E81" s="239" t="s">
        <v>0</v>
      </c>
      <c r="F81" s="239" t="s">
        <v>1675</v>
      </c>
      <c r="G81" s="246" t="s">
        <v>1676</v>
      </c>
      <c r="H81" s="240" t="s">
        <v>1552</v>
      </c>
      <c r="J81" s="241" t="str">
        <f>"Emergency Response Avg Annual Opex per "&amp;Q82&amp;" ("&amp;J82&amp;")"</f>
        <v>Emergency Response Avg Annual Opex per km (Total Line Length)</v>
      </c>
      <c r="K81" s="239" t="s">
        <v>310</v>
      </c>
      <c r="L81" s="239" t="s">
        <v>1674</v>
      </c>
      <c r="M81" s="239" t="s">
        <v>1218</v>
      </c>
      <c r="N81" s="239" t="str">
        <f>OPEX_CategoryComparisonBalanced[[#Headers],[Essential +16%Dir]]</f>
        <v>Essential +16%Dir</v>
      </c>
      <c r="O81" s="239" t="s">
        <v>1675</v>
      </c>
      <c r="P81" s="246" t="s">
        <v>1676</v>
      </c>
      <c r="Q81" s="240" t="s">
        <v>1552</v>
      </c>
      <c r="S81" s="241" t="str">
        <f>"Emergency Response Avg Annual Opex per "&amp;Z82&amp;" ("&amp;S82&amp;")"</f>
        <v>Emergency Response Avg Annual Opex per km (Total Line Length)</v>
      </c>
      <c r="T81" s="239" t="s">
        <v>310</v>
      </c>
      <c r="U81" s="239" t="s">
        <v>1674</v>
      </c>
      <c r="V81" s="239" t="s">
        <v>1218</v>
      </c>
      <c r="W81" s="239" t="s">
        <v>1569</v>
      </c>
      <c r="X81" s="239" t="s">
        <v>1675</v>
      </c>
      <c r="Y81" s="246" t="s">
        <v>1676</v>
      </c>
      <c r="Z81" s="240" t="s">
        <v>1552</v>
      </c>
      <c r="AB81"/>
      <c r="AC81"/>
      <c r="AD81"/>
      <c r="AE81"/>
      <c r="AF81"/>
      <c r="AG81"/>
      <c r="AH81"/>
      <c r="AI81"/>
      <c r="AJ81"/>
    </row>
    <row r="82" spans="1:36" s="119" customFormat="1">
      <c r="A82" s="242" t="s">
        <v>1211</v>
      </c>
      <c r="B82" s="247">
        <f>VLOOKUP("Emergency Response",OPEX_CategoryComparisonBalanced[#All],MATCH(Graphs!B81,OPEX_CategoryComparisonBalanced[#Headers],0),FALSE)/5/VLOOKUP(Graphs!$A$82,Network_Size_Comparison[#All],MATCH(B81,Network_Size_Comparison[#Headers],0),FALSE)</f>
        <v>248.06657448177961</v>
      </c>
      <c r="C82" s="247">
        <f>VLOOKUP("Emergency Response",OPEX_CategoryComparisonBalanced[#All],MATCH(Graphs!C81,OPEX_CategoryComparisonBalanced[#Headers],0),FALSE)/5/VLOOKUP(Graphs!$A$82,Network_Size_Comparison[#All],MATCH(C81,Network_Size_Comparison[#Headers],0),FALSE)</f>
        <v>381.26262194392615</v>
      </c>
      <c r="D82" s="247">
        <f>VLOOKUP("Emergency Response",OPEX_CategoryComparisonBalanced[#All],MATCH(Graphs!D81,OPEX_CategoryComparisonBalanced[#Headers],0),FALSE)/5/VLOOKUP(Graphs!$A$82,Network_Size_Comparison[#All],MATCH(D81,Network_Size_Comparison[#Headers],0),FALSE)</f>
        <v>313.16324158332623</v>
      </c>
      <c r="E82" s="247">
        <f>VLOOKUP("Emergency Response",OPEX_CategoryComparisonBalanced[#All],MATCH(Graphs!E81,OPEX_CategoryComparisonBalanced[#Headers],0),FALSE)/5/VLOOKUP(Graphs!$A$82,Network_Size_Comparison[#All],MATCH(E81,Network_Size_Comparison[#Headers],0),FALSE)</f>
        <v>234.59278307529732</v>
      </c>
      <c r="F82" s="247">
        <f>VLOOKUP("Emergency Response",OPEX_CategoryComparisonBalanced[#All],MATCH(Graphs!F81,OPEX_CategoryComparisonBalanced[#Headers],0),FALSE)/5/VLOOKUP(Graphs!$A$82,Network_Size_Comparison[#All],MATCH(F81,Network_Size_Comparison[#Headers],0),FALSE)</f>
        <v>297.7114898676416</v>
      </c>
      <c r="G82" s="247">
        <f>VLOOKUP("Emergency Response",OPEX_CategoryComparisonBalanced[#All],MATCH(Graphs!G81,OPEX_CategoryComparisonBalanced[#Headers],0),FALSE)/5/VLOOKUP(Graphs!$A$82,Network_Size_Comparison[#All],MATCH(G81,Network_Size_Comparison[#Headers],0),FALSE)</f>
        <v>283.17253445224708</v>
      </c>
      <c r="H82" s="245" t="str">
        <f>VLOOKUP(A82,Network_Size_Comparison[#All],MATCH(H81,Network_Size_Comparison[#Headers],0),FALSE)</f>
        <v>km</v>
      </c>
      <c r="I82"/>
      <c r="J82" s="242" t="s">
        <v>1211</v>
      </c>
      <c r="K82" s="247">
        <f>VLOOKUP("Emergency Response",OPEX_CategoryComparisonBalanced[#All],MATCH(Graphs!$J$81:$P$81,OPEX_CategoryComparisonBalanced[#Headers],0),FALSE)/5/VLOOKUP(Graphs!$J$82:$J$82,Network_Size_Comparison[#All],MATCH(Graphs!$J$81:$P$81,Network_Size_Comparison[#Headers],0),FALSE)</f>
        <v>248.06657448177961</v>
      </c>
      <c r="L82" s="247">
        <f>VLOOKUP("Emergency Response",OPEX_CategoryComparisonBalanced[#All],MATCH(Graphs!$J$81:$P$81,OPEX_CategoryComparisonBalanced[#Headers],0),FALSE)/5/VLOOKUP(Graphs!$J$82:$J$82,Network_Size_Comparison[#All],MATCH(Graphs!$J$81:$P$81,Network_Size_Comparison[#Headers],0),FALSE)</f>
        <v>381.26262194392615</v>
      </c>
      <c r="M82" s="247">
        <f>VLOOKUP("Emergency Response",OPEX_CategoryComparisonBalanced[#All],MATCH(Graphs!$J$81:$P$81,OPEX_CategoryComparisonBalanced[#Headers],0),FALSE)/5/VLOOKUP(Graphs!$J$82:$J$82,Network_Size_Comparison[#All],MATCH(Graphs!$J$81:$P$81,Network_Size_Comparison[#Headers],0),FALSE)</f>
        <v>313.16324158332623</v>
      </c>
      <c r="N82" s="247">
        <f>VLOOKUP("Emergency Response",OPEX_CategoryComparisonBalanced[#All],MATCH(Graphs!$J$81:$P$81,OPEX_CategoryComparisonBalanced[#Headers],0),FALSE)/5/VLOOKUP(Graphs!$J$82:$J$82,Network_Size_Comparison[#All],MATCH(Graphs!$J$81:$P$81,Network_Size_Comparison[#Headers],0),FALSE)</f>
        <v>272.12762836734487</v>
      </c>
      <c r="O82" s="247">
        <f>VLOOKUP("Emergency Response",OPEX_CategoryComparisonBalanced[#All],MATCH(Graphs!$J$81:$P$81,OPEX_CategoryComparisonBalanced[#Headers],0),FALSE)/5/VLOOKUP(Graphs!$J$82:$J$82,Network_Size_Comparison[#All],MATCH(Graphs!$J$81:$P$81,Network_Size_Comparison[#Headers],0),FALSE)</f>
        <v>297.7114898676416</v>
      </c>
      <c r="P82" s="247">
        <f>VLOOKUP("Emergency Response",OPEX_CategoryComparisonBalanced[#All],MATCH(Graphs!$J$81:$P$81,OPEX_CategoryComparisonBalanced[#Headers],0),FALSE)/5/VLOOKUP(Graphs!$J$82:$J$82,Network_Size_Comparison[#All],MATCH(Graphs!$J$81:$P$81,Network_Size_Comparison[#Headers],0),FALSE)</f>
        <v>283.17253445224708</v>
      </c>
      <c r="Q82" s="245" t="str">
        <f>VLOOKUP(J82,Network_Size_Comparison[#All],MATCH(Q81,Network_Size_Comparison[#Headers],0),FALSE)</f>
        <v>km</v>
      </c>
      <c r="S82" s="242" t="s">
        <v>1211</v>
      </c>
      <c r="T82" s="247">
        <f>VLOOKUP("Emergency Response",OPEX_CategoryComparisonBalanced[#All],MATCH(Graphs!$S$81:$Y$81,OPEX_CategoryComparisonBalanced[#Headers],0),FALSE)/5/VLOOKUP(Graphs!$S$82:$S$82,Network_Size_Comparison[#All],MATCH(Graphs!$S$81:$Y$81,Network_Size_Comparison[#Headers],0),FALSE)</f>
        <v>248.06657448177961</v>
      </c>
      <c r="U82" s="247">
        <f>VLOOKUP("Emergency Response",OPEX_CategoryComparisonBalanced[#All],MATCH(Graphs!$S$81:$Y$81,OPEX_CategoryComparisonBalanced[#Headers],0),FALSE)/5/VLOOKUP(Graphs!$S$82:$S$82,Network_Size_Comparison[#All],MATCH(Graphs!$S$81:$Y$81,Network_Size_Comparison[#Headers],0),FALSE)</f>
        <v>381.26262194392615</v>
      </c>
      <c r="V82" s="247">
        <f>VLOOKUP("Emergency Response",OPEX_CategoryComparisonBalanced[#All],MATCH(Graphs!$S$81:$Y$81,OPEX_CategoryComparisonBalanced[#Headers],0),FALSE)/5/VLOOKUP(Graphs!$S$82:$S$82,Network_Size_Comparison[#All],MATCH(Graphs!$S$81:$Y$81,Network_Size_Comparison[#Headers],0),FALSE)</f>
        <v>313.16324158332623</v>
      </c>
      <c r="W82" s="247">
        <f>VLOOKUP("Emergency Response",OPEX_CategoryComparisonBalanced[#All],MATCH(Graphs!$S$81:$Y$81,OPEX_CategoryComparisonBalanced[#Headers],0),FALSE)/5/VLOOKUP(Graphs!$S$82:$S$82,Network_Size_Comparison[#All],MATCH(Graphs!$S$81:$Y$81,Network_Size_Comparison[#Headers],0),FALSE)</f>
        <v>211.13350476776759</v>
      </c>
      <c r="X82" s="247">
        <f>VLOOKUP("Emergency Response",OPEX_CategoryComparisonBalanced[#All],MATCH(Graphs!$S$81:$Y$81,OPEX_CategoryComparisonBalanced[#Headers],0),FALSE)/5/VLOOKUP(Graphs!$S$82:$S$82,Network_Size_Comparison[#All],MATCH(Graphs!$S$81:$Y$81,Network_Size_Comparison[#Headers],0),FALSE)</f>
        <v>297.7114898676416</v>
      </c>
      <c r="Y82" s="247">
        <f>VLOOKUP("Emergency Response",OPEX_CategoryComparisonBalanced[#All],MATCH(Graphs!$S$81:$Y$81,OPEX_CategoryComparisonBalanced[#Headers],0),FALSE)/5/VLOOKUP(Graphs!$S$82:$S$82,Network_Size_Comparison[#All],MATCH(Graphs!$S$81:$Y$81,Network_Size_Comparison[#Headers],0),FALSE)</f>
        <v>283.17253445224708</v>
      </c>
      <c r="Z82" s="245" t="str">
        <f>VLOOKUP(S82,Network_Size_Comparison[#All],MATCH(Z81,Network_Size_Comparison[#Headers],0),FALSE)</f>
        <v>km</v>
      </c>
      <c r="AA82"/>
      <c r="AB82"/>
      <c r="AC82"/>
      <c r="AD82"/>
      <c r="AE82"/>
      <c r="AF82"/>
      <c r="AG82"/>
      <c r="AH82"/>
      <c r="AI82"/>
      <c r="AJ82"/>
    </row>
    <row r="83" spans="1:36" s="119" customFormat="1">
      <c r="F83" s="31"/>
      <c r="G83" s="31"/>
      <c r="H83" s="221"/>
      <c r="I83"/>
      <c r="O83" s="31"/>
      <c r="P83" s="31"/>
      <c r="Q83" s="221"/>
      <c r="X83" s="31"/>
      <c r="Y83" s="31"/>
      <c r="Z83" s="221"/>
      <c r="AA83"/>
      <c r="AB83"/>
      <c r="AC83"/>
      <c r="AD83"/>
      <c r="AE83"/>
      <c r="AF83"/>
      <c r="AG83"/>
      <c r="AH83"/>
      <c r="AI83"/>
      <c r="AJ83"/>
    </row>
    <row r="84" spans="1:36" s="119" customFormat="1">
      <c r="F84" s="31"/>
      <c r="G84" s="31"/>
      <c r="H84" s="221"/>
      <c r="I84"/>
      <c r="O84" s="31"/>
      <c r="P84" s="31"/>
      <c r="Q84" s="221"/>
      <c r="X84" s="31"/>
      <c r="Y84" s="31"/>
      <c r="Z84" s="221"/>
      <c r="AA84"/>
      <c r="AB84"/>
      <c r="AC84"/>
      <c r="AD84"/>
      <c r="AE84"/>
      <c r="AF84"/>
      <c r="AG84"/>
      <c r="AH84"/>
      <c r="AI84"/>
      <c r="AJ84"/>
    </row>
    <row r="85" spans="1:36" s="119" customFormat="1">
      <c r="F85" s="31"/>
      <c r="G85" s="31"/>
      <c r="H85" s="221"/>
      <c r="I85"/>
      <c r="O85" s="31"/>
      <c r="P85" s="31"/>
      <c r="Q85" s="221"/>
      <c r="X85" s="31"/>
      <c r="Y85" s="31"/>
      <c r="Z85" s="221"/>
      <c r="AA85"/>
      <c r="AB85"/>
      <c r="AC85"/>
      <c r="AD85"/>
      <c r="AE85"/>
      <c r="AF85"/>
      <c r="AG85"/>
      <c r="AH85"/>
      <c r="AI85"/>
      <c r="AJ85"/>
    </row>
    <row r="86" spans="1:36" s="119" customFormat="1">
      <c r="F86" s="31"/>
      <c r="G86" s="31"/>
      <c r="H86" s="221"/>
      <c r="I86"/>
      <c r="O86" s="31"/>
      <c r="P86" s="31"/>
      <c r="Q86" s="221"/>
      <c r="X86" s="31"/>
      <c r="Y86" s="31"/>
      <c r="Z86" s="221"/>
      <c r="AA86"/>
      <c r="AB86"/>
      <c r="AC86"/>
      <c r="AD86"/>
      <c r="AE86"/>
      <c r="AF86"/>
      <c r="AG86"/>
      <c r="AH86"/>
      <c r="AI86"/>
      <c r="AJ86"/>
    </row>
    <row r="87" spans="1:36" s="119" customFormat="1">
      <c r="F87" s="31"/>
      <c r="G87" s="31"/>
      <c r="H87" s="221"/>
      <c r="I87"/>
      <c r="O87" s="31"/>
      <c r="P87" s="31"/>
      <c r="Q87" s="221"/>
      <c r="X87" s="31"/>
      <c r="Y87" s="31"/>
      <c r="Z87" s="221"/>
      <c r="AA87"/>
      <c r="AB87"/>
      <c r="AC87"/>
      <c r="AD87"/>
      <c r="AE87"/>
      <c r="AF87"/>
      <c r="AG87"/>
      <c r="AH87"/>
      <c r="AI87"/>
      <c r="AJ87"/>
    </row>
    <row r="88" spans="1:36" s="119" customFormat="1">
      <c r="F88" s="31"/>
      <c r="G88" s="31"/>
      <c r="H88" s="221"/>
      <c r="I88"/>
      <c r="O88" s="31"/>
      <c r="P88" s="31"/>
      <c r="Q88" s="221"/>
      <c r="X88" s="31"/>
      <c r="Y88" s="31"/>
      <c r="Z88" s="221"/>
      <c r="AA88"/>
      <c r="AB88"/>
      <c r="AC88"/>
      <c r="AD88"/>
      <c r="AE88"/>
      <c r="AF88"/>
      <c r="AG88"/>
      <c r="AH88"/>
      <c r="AI88"/>
      <c r="AJ88"/>
    </row>
    <row r="89" spans="1:36" s="119" customFormat="1">
      <c r="F89" s="31"/>
      <c r="G89" s="31"/>
      <c r="H89" s="221"/>
      <c r="I89"/>
      <c r="O89" s="31"/>
      <c r="P89" s="31"/>
      <c r="Q89" s="221"/>
      <c r="X89" s="31"/>
      <c r="Y89" s="31"/>
      <c r="Z89" s="221"/>
      <c r="AA89"/>
      <c r="AB89"/>
      <c r="AC89"/>
      <c r="AD89"/>
      <c r="AE89"/>
      <c r="AF89"/>
      <c r="AG89"/>
      <c r="AH89"/>
      <c r="AI89"/>
      <c r="AJ89"/>
    </row>
    <row r="90" spans="1:36" s="119" customFormat="1">
      <c r="F90" s="31"/>
      <c r="G90" s="31"/>
      <c r="H90" s="221"/>
      <c r="I90"/>
      <c r="O90" s="31"/>
      <c r="P90" s="31"/>
      <c r="Q90" s="221"/>
      <c r="X90" s="31"/>
      <c r="Y90" s="31"/>
      <c r="Z90" s="221"/>
      <c r="AA90"/>
      <c r="AB90"/>
      <c r="AC90"/>
      <c r="AD90"/>
      <c r="AE90"/>
      <c r="AF90"/>
      <c r="AG90"/>
      <c r="AH90"/>
      <c r="AI90"/>
      <c r="AJ90"/>
    </row>
    <row r="91" spans="1:36" s="119" customFormat="1">
      <c r="F91" s="31"/>
      <c r="G91" s="31"/>
      <c r="H91" s="221"/>
      <c r="I91"/>
      <c r="O91" s="31"/>
      <c r="P91" s="31"/>
      <c r="Q91" s="221"/>
      <c r="X91" s="31"/>
      <c r="Y91" s="31"/>
      <c r="Z91" s="221"/>
      <c r="AA91"/>
      <c r="AB91"/>
      <c r="AC91"/>
      <c r="AD91"/>
      <c r="AE91"/>
      <c r="AF91"/>
      <c r="AG91"/>
      <c r="AH91"/>
      <c r="AI91"/>
      <c r="AJ91"/>
    </row>
    <row r="92" spans="1:36" s="119" customFormat="1">
      <c r="F92" s="31"/>
      <c r="G92" s="31"/>
      <c r="H92" s="221"/>
      <c r="I92"/>
      <c r="O92" s="31"/>
      <c r="P92" s="31"/>
      <c r="Q92" s="221"/>
      <c r="X92" s="31"/>
      <c r="Y92" s="31"/>
      <c r="Z92" s="221"/>
      <c r="AA92"/>
      <c r="AB92"/>
      <c r="AC92"/>
      <c r="AD92"/>
      <c r="AE92"/>
      <c r="AF92"/>
      <c r="AG92"/>
      <c r="AH92"/>
      <c r="AI92"/>
      <c r="AJ92"/>
    </row>
    <row r="93" spans="1:36" s="119" customFormat="1">
      <c r="F93" s="31"/>
      <c r="G93" s="31"/>
      <c r="H93" s="221"/>
      <c r="I93"/>
      <c r="O93" s="31"/>
      <c r="P93" s="31"/>
      <c r="Q93" s="221"/>
      <c r="X93" s="31"/>
      <c r="Y93" s="31"/>
      <c r="Z93" s="221"/>
      <c r="AA93"/>
      <c r="AB93"/>
      <c r="AC93"/>
      <c r="AD93"/>
      <c r="AE93"/>
      <c r="AF93"/>
      <c r="AG93"/>
      <c r="AH93"/>
      <c r="AI93"/>
      <c r="AJ93"/>
    </row>
    <row r="94" spans="1:36" s="119" customFormat="1">
      <c r="F94" s="31"/>
      <c r="G94" s="31"/>
      <c r="H94" s="221"/>
      <c r="I94"/>
      <c r="O94" s="31"/>
      <c r="P94" s="31"/>
      <c r="Q94" s="221"/>
      <c r="X94" s="31"/>
      <c r="Y94" s="31"/>
      <c r="Z94" s="221"/>
      <c r="AA94"/>
      <c r="AB94"/>
      <c r="AC94"/>
      <c r="AD94"/>
      <c r="AE94"/>
      <c r="AF94"/>
      <c r="AG94"/>
      <c r="AH94"/>
      <c r="AI94"/>
      <c r="AJ94"/>
    </row>
    <row r="95" spans="1:36" s="119" customFormat="1">
      <c r="F95" s="31"/>
      <c r="G95" s="31"/>
      <c r="H95" s="221"/>
      <c r="I95"/>
      <c r="O95" s="31"/>
      <c r="P95" s="31"/>
      <c r="Q95" s="221"/>
      <c r="X95" s="31"/>
      <c r="Y95" s="31"/>
      <c r="Z95" s="221"/>
      <c r="AA95"/>
      <c r="AB95"/>
      <c r="AC95"/>
      <c r="AD95"/>
      <c r="AE95"/>
      <c r="AF95"/>
      <c r="AG95"/>
      <c r="AH95"/>
      <c r="AI95"/>
      <c r="AJ95"/>
    </row>
    <row r="96" spans="1:36" s="119" customFormat="1">
      <c r="F96" s="31"/>
      <c r="G96" s="31"/>
      <c r="H96" s="221"/>
      <c r="I96"/>
      <c r="O96" s="31"/>
      <c r="P96" s="31"/>
      <c r="Q96" s="221"/>
      <c r="X96" s="31"/>
      <c r="Y96" s="31"/>
      <c r="Z96" s="221"/>
      <c r="AA96"/>
      <c r="AB96"/>
      <c r="AC96"/>
      <c r="AD96"/>
      <c r="AE96"/>
      <c r="AF96"/>
      <c r="AG96"/>
      <c r="AH96"/>
      <c r="AI96"/>
      <c r="AJ96"/>
    </row>
    <row r="97" spans="1:36" s="119" customFormat="1">
      <c r="F97" s="31"/>
      <c r="G97" s="31"/>
      <c r="H97" s="221"/>
      <c r="I97"/>
      <c r="O97" s="31"/>
      <c r="P97" s="31"/>
      <c r="Q97" s="221"/>
      <c r="X97" s="31"/>
      <c r="Y97" s="31"/>
      <c r="Z97" s="221"/>
      <c r="AA97"/>
      <c r="AB97"/>
      <c r="AC97"/>
      <c r="AD97"/>
      <c r="AE97"/>
      <c r="AF97"/>
      <c r="AG97"/>
      <c r="AH97"/>
      <c r="AI97"/>
      <c r="AJ97"/>
    </row>
    <row r="98" spans="1:36" s="119" customFormat="1">
      <c r="F98" s="31"/>
      <c r="G98" s="31"/>
      <c r="H98" s="221"/>
      <c r="I98"/>
      <c r="O98" s="31"/>
      <c r="P98" s="31"/>
      <c r="Q98" s="221"/>
      <c r="X98" s="31"/>
      <c r="Y98" s="31"/>
      <c r="Z98" s="221"/>
      <c r="AA98"/>
      <c r="AB98"/>
      <c r="AC98"/>
      <c r="AD98"/>
      <c r="AE98"/>
      <c r="AF98"/>
      <c r="AG98"/>
      <c r="AH98"/>
      <c r="AI98"/>
      <c r="AJ98"/>
    </row>
    <row r="99" spans="1:36" s="119" customFormat="1">
      <c r="F99" s="31"/>
      <c r="G99" s="31"/>
      <c r="H99" s="221"/>
      <c r="I99"/>
      <c r="O99" s="31"/>
      <c r="P99" s="31"/>
      <c r="Q99" s="221"/>
      <c r="X99" s="31"/>
      <c r="Y99" s="31"/>
      <c r="Z99" s="221"/>
      <c r="AA99"/>
      <c r="AB99"/>
      <c r="AC99"/>
      <c r="AD99"/>
      <c r="AE99"/>
      <c r="AF99"/>
      <c r="AG99"/>
      <c r="AH99"/>
      <c r="AI99"/>
      <c r="AJ99"/>
    </row>
    <row r="100" spans="1:36">
      <c r="I100"/>
      <c r="AA100"/>
      <c r="AB100"/>
      <c r="AC100"/>
      <c r="AD100"/>
      <c r="AE100"/>
      <c r="AF100"/>
      <c r="AG100"/>
      <c r="AH100"/>
      <c r="AI100"/>
    </row>
    <row r="101" spans="1:36">
      <c r="F101"/>
      <c r="G101"/>
      <c r="I101"/>
      <c r="J101"/>
      <c r="K101"/>
      <c r="L101"/>
      <c r="M101"/>
      <c r="N101"/>
      <c r="O101"/>
      <c r="P101"/>
      <c r="R101"/>
      <c r="S101"/>
      <c r="T101"/>
      <c r="U101"/>
      <c r="V101"/>
      <c r="W101"/>
      <c r="X101"/>
      <c r="Y101"/>
      <c r="AA101"/>
      <c r="AB101"/>
      <c r="AC101"/>
      <c r="AD101"/>
      <c r="AE101"/>
      <c r="AF101"/>
      <c r="AG101"/>
      <c r="AH101"/>
    </row>
    <row r="102" spans="1:36" s="31" customFormat="1" ht="30" customHeight="1">
      <c r="A102" s="241" t="str">
        <f>"Opex Overheads Avg Annual per "&amp;H103&amp;" ("&amp;A103&amp;")"</f>
        <v>Opex Overheads Avg Annual per km (Total Line Length)</v>
      </c>
      <c r="B102" s="239" t="s">
        <v>310</v>
      </c>
      <c r="C102" s="239" t="s">
        <v>1674</v>
      </c>
      <c r="D102" s="239" t="s">
        <v>1218</v>
      </c>
      <c r="E102" s="239" t="s">
        <v>0</v>
      </c>
      <c r="F102" s="239" t="s">
        <v>1675</v>
      </c>
      <c r="G102" s="246" t="s">
        <v>1676</v>
      </c>
      <c r="H102" s="240" t="s">
        <v>1552</v>
      </c>
      <c r="J102" s="241" t="str">
        <f>"Opex Overheads Avg Annual per "&amp;Q103&amp;" ("&amp;J103&amp;")"</f>
        <v>Opex Overheads Avg Annual per km (Total Line Length)</v>
      </c>
      <c r="K102" s="239" t="s">
        <v>310</v>
      </c>
      <c r="L102" s="239" t="s">
        <v>1674</v>
      </c>
      <c r="M102" s="239" t="s">
        <v>1218</v>
      </c>
      <c r="N102" s="239" t="str">
        <f>OPEX_CategoryComparisonBalanced[[#Headers],[Essential +16%Dir]]</f>
        <v>Essential +16%Dir</v>
      </c>
      <c r="O102" s="239" t="s">
        <v>1675</v>
      </c>
      <c r="P102" s="246" t="s">
        <v>1676</v>
      </c>
      <c r="Q102" s="240" t="s">
        <v>1552</v>
      </c>
      <c r="S102" s="241" t="str">
        <f>"Opex Overheads Avg Annual per "&amp;Z103&amp;" ("&amp;S103&amp;")"</f>
        <v>Opex Overheads Avg Annual per km (Total Line Length)</v>
      </c>
      <c r="T102" s="239" t="s">
        <v>310</v>
      </c>
      <c r="U102" s="239" t="s">
        <v>1674</v>
      </c>
      <c r="V102" s="239" t="s">
        <v>1218</v>
      </c>
      <c r="W102" s="239" t="s">
        <v>1569</v>
      </c>
      <c r="X102" s="239" t="s">
        <v>1675</v>
      </c>
      <c r="Y102" s="246" t="s">
        <v>1676</v>
      </c>
      <c r="Z102" s="240" t="s">
        <v>1552</v>
      </c>
      <c r="AB102" s="241" t="s">
        <v>1608</v>
      </c>
      <c r="AC102" s="238" t="s">
        <v>310</v>
      </c>
      <c r="AD102" s="238" t="s">
        <v>1674</v>
      </c>
      <c r="AE102" s="238" t="s">
        <v>1218</v>
      </c>
      <c r="AF102" s="238" t="s">
        <v>0</v>
      </c>
      <c r="AG102" s="239" t="s">
        <v>1675</v>
      </c>
      <c r="AH102" s="239" t="s">
        <v>1676</v>
      </c>
      <c r="AI102" s="352" t="str">
        <f>AB102</f>
        <v>Line Length vs Customers</v>
      </c>
    </row>
    <row r="103" spans="1:36">
      <c r="A103" s="242" t="s">
        <v>1211</v>
      </c>
      <c r="B103" s="249">
        <f>(VLOOKUP("Network Overheads",OPEX_CategoryComparisonBalanced[#All],MATCH(Graphs!$A$102:$G$102,OPEX_CategoryComparisonBalanced[#Headers],0),FALSE)+VLOOKUP("Corporate Overheads",OPEX_CategoryComparisonBalanced[#All],MATCH(Graphs!$A$102:$G$102,OPEX_CategoryComparisonBalanced[#Headers],0),FALSE))/5/VLOOKUP(Graphs!$A$103:$A$103,Network_Size_Comparison[#All],MATCH(Graphs!$A$102:$G$102,Network_Size_Comparison[#Headers],0),FALSE)</f>
        <v>887.93782993686216</v>
      </c>
      <c r="C103" s="249">
        <f>(VLOOKUP("Network Overheads",OPEX_CategoryComparisonBalanced[#All],MATCH(Graphs!$A$102:$G$102,OPEX_CategoryComparisonBalanced[#Headers],0),FALSE)+VLOOKUP("Corporate Overheads",OPEX_CategoryComparisonBalanced[#All],MATCH(Graphs!$A$102:$G$102,OPEX_CategoryComparisonBalanced[#Headers],0),FALSE))/5/VLOOKUP(Graphs!$A$103:$A$103,Network_Size_Comparison[#All],MATCH(Graphs!$A$102:$G$102,Network_Size_Comparison[#Headers],0),FALSE)</f>
        <v>1324.6093468416348</v>
      </c>
      <c r="D103" s="249">
        <f>(VLOOKUP("Network Overheads",OPEX_CategoryComparisonBalanced[#All],MATCH(Graphs!$A$102:$G$102,OPEX_CategoryComparisonBalanced[#Headers],0),FALSE)+VLOOKUP("Corporate Overheads",OPEX_CategoryComparisonBalanced[#All],MATCH(Graphs!$A$102:$G$102,OPEX_CategoryComparisonBalanced[#Headers],0),FALSE))/5/VLOOKUP(Graphs!$A$103:$A$103,Network_Size_Comparison[#All],MATCH(Graphs!$A$102:$G$102,Network_Size_Comparison[#Headers],0),FALSE)</f>
        <v>1287.9585789732248</v>
      </c>
      <c r="E103" s="249">
        <f>(VLOOKUP("Network Overheads",OPEX_CategoryComparisonBalanced[#All],MATCH(Graphs!$A$102:$G$102,OPEX_CategoryComparisonBalanced[#Headers],0),FALSE)+VLOOKUP("Corporate Overheads",OPEX_CategoryComparisonBalanced[#All],MATCH(Graphs!$A$102:$G$102,OPEX_CategoryComparisonBalanced[#Headers],0),FALSE))/5/VLOOKUP(Graphs!$A$103:$A$103,Network_Size_Comparison[#All],MATCH(Graphs!$A$102:$G$102,Network_Size_Comparison[#Headers],0),FALSE)</f>
        <v>920.45270521556677</v>
      </c>
      <c r="F103" s="249">
        <f>(VLOOKUP("Network Overheads",OPEX_CategoryComparisonBalanced[#All],MATCH(Graphs!$A$102:$G$102,OPEX_CategoryComparisonBalanced[#Headers],0),FALSE)+VLOOKUP("Corporate Overheads",OPEX_CategoryComparisonBalanced[#All],MATCH(Graphs!$A$102:$G$102,OPEX_CategoryComparisonBalanced[#Headers],0),FALSE))/5/VLOOKUP(Graphs!$A$103:$A$103,Network_Size_Comparison[#All],MATCH(Graphs!$A$102:$G$102,Network_Size_Comparison[#Headers],0),FALSE)</f>
        <v>1050.6943149918286</v>
      </c>
      <c r="G103" s="250">
        <f>(VLOOKUP("Network Overheads",OPEX_CategoryComparisonBalanced[#All],MATCH(Graphs!$A$102:$G$102,OPEX_CategoryComparisonBalanced[#Headers],0),FALSE)+VLOOKUP("Corporate Overheads",OPEX_CategoryComparisonBalanced[#All],MATCH(Graphs!$A$102:$G$102,OPEX_CategoryComparisonBalanced[#Headers],0),FALSE))/5/VLOOKUP(Graphs!$A$103:$A$103,Network_Size_Comparison[#All],MATCH(Graphs!$A$102:$G$102,Network_Size_Comparison[#Headers],0),FALSE)</f>
        <v>1103.6648867632985</v>
      </c>
      <c r="H103" s="245" t="str">
        <f>VLOOKUP(A103,Network_Size_Comparison[#All],MATCH(H102,Network_Size_Comparison[#Headers],0),FALSE)</f>
        <v>km</v>
      </c>
      <c r="J103" s="242" t="s">
        <v>1211</v>
      </c>
      <c r="K103" s="249">
        <f>(VLOOKUP("Network Overheads",OPEX_CategoryComparisonBalanced[#All],MATCH(Graphs!K102,OPEX_CategoryComparisonBalanced[#Headers],0),FALSE)+VLOOKUP("Corporate Overheads",OPEX_CategoryComparisonBalanced[#All],MATCH(K102,OPEX_CategoryComparisonBalanced[#Headers],0),FALSE))/5/VLOOKUP(Graphs!$J$103,Network_Size_Comparison[#All],MATCH(K102,Network_Size_Comparison[#Headers],0),FALSE)</f>
        <v>887.93782993686216</v>
      </c>
      <c r="L103" s="249">
        <f>(VLOOKUP("Network Overheads",OPEX_CategoryComparisonBalanced[#All],MATCH(Graphs!L102,OPEX_CategoryComparisonBalanced[#Headers],0),FALSE)+VLOOKUP("Corporate Overheads",OPEX_CategoryComparisonBalanced[#All],MATCH(L102,OPEX_CategoryComparisonBalanced[#Headers],0),FALSE))/5/VLOOKUP(Graphs!$J$103,Network_Size_Comparison[#All],MATCH(L102,Network_Size_Comparison[#Headers],0),FALSE)</f>
        <v>1324.6093468416348</v>
      </c>
      <c r="M103" s="249">
        <f>(VLOOKUP("Network Overheads",OPEX_CategoryComparisonBalanced[#All],MATCH(Graphs!M102,OPEX_CategoryComparisonBalanced[#Headers],0),FALSE)+VLOOKUP("Corporate Overheads",OPEX_CategoryComparisonBalanced[#All],MATCH(M102,OPEX_CategoryComparisonBalanced[#Headers],0),FALSE))/5/VLOOKUP(Graphs!$J$103,Network_Size_Comparison[#All],MATCH(M102,Network_Size_Comparison[#Headers],0),FALSE)</f>
        <v>1287.9585789732248</v>
      </c>
      <c r="N103" s="249">
        <f>(VLOOKUP("Network Overheads",OPEX_CategoryComparisonBalanced[#All],MATCH(Graphs!N102,OPEX_CategoryComparisonBalanced[#Headers],0),FALSE)+VLOOKUP("Corporate Overheads",OPEX_CategoryComparisonBalanced[#All],MATCH(N102,OPEX_CategoryComparisonBalanced[#Headers],0),FALSE))/5/VLOOKUP(Graphs!$J$103,Network_Size_Comparison[#All],MATCH(N102,Network_Size_Comparison[#Headers],0),FALSE)</f>
        <v>794.25855125266776</v>
      </c>
      <c r="O103" s="249">
        <f>(VLOOKUP("Network Overheads",OPEX_CategoryComparisonBalanced[#All],MATCH(Graphs!O102,OPEX_CategoryComparisonBalanced[#Headers],0),FALSE)+VLOOKUP("Corporate Overheads",OPEX_CategoryComparisonBalanced[#All],MATCH(O102,OPEX_CategoryComparisonBalanced[#Headers],0),FALSE))/5/VLOOKUP(Graphs!$J$103,Network_Size_Comparison[#All],MATCH(O102,Network_Size_Comparison[#Headers],0),FALSE)</f>
        <v>1050.6943149918286</v>
      </c>
      <c r="P103" s="249">
        <f>(VLOOKUP("Network Overheads",OPEX_CategoryComparisonBalanced[#All],MATCH(Graphs!P102,OPEX_CategoryComparisonBalanced[#Headers],0),FALSE)+VLOOKUP("Corporate Overheads",OPEX_CategoryComparisonBalanced[#All],MATCH(P102,OPEX_CategoryComparisonBalanced[#Headers],0),FALSE))/5/VLOOKUP(Graphs!$J$103,Network_Size_Comparison[#All],MATCH(P102,Network_Size_Comparison[#Headers],0),FALSE)</f>
        <v>1103.6648867632985</v>
      </c>
      <c r="Q103" s="245" t="str">
        <f>VLOOKUP(J103,Network_Size_Comparison[#All],MATCH(Q102,Network_Size_Comparison[#Headers],0),FALSE)</f>
        <v>km</v>
      </c>
      <c r="S103" s="242" t="s">
        <v>1211</v>
      </c>
      <c r="T103" s="249">
        <f>(VLOOKUP("Network Overheads",OPEX_CategoryComparisonBalanced[#All],MATCH(Graphs!T102,OPEX_CategoryComparisonBalanced[#Headers],0),FALSE)+VLOOKUP("Corporate Overheads",OPEX_CategoryComparisonBalanced[#All],MATCH(T102,OPEX_CategoryComparisonBalanced[#Headers],0),FALSE))/5/VLOOKUP(Graphs!$S$103,Network_Size_Comparison[#All],MATCH(T102,Network_Size_Comparison[#Headers],0),FALSE)</f>
        <v>887.93782993686216</v>
      </c>
      <c r="U103" s="249">
        <f>(VLOOKUP("Network Overheads",OPEX_CategoryComparisonBalanced[#All],MATCH(Graphs!U102,OPEX_CategoryComparisonBalanced[#Headers],0),FALSE)+VLOOKUP("Corporate Overheads",OPEX_CategoryComparisonBalanced[#All],MATCH(U102,OPEX_CategoryComparisonBalanced[#Headers],0),FALSE))/5/VLOOKUP(Graphs!$S$103,Network_Size_Comparison[#All],MATCH(U102,Network_Size_Comparison[#Headers],0),FALSE)</f>
        <v>1324.6093468416348</v>
      </c>
      <c r="V103" s="249">
        <f>(VLOOKUP("Network Overheads",OPEX_CategoryComparisonBalanced[#All],MATCH(Graphs!V102,OPEX_CategoryComparisonBalanced[#Headers],0),FALSE)+VLOOKUP("Corporate Overheads",OPEX_CategoryComparisonBalanced[#All],MATCH(V102,OPEX_CategoryComparisonBalanced[#Headers],0),FALSE))/5/VLOOKUP(Graphs!$S$103,Network_Size_Comparison[#All],MATCH(V102,Network_Size_Comparison[#Headers],0),FALSE)</f>
        <v>1287.9585789732248</v>
      </c>
      <c r="W103" s="249">
        <f>(VLOOKUP("Network Overheads",OPEX_CategoryComparisonBalanced[#All],MATCH(Graphs!W102,OPEX_CategoryComparisonBalanced[#Headers],0),FALSE)+VLOOKUP("Corporate Overheads",OPEX_CategoryComparisonBalanced[#All],MATCH(W102,OPEX_CategoryComparisonBalanced[#Headers],0),FALSE))/5/VLOOKUP(Graphs!$S$103,Network_Size_Comparison[#All],MATCH(W102,Network_Size_Comparison[#Headers],0),FALSE)</f>
        <v>828.40743469401013</v>
      </c>
      <c r="X103" s="249">
        <f>(VLOOKUP("Network Overheads",OPEX_CategoryComparisonBalanced[#All],MATCH(Graphs!X102,OPEX_CategoryComparisonBalanced[#Headers],0),FALSE)+VLOOKUP("Corporate Overheads",OPEX_CategoryComparisonBalanced[#All],MATCH(X102,OPEX_CategoryComparisonBalanced[#Headers],0),FALSE))/5/VLOOKUP(Graphs!$S$103,Network_Size_Comparison[#All],MATCH(X102,Network_Size_Comparison[#Headers],0),FALSE)</f>
        <v>1050.6943149918286</v>
      </c>
      <c r="Y103" s="249">
        <f>(VLOOKUP("Network Overheads",OPEX_CategoryComparisonBalanced[#All],MATCH(Graphs!Y102,OPEX_CategoryComparisonBalanced[#Headers],0),FALSE)+VLOOKUP("Corporate Overheads",OPEX_CategoryComparisonBalanced[#All],MATCH(Y102,OPEX_CategoryComparisonBalanced[#Headers],0),FALSE))/5/VLOOKUP(Graphs!$S$103,Network_Size_Comparison[#All],MATCH(Y102,Network_Size_Comparison[#Headers],0),FALSE)</f>
        <v>1103.6648867632985</v>
      </c>
      <c r="Z103" s="245" t="str">
        <f>VLOOKUP(S103,Network_Size_Comparison[#All],MATCH(Z102,Network_Size_Comparison[#Headers],0),FALSE)</f>
        <v>km</v>
      </c>
      <c r="AB103" s="242" t="s">
        <v>1668</v>
      </c>
      <c r="AC103" s="243">
        <f>VLOOKUP(Graphs!$AB103,Network_Size_Comparison[#All],MATCH(Graphs!AC102,Network_Size_Comparison[#Headers],0),FALSE)</f>
        <v>753913</v>
      </c>
      <c r="AD103" s="243">
        <f>VLOOKUP(Graphs!$AB103,Network_Size_Comparison[#All],MATCH(Graphs!AD102,Network_Size_Comparison[#Headers],0),FALSE)</f>
        <v>681299</v>
      </c>
      <c r="AE103" s="243">
        <f>VLOOKUP(Graphs!$AB103,Network_Size_Comparison[#All],MATCH(Graphs!AE102,Network_Size_Comparison[#Headers],0),FALSE)</f>
        <v>847766</v>
      </c>
      <c r="AF103" s="243">
        <f>VLOOKUP(Graphs!$AB103,Network_Size_Comparison[#All],MATCH(Graphs!AF102,Network_Size_Comparison[#Headers],0),FALSE)</f>
        <v>844244</v>
      </c>
      <c r="AG103" s="243">
        <f>VLOOKUP(Graphs!$AB103,Network_Size_Comparison[#All],MATCH(Graphs!AG102,Network_Size_Comparison[#Headers],0),FALSE)</f>
        <v>1435212</v>
      </c>
      <c r="AH103" s="243">
        <f>VLOOKUP(Graphs!$AB103,Network_Size_Comparison[#All],MATCH(Graphs!AH102,Network_Size_Comparison[#Headers],0),FALSE)</f>
        <v>1601679</v>
      </c>
      <c r="AI103" s="352"/>
    </row>
    <row r="104" spans="1:36">
      <c r="A104" s="119"/>
      <c r="B104" s="119"/>
      <c r="C104" s="119"/>
      <c r="D104" s="119"/>
      <c r="E104" s="119"/>
      <c r="AB104" s="242" t="s">
        <v>1211</v>
      </c>
      <c r="AC104" s="243">
        <f>VLOOKUP(Graphs!$AB104,Network_Size_Comparison[#All],MATCH(Graphs!AC102,Network_Size_Comparison[#Headers],0),FALSE)</f>
        <v>75088.23000000001</v>
      </c>
      <c r="AD104" s="243">
        <f>VLOOKUP(Graphs!$AB104,Network_Size_Comparison[#All],MATCH(Graphs!AD102,Network_Size_Comparison[#Headers],0),FALSE)</f>
        <v>44616.377207440004</v>
      </c>
      <c r="AE104" s="243">
        <f>VLOOKUP(Graphs!$AB104,Network_Size_Comparison[#All],MATCH(Graphs!AE102,Network_Size_Comparison[#Headers],0),FALSE)</f>
        <v>87895.373227180011</v>
      </c>
      <c r="AF104" s="243">
        <f>VLOOKUP(Graphs!$AB104,Network_Size_Comparison[#All],MATCH(Graphs!AF102,Network_Size_Comparison[#Headers],0),FALSE)</f>
        <v>193422.82999999952</v>
      </c>
      <c r="AG104" s="243">
        <f>VLOOKUP(Graphs!$AB104,Network_Size_Comparison[#All],MATCH(Graphs!AG102,Network_Size_Comparison[#Headers],0),FALSE)</f>
        <v>119704.60720744001</v>
      </c>
      <c r="AH104" s="243">
        <f>VLOOKUP(Graphs!$AB104,Network_Size_Comparison[#All],MATCH(Graphs!AH102,Network_Size_Comparison[#Headers],0),FALSE)</f>
        <v>162983.60322718002</v>
      </c>
    </row>
    <row r="105" spans="1:36">
      <c r="A105" s="119"/>
      <c r="B105" s="119"/>
      <c r="C105" s="119"/>
      <c r="D105" s="119"/>
      <c r="E105" s="119"/>
    </row>
    <row r="106" spans="1:36">
      <c r="A106" s="119"/>
      <c r="B106" s="119"/>
      <c r="C106" s="119"/>
      <c r="D106" s="119"/>
      <c r="E106" s="119"/>
    </row>
    <row r="107" spans="1:36">
      <c r="A107" s="119"/>
      <c r="B107" s="119"/>
      <c r="C107" s="119"/>
      <c r="D107" s="119"/>
      <c r="E107" s="119"/>
    </row>
    <row r="108" spans="1:36">
      <c r="A108" s="119"/>
      <c r="B108" s="119"/>
      <c r="C108" s="119"/>
      <c r="D108" s="119"/>
      <c r="E108" s="119"/>
    </row>
    <row r="109" spans="1:36">
      <c r="A109" s="119"/>
      <c r="B109" s="119"/>
      <c r="C109" s="119"/>
      <c r="D109" s="119"/>
      <c r="E109" s="119"/>
    </row>
    <row r="110" spans="1:36">
      <c r="A110" s="119"/>
      <c r="B110" s="119"/>
      <c r="C110" s="119"/>
      <c r="D110" s="119"/>
      <c r="E110" s="119"/>
    </row>
    <row r="111" spans="1:36">
      <c r="A111" s="119"/>
      <c r="B111" s="119"/>
      <c r="C111" s="119"/>
      <c r="D111" s="119"/>
      <c r="E111" s="119"/>
    </row>
    <row r="112" spans="1:36">
      <c r="A112" s="119"/>
      <c r="B112" s="119"/>
      <c r="C112" s="119"/>
      <c r="D112" s="119"/>
      <c r="E112" s="119"/>
    </row>
    <row r="113" spans="1:26">
      <c r="A113" s="119"/>
      <c r="B113" s="119"/>
      <c r="C113" s="119"/>
      <c r="D113" s="119"/>
      <c r="E113" s="119"/>
    </row>
    <row r="114" spans="1:26">
      <c r="A114" s="119"/>
      <c r="B114" s="119"/>
      <c r="C114" s="119"/>
      <c r="D114" s="119"/>
      <c r="E114" s="119"/>
    </row>
    <row r="115" spans="1:26">
      <c r="A115" s="119"/>
      <c r="B115" s="119"/>
      <c r="C115" s="119"/>
      <c r="D115" s="119"/>
      <c r="E115" s="119"/>
    </row>
    <row r="116" spans="1:26">
      <c r="A116" s="119"/>
      <c r="B116" s="119"/>
      <c r="C116" s="119"/>
      <c r="D116" s="119"/>
      <c r="E116" s="119"/>
    </row>
    <row r="117" spans="1:26">
      <c r="A117" s="119"/>
      <c r="B117" s="119"/>
      <c r="C117" s="119"/>
      <c r="D117" s="119"/>
      <c r="E117" s="119"/>
    </row>
    <row r="118" spans="1:26">
      <c r="A118" s="119"/>
      <c r="B118" s="119"/>
      <c r="C118" s="119"/>
      <c r="D118" s="119"/>
      <c r="E118" s="119"/>
    </row>
    <row r="119" spans="1:26">
      <c r="A119" s="119"/>
      <c r="B119" s="119"/>
      <c r="C119" s="119"/>
      <c r="D119" s="119"/>
      <c r="E119" s="119"/>
    </row>
    <row r="120" spans="1:26">
      <c r="A120" s="119"/>
      <c r="B120" s="119"/>
      <c r="C120" s="119"/>
      <c r="D120" s="119"/>
      <c r="E120" s="119"/>
    </row>
    <row r="121" spans="1:26">
      <c r="A121" s="119"/>
      <c r="B121" s="119"/>
      <c r="C121" s="119"/>
      <c r="D121" s="119"/>
      <c r="E121" s="119"/>
    </row>
    <row r="122" spans="1:26" s="31" customFormat="1" ht="30" customHeight="1">
      <c r="A122" s="241" t="str">
        <f>"Veg Management Avg Annual (2009-13) Direct Opex per "&amp;H123&amp;" ("&amp;A123&amp;")"</f>
        <v>Veg Management Avg Annual (2009-13) Direct Opex per km (Total Route Length)</v>
      </c>
      <c r="B122" s="239" t="s">
        <v>310</v>
      </c>
      <c r="C122" s="239" t="s">
        <v>1674</v>
      </c>
      <c r="D122" s="239" t="s">
        <v>1218</v>
      </c>
      <c r="E122" s="239" t="s">
        <v>0</v>
      </c>
      <c r="F122" s="239" t="s">
        <v>1675</v>
      </c>
      <c r="G122" s="246" t="s">
        <v>1676</v>
      </c>
      <c r="H122" s="240" t="s">
        <v>1552</v>
      </c>
      <c r="J122" s="241" t="str">
        <f>"Veg Management 2012/13 Direct Opex per "&amp;Q123&amp;" ("&amp;J123&amp;")"</f>
        <v>Veg Management 2012/13 Direct Opex per km (Total Route Length)</v>
      </c>
      <c r="K122" s="239" t="s">
        <v>310</v>
      </c>
      <c r="L122" s="239" t="s">
        <v>1674</v>
      </c>
      <c r="M122" s="239" t="s">
        <v>1218</v>
      </c>
      <c r="N122" s="239" t="s">
        <v>0</v>
      </c>
      <c r="O122" s="239" t="s">
        <v>1675</v>
      </c>
      <c r="P122" s="246" t="s">
        <v>1676</v>
      </c>
      <c r="Q122" s="240" t="s">
        <v>1552</v>
      </c>
      <c r="S122" s="241" t="str">
        <f>"Veg Management Avg Annual Opex per "&amp;Z123&amp;" ("&amp;S123&amp;")"</f>
        <v>Veg Management Avg Annual Opex per km (Total Route Length)</v>
      </c>
      <c r="T122" s="239" t="s">
        <v>310</v>
      </c>
      <c r="U122" s="239" t="s">
        <v>1674</v>
      </c>
      <c r="V122" s="239" t="s">
        <v>1218</v>
      </c>
      <c r="W122" s="239" t="s">
        <v>1569</v>
      </c>
      <c r="X122" s="239" t="s">
        <v>1675</v>
      </c>
      <c r="Y122" s="246" t="s">
        <v>1676</v>
      </c>
      <c r="Z122" s="240" t="s">
        <v>1552</v>
      </c>
    </row>
    <row r="123" spans="1:26">
      <c r="A123" s="242" t="s">
        <v>1561</v>
      </c>
      <c r="B123" s="247">
        <f>VLOOKUP("Vegetation Management",OPEX_CategoryComparisonBalanced[#All],MATCH(Graphs!$A$122:$G$122,OPEX_CategoryComparisonBalanced[#Headers],0),FALSE)/5/VLOOKUP(Graphs!$A$123:$A$123,Network_Size_Comparison[#All],MATCH(Graphs!$A$122:$G$122,Network_Size_Comparison[#Headers],0),FALSE)</f>
        <v>408.53342510024538</v>
      </c>
      <c r="C123" s="247">
        <f>VLOOKUP("Vegetation Management",OPEX_CategoryComparisonBalanced[#All],MATCH(Graphs!$A$122:$G$122,OPEX_CategoryComparisonBalanced[#Headers],0),FALSE)/5/VLOOKUP(Graphs!$A$123:$A$123,Network_Size_Comparison[#All],MATCH(Graphs!$A$122:$G$122,Network_Size_Comparison[#Headers],0),FALSE)</f>
        <v>822.93268000933074</v>
      </c>
      <c r="D123" s="247">
        <f>VLOOKUP("Vegetation Management",OPEX_CategoryComparisonBalanced[#All],MATCH(Graphs!$A$122:$G$122,OPEX_CategoryComparisonBalanced[#Headers],0),FALSE)/5/VLOOKUP(Graphs!$A$123:$A$123,Network_Size_Comparison[#All],MATCH(Graphs!$A$122:$G$122,Network_Size_Comparison[#Headers],0),FALSE)</f>
        <v>309.26211222993209</v>
      </c>
      <c r="E123" s="247">
        <f>VLOOKUP("Vegetation Management",OPEX_CategoryComparisonBalanced[#All],MATCH(Graphs!$A$122:$G$122,OPEX_CategoryComparisonBalanced[#Headers],0),FALSE)/5/VLOOKUP(Graphs!$A$123:$A$123,Network_Size_Comparison[#All],MATCH(Graphs!$A$122:$G$122,Network_Size_Comparison[#Headers],0),FALSE)</f>
        <v>425.41430409666259</v>
      </c>
      <c r="F123" s="247">
        <f>VLOOKUP("Vegetation Management",OPEX_CategoryComparisonBalanced[#All],MATCH(Graphs!$A$122:$G$122,OPEX_CategoryComparisonBalanced[#Headers],0),FALSE)/5/VLOOKUP(Graphs!$A$123:$A$123,Network_Size_Comparison[#All],MATCH(Graphs!$A$122:$G$122,Network_Size_Comparison[#Headers],0),FALSE)</f>
        <v>549.06226835411496</v>
      </c>
      <c r="G123" s="247">
        <f>VLOOKUP("Vegetation Management",OPEX_CategoryComparisonBalanced[#All],MATCH(Graphs!$A$122:$G$122,OPEX_CategoryComparisonBalanced[#Headers],0),FALSE)/5/VLOOKUP(Graphs!$A$123:$A$123,Network_Size_Comparison[#All],MATCH(Graphs!$A$122:$G$122,Network_Size_Comparison[#Headers],0),FALSE)</f>
        <v>354.10068052955609</v>
      </c>
      <c r="H123" s="245" t="str">
        <f>VLOOKUP(A123,Network_Size_Comparison[#All],MATCH(H122,Network_Size_Comparison[#Headers],0),FALSE)</f>
        <v>km</v>
      </c>
      <c r="J123" s="242" t="s">
        <v>1561</v>
      </c>
      <c r="K123" s="249">
        <f>SUMIFS('2.1 Expenditure'!$G:$G,'2.1 Expenditure'!$B:$B,"Vegetation management",'2.1 Expenditure'!$A:$A,Graphs!K122)*1000/VLOOKUP(Graphs!$J$123,Network_Size_Comparison[#All],MATCH(K122,Network_Size_Comparison[#Headers],0),FALSE)</f>
        <v>675.43838649829434</v>
      </c>
      <c r="L123" s="249">
        <f>SUMIFS('2.1 Expenditure'!$G:$G,'2.1 Expenditure'!$B:$B,"Vegetation management",'2.1 Expenditure'!$A:$A,Graphs!L122)*1000/VLOOKUP(Graphs!$J$123,Network_Size_Comparison[#All],MATCH(L122,Network_Size_Comparison[#Headers],0),FALSE)</f>
        <v>1133.7792002770082</v>
      </c>
      <c r="M123" s="249">
        <f>SUMIFS('2.1 Expenditure'!$G:$G,'2.1 Expenditure'!$B:$B,"Vegetation management",'2.1 Expenditure'!$A:$A,Graphs!M122)*1000/VLOOKUP(Graphs!$J$123,Network_Size_Comparison[#All],MATCH(M122,Network_Size_Comparison[#Headers],0),FALSE)</f>
        <v>488.38384460850165</v>
      </c>
      <c r="N123" s="249">
        <f>SUMIFS('2.1 Expenditure'!$G:$G,'2.1 Expenditure'!$B:$B,"Vegetation management",'2.1 Expenditure'!$A:$A,Graphs!N122)*1000/VLOOKUP(Graphs!$J$123,Network_Size_Comparison[#All],MATCH(N122,Network_Size_Comparison[#Headers],0),FALSE)</f>
        <v>646.77865173923635</v>
      </c>
      <c r="O123" s="249">
        <f>(SUMIFS('2.1 Expenditure'!$G:$G,'2.1 Expenditure'!$B:$B,"Vegetation management",'2.1 Expenditure'!$A:$A,"AusNet")+SUMIFS('2.1 Expenditure'!$G:$G,'2.1 Expenditure'!$B:$B,"Vegetation management",'2.1 Expenditure'!$A:$A,"Powercor"))*1000/VLOOKUP(Graphs!$J$123,Network_Size_Comparison[#All],MATCH(O122,Network_Size_Comparison[#Headers],0),FALSE)</f>
        <v>830.86845451444151</v>
      </c>
      <c r="P123" s="249">
        <f>(SUMIFS('2.1 Expenditure'!$G:$G,'2.1 Expenditure'!$B:$B,"Vegetation management",'2.1 Expenditure'!$A:$A,"SA Power")+SUMIFS('2.1 Expenditure'!$G:$G,'2.1 Expenditure'!$B:$B,"Vegetation management",'2.1 Expenditure'!$A:$A,"Powercor"))*1000/VLOOKUP(Graphs!$J$123,Network_Size_Comparison[#All],MATCH(P122,Network_Size_Comparison[#Headers],0),FALSE)</f>
        <v>572.87207801423233</v>
      </c>
      <c r="Q123" s="245" t="str">
        <f>VLOOKUP(J123,Network_Size_Comparison[#All],MATCH(Q122,Network_Size_Comparison[#Headers],0),FALSE)</f>
        <v>km</v>
      </c>
      <c r="S123" s="242" t="s">
        <v>1561</v>
      </c>
      <c r="T123" s="243">
        <f>VLOOKUP("Vegetation Management",OPEX_CategoryComparisonBalanced[#All],MATCH(T122,OPEX_CategoryComparisonBalanced[#Headers],0),FALSE)/5/VLOOKUP(Graphs!$S$123,Network_Size_Comparison[#All],MATCH(T122,Network_Size_Comparison[#Headers],0),FALSE)</f>
        <v>408.53342510024538</v>
      </c>
      <c r="U123" s="243">
        <f>VLOOKUP("Vegetation Management",OPEX_CategoryComparisonBalanced[#All],MATCH(U122,OPEX_CategoryComparisonBalanced[#Headers],0),FALSE)/5/VLOOKUP(Graphs!$S$123,Network_Size_Comparison[#All],MATCH(U122,Network_Size_Comparison[#Headers],0),FALSE)</f>
        <v>822.93268000933074</v>
      </c>
      <c r="V123" s="243">
        <f>VLOOKUP("Vegetation Management",OPEX_CategoryComparisonBalanced[#All],MATCH(V122,OPEX_CategoryComparisonBalanced[#Headers],0),FALSE)/5/VLOOKUP(Graphs!$S$123,Network_Size_Comparison[#All],MATCH(V122,Network_Size_Comparison[#Headers],0),FALSE)</f>
        <v>309.26211222993209</v>
      </c>
      <c r="W123" s="243">
        <f>VLOOKUP("Vegetation Management",OPEX_CategoryComparisonBalanced[#All],MATCH(W122,OPEX_CategoryComparisonBalanced[#Headers],0),FALSE)/5/VLOOKUP(Graphs!$S$123,Network_Size_Comparison[#All],MATCH(W122,Network_Size_Comparison[#Headers],0),FALSE)</f>
        <v>382.8728736869964</v>
      </c>
      <c r="X123" s="243">
        <f>VLOOKUP("Vegetation Management",OPEX_CategoryComparisonBalanced[#All],MATCH(X122,OPEX_CategoryComparisonBalanced[#Headers],0),FALSE)/5/VLOOKUP(Graphs!$S$123,Network_Size_Comparison[#All],MATCH(X122,Network_Size_Comparison[#Headers],0),FALSE)</f>
        <v>549.06226835411496</v>
      </c>
      <c r="Y123" s="243">
        <f>VLOOKUP("Vegetation Management",OPEX_CategoryComparisonBalanced[#All],MATCH(Y122,OPEX_CategoryComparisonBalanced[#Headers],0),FALSE)/5/VLOOKUP(Graphs!$S$123,Network_Size_Comparison[#All],MATCH(Y122,Network_Size_Comparison[#Headers],0),FALSE)</f>
        <v>354.10068052955609</v>
      </c>
      <c r="Z123" s="245" t="str">
        <f>VLOOKUP(S123,Network_Size_Comparison[#All],MATCH(Z122,Network_Size_Comparison[#Headers],0),FALSE)</f>
        <v>km</v>
      </c>
    </row>
    <row r="124" spans="1:26">
      <c r="A124" s="119"/>
      <c r="B124" s="119"/>
      <c r="C124" s="119"/>
      <c r="D124" s="119"/>
      <c r="E124" s="119"/>
    </row>
    <row r="125" spans="1:26">
      <c r="A125" s="119"/>
      <c r="B125" s="119"/>
      <c r="C125" s="119"/>
      <c r="D125" s="119"/>
      <c r="E125" s="119"/>
    </row>
    <row r="126" spans="1:26">
      <c r="A126" s="119"/>
      <c r="B126" s="119"/>
      <c r="C126" s="119"/>
      <c r="D126" s="119"/>
      <c r="E126" s="119"/>
    </row>
    <row r="127" spans="1:26">
      <c r="A127" s="119"/>
      <c r="B127" s="119"/>
      <c r="C127" s="119"/>
      <c r="D127" s="119"/>
      <c r="E127" s="119"/>
    </row>
    <row r="128" spans="1:26">
      <c r="A128" s="119"/>
      <c r="B128" s="119"/>
      <c r="C128" s="119"/>
      <c r="D128" s="119"/>
      <c r="E128" s="119"/>
    </row>
    <row r="129" spans="1:26">
      <c r="A129" s="119"/>
      <c r="B129" s="119"/>
      <c r="C129" s="119"/>
      <c r="D129" s="119"/>
      <c r="E129" s="119"/>
    </row>
    <row r="130" spans="1:26">
      <c r="A130" s="119"/>
      <c r="B130" s="119"/>
      <c r="C130" s="119"/>
      <c r="D130" s="119"/>
      <c r="E130" s="119"/>
    </row>
    <row r="131" spans="1:26">
      <c r="A131" s="119"/>
      <c r="B131" s="119"/>
      <c r="C131" s="119"/>
      <c r="D131" s="119"/>
      <c r="E131" s="119"/>
    </row>
    <row r="132" spans="1:26">
      <c r="A132" s="119"/>
      <c r="B132" s="119"/>
      <c r="C132" s="119"/>
      <c r="D132" s="119"/>
      <c r="E132" s="119"/>
    </row>
    <row r="133" spans="1:26">
      <c r="A133" s="119"/>
      <c r="B133" s="119"/>
      <c r="C133" s="119"/>
      <c r="D133" s="119"/>
      <c r="E133" s="119"/>
    </row>
    <row r="134" spans="1:26">
      <c r="A134" s="119"/>
      <c r="B134" s="119"/>
      <c r="C134" s="119"/>
      <c r="D134" s="119"/>
      <c r="E134" s="119"/>
    </row>
    <row r="135" spans="1:26">
      <c r="A135" s="119"/>
      <c r="B135" s="119"/>
      <c r="C135" s="119"/>
      <c r="D135" s="119"/>
      <c r="E135" s="119"/>
    </row>
    <row r="136" spans="1:26">
      <c r="A136" s="119"/>
      <c r="B136" s="119"/>
      <c r="C136" s="119"/>
      <c r="D136" s="119"/>
      <c r="E136" s="119"/>
    </row>
    <row r="137" spans="1:26">
      <c r="A137" s="119"/>
      <c r="B137" s="119"/>
      <c r="C137" s="119"/>
      <c r="D137" s="119"/>
      <c r="E137" s="119"/>
    </row>
    <row r="138" spans="1:26">
      <c r="A138" s="119"/>
      <c r="B138" s="119"/>
      <c r="C138" s="119"/>
      <c r="D138" s="119"/>
      <c r="E138" s="119"/>
    </row>
    <row r="139" spans="1:26">
      <c r="A139" s="119"/>
      <c r="B139" s="119"/>
      <c r="C139" s="119"/>
      <c r="D139" s="119"/>
      <c r="E139" s="119"/>
    </row>
    <row r="140" spans="1:26">
      <c r="A140" s="119"/>
      <c r="B140" s="119"/>
      <c r="C140" s="119"/>
      <c r="D140" s="119"/>
      <c r="E140" s="119"/>
    </row>
    <row r="141" spans="1:26">
      <c r="A141" s="119"/>
      <c r="B141" s="119"/>
      <c r="C141" s="119"/>
      <c r="D141" s="119"/>
      <c r="E141" s="119"/>
    </row>
    <row r="142" spans="1:26">
      <c r="J142" s="31"/>
      <c r="K142" s="31"/>
      <c r="L142" s="31"/>
      <c r="M142" s="31"/>
      <c r="N142" s="31"/>
      <c r="Q142" s="260"/>
    </row>
    <row r="143" spans="1:26" ht="30" customHeight="1">
      <c r="A143" s="241" t="str">
        <f>"REPEX per "&amp;H144&amp;" per annum (avg 2009-13 Nominal)"</f>
        <v>REPEX per km per annum (avg 2009-13 Nominal)</v>
      </c>
      <c r="B143" s="239" t="s">
        <v>310</v>
      </c>
      <c r="C143" s="239" t="s">
        <v>1674</v>
      </c>
      <c r="D143" s="239" t="s">
        <v>1218</v>
      </c>
      <c r="E143" s="239" t="s">
        <v>0</v>
      </c>
      <c r="F143" s="239" t="s">
        <v>1675</v>
      </c>
      <c r="G143" s="246" t="s">
        <v>1676</v>
      </c>
      <c r="H143" s="246" t="s">
        <v>1552</v>
      </c>
      <c r="J143" s="241" t="s">
        <v>652</v>
      </c>
      <c r="K143" s="239" t="s">
        <v>310</v>
      </c>
      <c r="L143" s="239" t="s">
        <v>1674</v>
      </c>
      <c r="M143" s="239" t="s">
        <v>1218</v>
      </c>
      <c r="N143" s="239" t="s">
        <v>0</v>
      </c>
      <c r="O143" s="239" t="s">
        <v>1675</v>
      </c>
      <c r="P143" s="246" t="s">
        <v>1676</v>
      </c>
      <c r="Q143" s="352" t="str">
        <f>J144&amp;" - "&amp;Graphs!J143</f>
        <v>OH Cond - Average Age</v>
      </c>
      <c r="S143" s="241" t="str">
        <f>Graphs!S144&amp;" Average Age ("&amp;Z144&amp;")"</f>
        <v>Switchgear Average Age (Years)</v>
      </c>
      <c r="T143" s="239" t="s">
        <v>310</v>
      </c>
      <c r="U143" s="239" t="s">
        <v>1674</v>
      </c>
      <c r="V143" s="239" t="s">
        <v>1218</v>
      </c>
      <c r="W143" s="239" t="s">
        <v>0</v>
      </c>
      <c r="X143" s="239" t="s">
        <v>1675</v>
      </c>
      <c r="Y143" s="246" t="s">
        <v>1676</v>
      </c>
      <c r="Z143" s="246" t="s">
        <v>1552</v>
      </c>
    </row>
    <row r="144" spans="1:26">
      <c r="A144" s="242" t="s">
        <v>1211</v>
      </c>
      <c r="B144" s="247">
        <f>VLOOKUP("Total",REPEX_Spend_5yrHistory[#All],MATCH(B143,REPEX_Spend_5yrHistory[#Headers],0),FALSE)/5/VLOOKUP(Graphs!$A144,Network_Size_Comparison[#All],MATCH(Graphs!B143,Network_Size_Comparison[#Headers],0),FALSE)</f>
        <v>922.33049877139695</v>
      </c>
      <c r="C144" s="247">
        <f>VLOOKUP("Total",REPEX_Spend_5yrHistory[#All],MATCH(C143,REPEX_Spend_5yrHistory[#Headers],0),FALSE)/5/VLOOKUP(Graphs!$A144,Network_Size_Comparison[#All],MATCH(Graphs!C143,Network_Size_Comparison[#Headers],0),FALSE)</f>
        <v>1830.8617055295488</v>
      </c>
      <c r="D144" s="247">
        <f>VLOOKUP("Total",REPEX_Spend_5yrHistory[#All],MATCH(D143,REPEX_Spend_5yrHistory[#Headers],0),FALSE)/5/VLOOKUP(Graphs!$A144,Network_Size_Comparison[#All],MATCH(Graphs!D143,Network_Size_Comparison[#Headers],0),FALSE)</f>
        <v>617.77995821978891</v>
      </c>
      <c r="E144" s="247">
        <f>VLOOKUP("Total",REPEX_Spend_5yrHistory[#All],MATCH(E143,REPEX_Spend_5yrHistory[#Headers],0),FALSE)/5/VLOOKUP(Graphs!$A144,Network_Size_Comparison[#All],MATCH(Graphs!E143,Network_Size_Comparison[#Headers],0),FALSE)</f>
        <v>622.90393523764146</v>
      </c>
      <c r="F144" s="247">
        <f>VLOOKUP("Total",REPEX_Spend_5yrHistory[#All],MATCH(F143,REPEX_Spend_5yrHistory[#Headers],0),FALSE)/5/VLOOKUP(Graphs!$A144,Network_Size_Comparison[#All],MATCH(Graphs!F143,Network_Size_Comparison[#Headers],0),FALSE)</f>
        <v>1260.9588270462418</v>
      </c>
      <c r="G144" s="247">
        <f>VLOOKUP("Total",REPEX_Spend_5yrHistory[#All],MATCH(G143,REPEX_Spend_5yrHistory[#Headers],0),FALSE)/5/VLOOKUP(Graphs!$A144,Network_Size_Comparison[#All],MATCH(Graphs!G143,Network_Size_Comparison[#Headers],0),FALSE)</f>
        <v>758.08953895526884</v>
      </c>
      <c r="H144" s="272" t="str">
        <f>VLOOKUP(Graphs!$A144,Network_Size_Comparison[#All],MATCH(Graphs!H143,Network_Size_Comparison[#Headers],0),FALSE)</f>
        <v>km</v>
      </c>
      <c r="J144" s="242" t="s">
        <v>718</v>
      </c>
      <c r="K144" s="272">
        <f>VLOOKUP($J144,AverageAge[],MATCH(Graphs!K143,AverageAge[#Headers],0),FALSE)</f>
        <v>35.386844868984682</v>
      </c>
      <c r="L144" s="272">
        <f>VLOOKUP($J144,AverageAge[],MATCH(Graphs!L143,AverageAge[#Headers],0),FALSE)</f>
        <v>36.924893349534138</v>
      </c>
      <c r="M144" s="272">
        <f>VLOOKUP($J144,AverageAge[],MATCH(Graphs!M143,AverageAge[#Headers],0),FALSE)</f>
        <v>50.280401992419691</v>
      </c>
      <c r="N144" s="272">
        <f>VLOOKUP($J144,AverageAge[],MATCH(Graphs!N143,AverageAge[#Headers],0),FALSE)</f>
        <v>42.9181310036874</v>
      </c>
      <c r="O144" s="272">
        <f>VLOOKUP($J144,AverageAge[],MATCH(Graphs!O143,AverageAge[#Headers],0),FALSE)</f>
        <v>35.93800676991625</v>
      </c>
      <c r="P144" s="272">
        <f>VLOOKUP($J144,AverageAge[],MATCH(Graphs!P143,AverageAge[#Headers],0),FALSE)</f>
        <v>46.062893720743219</v>
      </c>
      <c r="Q144" s="352"/>
      <c r="S144" s="242" t="s">
        <v>2</v>
      </c>
      <c r="T144" s="272">
        <f>VLOOKUP($S144,AverageAge[],MATCH(Graphs!T143,AverageAge[#Headers],0),FALSE)</f>
        <v>19.364807392400635</v>
      </c>
      <c r="U144" s="272">
        <f>VLOOKUP($S144,AverageAge[],MATCH(Graphs!U143,AverageAge[#Headers],0),FALSE)</f>
        <v>24.71103148423121</v>
      </c>
      <c r="V144" s="272">
        <f>VLOOKUP($S144,AverageAge[],MATCH(Graphs!V143,AverageAge[#Headers],0),FALSE)</f>
        <v>22.403631185475259</v>
      </c>
      <c r="W144" s="272">
        <f>VLOOKUP($S144,AverageAge[],MATCH(Graphs!W143,AverageAge[#Headers],0),FALSE)</f>
        <v>27.995995678145437</v>
      </c>
      <c r="X144" s="272">
        <f>VLOOKUP($S144,AverageAge[],MATCH(Graphs!X143,AverageAge[#Headers],0),FALSE)</f>
        <v>20.684791580685101</v>
      </c>
      <c r="Y144" s="272">
        <f>VLOOKUP($S144,AverageAge[],MATCH(Graphs!Y143,AverageAge[#Headers],0),FALSE)</f>
        <v>19.484326519182304</v>
      </c>
      <c r="Z144" s="272" t="s">
        <v>1649</v>
      </c>
    </row>
    <row r="145" spans="1:5">
      <c r="A145" s="119"/>
      <c r="B145" s="119"/>
      <c r="C145" s="119"/>
      <c r="D145" s="119"/>
      <c r="E145" s="119"/>
    </row>
    <row r="146" spans="1:5">
      <c r="A146" s="119"/>
      <c r="B146" s="119"/>
      <c r="C146" s="119"/>
      <c r="D146" s="119"/>
      <c r="E146" s="119"/>
    </row>
    <row r="147" spans="1:5">
      <c r="A147" s="119"/>
      <c r="B147" s="119"/>
      <c r="C147" s="119"/>
      <c r="D147" s="119"/>
      <c r="E147" s="119"/>
    </row>
    <row r="148" spans="1:5">
      <c r="A148" s="119"/>
      <c r="B148" s="119"/>
      <c r="C148" s="119"/>
      <c r="D148" s="119"/>
      <c r="E148" s="119"/>
    </row>
    <row r="149" spans="1:5">
      <c r="A149" s="119"/>
      <c r="B149" s="119"/>
      <c r="C149" s="119"/>
      <c r="D149" s="119"/>
      <c r="E149" s="119"/>
    </row>
    <row r="150" spans="1:5">
      <c r="A150" s="119"/>
      <c r="B150" s="119"/>
      <c r="C150" s="119"/>
      <c r="D150" s="119"/>
      <c r="E150" s="119"/>
    </row>
    <row r="151" spans="1:5">
      <c r="A151" s="119"/>
      <c r="B151" s="119"/>
      <c r="C151" s="119"/>
      <c r="D151" s="119"/>
      <c r="E151" s="119"/>
    </row>
    <row r="152" spans="1:5">
      <c r="A152" s="119"/>
      <c r="B152" s="119"/>
      <c r="C152" s="119"/>
      <c r="D152" s="119"/>
      <c r="E152" s="119"/>
    </row>
    <row r="153" spans="1:5">
      <c r="A153" s="119"/>
      <c r="B153" s="119"/>
      <c r="C153" s="119"/>
      <c r="D153" s="119"/>
      <c r="E153" s="119"/>
    </row>
    <row r="154" spans="1:5">
      <c r="A154" s="119"/>
      <c r="B154" s="119"/>
      <c r="C154" s="119"/>
      <c r="D154" s="119"/>
      <c r="E154" s="119"/>
    </row>
    <row r="155" spans="1:5">
      <c r="A155" s="119"/>
      <c r="B155" s="119"/>
      <c r="C155" s="119"/>
      <c r="D155" s="119"/>
      <c r="E155" s="119"/>
    </row>
    <row r="156" spans="1:5">
      <c r="A156" s="119"/>
      <c r="B156" s="119"/>
      <c r="C156" s="119"/>
      <c r="D156" s="119"/>
      <c r="E156" s="119"/>
    </row>
    <row r="157" spans="1:5">
      <c r="A157" s="119"/>
      <c r="B157" s="119"/>
      <c r="C157" s="119"/>
      <c r="D157" s="119"/>
      <c r="E157" s="119"/>
    </row>
    <row r="158" spans="1:5">
      <c r="A158" s="119"/>
      <c r="B158" s="119"/>
      <c r="C158" s="119"/>
      <c r="D158" s="119"/>
      <c r="E158" s="119"/>
    </row>
    <row r="159" spans="1:5">
      <c r="A159" s="119"/>
      <c r="B159" s="119"/>
      <c r="C159" s="119"/>
      <c r="D159" s="119"/>
      <c r="E159" s="119"/>
    </row>
    <row r="160" spans="1:5">
      <c r="A160" s="119"/>
      <c r="B160" s="119"/>
      <c r="C160" s="119"/>
      <c r="D160" s="119"/>
      <c r="E160" s="119"/>
    </row>
    <row r="161" spans="1:5">
      <c r="A161" s="119"/>
      <c r="B161" s="119"/>
      <c r="C161" s="119"/>
      <c r="D161" s="119"/>
      <c r="E161" s="119"/>
    </row>
    <row r="162" spans="1:5">
      <c r="A162" s="119"/>
      <c r="B162" s="119"/>
      <c r="C162" s="119"/>
      <c r="D162" s="119"/>
      <c r="E162" s="119"/>
    </row>
  </sheetData>
  <mergeCells count="2">
    <mergeCell ref="Q143:Q144"/>
    <mergeCell ref="AI102:AI103"/>
  </mergeCells>
  <printOptions horizontalCentered="1"/>
  <pageMargins left="0.15748031496062992" right="0.15748031496062992" top="0.51181102362204722" bottom="0.51181102362204722" header="0.19685039370078741" footer="0.19685039370078741"/>
  <pageSetup paperSize="8" scale="50" fitToHeight="0" orientation="landscape" r:id="rId1"/>
  <headerFooter>
    <oddHeader>&amp;C&amp;"-,Bold"&amp;16&amp;A</oddHeader>
    <oddFooter>&amp;L&amp;F [&amp;A]&amp;R&amp;D &amp;T     &amp;P/&amp;N</oddFooter>
  </headerFooter>
  <rowBreaks count="1" manualBreakCount="1">
    <brk id="99" max="34"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'Asset Comparison'!$A$36:$A$66</xm:f>
          </x14:formula1>
          <xm:sqref>AB103:AB104 S103 AB2 S82 A22 AB22 S42 J82 A62 J22 S62 J62 A42 J103 S22 J123 A144 A2 J2 A103 A82 J42 A123 S123 S2</xm:sqref>
        </x14:dataValidation>
        <x14:dataValidation type="list" allowBlank="1" showInputMessage="1" showErrorMessage="1">
          <x14:formula1>
            <xm:f>'Asset Comparison'!$A$24:$A$32</xm:f>
          </x14:formula1>
          <xm:sqref>S144 J144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dimension ref="A1:AN79"/>
  <sheetViews>
    <sheetView workbookViewId="0">
      <pane xSplit="1" ySplit="4" topLeftCell="B5" activePane="bottomRight" state="frozen"/>
      <selection pane="topRight" activeCell="B1" sqref="B1"/>
      <selection pane="bottomLeft" activeCell="A5" sqref="A5"/>
      <selection pane="bottomRight" activeCell="C71" sqref="C71:G71"/>
    </sheetView>
  </sheetViews>
  <sheetFormatPr defaultRowHeight="15"/>
  <cols>
    <col min="1" max="1" width="17.85546875" style="329" customWidth="1"/>
    <col min="2" max="2" width="23.42578125" style="29" bestFit="1" customWidth="1"/>
    <col min="3" max="13" width="11.28515625" style="330" customWidth="1"/>
    <col min="14" max="15" width="11.28515625" style="331" customWidth="1"/>
    <col min="16" max="16" width="3.5703125" style="29" customWidth="1"/>
    <col min="17" max="17" width="34.7109375" style="29" customWidth="1"/>
    <col min="18" max="28" width="11.28515625" style="330" customWidth="1"/>
    <col min="29" max="29" width="11.28515625" style="331" customWidth="1"/>
    <col min="30" max="30" width="16.42578125" style="29" bestFit="1" customWidth="1"/>
    <col min="31" max="40" width="9.140625" style="29"/>
  </cols>
  <sheetData>
    <row r="1" spans="1:40">
      <c r="A1" s="360"/>
      <c r="B1" s="381" t="s">
        <v>1363</v>
      </c>
      <c r="C1" s="382"/>
      <c r="D1" s="382"/>
      <c r="E1" s="382"/>
      <c r="F1" s="382"/>
      <c r="G1" s="382"/>
      <c r="H1" s="382"/>
      <c r="I1" s="382"/>
      <c r="J1" s="310"/>
      <c r="K1" s="310"/>
      <c r="L1" s="310"/>
      <c r="M1" s="310"/>
      <c r="N1" s="310"/>
      <c r="O1" s="310"/>
      <c r="Q1" s="378" t="s">
        <v>1342</v>
      </c>
      <c r="R1" s="378"/>
      <c r="S1" s="378"/>
      <c r="T1" s="378"/>
      <c r="U1" s="378"/>
      <c r="V1" s="378"/>
      <c r="W1" s="378"/>
      <c r="X1" s="378"/>
      <c r="Y1" s="378"/>
      <c r="Z1" s="378"/>
      <c r="AA1" s="378"/>
      <c r="AB1" s="378"/>
      <c r="AC1" s="310"/>
      <c r="AD1" s="311"/>
    </row>
    <row r="2" spans="1:40">
      <c r="A2" s="361"/>
      <c r="B2" s="376" t="s">
        <v>1334</v>
      </c>
      <c r="C2" s="312" t="s">
        <v>1343</v>
      </c>
      <c r="D2" s="371" t="s">
        <v>1344</v>
      </c>
      <c r="E2" s="371"/>
      <c r="F2" s="371"/>
      <c r="G2" s="371"/>
      <c r="H2" s="371"/>
      <c r="I2" s="380" t="s">
        <v>1534</v>
      </c>
      <c r="J2" s="380"/>
      <c r="K2" s="380"/>
      <c r="L2" s="380"/>
      <c r="M2" s="380"/>
      <c r="N2" s="313"/>
      <c r="O2" s="313"/>
      <c r="Q2" s="376" t="s">
        <v>1334</v>
      </c>
      <c r="R2" s="314" t="s">
        <v>1343</v>
      </c>
      <c r="S2" s="379" t="s">
        <v>1344</v>
      </c>
      <c r="T2" s="379"/>
      <c r="U2" s="379"/>
      <c r="V2" s="379"/>
      <c r="W2" s="379"/>
      <c r="X2" s="379" t="s">
        <v>1345</v>
      </c>
      <c r="Y2" s="379"/>
      <c r="Z2" s="379"/>
      <c r="AA2" s="379"/>
      <c r="AB2" s="379"/>
      <c r="AC2" s="313"/>
      <c r="AD2" s="311"/>
    </row>
    <row r="3" spans="1:40">
      <c r="A3" s="361"/>
      <c r="B3" s="376"/>
      <c r="C3" s="371" t="s">
        <v>1346</v>
      </c>
      <c r="D3" s="371"/>
      <c r="E3" s="371"/>
      <c r="F3" s="371"/>
      <c r="G3" s="371"/>
      <c r="H3" s="371"/>
      <c r="I3" s="371" t="s">
        <v>1347</v>
      </c>
      <c r="J3" s="371"/>
      <c r="K3" s="371"/>
      <c r="L3" s="371"/>
      <c r="M3" s="371"/>
      <c r="N3" s="313" t="s">
        <v>658</v>
      </c>
      <c r="O3" s="313" t="s">
        <v>658</v>
      </c>
      <c r="Q3" s="376"/>
      <c r="R3" s="371" t="s">
        <v>1346</v>
      </c>
      <c r="S3" s="371"/>
      <c r="T3" s="371"/>
      <c r="U3" s="371"/>
      <c r="V3" s="371"/>
      <c r="W3" s="371"/>
      <c r="X3" s="371" t="s">
        <v>1347</v>
      </c>
      <c r="Y3" s="371"/>
      <c r="Z3" s="371"/>
      <c r="AA3" s="371"/>
      <c r="AB3" s="371"/>
      <c r="AC3" s="313" t="s">
        <v>658</v>
      </c>
      <c r="AD3" s="311"/>
    </row>
    <row r="4" spans="1:40">
      <c r="A4" s="362"/>
      <c r="B4" s="377"/>
      <c r="C4" s="312" t="s">
        <v>11</v>
      </c>
      <c r="D4" s="312" t="s">
        <v>10</v>
      </c>
      <c r="E4" s="312" t="s">
        <v>9</v>
      </c>
      <c r="F4" s="312" t="s">
        <v>8</v>
      </c>
      <c r="G4" s="312" t="s">
        <v>7</v>
      </c>
      <c r="H4" s="312" t="s">
        <v>1348</v>
      </c>
      <c r="I4" s="312" t="s">
        <v>1349</v>
      </c>
      <c r="J4" s="312" t="s">
        <v>1350</v>
      </c>
      <c r="K4" s="312" t="s">
        <v>1351</v>
      </c>
      <c r="L4" s="312" t="s">
        <v>1352</v>
      </c>
      <c r="M4" s="312" t="s">
        <v>1353</v>
      </c>
      <c r="N4" s="315" t="s">
        <v>1372</v>
      </c>
      <c r="O4" s="315" t="s">
        <v>1535</v>
      </c>
      <c r="Q4" s="377"/>
      <c r="R4" s="312" t="s">
        <v>11</v>
      </c>
      <c r="S4" s="312" t="s">
        <v>10</v>
      </c>
      <c r="T4" s="312" t="s">
        <v>9</v>
      </c>
      <c r="U4" s="312" t="s">
        <v>8</v>
      </c>
      <c r="V4" s="312" t="s">
        <v>7</v>
      </c>
      <c r="W4" s="312" t="s">
        <v>1348</v>
      </c>
      <c r="X4" s="312" t="s">
        <v>1349</v>
      </c>
      <c r="Y4" s="312" t="s">
        <v>1350</v>
      </c>
      <c r="Z4" s="312" t="s">
        <v>1351</v>
      </c>
      <c r="AA4" s="312" t="s">
        <v>1352</v>
      </c>
      <c r="AB4" s="312" t="s">
        <v>1353</v>
      </c>
      <c r="AC4" s="315" t="s">
        <v>1372</v>
      </c>
      <c r="AD4" s="311" t="s">
        <v>1136</v>
      </c>
    </row>
    <row r="5" spans="1:40" ht="15" customHeight="1">
      <c r="A5" s="372" t="s">
        <v>1560</v>
      </c>
      <c r="B5" s="316" t="s">
        <v>1364</v>
      </c>
      <c r="C5" s="317">
        <v>46028.363611136941</v>
      </c>
      <c r="D5" s="317">
        <v>57334.960485870652</v>
      </c>
      <c r="E5" s="317">
        <v>65194.266616667621</v>
      </c>
      <c r="F5" s="317">
        <v>98992.022675998058</v>
      </c>
      <c r="G5" s="317">
        <v>116899.42029400131</v>
      </c>
      <c r="H5" s="317">
        <v>108704.82181170554</v>
      </c>
      <c r="I5" s="317"/>
      <c r="J5" s="317"/>
      <c r="K5" s="317"/>
      <c r="L5" s="317"/>
      <c r="M5" s="317"/>
      <c r="N5" s="318">
        <f>SUM(C5:G5)</f>
        <v>384449.03368367458</v>
      </c>
      <c r="O5" s="318">
        <f>SUM(I5:M5)</f>
        <v>0</v>
      </c>
      <c r="Q5" s="316" t="s">
        <v>1354</v>
      </c>
      <c r="R5" s="317">
        <v>65141.853633947641</v>
      </c>
      <c r="S5" s="317">
        <v>103716.27260836717</v>
      </c>
      <c r="T5" s="317">
        <v>142863.94797269494</v>
      </c>
      <c r="U5" s="317">
        <v>146418.75870105892</v>
      </c>
      <c r="V5" s="317">
        <v>135948.42802468903</v>
      </c>
      <c r="W5" s="317">
        <v>127659.45773601549</v>
      </c>
      <c r="X5" s="317">
        <v>153578.70969785016</v>
      </c>
      <c r="Y5" s="317">
        <v>165060.21007452995</v>
      </c>
      <c r="Z5" s="317">
        <v>180340.04403545443</v>
      </c>
      <c r="AA5" s="317">
        <v>177478.63646761258</v>
      </c>
      <c r="AB5" s="317">
        <v>180395.93236998518</v>
      </c>
      <c r="AC5" s="318">
        <f t="shared" ref="AC5:AC28" si="0">SUM(R5:V5)</f>
        <v>594089.2609407577</v>
      </c>
      <c r="AD5" s="29" t="str">
        <f t="shared" ref="AD5:AD36" si="1">IF(A5&gt;0,A5,AD4)</f>
        <v>Essential (Original)</v>
      </c>
    </row>
    <row r="6" spans="1:40" ht="15" hidden="1" customHeight="1">
      <c r="A6" s="354"/>
      <c r="B6" s="110" t="s">
        <v>1365</v>
      </c>
      <c r="C6" s="106">
        <v>60468.292603664333</v>
      </c>
      <c r="D6" s="106">
        <v>85767.393042970041</v>
      </c>
      <c r="E6" s="106">
        <v>88157.38569993648</v>
      </c>
      <c r="F6" s="106">
        <v>95393.878182832428</v>
      </c>
      <c r="G6" s="106">
        <v>92026.060442998962</v>
      </c>
      <c r="H6" s="106">
        <v>92271.916187343406</v>
      </c>
      <c r="I6" s="106"/>
      <c r="J6" s="106"/>
      <c r="K6" s="106"/>
      <c r="L6" s="106"/>
      <c r="M6" s="106"/>
      <c r="N6" s="92">
        <f t="shared" ref="N6:N69" si="2">SUM(C6:G6)</f>
        <v>421813.00997240224</v>
      </c>
      <c r="O6" s="92">
        <f t="shared" ref="O6:O69" si="3">SUM(I6:M6)</f>
        <v>0</v>
      </c>
      <c r="P6"/>
      <c r="Q6" s="110" t="s">
        <v>1355</v>
      </c>
      <c r="R6" s="106">
        <v>3781.8800000000006</v>
      </c>
      <c r="S6" s="106">
        <v>10398.01</v>
      </c>
      <c r="T6" s="106">
        <v>10984.93</v>
      </c>
      <c r="U6" s="106">
        <v>5475.5919999999996</v>
      </c>
      <c r="V6" s="106">
        <v>5902.9600000000009</v>
      </c>
      <c r="W6" s="106">
        <v>5910.6371305213788</v>
      </c>
      <c r="X6" s="106">
        <v>5944.2121952346552</v>
      </c>
      <c r="Y6" s="106">
        <v>5968.8965569098273</v>
      </c>
      <c r="Z6" s="106">
        <v>5990.9680708702263</v>
      </c>
      <c r="AA6" s="106">
        <v>6020.1506819800816</v>
      </c>
      <c r="AB6" s="106">
        <v>6049.0780545444059</v>
      </c>
      <c r="AC6" s="92">
        <f t="shared" si="0"/>
        <v>36543.372000000003</v>
      </c>
      <c r="AD6" s="119" t="str">
        <f t="shared" si="1"/>
        <v>Essential (Original)</v>
      </c>
      <c r="AE6"/>
      <c r="AF6"/>
      <c r="AG6"/>
      <c r="AH6"/>
      <c r="AI6"/>
      <c r="AJ6"/>
      <c r="AK6"/>
      <c r="AL6"/>
      <c r="AM6"/>
      <c r="AN6"/>
    </row>
    <row r="7" spans="1:40" ht="15" hidden="1" customHeight="1">
      <c r="A7" s="354"/>
      <c r="B7" s="110" t="s">
        <v>1366</v>
      </c>
      <c r="C7" s="106">
        <v>38990</v>
      </c>
      <c r="D7" s="106">
        <v>43789</v>
      </c>
      <c r="E7" s="106">
        <v>44189</v>
      </c>
      <c r="F7" s="106">
        <v>49711</v>
      </c>
      <c r="G7" s="106">
        <v>50199</v>
      </c>
      <c r="H7" s="106">
        <v>51758.887753387244</v>
      </c>
      <c r="I7" s="106"/>
      <c r="J7" s="106"/>
      <c r="K7" s="106"/>
      <c r="L7" s="106"/>
      <c r="M7" s="106"/>
      <c r="N7" s="92">
        <f t="shared" si="2"/>
        <v>226878</v>
      </c>
      <c r="O7" s="92">
        <f t="shared" si="3"/>
        <v>0</v>
      </c>
      <c r="P7"/>
      <c r="Q7" s="110" t="s">
        <v>1356</v>
      </c>
      <c r="R7" s="106">
        <v>222129.73059033434</v>
      </c>
      <c r="S7" s="106">
        <v>236699.96362077747</v>
      </c>
      <c r="T7" s="106">
        <v>234632.69029803848</v>
      </c>
      <c r="U7" s="106">
        <v>271364.58753915905</v>
      </c>
      <c r="V7" s="106">
        <v>263354.75797495869</v>
      </c>
      <c r="W7" s="106">
        <v>181182.06477178077</v>
      </c>
      <c r="X7" s="106">
        <v>169139.83081383363</v>
      </c>
      <c r="Y7" s="106">
        <v>154765.65550822532</v>
      </c>
      <c r="Z7" s="106">
        <v>143712.01933832027</v>
      </c>
      <c r="AA7" s="106">
        <v>140325.34567420348</v>
      </c>
      <c r="AB7" s="106">
        <v>136698.25691137277</v>
      </c>
      <c r="AC7" s="92">
        <f t="shared" si="0"/>
        <v>1228181.7300232681</v>
      </c>
      <c r="AD7" s="119" t="str">
        <f t="shared" si="1"/>
        <v>Essential (Original)</v>
      </c>
      <c r="AE7"/>
      <c r="AF7"/>
      <c r="AG7"/>
      <c r="AH7"/>
      <c r="AI7"/>
      <c r="AJ7"/>
      <c r="AK7"/>
      <c r="AL7"/>
      <c r="AM7"/>
      <c r="AN7"/>
    </row>
    <row r="8" spans="1:40" ht="15" hidden="1" customHeight="1">
      <c r="A8" s="354"/>
      <c r="B8" s="110" t="s">
        <v>1357</v>
      </c>
      <c r="C8" s="106">
        <v>103917.19289193342</v>
      </c>
      <c r="D8" s="106">
        <v>126861.78235941168</v>
      </c>
      <c r="E8" s="106">
        <v>142761.4266877374</v>
      </c>
      <c r="F8" s="106">
        <v>133671.83287256327</v>
      </c>
      <c r="G8" s="106">
        <v>141339.96053447292</v>
      </c>
      <c r="H8" s="106">
        <v>136978.58420686924</v>
      </c>
      <c r="I8" s="106"/>
      <c r="J8" s="106"/>
      <c r="K8" s="106"/>
      <c r="L8" s="106"/>
      <c r="M8" s="106"/>
      <c r="N8" s="92">
        <f t="shared" si="2"/>
        <v>648552.19534611865</v>
      </c>
      <c r="O8" s="92">
        <f t="shared" si="3"/>
        <v>0</v>
      </c>
      <c r="P8"/>
      <c r="Q8" s="110" t="s">
        <v>1357</v>
      </c>
      <c r="R8" s="106">
        <v>126511.54060283309</v>
      </c>
      <c r="S8" s="106">
        <v>127147.76060460885</v>
      </c>
      <c r="T8" s="106">
        <v>115192.11938317165</v>
      </c>
      <c r="U8" s="106">
        <v>120489.68527252537</v>
      </c>
      <c r="V8" s="106">
        <v>61700.896865630129</v>
      </c>
      <c r="W8" s="106">
        <v>83024.397923350974</v>
      </c>
      <c r="X8" s="106">
        <v>78401.664654644148</v>
      </c>
      <c r="Y8" s="106">
        <v>55006.266195867291</v>
      </c>
      <c r="Z8" s="106">
        <v>54811.476230259563</v>
      </c>
      <c r="AA8" s="106">
        <v>50133.586934790466</v>
      </c>
      <c r="AB8" s="106">
        <v>45793.919460804398</v>
      </c>
      <c r="AC8" s="92">
        <f t="shared" si="0"/>
        <v>551042.00272876909</v>
      </c>
      <c r="AD8" s="119" t="str">
        <f t="shared" si="1"/>
        <v>Essential (Original)</v>
      </c>
      <c r="AE8"/>
      <c r="AF8"/>
      <c r="AG8"/>
      <c r="AH8"/>
      <c r="AI8"/>
      <c r="AJ8"/>
      <c r="AK8"/>
      <c r="AL8"/>
      <c r="AM8"/>
      <c r="AN8"/>
    </row>
    <row r="9" spans="1:40" ht="15" hidden="1" customHeight="1">
      <c r="A9" s="354"/>
      <c r="B9" s="110" t="s">
        <v>1367</v>
      </c>
      <c r="C9" s="106">
        <v>44774.019627310423</v>
      </c>
      <c r="D9" s="106">
        <v>76881.047554975623</v>
      </c>
      <c r="E9" s="106">
        <v>73778.275309915669</v>
      </c>
      <c r="F9" s="106">
        <v>77917.054511792565</v>
      </c>
      <c r="G9" s="106">
        <v>71068.203748752014</v>
      </c>
      <c r="H9" s="106">
        <v>82470.706118569244</v>
      </c>
      <c r="I9" s="106"/>
      <c r="J9" s="106"/>
      <c r="K9" s="106"/>
      <c r="L9" s="106"/>
      <c r="M9" s="106"/>
      <c r="N9" s="92">
        <f t="shared" si="2"/>
        <v>344418.60075274628</v>
      </c>
      <c r="O9" s="92">
        <f t="shared" si="3"/>
        <v>0</v>
      </c>
      <c r="P9"/>
      <c r="Q9" s="110" t="s">
        <v>1358</v>
      </c>
      <c r="R9" s="106">
        <v>71466.507614365182</v>
      </c>
      <c r="S9" s="106">
        <v>86140.424633610281</v>
      </c>
      <c r="T9" s="106">
        <v>103441.2761931032</v>
      </c>
      <c r="U9" s="106">
        <v>80585.444823682177</v>
      </c>
      <c r="V9" s="106">
        <v>74553.698609491286</v>
      </c>
      <c r="W9" s="106">
        <v>70543.150435874428</v>
      </c>
      <c r="X9" s="106">
        <v>55568.319607399113</v>
      </c>
      <c r="Y9" s="106">
        <v>55716.192903855794</v>
      </c>
      <c r="Z9" s="106">
        <v>56709.686427731562</v>
      </c>
      <c r="AA9" s="106">
        <v>56799.168414638116</v>
      </c>
      <c r="AB9" s="106">
        <v>57094.365932583423</v>
      </c>
      <c r="AC9" s="92">
        <f t="shared" si="0"/>
        <v>416187.35187425214</v>
      </c>
      <c r="AD9" s="119" t="str">
        <f t="shared" si="1"/>
        <v>Essential (Original)</v>
      </c>
      <c r="AE9"/>
      <c r="AF9"/>
      <c r="AG9"/>
      <c r="AH9"/>
      <c r="AI9"/>
      <c r="AJ9"/>
      <c r="AK9"/>
      <c r="AL9"/>
      <c r="AM9"/>
      <c r="AN9"/>
    </row>
    <row r="10" spans="1:40" ht="15" hidden="1" customHeight="1">
      <c r="A10" s="354"/>
      <c r="B10" s="110" t="s">
        <v>1368</v>
      </c>
      <c r="C10" s="106">
        <v>112258.94668281583</v>
      </c>
      <c r="D10" s="106">
        <v>56514.251144606649</v>
      </c>
      <c r="E10" s="106">
        <v>53237.458831262506</v>
      </c>
      <c r="F10" s="106">
        <v>80516.753375048065</v>
      </c>
      <c r="G10" s="106">
        <v>74683.960319342877</v>
      </c>
      <c r="H10" s="106">
        <v>101332.33260234699</v>
      </c>
      <c r="I10" s="106"/>
      <c r="J10" s="106"/>
      <c r="K10" s="106"/>
      <c r="L10" s="106"/>
      <c r="M10" s="106"/>
      <c r="N10" s="92">
        <f t="shared" si="2"/>
        <v>377211.37035307591</v>
      </c>
      <c r="O10" s="92">
        <f t="shared" si="3"/>
        <v>0</v>
      </c>
      <c r="P10"/>
      <c r="Q10" s="110" t="s">
        <v>1359</v>
      </c>
      <c r="R10" s="106">
        <v>69567.267161352618</v>
      </c>
      <c r="S10" s="106">
        <v>83851.221137244822</v>
      </c>
      <c r="T10" s="106">
        <v>92779.864361390297</v>
      </c>
      <c r="U10" s="106">
        <v>116052.75755752146</v>
      </c>
      <c r="V10" s="106">
        <v>97349.137760079248</v>
      </c>
      <c r="W10" s="106">
        <v>88193.220870626217</v>
      </c>
      <c r="X10" s="106">
        <v>80007.518799707963</v>
      </c>
      <c r="Y10" s="106">
        <v>78627.741551407671</v>
      </c>
      <c r="Z10" s="106">
        <v>79808.299451072002</v>
      </c>
      <c r="AA10" s="106">
        <v>80122.436641726134</v>
      </c>
      <c r="AB10" s="106">
        <v>80528.849970147567</v>
      </c>
      <c r="AC10" s="92">
        <f t="shared" si="0"/>
        <v>459600.24797758844</v>
      </c>
      <c r="AD10" s="119" t="str">
        <f t="shared" si="1"/>
        <v>Essential (Original)</v>
      </c>
      <c r="AE10"/>
      <c r="AF10"/>
      <c r="AG10"/>
      <c r="AH10"/>
      <c r="AI10"/>
      <c r="AJ10"/>
      <c r="AK10"/>
      <c r="AL10"/>
      <c r="AM10"/>
      <c r="AN10"/>
    </row>
    <row r="11" spans="1:40" ht="15" hidden="1" customHeight="1">
      <c r="A11" s="354"/>
      <c r="B11" s="110" t="s">
        <v>1360</v>
      </c>
      <c r="C11" s="106">
        <v>-68193.036424621649</v>
      </c>
      <c r="D11" s="106">
        <v>-80076.838177834696</v>
      </c>
      <c r="E11" s="106">
        <v>-79469.83365929866</v>
      </c>
      <c r="F11" s="106">
        <v>-53000.348348232626</v>
      </c>
      <c r="G11" s="106">
        <v>-85174.334539615549</v>
      </c>
      <c r="H11" s="106">
        <v>-77517.248680221732</v>
      </c>
      <c r="I11" s="106"/>
      <c r="J11" s="106"/>
      <c r="K11" s="106"/>
      <c r="L11" s="106"/>
      <c r="M11" s="106"/>
      <c r="N11" s="92">
        <f t="shared" si="2"/>
        <v>-365914.39114960318</v>
      </c>
      <c r="O11" s="92">
        <f t="shared" si="3"/>
        <v>0</v>
      </c>
      <c r="P11"/>
      <c r="Q11" s="110" t="s">
        <v>1360</v>
      </c>
      <c r="R11" s="106">
        <v>91465.942922152462</v>
      </c>
      <c r="S11" s="106">
        <v>85850.942279954208</v>
      </c>
      <c r="T11" s="106">
        <v>71341.315026881057</v>
      </c>
      <c r="U11" s="106">
        <v>92436.479624919244</v>
      </c>
      <c r="V11" s="106">
        <v>75598.791235484532</v>
      </c>
      <c r="W11" s="106">
        <v>86207.671372757643</v>
      </c>
      <c r="X11" s="106">
        <v>92186.571507558343</v>
      </c>
      <c r="Y11" s="106">
        <v>64775.339935196913</v>
      </c>
      <c r="Z11" s="106">
        <v>70660.153462072834</v>
      </c>
      <c r="AA11" s="106">
        <v>64377.999457260186</v>
      </c>
      <c r="AB11" s="106">
        <v>66359.658539028256</v>
      </c>
      <c r="AC11" s="92">
        <f t="shared" si="0"/>
        <v>416693.4710893915</v>
      </c>
      <c r="AD11" s="119" t="str">
        <f t="shared" si="1"/>
        <v>Essential (Original)</v>
      </c>
      <c r="AE11"/>
      <c r="AF11"/>
      <c r="AG11"/>
      <c r="AH11"/>
      <c r="AI11"/>
      <c r="AJ11"/>
      <c r="AK11"/>
      <c r="AL11"/>
      <c r="AM11"/>
      <c r="AN11"/>
    </row>
    <row r="12" spans="1:40" hidden="1">
      <c r="A12" s="354"/>
      <c r="B12" s="94" t="s">
        <v>1369</v>
      </c>
      <c r="C12" s="93">
        <v>338243.77899223927</v>
      </c>
      <c r="D12" s="93">
        <v>367071.59640999994</v>
      </c>
      <c r="E12" s="93">
        <v>387847.97948622098</v>
      </c>
      <c r="F12" s="93">
        <v>483202.19327000174</v>
      </c>
      <c r="G12" s="93">
        <v>461042.27079995256</v>
      </c>
      <c r="H12" s="93">
        <v>496000</v>
      </c>
      <c r="I12" s="93"/>
      <c r="J12" s="93"/>
      <c r="K12" s="93"/>
      <c r="L12" s="93"/>
      <c r="M12" s="93"/>
      <c r="N12" s="92">
        <f t="shared" si="2"/>
        <v>2037407.8189584145</v>
      </c>
      <c r="O12" s="92">
        <f t="shared" si="3"/>
        <v>0</v>
      </c>
      <c r="P12"/>
      <c r="Q12" s="94" t="s">
        <v>1361</v>
      </c>
      <c r="R12" s="93">
        <v>650064.72252498532</v>
      </c>
      <c r="S12" s="93">
        <v>733804.59488456277</v>
      </c>
      <c r="T12" s="93">
        <v>771236.1432352796</v>
      </c>
      <c r="U12" s="93">
        <v>832823.30551886628</v>
      </c>
      <c r="V12" s="93">
        <v>714408.67047033284</v>
      </c>
      <c r="W12" s="93">
        <v>642720.60024092684</v>
      </c>
      <c r="X12" s="93">
        <v>634826.827276228</v>
      </c>
      <c r="Y12" s="93">
        <v>579920.30272599275</v>
      </c>
      <c r="Z12" s="93">
        <v>592032.64701578091</v>
      </c>
      <c r="AA12" s="93">
        <v>575257.32427221106</v>
      </c>
      <c r="AB12" s="93">
        <v>572920.06123846595</v>
      </c>
      <c r="AC12" s="92">
        <f t="shared" si="0"/>
        <v>3702337.4366340265</v>
      </c>
      <c r="AD12" s="119" t="str">
        <f t="shared" si="1"/>
        <v>Essential (Original)</v>
      </c>
      <c r="AE12"/>
      <c r="AF12"/>
      <c r="AG12"/>
      <c r="AH12"/>
      <c r="AI12"/>
      <c r="AJ12"/>
      <c r="AK12"/>
      <c r="AL12"/>
      <c r="AM12"/>
      <c r="AN12"/>
    </row>
    <row r="13" spans="1:40" ht="15" hidden="1" customHeight="1">
      <c r="A13" s="373"/>
      <c r="B13" s="110"/>
      <c r="C13" s="106"/>
      <c r="D13" s="106"/>
      <c r="E13" s="106"/>
      <c r="F13" s="106"/>
      <c r="G13" s="106"/>
      <c r="H13" s="106"/>
      <c r="I13" s="106"/>
      <c r="J13" s="106"/>
      <c r="K13" s="106"/>
      <c r="L13" s="106"/>
      <c r="M13" s="106"/>
      <c r="N13" s="92">
        <f t="shared" si="2"/>
        <v>0</v>
      </c>
      <c r="O13" s="92">
        <f t="shared" si="3"/>
        <v>0</v>
      </c>
      <c r="P13"/>
      <c r="Q13" s="110" t="s">
        <v>1362</v>
      </c>
      <c r="R13" s="106">
        <v>88326.623999999996</v>
      </c>
      <c r="S13" s="106">
        <v>81054.790999999997</v>
      </c>
      <c r="T13" s="106">
        <v>69364.585400064403</v>
      </c>
      <c r="U13" s="106">
        <v>87743.569609786326</v>
      </c>
      <c r="V13" s="106">
        <v>73829.028103816789</v>
      </c>
      <c r="W13" s="106">
        <v>82165.328593847356</v>
      </c>
      <c r="X13" s="106">
        <v>89379.071178426544</v>
      </c>
      <c r="Y13" s="106">
        <v>60822.407574431592</v>
      </c>
      <c r="Z13" s="106">
        <v>64393.857043640965</v>
      </c>
      <c r="AA13" s="106">
        <v>60731.164246442357</v>
      </c>
      <c r="AB13" s="106">
        <v>60779.29713997482</v>
      </c>
      <c r="AC13" s="92">
        <f t="shared" si="0"/>
        <v>400318.59811366751</v>
      </c>
      <c r="AD13" s="119" t="str">
        <f t="shared" si="1"/>
        <v>Essential (Original)</v>
      </c>
      <c r="AE13"/>
      <c r="AF13"/>
      <c r="AG13"/>
      <c r="AH13"/>
      <c r="AI13"/>
      <c r="AJ13"/>
      <c r="AK13"/>
      <c r="AL13"/>
      <c r="AM13"/>
      <c r="AN13"/>
    </row>
    <row r="14" spans="1:40">
      <c r="A14" s="366" t="s">
        <v>1674</v>
      </c>
      <c r="B14" s="319" t="s">
        <v>1364</v>
      </c>
      <c r="C14" s="320">
        <v>23566.688621000001</v>
      </c>
      <c r="D14" s="320">
        <v>21489.978313999993</v>
      </c>
      <c r="E14" s="320">
        <v>24486.608172599997</v>
      </c>
      <c r="F14" s="320">
        <v>32686.148523500007</v>
      </c>
      <c r="G14" s="320">
        <v>38882.957673499994</v>
      </c>
      <c r="H14" s="320"/>
      <c r="I14" s="320"/>
      <c r="J14" s="320"/>
      <c r="K14" s="320"/>
      <c r="L14" s="320"/>
      <c r="M14" s="320"/>
      <c r="N14" s="318">
        <f t="shared" si="2"/>
        <v>141112.38130460001</v>
      </c>
      <c r="O14" s="318">
        <f t="shared" si="3"/>
        <v>0</v>
      </c>
      <c r="Q14" s="319" t="s">
        <v>1354</v>
      </c>
      <c r="R14" s="320">
        <v>74952.892020000014</v>
      </c>
      <c r="S14" s="320">
        <v>56276.305908000009</v>
      </c>
      <c r="T14" s="320">
        <v>71936.287607599472</v>
      </c>
      <c r="U14" s="320">
        <v>102779.15307924522</v>
      </c>
      <c r="V14" s="320">
        <v>102487.68972797169</v>
      </c>
      <c r="W14" s="320"/>
      <c r="X14" s="320"/>
      <c r="Y14" s="320"/>
      <c r="Z14" s="320"/>
      <c r="AA14" s="320"/>
      <c r="AB14" s="320"/>
      <c r="AC14" s="318">
        <f t="shared" si="0"/>
        <v>408432.32834281638</v>
      </c>
      <c r="AD14" s="29" t="str">
        <f t="shared" si="1"/>
        <v>AusNet</v>
      </c>
    </row>
    <row r="15" spans="1:40" hidden="1">
      <c r="A15" s="367"/>
      <c r="B15" s="116" t="s">
        <v>1365</v>
      </c>
      <c r="C15" s="108">
        <v>18135.001080000002</v>
      </c>
      <c r="D15" s="108">
        <v>22841.218579999997</v>
      </c>
      <c r="E15" s="108">
        <v>25280.226960000004</v>
      </c>
      <c r="F15" s="108">
        <v>22738.538799999995</v>
      </c>
      <c r="G15" s="108">
        <v>27716.626689999994</v>
      </c>
      <c r="H15" s="108"/>
      <c r="I15" s="108"/>
      <c r="J15" s="108"/>
      <c r="K15" s="108"/>
      <c r="L15" s="108"/>
      <c r="M15" s="108"/>
      <c r="N15" s="92">
        <f t="shared" si="2"/>
        <v>116711.61210999999</v>
      </c>
      <c r="O15" s="92">
        <f t="shared" si="3"/>
        <v>0</v>
      </c>
      <c r="P15"/>
      <c r="Q15" s="116" t="s">
        <v>1355</v>
      </c>
      <c r="R15" s="108">
        <v>74242.037103965762</v>
      </c>
      <c r="S15" s="108">
        <v>61648.547311440627</v>
      </c>
      <c r="T15" s="108">
        <v>67969.410245885083</v>
      </c>
      <c r="U15" s="108">
        <v>55703.948613250584</v>
      </c>
      <c r="V15" s="108">
        <v>52298.122444167864</v>
      </c>
      <c r="W15" s="108"/>
      <c r="X15" s="108"/>
      <c r="Y15" s="108"/>
      <c r="Z15" s="108"/>
      <c r="AA15" s="108"/>
      <c r="AB15" s="108"/>
      <c r="AC15" s="92">
        <f t="shared" si="0"/>
        <v>311862.0657187099</v>
      </c>
      <c r="AD15" s="119" t="str">
        <f t="shared" si="1"/>
        <v>AusNet</v>
      </c>
      <c r="AE15"/>
      <c r="AF15"/>
      <c r="AG15"/>
      <c r="AH15"/>
      <c r="AI15"/>
      <c r="AJ15"/>
      <c r="AK15"/>
      <c r="AL15"/>
      <c r="AM15"/>
      <c r="AN15"/>
    </row>
    <row r="16" spans="1:40" hidden="1">
      <c r="A16" s="367"/>
      <c r="B16" s="116" t="s">
        <v>1366</v>
      </c>
      <c r="C16" s="108">
        <v>18521.258156672455</v>
      </c>
      <c r="D16" s="108">
        <v>20519.826621069999</v>
      </c>
      <c r="E16" s="108">
        <v>14069.505155573112</v>
      </c>
      <c r="F16" s="108">
        <v>17149.160570964814</v>
      </c>
      <c r="G16" s="108">
        <v>14793.034274458616</v>
      </c>
      <c r="H16" s="108"/>
      <c r="I16" s="108"/>
      <c r="J16" s="108"/>
      <c r="K16" s="108"/>
      <c r="L16" s="108"/>
      <c r="M16" s="108"/>
      <c r="N16" s="92">
        <f t="shared" si="2"/>
        <v>85052.784778739006</v>
      </c>
      <c r="O16" s="92">
        <f t="shared" si="3"/>
        <v>0</v>
      </c>
      <c r="P16"/>
      <c r="Q16" s="116" t="s">
        <v>1356</v>
      </c>
      <c r="R16" s="108">
        <v>50296.044659999978</v>
      </c>
      <c r="S16" s="108">
        <v>71108.750009999989</v>
      </c>
      <c r="T16" s="108">
        <v>56654.646650000002</v>
      </c>
      <c r="U16" s="108">
        <v>78530.715289999978</v>
      </c>
      <c r="V16" s="108">
        <v>133034.14839000002</v>
      </c>
      <c r="W16" s="108"/>
      <c r="X16" s="108"/>
      <c r="Y16" s="108"/>
      <c r="Z16" s="108"/>
      <c r="AA16" s="108"/>
      <c r="AB16" s="108"/>
      <c r="AC16" s="92">
        <f t="shared" si="0"/>
        <v>389624.30499999993</v>
      </c>
      <c r="AD16" s="119" t="str">
        <f t="shared" si="1"/>
        <v>AusNet</v>
      </c>
      <c r="AE16"/>
      <c r="AF16"/>
      <c r="AG16"/>
      <c r="AH16"/>
      <c r="AI16"/>
      <c r="AJ16"/>
      <c r="AK16"/>
      <c r="AL16"/>
      <c r="AM16"/>
      <c r="AN16"/>
    </row>
    <row r="17" spans="1:40" hidden="1">
      <c r="A17" s="367"/>
      <c r="B17" s="116" t="s">
        <v>1357</v>
      </c>
      <c r="C17" s="108">
        <v>21349.20308812381</v>
      </c>
      <c r="D17" s="108">
        <v>23217.993819782008</v>
      </c>
      <c r="E17" s="108">
        <v>24521.312782459179</v>
      </c>
      <c r="F17" s="108">
        <v>27279.256691241004</v>
      </c>
      <c r="G17" s="108">
        <v>34735.19340240633</v>
      </c>
      <c r="H17" s="108"/>
      <c r="I17" s="108"/>
      <c r="J17" s="108"/>
      <c r="K17" s="108"/>
      <c r="L17" s="108"/>
      <c r="M17" s="108"/>
      <c r="N17" s="92">
        <f t="shared" si="2"/>
        <v>131102.95978401232</v>
      </c>
      <c r="O17" s="92">
        <f t="shared" si="3"/>
        <v>0</v>
      </c>
      <c r="P17"/>
      <c r="Q17" s="116" t="s">
        <v>1357</v>
      </c>
      <c r="R17" s="108">
        <v>26826.642010192507</v>
      </c>
      <c r="S17" s="108">
        <v>35297.753871833178</v>
      </c>
      <c r="T17" s="108">
        <v>44982.954220886619</v>
      </c>
      <c r="U17" s="108">
        <v>44386.342163600159</v>
      </c>
      <c r="V17" s="108">
        <v>50599.819954029837</v>
      </c>
      <c r="W17" s="108"/>
      <c r="X17" s="108"/>
      <c r="Y17" s="108"/>
      <c r="Z17" s="108"/>
      <c r="AA17" s="108"/>
      <c r="AB17" s="108"/>
      <c r="AC17" s="92">
        <f t="shared" si="0"/>
        <v>202093.5122205423</v>
      </c>
      <c r="AD17" s="119" t="str">
        <f t="shared" si="1"/>
        <v>AusNet</v>
      </c>
      <c r="AE17"/>
      <c r="AF17"/>
      <c r="AG17"/>
      <c r="AH17"/>
      <c r="AI17"/>
      <c r="AJ17"/>
      <c r="AK17"/>
      <c r="AL17"/>
      <c r="AM17"/>
      <c r="AN17"/>
    </row>
    <row r="18" spans="1:40" hidden="1">
      <c r="A18" s="367"/>
      <c r="B18" s="116" t="s">
        <v>1367</v>
      </c>
      <c r="C18" s="108">
        <v>32231.214279665364</v>
      </c>
      <c r="D18" s="108">
        <v>30750.650002101404</v>
      </c>
      <c r="E18" s="108">
        <v>36799.335688405932</v>
      </c>
      <c r="F18" s="108">
        <v>39137.333784624869</v>
      </c>
      <c r="G18" s="108">
        <v>47466.468153188616</v>
      </c>
      <c r="H18" s="108"/>
      <c r="I18" s="108"/>
      <c r="J18" s="108"/>
      <c r="K18" s="108"/>
      <c r="L18" s="108"/>
      <c r="M18" s="108"/>
      <c r="N18" s="92">
        <f t="shared" si="2"/>
        <v>186385.00190798618</v>
      </c>
      <c r="O18" s="92">
        <f t="shared" si="3"/>
        <v>0</v>
      </c>
      <c r="P18"/>
      <c r="Q18" s="116" t="s">
        <v>1358</v>
      </c>
      <c r="R18" s="108">
        <v>22005.248581235435</v>
      </c>
      <c r="S18" s="108">
        <v>21207.955597916622</v>
      </c>
      <c r="T18" s="108">
        <v>19739.077062148237</v>
      </c>
      <c r="U18" s="108">
        <v>17634.586308452643</v>
      </c>
      <c r="V18" s="108">
        <v>23185.111005042723</v>
      </c>
      <c r="W18" s="108"/>
      <c r="X18" s="108"/>
      <c r="Y18" s="108"/>
      <c r="Z18" s="108"/>
      <c r="AA18" s="108"/>
      <c r="AB18" s="108"/>
      <c r="AC18" s="92">
        <f t="shared" si="0"/>
        <v>103771.97855479566</v>
      </c>
      <c r="AD18" s="119" t="str">
        <f t="shared" si="1"/>
        <v>AusNet</v>
      </c>
      <c r="AE18"/>
      <c r="AF18"/>
      <c r="AG18"/>
      <c r="AH18"/>
      <c r="AI18"/>
      <c r="AJ18"/>
      <c r="AK18"/>
      <c r="AL18"/>
      <c r="AM18"/>
      <c r="AN18"/>
    </row>
    <row r="19" spans="1:40" hidden="1">
      <c r="A19" s="367"/>
      <c r="B19" s="116" t="s">
        <v>1368</v>
      </c>
      <c r="C19" s="108">
        <v>25440.958300313003</v>
      </c>
      <c r="D19" s="108">
        <v>20416.414307079896</v>
      </c>
      <c r="E19" s="108">
        <v>20284.832550326224</v>
      </c>
      <c r="F19" s="108">
        <v>20345.853214158615</v>
      </c>
      <c r="G19" s="108">
        <v>22623.291076071582</v>
      </c>
      <c r="H19" s="108"/>
      <c r="I19" s="108"/>
      <c r="J19" s="108"/>
      <c r="K19" s="108"/>
      <c r="L19" s="108"/>
      <c r="M19" s="108"/>
      <c r="N19" s="92">
        <f t="shared" si="2"/>
        <v>109111.34944794932</v>
      </c>
      <c r="O19" s="92">
        <f t="shared" si="3"/>
        <v>0</v>
      </c>
      <c r="P19"/>
      <c r="Q19" s="116" t="s">
        <v>1359</v>
      </c>
      <c r="R19" s="108">
        <v>7800.823087035651</v>
      </c>
      <c r="S19" s="108">
        <v>9012.2092141115409</v>
      </c>
      <c r="T19" s="108">
        <v>11214.876283642518</v>
      </c>
      <c r="U19" s="108">
        <v>14659.791965299493</v>
      </c>
      <c r="V19" s="108">
        <v>7936.3113489698062</v>
      </c>
      <c r="W19" s="108"/>
      <c r="X19" s="108"/>
      <c r="Y19" s="108"/>
      <c r="Z19" s="108"/>
      <c r="AA19" s="108"/>
      <c r="AB19" s="108"/>
      <c r="AC19" s="92">
        <f t="shared" si="0"/>
        <v>50624.011899059005</v>
      </c>
      <c r="AD19" s="119" t="str">
        <f t="shared" si="1"/>
        <v>AusNet</v>
      </c>
      <c r="AE19"/>
      <c r="AF19"/>
      <c r="AG19"/>
      <c r="AH19"/>
      <c r="AI19"/>
      <c r="AJ19"/>
      <c r="AK19"/>
      <c r="AL19"/>
      <c r="AM19"/>
      <c r="AN19"/>
    </row>
    <row r="20" spans="1:40" hidden="1">
      <c r="A20" s="367"/>
      <c r="B20" s="116" t="s">
        <v>1360</v>
      </c>
      <c r="C20" s="108">
        <v>0</v>
      </c>
      <c r="D20" s="108">
        <v>0</v>
      </c>
      <c r="E20" s="108">
        <v>-205.58245385382907</v>
      </c>
      <c r="F20" s="108">
        <v>-703.88734446483431</v>
      </c>
      <c r="G20" s="108">
        <v>42.693581341358403</v>
      </c>
      <c r="H20" s="108"/>
      <c r="I20" s="108"/>
      <c r="J20" s="108"/>
      <c r="K20" s="108"/>
      <c r="L20" s="108"/>
      <c r="M20" s="108"/>
      <c r="N20" s="92">
        <f t="shared" si="2"/>
        <v>-866.77621697730501</v>
      </c>
      <c r="O20" s="92">
        <f t="shared" si="3"/>
        <v>0</v>
      </c>
      <c r="P20"/>
      <c r="Q20" s="116" t="s">
        <v>1360</v>
      </c>
      <c r="R20" s="108">
        <v>9164.6099981123989</v>
      </c>
      <c r="S20" s="108">
        <v>16934.23096803407</v>
      </c>
      <c r="T20" s="108">
        <v>16857.82337929483</v>
      </c>
      <c r="U20" s="108">
        <v>17414.210544675821</v>
      </c>
      <c r="V20" s="108">
        <v>16762.028581570077</v>
      </c>
      <c r="W20" s="108"/>
      <c r="X20" s="108"/>
      <c r="Y20" s="108"/>
      <c r="Z20" s="108"/>
      <c r="AA20" s="108"/>
      <c r="AB20" s="108"/>
      <c r="AC20" s="92">
        <f t="shared" si="0"/>
        <v>77132.903471687197</v>
      </c>
      <c r="AD20" s="119" t="str">
        <f t="shared" si="1"/>
        <v>AusNet</v>
      </c>
      <c r="AE20"/>
      <c r="AF20"/>
      <c r="AG20"/>
      <c r="AH20"/>
      <c r="AI20"/>
      <c r="AJ20"/>
      <c r="AK20"/>
      <c r="AL20"/>
      <c r="AM20"/>
      <c r="AN20"/>
    </row>
    <row r="21" spans="1:40" hidden="1">
      <c r="A21" s="367"/>
      <c r="B21" s="95" t="s">
        <v>1369</v>
      </c>
      <c r="C21" s="109">
        <v>139244.32352577464</v>
      </c>
      <c r="D21" s="109">
        <v>139236.08164403329</v>
      </c>
      <c r="E21" s="109">
        <v>145236.2388555106</v>
      </c>
      <c r="F21" s="109">
        <v>158632.40424002448</v>
      </c>
      <c r="G21" s="109">
        <v>186260.26485096649</v>
      </c>
      <c r="H21" s="109"/>
      <c r="I21" s="109"/>
      <c r="J21" s="109"/>
      <c r="K21" s="109"/>
      <c r="L21" s="109"/>
      <c r="M21" s="109"/>
      <c r="N21" s="92">
        <f t="shared" si="2"/>
        <v>768609.31311630958</v>
      </c>
      <c r="O21" s="92">
        <f t="shared" si="3"/>
        <v>0</v>
      </c>
      <c r="P21"/>
      <c r="Q21" s="95" t="s">
        <v>1361</v>
      </c>
      <c r="R21" s="109">
        <v>265288.3</v>
      </c>
      <c r="S21" s="109">
        <v>271485.75288133603</v>
      </c>
      <c r="T21" s="109">
        <v>289355.07544945681</v>
      </c>
      <c r="U21" s="109">
        <v>331108.74796452391</v>
      </c>
      <c r="V21" s="109">
        <v>386303.23145175201</v>
      </c>
      <c r="W21" s="109"/>
      <c r="X21" s="109"/>
      <c r="Y21" s="109"/>
      <c r="Z21" s="109"/>
      <c r="AA21" s="109"/>
      <c r="AB21" s="109"/>
      <c r="AC21" s="92">
        <f t="shared" si="0"/>
        <v>1543541.1077470686</v>
      </c>
      <c r="AD21" s="119" t="str">
        <f t="shared" si="1"/>
        <v>AusNet</v>
      </c>
      <c r="AE21"/>
      <c r="AF21"/>
      <c r="AG21"/>
      <c r="AH21"/>
      <c r="AI21"/>
      <c r="AJ21"/>
      <c r="AK21"/>
      <c r="AL21"/>
      <c r="AM21"/>
      <c r="AN21"/>
    </row>
    <row r="22" spans="1:40" hidden="1">
      <c r="A22" s="368"/>
      <c r="B22" s="116"/>
      <c r="C22" s="108"/>
      <c r="D22" s="108"/>
      <c r="E22" s="108"/>
      <c r="F22" s="108"/>
      <c r="G22" s="108"/>
      <c r="H22" s="108"/>
      <c r="I22" s="108"/>
      <c r="J22" s="108"/>
      <c r="K22" s="108"/>
      <c r="L22" s="108"/>
      <c r="M22" s="108"/>
      <c r="N22" s="92">
        <f t="shared" si="2"/>
        <v>0</v>
      </c>
      <c r="O22" s="92">
        <f t="shared" si="3"/>
        <v>0</v>
      </c>
      <c r="P22"/>
      <c r="Q22" s="116" t="s">
        <v>1362</v>
      </c>
      <c r="R22" s="108">
        <v>25829.74</v>
      </c>
      <c r="S22" s="108">
        <v>32713.46</v>
      </c>
      <c r="T22" s="108">
        <v>29614.31</v>
      </c>
      <c r="U22" s="108">
        <v>24698.32</v>
      </c>
      <c r="V22" s="108">
        <v>22796.05</v>
      </c>
      <c r="W22" s="108"/>
      <c r="X22" s="108"/>
      <c r="Y22" s="108"/>
      <c r="Z22" s="108"/>
      <c r="AA22" s="108"/>
      <c r="AB22" s="108"/>
      <c r="AC22" s="92">
        <f t="shared" si="0"/>
        <v>135651.87999999998</v>
      </c>
      <c r="AD22" s="119" t="str">
        <f t="shared" si="1"/>
        <v>AusNet</v>
      </c>
      <c r="AE22"/>
      <c r="AF22"/>
      <c r="AG22"/>
      <c r="AH22"/>
      <c r="AI22"/>
      <c r="AJ22"/>
      <c r="AK22"/>
      <c r="AL22"/>
      <c r="AM22"/>
      <c r="AN22"/>
    </row>
    <row r="23" spans="1:40">
      <c r="A23" s="369" t="s">
        <v>1218</v>
      </c>
      <c r="B23" s="321" t="s">
        <v>1364</v>
      </c>
      <c r="C23" s="322">
        <v>14063</v>
      </c>
      <c r="D23" s="322">
        <v>14517</v>
      </c>
      <c r="E23" s="322">
        <v>21380</v>
      </c>
      <c r="F23" s="322">
        <v>35877</v>
      </c>
      <c r="G23" s="322">
        <v>39626</v>
      </c>
      <c r="H23" s="322"/>
      <c r="I23" s="322"/>
      <c r="J23" s="322"/>
      <c r="K23" s="322"/>
      <c r="L23" s="322"/>
      <c r="M23" s="322"/>
      <c r="N23" s="318">
        <f t="shared" si="2"/>
        <v>125463</v>
      </c>
      <c r="O23" s="318">
        <f t="shared" si="3"/>
        <v>0</v>
      </c>
      <c r="Q23" s="321" t="s">
        <v>1354</v>
      </c>
      <c r="R23" s="322">
        <v>30851</v>
      </c>
      <c r="S23" s="322">
        <v>36899</v>
      </c>
      <c r="T23" s="322">
        <v>53596</v>
      </c>
      <c r="U23" s="322">
        <v>69050</v>
      </c>
      <c r="V23" s="322">
        <v>81104</v>
      </c>
      <c r="W23" s="322"/>
      <c r="X23" s="322"/>
      <c r="Y23" s="322"/>
      <c r="Z23" s="322"/>
      <c r="AA23" s="322"/>
      <c r="AB23" s="322"/>
      <c r="AC23" s="318">
        <f t="shared" si="0"/>
        <v>271500</v>
      </c>
      <c r="AD23" s="29" t="str">
        <f t="shared" si="1"/>
        <v>SA Power</v>
      </c>
    </row>
    <row r="24" spans="1:40" hidden="1">
      <c r="A24" s="370"/>
      <c r="B24" s="114" t="s">
        <v>1365</v>
      </c>
      <c r="C24" s="115">
        <v>16135</v>
      </c>
      <c r="D24" s="115">
        <v>16358</v>
      </c>
      <c r="E24" s="115">
        <v>19114</v>
      </c>
      <c r="F24" s="115">
        <v>23156</v>
      </c>
      <c r="G24" s="115">
        <v>26588</v>
      </c>
      <c r="H24" s="115"/>
      <c r="I24" s="115"/>
      <c r="J24" s="115"/>
      <c r="K24" s="115"/>
      <c r="L24" s="115"/>
      <c r="M24" s="115"/>
      <c r="N24" s="92">
        <f t="shared" si="2"/>
        <v>101351</v>
      </c>
      <c r="O24" s="92">
        <f t="shared" si="3"/>
        <v>0</v>
      </c>
      <c r="P24"/>
      <c r="Q24" s="114" t="s">
        <v>1355</v>
      </c>
      <c r="R24" s="115">
        <v>91494</v>
      </c>
      <c r="S24" s="115">
        <v>101043</v>
      </c>
      <c r="T24" s="115">
        <v>74524</v>
      </c>
      <c r="U24" s="115">
        <v>69081</v>
      </c>
      <c r="V24" s="115">
        <v>73078</v>
      </c>
      <c r="W24" s="115"/>
      <c r="X24" s="115"/>
      <c r="Y24" s="115"/>
      <c r="Z24" s="115"/>
      <c r="AA24" s="115"/>
      <c r="AB24" s="115"/>
      <c r="AC24" s="92">
        <f t="shared" si="0"/>
        <v>409220</v>
      </c>
      <c r="AD24" s="119" t="str">
        <f t="shared" si="1"/>
        <v>SA Power</v>
      </c>
      <c r="AE24"/>
      <c r="AF24"/>
      <c r="AG24"/>
      <c r="AH24"/>
      <c r="AI24"/>
      <c r="AJ24"/>
      <c r="AK24"/>
      <c r="AL24"/>
      <c r="AM24"/>
      <c r="AN24"/>
    </row>
    <row r="25" spans="1:40" hidden="1">
      <c r="A25" s="370"/>
      <c r="B25" s="114" t="s">
        <v>1370</v>
      </c>
      <c r="C25" s="115">
        <v>4992</v>
      </c>
      <c r="D25" s="115">
        <v>5495</v>
      </c>
      <c r="E25" s="115">
        <v>0</v>
      </c>
      <c r="F25" s="115">
        <v>0</v>
      </c>
      <c r="G25" s="115">
        <v>0</v>
      </c>
      <c r="H25" s="115"/>
      <c r="I25" s="115"/>
      <c r="J25" s="115"/>
      <c r="K25" s="115"/>
      <c r="L25" s="115"/>
      <c r="M25" s="115"/>
      <c r="N25" s="92">
        <f t="shared" si="2"/>
        <v>10487</v>
      </c>
      <c r="O25" s="92">
        <f t="shared" si="3"/>
        <v>0</v>
      </c>
      <c r="P25"/>
      <c r="Q25" s="114" t="s">
        <v>1370</v>
      </c>
      <c r="R25" s="115">
        <v>12449</v>
      </c>
      <c r="S25" s="115">
        <v>13328</v>
      </c>
      <c r="T25" s="115">
        <v>0</v>
      </c>
      <c r="U25" s="115">
        <v>0</v>
      </c>
      <c r="V25" s="115">
        <v>0</v>
      </c>
      <c r="W25" s="115"/>
      <c r="X25" s="115"/>
      <c r="Y25" s="115"/>
      <c r="Z25" s="115"/>
      <c r="AA25" s="115"/>
      <c r="AB25" s="115"/>
      <c r="AC25" s="92">
        <f t="shared" si="0"/>
        <v>25777</v>
      </c>
      <c r="AD25" s="119" t="str">
        <f t="shared" si="1"/>
        <v>SA Power</v>
      </c>
      <c r="AE25"/>
      <c r="AF25"/>
      <c r="AG25"/>
      <c r="AH25"/>
      <c r="AI25"/>
      <c r="AJ25"/>
      <c r="AK25"/>
      <c r="AL25"/>
      <c r="AM25"/>
      <c r="AN25"/>
    </row>
    <row r="26" spans="1:40" hidden="1">
      <c r="A26" s="370"/>
      <c r="B26" s="114" t="s">
        <v>1366</v>
      </c>
      <c r="C26" s="115">
        <v>26375</v>
      </c>
      <c r="D26" s="115">
        <v>25780</v>
      </c>
      <c r="E26" s="115">
        <v>29004</v>
      </c>
      <c r="F26" s="115">
        <v>25463</v>
      </c>
      <c r="G26" s="115">
        <v>31006</v>
      </c>
      <c r="H26" s="115"/>
      <c r="I26" s="115"/>
      <c r="J26" s="115"/>
      <c r="K26" s="115"/>
      <c r="L26" s="115"/>
      <c r="M26" s="115"/>
      <c r="N26" s="92">
        <f t="shared" si="2"/>
        <v>137628</v>
      </c>
      <c r="O26" s="92">
        <f t="shared" si="3"/>
        <v>0</v>
      </c>
      <c r="P26"/>
      <c r="Q26" s="114" t="s">
        <v>1356</v>
      </c>
      <c r="R26" s="115">
        <v>60942</v>
      </c>
      <c r="S26" s="115">
        <v>68956</v>
      </c>
      <c r="T26" s="115">
        <v>123942</v>
      </c>
      <c r="U26" s="115">
        <v>139389</v>
      </c>
      <c r="V26" s="115">
        <v>120221</v>
      </c>
      <c r="W26" s="115"/>
      <c r="X26" s="115"/>
      <c r="Y26" s="115"/>
      <c r="Z26" s="115"/>
      <c r="AA26" s="115"/>
      <c r="AB26" s="115"/>
      <c r="AC26" s="92">
        <f t="shared" si="0"/>
        <v>513450</v>
      </c>
      <c r="AD26" s="119" t="str">
        <f t="shared" si="1"/>
        <v>SA Power</v>
      </c>
      <c r="AE26"/>
      <c r="AF26"/>
      <c r="AG26"/>
      <c r="AH26"/>
      <c r="AI26"/>
      <c r="AJ26"/>
      <c r="AK26"/>
      <c r="AL26"/>
      <c r="AM26"/>
      <c r="AN26"/>
    </row>
    <row r="27" spans="1:40" hidden="1">
      <c r="A27" s="370"/>
      <c r="B27" s="114" t="s">
        <v>1357</v>
      </c>
      <c r="C27" s="115">
        <v>18184</v>
      </c>
      <c r="D27" s="115">
        <v>19884</v>
      </c>
      <c r="E27" s="115">
        <v>25239</v>
      </c>
      <c r="F27" s="115">
        <v>28970</v>
      </c>
      <c r="G27" s="115">
        <v>30453</v>
      </c>
      <c r="H27" s="115"/>
      <c r="I27" s="115"/>
      <c r="J27" s="115"/>
      <c r="K27" s="115"/>
      <c r="L27" s="115"/>
      <c r="M27" s="115"/>
      <c r="N27" s="92">
        <f t="shared" si="2"/>
        <v>122730</v>
      </c>
      <c r="O27" s="92">
        <f t="shared" si="3"/>
        <v>0</v>
      </c>
      <c r="P27"/>
      <c r="Q27" s="114" t="s">
        <v>1357</v>
      </c>
      <c r="R27" s="115">
        <v>40161</v>
      </c>
      <c r="S27" s="115">
        <v>36922</v>
      </c>
      <c r="T27" s="115">
        <v>58502</v>
      </c>
      <c r="U27" s="115">
        <v>74591</v>
      </c>
      <c r="V27" s="115">
        <v>80458</v>
      </c>
      <c r="W27" s="115"/>
      <c r="X27" s="115"/>
      <c r="Y27" s="115"/>
      <c r="Z27" s="115"/>
      <c r="AA27" s="115"/>
      <c r="AB27" s="115"/>
      <c r="AC27" s="92">
        <f t="shared" si="0"/>
        <v>290634</v>
      </c>
      <c r="AD27" s="119" t="str">
        <f t="shared" si="1"/>
        <v>SA Power</v>
      </c>
      <c r="AE27"/>
      <c r="AF27"/>
      <c r="AG27"/>
      <c r="AH27"/>
      <c r="AI27"/>
      <c r="AJ27"/>
      <c r="AK27"/>
      <c r="AL27"/>
      <c r="AM27"/>
      <c r="AN27"/>
    </row>
    <row r="28" spans="1:40" hidden="1">
      <c r="A28" s="370"/>
      <c r="B28" s="114" t="s">
        <v>1367</v>
      </c>
      <c r="C28" s="115">
        <v>55217</v>
      </c>
      <c r="D28" s="115">
        <v>57628</v>
      </c>
      <c r="E28" s="115">
        <v>70347</v>
      </c>
      <c r="F28" s="115">
        <v>65353</v>
      </c>
      <c r="G28" s="115">
        <v>73898</v>
      </c>
      <c r="H28" s="115"/>
      <c r="I28" s="115"/>
      <c r="J28" s="115"/>
      <c r="K28" s="115"/>
      <c r="L28" s="115"/>
      <c r="M28" s="115"/>
      <c r="N28" s="92">
        <f t="shared" si="2"/>
        <v>322443</v>
      </c>
      <c r="O28" s="92">
        <f t="shared" si="3"/>
        <v>0</v>
      </c>
      <c r="P28"/>
      <c r="Q28" s="114" t="s">
        <v>1358</v>
      </c>
      <c r="R28" s="115">
        <v>9305</v>
      </c>
      <c r="S28" s="115">
        <v>11152</v>
      </c>
      <c r="T28" s="115">
        <v>10476</v>
      </c>
      <c r="U28" s="115">
        <v>9959</v>
      </c>
      <c r="V28" s="115">
        <v>12309</v>
      </c>
      <c r="W28" s="115"/>
      <c r="X28" s="115"/>
      <c r="Y28" s="115"/>
      <c r="Z28" s="115"/>
      <c r="AA28" s="115"/>
      <c r="AB28" s="115"/>
      <c r="AC28" s="92">
        <f t="shared" si="0"/>
        <v>53201</v>
      </c>
      <c r="AD28" s="119" t="str">
        <f t="shared" si="1"/>
        <v>SA Power</v>
      </c>
      <c r="AE28"/>
      <c r="AF28"/>
      <c r="AG28"/>
      <c r="AH28"/>
      <c r="AI28"/>
      <c r="AJ28"/>
      <c r="AK28"/>
      <c r="AL28"/>
      <c r="AM28"/>
      <c r="AN28"/>
    </row>
    <row r="29" spans="1:40" hidden="1">
      <c r="A29" s="370"/>
      <c r="B29" s="114" t="s">
        <v>1368</v>
      </c>
      <c r="C29" s="115">
        <v>36264</v>
      </c>
      <c r="D29" s="115">
        <v>36616</v>
      </c>
      <c r="E29" s="115">
        <v>55499</v>
      </c>
      <c r="F29" s="115">
        <v>58886</v>
      </c>
      <c r="G29" s="115">
        <v>56320</v>
      </c>
      <c r="H29" s="115"/>
      <c r="I29" s="115"/>
      <c r="J29" s="115"/>
      <c r="K29" s="115"/>
      <c r="L29" s="115"/>
      <c r="M29" s="115"/>
      <c r="N29" s="92">
        <f t="shared" si="2"/>
        <v>243585</v>
      </c>
      <c r="O29" s="92">
        <f t="shared" si="3"/>
        <v>0</v>
      </c>
      <c r="P29"/>
      <c r="Q29" s="114" t="s">
        <v>1359</v>
      </c>
      <c r="R29" s="115">
        <v>3827</v>
      </c>
      <c r="S29" s="115">
        <v>3192</v>
      </c>
      <c r="T29" s="115">
        <v>3767</v>
      </c>
      <c r="U29" s="115">
        <v>-44</v>
      </c>
      <c r="V29" s="115">
        <v>-3730</v>
      </c>
      <c r="W29" s="115"/>
      <c r="X29" s="115"/>
      <c r="Y29" s="115"/>
      <c r="Z29" s="115"/>
      <c r="AA29" s="115"/>
      <c r="AB29" s="115"/>
      <c r="AC29" s="92">
        <f>SUM(R29:V29)</f>
        <v>7012</v>
      </c>
      <c r="AD29" s="119" t="str">
        <f t="shared" si="1"/>
        <v>SA Power</v>
      </c>
      <c r="AE29"/>
      <c r="AF29"/>
      <c r="AG29"/>
      <c r="AH29"/>
      <c r="AI29"/>
      <c r="AJ29"/>
      <c r="AK29"/>
      <c r="AL29"/>
      <c r="AM29"/>
      <c r="AN29"/>
    </row>
    <row r="30" spans="1:40" hidden="1">
      <c r="A30" s="370"/>
      <c r="B30" s="114" t="s">
        <v>1360</v>
      </c>
      <c r="C30" s="115">
        <v>-20459</v>
      </c>
      <c r="D30" s="115">
        <v>-21995</v>
      </c>
      <c r="E30" s="115">
        <v>-27090</v>
      </c>
      <c r="F30" s="115">
        <v>-30991</v>
      </c>
      <c r="G30" s="115">
        <v>-32446</v>
      </c>
      <c r="H30" s="115"/>
      <c r="I30" s="115"/>
      <c r="J30" s="115"/>
      <c r="K30" s="115"/>
      <c r="L30" s="115"/>
      <c r="M30" s="115"/>
      <c r="N30" s="92">
        <f t="shared" si="2"/>
        <v>-132981</v>
      </c>
      <c r="O30" s="92">
        <f t="shared" si="3"/>
        <v>0</v>
      </c>
      <c r="P30"/>
      <c r="Q30" s="114" t="s">
        <v>1360</v>
      </c>
      <c r="R30" s="115">
        <v>0</v>
      </c>
      <c r="S30" s="115">
        <v>0</v>
      </c>
      <c r="T30" s="115">
        <v>5760</v>
      </c>
      <c r="U30" s="115">
        <v>0</v>
      </c>
      <c r="V30" s="115">
        <v>0</v>
      </c>
      <c r="W30" s="115"/>
      <c r="X30" s="115"/>
      <c r="Y30" s="115"/>
      <c r="Z30" s="115"/>
      <c r="AA30" s="115"/>
      <c r="AB30" s="115"/>
      <c r="AC30" s="92">
        <f t="shared" ref="AC30:AC70" si="4">SUM(R30:V30)</f>
        <v>5760</v>
      </c>
      <c r="AD30" s="119" t="str">
        <f t="shared" si="1"/>
        <v>SA Power</v>
      </c>
      <c r="AE30"/>
      <c r="AF30"/>
      <c r="AG30"/>
      <c r="AH30"/>
      <c r="AI30"/>
      <c r="AJ30"/>
      <c r="AK30"/>
      <c r="AL30"/>
      <c r="AM30"/>
      <c r="AN30"/>
    </row>
    <row r="31" spans="1:40" hidden="1">
      <c r="A31" s="364"/>
      <c r="B31" s="97" t="s">
        <v>1369</v>
      </c>
      <c r="C31" s="96">
        <v>150771</v>
      </c>
      <c r="D31" s="96">
        <v>154283</v>
      </c>
      <c r="E31" s="96">
        <v>193493</v>
      </c>
      <c r="F31" s="96">
        <v>206714</v>
      </c>
      <c r="G31" s="96">
        <v>225445</v>
      </c>
      <c r="H31" s="96"/>
      <c r="I31" s="96"/>
      <c r="J31" s="96"/>
      <c r="K31" s="96"/>
      <c r="L31" s="96"/>
      <c r="M31" s="96"/>
      <c r="N31" s="92">
        <f t="shared" si="2"/>
        <v>930706</v>
      </c>
      <c r="O31" s="92">
        <f t="shared" si="3"/>
        <v>0</v>
      </c>
      <c r="P31"/>
      <c r="Q31" s="97" t="s">
        <v>1361</v>
      </c>
      <c r="R31" s="96">
        <v>249029</v>
      </c>
      <c r="S31" s="96">
        <v>271492</v>
      </c>
      <c r="T31" s="96">
        <v>330567</v>
      </c>
      <c r="U31" s="96">
        <v>362026</v>
      </c>
      <c r="V31" s="96">
        <v>363440</v>
      </c>
      <c r="W31" s="96"/>
      <c r="X31" s="96"/>
      <c r="Y31" s="96"/>
      <c r="Z31" s="96"/>
      <c r="AA31" s="96"/>
      <c r="AB31" s="96"/>
      <c r="AC31" s="92">
        <f t="shared" si="4"/>
        <v>1576554</v>
      </c>
      <c r="AD31" s="119" t="str">
        <f t="shared" si="1"/>
        <v>SA Power</v>
      </c>
      <c r="AE31"/>
      <c r="AF31"/>
      <c r="AG31"/>
      <c r="AH31"/>
      <c r="AI31"/>
      <c r="AJ31"/>
      <c r="AK31"/>
      <c r="AL31"/>
      <c r="AM31"/>
      <c r="AN31"/>
    </row>
    <row r="32" spans="1:40" hidden="1">
      <c r="A32" s="370"/>
      <c r="B32" s="114"/>
      <c r="C32" s="115"/>
      <c r="D32" s="115"/>
      <c r="E32" s="115"/>
      <c r="F32" s="115"/>
      <c r="G32" s="115"/>
      <c r="H32" s="115"/>
      <c r="I32" s="115"/>
      <c r="J32" s="115"/>
      <c r="K32" s="115"/>
      <c r="L32" s="115"/>
      <c r="M32" s="115"/>
      <c r="N32" s="92">
        <f t="shared" si="2"/>
        <v>0</v>
      </c>
      <c r="O32" s="92">
        <f t="shared" si="3"/>
        <v>0</v>
      </c>
      <c r="P32"/>
      <c r="Q32" s="114" t="s">
        <v>1362</v>
      </c>
      <c r="R32" s="115">
        <v>85618</v>
      </c>
      <c r="S32" s="115">
        <v>109706</v>
      </c>
      <c r="T32" s="115">
        <v>70362</v>
      </c>
      <c r="U32" s="115">
        <v>48233</v>
      </c>
      <c r="V32" s="115">
        <v>41522</v>
      </c>
      <c r="W32" s="115"/>
      <c r="X32" s="115"/>
      <c r="Y32" s="115"/>
      <c r="Z32" s="115"/>
      <c r="AA32" s="115"/>
      <c r="AB32" s="115"/>
      <c r="AC32" s="92">
        <f t="shared" si="4"/>
        <v>355441</v>
      </c>
      <c r="AD32" s="119" t="str">
        <f t="shared" si="1"/>
        <v>SA Power</v>
      </c>
      <c r="AE32"/>
      <c r="AF32"/>
      <c r="AG32"/>
      <c r="AH32"/>
      <c r="AI32"/>
      <c r="AJ32"/>
      <c r="AK32"/>
      <c r="AL32"/>
      <c r="AM32"/>
      <c r="AN32"/>
    </row>
    <row r="33" spans="1:40" s="44" customFormat="1">
      <c r="A33" s="357" t="s">
        <v>1147</v>
      </c>
      <c r="B33" s="323" t="s">
        <v>1364</v>
      </c>
      <c r="C33" s="324">
        <v>49615.292759999997</v>
      </c>
      <c r="D33" s="324">
        <v>54758.007890000001</v>
      </c>
      <c r="E33" s="324">
        <v>51880.95059</v>
      </c>
      <c r="F33" s="324">
        <v>63106.594259999998</v>
      </c>
      <c r="G33" s="324">
        <v>43652.748290000003</v>
      </c>
      <c r="H33" s="324"/>
      <c r="I33" s="324"/>
      <c r="J33" s="324"/>
      <c r="K33" s="324"/>
      <c r="L33" s="324"/>
      <c r="M33" s="324"/>
      <c r="N33" s="318">
        <f t="shared" si="2"/>
        <v>263013.59379000001</v>
      </c>
      <c r="O33" s="318">
        <f t="shared" si="3"/>
        <v>0</v>
      </c>
      <c r="P33" s="29"/>
      <c r="Q33" s="323" t="s">
        <v>1354</v>
      </c>
      <c r="R33" s="324">
        <v>87271.011799999993</v>
      </c>
      <c r="S33" s="324">
        <v>93706.076639999999</v>
      </c>
      <c r="T33" s="324">
        <v>153547.90770000001</v>
      </c>
      <c r="U33" s="324">
        <v>183729.08199999999</v>
      </c>
      <c r="V33" s="324">
        <v>199378.81200000001</v>
      </c>
      <c r="W33" s="324"/>
      <c r="X33" s="324"/>
      <c r="Y33" s="324"/>
      <c r="Z33" s="324"/>
      <c r="AA33" s="324"/>
      <c r="AB33" s="324"/>
      <c r="AC33" s="318">
        <f t="shared" si="4"/>
        <v>717632.89014000003</v>
      </c>
      <c r="AD33" s="29" t="str">
        <f t="shared" si="1"/>
        <v>Ergon</v>
      </c>
      <c r="AE33" s="29"/>
      <c r="AF33" s="29"/>
      <c r="AG33" s="29"/>
      <c r="AH33" s="29"/>
      <c r="AI33" s="29"/>
      <c r="AJ33" s="29"/>
      <c r="AK33" s="29"/>
      <c r="AL33" s="29"/>
      <c r="AM33" s="29"/>
      <c r="AN33" s="29"/>
    </row>
    <row r="34" spans="1:40" s="44" customFormat="1" hidden="1">
      <c r="A34" s="358"/>
      <c r="B34" s="113" t="s">
        <v>1365</v>
      </c>
      <c r="C34" s="111">
        <v>69023.224709999995</v>
      </c>
      <c r="D34" s="111">
        <v>70531.943859999999</v>
      </c>
      <c r="E34" s="111">
        <v>71229.403109999999</v>
      </c>
      <c r="F34" s="111">
        <v>86451.983819999994</v>
      </c>
      <c r="G34" s="111">
        <v>88990.919550000006</v>
      </c>
      <c r="H34" s="111"/>
      <c r="I34" s="111"/>
      <c r="J34" s="111"/>
      <c r="K34" s="111"/>
      <c r="L34" s="111"/>
      <c r="M34" s="111"/>
      <c r="N34" s="92">
        <f t="shared" si="2"/>
        <v>386227.47505000001</v>
      </c>
      <c r="O34" s="92">
        <f t="shared" si="3"/>
        <v>0</v>
      </c>
      <c r="P34"/>
      <c r="Q34" s="113" t="s">
        <v>1355</v>
      </c>
      <c r="R34" s="111">
        <v>163247.18909999999</v>
      </c>
      <c r="S34" s="111">
        <v>122535.2748</v>
      </c>
      <c r="T34" s="111">
        <v>104288.3009</v>
      </c>
      <c r="U34" s="111">
        <v>100502.76240000001</v>
      </c>
      <c r="V34" s="111">
        <v>96590.143190000003</v>
      </c>
      <c r="W34" s="111"/>
      <c r="X34" s="111"/>
      <c r="Y34" s="111"/>
      <c r="Z34" s="111"/>
      <c r="AA34" s="111"/>
      <c r="AB34" s="111"/>
      <c r="AC34" s="92">
        <f t="shared" si="4"/>
        <v>587163.67038999998</v>
      </c>
      <c r="AD34" s="119" t="str">
        <f t="shared" si="1"/>
        <v>Ergon</v>
      </c>
    </row>
    <row r="35" spans="1:40" s="44" customFormat="1" hidden="1">
      <c r="A35" s="358"/>
      <c r="B35" s="113" t="s">
        <v>1366</v>
      </c>
      <c r="C35" s="111">
        <v>26103</v>
      </c>
      <c r="D35" s="111">
        <v>35251</v>
      </c>
      <c r="E35" s="111">
        <v>65258</v>
      </c>
      <c r="F35" s="111">
        <v>40791</v>
      </c>
      <c r="G35" s="111">
        <v>46951</v>
      </c>
      <c r="H35" s="111"/>
      <c r="I35" s="111"/>
      <c r="J35" s="111"/>
      <c r="K35" s="111"/>
      <c r="L35" s="111"/>
      <c r="M35" s="111"/>
      <c r="N35" s="92">
        <f t="shared" si="2"/>
        <v>214354</v>
      </c>
      <c r="O35" s="92">
        <f t="shared" si="3"/>
        <v>0</v>
      </c>
      <c r="P35"/>
      <c r="Q35" s="113" t="s">
        <v>1356</v>
      </c>
      <c r="R35" s="111">
        <v>204203</v>
      </c>
      <c r="S35" s="111">
        <v>155458</v>
      </c>
      <c r="T35" s="111">
        <v>152019</v>
      </c>
      <c r="U35" s="111">
        <v>154521</v>
      </c>
      <c r="V35" s="111">
        <v>131367</v>
      </c>
      <c r="W35" s="111"/>
      <c r="X35" s="111"/>
      <c r="Y35" s="111"/>
      <c r="Z35" s="111"/>
      <c r="AA35" s="111"/>
      <c r="AB35" s="111"/>
      <c r="AC35" s="92">
        <f t="shared" si="4"/>
        <v>797568</v>
      </c>
      <c r="AD35" s="119" t="str">
        <f t="shared" si="1"/>
        <v>Ergon</v>
      </c>
    </row>
    <row r="36" spans="1:40" s="44" customFormat="1" hidden="1">
      <c r="A36" s="358"/>
      <c r="B36" s="113" t="s">
        <v>1357</v>
      </c>
      <c r="C36" s="111">
        <v>121699.60799999999</v>
      </c>
      <c r="D36" s="111">
        <v>132420.00700000001</v>
      </c>
      <c r="E36" s="111">
        <v>187003.05100000001</v>
      </c>
      <c r="F36" s="111">
        <v>244438.84899999999</v>
      </c>
      <c r="G36" s="111">
        <v>265178.51699999999</v>
      </c>
      <c r="H36" s="111"/>
      <c r="I36" s="111"/>
      <c r="J36" s="111"/>
      <c r="K36" s="111"/>
      <c r="L36" s="111"/>
      <c r="M36" s="111"/>
      <c r="N36" s="92">
        <f t="shared" si="2"/>
        <v>950740.03199999989</v>
      </c>
      <c r="O36" s="92">
        <f t="shared" si="3"/>
        <v>0</v>
      </c>
      <c r="P36"/>
      <c r="Q36" s="113" t="s">
        <v>1357</v>
      </c>
      <c r="R36" s="111">
        <v>85472</v>
      </c>
      <c r="S36" s="111">
        <v>90491</v>
      </c>
      <c r="T36" s="111">
        <v>106536</v>
      </c>
      <c r="U36" s="111">
        <v>103919</v>
      </c>
      <c r="V36" s="111">
        <v>104468</v>
      </c>
      <c r="W36" s="111"/>
      <c r="X36" s="111"/>
      <c r="Y36" s="111"/>
      <c r="Z36" s="111"/>
      <c r="AA36" s="111"/>
      <c r="AB36" s="111"/>
      <c r="AC36" s="92">
        <f t="shared" si="4"/>
        <v>490886</v>
      </c>
      <c r="AD36" s="119" t="str">
        <f t="shared" si="1"/>
        <v>Ergon</v>
      </c>
    </row>
    <row r="37" spans="1:40" s="44" customFormat="1" hidden="1">
      <c r="A37" s="358"/>
      <c r="B37" s="113" t="s">
        <v>1367</v>
      </c>
      <c r="C37" s="111">
        <v>96379.831470000005</v>
      </c>
      <c r="D37" s="111">
        <v>103678.2787</v>
      </c>
      <c r="E37" s="111">
        <v>135843.96249999999</v>
      </c>
      <c r="F37" s="111">
        <v>167661.9884</v>
      </c>
      <c r="G37" s="111">
        <v>203442.2396</v>
      </c>
      <c r="H37" s="111"/>
      <c r="I37" s="111"/>
      <c r="J37" s="111"/>
      <c r="K37" s="111"/>
      <c r="L37" s="111"/>
      <c r="M37" s="111"/>
      <c r="N37" s="92">
        <f t="shared" si="2"/>
        <v>707006.30067000003</v>
      </c>
      <c r="O37" s="92">
        <f t="shared" si="3"/>
        <v>0</v>
      </c>
      <c r="P37"/>
      <c r="Q37" s="113" t="s">
        <v>1358</v>
      </c>
      <c r="R37" s="111">
        <v>90744.073749999996</v>
      </c>
      <c r="S37" s="111">
        <v>85209.034169999999</v>
      </c>
      <c r="T37" s="111">
        <v>105840.6093</v>
      </c>
      <c r="U37" s="111">
        <v>107126.2406</v>
      </c>
      <c r="V37" s="111">
        <v>135738.60209999999</v>
      </c>
      <c r="W37" s="111"/>
      <c r="X37" s="111"/>
      <c r="Y37" s="111"/>
      <c r="Z37" s="111"/>
      <c r="AA37" s="111"/>
      <c r="AB37" s="111"/>
      <c r="AC37" s="92">
        <f t="shared" si="4"/>
        <v>524658.55992000003</v>
      </c>
      <c r="AD37" s="119" t="str">
        <f t="shared" ref="AD37:AD70" si="5">IF(A37&gt;0,A37,AD36)</f>
        <v>Ergon</v>
      </c>
    </row>
    <row r="38" spans="1:40" s="44" customFormat="1" hidden="1">
      <c r="A38" s="358"/>
      <c r="B38" s="113" t="s">
        <v>1368</v>
      </c>
      <c r="C38" s="111">
        <v>64302.168530000003</v>
      </c>
      <c r="D38" s="111">
        <v>71407.721309999994</v>
      </c>
      <c r="E38" s="111">
        <v>63578.037479999999</v>
      </c>
      <c r="F38" s="111">
        <v>79952.011559999999</v>
      </c>
      <c r="G38" s="111">
        <v>39281.760439999998</v>
      </c>
      <c r="H38" s="111"/>
      <c r="I38" s="111"/>
      <c r="J38" s="111"/>
      <c r="K38" s="111"/>
      <c r="L38" s="111"/>
      <c r="M38" s="111"/>
      <c r="N38" s="92">
        <f t="shared" si="2"/>
        <v>318521.69931999996</v>
      </c>
      <c r="O38" s="92">
        <f t="shared" si="3"/>
        <v>0</v>
      </c>
      <c r="P38"/>
      <c r="Q38" s="113" t="s">
        <v>1359</v>
      </c>
      <c r="R38" s="111">
        <v>107001.92630000001</v>
      </c>
      <c r="S38" s="111">
        <v>103759.96580000001</v>
      </c>
      <c r="T38" s="111">
        <v>134879.39069999999</v>
      </c>
      <c r="U38" s="111">
        <v>146218.75940000001</v>
      </c>
      <c r="V38" s="111">
        <v>100303.3979</v>
      </c>
      <c r="W38" s="111"/>
      <c r="X38" s="111"/>
      <c r="Y38" s="111"/>
      <c r="Z38" s="111"/>
      <c r="AA38" s="111"/>
      <c r="AB38" s="111"/>
      <c r="AC38" s="92">
        <f t="shared" si="4"/>
        <v>592163.44010000001</v>
      </c>
      <c r="AD38" s="119" t="str">
        <f t="shared" si="5"/>
        <v>Ergon</v>
      </c>
    </row>
    <row r="39" spans="1:40" s="44" customFormat="1" hidden="1">
      <c r="A39" s="358"/>
      <c r="B39" s="113" t="s">
        <v>1370</v>
      </c>
      <c r="C39" s="111">
        <v>13041.916999999999</v>
      </c>
      <c r="D39" s="111">
        <v>13678.36486</v>
      </c>
      <c r="E39" s="111">
        <v>12582.489</v>
      </c>
      <c r="F39" s="111">
        <v>13563.89</v>
      </c>
      <c r="G39" s="111">
        <v>13742.501780000001</v>
      </c>
      <c r="H39" s="111"/>
      <c r="I39" s="111"/>
      <c r="J39" s="111"/>
      <c r="K39" s="111"/>
      <c r="L39" s="111"/>
      <c r="M39" s="111"/>
      <c r="N39" s="92">
        <f t="shared" si="2"/>
        <v>66609.162639999995</v>
      </c>
      <c r="O39" s="92">
        <f t="shared" si="3"/>
        <v>0</v>
      </c>
      <c r="P39"/>
      <c r="Q39" s="113" t="s">
        <v>1370</v>
      </c>
      <c r="R39" s="111">
        <v>7333.2860000000001</v>
      </c>
      <c r="S39" s="111">
        <v>9867.6149999999998</v>
      </c>
      <c r="T39" s="111">
        <v>8202.098</v>
      </c>
      <c r="U39" s="111">
        <v>10188.948</v>
      </c>
      <c r="V39" s="111">
        <v>11139.602999999999</v>
      </c>
      <c r="W39" s="111"/>
      <c r="X39" s="111"/>
      <c r="Y39" s="111"/>
      <c r="Z39" s="111"/>
      <c r="AA39" s="111"/>
      <c r="AB39" s="111"/>
      <c r="AC39" s="92">
        <f t="shared" si="4"/>
        <v>46731.55</v>
      </c>
      <c r="AD39" s="119" t="str">
        <f t="shared" si="5"/>
        <v>Ergon</v>
      </c>
    </row>
    <row r="40" spans="1:40" s="44" customFormat="1" hidden="1">
      <c r="A40" s="358"/>
      <c r="B40" s="113" t="s">
        <v>1323</v>
      </c>
      <c r="C40" s="111">
        <v>6649.1620000000003</v>
      </c>
      <c r="D40" s="111">
        <v>4709.1390000000001</v>
      </c>
      <c r="E40" s="111"/>
      <c r="F40" s="111"/>
      <c r="G40" s="111"/>
      <c r="H40" s="111"/>
      <c r="I40" s="111"/>
      <c r="J40" s="111"/>
      <c r="K40" s="111"/>
      <c r="L40" s="111"/>
      <c r="M40" s="111"/>
      <c r="N40" s="92">
        <f t="shared" si="2"/>
        <v>11358.300999999999</v>
      </c>
      <c r="O40" s="92">
        <f t="shared" si="3"/>
        <v>0</v>
      </c>
      <c r="P40"/>
      <c r="Q40" s="113" t="s">
        <v>1323</v>
      </c>
      <c r="R40" s="111">
        <v>4878.6890000000003</v>
      </c>
      <c r="S40" s="111">
        <v>6025.9279999999999</v>
      </c>
      <c r="T40" s="111"/>
      <c r="U40" s="111"/>
      <c r="V40" s="111"/>
      <c r="W40" s="111"/>
      <c r="X40" s="111"/>
      <c r="Y40" s="111"/>
      <c r="Z40" s="111"/>
      <c r="AA40" s="111"/>
      <c r="AB40" s="111"/>
      <c r="AC40" s="92">
        <f t="shared" si="4"/>
        <v>10904.617</v>
      </c>
      <c r="AD40" s="119" t="str">
        <f t="shared" si="5"/>
        <v>Ergon</v>
      </c>
    </row>
    <row r="41" spans="1:40" hidden="1">
      <c r="A41" s="358"/>
      <c r="B41" s="113" t="s">
        <v>1360</v>
      </c>
      <c r="C41" s="111">
        <v>-141390.68700000001</v>
      </c>
      <c r="D41" s="111">
        <v>-150807.51089999999</v>
      </c>
      <c r="E41" s="111">
        <v>-199585.54</v>
      </c>
      <c r="F41" s="111">
        <v>-258002.739</v>
      </c>
      <c r="G41" s="111">
        <v>-278921.01880000002</v>
      </c>
      <c r="H41" s="111"/>
      <c r="I41" s="111"/>
      <c r="J41" s="111"/>
      <c r="K41" s="111"/>
      <c r="L41" s="111"/>
      <c r="M41" s="111"/>
      <c r="N41" s="92">
        <f t="shared" si="2"/>
        <v>-1028707.4957000001</v>
      </c>
      <c r="O41" s="92">
        <f t="shared" si="3"/>
        <v>0</v>
      </c>
      <c r="P41"/>
      <c r="Q41" s="113" t="s">
        <v>1360</v>
      </c>
      <c r="R41" s="111">
        <v>-12211.975</v>
      </c>
      <c r="S41" s="111">
        <v>-15893.543</v>
      </c>
      <c r="T41" s="111">
        <v>-8202.098</v>
      </c>
      <c r="U41" s="111">
        <v>-10188.948</v>
      </c>
      <c r="V41" s="111">
        <v>-11139.602999999999</v>
      </c>
      <c r="W41" s="111"/>
      <c r="X41" s="111"/>
      <c r="Y41" s="111"/>
      <c r="Z41" s="111"/>
      <c r="AA41" s="111"/>
      <c r="AB41" s="111"/>
      <c r="AC41" s="92">
        <f t="shared" si="4"/>
        <v>-57636.167000000001</v>
      </c>
      <c r="AD41" s="119" t="str">
        <f t="shared" si="5"/>
        <v>Ergon</v>
      </c>
      <c r="AE41"/>
      <c r="AF41"/>
      <c r="AG41"/>
      <c r="AH41"/>
      <c r="AI41"/>
      <c r="AJ41"/>
      <c r="AK41"/>
      <c r="AL41"/>
      <c r="AM41"/>
      <c r="AN41"/>
    </row>
    <row r="42" spans="1:40" hidden="1">
      <c r="A42" s="358"/>
      <c r="B42" s="99" t="s">
        <v>1369</v>
      </c>
      <c r="C42" s="98">
        <v>305423.52</v>
      </c>
      <c r="D42" s="98">
        <v>335626.95</v>
      </c>
      <c r="E42" s="98">
        <v>387790.35</v>
      </c>
      <c r="F42" s="98">
        <v>437963.58</v>
      </c>
      <c r="G42" s="98">
        <v>422318.67</v>
      </c>
      <c r="H42" s="98"/>
      <c r="I42" s="98"/>
      <c r="J42" s="98"/>
      <c r="K42" s="98"/>
      <c r="L42" s="98"/>
      <c r="M42" s="98"/>
      <c r="N42" s="92">
        <f t="shared" si="2"/>
        <v>1889123.0699999998</v>
      </c>
      <c r="O42" s="92">
        <f t="shared" si="3"/>
        <v>0</v>
      </c>
      <c r="P42"/>
      <c r="Q42" s="99" t="s">
        <v>1361</v>
      </c>
      <c r="R42" s="98">
        <v>737939.2</v>
      </c>
      <c r="S42" s="98">
        <v>651159.35</v>
      </c>
      <c r="T42" s="98">
        <v>757111.21</v>
      </c>
      <c r="U42" s="98">
        <v>796016.84</v>
      </c>
      <c r="V42" s="98">
        <v>767845.96</v>
      </c>
      <c r="W42" s="98"/>
      <c r="X42" s="98"/>
      <c r="Y42" s="98"/>
      <c r="Z42" s="98"/>
      <c r="AA42" s="98"/>
      <c r="AB42" s="98"/>
      <c r="AC42" s="92">
        <f t="shared" si="4"/>
        <v>3710072.5599999996</v>
      </c>
      <c r="AD42" s="119" t="str">
        <f t="shared" si="5"/>
        <v>Ergon</v>
      </c>
      <c r="AE42"/>
      <c r="AF42"/>
      <c r="AG42"/>
      <c r="AH42"/>
      <c r="AI42"/>
      <c r="AJ42"/>
      <c r="AK42"/>
      <c r="AL42"/>
      <c r="AM42"/>
      <c r="AN42"/>
    </row>
    <row r="43" spans="1:40" hidden="1">
      <c r="A43" s="359"/>
      <c r="B43" s="113"/>
      <c r="C43" s="111"/>
      <c r="D43" s="111"/>
      <c r="E43" s="111"/>
      <c r="F43" s="111"/>
      <c r="G43" s="111"/>
      <c r="H43" s="111"/>
      <c r="I43" s="111"/>
      <c r="J43" s="111"/>
      <c r="K43" s="111"/>
      <c r="L43" s="111"/>
      <c r="M43" s="111"/>
      <c r="N43" s="92">
        <f t="shared" si="2"/>
        <v>0</v>
      </c>
      <c r="O43" s="92">
        <f t="shared" si="3"/>
        <v>0</v>
      </c>
      <c r="P43"/>
      <c r="Q43" s="113" t="s">
        <v>1362</v>
      </c>
      <c r="R43" s="111">
        <v>92614</v>
      </c>
      <c r="S43" s="111">
        <v>59530</v>
      </c>
      <c r="T43" s="111">
        <v>69522</v>
      </c>
      <c r="U43" s="111">
        <v>54734</v>
      </c>
      <c r="V43" s="111">
        <v>67526</v>
      </c>
      <c r="W43" s="111"/>
      <c r="X43" s="111"/>
      <c r="Y43" s="111"/>
      <c r="Z43" s="111"/>
      <c r="AA43" s="111"/>
      <c r="AB43" s="111"/>
      <c r="AC43" s="92">
        <f t="shared" si="4"/>
        <v>343926</v>
      </c>
      <c r="AD43" s="119" t="str">
        <f t="shared" si="5"/>
        <v>Ergon</v>
      </c>
      <c r="AE43"/>
      <c r="AF43"/>
      <c r="AG43"/>
      <c r="AH43"/>
      <c r="AI43"/>
      <c r="AJ43"/>
      <c r="AK43"/>
      <c r="AL43"/>
      <c r="AM43"/>
      <c r="AN43"/>
    </row>
    <row r="44" spans="1:40">
      <c r="A44" s="363" t="s">
        <v>575</v>
      </c>
      <c r="B44" s="325" t="s">
        <v>1364</v>
      </c>
      <c r="C44" s="326">
        <v>21875.085309999999</v>
      </c>
      <c r="D44" s="326">
        <v>21408.242090000003</v>
      </c>
      <c r="E44" s="326">
        <v>21324.126260000005</v>
      </c>
      <c r="F44" s="326">
        <v>18512.301789999998</v>
      </c>
      <c r="G44" s="326">
        <v>24432.900899999997</v>
      </c>
      <c r="H44" s="326">
        <v>34999.999503466301</v>
      </c>
      <c r="I44" s="326"/>
      <c r="J44" s="326"/>
      <c r="K44" s="326"/>
      <c r="L44" s="326"/>
      <c r="M44" s="326"/>
      <c r="N44" s="318">
        <f t="shared" si="2"/>
        <v>107552.65634999999</v>
      </c>
      <c r="O44" s="318">
        <f t="shared" si="3"/>
        <v>0</v>
      </c>
      <c r="Q44" s="325" t="s">
        <v>1354</v>
      </c>
      <c r="R44" s="326">
        <v>100466.21586</v>
      </c>
      <c r="S44" s="326">
        <v>104041.57774999998</v>
      </c>
      <c r="T44" s="326">
        <v>115131.90976000001</v>
      </c>
      <c r="U44" s="326">
        <v>157945.63690000001</v>
      </c>
      <c r="V44" s="326">
        <v>158978.71224999998</v>
      </c>
      <c r="W44" s="326">
        <v>208391.70798000004</v>
      </c>
      <c r="X44" s="326">
        <v>169187.32108999995</v>
      </c>
      <c r="Y44" s="326">
        <v>159571.21180499994</v>
      </c>
      <c r="Z44" s="326">
        <v>142136.01492699995</v>
      </c>
      <c r="AA44" s="326">
        <v>139973.75600000002</v>
      </c>
      <c r="AB44" s="326">
        <v>128787.40899999999</v>
      </c>
      <c r="AC44" s="318">
        <f t="shared" si="4"/>
        <v>636564.05252000003</v>
      </c>
      <c r="AD44" s="29" t="str">
        <f t="shared" si="5"/>
        <v>Endeavour</v>
      </c>
    </row>
    <row r="45" spans="1:40" hidden="1">
      <c r="A45" s="364"/>
      <c r="B45" s="112" t="s">
        <v>1365</v>
      </c>
      <c r="C45" s="107">
        <v>53150.213103622809</v>
      </c>
      <c r="D45" s="107">
        <v>55275.784983709382</v>
      </c>
      <c r="E45" s="107">
        <v>62149.466557080617</v>
      </c>
      <c r="F45" s="107">
        <v>59491.665570725512</v>
      </c>
      <c r="G45" s="107">
        <v>62508.595187035324</v>
      </c>
      <c r="H45" s="107">
        <v>66070.882491528391</v>
      </c>
      <c r="I45" s="107"/>
      <c r="J45" s="107"/>
      <c r="K45" s="107"/>
      <c r="L45" s="107"/>
      <c r="M45" s="107"/>
      <c r="N45" s="92">
        <f t="shared" si="2"/>
        <v>292575.72540217364</v>
      </c>
      <c r="O45" s="92">
        <f t="shared" si="3"/>
        <v>0</v>
      </c>
      <c r="P45"/>
      <c r="Q45" s="112" t="s">
        <v>1355</v>
      </c>
      <c r="R45" s="107">
        <v>19440.424999999999</v>
      </c>
      <c r="S45" s="107">
        <v>16091.277999999998</v>
      </c>
      <c r="T45" s="107">
        <v>17214.672999999999</v>
      </c>
      <c r="U45" s="107">
        <v>15407.953999999998</v>
      </c>
      <c r="V45" s="107">
        <v>11923.514999999999</v>
      </c>
      <c r="W45" s="107">
        <v>15888.776320988798</v>
      </c>
      <c r="X45" s="107">
        <v>14595.534335829627</v>
      </c>
      <c r="Y45" s="107">
        <v>15394.907024160078</v>
      </c>
      <c r="Z45" s="107">
        <v>15290.936959664217</v>
      </c>
      <c r="AA45" s="107">
        <v>15378.996935914056</v>
      </c>
      <c r="AB45" s="107">
        <v>15555.66592408056</v>
      </c>
      <c r="AC45" s="92">
        <f t="shared" si="4"/>
        <v>80077.844999999987</v>
      </c>
      <c r="AD45" s="119" t="str">
        <f t="shared" si="5"/>
        <v>Endeavour</v>
      </c>
      <c r="AE45"/>
      <c r="AF45"/>
      <c r="AG45"/>
      <c r="AH45"/>
      <c r="AI45"/>
      <c r="AJ45"/>
      <c r="AK45"/>
      <c r="AL45"/>
      <c r="AM45"/>
      <c r="AN45"/>
    </row>
    <row r="46" spans="1:40" hidden="1">
      <c r="A46" s="364"/>
      <c r="B46" s="112" t="s">
        <v>1366</v>
      </c>
      <c r="C46" s="107">
        <v>21074.522070000039</v>
      </c>
      <c r="D46" s="107">
        <v>20390.220759999975</v>
      </c>
      <c r="E46" s="107">
        <v>24557.014780000009</v>
      </c>
      <c r="F46" s="107">
        <v>26587.895489999984</v>
      </c>
      <c r="G46" s="107">
        <v>24466.94726107562</v>
      </c>
      <c r="H46" s="107">
        <v>24665.43528932058</v>
      </c>
      <c r="I46" s="107"/>
      <c r="J46" s="107"/>
      <c r="K46" s="107"/>
      <c r="L46" s="107"/>
      <c r="M46" s="107"/>
      <c r="N46" s="92">
        <f t="shared" si="2"/>
        <v>117076.60036107563</v>
      </c>
      <c r="O46" s="92">
        <f t="shared" si="3"/>
        <v>0</v>
      </c>
      <c r="P46"/>
      <c r="Q46" s="112" t="s">
        <v>1356</v>
      </c>
      <c r="R46" s="107">
        <v>168118.61024000001</v>
      </c>
      <c r="S46" s="107">
        <v>141447.40679000001</v>
      </c>
      <c r="T46" s="107">
        <v>185895.72223000001</v>
      </c>
      <c r="U46" s="107">
        <v>257432.94135000001</v>
      </c>
      <c r="V46" s="107">
        <v>266421.88899000001</v>
      </c>
      <c r="W46" s="107">
        <v>189390.85792813663</v>
      </c>
      <c r="X46" s="107">
        <v>116183.56780487805</v>
      </c>
      <c r="Y46" s="107">
        <v>64394.22248661513</v>
      </c>
      <c r="Z46" s="107">
        <v>39104.619375807088</v>
      </c>
      <c r="AA46" s="107">
        <v>49535.57569801552</v>
      </c>
      <c r="AB46" s="107">
        <v>45588.178000070984</v>
      </c>
      <c r="AC46" s="92">
        <f t="shared" si="4"/>
        <v>1019316.5696</v>
      </c>
      <c r="AD46" s="119" t="str">
        <f t="shared" si="5"/>
        <v>Endeavour</v>
      </c>
      <c r="AE46"/>
      <c r="AF46"/>
      <c r="AG46"/>
      <c r="AH46"/>
      <c r="AI46"/>
      <c r="AJ46"/>
      <c r="AK46"/>
      <c r="AL46"/>
      <c r="AM46"/>
      <c r="AN46"/>
    </row>
    <row r="47" spans="1:40" hidden="1">
      <c r="A47" s="364"/>
      <c r="B47" s="112" t="s">
        <v>1357</v>
      </c>
      <c r="C47" s="107">
        <v>52791.254823081697</v>
      </c>
      <c r="D47" s="107">
        <v>55502.648357231097</v>
      </c>
      <c r="E47" s="107">
        <v>60344.046606100899</v>
      </c>
      <c r="F47" s="107">
        <v>68458.533097775595</v>
      </c>
      <c r="G47" s="107">
        <v>73876.842990903198</v>
      </c>
      <c r="H47" s="107">
        <v>81500.089809041296</v>
      </c>
      <c r="I47" s="107"/>
      <c r="J47" s="107"/>
      <c r="K47" s="107"/>
      <c r="L47" s="107"/>
      <c r="M47" s="107"/>
      <c r="N47" s="92">
        <f t="shared" si="2"/>
        <v>310973.32587509247</v>
      </c>
      <c r="O47" s="92">
        <f t="shared" si="3"/>
        <v>0</v>
      </c>
      <c r="P47"/>
      <c r="Q47" s="112" t="s">
        <v>1357</v>
      </c>
      <c r="R47" s="107">
        <v>55391</v>
      </c>
      <c r="S47" s="107">
        <v>39915</v>
      </c>
      <c r="T47" s="107">
        <v>73636.909015325014</v>
      </c>
      <c r="U47" s="107">
        <v>49224.021099424637</v>
      </c>
      <c r="V47" s="107">
        <v>28187.672684288893</v>
      </c>
      <c r="W47" s="107">
        <v>50885.105934067964</v>
      </c>
      <c r="X47" s="107">
        <v>54367.848156019449</v>
      </c>
      <c r="Y47" s="107">
        <v>32699.575674248295</v>
      </c>
      <c r="Z47" s="107">
        <v>29301.094268146542</v>
      </c>
      <c r="AA47" s="107">
        <v>29311.565507204534</v>
      </c>
      <c r="AB47" s="107">
        <v>30763.166796961355</v>
      </c>
      <c r="AC47" s="92">
        <f t="shared" si="4"/>
        <v>246354.60279903855</v>
      </c>
      <c r="AD47" s="119" t="str">
        <f t="shared" si="5"/>
        <v>Endeavour</v>
      </c>
      <c r="AE47"/>
      <c r="AF47"/>
      <c r="AG47"/>
      <c r="AH47"/>
      <c r="AI47"/>
      <c r="AJ47"/>
      <c r="AK47"/>
      <c r="AL47"/>
      <c r="AM47"/>
      <c r="AN47"/>
    </row>
    <row r="48" spans="1:40" hidden="1">
      <c r="A48" s="364"/>
      <c r="B48" s="112" t="s">
        <v>1367</v>
      </c>
      <c r="C48" s="107">
        <v>113419.87445714656</v>
      </c>
      <c r="D48" s="107">
        <v>111988.18300069484</v>
      </c>
      <c r="E48" s="107">
        <v>121479.78027497223</v>
      </c>
      <c r="F48" s="107">
        <v>104797.36615277658</v>
      </c>
      <c r="G48" s="107">
        <v>97006.228408191208</v>
      </c>
      <c r="H48" s="107">
        <v>104763.07604352472</v>
      </c>
      <c r="I48" s="107"/>
      <c r="J48" s="107"/>
      <c r="K48" s="107"/>
      <c r="L48" s="107"/>
      <c r="M48" s="107"/>
      <c r="N48" s="92">
        <f t="shared" si="2"/>
        <v>548691.43229378143</v>
      </c>
      <c r="O48" s="92">
        <f t="shared" si="3"/>
        <v>0</v>
      </c>
      <c r="P48"/>
      <c r="Q48" s="112" t="s">
        <v>1358</v>
      </c>
      <c r="R48" s="107">
        <v>34033.233218713845</v>
      </c>
      <c r="S48" s="107">
        <v>41811.294355587677</v>
      </c>
      <c r="T48" s="107">
        <v>40181.262197458542</v>
      </c>
      <c r="U48" s="107">
        <v>46675.880783131281</v>
      </c>
      <c r="V48" s="107">
        <v>39254.794490141772</v>
      </c>
      <c r="W48" s="107">
        <v>38575.628274889663</v>
      </c>
      <c r="X48" s="107">
        <v>38091.063841785464</v>
      </c>
      <c r="Y48" s="107">
        <v>36172.877659816855</v>
      </c>
      <c r="Z48" s="107">
        <v>35532.285917766916</v>
      </c>
      <c r="AA48" s="107">
        <v>36528.444437914608</v>
      </c>
      <c r="AB48" s="107">
        <v>36399.907319323916</v>
      </c>
      <c r="AC48" s="92">
        <f t="shared" si="4"/>
        <v>201956.46504503311</v>
      </c>
      <c r="AD48" s="119" t="str">
        <f t="shared" si="5"/>
        <v>Endeavour</v>
      </c>
      <c r="AE48"/>
      <c r="AF48"/>
      <c r="AG48"/>
      <c r="AH48"/>
      <c r="AI48"/>
      <c r="AJ48"/>
      <c r="AK48"/>
      <c r="AL48"/>
      <c r="AM48"/>
      <c r="AN48"/>
    </row>
    <row r="49" spans="1:40" hidden="1">
      <c r="A49" s="364"/>
      <c r="B49" s="112" t="s">
        <v>1368</v>
      </c>
      <c r="C49" s="107">
        <v>49804.905483486298</v>
      </c>
      <c r="D49" s="107">
        <v>47173.536620696323</v>
      </c>
      <c r="E49" s="107">
        <v>45236.975345664381</v>
      </c>
      <c r="F49" s="107">
        <v>79370.628970376158</v>
      </c>
      <c r="G49" s="107">
        <v>63230.336547232881</v>
      </c>
      <c r="H49" s="107">
        <v>89953.45862434071</v>
      </c>
      <c r="I49" s="107"/>
      <c r="J49" s="107"/>
      <c r="K49" s="107"/>
      <c r="L49" s="107"/>
      <c r="M49" s="107"/>
      <c r="N49" s="92">
        <f t="shared" si="2"/>
        <v>284816.38296745601</v>
      </c>
      <c r="O49" s="92">
        <f t="shared" si="3"/>
        <v>0</v>
      </c>
      <c r="P49"/>
      <c r="Q49" s="112" t="s">
        <v>1359</v>
      </c>
      <c r="R49" s="107">
        <v>14944.664432651256</v>
      </c>
      <c r="S49" s="107">
        <v>17612.453140969261</v>
      </c>
      <c r="T49" s="107">
        <v>14962.809146260814</v>
      </c>
      <c r="U49" s="107">
        <v>35351.022182204615</v>
      </c>
      <c r="V49" s="107">
        <v>25586.953615594226</v>
      </c>
      <c r="W49" s="107">
        <v>33122.463686457522</v>
      </c>
      <c r="X49" s="107">
        <v>24798.922166802833</v>
      </c>
      <c r="Y49" s="107">
        <v>22940.114367209262</v>
      </c>
      <c r="Z49" s="107">
        <v>25283.503816732857</v>
      </c>
      <c r="AA49" s="107">
        <v>26138.989376656922</v>
      </c>
      <c r="AB49" s="107">
        <v>26569.548954187609</v>
      </c>
      <c r="AC49" s="92">
        <f t="shared" si="4"/>
        <v>108457.90251768017</v>
      </c>
      <c r="AD49" s="119" t="str">
        <f t="shared" si="5"/>
        <v>Endeavour</v>
      </c>
      <c r="AE49"/>
      <c r="AF49"/>
      <c r="AG49"/>
      <c r="AH49"/>
      <c r="AI49"/>
      <c r="AJ49"/>
      <c r="AK49"/>
      <c r="AL49"/>
      <c r="AM49"/>
      <c r="AN49"/>
    </row>
    <row r="50" spans="1:40" hidden="1">
      <c r="A50" s="364"/>
      <c r="B50" s="112" t="s">
        <v>1360</v>
      </c>
      <c r="C50" s="107">
        <v>-52787.835297736223</v>
      </c>
      <c r="D50" s="107">
        <v>-55474.615812331635</v>
      </c>
      <c r="E50" s="107">
        <v>-60344.046619125707</v>
      </c>
      <c r="F50" s="107">
        <v>-68458.533081842921</v>
      </c>
      <c r="G50" s="107">
        <v>-73935.577562169317</v>
      </c>
      <c r="H50" s="107">
        <v>-81500.089809041296</v>
      </c>
      <c r="I50" s="107"/>
      <c r="J50" s="107"/>
      <c r="K50" s="107"/>
      <c r="L50" s="107"/>
      <c r="M50" s="107"/>
      <c r="N50" s="92">
        <f t="shared" si="2"/>
        <v>-311000.60837320576</v>
      </c>
      <c r="O50" s="92">
        <f t="shared" si="3"/>
        <v>0</v>
      </c>
      <c r="P50"/>
      <c r="Q50" s="112" t="s">
        <v>1360</v>
      </c>
      <c r="R50" s="107">
        <v>90914.851248634877</v>
      </c>
      <c r="S50" s="107">
        <v>84804.989963443048</v>
      </c>
      <c r="T50" s="107">
        <v>91905.734711964673</v>
      </c>
      <c r="U50" s="107">
        <v>118454.80857766343</v>
      </c>
      <c r="V50" s="107">
        <v>103523.10582211745</v>
      </c>
      <c r="W50" s="107">
        <v>84604.514398672705</v>
      </c>
      <c r="X50" s="107">
        <v>76135.411605250483</v>
      </c>
      <c r="Y50" s="107">
        <v>90393.407780563837</v>
      </c>
      <c r="Z50" s="107">
        <v>88043.695472928637</v>
      </c>
      <c r="AA50" s="107">
        <v>89225.050693582889</v>
      </c>
      <c r="AB50" s="107">
        <v>88790.189492234713</v>
      </c>
      <c r="AC50" s="92">
        <f t="shared" si="4"/>
        <v>489603.49032382353</v>
      </c>
      <c r="AD50" s="119" t="str">
        <f t="shared" si="5"/>
        <v>Endeavour</v>
      </c>
      <c r="AE50"/>
      <c r="AF50"/>
      <c r="AG50"/>
      <c r="AH50"/>
      <c r="AI50"/>
      <c r="AJ50"/>
      <c r="AK50"/>
      <c r="AL50"/>
      <c r="AM50"/>
      <c r="AN50"/>
    </row>
    <row r="51" spans="1:40" hidden="1">
      <c r="A51" s="364"/>
      <c r="B51" s="101" t="s">
        <v>1369</v>
      </c>
      <c r="C51" s="100">
        <v>259328.01994960121</v>
      </c>
      <c r="D51" s="100">
        <v>256263.99999999997</v>
      </c>
      <c r="E51" s="100">
        <v>274747.36320469243</v>
      </c>
      <c r="F51" s="100">
        <v>288759.85798981087</v>
      </c>
      <c r="G51" s="100">
        <v>271586.27373226883</v>
      </c>
      <c r="H51" s="100">
        <v>320452.85195218067</v>
      </c>
      <c r="I51" s="100"/>
      <c r="J51" s="100"/>
      <c r="K51" s="100"/>
      <c r="L51" s="100"/>
      <c r="M51" s="100"/>
      <c r="N51" s="92">
        <f t="shared" si="2"/>
        <v>1350685.5148763731</v>
      </c>
      <c r="O51" s="92">
        <f t="shared" si="3"/>
        <v>0</v>
      </c>
      <c r="P51"/>
      <c r="Q51" s="101" t="s">
        <v>1361</v>
      </c>
      <c r="R51" s="100">
        <v>483308.99999999994</v>
      </c>
      <c r="S51" s="100">
        <v>445724</v>
      </c>
      <c r="T51" s="100">
        <v>538929.0200610091</v>
      </c>
      <c r="U51" s="100">
        <v>680492.26489242399</v>
      </c>
      <c r="V51" s="100">
        <v>633876.64285214234</v>
      </c>
      <c r="W51" s="100">
        <v>620859.0545232133</v>
      </c>
      <c r="X51" s="100">
        <v>493359.66900056595</v>
      </c>
      <c r="Y51" s="100">
        <v>421566.3167976134</v>
      </c>
      <c r="Z51" s="100">
        <v>374692.15073804621</v>
      </c>
      <c r="AA51" s="100">
        <v>386092.37864928856</v>
      </c>
      <c r="AB51" s="100">
        <v>372454.06548685918</v>
      </c>
      <c r="AC51" s="92">
        <f t="shared" si="4"/>
        <v>2782330.9278055755</v>
      </c>
      <c r="AD51" s="119" t="str">
        <f t="shared" si="5"/>
        <v>Endeavour</v>
      </c>
      <c r="AE51"/>
      <c r="AF51"/>
      <c r="AG51"/>
      <c r="AH51"/>
      <c r="AI51"/>
      <c r="AJ51"/>
      <c r="AK51"/>
      <c r="AL51"/>
      <c r="AM51"/>
      <c r="AN51"/>
    </row>
    <row r="52" spans="1:40" hidden="1">
      <c r="A52" s="365"/>
      <c r="B52" s="112"/>
      <c r="C52" s="107"/>
      <c r="D52" s="107"/>
      <c r="E52" s="107"/>
      <c r="F52" s="107"/>
      <c r="G52" s="107"/>
      <c r="H52" s="107"/>
      <c r="I52" s="107"/>
      <c r="J52" s="107"/>
      <c r="K52" s="107"/>
      <c r="L52" s="107"/>
      <c r="M52" s="107"/>
      <c r="N52" s="92">
        <f t="shared" si="2"/>
        <v>0</v>
      </c>
      <c r="O52" s="92">
        <f t="shared" si="3"/>
        <v>0</v>
      </c>
      <c r="P52"/>
      <c r="Q52" s="112" t="s">
        <v>1362</v>
      </c>
      <c r="R52" s="107">
        <v>56032</v>
      </c>
      <c r="S52" s="107">
        <v>44127</v>
      </c>
      <c r="T52" s="107">
        <v>50798.301609999988</v>
      </c>
      <c r="U52" s="107">
        <v>62378.46489000001</v>
      </c>
      <c r="V52" s="107">
        <v>67218.974019999994</v>
      </c>
      <c r="W52" s="107">
        <v>67716.976172343697</v>
      </c>
      <c r="X52" s="107">
        <v>60419.425963338595</v>
      </c>
      <c r="Y52" s="107">
        <v>60419.425963338595</v>
      </c>
      <c r="Z52" s="107">
        <v>60419.425963338595</v>
      </c>
      <c r="AA52" s="107">
        <v>60419.425963338595</v>
      </c>
      <c r="AB52" s="107">
        <v>60419.425963338595</v>
      </c>
      <c r="AC52" s="92">
        <f t="shared" si="4"/>
        <v>280554.74051999999</v>
      </c>
      <c r="AD52" s="119" t="str">
        <f t="shared" si="5"/>
        <v>Endeavour</v>
      </c>
      <c r="AE52"/>
      <c r="AF52"/>
      <c r="AG52"/>
      <c r="AH52"/>
      <c r="AI52"/>
      <c r="AJ52"/>
      <c r="AK52"/>
      <c r="AL52"/>
      <c r="AM52"/>
      <c r="AN52"/>
    </row>
    <row r="53" spans="1:40">
      <c r="A53" s="374" t="s">
        <v>574</v>
      </c>
      <c r="B53" s="327" t="s">
        <v>1364</v>
      </c>
      <c r="C53" s="328">
        <v>34107.53</v>
      </c>
      <c r="D53" s="328">
        <v>34107.53</v>
      </c>
      <c r="E53" s="328">
        <v>39594.74</v>
      </c>
      <c r="F53" s="328">
        <v>35694.54</v>
      </c>
      <c r="G53" s="328">
        <v>36503.33</v>
      </c>
      <c r="H53" s="328">
        <v>37738.480000000003</v>
      </c>
      <c r="I53" s="328"/>
      <c r="J53" s="328"/>
      <c r="K53" s="328"/>
      <c r="L53" s="328"/>
      <c r="M53" s="328"/>
      <c r="N53" s="318">
        <f t="shared" si="2"/>
        <v>180007.66999999998</v>
      </c>
      <c r="O53" s="318">
        <f t="shared" si="3"/>
        <v>0</v>
      </c>
      <c r="Q53" s="327" t="s">
        <v>1354</v>
      </c>
      <c r="R53" s="328">
        <v>430109.49</v>
      </c>
      <c r="S53" s="328">
        <v>512662.21</v>
      </c>
      <c r="T53" s="328">
        <v>594224.56999999995</v>
      </c>
      <c r="U53" s="328">
        <v>725994.7</v>
      </c>
      <c r="V53" s="328">
        <v>593187.28</v>
      </c>
      <c r="W53" s="328">
        <v>482908.23</v>
      </c>
      <c r="X53" s="328">
        <v>691144.2</v>
      </c>
      <c r="Y53" s="328">
        <v>704060.36</v>
      </c>
      <c r="Z53" s="328">
        <v>610546.35</v>
      </c>
      <c r="AA53" s="328">
        <v>574214.68000000005</v>
      </c>
      <c r="AB53" s="328">
        <v>526631.84</v>
      </c>
      <c r="AC53" s="318">
        <f t="shared" si="4"/>
        <v>2856178.25</v>
      </c>
      <c r="AD53" s="29" t="str">
        <f t="shared" si="5"/>
        <v>Ausgrid</v>
      </c>
    </row>
    <row r="54" spans="1:40" hidden="1">
      <c r="A54" s="375"/>
      <c r="B54" s="105" t="s">
        <v>1365</v>
      </c>
      <c r="C54" s="104">
        <v>53738.83</v>
      </c>
      <c r="D54" s="104">
        <v>65036.92</v>
      </c>
      <c r="E54" s="104">
        <v>70482.559999999998</v>
      </c>
      <c r="F54" s="104">
        <v>69640.53</v>
      </c>
      <c r="G54" s="104">
        <v>67811.759999999995</v>
      </c>
      <c r="H54" s="104">
        <v>76693.33</v>
      </c>
      <c r="I54" s="104"/>
      <c r="J54" s="104"/>
      <c r="K54" s="104"/>
      <c r="L54" s="104"/>
      <c r="M54" s="104"/>
      <c r="N54" s="92">
        <f t="shared" si="2"/>
        <v>326710.59999999998</v>
      </c>
      <c r="O54" s="92">
        <f t="shared" si="3"/>
        <v>0</v>
      </c>
      <c r="P54"/>
      <c r="Q54" s="105" t="s">
        <v>1355</v>
      </c>
      <c r="R54" s="104">
        <v>66032.72</v>
      </c>
      <c r="S54" s="104">
        <v>62562.62</v>
      </c>
      <c r="T54" s="104">
        <v>82094.16</v>
      </c>
      <c r="U54" s="104">
        <v>83275.69</v>
      </c>
      <c r="V54" s="104">
        <v>85991.23</v>
      </c>
      <c r="W54" s="104">
        <v>82002.3</v>
      </c>
      <c r="X54" s="104">
        <v>28474.78</v>
      </c>
      <c r="Y54" s="104">
        <v>32016.1</v>
      </c>
      <c r="Z54" s="104">
        <v>35550.33</v>
      </c>
      <c r="AA54" s="104">
        <v>35204.47</v>
      </c>
      <c r="AB54" s="104">
        <v>33280.19</v>
      </c>
      <c r="AC54" s="92">
        <f t="shared" si="4"/>
        <v>379956.42</v>
      </c>
      <c r="AD54" s="119" t="str">
        <f t="shared" si="5"/>
        <v>Ausgrid</v>
      </c>
      <c r="AE54"/>
      <c r="AF54"/>
      <c r="AG54"/>
      <c r="AH54"/>
      <c r="AI54"/>
      <c r="AJ54"/>
      <c r="AK54"/>
      <c r="AL54"/>
      <c r="AM54"/>
      <c r="AN54"/>
    </row>
    <row r="55" spans="1:40" hidden="1">
      <c r="A55" s="375"/>
      <c r="B55" s="105" t="s">
        <v>1366</v>
      </c>
      <c r="C55" s="104">
        <v>29830.880000000001</v>
      </c>
      <c r="D55" s="104">
        <v>34141.629999999997</v>
      </c>
      <c r="E55" s="104">
        <v>34961.33</v>
      </c>
      <c r="F55" s="104">
        <v>34794.81</v>
      </c>
      <c r="G55" s="104">
        <v>37049.040000000001</v>
      </c>
      <c r="H55" s="104">
        <v>38435.879999999997</v>
      </c>
      <c r="I55" s="104"/>
      <c r="J55" s="104"/>
      <c r="K55" s="104"/>
      <c r="L55" s="104"/>
      <c r="M55" s="104"/>
      <c r="N55" s="92">
        <f t="shared" si="2"/>
        <v>170777.69</v>
      </c>
      <c r="O55" s="92">
        <f t="shared" si="3"/>
        <v>0</v>
      </c>
      <c r="P55"/>
      <c r="Q55" s="105" t="s">
        <v>1356</v>
      </c>
      <c r="R55" s="104">
        <v>578729.63</v>
      </c>
      <c r="S55" s="104">
        <v>462586.46</v>
      </c>
      <c r="T55" s="104">
        <v>512442.68</v>
      </c>
      <c r="U55" s="104">
        <v>506692.03</v>
      </c>
      <c r="V55" s="104">
        <v>354543.2</v>
      </c>
      <c r="W55" s="104">
        <v>275673.76</v>
      </c>
      <c r="X55" s="104">
        <v>121761.62</v>
      </c>
      <c r="Y55" s="104">
        <v>90690.94</v>
      </c>
      <c r="Z55" s="104">
        <v>85415.11</v>
      </c>
      <c r="AA55" s="104">
        <v>91482.36</v>
      </c>
      <c r="AB55" s="104">
        <v>100183.42</v>
      </c>
      <c r="AC55" s="92">
        <f t="shared" si="4"/>
        <v>2414994</v>
      </c>
      <c r="AD55" s="119" t="str">
        <f t="shared" si="5"/>
        <v>Ausgrid</v>
      </c>
      <c r="AE55"/>
      <c r="AF55"/>
      <c r="AG55"/>
      <c r="AH55"/>
      <c r="AI55"/>
      <c r="AJ55"/>
      <c r="AK55"/>
      <c r="AL55"/>
      <c r="AM55"/>
      <c r="AN55"/>
    </row>
    <row r="56" spans="1:40" hidden="1">
      <c r="A56" s="375"/>
      <c r="B56" s="105" t="s">
        <v>1357</v>
      </c>
      <c r="C56" s="104">
        <v>52832.44</v>
      </c>
      <c r="D56" s="104">
        <v>72296.59</v>
      </c>
      <c r="E56" s="104">
        <v>79195.259999999995</v>
      </c>
      <c r="F56" s="104">
        <v>82156.320000000007</v>
      </c>
      <c r="G56" s="104">
        <v>82865.64</v>
      </c>
      <c r="H56" s="104">
        <v>86780.03</v>
      </c>
      <c r="I56" s="104"/>
      <c r="J56" s="104"/>
      <c r="K56" s="104"/>
      <c r="L56" s="104"/>
      <c r="M56" s="104"/>
      <c r="N56" s="92">
        <f t="shared" si="2"/>
        <v>369346.25</v>
      </c>
      <c r="O56" s="92">
        <f t="shared" si="3"/>
        <v>0</v>
      </c>
      <c r="P56"/>
      <c r="Q56" s="105" t="s">
        <v>1357</v>
      </c>
      <c r="R56" s="104">
        <v>209816.47</v>
      </c>
      <c r="S56" s="104">
        <v>180982.39</v>
      </c>
      <c r="T56" s="104">
        <v>150639.29</v>
      </c>
      <c r="U56" s="104">
        <v>122461.95</v>
      </c>
      <c r="V56" s="104">
        <v>69994.320000000007</v>
      </c>
      <c r="W56" s="104">
        <v>135898</v>
      </c>
      <c r="X56" s="104">
        <v>113162.26</v>
      </c>
      <c r="Y56" s="104">
        <v>137186.66</v>
      </c>
      <c r="Z56" s="104">
        <v>130947.14</v>
      </c>
      <c r="AA56" s="104">
        <v>115059.05</v>
      </c>
      <c r="AB56" s="104">
        <v>78667.23</v>
      </c>
      <c r="AC56" s="92">
        <f t="shared" si="4"/>
        <v>733894.41999999993</v>
      </c>
      <c r="AD56" s="119" t="str">
        <f t="shared" si="5"/>
        <v>Ausgrid</v>
      </c>
      <c r="AE56"/>
      <c r="AF56"/>
      <c r="AG56"/>
      <c r="AH56"/>
      <c r="AI56"/>
      <c r="AJ56"/>
      <c r="AK56"/>
      <c r="AL56"/>
      <c r="AM56"/>
      <c r="AN56"/>
    </row>
    <row r="57" spans="1:40" hidden="1">
      <c r="A57" s="375"/>
      <c r="B57" s="105" t="s">
        <v>1367</v>
      </c>
      <c r="C57" s="104">
        <v>202374.3</v>
      </c>
      <c r="D57" s="104">
        <v>259309.93</v>
      </c>
      <c r="E57" s="104">
        <v>278780.06</v>
      </c>
      <c r="F57" s="104">
        <v>326852.28999999998</v>
      </c>
      <c r="G57" s="104">
        <v>253279.69</v>
      </c>
      <c r="H57" s="104">
        <v>243285.73</v>
      </c>
      <c r="I57" s="104"/>
      <c r="J57" s="104"/>
      <c r="K57" s="104"/>
      <c r="L57" s="104"/>
      <c r="M57" s="104"/>
      <c r="N57" s="92">
        <f t="shared" si="2"/>
        <v>1320596.27</v>
      </c>
      <c r="O57" s="92">
        <f t="shared" si="3"/>
        <v>0</v>
      </c>
      <c r="P57"/>
      <c r="Q57" s="105" t="s">
        <v>1358</v>
      </c>
      <c r="R57" s="104">
        <v>113358.6</v>
      </c>
      <c r="S57" s="104">
        <v>159704.67000000001</v>
      </c>
      <c r="T57" s="104">
        <v>188373.37</v>
      </c>
      <c r="U57" s="104">
        <v>193887.34</v>
      </c>
      <c r="V57" s="104">
        <v>186088.87</v>
      </c>
      <c r="W57" s="104">
        <v>154937.41</v>
      </c>
      <c r="X57" s="104">
        <v>146123.82999999999</v>
      </c>
      <c r="Y57" s="104">
        <v>142281.12</v>
      </c>
      <c r="Z57" s="104">
        <v>123775.48</v>
      </c>
      <c r="AA57" s="104">
        <v>117592.48</v>
      </c>
      <c r="AB57" s="104">
        <v>108895.84</v>
      </c>
      <c r="AC57" s="92">
        <f t="shared" si="4"/>
        <v>841412.85</v>
      </c>
      <c r="AD57" s="119" t="str">
        <f t="shared" si="5"/>
        <v>Ausgrid</v>
      </c>
      <c r="AE57"/>
      <c r="AF57"/>
      <c r="AG57"/>
      <c r="AH57"/>
      <c r="AI57"/>
      <c r="AJ57"/>
      <c r="AK57"/>
      <c r="AL57"/>
      <c r="AM57"/>
      <c r="AN57"/>
    </row>
    <row r="58" spans="1:40" hidden="1">
      <c r="A58" s="375"/>
      <c r="B58" s="105" t="s">
        <v>1368</v>
      </c>
      <c r="C58" s="104">
        <v>122159.26</v>
      </c>
      <c r="D58" s="104">
        <v>118641.07</v>
      </c>
      <c r="E58" s="104">
        <v>89836.67</v>
      </c>
      <c r="F58" s="104">
        <v>99978.39</v>
      </c>
      <c r="G58" s="104">
        <v>58718.67</v>
      </c>
      <c r="H58" s="104">
        <v>118522.24000000001</v>
      </c>
      <c r="I58" s="104"/>
      <c r="J58" s="104"/>
      <c r="K58" s="104"/>
      <c r="L58" s="104"/>
      <c r="M58" s="104"/>
      <c r="N58" s="92">
        <f t="shared" si="2"/>
        <v>489334.06</v>
      </c>
      <c r="O58" s="92">
        <f t="shared" si="3"/>
        <v>0</v>
      </c>
      <c r="P58"/>
      <c r="Q58" s="105" t="s">
        <v>1359</v>
      </c>
      <c r="R58" s="104">
        <v>25180.53</v>
      </c>
      <c r="S58" s="104">
        <v>28020.29</v>
      </c>
      <c r="T58" s="104">
        <v>35287.870000000003</v>
      </c>
      <c r="U58" s="104">
        <v>34921.4</v>
      </c>
      <c r="V58" s="104">
        <v>26386.68</v>
      </c>
      <c r="W58" s="104">
        <v>22200.47</v>
      </c>
      <c r="X58" s="104">
        <v>20719.8</v>
      </c>
      <c r="Y58" s="104">
        <v>20174.91</v>
      </c>
      <c r="Z58" s="104">
        <v>17550.89</v>
      </c>
      <c r="AA58" s="104">
        <v>16674.16</v>
      </c>
      <c r="AB58" s="104">
        <v>15441.01</v>
      </c>
      <c r="AC58" s="92">
        <f t="shared" si="4"/>
        <v>149796.76999999999</v>
      </c>
      <c r="AD58" s="119" t="str">
        <f t="shared" si="5"/>
        <v>Ausgrid</v>
      </c>
      <c r="AE58"/>
      <c r="AF58"/>
      <c r="AG58"/>
      <c r="AH58"/>
      <c r="AI58"/>
      <c r="AJ58"/>
      <c r="AK58"/>
      <c r="AL58"/>
      <c r="AM58"/>
      <c r="AN58"/>
    </row>
    <row r="59" spans="1:40" hidden="1">
      <c r="A59" s="375"/>
      <c r="B59" s="105" t="s">
        <v>1360</v>
      </c>
      <c r="C59" s="104">
        <v>-17903.689999999999</v>
      </c>
      <c r="D59" s="104">
        <v>-44750.559999999998</v>
      </c>
      <c r="E59" s="104">
        <v>-58088.34</v>
      </c>
      <c r="F59" s="104">
        <v>-40692.25</v>
      </c>
      <c r="G59" s="104">
        <v>-32645.83</v>
      </c>
      <c r="H59" s="104">
        <v>-9455.69</v>
      </c>
      <c r="I59" s="104"/>
      <c r="J59" s="104"/>
      <c r="K59" s="104"/>
      <c r="L59" s="104"/>
      <c r="M59" s="104"/>
      <c r="N59" s="92">
        <f t="shared" si="2"/>
        <v>-194080.66999999998</v>
      </c>
      <c r="O59" s="92">
        <f t="shared" si="3"/>
        <v>0</v>
      </c>
      <c r="P59"/>
      <c r="Q59" s="105" t="s">
        <v>1360</v>
      </c>
      <c r="R59" s="104">
        <v>-140027.1</v>
      </c>
      <c r="S59" s="104">
        <v>-86712.73</v>
      </c>
      <c r="T59" s="104">
        <v>19462.12</v>
      </c>
      <c r="U59" s="104">
        <v>61405.82</v>
      </c>
      <c r="V59" s="104">
        <v>-28045.1</v>
      </c>
      <c r="W59" s="104">
        <v>-226752.67</v>
      </c>
      <c r="X59" s="104">
        <v>-21070.48</v>
      </c>
      <c r="Y59" s="104">
        <v>-37645.160000000003</v>
      </c>
      <c r="Z59" s="104">
        <v>-28633.56</v>
      </c>
      <c r="AA59" s="104">
        <v>-29275.69</v>
      </c>
      <c r="AB59" s="104">
        <v>-5015.43</v>
      </c>
      <c r="AC59" s="92">
        <f t="shared" si="4"/>
        <v>-173916.99000000002</v>
      </c>
      <c r="AD59" s="119" t="str">
        <f t="shared" si="5"/>
        <v>Ausgrid</v>
      </c>
      <c r="AE59"/>
      <c r="AF59"/>
      <c r="AG59"/>
      <c r="AH59"/>
      <c r="AI59"/>
      <c r="AJ59"/>
      <c r="AK59"/>
      <c r="AL59"/>
      <c r="AM59"/>
      <c r="AN59"/>
    </row>
    <row r="60" spans="1:40" hidden="1">
      <c r="A60" s="375"/>
      <c r="B60" s="103" t="s">
        <v>1369</v>
      </c>
      <c r="C60" s="102">
        <v>477139.55</v>
      </c>
      <c r="D60" s="102">
        <v>538783.11</v>
      </c>
      <c r="E60" s="102">
        <v>534762.27</v>
      </c>
      <c r="F60" s="102">
        <v>608424.63</v>
      </c>
      <c r="G60" s="102">
        <v>503582.3</v>
      </c>
      <c r="H60" s="102">
        <v>592000</v>
      </c>
      <c r="I60" s="102"/>
      <c r="J60" s="102"/>
      <c r="K60" s="102"/>
      <c r="L60" s="102"/>
      <c r="M60" s="102"/>
      <c r="N60" s="92">
        <f t="shared" si="2"/>
        <v>2662691.86</v>
      </c>
      <c r="O60" s="92">
        <f t="shared" si="3"/>
        <v>0</v>
      </c>
      <c r="P60"/>
      <c r="Q60" s="103" t="s">
        <v>1361</v>
      </c>
      <c r="R60" s="102">
        <v>1283200.3400000001</v>
      </c>
      <c r="S60" s="102">
        <v>1319805.8899999999</v>
      </c>
      <c r="T60" s="102">
        <v>1582524.06</v>
      </c>
      <c r="U60" s="102">
        <v>1728638.93</v>
      </c>
      <c r="V60" s="102">
        <v>1288146.49</v>
      </c>
      <c r="W60" s="102">
        <v>926867.5</v>
      </c>
      <c r="X60" s="102">
        <v>1100316.01</v>
      </c>
      <c r="Y60" s="102">
        <v>1088764.95</v>
      </c>
      <c r="Z60" s="102">
        <v>975151.73</v>
      </c>
      <c r="AA60" s="102">
        <v>920951.51</v>
      </c>
      <c r="AB60" s="102">
        <v>858084.1</v>
      </c>
      <c r="AC60" s="92">
        <f t="shared" si="4"/>
        <v>7202315.71</v>
      </c>
      <c r="AD60" s="119" t="str">
        <f t="shared" si="5"/>
        <v>Ausgrid</v>
      </c>
      <c r="AE60"/>
      <c r="AF60"/>
      <c r="AG60"/>
      <c r="AH60"/>
      <c r="AI60"/>
      <c r="AJ60"/>
      <c r="AK60"/>
      <c r="AL60"/>
      <c r="AM60"/>
      <c r="AN60"/>
    </row>
    <row r="61" spans="1:40" hidden="1">
      <c r="A61" s="375"/>
      <c r="B61" s="105"/>
      <c r="C61" s="104"/>
      <c r="D61" s="104"/>
      <c r="E61" s="104"/>
      <c r="F61" s="104"/>
      <c r="G61" s="104"/>
      <c r="H61" s="104"/>
      <c r="I61" s="104"/>
      <c r="J61" s="104"/>
      <c r="K61" s="104"/>
      <c r="L61" s="104"/>
      <c r="M61" s="104"/>
      <c r="N61" s="92">
        <f t="shared" si="2"/>
        <v>0</v>
      </c>
      <c r="O61" s="92">
        <f t="shared" si="3"/>
        <v>0</v>
      </c>
      <c r="P61"/>
      <c r="Q61" s="105" t="s">
        <v>1362</v>
      </c>
      <c r="R61" s="104">
        <v>48286.92</v>
      </c>
      <c r="S61" s="104">
        <v>43936.84</v>
      </c>
      <c r="T61" s="104">
        <v>74196.22</v>
      </c>
      <c r="U61" s="104">
        <v>77882.37</v>
      </c>
      <c r="V61" s="104">
        <v>74071.75</v>
      </c>
      <c r="W61" s="104">
        <v>56700</v>
      </c>
      <c r="X61" s="104">
        <v>88795.8</v>
      </c>
      <c r="Y61" s="104">
        <v>103895.73</v>
      </c>
      <c r="Z61" s="104">
        <v>118367.46</v>
      </c>
      <c r="AA61" s="104">
        <v>106914.12</v>
      </c>
      <c r="AB61" s="104">
        <v>104316.91</v>
      </c>
      <c r="AC61" s="92">
        <f t="shared" si="4"/>
        <v>318374.09999999998</v>
      </c>
      <c r="AD61" s="119" t="str">
        <f t="shared" si="5"/>
        <v>Ausgrid</v>
      </c>
      <c r="AE61"/>
      <c r="AF61"/>
      <c r="AG61"/>
      <c r="AH61"/>
      <c r="AI61"/>
      <c r="AJ61"/>
      <c r="AK61"/>
      <c r="AL61"/>
      <c r="AM61"/>
      <c r="AN61"/>
    </row>
    <row r="62" spans="1:40">
      <c r="A62" s="355" t="s">
        <v>310</v>
      </c>
      <c r="B62" s="321" t="s">
        <v>1364</v>
      </c>
      <c r="C62" s="322">
        <v>14000.9</v>
      </c>
      <c r="D62" s="322">
        <v>9958.7000000000007</v>
      </c>
      <c r="E62" s="322">
        <v>26900.9</v>
      </c>
      <c r="F62" s="322">
        <v>40519.599999999999</v>
      </c>
      <c r="G62" s="322">
        <v>45143.6</v>
      </c>
      <c r="H62" s="322"/>
      <c r="I62" s="322"/>
      <c r="J62" s="322"/>
      <c r="K62" s="322"/>
      <c r="L62" s="322"/>
      <c r="M62" s="322"/>
      <c r="N62" s="318">
        <f t="shared" si="2"/>
        <v>136523.70000000001</v>
      </c>
      <c r="O62" s="318">
        <f t="shared" si="3"/>
        <v>0</v>
      </c>
      <c r="Q62" s="321" t="s">
        <v>1354</v>
      </c>
      <c r="R62" s="322">
        <v>46286.8</v>
      </c>
      <c r="S62" s="322">
        <v>53570.6</v>
      </c>
      <c r="T62" s="322">
        <v>65627.8</v>
      </c>
      <c r="U62" s="322">
        <v>81390.600000000006</v>
      </c>
      <c r="V62" s="322">
        <v>91666</v>
      </c>
      <c r="W62" s="322"/>
      <c r="X62" s="322"/>
      <c r="Y62" s="322"/>
      <c r="Z62" s="322"/>
      <c r="AA62" s="322"/>
      <c r="AB62" s="322"/>
      <c r="AC62" s="318">
        <f t="shared" si="4"/>
        <v>338541.80000000005</v>
      </c>
      <c r="AD62" s="29" t="str">
        <f t="shared" si="5"/>
        <v>Powercor</v>
      </c>
    </row>
    <row r="63" spans="1:40" hidden="1">
      <c r="A63" s="356"/>
      <c r="B63" s="114" t="s">
        <v>1365</v>
      </c>
      <c r="C63" s="115">
        <v>33329.9</v>
      </c>
      <c r="D63" s="115">
        <v>39839.5</v>
      </c>
      <c r="E63" s="115">
        <v>38238.1</v>
      </c>
      <c r="F63" s="115">
        <v>39919.800000000003</v>
      </c>
      <c r="G63" s="115">
        <v>47296.6</v>
      </c>
      <c r="H63" s="115"/>
      <c r="I63" s="115"/>
      <c r="J63" s="115"/>
      <c r="K63" s="115"/>
      <c r="L63" s="115"/>
      <c r="M63" s="115"/>
      <c r="N63" s="92">
        <f t="shared" si="2"/>
        <v>198623.9</v>
      </c>
      <c r="O63" s="92">
        <f t="shared" si="3"/>
        <v>0</v>
      </c>
      <c r="P63"/>
      <c r="Q63" s="114" t="s">
        <v>1355</v>
      </c>
      <c r="R63" s="115">
        <v>72135.199999999997</v>
      </c>
      <c r="S63" s="115">
        <v>85851.3</v>
      </c>
      <c r="T63" s="115">
        <v>86849</v>
      </c>
      <c r="U63" s="115">
        <v>82847.7</v>
      </c>
      <c r="V63" s="115">
        <v>89564.800000000003</v>
      </c>
      <c r="W63" s="115"/>
      <c r="X63" s="115"/>
      <c r="Y63" s="115"/>
      <c r="Z63" s="115"/>
      <c r="AA63" s="115"/>
      <c r="AB63" s="115"/>
      <c r="AC63" s="92">
        <f t="shared" si="4"/>
        <v>417248</v>
      </c>
      <c r="AD63" s="119" t="str">
        <f t="shared" si="5"/>
        <v>Powercor</v>
      </c>
      <c r="AE63"/>
      <c r="AF63"/>
      <c r="AG63"/>
      <c r="AH63"/>
      <c r="AI63"/>
      <c r="AJ63"/>
      <c r="AK63"/>
      <c r="AL63"/>
      <c r="AM63"/>
      <c r="AN63"/>
    </row>
    <row r="64" spans="1:40" hidden="1">
      <c r="A64" s="356"/>
      <c r="B64" s="114" t="s">
        <v>1366</v>
      </c>
      <c r="C64" s="115">
        <v>16209.5</v>
      </c>
      <c r="D64" s="115">
        <v>16780.400000000001</v>
      </c>
      <c r="E64" s="115">
        <v>18764.2</v>
      </c>
      <c r="F64" s="115">
        <v>20140.2</v>
      </c>
      <c r="G64" s="115">
        <v>21240.1</v>
      </c>
      <c r="H64" s="115"/>
      <c r="I64" s="115"/>
      <c r="J64" s="115"/>
      <c r="K64" s="115"/>
      <c r="L64" s="115"/>
      <c r="M64" s="115"/>
      <c r="N64" s="92">
        <f t="shared" si="2"/>
        <v>93134.399999999994</v>
      </c>
      <c r="O64" s="92">
        <f t="shared" si="3"/>
        <v>0</v>
      </c>
      <c r="P64"/>
      <c r="Q64" s="114" t="s">
        <v>1356</v>
      </c>
      <c r="R64" s="115">
        <v>27615.1</v>
      </c>
      <c r="S64" s="115">
        <v>24846.6</v>
      </c>
      <c r="T64" s="115">
        <v>32039.599999999999</v>
      </c>
      <c r="U64" s="115">
        <v>34530.9</v>
      </c>
      <c r="V64" s="115">
        <v>44143.6</v>
      </c>
      <c r="W64" s="115"/>
      <c r="X64" s="115"/>
      <c r="Y64" s="115"/>
      <c r="Z64" s="115"/>
      <c r="AA64" s="115"/>
      <c r="AB64" s="115"/>
      <c r="AC64" s="92">
        <f t="shared" si="4"/>
        <v>163175.79999999999</v>
      </c>
      <c r="AD64" s="119" t="str">
        <f t="shared" si="5"/>
        <v>Powercor</v>
      </c>
      <c r="AE64"/>
      <c r="AF64"/>
      <c r="AG64"/>
      <c r="AH64"/>
      <c r="AI64"/>
      <c r="AJ64"/>
      <c r="AK64"/>
      <c r="AL64"/>
      <c r="AM64"/>
      <c r="AN64"/>
    </row>
    <row r="65" spans="1:40" hidden="1">
      <c r="A65" s="356"/>
      <c r="B65" s="114" t="s">
        <v>1357</v>
      </c>
      <c r="C65" s="115" t="s">
        <v>1371</v>
      </c>
      <c r="D65" s="115" t="s">
        <v>1371</v>
      </c>
      <c r="E65" s="115" t="s">
        <v>1371</v>
      </c>
      <c r="F65" s="115" t="s">
        <v>1371</v>
      </c>
      <c r="G65" s="115" t="s">
        <v>1371</v>
      </c>
      <c r="H65" s="115"/>
      <c r="I65" s="115"/>
      <c r="J65" s="115"/>
      <c r="K65" s="115"/>
      <c r="L65" s="115"/>
      <c r="M65" s="115"/>
      <c r="N65" s="92">
        <f t="shared" si="2"/>
        <v>0</v>
      </c>
      <c r="O65" s="92">
        <f t="shared" si="3"/>
        <v>0</v>
      </c>
      <c r="P65"/>
      <c r="Q65" s="114" t="s">
        <v>1357</v>
      </c>
      <c r="R65" s="115">
        <v>15603.6</v>
      </c>
      <c r="S65" s="115">
        <v>22982.6</v>
      </c>
      <c r="T65" s="115">
        <v>33493.1</v>
      </c>
      <c r="U65" s="115">
        <v>22039.7</v>
      </c>
      <c r="V65" s="115">
        <v>24408.3</v>
      </c>
      <c r="W65" s="115"/>
      <c r="X65" s="115"/>
      <c r="Y65" s="115"/>
      <c r="Z65" s="115"/>
      <c r="AA65" s="115"/>
      <c r="AB65" s="115"/>
      <c r="AC65" s="92">
        <f t="shared" si="4"/>
        <v>118527.29999999999</v>
      </c>
      <c r="AD65" s="119" t="str">
        <f t="shared" si="5"/>
        <v>Powercor</v>
      </c>
      <c r="AE65"/>
      <c r="AF65"/>
      <c r="AG65"/>
      <c r="AH65"/>
      <c r="AI65"/>
      <c r="AJ65"/>
      <c r="AK65"/>
      <c r="AL65"/>
      <c r="AM65"/>
      <c r="AN65"/>
    </row>
    <row r="66" spans="1:40" hidden="1">
      <c r="A66" s="356"/>
      <c r="B66" s="114" t="s">
        <v>1367</v>
      </c>
      <c r="C66" s="115">
        <v>45046.400000000001</v>
      </c>
      <c r="D66" s="115">
        <v>46426</v>
      </c>
      <c r="E66" s="115">
        <v>39318.5</v>
      </c>
      <c r="F66" s="115">
        <v>45716</v>
      </c>
      <c r="G66" s="115">
        <v>44579.4</v>
      </c>
      <c r="H66" s="115"/>
      <c r="I66" s="115"/>
      <c r="J66" s="115"/>
      <c r="K66" s="115"/>
      <c r="L66" s="115"/>
      <c r="M66" s="115"/>
      <c r="N66" s="92">
        <f t="shared" si="2"/>
        <v>221086.3</v>
      </c>
      <c r="O66" s="92">
        <f t="shared" si="3"/>
        <v>0</v>
      </c>
      <c r="P66"/>
      <c r="Q66" s="114" t="s">
        <v>1358</v>
      </c>
      <c r="R66" s="115">
        <v>18214.599999999999</v>
      </c>
      <c r="S66" s="115">
        <v>20551.7</v>
      </c>
      <c r="T66" s="115">
        <v>26601.5</v>
      </c>
      <c r="U66" s="115">
        <v>28842.400000000001</v>
      </c>
      <c r="V66" s="115">
        <v>30175.4</v>
      </c>
      <c r="W66" s="115"/>
      <c r="X66" s="115"/>
      <c r="Y66" s="115"/>
      <c r="Z66" s="115"/>
      <c r="AA66" s="115"/>
      <c r="AB66" s="115"/>
      <c r="AC66" s="92">
        <f t="shared" si="4"/>
        <v>124385.60000000001</v>
      </c>
      <c r="AD66" s="119" t="str">
        <f t="shared" si="5"/>
        <v>Powercor</v>
      </c>
      <c r="AE66"/>
      <c r="AF66"/>
      <c r="AG66"/>
      <c r="AH66"/>
      <c r="AI66"/>
      <c r="AJ66"/>
      <c r="AK66"/>
      <c r="AL66"/>
      <c r="AM66"/>
      <c r="AN66"/>
    </row>
    <row r="67" spans="1:40" hidden="1">
      <c r="A67" s="356"/>
      <c r="B67" s="114" t="s">
        <v>1368</v>
      </c>
      <c r="C67" s="115">
        <v>22449.7</v>
      </c>
      <c r="D67" s="115">
        <v>17149.3</v>
      </c>
      <c r="E67" s="115">
        <v>17180.3</v>
      </c>
      <c r="F67" s="115">
        <v>25466.9</v>
      </c>
      <c r="G67" s="115">
        <v>30035.9</v>
      </c>
      <c r="H67" s="115"/>
      <c r="I67" s="115"/>
      <c r="J67" s="115"/>
      <c r="K67" s="115"/>
      <c r="L67" s="115"/>
      <c r="M67" s="115"/>
      <c r="N67" s="92">
        <f t="shared" si="2"/>
        <v>112282.1</v>
      </c>
      <c r="O67" s="92">
        <f t="shared" si="3"/>
        <v>0</v>
      </c>
      <c r="P67"/>
      <c r="Q67" s="114" t="s">
        <v>1359</v>
      </c>
      <c r="R67" s="115">
        <v>20819.900000000001</v>
      </c>
      <c r="S67" s="115">
        <v>25096.1</v>
      </c>
      <c r="T67" s="115">
        <v>21036.7</v>
      </c>
      <c r="U67" s="115">
        <v>26117.3</v>
      </c>
      <c r="V67" s="115">
        <v>27750.2</v>
      </c>
      <c r="W67" s="115"/>
      <c r="X67" s="115"/>
      <c r="Y67" s="115"/>
      <c r="Z67" s="115"/>
      <c r="AA67" s="115"/>
      <c r="AB67" s="115"/>
      <c r="AC67" s="92">
        <f t="shared" si="4"/>
        <v>120820.2</v>
      </c>
      <c r="AD67" s="119" t="str">
        <f t="shared" si="5"/>
        <v>Powercor</v>
      </c>
      <c r="AE67"/>
      <c r="AF67"/>
      <c r="AG67"/>
      <c r="AH67"/>
      <c r="AI67"/>
      <c r="AJ67"/>
      <c r="AK67"/>
      <c r="AL67"/>
      <c r="AM67"/>
      <c r="AN67"/>
    </row>
    <row r="68" spans="1:40" hidden="1">
      <c r="A68" s="356"/>
      <c r="B68" s="114" t="s">
        <v>1360</v>
      </c>
      <c r="C68" s="115"/>
      <c r="D68" s="115"/>
      <c r="E68" s="115"/>
      <c r="F68" s="115"/>
      <c r="G68" s="115"/>
      <c r="H68" s="115"/>
      <c r="I68" s="115"/>
      <c r="J68" s="115"/>
      <c r="K68" s="115"/>
      <c r="L68" s="115"/>
      <c r="M68" s="115"/>
      <c r="N68" s="92">
        <f t="shared" si="2"/>
        <v>0</v>
      </c>
      <c r="O68" s="92">
        <f t="shared" si="3"/>
        <v>0</v>
      </c>
      <c r="P68"/>
      <c r="Q68" s="114" t="s">
        <v>1360</v>
      </c>
      <c r="R68" s="115"/>
      <c r="S68" s="115"/>
      <c r="T68" s="115"/>
      <c r="U68" s="115"/>
      <c r="V68" s="115"/>
      <c r="W68" s="115"/>
      <c r="X68" s="115"/>
      <c r="Y68" s="115"/>
      <c r="Z68" s="115"/>
      <c r="AA68" s="115"/>
      <c r="AB68" s="115"/>
      <c r="AC68" s="92">
        <f t="shared" si="4"/>
        <v>0</v>
      </c>
      <c r="AD68" s="119" t="str">
        <f t="shared" si="5"/>
        <v>Powercor</v>
      </c>
      <c r="AE68"/>
      <c r="AF68"/>
      <c r="AG68"/>
      <c r="AH68"/>
      <c r="AI68"/>
      <c r="AJ68"/>
      <c r="AK68"/>
      <c r="AL68"/>
      <c r="AM68"/>
      <c r="AN68"/>
    </row>
    <row r="69" spans="1:40" hidden="1">
      <c r="A69" s="356"/>
      <c r="B69" s="114" t="s">
        <v>1369</v>
      </c>
      <c r="C69" s="115">
        <v>131036.36</v>
      </c>
      <c r="D69" s="115">
        <v>130153.98</v>
      </c>
      <c r="E69" s="115">
        <v>140401.94</v>
      </c>
      <c r="F69" s="115">
        <v>171762.62</v>
      </c>
      <c r="G69" s="115">
        <v>188295.64</v>
      </c>
      <c r="H69" s="115"/>
      <c r="I69" s="115"/>
      <c r="J69" s="115"/>
      <c r="K69" s="115"/>
      <c r="L69" s="115"/>
      <c r="M69" s="115"/>
      <c r="N69" s="92">
        <f t="shared" si="2"/>
        <v>761650.54</v>
      </c>
      <c r="O69" s="92">
        <f t="shared" si="3"/>
        <v>0</v>
      </c>
      <c r="P69"/>
      <c r="Q69" s="114" t="s">
        <v>1361</v>
      </c>
      <c r="R69" s="115">
        <v>200675.20000000001</v>
      </c>
      <c r="S69" s="115">
        <v>232898.97</v>
      </c>
      <c r="T69" s="115">
        <v>265647.76</v>
      </c>
      <c r="U69" s="115">
        <v>275768.65999999997</v>
      </c>
      <c r="V69" s="115">
        <v>307708.19</v>
      </c>
      <c r="W69" s="115"/>
      <c r="X69" s="115"/>
      <c r="Y69" s="115"/>
      <c r="Z69" s="115"/>
      <c r="AA69" s="115"/>
      <c r="AB69" s="115"/>
      <c r="AC69" s="92">
        <f t="shared" si="4"/>
        <v>1282698.78</v>
      </c>
      <c r="AD69" s="119" t="str">
        <f t="shared" si="5"/>
        <v>Powercor</v>
      </c>
      <c r="AE69"/>
      <c r="AF69"/>
      <c r="AG69"/>
      <c r="AH69"/>
      <c r="AI69"/>
      <c r="AJ69"/>
      <c r="AK69"/>
      <c r="AL69"/>
      <c r="AM69"/>
      <c r="AN69"/>
    </row>
    <row r="70" spans="1:40" hidden="1">
      <c r="A70" s="356"/>
      <c r="B70" s="114"/>
      <c r="C70" s="115"/>
      <c r="D70" s="115"/>
      <c r="E70" s="115"/>
      <c r="F70" s="115"/>
      <c r="G70" s="115"/>
      <c r="H70" s="115"/>
      <c r="I70" s="115"/>
      <c r="J70" s="115"/>
      <c r="K70" s="115"/>
      <c r="L70" s="115"/>
      <c r="M70" s="115"/>
      <c r="N70" s="92">
        <f t="shared" ref="N70" si="6">SUM(C70:G70)</f>
        <v>0</v>
      </c>
      <c r="O70" s="92">
        <f t="shared" ref="O70:O79" si="7">SUM(I70:M70)</f>
        <v>0</v>
      </c>
      <c r="P70"/>
      <c r="Q70" s="114" t="s">
        <v>1362</v>
      </c>
      <c r="R70" s="115">
        <v>32308.452010000001</v>
      </c>
      <c r="S70" s="115">
        <v>37210.58236</v>
      </c>
      <c r="T70" s="115">
        <v>34035.997259999996</v>
      </c>
      <c r="U70" s="115">
        <v>15153.34987</v>
      </c>
      <c r="V70" s="115">
        <v>14417.303250000001</v>
      </c>
      <c r="W70" s="115"/>
      <c r="X70" s="115"/>
      <c r="Y70" s="115"/>
      <c r="Z70" s="115"/>
      <c r="AA70" s="115"/>
      <c r="AB70" s="115"/>
      <c r="AC70" s="92">
        <f t="shared" si="4"/>
        <v>133125.68475000001</v>
      </c>
      <c r="AD70" s="119" t="str">
        <f t="shared" si="5"/>
        <v>Powercor</v>
      </c>
      <c r="AE70"/>
      <c r="AF70"/>
      <c r="AG70"/>
      <c r="AH70"/>
      <c r="AI70"/>
      <c r="AJ70"/>
      <c r="AK70"/>
      <c r="AL70"/>
      <c r="AM70"/>
      <c r="AN70"/>
    </row>
    <row r="71" spans="1:40" s="119" customFormat="1">
      <c r="A71" s="353" t="s">
        <v>0</v>
      </c>
      <c r="B71" s="316" t="s">
        <v>1364</v>
      </c>
      <c r="C71" s="317">
        <v>46028.363611136949</v>
      </c>
      <c r="D71" s="317">
        <v>57334.96048587063</v>
      </c>
      <c r="E71" s="317">
        <v>65194.266616667635</v>
      </c>
      <c r="F71" s="317">
        <v>98992.022675998058</v>
      </c>
      <c r="G71" s="317">
        <v>116899.42029400132</v>
      </c>
      <c r="H71" s="317">
        <v>108704.82181170554</v>
      </c>
      <c r="I71" s="317"/>
      <c r="J71" s="317"/>
      <c r="K71" s="317"/>
      <c r="L71" s="317"/>
      <c r="M71" s="317"/>
      <c r="N71" s="318">
        <f>SUM(C71:G71)</f>
        <v>384449.03368367453</v>
      </c>
      <c r="O71" s="318">
        <f t="shared" si="7"/>
        <v>0</v>
      </c>
      <c r="P71" s="29"/>
      <c r="Q71" s="316" t="s">
        <v>1354</v>
      </c>
      <c r="R71" s="317">
        <v>65141.853633947641</v>
      </c>
      <c r="S71" s="317">
        <v>103716.27260836713</v>
      </c>
      <c r="T71" s="317">
        <v>142863.94797269491</v>
      </c>
      <c r="U71" s="317">
        <v>146418.75870105889</v>
      </c>
      <c r="V71" s="317">
        <v>135948.42802468908</v>
      </c>
      <c r="W71" s="317">
        <v>127659.45773601549</v>
      </c>
      <c r="X71" s="317">
        <v>153578.70969785025</v>
      </c>
      <c r="Y71" s="317">
        <v>165060.2100745299</v>
      </c>
      <c r="Z71" s="317">
        <v>180340.04428548607</v>
      </c>
      <c r="AA71" s="317">
        <v>177478.63646761261</v>
      </c>
      <c r="AB71" s="317">
        <v>180395.93236998512</v>
      </c>
      <c r="AC71" s="318">
        <f t="shared" ref="AC71:AC79" si="8">SUM(R71:V71)</f>
        <v>594089.2609407577</v>
      </c>
      <c r="AD71" s="29" t="str">
        <f>IF(A71&gt;0,A71,#REF!)</f>
        <v>Essential</v>
      </c>
      <c r="AE71" s="29"/>
      <c r="AF71" s="29"/>
      <c r="AG71" s="29"/>
      <c r="AH71" s="29"/>
      <c r="AI71" s="29"/>
      <c r="AJ71" s="29"/>
      <c r="AK71" s="29"/>
      <c r="AL71" s="29"/>
      <c r="AM71" s="29"/>
      <c r="AN71" s="29"/>
    </row>
    <row r="72" spans="1:40" s="119" customFormat="1" hidden="1">
      <c r="A72" s="354"/>
      <c r="B72" s="110" t="s">
        <v>1365</v>
      </c>
      <c r="C72" s="106">
        <v>60468.292603664348</v>
      </c>
      <c r="D72" s="106">
        <v>85767.393042970041</v>
      </c>
      <c r="E72" s="106">
        <v>88157.38569993648</v>
      </c>
      <c r="F72" s="106">
        <v>95393.878182832428</v>
      </c>
      <c r="G72" s="106">
        <v>92026.060442998947</v>
      </c>
      <c r="H72" s="106">
        <v>92271.916187343406</v>
      </c>
      <c r="I72" s="106"/>
      <c r="J72" s="106"/>
      <c r="K72" s="106"/>
      <c r="L72" s="106"/>
      <c r="M72" s="106"/>
      <c r="N72" s="92">
        <f t="shared" ref="N72:N79" si="9">SUM(C72:G72)</f>
        <v>421813.00997240224</v>
      </c>
      <c r="O72" s="92">
        <f t="shared" si="7"/>
        <v>0</v>
      </c>
      <c r="Q72" s="110" t="s">
        <v>1355</v>
      </c>
      <c r="R72" s="106">
        <v>92108.504000000001</v>
      </c>
      <c r="S72" s="106">
        <v>91452.800999999992</v>
      </c>
      <c r="T72" s="106">
        <v>80349.515400064411</v>
      </c>
      <c r="U72" s="106">
        <v>93219.16160978633</v>
      </c>
      <c r="V72" s="106">
        <v>79731.988103816795</v>
      </c>
      <c r="W72" s="106">
        <v>88075.96572436874</v>
      </c>
      <c r="X72" s="106">
        <v>95323.283373661194</v>
      </c>
      <c r="Y72" s="106">
        <v>66791.304131341414</v>
      </c>
      <c r="Z72" s="106">
        <v>70384.825114511186</v>
      </c>
      <c r="AA72" s="106">
        <v>66751.314928422435</v>
      </c>
      <c r="AB72" s="106">
        <v>66828.37519451922</v>
      </c>
      <c r="AC72" s="92">
        <f t="shared" si="8"/>
        <v>436861.97011366754</v>
      </c>
      <c r="AD72" s="119" t="str">
        <f t="shared" ref="AD72:AD79" si="10">IF(A72&gt;0,A72,AD71)</f>
        <v>Essential</v>
      </c>
    </row>
    <row r="73" spans="1:40" s="119" customFormat="1" hidden="1">
      <c r="A73" s="354"/>
      <c r="B73" s="110" t="s">
        <v>1366</v>
      </c>
      <c r="C73" s="106">
        <v>38990</v>
      </c>
      <c r="D73" s="106">
        <v>43789</v>
      </c>
      <c r="E73" s="106">
        <v>44189</v>
      </c>
      <c r="F73" s="106">
        <v>49711</v>
      </c>
      <c r="G73" s="106">
        <v>50199</v>
      </c>
      <c r="H73" s="106">
        <v>51758.887753387244</v>
      </c>
      <c r="I73" s="106"/>
      <c r="J73" s="106"/>
      <c r="K73" s="106"/>
      <c r="L73" s="106"/>
      <c r="M73" s="106"/>
      <c r="N73" s="92">
        <f t="shared" si="9"/>
        <v>226878</v>
      </c>
      <c r="O73" s="92">
        <f t="shared" si="7"/>
        <v>0</v>
      </c>
      <c r="Q73" s="110" t="s">
        <v>1356</v>
      </c>
      <c r="R73" s="106">
        <v>222129.73059033434</v>
      </c>
      <c r="S73" s="106">
        <v>236699.96362077747</v>
      </c>
      <c r="T73" s="106">
        <v>234632.69029803848</v>
      </c>
      <c r="U73" s="106">
        <v>271364.58753915905</v>
      </c>
      <c r="V73" s="106">
        <v>263354.75797495869</v>
      </c>
      <c r="W73" s="106">
        <v>181182.06477178077</v>
      </c>
      <c r="X73" s="106">
        <v>169139.83081383363</v>
      </c>
      <c r="Y73" s="106">
        <v>154765.65550822532</v>
      </c>
      <c r="Z73" s="106">
        <v>143712.01933832027</v>
      </c>
      <c r="AA73" s="106">
        <v>140325.34567420348</v>
      </c>
      <c r="AB73" s="106">
        <v>136698.25691137277</v>
      </c>
      <c r="AC73" s="92">
        <f t="shared" si="8"/>
        <v>1228181.7300232681</v>
      </c>
      <c r="AD73" s="119" t="str">
        <f t="shared" si="10"/>
        <v>Essential</v>
      </c>
    </row>
    <row r="74" spans="1:40" s="119" customFormat="1" hidden="1">
      <c r="A74" s="354"/>
      <c r="B74" s="110" t="s">
        <v>1357</v>
      </c>
      <c r="C74" s="106">
        <v>107114.8749466132</v>
      </c>
      <c r="D74" s="106">
        <v>130952.13634240646</v>
      </c>
      <c r="E74" s="106">
        <v>150060.11628701957</v>
      </c>
      <c r="F74" s="106">
        <v>140631.69463166239</v>
      </c>
      <c r="G74" s="106">
        <v>148708.27119194198</v>
      </c>
      <c r="H74" s="106">
        <v>144271.22235605668</v>
      </c>
      <c r="I74" s="106"/>
      <c r="J74" s="106"/>
      <c r="K74" s="106"/>
      <c r="L74" s="106"/>
      <c r="M74" s="106"/>
      <c r="N74" s="92">
        <f t="shared" si="9"/>
        <v>677467.09339964367</v>
      </c>
      <c r="O74" s="92">
        <f t="shared" si="7"/>
        <v>0</v>
      </c>
      <c r="Q74" s="110" t="s">
        <v>1357</v>
      </c>
      <c r="R74" s="106">
        <v>129650.85952498559</v>
      </c>
      <c r="S74" s="106">
        <v>131943.91188456313</v>
      </c>
      <c r="T74" s="106">
        <v>117228.1401968266</v>
      </c>
      <c r="U74" s="106">
        <v>125679.2225145711</v>
      </c>
      <c r="V74" s="106">
        <v>63515.605917297798</v>
      </c>
      <c r="W74" s="106">
        <v>87066.740646008009</v>
      </c>
      <c r="X74" s="106">
        <v>81209.164983775976</v>
      </c>
      <c r="Y74" s="106">
        <v>58959.198556632902</v>
      </c>
      <c r="Z74" s="106">
        <v>61077.772648691658</v>
      </c>
      <c r="AA74" s="106">
        <v>53780.422145608434</v>
      </c>
      <c r="AB74" s="106">
        <v>51374.28085985798</v>
      </c>
      <c r="AC74" s="92">
        <f t="shared" si="8"/>
        <v>568017.74003824417</v>
      </c>
      <c r="AD74" s="119" t="str">
        <f t="shared" si="10"/>
        <v>Essential</v>
      </c>
    </row>
    <row r="75" spans="1:40" s="119" customFormat="1" hidden="1">
      <c r="A75" s="354"/>
      <c r="B75" s="110" t="s">
        <v>1367</v>
      </c>
      <c r="C75" s="106">
        <v>59641.98368452883</v>
      </c>
      <c r="D75" s="106">
        <v>103454.71180531503</v>
      </c>
      <c r="E75" s="106">
        <v>113630.58671014955</v>
      </c>
      <c r="F75" s="106">
        <v>132903.32502668441</v>
      </c>
      <c r="G75" s="106">
        <v>103340.85803999753</v>
      </c>
      <c r="H75" s="106">
        <v>117781.175808568</v>
      </c>
      <c r="I75" s="106"/>
      <c r="J75" s="106"/>
      <c r="K75" s="106"/>
      <c r="L75" s="106"/>
      <c r="M75" s="106"/>
      <c r="N75" s="92">
        <f t="shared" si="9"/>
        <v>512971.46526667534</v>
      </c>
      <c r="O75" s="92">
        <f t="shared" si="7"/>
        <v>0</v>
      </c>
      <c r="Q75" s="110" t="s">
        <v>1358</v>
      </c>
      <c r="R75" s="106">
        <v>71466.507614365182</v>
      </c>
      <c r="S75" s="106">
        <v>86140.424633610281</v>
      </c>
      <c r="T75" s="106">
        <v>103441.2761931032</v>
      </c>
      <c r="U75" s="106">
        <v>80585.444823682177</v>
      </c>
      <c r="V75" s="106">
        <v>74553.698609491286</v>
      </c>
      <c r="W75" s="106">
        <v>70543.150435874428</v>
      </c>
      <c r="X75" s="106">
        <v>55568.319607399113</v>
      </c>
      <c r="Y75" s="106">
        <v>55716.192903855794</v>
      </c>
      <c r="Z75" s="106">
        <v>56709.686427731562</v>
      </c>
      <c r="AA75" s="106">
        <v>56799.168414638116</v>
      </c>
      <c r="AB75" s="106">
        <v>57094.365932583423</v>
      </c>
      <c r="AC75" s="92">
        <f t="shared" si="8"/>
        <v>416187.35187425214</v>
      </c>
      <c r="AD75" s="119" t="str">
        <f t="shared" si="10"/>
        <v>Essential</v>
      </c>
    </row>
    <row r="76" spans="1:40" s="119" customFormat="1" hidden="1">
      <c r="A76" s="354"/>
      <c r="B76" s="110" t="s">
        <v>1368</v>
      </c>
      <c r="C76" s="106">
        <v>112258.94668281583</v>
      </c>
      <c r="D76" s="106">
        <v>56514.251144606649</v>
      </c>
      <c r="E76" s="106">
        <v>53237.458831262506</v>
      </c>
      <c r="F76" s="106">
        <v>80516.753375048065</v>
      </c>
      <c r="G76" s="106">
        <v>74683.960319342877</v>
      </c>
      <c r="H76" s="106">
        <v>101332.33260234699</v>
      </c>
      <c r="I76" s="106"/>
      <c r="J76" s="106"/>
      <c r="K76" s="106"/>
      <c r="L76" s="106"/>
      <c r="M76" s="106"/>
      <c r="N76" s="92">
        <f t="shared" si="9"/>
        <v>377211.37035307591</v>
      </c>
      <c r="O76" s="92">
        <f t="shared" si="7"/>
        <v>0</v>
      </c>
      <c r="Q76" s="110" t="s">
        <v>1359</v>
      </c>
      <c r="R76" s="106">
        <v>69567.267161352618</v>
      </c>
      <c r="S76" s="106">
        <v>83851.221137244822</v>
      </c>
      <c r="T76" s="106">
        <v>92779.864361390297</v>
      </c>
      <c r="U76" s="106">
        <v>116052.75755752146</v>
      </c>
      <c r="V76" s="106">
        <v>97349.137760079248</v>
      </c>
      <c r="W76" s="106">
        <v>88193.220870626217</v>
      </c>
      <c r="X76" s="106">
        <v>80007.518799707963</v>
      </c>
      <c r="Y76" s="106">
        <v>78627.741551407671</v>
      </c>
      <c r="Z76" s="106">
        <v>79808.299451072002</v>
      </c>
      <c r="AA76" s="106">
        <v>80122.436641726134</v>
      </c>
      <c r="AB76" s="106">
        <v>80528.849970147567</v>
      </c>
      <c r="AC76" s="92">
        <f t="shared" si="8"/>
        <v>459600.24797758844</v>
      </c>
      <c r="AD76" s="119" t="str">
        <f t="shared" si="10"/>
        <v>Essential</v>
      </c>
    </row>
    <row r="77" spans="1:40" s="119" customFormat="1" hidden="1">
      <c r="A77" s="354"/>
      <c r="B77" s="110" t="s">
        <v>1360</v>
      </c>
      <c r="C77" s="106">
        <v>-86258.682536519947</v>
      </c>
      <c r="D77" s="106">
        <v>-110740.85641116888</v>
      </c>
      <c r="E77" s="106">
        <v>-126620.83465881471</v>
      </c>
      <c r="F77" s="106">
        <v>-114946.48062222364</v>
      </c>
      <c r="G77" s="106">
        <v>-124815.29948833014</v>
      </c>
      <c r="H77" s="106">
        <v>-120120.35651940794</v>
      </c>
      <c r="I77" s="106"/>
      <c r="J77" s="106"/>
      <c r="K77" s="106"/>
      <c r="L77" s="106"/>
      <c r="M77" s="106"/>
      <c r="N77" s="92">
        <f t="shared" si="9"/>
        <v>-563382.15371705731</v>
      </c>
      <c r="O77" s="92">
        <f t="shared" si="7"/>
        <v>0</v>
      </c>
      <c r="Q77" s="110" t="s">
        <v>1360</v>
      </c>
      <c r="R77" s="106">
        <v>0</v>
      </c>
      <c r="S77" s="106">
        <v>0</v>
      </c>
      <c r="T77" s="106">
        <v>-59.291186838294379</v>
      </c>
      <c r="U77" s="106">
        <v>-496.62722691264935</v>
      </c>
      <c r="V77" s="106">
        <v>-44.945919999969192</v>
      </c>
      <c r="W77" s="106">
        <v>5.6253164075314999E-5</v>
      </c>
      <c r="X77" s="106">
        <v>0</v>
      </c>
      <c r="Y77" s="106">
        <v>0</v>
      </c>
      <c r="Z77" s="106">
        <v>-2.5003182236105204E-4</v>
      </c>
      <c r="AA77" s="106">
        <v>0</v>
      </c>
      <c r="AB77" s="106">
        <v>0</v>
      </c>
      <c r="AC77" s="92">
        <f t="shared" si="8"/>
        <v>-600.86433375091292</v>
      </c>
      <c r="AD77" s="119" t="str">
        <f t="shared" si="10"/>
        <v>Essential</v>
      </c>
    </row>
    <row r="78" spans="1:40" s="119" customFormat="1" hidden="1">
      <c r="A78" s="354"/>
      <c r="B78" s="94" t="s">
        <v>1369</v>
      </c>
      <c r="C78" s="93">
        <v>338243.77899223927</v>
      </c>
      <c r="D78" s="93">
        <v>367071.59640999994</v>
      </c>
      <c r="E78" s="93">
        <v>387847.97948622098</v>
      </c>
      <c r="F78" s="93">
        <v>483202.19327000174</v>
      </c>
      <c r="G78" s="93">
        <v>461042.27079995256</v>
      </c>
      <c r="H78" s="93">
        <v>496000</v>
      </c>
      <c r="I78" s="93"/>
      <c r="J78" s="93"/>
      <c r="K78" s="93"/>
      <c r="L78" s="93"/>
      <c r="M78" s="93"/>
      <c r="N78" s="92">
        <f t="shared" si="9"/>
        <v>2037407.8189584145</v>
      </c>
      <c r="O78" s="92">
        <f t="shared" si="7"/>
        <v>0</v>
      </c>
      <c r="Q78" s="94" t="s">
        <v>1361</v>
      </c>
      <c r="R78" s="93">
        <v>650064.72252498544</v>
      </c>
      <c r="S78" s="93">
        <v>733804.59488456289</v>
      </c>
      <c r="T78" s="93">
        <v>771236.1432352796</v>
      </c>
      <c r="U78" s="93">
        <v>832823.30551886628</v>
      </c>
      <c r="V78" s="93">
        <v>714408.67047033284</v>
      </c>
      <c r="W78" s="93">
        <v>642720.60024092684</v>
      </c>
      <c r="X78" s="93">
        <v>634826.82727622823</v>
      </c>
      <c r="Y78" s="93">
        <v>579920.3027259931</v>
      </c>
      <c r="Z78" s="93">
        <v>592032.64701578091</v>
      </c>
      <c r="AA78" s="93">
        <v>575257.32427221129</v>
      </c>
      <c r="AB78" s="93">
        <v>572920.06123846606</v>
      </c>
      <c r="AC78" s="92">
        <f t="shared" si="8"/>
        <v>3702337.4366340274</v>
      </c>
      <c r="AD78" s="119" t="str">
        <f t="shared" si="10"/>
        <v>Essential</v>
      </c>
    </row>
    <row r="79" spans="1:40" s="119" customFormat="1" hidden="1">
      <c r="A79" s="354"/>
      <c r="B79" s="110"/>
      <c r="C79" s="106"/>
      <c r="D79" s="106"/>
      <c r="E79" s="106"/>
      <c r="F79" s="106"/>
      <c r="G79" s="106"/>
      <c r="H79" s="106"/>
      <c r="I79" s="106"/>
      <c r="J79" s="106"/>
      <c r="K79" s="106"/>
      <c r="L79" s="106"/>
      <c r="M79" s="106"/>
      <c r="N79" s="92">
        <f t="shared" si="9"/>
        <v>0</v>
      </c>
      <c r="O79" s="92">
        <f t="shared" si="7"/>
        <v>0</v>
      </c>
      <c r="Q79" s="110" t="s">
        <v>1362</v>
      </c>
      <c r="R79" s="106">
        <v>88326.623999999996</v>
      </c>
      <c r="S79" s="106">
        <v>81054.790999999997</v>
      </c>
      <c r="T79" s="106">
        <v>69364.585400064403</v>
      </c>
      <c r="U79" s="106">
        <v>87743.569609786326</v>
      </c>
      <c r="V79" s="106">
        <v>73829.028103816789</v>
      </c>
      <c r="W79" s="106">
        <v>82165.328593847356</v>
      </c>
      <c r="X79" s="106">
        <v>89379.071178426544</v>
      </c>
      <c r="Y79" s="106">
        <v>60822.407574431592</v>
      </c>
      <c r="Z79" s="106">
        <v>64393.857043640965</v>
      </c>
      <c r="AA79" s="106">
        <v>60731.164246442357</v>
      </c>
      <c r="AB79" s="106">
        <v>60779.29713997482</v>
      </c>
      <c r="AC79" s="92">
        <f t="shared" si="8"/>
        <v>400318.59811366751</v>
      </c>
      <c r="AD79" s="119" t="str">
        <f t="shared" si="10"/>
        <v>Essential</v>
      </c>
    </row>
  </sheetData>
  <autoFilter ref="A4:AD79">
    <filterColumn colId="1">
      <filters>
        <filter val="Vegetation management"/>
      </filters>
    </filterColumn>
  </autoFilter>
  <mergeCells count="21">
    <mergeCell ref="X3:AB3"/>
    <mergeCell ref="A5:A13"/>
    <mergeCell ref="A53:A61"/>
    <mergeCell ref="B2:B4"/>
    <mergeCell ref="Q1:AB1"/>
    <mergeCell ref="Q2:Q4"/>
    <mergeCell ref="D2:H2"/>
    <mergeCell ref="C3:H3"/>
    <mergeCell ref="S2:W2"/>
    <mergeCell ref="X2:AB2"/>
    <mergeCell ref="R3:W3"/>
    <mergeCell ref="I2:M2"/>
    <mergeCell ref="I3:M3"/>
    <mergeCell ref="B1:I1"/>
    <mergeCell ref="A71:A79"/>
    <mergeCell ref="A62:A70"/>
    <mergeCell ref="A33:A43"/>
    <mergeCell ref="A1:A4"/>
    <mergeCell ref="A44:A52"/>
    <mergeCell ref="A14:A22"/>
    <mergeCell ref="A23:A3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Y1220"/>
  <sheetViews>
    <sheetView zoomScale="90" zoomScaleNormal="90" workbookViewId="0">
      <pane xSplit="6" ySplit="4" topLeftCell="G5" activePane="bottomRight" state="frozen"/>
      <selection pane="topRight" activeCell="D1" sqref="D1"/>
      <selection pane="bottomLeft" activeCell="A3" sqref="A3"/>
      <selection pane="bottomRight" activeCell="D5" sqref="D5:D159"/>
    </sheetView>
  </sheetViews>
  <sheetFormatPr defaultRowHeight="15"/>
  <cols>
    <col min="1" max="1" width="20" style="30" hidden="1" customWidth="1"/>
    <col min="2" max="2" width="16.42578125" style="30" bestFit="1" customWidth="1"/>
    <col min="3" max="3" width="24.42578125" style="30" bestFit="1" customWidth="1"/>
    <col min="4" max="4" width="18.28515625" style="332" bestFit="1" customWidth="1"/>
    <col min="5" max="5" width="21.42578125" style="3" customWidth="1"/>
    <col min="6" max="6" width="33.42578125" customWidth="1"/>
    <col min="7" max="7" width="10.5703125" style="22" bestFit="1" customWidth="1"/>
    <col min="8" max="8" width="10.28515625" style="22" customWidth="1"/>
    <col min="9" max="13" width="10.5703125" style="22" bestFit="1" customWidth="1"/>
    <col min="14" max="17" width="10.28515625" style="22" customWidth="1"/>
    <col min="18" max="18" width="12.140625" style="24" customWidth="1"/>
    <col min="19" max="23" width="10.5703125" style="24" bestFit="1" customWidth="1"/>
    <col min="24" max="28" width="10.7109375" style="24" customWidth="1"/>
    <col min="29" max="39" width="9.5703125" style="26" bestFit="1" customWidth="1"/>
  </cols>
  <sheetData>
    <row r="1" spans="1:39" hidden="1">
      <c r="E1" s="31"/>
      <c r="F1" s="30"/>
      <c r="G1" s="24" t="str">
        <f t="shared" ref="G1:Q1" si="0">G4&amp;"-"&amp;G2</f>
        <v>2009-EXPENDITURE ($000'S)</v>
      </c>
      <c r="H1" s="24" t="str">
        <f t="shared" si="0"/>
        <v>2010-EXPENDITURE ($000'S)</v>
      </c>
      <c r="I1" s="24" t="str">
        <f t="shared" si="0"/>
        <v>2011-EXPENDITURE ($000'S)</v>
      </c>
      <c r="J1" s="24" t="str">
        <f t="shared" si="0"/>
        <v>2012-EXPENDITURE ($000'S)</v>
      </c>
      <c r="K1" s="24" t="str">
        <f t="shared" si="0"/>
        <v>2013-EXPENDITURE ($000'S)</v>
      </c>
      <c r="L1" s="24" t="str">
        <f t="shared" si="0"/>
        <v>2014-EXPENDITURE ($000'S)</v>
      </c>
      <c r="M1" s="24" t="str">
        <f t="shared" si="0"/>
        <v>2015-EXPENDITURE ($000'S)</v>
      </c>
      <c r="N1" s="24" t="str">
        <f t="shared" si="0"/>
        <v>2016-EXPENDITURE ($000'S)</v>
      </c>
      <c r="O1" s="24" t="str">
        <f t="shared" si="0"/>
        <v>2017-EXPENDITURE ($000'S)</v>
      </c>
      <c r="P1" s="24" t="str">
        <f t="shared" si="0"/>
        <v>2018-EXPENDITURE ($000'S)</v>
      </c>
      <c r="Q1" s="24" t="str">
        <f t="shared" si="0"/>
        <v>2019-EXPENDITURE ($000'S)</v>
      </c>
      <c r="R1" s="24" t="str">
        <f>R4&amp;"-"&amp;R2</f>
        <v>2009-ASSET REPLACEMENTS</v>
      </c>
      <c r="S1" s="24" t="str">
        <f t="shared" ref="S1:AM1" si="1">S4&amp;"-"&amp;S2</f>
        <v>2010-ASSET REPLACEMENTS</v>
      </c>
      <c r="T1" s="24" t="str">
        <f t="shared" si="1"/>
        <v>2011-ASSET REPLACEMENTS</v>
      </c>
      <c r="U1" s="24" t="str">
        <f t="shared" si="1"/>
        <v>2012-ASSET REPLACEMENTS</v>
      </c>
      <c r="V1" s="24" t="str">
        <f t="shared" si="1"/>
        <v>2013-ASSET REPLACEMENTS</v>
      </c>
      <c r="W1" s="24" t="str">
        <f t="shared" si="1"/>
        <v>2014-ASSET REPLACEMENTS</v>
      </c>
      <c r="X1" s="24" t="str">
        <f t="shared" si="1"/>
        <v>2015-ASSET REPLACEMENTS</v>
      </c>
      <c r="Y1" s="24" t="str">
        <f t="shared" si="1"/>
        <v>2016-ASSET REPLACEMENTS</v>
      </c>
      <c r="Z1" s="24" t="str">
        <f t="shared" si="1"/>
        <v>2017-ASSET REPLACEMENTS</v>
      </c>
      <c r="AA1" s="24" t="str">
        <f t="shared" si="1"/>
        <v>2018-ASSET REPLACEMENTS</v>
      </c>
      <c r="AB1" s="24" t="str">
        <f t="shared" si="1"/>
        <v>2019-ASSET REPLACEMENTS</v>
      </c>
      <c r="AC1" s="24" t="str">
        <f t="shared" si="1"/>
        <v xml:space="preserve">2009-ASSET FAILURES  </v>
      </c>
      <c r="AD1" s="24" t="str">
        <f t="shared" si="1"/>
        <v xml:space="preserve">2010-ASSET FAILURES  </v>
      </c>
      <c r="AE1" s="24" t="str">
        <f t="shared" si="1"/>
        <v xml:space="preserve">2011-ASSET FAILURES  </v>
      </c>
      <c r="AF1" s="24" t="str">
        <f t="shared" si="1"/>
        <v xml:space="preserve">2012-ASSET FAILURES  </v>
      </c>
      <c r="AG1" s="24" t="str">
        <f t="shared" si="1"/>
        <v xml:space="preserve">2013-ASSET FAILURES  </v>
      </c>
      <c r="AH1" s="24" t="str">
        <f t="shared" si="1"/>
        <v xml:space="preserve">2014-ASSET FAILURES  </v>
      </c>
      <c r="AI1" s="24" t="str">
        <f t="shared" si="1"/>
        <v xml:space="preserve">2015-ASSET FAILURES  </v>
      </c>
      <c r="AJ1" s="24" t="str">
        <f t="shared" si="1"/>
        <v xml:space="preserve">2016-ASSET FAILURES  </v>
      </c>
      <c r="AK1" s="24" t="str">
        <f t="shared" si="1"/>
        <v xml:space="preserve">2017-ASSET FAILURES  </v>
      </c>
      <c r="AL1" s="24" t="str">
        <f t="shared" si="1"/>
        <v xml:space="preserve">2018-ASSET FAILURES  </v>
      </c>
      <c r="AM1" s="24" t="str">
        <f t="shared" si="1"/>
        <v xml:space="preserve">2019-ASSET FAILURES  </v>
      </c>
    </row>
    <row r="2" spans="1:39" hidden="1">
      <c r="E2" s="31"/>
      <c r="F2" s="30"/>
      <c r="G2" s="24" t="str">
        <f>IF(G3&gt;0,G3,F2)</f>
        <v>EXPENDITURE ($000'S)</v>
      </c>
      <c r="H2" s="24" t="str">
        <f t="shared" ref="H2:AM2" si="2">IF(H3&gt;0,H3,G2)</f>
        <v>EXPENDITURE ($000'S)</v>
      </c>
      <c r="I2" s="24" t="str">
        <f t="shared" si="2"/>
        <v>EXPENDITURE ($000'S)</v>
      </c>
      <c r="J2" s="24" t="str">
        <f t="shared" si="2"/>
        <v>EXPENDITURE ($000'S)</v>
      </c>
      <c r="K2" s="24" t="str">
        <f t="shared" si="2"/>
        <v>EXPENDITURE ($000'S)</v>
      </c>
      <c r="L2" s="24" t="str">
        <f t="shared" si="2"/>
        <v>EXPENDITURE ($000'S)</v>
      </c>
      <c r="M2" s="24" t="str">
        <f t="shared" si="2"/>
        <v>EXPENDITURE ($000'S)</v>
      </c>
      <c r="N2" s="24" t="str">
        <f t="shared" si="2"/>
        <v>EXPENDITURE ($000'S)</v>
      </c>
      <c r="O2" s="24" t="str">
        <f t="shared" si="2"/>
        <v>EXPENDITURE ($000'S)</v>
      </c>
      <c r="P2" s="24" t="str">
        <f t="shared" si="2"/>
        <v>EXPENDITURE ($000'S)</v>
      </c>
      <c r="Q2" s="24" t="str">
        <f t="shared" si="2"/>
        <v>EXPENDITURE ($000'S)</v>
      </c>
      <c r="R2" s="24" t="str">
        <f t="shared" si="2"/>
        <v>ASSET REPLACEMENTS</v>
      </c>
      <c r="S2" s="24" t="str">
        <f t="shared" si="2"/>
        <v>ASSET REPLACEMENTS</v>
      </c>
      <c r="T2" s="24" t="str">
        <f t="shared" si="2"/>
        <v>ASSET REPLACEMENTS</v>
      </c>
      <c r="U2" s="24" t="str">
        <f t="shared" si="2"/>
        <v>ASSET REPLACEMENTS</v>
      </c>
      <c r="V2" s="24" t="str">
        <f t="shared" si="2"/>
        <v>ASSET REPLACEMENTS</v>
      </c>
      <c r="W2" s="24" t="str">
        <f t="shared" si="2"/>
        <v>ASSET REPLACEMENTS</v>
      </c>
      <c r="X2" s="24" t="str">
        <f t="shared" si="2"/>
        <v>ASSET REPLACEMENTS</v>
      </c>
      <c r="Y2" s="24" t="str">
        <f t="shared" si="2"/>
        <v>ASSET REPLACEMENTS</v>
      </c>
      <c r="Z2" s="24" t="str">
        <f t="shared" si="2"/>
        <v>ASSET REPLACEMENTS</v>
      </c>
      <c r="AA2" s="24" t="str">
        <f t="shared" si="2"/>
        <v>ASSET REPLACEMENTS</v>
      </c>
      <c r="AB2" s="24" t="str">
        <f t="shared" si="2"/>
        <v>ASSET REPLACEMENTS</v>
      </c>
      <c r="AC2" s="24" t="str">
        <f t="shared" si="2"/>
        <v xml:space="preserve">ASSET FAILURES  </v>
      </c>
      <c r="AD2" s="24" t="str">
        <f t="shared" si="2"/>
        <v xml:space="preserve">ASSET FAILURES  </v>
      </c>
      <c r="AE2" s="24" t="str">
        <f t="shared" si="2"/>
        <v xml:space="preserve">ASSET FAILURES  </v>
      </c>
      <c r="AF2" s="24" t="str">
        <f t="shared" si="2"/>
        <v xml:space="preserve">ASSET FAILURES  </v>
      </c>
      <c r="AG2" s="24" t="str">
        <f t="shared" si="2"/>
        <v xml:space="preserve">ASSET FAILURES  </v>
      </c>
      <c r="AH2" s="24" t="str">
        <f t="shared" si="2"/>
        <v xml:space="preserve">ASSET FAILURES  </v>
      </c>
      <c r="AI2" s="24" t="str">
        <f t="shared" si="2"/>
        <v xml:space="preserve">ASSET FAILURES  </v>
      </c>
      <c r="AJ2" s="24" t="str">
        <f t="shared" si="2"/>
        <v xml:space="preserve">ASSET FAILURES  </v>
      </c>
      <c r="AK2" s="24" t="str">
        <f t="shared" si="2"/>
        <v xml:space="preserve">ASSET FAILURES  </v>
      </c>
      <c r="AL2" s="24" t="str">
        <f t="shared" si="2"/>
        <v xml:space="preserve">ASSET FAILURES  </v>
      </c>
      <c r="AM2" s="24" t="str">
        <f t="shared" si="2"/>
        <v xml:space="preserve">ASSET FAILURES  </v>
      </c>
    </row>
    <row r="3" spans="1:39">
      <c r="A3" s="9"/>
      <c r="B3" s="9"/>
      <c r="C3" s="9"/>
      <c r="D3" s="333"/>
      <c r="E3" s="9"/>
      <c r="F3" s="9"/>
      <c r="G3" s="398" t="s">
        <v>110</v>
      </c>
      <c r="H3" s="398"/>
      <c r="I3" s="398"/>
      <c r="J3" s="398"/>
      <c r="K3" s="398"/>
      <c r="L3" s="398"/>
      <c r="M3" s="398"/>
      <c r="N3" s="398"/>
      <c r="O3" s="398"/>
      <c r="P3" s="398"/>
      <c r="Q3" s="398"/>
      <c r="R3" s="399" t="s">
        <v>576</v>
      </c>
      <c r="S3" s="400"/>
      <c r="T3" s="400"/>
      <c r="U3" s="400"/>
      <c r="V3" s="400"/>
      <c r="W3" s="400"/>
      <c r="X3" s="400"/>
      <c r="Y3" s="400"/>
      <c r="Z3" s="400"/>
      <c r="AA3" s="400"/>
      <c r="AB3" s="400"/>
      <c r="AC3" s="388" t="s">
        <v>112</v>
      </c>
      <c r="AD3" s="389"/>
      <c r="AE3" s="389"/>
      <c r="AF3" s="389"/>
      <c r="AG3" s="389"/>
      <c r="AH3" s="389"/>
      <c r="AI3" s="389"/>
      <c r="AJ3" s="389"/>
      <c r="AK3" s="389"/>
      <c r="AL3" s="389"/>
      <c r="AM3" s="389"/>
    </row>
    <row r="4" spans="1:39" s="29" customFormat="1">
      <c r="A4" s="33"/>
      <c r="B4" s="33" t="s">
        <v>1136</v>
      </c>
      <c r="C4" s="33"/>
      <c r="D4" s="334"/>
      <c r="E4" s="33" t="s">
        <v>113</v>
      </c>
      <c r="F4" s="33" t="s">
        <v>114</v>
      </c>
      <c r="G4" s="34">
        <v>2009</v>
      </c>
      <c r="H4" s="34">
        <v>2010</v>
      </c>
      <c r="I4" s="34">
        <v>2011</v>
      </c>
      <c r="J4" s="34">
        <v>2012</v>
      </c>
      <c r="K4" s="34">
        <v>2013</v>
      </c>
      <c r="L4" s="34">
        <v>2014</v>
      </c>
      <c r="M4" s="34">
        <v>2015</v>
      </c>
      <c r="N4" s="34">
        <v>2016</v>
      </c>
      <c r="O4" s="34">
        <v>2017</v>
      </c>
      <c r="P4" s="34">
        <v>2018</v>
      </c>
      <c r="Q4" s="34">
        <v>2019</v>
      </c>
      <c r="R4" s="35">
        <v>2009</v>
      </c>
      <c r="S4" s="35">
        <v>2010</v>
      </c>
      <c r="T4" s="35">
        <v>2011</v>
      </c>
      <c r="U4" s="35">
        <v>2012</v>
      </c>
      <c r="V4" s="35">
        <v>2013</v>
      </c>
      <c r="W4" s="35">
        <v>2014</v>
      </c>
      <c r="X4" s="35">
        <v>2015</v>
      </c>
      <c r="Y4" s="35">
        <v>2016</v>
      </c>
      <c r="Z4" s="35">
        <v>2017</v>
      </c>
      <c r="AA4" s="35">
        <v>2018</v>
      </c>
      <c r="AB4" s="35">
        <v>2019</v>
      </c>
      <c r="AC4" s="36">
        <v>2009</v>
      </c>
      <c r="AD4" s="36">
        <v>2010</v>
      </c>
      <c r="AE4" s="36">
        <v>2011</v>
      </c>
      <c r="AF4" s="36">
        <v>2012</v>
      </c>
      <c r="AG4" s="36">
        <v>2013</v>
      </c>
      <c r="AH4" s="36">
        <v>2014</v>
      </c>
      <c r="AI4" s="36">
        <v>2015</v>
      </c>
      <c r="AJ4" s="36">
        <v>2016</v>
      </c>
      <c r="AK4" s="36">
        <v>2017</v>
      </c>
      <c r="AL4" s="36">
        <v>2018</v>
      </c>
      <c r="AM4" s="36">
        <v>2019</v>
      </c>
    </row>
    <row r="5" spans="1:39" ht="30" customHeight="1">
      <c r="A5" s="32" t="str">
        <f t="shared" ref="A5" si="3">B5&amp;"-"&amp;E5&amp;"-"&amp;F5</f>
        <v>Powercor-POLES BY: 
HIGHEST OPERATING VOLTAGE ; MATERIAL TYPE;  STAKING (IF WOOD)-STAKING OF A WOODEN POLE</v>
      </c>
      <c r="B5" s="32" t="str">
        <f t="shared" ref="B5" si="4">IF(D5&gt;0,D5,B4)</f>
        <v>Powercor</v>
      </c>
      <c r="C5" s="32" t="s">
        <v>1138</v>
      </c>
      <c r="D5" s="390" t="s">
        <v>310</v>
      </c>
      <c r="E5" s="3" t="s">
        <v>311</v>
      </c>
      <c r="F5" t="s">
        <v>117</v>
      </c>
      <c r="G5" s="21">
        <v>511.7</v>
      </c>
      <c r="H5" s="21">
        <v>612.20000000000005</v>
      </c>
      <c r="I5" s="21">
        <v>710.4</v>
      </c>
      <c r="J5" s="21">
        <v>972.8</v>
      </c>
      <c r="K5" s="21">
        <v>1025.2</v>
      </c>
      <c r="L5" s="21"/>
      <c r="M5" s="21"/>
      <c r="N5" s="21"/>
      <c r="O5" s="21"/>
      <c r="P5" s="21"/>
      <c r="Q5" s="21"/>
      <c r="R5" s="23">
        <v>527</v>
      </c>
      <c r="S5" s="23">
        <v>819</v>
      </c>
      <c r="T5" s="23">
        <v>855</v>
      </c>
      <c r="U5" s="23">
        <v>1146</v>
      </c>
      <c r="V5" s="23">
        <v>1283</v>
      </c>
      <c r="W5" s="23"/>
      <c r="X5" s="23"/>
      <c r="Y5" s="23"/>
      <c r="Z5" s="23"/>
      <c r="AA5" s="23"/>
      <c r="AB5" s="23"/>
      <c r="AC5" s="25">
        <v>0</v>
      </c>
      <c r="AD5" s="25">
        <v>0</v>
      </c>
      <c r="AE5" s="25">
        <v>0</v>
      </c>
      <c r="AF5" s="25">
        <v>0</v>
      </c>
      <c r="AG5" s="25">
        <v>0</v>
      </c>
      <c r="AH5" s="25"/>
      <c r="AI5" s="25"/>
      <c r="AJ5" s="25"/>
      <c r="AK5" s="25"/>
      <c r="AL5" s="25"/>
      <c r="AM5" s="25"/>
    </row>
    <row r="6" spans="1:39" ht="15" customHeight="1">
      <c r="A6" s="32" t="str">
        <f t="shared" ref="A6:A69" si="5">B6&amp;"-"&amp;E6&amp;"-"&amp;F6</f>
        <v>Powercor--˂ = 1 kV; WOOD</v>
      </c>
      <c r="B6" s="32" t="str">
        <f t="shared" ref="B6:B69" si="6">IF(D6&gt;0,D6,B5)</f>
        <v>Powercor</v>
      </c>
      <c r="C6" s="32" t="s">
        <v>1</v>
      </c>
      <c r="D6" s="391"/>
      <c r="F6" t="s">
        <v>119</v>
      </c>
      <c r="G6" s="21">
        <v>1132.6207666890543</v>
      </c>
      <c r="H6" s="21">
        <v>1594.7157747396757</v>
      </c>
      <c r="I6" s="21">
        <v>2139.2130314101682</v>
      </c>
      <c r="J6" s="21">
        <v>2582.1618622798101</v>
      </c>
      <c r="K6" s="21">
        <v>3354.8423402574081</v>
      </c>
      <c r="L6" s="21"/>
      <c r="M6" s="21"/>
      <c r="N6" s="21"/>
      <c r="O6" s="21"/>
      <c r="P6" s="21"/>
      <c r="Q6" s="21"/>
      <c r="R6" s="23">
        <v>152</v>
      </c>
      <c r="S6" s="23">
        <v>202</v>
      </c>
      <c r="T6" s="23">
        <v>238</v>
      </c>
      <c r="U6" s="23">
        <v>265</v>
      </c>
      <c r="V6" s="23">
        <v>315</v>
      </c>
      <c r="W6" s="23"/>
      <c r="X6" s="23"/>
      <c r="Y6" s="23"/>
      <c r="Z6" s="23"/>
      <c r="AA6" s="23"/>
      <c r="AB6" s="23"/>
      <c r="AC6" s="25">
        <v>0</v>
      </c>
      <c r="AD6" s="25">
        <v>3</v>
      </c>
      <c r="AE6" s="25">
        <v>0</v>
      </c>
      <c r="AF6" s="25">
        <v>0</v>
      </c>
      <c r="AG6" s="25">
        <v>1</v>
      </c>
      <c r="AH6" s="25"/>
      <c r="AI6" s="25"/>
      <c r="AJ6" s="25"/>
      <c r="AK6" s="25"/>
      <c r="AL6" s="25"/>
      <c r="AM6" s="25"/>
    </row>
    <row r="7" spans="1:39" ht="15" customHeight="1">
      <c r="A7" s="32" t="str">
        <f t="shared" si="5"/>
        <v>Powercor--&gt; 1 kV &amp; &lt; = 11 kV; WOOD</v>
      </c>
      <c r="B7" s="32" t="str">
        <f t="shared" si="6"/>
        <v>Powercor</v>
      </c>
      <c r="C7" s="32" t="s">
        <v>1</v>
      </c>
      <c r="D7" s="391"/>
      <c r="F7" t="s">
        <v>121</v>
      </c>
      <c r="G7" s="21">
        <v>0</v>
      </c>
      <c r="H7" s="21">
        <v>0</v>
      </c>
      <c r="I7" s="21">
        <v>0</v>
      </c>
      <c r="J7" s="21">
        <v>57.70693658744846</v>
      </c>
      <c r="K7" s="21">
        <v>10.635728173408456</v>
      </c>
      <c r="L7" s="21"/>
      <c r="M7" s="21"/>
      <c r="N7" s="21"/>
      <c r="O7" s="21"/>
      <c r="P7" s="21"/>
      <c r="Q7" s="21"/>
      <c r="R7" s="23">
        <v>0</v>
      </c>
      <c r="S7" s="23">
        <v>0</v>
      </c>
      <c r="T7" s="23">
        <v>0</v>
      </c>
      <c r="U7" s="23">
        <v>6</v>
      </c>
      <c r="V7" s="23">
        <v>1</v>
      </c>
      <c r="W7" s="23"/>
      <c r="X7" s="23"/>
      <c r="Y7" s="23"/>
      <c r="Z7" s="23"/>
      <c r="AA7" s="23"/>
      <c r="AB7" s="23"/>
      <c r="AC7" s="25">
        <v>0</v>
      </c>
      <c r="AD7" s="25">
        <v>0</v>
      </c>
      <c r="AE7" s="25">
        <v>0</v>
      </c>
      <c r="AF7" s="25">
        <v>0</v>
      </c>
      <c r="AG7" s="25">
        <v>0</v>
      </c>
      <c r="AH7" s="25"/>
      <c r="AI7" s="25"/>
      <c r="AJ7" s="25"/>
      <c r="AK7" s="25"/>
      <c r="AL7" s="25"/>
      <c r="AM7" s="25"/>
    </row>
    <row r="8" spans="1:39" ht="15" customHeight="1">
      <c r="A8" s="32" t="str">
        <f t="shared" si="5"/>
        <v>Powercor--˃ 11 kV &amp; &lt; = 22 kV; WOOD</v>
      </c>
      <c r="B8" s="32" t="str">
        <f t="shared" si="6"/>
        <v>Powercor</v>
      </c>
      <c r="C8" s="32" t="s">
        <v>1</v>
      </c>
      <c r="D8" s="391"/>
      <c r="F8" t="s">
        <v>123</v>
      </c>
      <c r="G8" s="21">
        <v>5177.1148541125303</v>
      </c>
      <c r="H8" s="21">
        <v>4785.5478956470261</v>
      </c>
      <c r="I8" s="21">
        <v>8870.585056628106</v>
      </c>
      <c r="J8" s="21">
        <v>8789.1808647160087</v>
      </c>
      <c r="K8" s="21">
        <v>11615.703990128848</v>
      </c>
      <c r="L8" s="21"/>
      <c r="M8" s="21"/>
      <c r="N8" s="21"/>
      <c r="O8" s="21"/>
      <c r="P8" s="21"/>
      <c r="Q8" s="21"/>
      <c r="R8" s="23">
        <v>689</v>
      </c>
      <c r="S8" s="23">
        <v>604</v>
      </c>
      <c r="T8" s="23">
        <v>981</v>
      </c>
      <c r="U8" s="23">
        <v>898</v>
      </c>
      <c r="V8" s="23">
        <v>1082</v>
      </c>
      <c r="W8" s="23"/>
      <c r="X8" s="23"/>
      <c r="Y8" s="23"/>
      <c r="Z8" s="23"/>
      <c r="AA8" s="23"/>
      <c r="AB8" s="23"/>
      <c r="AC8" s="25">
        <v>29</v>
      </c>
      <c r="AD8" s="25">
        <v>8</v>
      </c>
      <c r="AE8" s="25">
        <v>6</v>
      </c>
      <c r="AF8" s="25">
        <v>12</v>
      </c>
      <c r="AG8" s="25">
        <v>13</v>
      </c>
      <c r="AH8" s="25"/>
      <c r="AI8" s="25"/>
      <c r="AJ8" s="25"/>
      <c r="AK8" s="25"/>
      <c r="AL8" s="25"/>
      <c r="AM8" s="25"/>
    </row>
    <row r="9" spans="1:39" ht="15" customHeight="1">
      <c r="A9" s="32" t="str">
        <f t="shared" si="5"/>
        <v>Powercor--&gt; 22 kV &amp; &lt; = 66 kV; WOOD</v>
      </c>
      <c r="B9" s="32" t="str">
        <f t="shared" si="6"/>
        <v>Powercor</v>
      </c>
      <c r="C9" s="32" t="s">
        <v>1</v>
      </c>
      <c r="D9" s="391"/>
      <c r="F9" t="s">
        <v>125</v>
      </c>
      <c r="G9" s="21">
        <v>348.34325587639421</v>
      </c>
      <c r="H9" s="21">
        <v>280.86369735855305</v>
      </c>
      <c r="I9" s="21">
        <v>297.13700022548306</v>
      </c>
      <c r="J9" s="21">
        <v>1001.1814296295842</v>
      </c>
      <c r="K9" s="21">
        <v>714.21484047410013</v>
      </c>
      <c r="L9" s="21"/>
      <c r="M9" s="21"/>
      <c r="N9" s="21"/>
      <c r="O9" s="21"/>
      <c r="P9" s="21"/>
      <c r="Q9" s="21"/>
      <c r="R9" s="23">
        <v>36</v>
      </c>
      <c r="S9" s="23">
        <v>27</v>
      </c>
      <c r="T9" s="23">
        <v>25</v>
      </c>
      <c r="U9" s="23">
        <v>80</v>
      </c>
      <c r="V9" s="23">
        <v>52</v>
      </c>
      <c r="W9" s="23"/>
      <c r="X9" s="23"/>
      <c r="Y9" s="23"/>
      <c r="Z9" s="23"/>
      <c r="AA9" s="23"/>
      <c r="AB9" s="23"/>
      <c r="AC9" s="25">
        <v>3</v>
      </c>
      <c r="AD9" s="25">
        <v>2</v>
      </c>
      <c r="AE9" s="25">
        <v>0</v>
      </c>
      <c r="AF9" s="25">
        <v>0</v>
      </c>
      <c r="AG9" s="25">
        <v>1</v>
      </c>
      <c r="AH9" s="25"/>
      <c r="AI9" s="25"/>
      <c r="AJ9" s="25"/>
      <c r="AK9" s="25"/>
      <c r="AL9" s="25"/>
      <c r="AM9" s="25"/>
    </row>
    <row r="10" spans="1:39" ht="15" customHeight="1">
      <c r="A10" s="32" t="str">
        <f t="shared" si="5"/>
        <v>Powercor--&gt; 66 kV &amp; &lt; = 132 kV; WOOD</v>
      </c>
      <c r="B10" s="32" t="str">
        <f t="shared" si="6"/>
        <v>Powercor</v>
      </c>
      <c r="C10" s="32" t="s">
        <v>1</v>
      </c>
      <c r="D10" s="391"/>
      <c r="F10" t="s">
        <v>127</v>
      </c>
      <c r="G10" s="21">
        <v>0</v>
      </c>
      <c r="H10" s="21">
        <v>0</v>
      </c>
      <c r="I10" s="21">
        <v>0</v>
      </c>
      <c r="J10" s="21">
        <v>0</v>
      </c>
      <c r="K10" s="21">
        <v>0</v>
      </c>
      <c r="L10" s="21"/>
      <c r="M10" s="21"/>
      <c r="N10" s="21"/>
      <c r="O10" s="21"/>
      <c r="P10" s="21"/>
      <c r="Q10" s="21"/>
      <c r="R10" s="23">
        <v>0</v>
      </c>
      <c r="S10" s="23">
        <v>0</v>
      </c>
      <c r="T10" s="23">
        <v>0</v>
      </c>
      <c r="U10" s="23">
        <v>0</v>
      </c>
      <c r="V10" s="23">
        <v>0</v>
      </c>
      <c r="W10" s="23"/>
      <c r="X10" s="23"/>
      <c r="Y10" s="23"/>
      <c r="Z10" s="23"/>
      <c r="AA10" s="23"/>
      <c r="AB10" s="23"/>
      <c r="AC10" s="25">
        <v>0</v>
      </c>
      <c r="AD10" s="25">
        <v>0</v>
      </c>
      <c r="AE10" s="25">
        <v>0</v>
      </c>
      <c r="AF10" s="25">
        <v>0</v>
      </c>
      <c r="AG10" s="25">
        <v>0</v>
      </c>
      <c r="AH10" s="25"/>
      <c r="AI10" s="25"/>
      <c r="AJ10" s="25"/>
      <c r="AK10" s="25"/>
      <c r="AL10" s="25"/>
      <c r="AM10" s="25"/>
    </row>
    <row r="11" spans="1:39" ht="15" customHeight="1">
      <c r="A11" s="32" t="str">
        <f t="shared" si="5"/>
        <v>Powercor--&gt; 132 kV; WOOD</v>
      </c>
      <c r="B11" s="32" t="str">
        <f t="shared" si="6"/>
        <v>Powercor</v>
      </c>
      <c r="C11" s="32" t="s">
        <v>1</v>
      </c>
      <c r="D11" s="391"/>
      <c r="F11" t="s">
        <v>129</v>
      </c>
      <c r="G11" s="21">
        <v>0</v>
      </c>
      <c r="H11" s="21">
        <v>0</v>
      </c>
      <c r="I11" s="21">
        <v>0</v>
      </c>
      <c r="J11" s="21">
        <v>0</v>
      </c>
      <c r="K11" s="21">
        <v>0</v>
      </c>
      <c r="L11" s="21"/>
      <c r="M11" s="21"/>
      <c r="N11" s="21"/>
      <c r="O11" s="21"/>
      <c r="P11" s="21"/>
      <c r="Q11" s="21"/>
      <c r="R11" s="23">
        <v>0</v>
      </c>
      <c r="S11" s="23">
        <v>0</v>
      </c>
      <c r="T11" s="23">
        <v>0</v>
      </c>
      <c r="U11" s="23">
        <v>0</v>
      </c>
      <c r="V11" s="23">
        <v>0</v>
      </c>
      <c r="W11" s="23"/>
      <c r="X11" s="23"/>
      <c r="Y11" s="23"/>
      <c r="Z11" s="23"/>
      <c r="AA11" s="23"/>
      <c r="AB11" s="23"/>
      <c r="AC11" s="25">
        <v>0</v>
      </c>
      <c r="AD11" s="25">
        <v>0</v>
      </c>
      <c r="AE11" s="25">
        <v>0</v>
      </c>
      <c r="AF11" s="25">
        <v>0</v>
      </c>
      <c r="AG11" s="25">
        <v>0</v>
      </c>
      <c r="AH11" s="25"/>
      <c r="AI11" s="25"/>
      <c r="AJ11" s="25"/>
      <c r="AK11" s="25"/>
      <c r="AL11" s="25"/>
      <c r="AM11" s="25"/>
    </row>
    <row r="12" spans="1:39" ht="15" customHeight="1">
      <c r="A12" s="32" t="str">
        <f t="shared" si="5"/>
        <v>Powercor--˂ = 1 kV; CONCRETE</v>
      </c>
      <c r="B12" s="32" t="str">
        <f t="shared" si="6"/>
        <v>Powercor</v>
      </c>
      <c r="C12" s="32" t="s">
        <v>1</v>
      </c>
      <c r="D12" s="391"/>
      <c r="F12" t="s">
        <v>131</v>
      </c>
      <c r="G12" s="21">
        <v>267.48774809074018</v>
      </c>
      <c r="H12" s="21">
        <v>133.67300105365271</v>
      </c>
      <c r="I12" s="21">
        <v>346.18207833410582</v>
      </c>
      <c r="J12" s="21">
        <v>213.01522098745986</v>
      </c>
      <c r="K12" s="21">
        <v>246.1435007219992</v>
      </c>
      <c r="L12" s="21"/>
      <c r="M12" s="21"/>
      <c r="N12" s="21"/>
      <c r="O12" s="21"/>
      <c r="P12" s="21"/>
      <c r="Q12" s="21"/>
      <c r="R12" s="23">
        <v>23</v>
      </c>
      <c r="S12" s="23">
        <v>10</v>
      </c>
      <c r="T12" s="23">
        <v>20</v>
      </c>
      <c r="U12" s="23">
        <v>14</v>
      </c>
      <c r="V12" s="23">
        <v>15</v>
      </c>
      <c r="W12" s="23"/>
      <c r="X12" s="23"/>
      <c r="Y12" s="23"/>
      <c r="Z12" s="23"/>
      <c r="AA12" s="23"/>
      <c r="AB12" s="23"/>
      <c r="AC12" s="25">
        <v>0</v>
      </c>
      <c r="AD12" s="25">
        <v>0</v>
      </c>
      <c r="AE12" s="25">
        <v>0</v>
      </c>
      <c r="AF12" s="25">
        <v>0</v>
      </c>
      <c r="AG12" s="25">
        <v>0</v>
      </c>
      <c r="AH12" s="25"/>
      <c r="AI12" s="25"/>
      <c r="AJ12" s="25"/>
      <c r="AK12" s="25"/>
      <c r="AL12" s="25"/>
      <c r="AM12" s="25"/>
    </row>
    <row r="13" spans="1:39" ht="15" customHeight="1">
      <c r="A13" s="32" t="str">
        <f t="shared" si="5"/>
        <v>Powercor--&gt; 1 kV &amp; &lt; = 11 kV; CONCRETE</v>
      </c>
      <c r="B13" s="32" t="str">
        <f t="shared" si="6"/>
        <v>Powercor</v>
      </c>
      <c r="C13" s="32" t="s">
        <v>1</v>
      </c>
      <c r="D13" s="391"/>
      <c r="F13" t="s">
        <v>133</v>
      </c>
      <c r="G13" s="21">
        <v>0</v>
      </c>
      <c r="H13" s="21">
        <v>0</v>
      </c>
      <c r="I13" s="21">
        <v>0</v>
      </c>
      <c r="J13" s="21">
        <v>0</v>
      </c>
      <c r="K13" s="21">
        <v>0</v>
      </c>
      <c r="L13" s="21"/>
      <c r="M13" s="21"/>
      <c r="N13" s="21"/>
      <c r="O13" s="21"/>
      <c r="P13" s="21"/>
      <c r="Q13" s="21"/>
      <c r="R13" s="23">
        <v>0</v>
      </c>
      <c r="S13" s="23">
        <v>0</v>
      </c>
      <c r="T13" s="23">
        <v>0</v>
      </c>
      <c r="U13" s="23">
        <v>0</v>
      </c>
      <c r="V13" s="23">
        <v>0</v>
      </c>
      <c r="W13" s="23"/>
      <c r="X13" s="23"/>
      <c r="Y13" s="23"/>
      <c r="Z13" s="23"/>
      <c r="AA13" s="23"/>
      <c r="AB13" s="23"/>
      <c r="AC13" s="25">
        <v>0</v>
      </c>
      <c r="AD13" s="25">
        <v>0</v>
      </c>
      <c r="AE13" s="25">
        <v>0</v>
      </c>
      <c r="AF13" s="25">
        <v>0</v>
      </c>
      <c r="AG13" s="25">
        <v>0</v>
      </c>
      <c r="AH13" s="25"/>
      <c r="AI13" s="25"/>
      <c r="AJ13" s="25"/>
      <c r="AK13" s="25"/>
      <c r="AL13" s="25"/>
      <c r="AM13" s="25"/>
    </row>
    <row r="14" spans="1:39" ht="15" customHeight="1">
      <c r="A14" s="32" t="str">
        <f t="shared" si="5"/>
        <v>Powercor--˃ 11 kV &amp; &lt; = 22 kV; CONCRETE</v>
      </c>
      <c r="B14" s="32" t="str">
        <f t="shared" si="6"/>
        <v>Powercor</v>
      </c>
      <c r="C14" s="32" t="s">
        <v>1</v>
      </c>
      <c r="D14" s="391"/>
      <c r="F14" t="s">
        <v>153</v>
      </c>
      <c r="G14" s="21">
        <v>1981.3085429614353</v>
      </c>
      <c r="H14" s="21">
        <v>1056.5983959593241</v>
      </c>
      <c r="I14" s="21">
        <v>939.74079822786712</v>
      </c>
      <c r="J14" s="21">
        <v>1384.3944394935952</v>
      </c>
      <c r="K14" s="21">
        <v>1516.9882543508797</v>
      </c>
      <c r="L14" s="21"/>
      <c r="M14" s="21"/>
      <c r="N14" s="21"/>
      <c r="O14" s="21"/>
      <c r="P14" s="21"/>
      <c r="Q14" s="21"/>
      <c r="R14" s="23">
        <v>170</v>
      </c>
      <c r="S14" s="23">
        <v>71</v>
      </c>
      <c r="T14" s="23">
        <v>55</v>
      </c>
      <c r="U14" s="23">
        <v>86</v>
      </c>
      <c r="V14" s="23">
        <v>91</v>
      </c>
      <c r="W14" s="23"/>
      <c r="X14" s="23"/>
      <c r="Y14" s="23"/>
      <c r="Z14" s="23"/>
      <c r="AA14" s="23"/>
      <c r="AB14" s="23"/>
      <c r="AC14" s="25">
        <v>0</v>
      </c>
      <c r="AD14" s="25">
        <v>0</v>
      </c>
      <c r="AE14" s="25">
        <v>0</v>
      </c>
      <c r="AF14" s="25">
        <v>0</v>
      </c>
      <c r="AG14" s="25">
        <v>0</v>
      </c>
      <c r="AH14" s="25"/>
      <c r="AI14" s="25"/>
      <c r="AJ14" s="25"/>
      <c r="AK14" s="25"/>
      <c r="AL14" s="25"/>
      <c r="AM14" s="25"/>
    </row>
    <row r="15" spans="1:39" ht="15" customHeight="1">
      <c r="A15" s="32" t="str">
        <f t="shared" si="5"/>
        <v>Powercor--&gt; 22 kV &amp; &lt; = 66 kV; CONCRETE</v>
      </c>
      <c r="B15" s="32" t="str">
        <f t="shared" si="6"/>
        <v>Powercor</v>
      </c>
      <c r="C15" s="32" t="s">
        <v>1</v>
      </c>
      <c r="D15" s="391"/>
      <c r="F15" t="s">
        <v>155</v>
      </c>
      <c r="G15" s="21">
        <v>717.47508681085287</v>
      </c>
      <c r="H15" s="21">
        <v>117.99162290116716</v>
      </c>
      <c r="I15" s="21">
        <v>24.631527530918522</v>
      </c>
      <c r="J15" s="21">
        <v>404.73088267003476</v>
      </c>
      <c r="K15" s="21">
        <v>90.002897044727348</v>
      </c>
      <c r="L15" s="21"/>
      <c r="M15" s="21"/>
      <c r="N15" s="21"/>
      <c r="O15" s="21"/>
      <c r="P15" s="21"/>
      <c r="Q15" s="21"/>
      <c r="R15" s="23">
        <v>46</v>
      </c>
      <c r="S15" s="23">
        <v>7</v>
      </c>
      <c r="T15" s="23">
        <v>1</v>
      </c>
      <c r="U15" s="23">
        <v>20</v>
      </c>
      <c r="V15" s="23">
        <v>4</v>
      </c>
      <c r="W15" s="23"/>
      <c r="X15" s="23"/>
      <c r="Y15" s="23"/>
      <c r="Z15" s="23"/>
      <c r="AA15" s="23"/>
      <c r="AB15" s="23"/>
      <c r="AC15" s="25">
        <v>0</v>
      </c>
      <c r="AD15" s="25">
        <v>0</v>
      </c>
      <c r="AE15" s="25">
        <v>0</v>
      </c>
      <c r="AF15" s="25">
        <v>0</v>
      </c>
      <c r="AG15" s="25">
        <v>0</v>
      </c>
      <c r="AH15" s="25"/>
      <c r="AI15" s="25"/>
      <c r="AJ15" s="25"/>
      <c r="AK15" s="25"/>
      <c r="AL15" s="25"/>
      <c r="AM15" s="25"/>
    </row>
    <row r="16" spans="1:39" ht="15" customHeight="1">
      <c r="A16" s="32" t="str">
        <f t="shared" si="5"/>
        <v>Powercor--&gt; 66 kV &amp; &lt; = 132 kV; CONCRETE</v>
      </c>
      <c r="B16" s="32" t="str">
        <f t="shared" si="6"/>
        <v>Powercor</v>
      </c>
      <c r="C16" s="32" t="s">
        <v>1</v>
      </c>
      <c r="D16" s="391"/>
      <c r="F16" t="s">
        <v>157</v>
      </c>
      <c r="G16" s="21">
        <v>0</v>
      </c>
      <c r="H16" s="21">
        <v>0</v>
      </c>
      <c r="I16" s="21">
        <v>0</v>
      </c>
      <c r="J16" s="21">
        <v>0</v>
      </c>
      <c r="K16" s="21">
        <v>0</v>
      </c>
      <c r="L16" s="21"/>
      <c r="M16" s="21"/>
      <c r="N16" s="21"/>
      <c r="O16" s="21"/>
      <c r="P16" s="21"/>
      <c r="Q16" s="21"/>
      <c r="R16" s="23">
        <v>0</v>
      </c>
      <c r="S16" s="23">
        <v>0</v>
      </c>
      <c r="T16" s="23">
        <v>0</v>
      </c>
      <c r="U16" s="23">
        <v>0</v>
      </c>
      <c r="V16" s="23">
        <v>0</v>
      </c>
      <c r="W16" s="23"/>
      <c r="X16" s="23"/>
      <c r="Y16" s="23"/>
      <c r="Z16" s="23"/>
      <c r="AA16" s="23"/>
      <c r="AB16" s="23"/>
      <c r="AC16" s="25">
        <v>0</v>
      </c>
      <c r="AD16" s="25">
        <v>0</v>
      </c>
      <c r="AE16" s="25">
        <v>0</v>
      </c>
      <c r="AF16" s="25">
        <v>0</v>
      </c>
      <c r="AG16" s="25">
        <v>0</v>
      </c>
      <c r="AH16" s="25"/>
      <c r="AI16" s="25"/>
      <c r="AJ16" s="25"/>
      <c r="AK16" s="25"/>
      <c r="AL16" s="25"/>
      <c r="AM16" s="25"/>
    </row>
    <row r="17" spans="1:39" ht="15" customHeight="1">
      <c r="A17" s="32" t="str">
        <f t="shared" si="5"/>
        <v>Powercor--&gt; 132 kV; CONCRETE</v>
      </c>
      <c r="B17" s="32" t="str">
        <f t="shared" si="6"/>
        <v>Powercor</v>
      </c>
      <c r="C17" s="32" t="s">
        <v>1</v>
      </c>
      <c r="D17" s="391"/>
      <c r="F17" t="s">
        <v>159</v>
      </c>
      <c r="G17" s="21">
        <v>0</v>
      </c>
      <c r="H17" s="21">
        <v>0</v>
      </c>
      <c r="I17" s="21">
        <v>0</v>
      </c>
      <c r="J17" s="21">
        <v>0</v>
      </c>
      <c r="K17" s="21">
        <v>0</v>
      </c>
      <c r="L17" s="21"/>
      <c r="M17" s="21"/>
      <c r="N17" s="21"/>
      <c r="O17" s="21"/>
      <c r="P17" s="21"/>
      <c r="Q17" s="21"/>
      <c r="R17" s="23">
        <v>0</v>
      </c>
      <c r="S17" s="23">
        <v>0</v>
      </c>
      <c r="T17" s="23">
        <v>0</v>
      </c>
      <c r="U17" s="23">
        <v>0</v>
      </c>
      <c r="V17" s="23">
        <v>0</v>
      </c>
      <c r="W17" s="23"/>
      <c r="X17" s="23"/>
      <c r="Y17" s="23"/>
      <c r="Z17" s="23"/>
      <c r="AA17" s="23"/>
      <c r="AB17" s="23"/>
      <c r="AC17" s="25">
        <v>0</v>
      </c>
      <c r="AD17" s="25">
        <v>0</v>
      </c>
      <c r="AE17" s="25">
        <v>0</v>
      </c>
      <c r="AF17" s="25">
        <v>0</v>
      </c>
      <c r="AG17" s="25">
        <v>0</v>
      </c>
      <c r="AH17" s="25"/>
      <c r="AI17" s="25"/>
      <c r="AJ17" s="25"/>
      <c r="AK17" s="25"/>
      <c r="AL17" s="25"/>
      <c r="AM17" s="25"/>
    </row>
    <row r="18" spans="1:39" ht="15" customHeight="1">
      <c r="A18" s="32" t="str">
        <f t="shared" si="5"/>
        <v>Powercor--˂ = 1 kV; STEEL</v>
      </c>
      <c r="B18" s="32" t="str">
        <f t="shared" si="6"/>
        <v>Powercor</v>
      </c>
      <c r="C18" s="32" t="s">
        <v>1</v>
      </c>
      <c r="D18" s="391"/>
      <c r="F18" t="s">
        <v>161</v>
      </c>
      <c r="G18" s="21">
        <v>29.735189758898798</v>
      </c>
      <c r="H18" s="21">
        <v>38.504229268212725</v>
      </c>
      <c r="I18" s="21">
        <v>35.64124671526983</v>
      </c>
      <c r="J18" s="21">
        <v>67.324759352023207</v>
      </c>
      <c r="K18" s="21">
        <v>63.814369040450742</v>
      </c>
      <c r="L18" s="21"/>
      <c r="M18" s="21"/>
      <c r="N18" s="21"/>
      <c r="O18" s="21"/>
      <c r="P18" s="21"/>
      <c r="Q18" s="21"/>
      <c r="R18" s="23">
        <v>4</v>
      </c>
      <c r="S18" s="23">
        <v>5</v>
      </c>
      <c r="T18" s="23">
        <v>4</v>
      </c>
      <c r="U18" s="23">
        <v>7</v>
      </c>
      <c r="V18" s="23">
        <v>6</v>
      </c>
      <c r="W18" s="23"/>
      <c r="X18" s="23"/>
      <c r="Y18" s="23"/>
      <c r="Z18" s="23"/>
      <c r="AA18" s="23"/>
      <c r="AB18" s="23"/>
      <c r="AC18" s="25">
        <v>5</v>
      </c>
      <c r="AD18" s="25">
        <v>4</v>
      </c>
      <c r="AE18" s="25">
        <v>3</v>
      </c>
      <c r="AF18" s="25">
        <v>5</v>
      </c>
      <c r="AG18" s="25">
        <v>5</v>
      </c>
      <c r="AH18" s="25"/>
      <c r="AI18" s="25"/>
      <c r="AJ18" s="25"/>
      <c r="AK18" s="25"/>
      <c r="AL18" s="25"/>
      <c r="AM18" s="25"/>
    </row>
    <row r="19" spans="1:39" ht="15" customHeight="1">
      <c r="A19" s="32" t="str">
        <f t="shared" si="5"/>
        <v>Powercor--&gt; 1 kV &amp; &lt; = 11 kV; STEEL</v>
      </c>
      <c r="B19" s="32" t="str">
        <f t="shared" si="6"/>
        <v>Powercor</v>
      </c>
      <c r="C19" s="32" t="s">
        <v>1</v>
      </c>
      <c r="D19" s="391"/>
      <c r="F19" t="s">
        <v>163</v>
      </c>
      <c r="G19" s="21">
        <v>0</v>
      </c>
      <c r="H19" s="21">
        <v>0</v>
      </c>
      <c r="I19" s="21">
        <v>0</v>
      </c>
      <c r="J19" s="21">
        <v>0</v>
      </c>
      <c r="K19" s="21">
        <v>0</v>
      </c>
      <c r="L19" s="21"/>
      <c r="M19" s="21"/>
      <c r="N19" s="21"/>
      <c r="O19" s="21"/>
      <c r="P19" s="21"/>
      <c r="Q19" s="21"/>
      <c r="R19" s="23">
        <v>0</v>
      </c>
      <c r="S19" s="23">
        <v>0</v>
      </c>
      <c r="T19" s="23">
        <v>0</v>
      </c>
      <c r="U19" s="23">
        <v>0</v>
      </c>
      <c r="V19" s="23">
        <v>0</v>
      </c>
      <c r="W19" s="23"/>
      <c r="X19" s="23"/>
      <c r="Y19" s="23"/>
      <c r="Z19" s="23"/>
      <c r="AA19" s="23"/>
      <c r="AB19" s="23"/>
      <c r="AC19" s="25">
        <v>0</v>
      </c>
      <c r="AD19" s="25">
        <v>0</v>
      </c>
      <c r="AE19" s="25">
        <v>0</v>
      </c>
      <c r="AF19" s="25">
        <v>0</v>
      </c>
      <c r="AG19" s="25">
        <v>0</v>
      </c>
      <c r="AH19" s="25"/>
      <c r="AI19" s="25"/>
      <c r="AJ19" s="25"/>
      <c r="AK19" s="25"/>
      <c r="AL19" s="25"/>
      <c r="AM19" s="25"/>
    </row>
    <row r="20" spans="1:39" ht="15" customHeight="1">
      <c r="A20" s="32" t="str">
        <f t="shared" si="5"/>
        <v>Powercor--˃ 11 kV &amp; &lt; = 22 kV; STEEL</v>
      </c>
      <c r="B20" s="32" t="str">
        <f t="shared" si="6"/>
        <v>Powercor</v>
      </c>
      <c r="C20" s="32" t="s">
        <v>1</v>
      </c>
      <c r="D20" s="391"/>
      <c r="F20" t="s">
        <v>165</v>
      </c>
      <c r="G20" s="21">
        <v>0</v>
      </c>
      <c r="H20" s="21">
        <v>0</v>
      </c>
      <c r="I20" s="21">
        <v>0</v>
      </c>
      <c r="J20" s="21">
        <v>0</v>
      </c>
      <c r="K20" s="21">
        <v>0</v>
      </c>
      <c r="L20" s="21"/>
      <c r="M20" s="21"/>
      <c r="N20" s="21"/>
      <c r="O20" s="21"/>
      <c r="P20" s="21"/>
      <c r="Q20" s="21"/>
      <c r="R20" s="23">
        <v>0</v>
      </c>
      <c r="S20" s="23">
        <v>0</v>
      </c>
      <c r="T20" s="23">
        <v>0</v>
      </c>
      <c r="U20" s="23">
        <v>0</v>
      </c>
      <c r="V20" s="23">
        <v>0</v>
      </c>
      <c r="W20" s="23"/>
      <c r="X20" s="23"/>
      <c r="Y20" s="23"/>
      <c r="Z20" s="23"/>
      <c r="AA20" s="23"/>
      <c r="AB20" s="23"/>
      <c r="AC20" s="25">
        <v>0</v>
      </c>
      <c r="AD20" s="25">
        <v>0</v>
      </c>
      <c r="AE20" s="25">
        <v>0</v>
      </c>
      <c r="AF20" s="25">
        <v>0</v>
      </c>
      <c r="AG20" s="25">
        <v>0</v>
      </c>
      <c r="AH20" s="25"/>
      <c r="AI20" s="25"/>
      <c r="AJ20" s="25"/>
      <c r="AK20" s="25"/>
      <c r="AL20" s="25"/>
      <c r="AM20" s="25"/>
    </row>
    <row r="21" spans="1:39" ht="15" customHeight="1">
      <c r="A21" s="32" t="str">
        <f t="shared" si="5"/>
        <v>Powercor--&gt; 22 kV &amp; &lt; = 66 kV; STEEL</v>
      </c>
      <c r="B21" s="32" t="str">
        <f t="shared" si="6"/>
        <v>Powercor</v>
      </c>
      <c r="C21" s="32" t="s">
        <v>1</v>
      </c>
      <c r="D21" s="391"/>
      <c r="F21" t="s">
        <v>166</v>
      </c>
      <c r="G21" s="21">
        <v>0</v>
      </c>
      <c r="H21" s="21">
        <v>0</v>
      </c>
      <c r="I21" s="21">
        <v>0</v>
      </c>
      <c r="J21" s="21">
        <v>0</v>
      </c>
      <c r="K21" s="21">
        <v>0</v>
      </c>
      <c r="L21" s="21"/>
      <c r="M21" s="21"/>
      <c r="N21" s="21"/>
      <c r="O21" s="21"/>
      <c r="P21" s="21"/>
      <c r="Q21" s="21"/>
      <c r="R21" s="23">
        <v>0</v>
      </c>
      <c r="S21" s="23">
        <v>0</v>
      </c>
      <c r="T21" s="23">
        <v>0</v>
      </c>
      <c r="U21" s="23">
        <v>0</v>
      </c>
      <c r="V21" s="23">
        <v>0</v>
      </c>
      <c r="W21" s="23"/>
      <c r="X21" s="23"/>
      <c r="Y21" s="23"/>
      <c r="Z21" s="23"/>
      <c r="AA21" s="23"/>
      <c r="AB21" s="23"/>
      <c r="AC21" s="25">
        <v>0</v>
      </c>
      <c r="AD21" s="25">
        <v>0</v>
      </c>
      <c r="AE21" s="25">
        <v>0</v>
      </c>
      <c r="AF21" s="25">
        <v>0</v>
      </c>
      <c r="AG21" s="25">
        <v>0</v>
      </c>
      <c r="AH21" s="25"/>
      <c r="AI21" s="25"/>
      <c r="AJ21" s="25"/>
      <c r="AK21" s="25"/>
      <c r="AL21" s="25"/>
      <c r="AM21" s="25"/>
    </row>
    <row r="22" spans="1:39" ht="15" customHeight="1">
      <c r="A22" s="32" t="str">
        <f t="shared" si="5"/>
        <v>Powercor--&gt; 66 kV &amp; &lt; = 132 kV; STEEL</v>
      </c>
      <c r="B22" s="32" t="str">
        <f t="shared" si="6"/>
        <v>Powercor</v>
      </c>
      <c r="C22" s="32" t="s">
        <v>1</v>
      </c>
      <c r="D22" s="391"/>
      <c r="F22" t="s">
        <v>167</v>
      </c>
      <c r="G22" s="21">
        <v>0</v>
      </c>
      <c r="H22" s="21">
        <v>0</v>
      </c>
      <c r="I22" s="21">
        <v>0</v>
      </c>
      <c r="J22" s="21">
        <v>0</v>
      </c>
      <c r="K22" s="21">
        <v>0</v>
      </c>
      <c r="L22" s="21"/>
      <c r="M22" s="21"/>
      <c r="N22" s="21"/>
      <c r="O22" s="21"/>
      <c r="P22" s="21"/>
      <c r="Q22" s="21"/>
      <c r="R22" s="23">
        <v>0</v>
      </c>
      <c r="S22" s="23">
        <v>0</v>
      </c>
      <c r="T22" s="23">
        <v>0</v>
      </c>
      <c r="U22" s="23">
        <v>0</v>
      </c>
      <c r="V22" s="23">
        <v>0</v>
      </c>
      <c r="W22" s="23"/>
      <c r="X22" s="23"/>
      <c r="Y22" s="23"/>
      <c r="Z22" s="23"/>
      <c r="AA22" s="23"/>
      <c r="AB22" s="23"/>
      <c r="AC22" s="25">
        <v>0</v>
      </c>
      <c r="AD22" s="25">
        <v>0</v>
      </c>
      <c r="AE22" s="25">
        <v>0</v>
      </c>
      <c r="AF22" s="25">
        <v>0</v>
      </c>
      <c r="AG22" s="25">
        <v>0</v>
      </c>
      <c r="AH22" s="25"/>
      <c r="AI22" s="25"/>
      <c r="AJ22" s="25"/>
      <c r="AK22" s="25"/>
      <c r="AL22" s="25"/>
      <c r="AM22" s="25"/>
    </row>
    <row r="23" spans="1:39" ht="15" customHeight="1">
      <c r="A23" s="32" t="str">
        <f t="shared" si="5"/>
        <v>Powercor--&gt; 132 kV; STEEL</v>
      </c>
      <c r="B23" s="32" t="str">
        <f t="shared" si="6"/>
        <v>Powercor</v>
      </c>
      <c r="C23" s="32" t="s">
        <v>1</v>
      </c>
      <c r="D23" s="391"/>
      <c r="F23" t="s">
        <v>168</v>
      </c>
      <c r="G23" s="21">
        <v>0</v>
      </c>
      <c r="H23" s="21">
        <v>0</v>
      </c>
      <c r="I23" s="21">
        <v>0</v>
      </c>
      <c r="J23" s="21">
        <v>0</v>
      </c>
      <c r="K23" s="21">
        <v>0</v>
      </c>
      <c r="L23" s="21"/>
      <c r="M23" s="21"/>
      <c r="N23" s="21"/>
      <c r="O23" s="21"/>
      <c r="P23" s="21"/>
      <c r="Q23" s="21"/>
      <c r="R23" s="23">
        <v>0</v>
      </c>
      <c r="S23" s="23">
        <v>0</v>
      </c>
      <c r="T23" s="23">
        <v>0</v>
      </c>
      <c r="U23" s="23">
        <v>0</v>
      </c>
      <c r="V23" s="23">
        <v>0</v>
      </c>
      <c r="W23" s="23"/>
      <c r="X23" s="23"/>
      <c r="Y23" s="23"/>
      <c r="Z23" s="23"/>
      <c r="AA23" s="23"/>
      <c r="AB23" s="23"/>
      <c r="AC23" s="25">
        <v>0</v>
      </c>
      <c r="AD23" s="25">
        <v>0</v>
      </c>
      <c r="AE23" s="25">
        <v>0</v>
      </c>
      <c r="AF23" s="25">
        <v>0</v>
      </c>
      <c r="AG23" s="25">
        <v>0</v>
      </c>
      <c r="AH23" s="25"/>
      <c r="AI23" s="25"/>
      <c r="AJ23" s="25"/>
      <c r="AK23" s="25"/>
      <c r="AL23" s="25"/>
      <c r="AM23" s="25"/>
    </row>
    <row r="24" spans="1:39" ht="15" customHeight="1">
      <c r="A24" s="32" t="str">
        <f t="shared" si="5"/>
        <v>Powercor--AERIAL GUY POLE</v>
      </c>
      <c r="B24" s="32" t="str">
        <f t="shared" si="6"/>
        <v>Powercor</v>
      </c>
      <c r="C24" s="32" t="s">
        <v>1</v>
      </c>
      <c r="D24" s="391"/>
      <c r="F24" t="s">
        <v>169</v>
      </c>
      <c r="G24" s="21">
        <v>97.257257480349622</v>
      </c>
      <c r="H24" s="21">
        <v>100.75108369268838</v>
      </c>
      <c r="I24" s="21">
        <v>179.34564486951746</v>
      </c>
      <c r="J24" s="21">
        <v>87.113852989487995</v>
      </c>
      <c r="K24" s="21">
        <v>149.85222938003787</v>
      </c>
      <c r="L24" s="21"/>
      <c r="M24" s="21"/>
      <c r="N24" s="21"/>
      <c r="O24" s="21"/>
      <c r="P24" s="21"/>
      <c r="Q24" s="21"/>
      <c r="R24" s="23">
        <v>13</v>
      </c>
      <c r="S24" s="23">
        <v>13</v>
      </c>
      <c r="T24" s="23">
        <v>20</v>
      </c>
      <c r="U24" s="23">
        <v>9</v>
      </c>
      <c r="V24" s="23">
        <v>14</v>
      </c>
      <c r="W24" s="23"/>
      <c r="X24" s="23"/>
      <c r="Y24" s="23"/>
      <c r="Z24" s="23"/>
      <c r="AA24" s="23"/>
      <c r="AB24" s="23"/>
      <c r="AC24" s="25">
        <v>0</v>
      </c>
      <c r="AD24" s="25">
        <v>0</v>
      </c>
      <c r="AE24" s="25">
        <v>0</v>
      </c>
      <c r="AF24" s="25">
        <v>0</v>
      </c>
      <c r="AG24" s="25">
        <v>0</v>
      </c>
      <c r="AH24" s="25"/>
      <c r="AI24" s="25"/>
      <c r="AJ24" s="25"/>
      <c r="AK24" s="25"/>
      <c r="AL24" s="25"/>
      <c r="AM24" s="25"/>
    </row>
    <row r="25" spans="1:39" ht="15" customHeight="1">
      <c r="A25" s="32" t="str">
        <f t="shared" si="5"/>
        <v>Powercor--OTHER - PLEASE ADD A ROW IF NECESSARY AND NOMINATE THE CATEGORY</v>
      </c>
      <c r="B25" s="32" t="str">
        <f t="shared" si="6"/>
        <v>Powercor</v>
      </c>
      <c r="C25" s="32" t="s">
        <v>1</v>
      </c>
      <c r="D25" s="391"/>
      <c r="F25" t="s">
        <v>170</v>
      </c>
      <c r="G25" s="21"/>
      <c r="H25" s="21"/>
      <c r="I25" s="21"/>
      <c r="J25" s="21"/>
      <c r="K25" s="21"/>
      <c r="L25" s="21"/>
      <c r="M25" s="21"/>
      <c r="N25" s="21"/>
      <c r="O25" s="21"/>
      <c r="P25" s="21"/>
      <c r="Q25" s="21"/>
      <c r="R25" s="23"/>
      <c r="S25" s="23"/>
      <c r="T25" s="23"/>
      <c r="U25" s="23"/>
      <c r="V25" s="23"/>
      <c r="W25" s="23"/>
      <c r="X25" s="23"/>
      <c r="Y25" s="23"/>
      <c r="Z25" s="23"/>
      <c r="AA25" s="23"/>
      <c r="AB25" s="23"/>
      <c r="AC25" s="25"/>
      <c r="AD25" s="25"/>
      <c r="AE25" s="25"/>
      <c r="AF25" s="25"/>
      <c r="AG25" s="25"/>
      <c r="AH25" s="25"/>
      <c r="AI25" s="25"/>
      <c r="AJ25" s="25"/>
      <c r="AK25" s="25"/>
      <c r="AL25" s="25"/>
      <c r="AM25" s="25"/>
    </row>
    <row r="26" spans="1:39" ht="30" customHeight="1">
      <c r="A26" s="32" t="str">
        <f t="shared" si="5"/>
        <v>Powercor-POLE TOP STRUCTURES BY: 
HIGHEST OPERATING VOLTAGE-˂ = 1 kV</v>
      </c>
      <c r="B26" s="32" t="str">
        <f t="shared" si="6"/>
        <v>Powercor</v>
      </c>
      <c r="C26" s="32" t="s">
        <v>1131</v>
      </c>
      <c r="D26" s="391"/>
      <c r="E26" s="3" t="s">
        <v>660</v>
      </c>
      <c r="F26" t="s">
        <v>171</v>
      </c>
      <c r="G26" s="21">
        <v>2375.7819573782713</v>
      </c>
      <c r="H26" s="21">
        <v>5067.7018037163571</v>
      </c>
      <c r="I26" s="21">
        <v>4216.8257124215661</v>
      </c>
      <c r="J26" s="21">
        <v>6145.1692861687889</v>
      </c>
      <c r="K26" s="21">
        <v>8202.4229784046802</v>
      </c>
      <c r="L26" s="21"/>
      <c r="M26" s="21"/>
      <c r="N26" s="21"/>
      <c r="O26" s="21"/>
      <c r="P26" s="21"/>
      <c r="Q26" s="21"/>
      <c r="R26" s="23">
        <v>946</v>
      </c>
      <c r="S26" s="23">
        <v>1362</v>
      </c>
      <c r="T26" s="23">
        <v>1337</v>
      </c>
      <c r="U26" s="23">
        <v>2164</v>
      </c>
      <c r="V26" s="23">
        <v>3633</v>
      </c>
      <c r="W26" s="23"/>
      <c r="X26" s="23"/>
      <c r="Y26" s="23"/>
      <c r="Z26" s="23"/>
      <c r="AA26" s="23"/>
      <c r="AB26" s="23"/>
      <c r="AC26" s="25">
        <v>6</v>
      </c>
      <c r="AD26" s="25">
        <v>18</v>
      </c>
      <c r="AE26" s="25">
        <v>45</v>
      </c>
      <c r="AF26" s="25">
        <v>42</v>
      </c>
      <c r="AG26" s="25">
        <v>65</v>
      </c>
      <c r="AH26" s="25"/>
      <c r="AI26" s="25"/>
      <c r="AJ26" s="25"/>
      <c r="AK26" s="25"/>
      <c r="AL26" s="25"/>
      <c r="AM26" s="25"/>
    </row>
    <row r="27" spans="1:39" ht="15" customHeight="1">
      <c r="A27" s="32" t="str">
        <f t="shared" si="5"/>
        <v>Powercor--&gt; 1 kV &amp; &lt; = 11 kV</v>
      </c>
      <c r="B27" s="32" t="str">
        <f t="shared" si="6"/>
        <v>Powercor</v>
      </c>
      <c r="C27" s="32" t="s">
        <v>1131</v>
      </c>
      <c r="D27" s="391"/>
      <c r="F27" t="s">
        <v>172</v>
      </c>
      <c r="G27" s="21">
        <v>0</v>
      </c>
      <c r="H27" s="21">
        <v>8.23442904054696</v>
      </c>
      <c r="I27" s="21">
        <v>5.6</v>
      </c>
      <c r="J27" s="21">
        <v>19.399999999999999</v>
      </c>
      <c r="K27" s="21">
        <v>3.1</v>
      </c>
      <c r="L27" s="21"/>
      <c r="M27" s="21"/>
      <c r="N27" s="21"/>
      <c r="O27" s="21"/>
      <c r="P27" s="21"/>
      <c r="Q27" s="21"/>
      <c r="R27" s="23">
        <v>0</v>
      </c>
      <c r="S27" s="23">
        <v>3</v>
      </c>
      <c r="T27" s="23">
        <v>2</v>
      </c>
      <c r="U27" s="23">
        <v>9</v>
      </c>
      <c r="V27" s="23">
        <v>2</v>
      </c>
      <c r="W27" s="23"/>
      <c r="X27" s="23"/>
      <c r="Y27" s="23"/>
      <c r="Z27" s="23"/>
      <c r="AA27" s="23"/>
      <c r="AB27" s="23"/>
      <c r="AC27" s="25">
        <v>0</v>
      </c>
      <c r="AD27" s="25">
        <v>0</v>
      </c>
      <c r="AE27" s="25">
        <v>2</v>
      </c>
      <c r="AF27" s="25">
        <v>0</v>
      </c>
      <c r="AG27" s="25">
        <v>1</v>
      </c>
      <c r="AH27" s="25"/>
      <c r="AI27" s="25"/>
      <c r="AJ27" s="25"/>
      <c r="AK27" s="25"/>
      <c r="AL27" s="25"/>
      <c r="AM27" s="25"/>
    </row>
    <row r="28" spans="1:39" ht="15" customHeight="1">
      <c r="A28" s="32" t="str">
        <f t="shared" si="5"/>
        <v>Powercor--˃ 11 kV &amp; &lt; = 22 kV</v>
      </c>
      <c r="B28" s="32" t="str">
        <f t="shared" si="6"/>
        <v>Powercor</v>
      </c>
      <c r="C28" s="32" t="s">
        <v>1131</v>
      </c>
      <c r="D28" s="391"/>
      <c r="F28" t="s">
        <v>173</v>
      </c>
      <c r="G28" s="21">
        <v>5590.9823618086866</v>
      </c>
      <c r="H28" s="21">
        <v>8505.135563229318</v>
      </c>
      <c r="I28" s="21">
        <v>12710.766230083804</v>
      </c>
      <c r="J28" s="21">
        <v>13363.793103610165</v>
      </c>
      <c r="K28" s="21">
        <v>12766.433893064514</v>
      </c>
      <c r="L28" s="21"/>
      <c r="M28" s="21"/>
      <c r="N28" s="21"/>
      <c r="O28" s="21"/>
      <c r="P28" s="21"/>
      <c r="Q28" s="21"/>
      <c r="R28" s="23">
        <v>2584</v>
      </c>
      <c r="S28" s="23">
        <v>2737</v>
      </c>
      <c r="T28" s="23">
        <v>4145</v>
      </c>
      <c r="U28" s="23">
        <v>5049</v>
      </c>
      <c r="V28" s="23">
        <v>5725</v>
      </c>
      <c r="W28" s="23"/>
      <c r="X28" s="23"/>
      <c r="Y28" s="23"/>
      <c r="Z28" s="23"/>
      <c r="AA28" s="23"/>
      <c r="AB28" s="23"/>
      <c r="AC28" s="25">
        <v>52</v>
      </c>
      <c r="AD28" s="25">
        <v>66</v>
      </c>
      <c r="AE28" s="25">
        <v>111</v>
      </c>
      <c r="AF28" s="25">
        <v>114</v>
      </c>
      <c r="AG28" s="25">
        <v>125</v>
      </c>
      <c r="AH28" s="25"/>
      <c r="AI28" s="25"/>
      <c r="AJ28" s="25"/>
      <c r="AK28" s="25"/>
      <c r="AL28" s="25"/>
      <c r="AM28" s="25"/>
    </row>
    <row r="29" spans="1:39" ht="15" customHeight="1">
      <c r="A29" s="32" t="str">
        <f t="shared" si="5"/>
        <v>Powercor--&gt; 22 kV &amp; &lt; = 66 kV</v>
      </c>
      <c r="B29" s="32" t="str">
        <f t="shared" si="6"/>
        <v>Powercor</v>
      </c>
      <c r="C29" s="32" t="s">
        <v>1131</v>
      </c>
      <c r="D29" s="391"/>
      <c r="F29" t="s">
        <v>174</v>
      </c>
      <c r="G29" s="21">
        <v>379.21402124066424</v>
      </c>
      <c r="H29" s="21">
        <v>343.84238076646034</v>
      </c>
      <c r="I29" s="21">
        <v>728.19000816173582</v>
      </c>
      <c r="J29" s="21">
        <v>1107.9739222116486</v>
      </c>
      <c r="K29" s="21">
        <v>701.6807280759632</v>
      </c>
      <c r="L29" s="21"/>
      <c r="M29" s="21"/>
      <c r="N29" s="21"/>
      <c r="O29" s="21"/>
      <c r="P29" s="21"/>
      <c r="Q29" s="21"/>
      <c r="R29" s="23">
        <v>133</v>
      </c>
      <c r="S29" s="23">
        <v>83</v>
      </c>
      <c r="T29" s="23">
        <v>191</v>
      </c>
      <c r="U29" s="23">
        <v>251</v>
      </c>
      <c r="V29" s="23">
        <v>327</v>
      </c>
      <c r="W29" s="23"/>
      <c r="X29" s="23"/>
      <c r="Y29" s="23"/>
      <c r="Z29" s="23"/>
      <c r="AA29" s="23"/>
      <c r="AB29" s="23"/>
      <c r="AC29" s="25">
        <v>3</v>
      </c>
      <c r="AD29" s="25">
        <v>11</v>
      </c>
      <c r="AE29" s="25">
        <v>7</v>
      </c>
      <c r="AF29" s="25">
        <v>8</v>
      </c>
      <c r="AG29" s="25">
        <v>8</v>
      </c>
      <c r="AH29" s="25"/>
      <c r="AI29" s="25"/>
      <c r="AJ29" s="25"/>
      <c r="AK29" s="25"/>
      <c r="AL29" s="25"/>
      <c r="AM29" s="25"/>
    </row>
    <row r="30" spans="1:39" ht="15" customHeight="1">
      <c r="A30" s="32" t="str">
        <f t="shared" si="5"/>
        <v>Powercor--&gt; 66 kV &amp; &lt; = 132 kV</v>
      </c>
      <c r="B30" s="32" t="str">
        <f t="shared" si="6"/>
        <v>Powercor</v>
      </c>
      <c r="C30" s="32" t="s">
        <v>1131</v>
      </c>
      <c r="D30" s="391"/>
      <c r="F30" t="s">
        <v>175</v>
      </c>
      <c r="G30" s="21">
        <v>0</v>
      </c>
      <c r="H30" s="21">
        <v>0</v>
      </c>
      <c r="I30" s="21">
        <v>0</v>
      </c>
      <c r="J30" s="21">
        <v>0</v>
      </c>
      <c r="K30" s="21">
        <v>0</v>
      </c>
      <c r="L30" s="21"/>
      <c r="M30" s="21"/>
      <c r="N30" s="21"/>
      <c r="O30" s="21"/>
      <c r="P30" s="21"/>
      <c r="Q30" s="21"/>
      <c r="R30" s="23">
        <v>0</v>
      </c>
      <c r="S30" s="23">
        <v>0</v>
      </c>
      <c r="T30" s="23">
        <v>0</v>
      </c>
      <c r="U30" s="23">
        <v>0</v>
      </c>
      <c r="V30" s="23">
        <v>0</v>
      </c>
      <c r="W30" s="23"/>
      <c r="X30" s="23"/>
      <c r="Y30" s="23"/>
      <c r="Z30" s="23"/>
      <c r="AA30" s="23"/>
      <c r="AB30" s="23"/>
      <c r="AC30" s="25">
        <v>0</v>
      </c>
      <c r="AD30" s="25">
        <v>0</v>
      </c>
      <c r="AE30" s="25">
        <v>0</v>
      </c>
      <c r="AF30" s="25">
        <v>0</v>
      </c>
      <c r="AG30" s="25">
        <v>0</v>
      </c>
      <c r="AH30" s="25"/>
      <c r="AI30" s="25"/>
      <c r="AJ30" s="25"/>
      <c r="AK30" s="25"/>
      <c r="AL30" s="25"/>
      <c r="AM30" s="25"/>
    </row>
    <row r="31" spans="1:39" ht="15" customHeight="1">
      <c r="A31" s="32" t="str">
        <f t="shared" si="5"/>
        <v>Powercor--&gt; 132 kV</v>
      </c>
      <c r="B31" s="32" t="str">
        <f t="shared" si="6"/>
        <v>Powercor</v>
      </c>
      <c r="C31" s="32" t="s">
        <v>1131</v>
      </c>
      <c r="D31" s="391"/>
      <c r="F31" t="s">
        <v>176</v>
      </c>
      <c r="G31" s="21">
        <v>0</v>
      </c>
      <c r="H31" s="21">
        <v>0</v>
      </c>
      <c r="I31" s="21">
        <v>0</v>
      </c>
      <c r="J31" s="21">
        <v>0</v>
      </c>
      <c r="K31" s="21">
        <v>0</v>
      </c>
      <c r="L31" s="21"/>
      <c r="M31" s="21"/>
      <c r="N31" s="21"/>
      <c r="O31" s="21"/>
      <c r="P31" s="21"/>
      <c r="Q31" s="21"/>
      <c r="R31" s="23">
        <v>0</v>
      </c>
      <c r="S31" s="23">
        <v>0</v>
      </c>
      <c r="T31" s="23">
        <v>0</v>
      </c>
      <c r="U31" s="23">
        <v>0</v>
      </c>
      <c r="V31" s="23">
        <v>0</v>
      </c>
      <c r="W31" s="23"/>
      <c r="X31" s="23"/>
      <c r="Y31" s="23"/>
      <c r="Z31" s="23"/>
      <c r="AA31" s="23"/>
      <c r="AB31" s="23"/>
      <c r="AC31" s="25">
        <v>0</v>
      </c>
      <c r="AD31" s="25">
        <v>0</v>
      </c>
      <c r="AE31" s="25">
        <v>0</v>
      </c>
      <c r="AF31" s="25">
        <v>0</v>
      </c>
      <c r="AG31" s="25">
        <v>0</v>
      </c>
      <c r="AH31" s="25"/>
      <c r="AI31" s="25"/>
      <c r="AJ31" s="25"/>
      <c r="AK31" s="25"/>
      <c r="AL31" s="25"/>
      <c r="AM31" s="25"/>
    </row>
    <row r="32" spans="1:39" ht="15" customHeight="1">
      <c r="A32" s="32" t="str">
        <f t="shared" si="5"/>
        <v>Powercor--OTHER - PLEASE ADD A ROW IF NECESSARY AND NOMINATE THE CATEGORY</v>
      </c>
      <c r="B32" s="32" t="str">
        <f t="shared" si="6"/>
        <v>Powercor</v>
      </c>
      <c r="C32" s="32" t="s">
        <v>1131</v>
      </c>
      <c r="D32" s="391"/>
      <c r="F32" t="s">
        <v>170</v>
      </c>
      <c r="G32" s="21"/>
      <c r="H32" s="21"/>
      <c r="I32" s="21"/>
      <c r="J32" s="21"/>
      <c r="K32" s="21"/>
      <c r="L32" s="21"/>
      <c r="M32" s="21"/>
      <c r="N32" s="21"/>
      <c r="O32" s="21"/>
      <c r="P32" s="21"/>
      <c r="Q32" s="21"/>
      <c r="R32" s="23"/>
      <c r="S32" s="23"/>
      <c r="T32" s="23"/>
      <c r="U32" s="23"/>
      <c r="V32" s="23"/>
      <c r="W32" s="23"/>
      <c r="X32" s="23"/>
      <c r="Y32" s="23"/>
      <c r="Z32" s="23"/>
      <c r="AA32" s="23"/>
      <c r="AB32" s="23"/>
      <c r="AC32" s="25"/>
      <c r="AD32" s="25"/>
      <c r="AE32" s="25"/>
      <c r="AF32" s="25"/>
      <c r="AG32" s="25"/>
      <c r="AH32" s="25"/>
      <c r="AI32" s="25"/>
      <c r="AJ32" s="25"/>
      <c r="AK32" s="25"/>
      <c r="AL32" s="25"/>
      <c r="AM32" s="25"/>
    </row>
    <row r="33" spans="1:39" ht="45" customHeight="1">
      <c r="A33" s="32" t="str">
        <f t="shared" si="5"/>
        <v>Powercor-OVERHEAD CONDUCTORS BY: 
HIGHEST OPERATING VOLTAGE; NUMBER OF PHASES (AT HV)-˂ = 1 kV</v>
      </c>
      <c r="B33" s="32" t="str">
        <f t="shared" si="6"/>
        <v>Powercor</v>
      </c>
      <c r="C33" s="32" t="s">
        <v>1132</v>
      </c>
      <c r="D33" s="391"/>
      <c r="E33" s="3" t="s">
        <v>538</v>
      </c>
      <c r="F33" t="s">
        <v>171</v>
      </c>
      <c r="G33" s="21">
        <v>194.21626089425513</v>
      </c>
      <c r="H33" s="21">
        <v>229.89388967412145</v>
      </c>
      <c r="I33" s="21">
        <v>223.70915316134477</v>
      </c>
      <c r="J33" s="21">
        <v>407.83244021979431</v>
      </c>
      <c r="K33" s="21">
        <v>509.81353650291931</v>
      </c>
      <c r="L33" s="21"/>
      <c r="M33" s="21"/>
      <c r="N33" s="21"/>
      <c r="O33" s="21"/>
      <c r="P33" s="21"/>
      <c r="Q33" s="21"/>
      <c r="R33" s="23">
        <v>5.7519999999999998</v>
      </c>
      <c r="S33" s="23">
        <v>5.1390000000000002</v>
      </c>
      <c r="T33" s="23">
        <v>4.8870000000000005</v>
      </c>
      <c r="U33" s="23">
        <v>3.7969999999999997</v>
      </c>
      <c r="V33" s="23">
        <v>7.4880000000000004</v>
      </c>
      <c r="W33" s="23"/>
      <c r="X33" s="23"/>
      <c r="Y33" s="23"/>
      <c r="Z33" s="23"/>
      <c r="AA33" s="23"/>
      <c r="AB33" s="23"/>
      <c r="AC33" s="25">
        <v>0.24</v>
      </c>
      <c r="AD33" s="25">
        <v>0.16</v>
      </c>
      <c r="AE33" s="25">
        <v>0.48</v>
      </c>
      <c r="AF33" s="25">
        <v>0.4</v>
      </c>
      <c r="AG33" s="25">
        <v>0.64</v>
      </c>
      <c r="AH33" s="25"/>
      <c r="AI33" s="25"/>
      <c r="AJ33" s="25"/>
      <c r="AK33" s="25"/>
      <c r="AL33" s="25"/>
      <c r="AM33" s="25"/>
    </row>
    <row r="34" spans="1:39" ht="15" customHeight="1">
      <c r="A34" s="32" t="str">
        <f t="shared" si="5"/>
        <v>Powercor--&gt; 1 kV &amp; &lt; = 11 kV</v>
      </c>
      <c r="B34" s="32" t="str">
        <f t="shared" si="6"/>
        <v>Powercor</v>
      </c>
      <c r="C34" s="32" t="s">
        <v>1132</v>
      </c>
      <c r="D34" s="391"/>
      <c r="F34" t="s">
        <v>172</v>
      </c>
      <c r="G34" s="21">
        <v>0</v>
      </c>
      <c r="H34" s="21">
        <v>0</v>
      </c>
      <c r="I34" s="21">
        <v>0</v>
      </c>
      <c r="J34" s="21">
        <v>0</v>
      </c>
      <c r="K34" s="21">
        <v>0</v>
      </c>
      <c r="L34" s="21"/>
      <c r="M34" s="21"/>
      <c r="N34" s="21"/>
      <c r="O34" s="21"/>
      <c r="P34" s="21"/>
      <c r="Q34" s="21"/>
      <c r="R34" s="23">
        <v>0</v>
      </c>
      <c r="S34" s="23">
        <v>0</v>
      </c>
      <c r="T34" s="23">
        <v>0</v>
      </c>
      <c r="U34" s="23">
        <v>0</v>
      </c>
      <c r="V34" s="23">
        <v>0</v>
      </c>
      <c r="W34" s="23"/>
      <c r="X34" s="23"/>
      <c r="Y34" s="23"/>
      <c r="Z34" s="23"/>
      <c r="AA34" s="23"/>
      <c r="AB34" s="23"/>
      <c r="AC34" s="25">
        <v>0.05</v>
      </c>
      <c r="AD34" s="25">
        <v>0</v>
      </c>
      <c r="AE34" s="25">
        <v>0.05</v>
      </c>
      <c r="AF34" s="25">
        <v>0</v>
      </c>
      <c r="AG34" s="25">
        <v>0</v>
      </c>
      <c r="AH34" s="25"/>
      <c r="AI34" s="25"/>
      <c r="AJ34" s="25"/>
      <c r="AK34" s="25"/>
      <c r="AL34" s="25"/>
      <c r="AM34" s="25"/>
    </row>
    <row r="35" spans="1:39" ht="15" customHeight="1">
      <c r="A35" s="32" t="str">
        <f t="shared" si="5"/>
        <v>Powercor--˃ 11 kV &amp; &lt; = 22 kV  ; SWER</v>
      </c>
      <c r="B35" s="32" t="str">
        <f t="shared" si="6"/>
        <v>Powercor</v>
      </c>
      <c r="C35" s="32" t="s">
        <v>1132</v>
      </c>
      <c r="D35" s="391"/>
      <c r="F35" t="s">
        <v>177</v>
      </c>
      <c r="G35" s="21">
        <v>0</v>
      </c>
      <c r="H35" s="21">
        <v>8.9</v>
      </c>
      <c r="I35" s="21">
        <v>58.8</v>
      </c>
      <c r="J35" s="21">
        <v>0</v>
      </c>
      <c r="K35" s="21">
        <v>209.9</v>
      </c>
      <c r="L35" s="21"/>
      <c r="M35" s="21"/>
      <c r="N35" s="21"/>
      <c r="O35" s="21"/>
      <c r="P35" s="21"/>
      <c r="Q35" s="21"/>
      <c r="R35" s="23">
        <v>0</v>
      </c>
      <c r="S35" s="23">
        <v>0.501</v>
      </c>
      <c r="T35" s="23">
        <v>6.1130000000000004</v>
      </c>
      <c r="U35" s="23">
        <v>0</v>
      </c>
      <c r="V35" s="23">
        <v>13.893000000000001</v>
      </c>
      <c r="W35" s="23"/>
      <c r="X35" s="23"/>
      <c r="Y35" s="23"/>
      <c r="Z35" s="23"/>
      <c r="AA35" s="23"/>
      <c r="AB35" s="23"/>
      <c r="AC35" s="25">
        <v>0.81</v>
      </c>
      <c r="AD35" s="25">
        <v>1.35</v>
      </c>
      <c r="AE35" s="25">
        <v>2.7</v>
      </c>
      <c r="AF35" s="25">
        <v>1.35</v>
      </c>
      <c r="AG35" s="25">
        <v>1.62</v>
      </c>
      <c r="AH35" s="25"/>
      <c r="AI35" s="25"/>
      <c r="AJ35" s="25"/>
      <c r="AK35" s="25"/>
      <c r="AL35" s="25"/>
      <c r="AM35" s="25"/>
    </row>
    <row r="36" spans="1:39" ht="15" customHeight="1">
      <c r="A36" s="32" t="str">
        <f t="shared" si="5"/>
        <v>Powercor--˃ 11 kV &amp; &lt; = 22 kV ; SINGLE-PHASE</v>
      </c>
      <c r="B36" s="32" t="str">
        <f t="shared" si="6"/>
        <v>Powercor</v>
      </c>
      <c r="C36" s="32" t="s">
        <v>1132</v>
      </c>
      <c r="D36" s="391"/>
      <c r="F36" t="s">
        <v>178</v>
      </c>
      <c r="G36" s="21">
        <v>133.46086779087801</v>
      </c>
      <c r="H36" s="21">
        <v>101.5</v>
      </c>
      <c r="I36" s="21">
        <v>656.9</v>
      </c>
      <c r="J36" s="21">
        <v>826.1</v>
      </c>
      <c r="K36" s="21">
        <v>478.1</v>
      </c>
      <c r="L36" s="21"/>
      <c r="M36" s="21"/>
      <c r="N36" s="21"/>
      <c r="O36" s="21"/>
      <c r="P36" s="21"/>
      <c r="Q36" s="21"/>
      <c r="R36" s="23">
        <v>4.3890000000000002</v>
      </c>
      <c r="S36" s="23">
        <v>5.117</v>
      </c>
      <c r="T36" s="23">
        <v>15.24</v>
      </c>
      <c r="U36" s="23">
        <v>4.6529999999999996</v>
      </c>
      <c r="V36" s="23">
        <v>10.77</v>
      </c>
      <c r="W36" s="23"/>
      <c r="X36" s="23"/>
      <c r="Y36" s="23"/>
      <c r="Z36" s="23"/>
      <c r="AA36" s="23"/>
      <c r="AB36" s="23"/>
      <c r="AC36" s="25">
        <v>2.0099999999999998</v>
      </c>
      <c r="AD36" s="25">
        <v>1.59</v>
      </c>
      <c r="AE36" s="25">
        <v>2.2400000000000002</v>
      </c>
      <c r="AF36" s="25">
        <v>1.91</v>
      </c>
      <c r="AG36" s="25">
        <v>2.0499999999999998</v>
      </c>
      <c r="AH36" s="25"/>
      <c r="AI36" s="25"/>
      <c r="AJ36" s="25"/>
      <c r="AK36" s="25"/>
      <c r="AL36" s="25"/>
      <c r="AM36" s="25"/>
    </row>
    <row r="37" spans="1:39" ht="15" customHeight="1">
      <c r="A37" s="32" t="str">
        <f t="shared" si="5"/>
        <v>Powercor--˃ 11 kV &amp; &lt; = 22 kV ; MULTIPLE-PHASE</v>
      </c>
      <c r="B37" s="32" t="str">
        <f t="shared" si="6"/>
        <v>Powercor</v>
      </c>
      <c r="C37" s="32" t="s">
        <v>1132</v>
      </c>
      <c r="D37" s="391"/>
      <c r="F37" t="s">
        <v>179</v>
      </c>
      <c r="G37" s="21">
        <v>322.54564215300047</v>
      </c>
      <c r="H37" s="21">
        <v>232.3</v>
      </c>
      <c r="I37" s="21">
        <v>492.8</v>
      </c>
      <c r="J37" s="21">
        <v>680</v>
      </c>
      <c r="K37" s="21">
        <v>2376.4</v>
      </c>
      <c r="L37" s="21"/>
      <c r="M37" s="21"/>
      <c r="N37" s="21"/>
      <c r="O37" s="21"/>
      <c r="P37" s="21"/>
      <c r="Q37" s="21"/>
      <c r="R37" s="23">
        <v>10.414999999999999</v>
      </c>
      <c r="S37" s="23">
        <v>3.3809999999999998</v>
      </c>
      <c r="T37" s="23">
        <v>17.547000000000001</v>
      </c>
      <c r="U37" s="23">
        <v>11.452999999999999</v>
      </c>
      <c r="V37" s="23">
        <v>40.622</v>
      </c>
      <c r="W37" s="23"/>
      <c r="X37" s="23"/>
      <c r="Y37" s="23"/>
      <c r="Z37" s="23"/>
      <c r="AA37" s="23"/>
      <c r="AB37" s="23"/>
      <c r="AC37" s="25">
        <v>0</v>
      </c>
      <c r="AD37" s="25">
        <v>0</v>
      </c>
      <c r="AE37" s="25">
        <v>0</v>
      </c>
      <c r="AF37" s="25">
        <v>0</v>
      </c>
      <c r="AG37" s="25">
        <v>0</v>
      </c>
      <c r="AH37" s="25"/>
      <c r="AI37" s="25"/>
      <c r="AJ37" s="25"/>
      <c r="AK37" s="25"/>
      <c r="AL37" s="25"/>
      <c r="AM37" s="25"/>
    </row>
    <row r="38" spans="1:39" ht="15" customHeight="1">
      <c r="A38" s="32" t="str">
        <f t="shared" si="5"/>
        <v>Powercor--&gt; 22 kV &amp; &lt; = 66 kV</v>
      </c>
      <c r="B38" s="32" t="str">
        <f t="shared" si="6"/>
        <v>Powercor</v>
      </c>
      <c r="C38" s="32" t="s">
        <v>1132</v>
      </c>
      <c r="D38" s="391"/>
      <c r="F38" t="s">
        <v>174</v>
      </c>
      <c r="G38" s="21">
        <v>0</v>
      </c>
      <c r="H38" s="21">
        <v>0</v>
      </c>
      <c r="I38" s="21">
        <v>0</v>
      </c>
      <c r="J38" s="21">
        <v>514.4</v>
      </c>
      <c r="K38" s="21">
        <v>0</v>
      </c>
      <c r="L38" s="21"/>
      <c r="M38" s="21"/>
      <c r="N38" s="21"/>
      <c r="O38" s="21"/>
      <c r="P38" s="21"/>
      <c r="Q38" s="21"/>
      <c r="R38" s="23">
        <v>0</v>
      </c>
      <c r="S38" s="23">
        <v>0</v>
      </c>
      <c r="T38" s="23">
        <v>0</v>
      </c>
      <c r="U38" s="23">
        <v>0.38700000000000001</v>
      </c>
      <c r="V38" s="23">
        <v>0</v>
      </c>
      <c r="W38" s="23"/>
      <c r="X38" s="23"/>
      <c r="Y38" s="23"/>
      <c r="Z38" s="23"/>
      <c r="AA38" s="23"/>
      <c r="AB38" s="23"/>
      <c r="AC38" s="25">
        <v>0</v>
      </c>
      <c r="AD38" s="25">
        <v>0.26</v>
      </c>
      <c r="AE38" s="25">
        <v>0.13</v>
      </c>
      <c r="AF38" s="25">
        <v>0</v>
      </c>
      <c r="AG38" s="25">
        <v>0</v>
      </c>
      <c r="AH38" s="25"/>
      <c r="AI38" s="25"/>
      <c r="AJ38" s="25"/>
      <c r="AK38" s="25"/>
      <c r="AL38" s="25"/>
      <c r="AM38" s="25"/>
    </row>
    <row r="39" spans="1:39" ht="15" customHeight="1">
      <c r="A39" s="32" t="str">
        <f t="shared" si="5"/>
        <v>Powercor--&gt; 66 kV &amp; &lt; = 132 kV</v>
      </c>
      <c r="B39" s="32" t="str">
        <f t="shared" si="6"/>
        <v>Powercor</v>
      </c>
      <c r="C39" s="32" t="s">
        <v>1132</v>
      </c>
      <c r="D39" s="391"/>
      <c r="F39" t="s">
        <v>175</v>
      </c>
      <c r="G39" s="21">
        <v>0</v>
      </c>
      <c r="H39" s="21">
        <v>0</v>
      </c>
      <c r="I39" s="21">
        <v>0</v>
      </c>
      <c r="J39" s="21">
        <v>0</v>
      </c>
      <c r="K39" s="21">
        <v>0</v>
      </c>
      <c r="L39" s="21"/>
      <c r="M39" s="21"/>
      <c r="N39" s="21"/>
      <c r="O39" s="21"/>
      <c r="P39" s="21"/>
      <c r="Q39" s="21"/>
      <c r="R39" s="23">
        <v>0</v>
      </c>
      <c r="S39" s="23">
        <v>0</v>
      </c>
      <c r="T39" s="23">
        <v>0</v>
      </c>
      <c r="U39" s="23">
        <v>0</v>
      </c>
      <c r="V39" s="23">
        <v>0</v>
      </c>
      <c r="W39" s="23"/>
      <c r="X39" s="23"/>
      <c r="Y39" s="23"/>
      <c r="Z39" s="23"/>
      <c r="AA39" s="23"/>
      <c r="AB39" s="23"/>
      <c r="AC39" s="25">
        <v>0</v>
      </c>
      <c r="AD39" s="25">
        <v>0</v>
      </c>
      <c r="AE39" s="25">
        <v>0</v>
      </c>
      <c r="AF39" s="25">
        <v>0</v>
      </c>
      <c r="AG39" s="25">
        <v>0</v>
      </c>
      <c r="AH39" s="25"/>
      <c r="AI39" s="25"/>
      <c r="AJ39" s="25"/>
      <c r="AK39" s="25"/>
      <c r="AL39" s="25"/>
      <c r="AM39" s="25"/>
    </row>
    <row r="40" spans="1:39" ht="15" customHeight="1">
      <c r="A40" s="32" t="str">
        <f t="shared" si="5"/>
        <v>Powercor--&gt; 132 kV</v>
      </c>
      <c r="B40" s="32" t="str">
        <f t="shared" si="6"/>
        <v>Powercor</v>
      </c>
      <c r="C40" s="32" t="s">
        <v>1132</v>
      </c>
      <c r="D40" s="391"/>
      <c r="F40" t="s">
        <v>176</v>
      </c>
      <c r="G40" s="21">
        <v>0</v>
      </c>
      <c r="H40" s="21">
        <v>0</v>
      </c>
      <c r="I40" s="21">
        <v>0</v>
      </c>
      <c r="J40" s="21">
        <v>0</v>
      </c>
      <c r="K40" s="21">
        <v>0</v>
      </c>
      <c r="L40" s="21"/>
      <c r="M40" s="21"/>
      <c r="N40" s="21"/>
      <c r="O40" s="21"/>
      <c r="P40" s="21"/>
      <c r="Q40" s="21"/>
      <c r="R40" s="23">
        <v>0</v>
      </c>
      <c r="S40" s="23">
        <v>0</v>
      </c>
      <c r="T40" s="23">
        <v>0</v>
      </c>
      <c r="U40" s="23">
        <v>0</v>
      </c>
      <c r="V40" s="23">
        <v>0</v>
      </c>
      <c r="W40" s="23"/>
      <c r="X40" s="23"/>
      <c r="Y40" s="23"/>
      <c r="Z40" s="23"/>
      <c r="AA40" s="23"/>
      <c r="AB40" s="23"/>
      <c r="AC40" s="25">
        <v>0</v>
      </c>
      <c r="AD40" s="25">
        <v>0</v>
      </c>
      <c r="AE40" s="25">
        <v>0</v>
      </c>
      <c r="AF40" s="25">
        <v>0</v>
      </c>
      <c r="AG40" s="25">
        <v>0</v>
      </c>
      <c r="AH40" s="25"/>
      <c r="AI40" s="25"/>
      <c r="AJ40" s="25"/>
      <c r="AK40" s="25"/>
      <c r="AL40" s="25"/>
      <c r="AM40" s="25"/>
    </row>
    <row r="41" spans="1:39" ht="15" customHeight="1">
      <c r="A41" s="32" t="str">
        <f t="shared" si="5"/>
        <v>Powercor--PUBLIC LIGHTING CONDUCTOR</v>
      </c>
      <c r="B41" s="32" t="str">
        <f t="shared" si="6"/>
        <v>Powercor</v>
      </c>
      <c r="C41" s="32" t="s">
        <v>1132</v>
      </c>
      <c r="D41" s="391"/>
      <c r="F41" t="s">
        <v>180</v>
      </c>
      <c r="G41" s="21">
        <v>0</v>
      </c>
      <c r="H41" s="21">
        <v>0</v>
      </c>
      <c r="I41" s="21">
        <v>0</v>
      </c>
      <c r="J41" s="21">
        <v>0</v>
      </c>
      <c r="K41" s="21">
        <v>0</v>
      </c>
      <c r="L41" s="21"/>
      <c r="M41" s="21"/>
      <c r="N41" s="21"/>
      <c r="O41" s="21"/>
      <c r="P41" s="21"/>
      <c r="Q41" s="21"/>
      <c r="R41" s="23">
        <v>0</v>
      </c>
      <c r="S41" s="23">
        <v>0</v>
      </c>
      <c r="T41" s="23">
        <v>0</v>
      </c>
      <c r="U41" s="23">
        <v>0</v>
      </c>
      <c r="V41" s="23">
        <v>0</v>
      </c>
      <c r="W41" s="23"/>
      <c r="X41" s="23"/>
      <c r="Y41" s="23"/>
      <c r="Z41" s="23"/>
      <c r="AA41" s="23"/>
      <c r="AB41" s="23"/>
      <c r="AC41" s="25">
        <v>0</v>
      </c>
      <c r="AD41" s="25">
        <v>0</v>
      </c>
      <c r="AE41" s="25">
        <v>0</v>
      </c>
      <c r="AF41" s="25">
        <v>0</v>
      </c>
      <c r="AG41" s="25">
        <v>0</v>
      </c>
      <c r="AH41" s="25"/>
      <c r="AI41" s="25"/>
      <c r="AJ41" s="25"/>
      <c r="AK41" s="25"/>
      <c r="AL41" s="25"/>
      <c r="AM41" s="25"/>
    </row>
    <row r="42" spans="1:39" ht="15" customHeight="1">
      <c r="A42" s="32" t="str">
        <f t="shared" si="5"/>
        <v>Powercor--OTHER - PLEASE ADD A ROW IF NECESSARY AND NOMINATE THE CATEGORY</v>
      </c>
      <c r="B42" s="32" t="str">
        <f t="shared" si="6"/>
        <v>Powercor</v>
      </c>
      <c r="C42" s="32" t="s">
        <v>1132</v>
      </c>
      <c r="D42" s="391"/>
      <c r="F42" t="s">
        <v>170</v>
      </c>
      <c r="G42" s="21">
        <v>0</v>
      </c>
      <c r="H42" s="21">
        <v>0</v>
      </c>
      <c r="I42" s="21">
        <v>0</v>
      </c>
      <c r="J42" s="21">
        <v>0</v>
      </c>
      <c r="K42" s="21">
        <v>0</v>
      </c>
      <c r="L42" s="21"/>
      <c r="M42" s="21"/>
      <c r="N42" s="21"/>
      <c r="O42" s="21"/>
      <c r="P42" s="21"/>
      <c r="Q42" s="21"/>
      <c r="R42" s="23"/>
      <c r="S42" s="23"/>
      <c r="T42" s="23"/>
      <c r="U42" s="23"/>
      <c r="V42" s="23"/>
      <c r="W42" s="23"/>
      <c r="X42" s="23"/>
      <c r="Y42" s="23"/>
      <c r="Z42" s="23"/>
      <c r="AA42" s="23"/>
      <c r="AB42" s="23"/>
      <c r="AC42" s="25"/>
      <c r="AD42" s="25"/>
      <c r="AE42" s="25"/>
      <c r="AF42" s="25"/>
      <c r="AG42" s="25"/>
      <c r="AH42" s="25"/>
      <c r="AI42" s="25"/>
      <c r="AJ42" s="25"/>
      <c r="AK42" s="25"/>
      <c r="AL42" s="25"/>
      <c r="AM42" s="25"/>
    </row>
    <row r="43" spans="1:39" ht="30" customHeight="1">
      <c r="A43" s="32" t="str">
        <f t="shared" si="5"/>
        <v>Powercor-UNDERGROUND CABLES BY: 
HIGHEST OPERATING VOLTAGE-˂ = 1 kV</v>
      </c>
      <c r="B43" s="32" t="str">
        <f t="shared" si="6"/>
        <v>Powercor</v>
      </c>
      <c r="C43" s="32" t="s">
        <v>1133</v>
      </c>
      <c r="D43" s="391"/>
      <c r="E43" s="3" t="s">
        <v>539</v>
      </c>
      <c r="F43" t="s">
        <v>171</v>
      </c>
      <c r="G43" s="21">
        <v>1396.4627766665176</v>
      </c>
      <c r="H43" s="21">
        <v>875.30412577001391</v>
      </c>
      <c r="I43" s="21">
        <v>1619.2940407439191</v>
      </c>
      <c r="J43" s="21">
        <v>1448.6889123803376</v>
      </c>
      <c r="K43" s="21">
        <v>1193.0737317654698</v>
      </c>
      <c r="L43" s="21"/>
      <c r="M43" s="21"/>
      <c r="N43" s="21"/>
      <c r="O43" s="21"/>
      <c r="P43" s="21"/>
      <c r="Q43" s="21"/>
      <c r="R43" s="23">
        <v>10.010999999999999</v>
      </c>
      <c r="S43" s="23">
        <v>6.9659999999999993</v>
      </c>
      <c r="T43" s="23">
        <v>10.658999999999999</v>
      </c>
      <c r="U43" s="23">
        <v>10.431000000000001</v>
      </c>
      <c r="V43" s="23">
        <v>14.967000000000001</v>
      </c>
      <c r="W43" s="23"/>
      <c r="X43" s="23"/>
      <c r="Y43" s="23"/>
      <c r="Z43" s="23"/>
      <c r="AA43" s="23"/>
      <c r="AB43" s="23"/>
      <c r="AC43" s="25">
        <v>0.03</v>
      </c>
      <c r="AD43" s="25">
        <v>0.06</v>
      </c>
      <c r="AE43" s="25">
        <v>0.108</v>
      </c>
      <c r="AF43" s="25">
        <v>0.24</v>
      </c>
      <c r="AG43" s="25">
        <v>0.18</v>
      </c>
      <c r="AH43" s="25"/>
      <c r="AI43" s="25"/>
      <c r="AJ43" s="25"/>
      <c r="AK43" s="25"/>
      <c r="AL43" s="25"/>
      <c r="AM43" s="25"/>
    </row>
    <row r="44" spans="1:39" ht="15" customHeight="1">
      <c r="A44" s="32" t="str">
        <f t="shared" si="5"/>
        <v>Powercor--&gt; 1 kV &amp; &lt; = 11 kV</v>
      </c>
      <c r="B44" s="32" t="str">
        <f t="shared" si="6"/>
        <v>Powercor</v>
      </c>
      <c r="C44" s="32" t="s">
        <v>1133</v>
      </c>
      <c r="D44" s="391"/>
      <c r="F44" t="s">
        <v>172</v>
      </c>
      <c r="G44" s="21">
        <v>0</v>
      </c>
      <c r="H44" s="21">
        <v>0</v>
      </c>
      <c r="I44" s="21">
        <v>0</v>
      </c>
      <c r="J44" s="21">
        <v>0</v>
      </c>
      <c r="K44" s="21">
        <v>0</v>
      </c>
      <c r="L44" s="21"/>
      <c r="M44" s="21"/>
      <c r="N44" s="21"/>
      <c r="O44" s="21"/>
      <c r="P44" s="21"/>
      <c r="Q44" s="21"/>
      <c r="R44" s="23">
        <v>0</v>
      </c>
      <c r="S44" s="23">
        <v>0</v>
      </c>
      <c r="T44" s="23">
        <v>0</v>
      </c>
      <c r="U44" s="23">
        <v>0</v>
      </c>
      <c r="V44" s="23">
        <v>0</v>
      </c>
      <c r="W44" s="23"/>
      <c r="X44" s="23"/>
      <c r="Y44" s="23"/>
      <c r="Z44" s="23"/>
      <c r="AA44" s="23"/>
      <c r="AB44" s="23"/>
      <c r="AC44" s="25">
        <v>0</v>
      </c>
      <c r="AD44" s="25">
        <v>0</v>
      </c>
      <c r="AE44" s="25">
        <v>0</v>
      </c>
      <c r="AF44" s="25">
        <v>0</v>
      </c>
      <c r="AG44" s="25">
        <v>0</v>
      </c>
      <c r="AH44" s="25"/>
      <c r="AI44" s="25"/>
      <c r="AJ44" s="25"/>
      <c r="AK44" s="25"/>
      <c r="AL44" s="25"/>
      <c r="AM44" s="25"/>
    </row>
    <row r="45" spans="1:39" ht="15" customHeight="1">
      <c r="A45" s="32" t="str">
        <f t="shared" si="5"/>
        <v>Powercor--&gt; 11 kV &amp; &lt; = 22 kV</v>
      </c>
      <c r="B45" s="32" t="str">
        <f t="shared" si="6"/>
        <v>Powercor</v>
      </c>
      <c r="C45" s="32" t="s">
        <v>1133</v>
      </c>
      <c r="D45" s="391"/>
      <c r="F45" t="s">
        <v>181</v>
      </c>
      <c r="G45" s="21">
        <v>1144.384349480126</v>
      </c>
      <c r="H45" s="21">
        <v>622.76</v>
      </c>
      <c r="I45" s="21">
        <v>573.55120520797641</v>
      </c>
      <c r="J45" s="21">
        <v>740.09333003890765</v>
      </c>
      <c r="K45" s="21">
        <v>1749.5605855766075</v>
      </c>
      <c r="L45" s="21"/>
      <c r="M45" s="21"/>
      <c r="N45" s="21"/>
      <c r="O45" s="21"/>
      <c r="P45" s="21"/>
      <c r="Q45" s="21"/>
      <c r="R45" s="23">
        <v>1.8039999999999998</v>
      </c>
      <c r="S45" s="23">
        <v>1.24</v>
      </c>
      <c r="T45" s="23">
        <v>1.7950000000000002</v>
      </c>
      <c r="U45" s="23">
        <v>1.413</v>
      </c>
      <c r="V45" s="23">
        <v>2.1139999999999999</v>
      </c>
      <c r="W45" s="23"/>
      <c r="X45" s="23"/>
      <c r="Y45" s="23"/>
      <c r="Z45" s="23"/>
      <c r="AA45" s="23"/>
      <c r="AB45" s="23"/>
      <c r="AC45" s="25">
        <v>9.0999999999999998E-2</v>
      </c>
      <c r="AD45" s="25">
        <v>2.1000000000000001E-2</v>
      </c>
      <c r="AE45" s="25">
        <v>5.6000000000000001E-2</v>
      </c>
      <c r="AF45" s="25">
        <v>7.0000000000000007E-2</v>
      </c>
      <c r="AG45" s="25">
        <v>0.13300000000000001</v>
      </c>
      <c r="AH45" s="25"/>
      <c r="AI45" s="25"/>
      <c r="AJ45" s="25"/>
      <c r="AK45" s="25"/>
      <c r="AL45" s="25"/>
      <c r="AM45" s="25"/>
    </row>
    <row r="46" spans="1:39" ht="15" customHeight="1">
      <c r="A46" s="32" t="str">
        <f t="shared" si="5"/>
        <v>Powercor--&gt; 22 kV &amp; &lt; = 33 kV</v>
      </c>
      <c r="B46" s="32" t="str">
        <f t="shared" si="6"/>
        <v>Powercor</v>
      </c>
      <c r="C46" s="32" t="s">
        <v>1133</v>
      </c>
      <c r="D46" s="391"/>
      <c r="F46" t="s">
        <v>182</v>
      </c>
      <c r="G46" s="21">
        <v>0</v>
      </c>
      <c r="H46" s="21">
        <v>0</v>
      </c>
      <c r="I46" s="21">
        <v>0</v>
      </c>
      <c r="J46" s="21">
        <v>0</v>
      </c>
      <c r="K46" s="21">
        <v>0</v>
      </c>
      <c r="L46" s="21"/>
      <c r="M46" s="21"/>
      <c r="N46" s="21"/>
      <c r="O46" s="21"/>
      <c r="P46" s="21"/>
      <c r="Q46" s="21"/>
      <c r="R46" s="23">
        <v>0</v>
      </c>
      <c r="S46" s="23">
        <v>0</v>
      </c>
      <c r="T46" s="23">
        <v>0</v>
      </c>
      <c r="U46" s="23">
        <v>0</v>
      </c>
      <c r="V46" s="23">
        <v>0</v>
      </c>
      <c r="W46" s="23"/>
      <c r="X46" s="23"/>
      <c r="Y46" s="23"/>
      <c r="Z46" s="23"/>
      <c r="AA46" s="23"/>
      <c r="AB46" s="23"/>
      <c r="AC46" s="25">
        <v>0</v>
      </c>
      <c r="AD46" s="25">
        <v>0</v>
      </c>
      <c r="AE46" s="25">
        <v>0</v>
      </c>
      <c r="AF46" s="25">
        <v>0</v>
      </c>
      <c r="AG46" s="25">
        <v>0</v>
      </c>
      <c r="AH46" s="25"/>
      <c r="AI46" s="25"/>
      <c r="AJ46" s="25"/>
      <c r="AK46" s="25"/>
      <c r="AL46" s="25"/>
      <c r="AM46" s="25"/>
    </row>
    <row r="47" spans="1:39" ht="15" customHeight="1">
      <c r="A47" s="32" t="str">
        <f t="shared" si="5"/>
        <v>Powercor--&gt; 33 kV &amp; &lt; = 66 kV</v>
      </c>
      <c r="B47" s="32" t="str">
        <f t="shared" si="6"/>
        <v>Powercor</v>
      </c>
      <c r="C47" s="32" t="s">
        <v>1133</v>
      </c>
      <c r="D47" s="391"/>
      <c r="F47" t="s">
        <v>183</v>
      </c>
      <c r="G47" s="21">
        <v>0</v>
      </c>
      <c r="H47" s="21">
        <v>0</v>
      </c>
      <c r="I47" s="21">
        <v>0</v>
      </c>
      <c r="J47" s="21">
        <v>0</v>
      </c>
      <c r="K47" s="21">
        <v>0</v>
      </c>
      <c r="L47" s="21"/>
      <c r="M47" s="21"/>
      <c r="N47" s="21"/>
      <c r="O47" s="21"/>
      <c r="P47" s="21"/>
      <c r="Q47" s="21"/>
      <c r="R47" s="23">
        <v>0</v>
      </c>
      <c r="S47" s="23">
        <v>0</v>
      </c>
      <c r="T47" s="23">
        <v>0</v>
      </c>
      <c r="U47" s="23">
        <v>0</v>
      </c>
      <c r="V47" s="23">
        <v>0</v>
      </c>
      <c r="W47" s="23"/>
      <c r="X47" s="23"/>
      <c r="Y47" s="23"/>
      <c r="Z47" s="23"/>
      <c r="AA47" s="23"/>
      <c r="AB47" s="23"/>
      <c r="AC47" s="25">
        <v>0</v>
      </c>
      <c r="AD47" s="25">
        <v>0</v>
      </c>
      <c r="AE47" s="25">
        <v>0</v>
      </c>
      <c r="AF47" s="25">
        <v>0</v>
      </c>
      <c r="AG47" s="25">
        <v>0</v>
      </c>
      <c r="AH47" s="25"/>
      <c r="AI47" s="25"/>
      <c r="AJ47" s="25"/>
      <c r="AK47" s="25"/>
      <c r="AL47" s="25"/>
      <c r="AM47" s="25"/>
    </row>
    <row r="48" spans="1:39" ht="15" customHeight="1">
      <c r="A48" s="32" t="str">
        <f t="shared" si="5"/>
        <v>Powercor--&gt; 66 kV &amp; &lt; = 132 kV</v>
      </c>
      <c r="B48" s="32" t="str">
        <f t="shared" si="6"/>
        <v>Powercor</v>
      </c>
      <c r="C48" s="32" t="s">
        <v>1133</v>
      </c>
      <c r="D48" s="391"/>
      <c r="F48" t="s">
        <v>175</v>
      </c>
      <c r="G48" s="21">
        <v>0</v>
      </c>
      <c r="H48" s="21">
        <v>0</v>
      </c>
      <c r="I48" s="21">
        <v>0</v>
      </c>
      <c r="J48" s="21">
        <v>0</v>
      </c>
      <c r="K48" s="21">
        <v>0</v>
      </c>
      <c r="L48" s="21"/>
      <c r="M48" s="21"/>
      <c r="N48" s="21"/>
      <c r="O48" s="21"/>
      <c r="P48" s="21"/>
      <c r="Q48" s="21"/>
      <c r="R48" s="23">
        <v>0</v>
      </c>
      <c r="S48" s="23">
        <v>0</v>
      </c>
      <c r="T48" s="23">
        <v>0</v>
      </c>
      <c r="U48" s="23">
        <v>0</v>
      </c>
      <c r="V48" s="23">
        <v>0</v>
      </c>
      <c r="W48" s="23"/>
      <c r="X48" s="23"/>
      <c r="Y48" s="23"/>
      <c r="Z48" s="23"/>
      <c r="AA48" s="23"/>
      <c r="AB48" s="23"/>
      <c r="AC48" s="25">
        <v>0</v>
      </c>
      <c r="AD48" s="25">
        <v>0</v>
      </c>
      <c r="AE48" s="25">
        <v>0</v>
      </c>
      <c r="AF48" s="25">
        <v>0</v>
      </c>
      <c r="AG48" s="25">
        <v>0</v>
      </c>
      <c r="AH48" s="25"/>
      <c r="AI48" s="25"/>
      <c r="AJ48" s="25"/>
      <c r="AK48" s="25"/>
      <c r="AL48" s="25"/>
      <c r="AM48" s="25"/>
    </row>
    <row r="49" spans="1:39" ht="15" customHeight="1">
      <c r="A49" s="32" t="str">
        <f t="shared" si="5"/>
        <v>Powercor--&gt;  132 kV</v>
      </c>
      <c r="B49" s="32" t="str">
        <f t="shared" si="6"/>
        <v>Powercor</v>
      </c>
      <c r="C49" s="32" t="s">
        <v>1133</v>
      </c>
      <c r="D49" s="391"/>
      <c r="F49" t="s">
        <v>184</v>
      </c>
      <c r="G49" s="21">
        <v>0</v>
      </c>
      <c r="H49" s="21">
        <v>0</v>
      </c>
      <c r="I49" s="21">
        <v>0</v>
      </c>
      <c r="J49" s="21">
        <v>0</v>
      </c>
      <c r="K49" s="21">
        <v>0</v>
      </c>
      <c r="L49" s="21"/>
      <c r="M49" s="21"/>
      <c r="N49" s="21"/>
      <c r="O49" s="21"/>
      <c r="P49" s="21"/>
      <c r="Q49" s="21"/>
      <c r="R49" s="23">
        <v>0</v>
      </c>
      <c r="S49" s="23">
        <v>0</v>
      </c>
      <c r="T49" s="23">
        <v>0</v>
      </c>
      <c r="U49" s="23">
        <v>0</v>
      </c>
      <c r="V49" s="23">
        <v>0</v>
      </c>
      <c r="W49" s="23"/>
      <c r="X49" s="23"/>
      <c r="Y49" s="23"/>
      <c r="Z49" s="23"/>
      <c r="AA49" s="23"/>
      <c r="AB49" s="23"/>
      <c r="AC49" s="25">
        <v>0</v>
      </c>
      <c r="AD49" s="25">
        <v>0</v>
      </c>
      <c r="AE49" s="25">
        <v>0</v>
      </c>
      <c r="AF49" s="25">
        <v>0</v>
      </c>
      <c r="AG49" s="25">
        <v>0</v>
      </c>
      <c r="AH49" s="25"/>
      <c r="AI49" s="25"/>
      <c r="AJ49" s="25"/>
      <c r="AK49" s="25"/>
      <c r="AL49" s="25"/>
      <c r="AM49" s="25"/>
    </row>
    <row r="50" spans="1:39" ht="15" customHeight="1">
      <c r="A50" s="32" t="str">
        <f t="shared" si="5"/>
        <v>Powercor--PUBLIC LIGHTING UNDERGROUND CABLE (inc. under &lt;=1kv)</v>
      </c>
      <c r="B50" s="32" t="str">
        <f t="shared" si="6"/>
        <v>Powercor</v>
      </c>
      <c r="C50" s="32" t="s">
        <v>1133</v>
      </c>
      <c r="D50" s="391"/>
      <c r="F50" t="s">
        <v>185</v>
      </c>
      <c r="G50" s="21">
        <v>0</v>
      </c>
      <c r="H50" s="21">
        <v>0</v>
      </c>
      <c r="I50" s="21">
        <v>0</v>
      </c>
      <c r="J50" s="21">
        <v>0</v>
      </c>
      <c r="K50" s="21">
        <v>0</v>
      </c>
      <c r="L50" s="21"/>
      <c r="M50" s="21"/>
      <c r="N50" s="21"/>
      <c r="O50" s="21"/>
      <c r="P50" s="21"/>
      <c r="Q50" s="21"/>
      <c r="R50" s="23">
        <v>0</v>
      </c>
      <c r="S50" s="23">
        <v>0</v>
      </c>
      <c r="T50" s="23">
        <v>0</v>
      </c>
      <c r="U50" s="23">
        <v>0</v>
      </c>
      <c r="V50" s="23">
        <v>0</v>
      </c>
      <c r="W50" s="23"/>
      <c r="X50" s="23"/>
      <c r="Y50" s="23"/>
      <c r="Z50" s="23"/>
      <c r="AA50" s="23"/>
      <c r="AB50" s="23"/>
      <c r="AC50" s="25">
        <v>0</v>
      </c>
      <c r="AD50" s="25">
        <v>0</v>
      </c>
      <c r="AE50" s="25">
        <v>6.0000000000000001E-3</v>
      </c>
      <c r="AF50" s="25">
        <v>4.2000000000000003E-2</v>
      </c>
      <c r="AG50" s="25">
        <v>2.4E-2</v>
      </c>
      <c r="AH50" s="25"/>
      <c r="AI50" s="25"/>
      <c r="AJ50" s="25"/>
      <c r="AK50" s="25"/>
      <c r="AL50" s="25"/>
      <c r="AM50" s="25"/>
    </row>
    <row r="51" spans="1:39" ht="15" customHeight="1">
      <c r="A51" s="32" t="str">
        <f t="shared" si="5"/>
        <v>Powercor--OTHER - PLEASE ADD A ROW IF NECESSARY AND NOMINATE THE CATEGORY</v>
      </c>
      <c r="B51" s="32" t="str">
        <f t="shared" si="6"/>
        <v>Powercor</v>
      </c>
      <c r="C51" s="32" t="s">
        <v>1133</v>
      </c>
      <c r="D51" s="391"/>
      <c r="F51" t="s">
        <v>170</v>
      </c>
      <c r="G51" s="21"/>
      <c r="H51" s="21"/>
      <c r="I51" s="21"/>
      <c r="J51" s="21"/>
      <c r="K51" s="21"/>
      <c r="L51" s="21"/>
      <c r="M51" s="21"/>
      <c r="N51" s="21"/>
      <c r="O51" s="21"/>
      <c r="P51" s="21"/>
      <c r="Q51" s="21"/>
      <c r="R51" s="23"/>
      <c r="S51" s="23"/>
      <c r="T51" s="23"/>
      <c r="U51" s="23"/>
      <c r="V51" s="23"/>
      <c r="W51" s="23"/>
      <c r="X51" s="23"/>
      <c r="Y51" s="23"/>
      <c r="Z51" s="23"/>
      <c r="AA51" s="23"/>
      <c r="AB51" s="23"/>
      <c r="AC51" s="25"/>
      <c r="AD51" s="25"/>
      <c r="AE51" s="25"/>
      <c r="AF51" s="25"/>
      <c r="AG51" s="25"/>
      <c r="AH51" s="25"/>
      <c r="AI51" s="25"/>
      <c r="AJ51" s="25"/>
      <c r="AK51" s="25"/>
      <c r="AL51" s="25"/>
      <c r="AM51" s="25"/>
    </row>
    <row r="52" spans="1:39" ht="60" customHeight="1">
      <c r="A52" s="32" t="str">
        <f t="shared" si="5"/>
        <v xml:space="preserve">Powercor-SERVICE LINES BY: 
CONNECTION VOLTAGE; CUSTOMER TYPE; CONNECTION COMPLEXITY -˂ = 11 kV ; RESIDENTIAL ; SIMPLE TYPE </v>
      </c>
      <c r="B52" s="32" t="str">
        <f t="shared" si="6"/>
        <v>Powercor</v>
      </c>
      <c r="C52" s="32" t="s">
        <v>719</v>
      </c>
      <c r="D52" s="391"/>
      <c r="E52" s="3" t="s">
        <v>541</v>
      </c>
      <c r="F52" t="s">
        <v>186</v>
      </c>
      <c r="G52" s="21">
        <v>0</v>
      </c>
      <c r="H52" s="21">
        <v>0</v>
      </c>
      <c r="I52" s="21">
        <v>0</v>
      </c>
      <c r="J52" s="21">
        <v>0</v>
      </c>
      <c r="K52" s="21">
        <v>0</v>
      </c>
      <c r="L52" s="21"/>
      <c r="M52" s="21"/>
      <c r="N52" s="21"/>
      <c r="O52" s="21"/>
      <c r="P52" s="21"/>
      <c r="Q52" s="21"/>
      <c r="R52" s="23">
        <v>0</v>
      </c>
      <c r="S52" s="23">
        <v>0</v>
      </c>
      <c r="T52" s="23">
        <v>0</v>
      </c>
      <c r="U52" s="23">
        <v>0</v>
      </c>
      <c r="V52" s="23">
        <v>0</v>
      </c>
      <c r="W52" s="23"/>
      <c r="X52" s="23"/>
      <c r="Y52" s="23"/>
      <c r="Z52" s="23"/>
      <c r="AA52" s="23"/>
      <c r="AB52" s="23"/>
      <c r="AC52" s="25">
        <v>0</v>
      </c>
      <c r="AD52" s="25">
        <v>0</v>
      </c>
      <c r="AE52" s="25">
        <v>0</v>
      </c>
      <c r="AF52" s="25">
        <v>0</v>
      </c>
      <c r="AG52" s="25">
        <v>0</v>
      </c>
      <c r="AH52" s="25"/>
      <c r="AI52" s="25"/>
      <c r="AJ52" s="25"/>
      <c r="AK52" s="25"/>
      <c r="AL52" s="25"/>
      <c r="AM52" s="25"/>
    </row>
    <row r="53" spans="1:39" ht="15" customHeight="1">
      <c r="A53" s="32" t="str">
        <f t="shared" si="5"/>
        <v xml:space="preserve">Powercor--˂ = 11 kV ; COMMERCIAL &amp; INDUSTRIAL ; SIMPLE TYPE </v>
      </c>
      <c r="B53" s="32" t="str">
        <f t="shared" si="6"/>
        <v>Powercor</v>
      </c>
      <c r="C53" s="32" t="s">
        <v>719</v>
      </c>
      <c r="D53" s="391"/>
      <c r="F53" t="s">
        <v>187</v>
      </c>
      <c r="G53" s="21">
        <v>0</v>
      </c>
      <c r="H53" s="21">
        <v>0</v>
      </c>
      <c r="I53" s="21">
        <v>0</v>
      </c>
      <c r="J53" s="21">
        <v>0</v>
      </c>
      <c r="K53" s="21">
        <v>0</v>
      </c>
      <c r="L53" s="21"/>
      <c r="M53" s="21"/>
      <c r="N53" s="21"/>
      <c r="O53" s="21"/>
      <c r="P53" s="21"/>
      <c r="Q53" s="21"/>
      <c r="R53" s="23">
        <v>0</v>
      </c>
      <c r="S53" s="23">
        <v>0</v>
      </c>
      <c r="T53" s="23">
        <v>0</v>
      </c>
      <c r="U53" s="23">
        <v>0</v>
      </c>
      <c r="V53" s="23">
        <v>0</v>
      </c>
      <c r="W53" s="23"/>
      <c r="X53" s="23"/>
      <c r="Y53" s="23"/>
      <c r="Z53" s="23"/>
      <c r="AA53" s="23"/>
      <c r="AB53" s="23"/>
      <c r="AC53" s="25">
        <v>0</v>
      </c>
      <c r="AD53" s="25">
        <v>0</v>
      </c>
      <c r="AE53" s="25">
        <v>0</v>
      </c>
      <c r="AF53" s="25">
        <v>0</v>
      </c>
      <c r="AG53" s="25">
        <v>0</v>
      </c>
      <c r="AH53" s="25"/>
      <c r="AI53" s="25"/>
      <c r="AJ53" s="25"/>
      <c r="AK53" s="25"/>
      <c r="AL53" s="25"/>
      <c r="AM53" s="25"/>
    </row>
    <row r="54" spans="1:39" ht="15" customHeight="1">
      <c r="A54" s="32" t="str">
        <f t="shared" si="5"/>
        <v xml:space="preserve">Powercor--˂ = 11 kV ; RESIDENTIAL ; COMPLEX TYPE </v>
      </c>
      <c r="B54" s="32" t="str">
        <f t="shared" si="6"/>
        <v>Powercor</v>
      </c>
      <c r="C54" s="32" t="s">
        <v>719</v>
      </c>
      <c r="D54" s="391"/>
      <c r="F54" t="s">
        <v>188</v>
      </c>
      <c r="G54" s="21">
        <v>0</v>
      </c>
      <c r="H54" s="21">
        <v>0</v>
      </c>
      <c r="I54" s="21">
        <v>0</v>
      </c>
      <c r="J54" s="21">
        <v>0</v>
      </c>
      <c r="K54" s="21">
        <v>0</v>
      </c>
      <c r="L54" s="21"/>
      <c r="M54" s="21"/>
      <c r="N54" s="21"/>
      <c r="O54" s="21"/>
      <c r="P54" s="21"/>
      <c r="Q54" s="21"/>
      <c r="R54" s="23">
        <v>0</v>
      </c>
      <c r="S54" s="23">
        <v>0</v>
      </c>
      <c r="T54" s="23">
        <v>0</v>
      </c>
      <c r="U54" s="23">
        <v>0</v>
      </c>
      <c r="V54" s="23">
        <v>0</v>
      </c>
      <c r="W54" s="23"/>
      <c r="X54" s="23"/>
      <c r="Y54" s="23"/>
      <c r="Z54" s="23"/>
      <c r="AA54" s="23"/>
      <c r="AB54" s="23"/>
      <c r="AC54" s="25">
        <v>0</v>
      </c>
      <c r="AD54" s="25">
        <v>0</v>
      </c>
      <c r="AE54" s="25">
        <v>0</v>
      </c>
      <c r="AF54" s="25">
        <v>0</v>
      </c>
      <c r="AG54" s="25">
        <v>0</v>
      </c>
      <c r="AH54" s="25"/>
      <c r="AI54" s="25"/>
      <c r="AJ54" s="25"/>
      <c r="AK54" s="25"/>
      <c r="AL54" s="25"/>
      <c r="AM54" s="25"/>
    </row>
    <row r="55" spans="1:39" ht="15" customHeight="1">
      <c r="A55" s="32" t="str">
        <f t="shared" si="5"/>
        <v xml:space="preserve">Powercor--˂ = 11 kV ; COMMERCIAL &amp; INDUSTRIAL ; COMPLEX TYPE </v>
      </c>
      <c r="B55" s="32" t="str">
        <f t="shared" si="6"/>
        <v>Powercor</v>
      </c>
      <c r="C55" s="32" t="s">
        <v>719</v>
      </c>
      <c r="D55" s="391"/>
      <c r="F55" t="s">
        <v>189</v>
      </c>
      <c r="G55" s="21">
        <v>0</v>
      </c>
      <c r="H55" s="21">
        <v>0</v>
      </c>
      <c r="I55" s="21">
        <v>0</v>
      </c>
      <c r="J55" s="21">
        <v>0</v>
      </c>
      <c r="K55" s="21">
        <v>0</v>
      </c>
      <c r="L55" s="21"/>
      <c r="M55" s="21"/>
      <c r="N55" s="21"/>
      <c r="O55" s="21"/>
      <c r="P55" s="21"/>
      <c r="Q55" s="21"/>
      <c r="R55" s="23">
        <v>0</v>
      </c>
      <c r="S55" s="23">
        <v>0</v>
      </c>
      <c r="T55" s="23">
        <v>0</v>
      </c>
      <c r="U55" s="23">
        <v>0</v>
      </c>
      <c r="V55" s="23">
        <v>0</v>
      </c>
      <c r="W55" s="23"/>
      <c r="X55" s="23"/>
      <c r="Y55" s="23"/>
      <c r="Z55" s="23"/>
      <c r="AA55" s="23"/>
      <c r="AB55" s="23"/>
      <c r="AC55" s="25">
        <v>0</v>
      </c>
      <c r="AD55" s="25">
        <v>0</v>
      </c>
      <c r="AE55" s="25">
        <v>0</v>
      </c>
      <c r="AF55" s="25">
        <v>0</v>
      </c>
      <c r="AG55" s="25">
        <v>0</v>
      </c>
      <c r="AH55" s="25"/>
      <c r="AI55" s="25"/>
      <c r="AJ55" s="25"/>
      <c r="AK55" s="25"/>
      <c r="AL55" s="25"/>
      <c r="AM55" s="25"/>
    </row>
    <row r="56" spans="1:39" ht="15" customHeight="1">
      <c r="A56" s="32" t="str">
        <f t="shared" si="5"/>
        <v xml:space="preserve">Powercor--˂ = 11 kV ; SUBDIVISION ; COMPLEX TYPE </v>
      </c>
      <c r="B56" s="32" t="str">
        <f t="shared" si="6"/>
        <v>Powercor</v>
      </c>
      <c r="C56" s="32" t="s">
        <v>719</v>
      </c>
      <c r="D56" s="391"/>
      <c r="F56" t="s">
        <v>190</v>
      </c>
      <c r="G56" s="21">
        <v>0</v>
      </c>
      <c r="H56" s="21">
        <v>0</v>
      </c>
      <c r="I56" s="21">
        <v>0</v>
      </c>
      <c r="J56" s="21">
        <v>0</v>
      </c>
      <c r="K56" s="21">
        <v>0</v>
      </c>
      <c r="L56" s="21"/>
      <c r="M56" s="21"/>
      <c r="N56" s="21"/>
      <c r="O56" s="21"/>
      <c r="P56" s="21"/>
      <c r="Q56" s="21"/>
      <c r="R56" s="23">
        <v>0</v>
      </c>
      <c r="S56" s="23">
        <v>0</v>
      </c>
      <c r="T56" s="23">
        <v>0</v>
      </c>
      <c r="U56" s="23">
        <v>0</v>
      </c>
      <c r="V56" s="23">
        <v>0</v>
      </c>
      <c r="W56" s="23"/>
      <c r="X56" s="23"/>
      <c r="Y56" s="23"/>
      <c r="Z56" s="23"/>
      <c r="AA56" s="23"/>
      <c r="AB56" s="23"/>
      <c r="AC56" s="25">
        <v>0</v>
      </c>
      <c r="AD56" s="25">
        <v>0</v>
      </c>
      <c r="AE56" s="25">
        <v>0</v>
      </c>
      <c r="AF56" s="25">
        <v>0</v>
      </c>
      <c r="AG56" s="25">
        <v>0</v>
      </c>
      <c r="AH56" s="25"/>
      <c r="AI56" s="25"/>
      <c r="AJ56" s="25"/>
      <c r="AK56" s="25"/>
      <c r="AL56" s="25"/>
      <c r="AM56" s="25"/>
    </row>
    <row r="57" spans="1:39" ht="15" customHeight="1">
      <c r="A57" s="32" t="str">
        <f t="shared" si="5"/>
        <v xml:space="preserve">Powercor--&gt; 11 kV  &amp; &lt; = 22 kV ; COMMERCIAL &amp; INDUSTRIAL  </v>
      </c>
      <c r="B57" s="32" t="str">
        <f t="shared" si="6"/>
        <v>Powercor</v>
      </c>
      <c r="C57" s="32" t="s">
        <v>719</v>
      </c>
      <c r="D57" s="391"/>
      <c r="F57" t="s">
        <v>191</v>
      </c>
      <c r="G57" s="21">
        <v>0</v>
      </c>
      <c r="H57" s="21">
        <v>0</v>
      </c>
      <c r="I57" s="21">
        <v>0</v>
      </c>
      <c r="J57" s="21">
        <v>0</v>
      </c>
      <c r="K57" s="21">
        <v>0</v>
      </c>
      <c r="L57" s="21"/>
      <c r="M57" s="21"/>
      <c r="N57" s="21"/>
      <c r="O57" s="21"/>
      <c r="P57" s="21"/>
      <c r="Q57" s="21"/>
      <c r="R57" s="23">
        <v>0</v>
      </c>
      <c r="S57" s="23">
        <v>0</v>
      </c>
      <c r="T57" s="23">
        <v>0</v>
      </c>
      <c r="U57" s="23">
        <v>0</v>
      </c>
      <c r="V57" s="23">
        <v>0</v>
      </c>
      <c r="W57" s="23"/>
      <c r="X57" s="23"/>
      <c r="Y57" s="23"/>
      <c r="Z57" s="23"/>
      <c r="AA57" s="23"/>
      <c r="AB57" s="23"/>
      <c r="AC57" s="25">
        <v>0</v>
      </c>
      <c r="AD57" s="25">
        <v>0</v>
      </c>
      <c r="AE57" s="25">
        <v>0</v>
      </c>
      <c r="AF57" s="25">
        <v>0</v>
      </c>
      <c r="AG57" s="25">
        <v>0</v>
      </c>
      <c r="AH57" s="25"/>
      <c r="AI57" s="25"/>
      <c r="AJ57" s="25"/>
      <c r="AK57" s="25"/>
      <c r="AL57" s="25"/>
      <c r="AM57" s="25"/>
    </row>
    <row r="58" spans="1:39" ht="15" customHeight="1">
      <c r="A58" s="32" t="str">
        <f t="shared" si="5"/>
        <v xml:space="preserve">Powercor--&gt; 11 kV  &amp; &lt; = 22 kV ; SUBDIVISION  </v>
      </c>
      <c r="B58" s="32" t="str">
        <f t="shared" si="6"/>
        <v>Powercor</v>
      </c>
      <c r="C58" s="32" t="s">
        <v>719</v>
      </c>
      <c r="D58" s="391"/>
      <c r="F58" t="s">
        <v>192</v>
      </c>
      <c r="G58" s="21">
        <v>0</v>
      </c>
      <c r="H58" s="21">
        <v>0</v>
      </c>
      <c r="I58" s="21">
        <v>0</v>
      </c>
      <c r="J58" s="21">
        <v>0</v>
      </c>
      <c r="K58" s="21">
        <v>0</v>
      </c>
      <c r="L58" s="21"/>
      <c r="M58" s="21"/>
      <c r="N58" s="21"/>
      <c r="O58" s="21"/>
      <c r="P58" s="21"/>
      <c r="Q58" s="21"/>
      <c r="R58" s="23">
        <v>0</v>
      </c>
      <c r="S58" s="23">
        <v>0</v>
      </c>
      <c r="T58" s="23">
        <v>0</v>
      </c>
      <c r="U58" s="23">
        <v>0</v>
      </c>
      <c r="V58" s="23">
        <v>0</v>
      </c>
      <c r="W58" s="23"/>
      <c r="X58" s="23"/>
      <c r="Y58" s="23"/>
      <c r="Z58" s="23"/>
      <c r="AA58" s="23"/>
      <c r="AB58" s="23"/>
      <c r="AC58" s="25">
        <v>0</v>
      </c>
      <c r="AD58" s="25">
        <v>0</v>
      </c>
      <c r="AE58" s="25">
        <v>0</v>
      </c>
      <c r="AF58" s="25">
        <v>0</v>
      </c>
      <c r="AG58" s="25">
        <v>0</v>
      </c>
      <c r="AH58" s="25"/>
      <c r="AI58" s="25"/>
      <c r="AJ58" s="25"/>
      <c r="AK58" s="25"/>
      <c r="AL58" s="25"/>
      <c r="AM58" s="25"/>
    </row>
    <row r="59" spans="1:39" ht="15" customHeight="1">
      <c r="A59" s="32" t="str">
        <f t="shared" si="5"/>
        <v xml:space="preserve">Powercor--&gt; 22 kV &amp; &lt; = 33 kV ; COMMERCIAL &amp; INDUSTRIAL  </v>
      </c>
      <c r="B59" s="32" t="str">
        <f t="shared" si="6"/>
        <v>Powercor</v>
      </c>
      <c r="C59" s="32" t="s">
        <v>719</v>
      </c>
      <c r="D59" s="391"/>
      <c r="F59" t="s">
        <v>193</v>
      </c>
      <c r="G59" s="21">
        <v>0</v>
      </c>
      <c r="H59" s="21">
        <v>0</v>
      </c>
      <c r="I59" s="21">
        <v>0</v>
      </c>
      <c r="J59" s="21">
        <v>0</v>
      </c>
      <c r="K59" s="21">
        <v>0</v>
      </c>
      <c r="L59" s="21"/>
      <c r="M59" s="21"/>
      <c r="N59" s="21"/>
      <c r="O59" s="21"/>
      <c r="P59" s="21"/>
      <c r="Q59" s="21"/>
      <c r="R59" s="23">
        <v>0</v>
      </c>
      <c r="S59" s="23">
        <v>0</v>
      </c>
      <c r="T59" s="23">
        <v>0</v>
      </c>
      <c r="U59" s="23">
        <v>0</v>
      </c>
      <c r="V59" s="23">
        <v>0</v>
      </c>
      <c r="W59" s="23"/>
      <c r="X59" s="23"/>
      <c r="Y59" s="23"/>
      <c r="Z59" s="23"/>
      <c r="AA59" s="23"/>
      <c r="AB59" s="23"/>
      <c r="AC59" s="25">
        <v>0</v>
      </c>
      <c r="AD59" s="25">
        <v>0</v>
      </c>
      <c r="AE59" s="25">
        <v>0</v>
      </c>
      <c r="AF59" s="25">
        <v>0</v>
      </c>
      <c r="AG59" s="25">
        <v>0</v>
      </c>
      <c r="AH59" s="25"/>
      <c r="AI59" s="25"/>
      <c r="AJ59" s="25"/>
      <c r="AK59" s="25"/>
      <c r="AL59" s="25"/>
      <c r="AM59" s="25"/>
    </row>
    <row r="60" spans="1:39" ht="15" customHeight="1">
      <c r="A60" s="32" t="str">
        <f t="shared" si="5"/>
        <v xml:space="preserve">Powercor--&gt; 22 kV &amp; &lt; = 33 kV ; SUBDIVISION  </v>
      </c>
      <c r="B60" s="32" t="str">
        <f t="shared" si="6"/>
        <v>Powercor</v>
      </c>
      <c r="C60" s="32" t="s">
        <v>719</v>
      </c>
      <c r="D60" s="391"/>
      <c r="F60" t="s">
        <v>194</v>
      </c>
      <c r="G60" s="21">
        <v>0</v>
      </c>
      <c r="H60" s="21">
        <v>0</v>
      </c>
      <c r="I60" s="21">
        <v>0</v>
      </c>
      <c r="J60" s="21">
        <v>0</v>
      </c>
      <c r="K60" s="21">
        <v>0</v>
      </c>
      <c r="L60" s="21"/>
      <c r="M60" s="21"/>
      <c r="N60" s="21"/>
      <c r="O60" s="21"/>
      <c r="P60" s="21"/>
      <c r="Q60" s="21"/>
      <c r="R60" s="23">
        <v>0</v>
      </c>
      <c r="S60" s="23">
        <v>0</v>
      </c>
      <c r="T60" s="23">
        <v>0</v>
      </c>
      <c r="U60" s="23">
        <v>0</v>
      </c>
      <c r="V60" s="23">
        <v>0</v>
      </c>
      <c r="W60" s="23"/>
      <c r="X60" s="23"/>
      <c r="Y60" s="23"/>
      <c r="Z60" s="23"/>
      <c r="AA60" s="23"/>
      <c r="AB60" s="23"/>
      <c r="AC60" s="25">
        <v>0</v>
      </c>
      <c r="AD60" s="25">
        <v>0</v>
      </c>
      <c r="AE60" s="25">
        <v>0</v>
      </c>
      <c r="AF60" s="25">
        <v>0</v>
      </c>
      <c r="AG60" s="25">
        <v>0</v>
      </c>
      <c r="AH60" s="25"/>
      <c r="AI60" s="25"/>
      <c r="AJ60" s="25"/>
      <c r="AK60" s="25"/>
      <c r="AL60" s="25"/>
      <c r="AM60" s="25"/>
    </row>
    <row r="61" spans="1:39" ht="15" customHeight="1">
      <c r="A61" s="32" t="str">
        <f t="shared" si="5"/>
        <v xml:space="preserve">Powercor--&gt; 33 kV &amp; &lt; = 66 kV ; COMMERCIAL &amp; INDUSTRIAL  </v>
      </c>
      <c r="B61" s="32" t="str">
        <f t="shared" si="6"/>
        <v>Powercor</v>
      </c>
      <c r="C61" s="32" t="s">
        <v>719</v>
      </c>
      <c r="D61" s="391"/>
      <c r="F61" t="s">
        <v>195</v>
      </c>
      <c r="G61" s="21">
        <v>0</v>
      </c>
      <c r="H61" s="21">
        <v>0</v>
      </c>
      <c r="I61" s="21">
        <v>0</v>
      </c>
      <c r="J61" s="21">
        <v>0</v>
      </c>
      <c r="K61" s="21">
        <v>0</v>
      </c>
      <c r="L61" s="21"/>
      <c r="M61" s="21"/>
      <c r="N61" s="21"/>
      <c r="O61" s="21"/>
      <c r="P61" s="21"/>
      <c r="Q61" s="21"/>
      <c r="R61" s="23">
        <v>0</v>
      </c>
      <c r="S61" s="23">
        <v>0</v>
      </c>
      <c r="T61" s="23">
        <v>0</v>
      </c>
      <c r="U61" s="23">
        <v>0</v>
      </c>
      <c r="V61" s="23">
        <v>0</v>
      </c>
      <c r="W61" s="23"/>
      <c r="X61" s="23"/>
      <c r="Y61" s="23"/>
      <c r="Z61" s="23"/>
      <c r="AA61" s="23"/>
      <c r="AB61" s="23"/>
      <c r="AC61" s="25">
        <v>0</v>
      </c>
      <c r="AD61" s="25">
        <v>0</v>
      </c>
      <c r="AE61" s="25">
        <v>0</v>
      </c>
      <c r="AF61" s="25">
        <v>0</v>
      </c>
      <c r="AG61" s="25">
        <v>0</v>
      </c>
      <c r="AH61" s="25"/>
      <c r="AI61" s="25"/>
      <c r="AJ61" s="25"/>
      <c r="AK61" s="25"/>
      <c r="AL61" s="25"/>
      <c r="AM61" s="25"/>
    </row>
    <row r="62" spans="1:39" ht="15" customHeight="1">
      <c r="A62" s="32" t="str">
        <f t="shared" si="5"/>
        <v xml:space="preserve">Powercor--&gt; 33 kV &amp; &lt; = 66 kV ; SUBDIVISION  </v>
      </c>
      <c r="B62" s="32" t="str">
        <f t="shared" si="6"/>
        <v>Powercor</v>
      </c>
      <c r="C62" s="32" t="s">
        <v>719</v>
      </c>
      <c r="D62" s="391"/>
      <c r="F62" t="s">
        <v>196</v>
      </c>
      <c r="G62" s="21">
        <v>0</v>
      </c>
      <c r="H62" s="21">
        <v>0</v>
      </c>
      <c r="I62" s="21">
        <v>0</v>
      </c>
      <c r="J62" s="21">
        <v>0</v>
      </c>
      <c r="K62" s="21">
        <v>0</v>
      </c>
      <c r="L62" s="21"/>
      <c r="M62" s="21"/>
      <c r="N62" s="21"/>
      <c r="O62" s="21"/>
      <c r="P62" s="21"/>
      <c r="Q62" s="21"/>
      <c r="R62" s="23">
        <v>0</v>
      </c>
      <c r="S62" s="23">
        <v>0</v>
      </c>
      <c r="T62" s="23">
        <v>0</v>
      </c>
      <c r="U62" s="23">
        <v>0</v>
      </c>
      <c r="V62" s="23">
        <v>0</v>
      </c>
      <c r="W62" s="23"/>
      <c r="X62" s="23"/>
      <c r="Y62" s="23"/>
      <c r="Z62" s="23"/>
      <c r="AA62" s="23"/>
      <c r="AB62" s="23"/>
      <c r="AC62" s="25">
        <v>0</v>
      </c>
      <c r="AD62" s="25">
        <v>0</v>
      </c>
      <c r="AE62" s="25">
        <v>0</v>
      </c>
      <c r="AF62" s="25">
        <v>0</v>
      </c>
      <c r="AG62" s="25">
        <v>0</v>
      </c>
      <c r="AH62" s="25"/>
      <c r="AI62" s="25"/>
      <c r="AJ62" s="25"/>
      <c r="AK62" s="25"/>
      <c r="AL62" s="25"/>
      <c r="AM62" s="25"/>
    </row>
    <row r="63" spans="1:39" ht="15" customHeight="1">
      <c r="A63" s="32" t="str">
        <f t="shared" si="5"/>
        <v xml:space="preserve">Powercor--&gt; 66 kV &amp; &lt; = 132 kV ; COMMERCIAL &amp; INDUSTRIAL  </v>
      </c>
      <c r="B63" s="32" t="str">
        <f t="shared" si="6"/>
        <v>Powercor</v>
      </c>
      <c r="C63" s="32" t="s">
        <v>719</v>
      </c>
      <c r="D63" s="391"/>
      <c r="F63" t="s">
        <v>197</v>
      </c>
      <c r="G63" s="21">
        <v>0</v>
      </c>
      <c r="H63" s="21">
        <v>0</v>
      </c>
      <c r="I63" s="21">
        <v>0</v>
      </c>
      <c r="J63" s="21">
        <v>0</v>
      </c>
      <c r="K63" s="21">
        <v>0</v>
      </c>
      <c r="L63" s="21"/>
      <c r="M63" s="21"/>
      <c r="N63" s="21"/>
      <c r="O63" s="21"/>
      <c r="P63" s="21"/>
      <c r="Q63" s="21"/>
      <c r="R63" s="23">
        <v>0</v>
      </c>
      <c r="S63" s="23">
        <v>0</v>
      </c>
      <c r="T63" s="23">
        <v>0</v>
      </c>
      <c r="U63" s="23">
        <v>0</v>
      </c>
      <c r="V63" s="23">
        <v>0</v>
      </c>
      <c r="W63" s="23"/>
      <c r="X63" s="23"/>
      <c r="Y63" s="23"/>
      <c r="Z63" s="23"/>
      <c r="AA63" s="23"/>
      <c r="AB63" s="23"/>
      <c r="AC63" s="25">
        <v>0</v>
      </c>
      <c r="AD63" s="25">
        <v>0</v>
      </c>
      <c r="AE63" s="25">
        <v>0</v>
      </c>
      <c r="AF63" s="25">
        <v>0</v>
      </c>
      <c r="AG63" s="25">
        <v>0</v>
      </c>
      <c r="AH63" s="25"/>
      <c r="AI63" s="25"/>
      <c r="AJ63" s="25"/>
      <c r="AK63" s="25"/>
      <c r="AL63" s="25"/>
      <c r="AM63" s="25"/>
    </row>
    <row r="64" spans="1:39" ht="15" customHeight="1">
      <c r="A64" s="32" t="str">
        <f t="shared" si="5"/>
        <v xml:space="preserve">Powercor--&gt; 66 kV &amp; &lt; = 132 kV ; SUBDIVISION  </v>
      </c>
      <c r="B64" s="32" t="str">
        <f t="shared" si="6"/>
        <v>Powercor</v>
      </c>
      <c r="C64" s="32" t="s">
        <v>719</v>
      </c>
      <c r="D64" s="391"/>
      <c r="F64" t="s">
        <v>198</v>
      </c>
      <c r="G64" s="21">
        <v>0</v>
      </c>
      <c r="H64" s="21">
        <v>0</v>
      </c>
      <c r="I64" s="21">
        <v>0</v>
      </c>
      <c r="J64" s="21">
        <v>0</v>
      </c>
      <c r="K64" s="21">
        <v>0</v>
      </c>
      <c r="L64" s="21"/>
      <c r="M64" s="21"/>
      <c r="N64" s="21"/>
      <c r="O64" s="21"/>
      <c r="P64" s="21"/>
      <c r="Q64" s="21"/>
      <c r="R64" s="23">
        <v>0</v>
      </c>
      <c r="S64" s="23">
        <v>0</v>
      </c>
      <c r="T64" s="23">
        <v>0</v>
      </c>
      <c r="U64" s="23">
        <v>0</v>
      </c>
      <c r="V64" s="23">
        <v>0</v>
      </c>
      <c r="W64" s="23"/>
      <c r="X64" s="23"/>
      <c r="Y64" s="23"/>
      <c r="Z64" s="23"/>
      <c r="AA64" s="23"/>
      <c r="AB64" s="23"/>
      <c r="AC64" s="25">
        <v>0</v>
      </c>
      <c r="AD64" s="25">
        <v>0</v>
      </c>
      <c r="AE64" s="25">
        <v>0</v>
      </c>
      <c r="AF64" s="25">
        <v>0</v>
      </c>
      <c r="AG64" s="25">
        <v>0</v>
      </c>
      <c r="AH64" s="25"/>
      <c r="AI64" s="25"/>
      <c r="AJ64" s="25"/>
      <c r="AK64" s="25"/>
      <c r="AL64" s="25"/>
      <c r="AM64" s="25"/>
    </row>
    <row r="65" spans="1:39" ht="15" customHeight="1">
      <c r="A65" s="32" t="str">
        <f t="shared" si="5"/>
        <v xml:space="preserve">Powercor--&gt; 132 kV ; COMMERCIAL &amp; INDUSTRIAL  </v>
      </c>
      <c r="B65" s="32" t="str">
        <f t="shared" si="6"/>
        <v>Powercor</v>
      </c>
      <c r="C65" s="32" t="s">
        <v>719</v>
      </c>
      <c r="D65" s="391"/>
      <c r="F65" t="s">
        <v>199</v>
      </c>
      <c r="G65" s="21">
        <v>0</v>
      </c>
      <c r="H65" s="21">
        <v>0</v>
      </c>
      <c r="I65" s="21">
        <v>0</v>
      </c>
      <c r="J65" s="21">
        <v>0</v>
      </c>
      <c r="K65" s="21">
        <v>0</v>
      </c>
      <c r="L65" s="21"/>
      <c r="M65" s="21"/>
      <c r="N65" s="21"/>
      <c r="O65" s="21"/>
      <c r="P65" s="21"/>
      <c r="Q65" s="21"/>
      <c r="R65" s="23">
        <v>0</v>
      </c>
      <c r="S65" s="23">
        <v>0</v>
      </c>
      <c r="T65" s="23">
        <v>0</v>
      </c>
      <c r="U65" s="23">
        <v>0</v>
      </c>
      <c r="V65" s="23">
        <v>0</v>
      </c>
      <c r="W65" s="23"/>
      <c r="X65" s="23"/>
      <c r="Y65" s="23"/>
      <c r="Z65" s="23"/>
      <c r="AA65" s="23"/>
      <c r="AB65" s="23"/>
      <c r="AC65" s="25">
        <v>0</v>
      </c>
      <c r="AD65" s="25">
        <v>0</v>
      </c>
      <c r="AE65" s="25">
        <v>0</v>
      </c>
      <c r="AF65" s="25">
        <v>0</v>
      </c>
      <c r="AG65" s="25">
        <v>0</v>
      </c>
      <c r="AH65" s="25"/>
      <c r="AI65" s="25"/>
      <c r="AJ65" s="25"/>
      <c r="AK65" s="25"/>
      <c r="AL65" s="25"/>
      <c r="AM65" s="25"/>
    </row>
    <row r="66" spans="1:39" ht="15" customHeight="1">
      <c r="A66" s="32" t="str">
        <f t="shared" si="5"/>
        <v xml:space="preserve">Powercor--&gt; 132 kV ; SUBDIVISION  </v>
      </c>
      <c r="B66" s="32" t="str">
        <f t="shared" si="6"/>
        <v>Powercor</v>
      </c>
      <c r="C66" s="32" t="s">
        <v>719</v>
      </c>
      <c r="D66" s="391"/>
      <c r="F66" t="s">
        <v>200</v>
      </c>
      <c r="G66" s="21">
        <v>0</v>
      </c>
      <c r="H66" s="21">
        <v>0</v>
      </c>
      <c r="I66" s="21">
        <v>0</v>
      </c>
      <c r="J66" s="21">
        <v>0</v>
      </c>
      <c r="K66" s="21">
        <v>0</v>
      </c>
      <c r="L66" s="21"/>
      <c r="M66" s="21"/>
      <c r="N66" s="21"/>
      <c r="O66" s="21"/>
      <c r="P66" s="21"/>
      <c r="Q66" s="21"/>
      <c r="R66" s="23">
        <v>0</v>
      </c>
      <c r="S66" s="23">
        <v>0</v>
      </c>
      <c r="T66" s="23">
        <v>0</v>
      </c>
      <c r="U66" s="23">
        <v>0</v>
      </c>
      <c r="V66" s="23">
        <v>0</v>
      </c>
      <c r="W66" s="23"/>
      <c r="X66" s="23"/>
      <c r="Y66" s="23"/>
      <c r="Z66" s="23"/>
      <c r="AA66" s="23"/>
      <c r="AB66" s="23"/>
      <c r="AC66" s="25">
        <v>0</v>
      </c>
      <c r="AD66" s="25">
        <v>0</v>
      </c>
      <c r="AE66" s="25">
        <v>0</v>
      </c>
      <c r="AF66" s="25">
        <v>0</v>
      </c>
      <c r="AG66" s="25">
        <v>0</v>
      </c>
      <c r="AH66" s="25"/>
      <c r="AI66" s="25"/>
      <c r="AJ66" s="25"/>
      <c r="AK66" s="25"/>
      <c r="AL66" s="25"/>
      <c r="AM66" s="25"/>
    </row>
    <row r="67" spans="1:39" ht="15" customHeight="1">
      <c r="A67" s="32" t="str">
        <f t="shared" si="5"/>
        <v>Powercor--LV Overhead Services</v>
      </c>
      <c r="B67" s="32" t="str">
        <f t="shared" si="6"/>
        <v>Powercor</v>
      </c>
      <c r="C67" s="32" t="s">
        <v>719</v>
      </c>
      <c r="D67" s="391"/>
      <c r="F67" t="s">
        <v>201</v>
      </c>
      <c r="G67" s="21">
        <v>3709.6417106379163</v>
      </c>
      <c r="H67" s="21">
        <v>3364.1322102109598</v>
      </c>
      <c r="I67" s="21">
        <v>3698.5248909692714</v>
      </c>
      <c r="J67" s="21">
        <v>4009.0479781351432</v>
      </c>
      <c r="K67" s="21">
        <v>5891.8946585474941</v>
      </c>
      <c r="L67" s="21"/>
      <c r="M67" s="21"/>
      <c r="N67" s="21"/>
      <c r="O67" s="21"/>
      <c r="P67" s="21"/>
      <c r="Q67" s="21"/>
      <c r="R67" s="23">
        <v>160.55199999999999</v>
      </c>
      <c r="S67" s="23">
        <v>166.21799999999999</v>
      </c>
      <c r="T67" s="23">
        <v>138.84950000000001</v>
      </c>
      <c r="U67" s="23">
        <v>152.0471</v>
      </c>
      <c r="V67" s="23">
        <v>197.88300000000001</v>
      </c>
      <c r="W67" s="23"/>
      <c r="X67" s="23"/>
      <c r="Y67" s="23"/>
      <c r="Z67" s="23"/>
      <c r="AA67" s="23"/>
      <c r="AB67" s="23"/>
      <c r="AC67" s="25">
        <v>55.33</v>
      </c>
      <c r="AD67" s="25">
        <v>48.663999999999994</v>
      </c>
      <c r="AE67" s="25">
        <v>44.616</v>
      </c>
      <c r="AF67" s="25">
        <v>46.177999999999997</v>
      </c>
      <c r="AG67" s="25">
        <v>43.186</v>
      </c>
      <c r="AH67" s="25"/>
      <c r="AI67" s="25"/>
      <c r="AJ67" s="25"/>
      <c r="AK67" s="25"/>
      <c r="AL67" s="25"/>
      <c r="AM67" s="25"/>
    </row>
    <row r="68" spans="1:39" ht="15" customHeight="1">
      <c r="A68" s="32" t="str">
        <f t="shared" si="5"/>
        <v>Powercor--LV Underground Services (exp. Under &lt;= 1kV Underground Cables)</v>
      </c>
      <c r="B68" s="32" t="str">
        <f t="shared" si="6"/>
        <v>Powercor</v>
      </c>
      <c r="C68" s="32" t="s">
        <v>719</v>
      </c>
      <c r="D68" s="391"/>
      <c r="F68" t="s">
        <v>202</v>
      </c>
      <c r="G68" s="21">
        <v>0</v>
      </c>
      <c r="H68" s="21">
        <v>0</v>
      </c>
      <c r="I68" s="21">
        <v>0</v>
      </c>
      <c r="J68" s="21">
        <v>0</v>
      </c>
      <c r="K68" s="21">
        <v>0</v>
      </c>
      <c r="L68" s="21"/>
      <c r="M68" s="21"/>
      <c r="N68" s="21"/>
      <c r="O68" s="21"/>
      <c r="P68" s="21"/>
      <c r="Q68" s="21"/>
      <c r="R68" s="23">
        <v>0</v>
      </c>
      <c r="S68" s="23">
        <v>0</v>
      </c>
      <c r="T68" s="23">
        <v>0</v>
      </c>
      <c r="U68" s="23">
        <v>0</v>
      </c>
      <c r="V68" s="23">
        <v>0</v>
      </c>
      <c r="W68" s="23"/>
      <c r="X68" s="23"/>
      <c r="Y68" s="23"/>
      <c r="Z68" s="23"/>
      <c r="AA68" s="23"/>
      <c r="AB68" s="23"/>
      <c r="AC68" s="25">
        <v>0.06</v>
      </c>
      <c r="AD68" s="25">
        <v>0.32</v>
      </c>
      <c r="AE68" s="25">
        <v>0.42</v>
      </c>
      <c r="AF68" s="25">
        <v>0.92</v>
      </c>
      <c r="AG68" s="25">
        <v>0.96</v>
      </c>
      <c r="AH68" s="25"/>
      <c r="AI68" s="25"/>
      <c r="AJ68" s="25"/>
      <c r="AK68" s="25"/>
      <c r="AL68" s="25"/>
      <c r="AM68" s="25"/>
    </row>
    <row r="69" spans="1:39" ht="15" customHeight="1">
      <c r="A69" s="32" t="str">
        <f t="shared" si="5"/>
        <v>Powercor--OTHER - PLEASE ADD A ROW IF NECESSARY AND NOMINATE THE CATEGORY</v>
      </c>
      <c r="B69" s="32" t="str">
        <f t="shared" si="6"/>
        <v>Powercor</v>
      </c>
      <c r="C69" s="32" t="s">
        <v>719</v>
      </c>
      <c r="D69" s="391"/>
      <c r="F69" t="s">
        <v>170</v>
      </c>
      <c r="G69" s="21"/>
      <c r="H69" s="21"/>
      <c r="I69" s="21"/>
      <c r="J69" s="21"/>
      <c r="K69" s="21"/>
      <c r="L69" s="21"/>
      <c r="M69" s="21"/>
      <c r="N69" s="21"/>
      <c r="O69" s="21"/>
      <c r="P69" s="21"/>
      <c r="Q69" s="21"/>
      <c r="R69" s="23"/>
      <c r="S69" s="23"/>
      <c r="T69" s="23"/>
      <c r="U69" s="23"/>
      <c r="V69" s="23"/>
      <c r="W69" s="23"/>
      <c r="X69" s="23"/>
      <c r="Y69" s="23"/>
      <c r="Z69" s="23"/>
      <c r="AA69" s="23"/>
      <c r="AB69" s="23"/>
      <c r="AC69" s="25"/>
      <c r="AD69" s="25"/>
      <c r="AE69" s="25"/>
      <c r="AF69" s="25"/>
      <c r="AG69" s="25"/>
      <c r="AH69" s="25"/>
      <c r="AI69" s="25"/>
      <c r="AJ69" s="25"/>
      <c r="AK69" s="25"/>
      <c r="AL69" s="25"/>
      <c r="AM69" s="25"/>
    </row>
    <row r="70" spans="1:39" ht="75" customHeight="1">
      <c r="A70" s="32" t="str">
        <f t="shared" ref="A70:A133" si="7">B70&amp;"-"&amp;E70&amp;"-"&amp;F70</f>
        <v>Powercor-TRANSFORMERS BY: 
MOUNTING TYPE; HIGHEST OPERATING VOLTAGE ; AMPERE RATING; NUMBER OF PHASES (AT LV)-POLE MOUNTED ; &lt; = 22kV ;  &lt; = 60 kVA ; SINGLE PHASE</v>
      </c>
      <c r="B70" s="32" t="str">
        <f t="shared" ref="B70:B133" si="8">IF(D70&gt;0,D70,B69)</f>
        <v>Powercor</v>
      </c>
      <c r="C70" s="32" t="s">
        <v>4</v>
      </c>
      <c r="D70" s="391"/>
      <c r="E70" s="3" t="s">
        <v>544</v>
      </c>
      <c r="F70" t="s">
        <v>203</v>
      </c>
      <c r="G70" s="21">
        <v>1852.8526379562859</v>
      </c>
      <c r="H70" s="21">
        <v>3325.2912321740446</v>
      </c>
      <c r="I70" s="21">
        <v>2873.1651129187353</v>
      </c>
      <c r="J70" s="21">
        <v>2751.4083789779634</v>
      </c>
      <c r="K70" s="21">
        <v>2664.8749505279843</v>
      </c>
      <c r="L70" s="21"/>
      <c r="M70" s="21"/>
      <c r="N70" s="21"/>
      <c r="O70" s="21"/>
      <c r="P70" s="21"/>
      <c r="Q70" s="21"/>
      <c r="R70" s="23">
        <v>465</v>
      </c>
      <c r="S70" s="23">
        <v>672</v>
      </c>
      <c r="T70" s="23">
        <v>521</v>
      </c>
      <c r="U70" s="23">
        <v>527</v>
      </c>
      <c r="V70" s="23">
        <v>485</v>
      </c>
      <c r="W70" s="23"/>
      <c r="X70" s="23"/>
      <c r="Y70" s="23"/>
      <c r="Z70" s="23"/>
      <c r="AA70" s="23"/>
      <c r="AB70" s="23"/>
      <c r="AC70" s="25">
        <v>0</v>
      </c>
      <c r="AD70" s="25">
        <v>0</v>
      </c>
      <c r="AE70" s="25">
        <v>0</v>
      </c>
      <c r="AF70" s="25">
        <v>0</v>
      </c>
      <c r="AG70" s="25">
        <v>0</v>
      </c>
      <c r="AH70" s="25"/>
      <c r="AI70" s="25"/>
      <c r="AJ70" s="25"/>
      <c r="AK70" s="25"/>
      <c r="AL70" s="25"/>
      <c r="AM70" s="25"/>
    </row>
    <row r="71" spans="1:39" ht="15" customHeight="1">
      <c r="A71" s="32" t="str">
        <f t="shared" si="7"/>
        <v>Powercor--POLE MOUNTED ; &lt; = 22kV ;  &gt; 60 kVA AND &lt; = 600 kVA ; SINGLE PHASE</v>
      </c>
      <c r="B71" s="32" t="str">
        <f t="shared" si="8"/>
        <v>Powercor</v>
      </c>
      <c r="C71" s="32" t="s">
        <v>4</v>
      </c>
      <c r="D71" s="391"/>
      <c r="F71" t="s">
        <v>204</v>
      </c>
      <c r="G71" s="21">
        <v>399.28356698121269</v>
      </c>
      <c r="H71" s="21">
        <v>381.02347447548027</v>
      </c>
      <c r="I71" s="21">
        <v>350.1732774970165</v>
      </c>
      <c r="J71" s="21">
        <v>308.6802692838254</v>
      </c>
      <c r="K71" s="21">
        <v>502.78971622108281</v>
      </c>
      <c r="L71" s="21"/>
      <c r="M71" s="21"/>
      <c r="N71" s="21"/>
      <c r="O71" s="21"/>
      <c r="P71" s="21"/>
      <c r="Q71" s="21"/>
      <c r="R71" s="23">
        <v>26</v>
      </c>
      <c r="S71" s="23">
        <v>12</v>
      </c>
      <c r="T71" s="23">
        <v>16</v>
      </c>
      <c r="U71" s="23">
        <v>14</v>
      </c>
      <c r="V71" s="23">
        <v>9</v>
      </c>
      <c r="W71" s="23"/>
      <c r="X71" s="23"/>
      <c r="Y71" s="23"/>
      <c r="Z71" s="23"/>
      <c r="AA71" s="23"/>
      <c r="AB71" s="23"/>
      <c r="AC71" s="25">
        <v>0</v>
      </c>
      <c r="AD71" s="25">
        <v>0</v>
      </c>
      <c r="AE71" s="25">
        <v>0</v>
      </c>
      <c r="AF71" s="25">
        <v>0</v>
      </c>
      <c r="AG71" s="25">
        <v>0</v>
      </c>
      <c r="AH71" s="25"/>
      <c r="AI71" s="25"/>
      <c r="AJ71" s="25"/>
      <c r="AK71" s="25"/>
      <c r="AL71" s="25"/>
      <c r="AM71" s="25"/>
    </row>
    <row r="72" spans="1:39" ht="15" customHeight="1">
      <c r="A72" s="32" t="str">
        <f t="shared" si="7"/>
        <v>Powercor--POLE MOUNTED ; &lt; = 22kV ;  &gt; 600 kVA ; SINGLE PHASE</v>
      </c>
      <c r="B72" s="32" t="str">
        <f t="shared" si="8"/>
        <v>Powercor</v>
      </c>
      <c r="C72" s="32" t="s">
        <v>4</v>
      </c>
      <c r="D72" s="391"/>
      <c r="F72" t="s">
        <v>205</v>
      </c>
      <c r="G72" s="21">
        <v>0</v>
      </c>
      <c r="H72" s="21">
        <v>0</v>
      </c>
      <c r="I72" s="21">
        <v>0</v>
      </c>
      <c r="J72" s="21">
        <v>0</v>
      </c>
      <c r="K72" s="21">
        <v>0</v>
      </c>
      <c r="L72" s="21"/>
      <c r="M72" s="21"/>
      <c r="N72" s="21"/>
      <c r="O72" s="21"/>
      <c r="P72" s="21"/>
      <c r="Q72" s="21"/>
      <c r="R72" s="23">
        <v>0</v>
      </c>
      <c r="S72" s="23">
        <v>0</v>
      </c>
      <c r="T72" s="23">
        <v>0</v>
      </c>
      <c r="U72" s="23">
        <v>0</v>
      </c>
      <c r="V72" s="23">
        <v>0</v>
      </c>
      <c r="W72" s="23"/>
      <c r="X72" s="23"/>
      <c r="Y72" s="23"/>
      <c r="Z72" s="23"/>
      <c r="AA72" s="23"/>
      <c r="AB72" s="23"/>
      <c r="AC72" s="25">
        <v>0</v>
      </c>
      <c r="AD72" s="25">
        <v>0</v>
      </c>
      <c r="AE72" s="25">
        <v>0</v>
      </c>
      <c r="AF72" s="25">
        <v>0</v>
      </c>
      <c r="AG72" s="25">
        <v>0</v>
      </c>
      <c r="AH72" s="25"/>
      <c r="AI72" s="25"/>
      <c r="AJ72" s="25"/>
      <c r="AK72" s="25"/>
      <c r="AL72" s="25"/>
      <c r="AM72" s="25"/>
    </row>
    <row r="73" spans="1:39" ht="15" customHeight="1">
      <c r="A73" s="32" t="str">
        <f t="shared" si="7"/>
        <v>Powercor--POLE MOUNTED ; &lt; = 22kV ;  &lt; = 60 kVA  ; MULTIPLE PHASE</v>
      </c>
      <c r="B73" s="32" t="str">
        <f t="shared" si="8"/>
        <v>Powercor</v>
      </c>
      <c r="C73" s="32" t="s">
        <v>4</v>
      </c>
      <c r="D73" s="391"/>
      <c r="F73" t="s">
        <v>206</v>
      </c>
      <c r="G73" s="21">
        <v>230.02683765431541</v>
      </c>
      <c r="H73" s="21">
        <v>379.45554570570664</v>
      </c>
      <c r="I73" s="21">
        <v>396.48030291458832</v>
      </c>
      <c r="J73" s="21">
        <v>297.50275040918939</v>
      </c>
      <c r="K73" s="21">
        <v>278.76677926816382</v>
      </c>
      <c r="L73" s="21"/>
      <c r="M73" s="21"/>
      <c r="N73" s="21"/>
      <c r="O73" s="21"/>
      <c r="P73" s="21"/>
      <c r="Q73" s="21"/>
      <c r="R73" s="23">
        <v>31</v>
      </c>
      <c r="S73" s="23">
        <v>38</v>
      </c>
      <c r="T73" s="23">
        <v>34</v>
      </c>
      <c r="U73" s="23">
        <v>27</v>
      </c>
      <c r="V73" s="23">
        <v>25</v>
      </c>
      <c r="W73" s="23"/>
      <c r="X73" s="23"/>
      <c r="Y73" s="23"/>
      <c r="Z73" s="23"/>
      <c r="AA73" s="23"/>
      <c r="AB73" s="23"/>
      <c r="AC73" s="25">
        <v>0</v>
      </c>
      <c r="AD73" s="25">
        <v>0</v>
      </c>
      <c r="AE73" s="25">
        <v>0</v>
      </c>
      <c r="AF73" s="25">
        <v>0</v>
      </c>
      <c r="AG73" s="25">
        <v>0</v>
      </c>
      <c r="AH73" s="25"/>
      <c r="AI73" s="25"/>
      <c r="AJ73" s="25"/>
      <c r="AK73" s="25"/>
      <c r="AL73" s="25"/>
      <c r="AM73" s="25"/>
    </row>
    <row r="74" spans="1:39" ht="15" customHeight="1">
      <c r="A74" s="32" t="str">
        <f t="shared" si="7"/>
        <v>Powercor--POLE MOUNTED ; &lt; = 22kV ;  &gt; 60 kVA AND &lt; = 600 kVA  ; MULTIPLE PHASE</v>
      </c>
      <c r="B74" s="32" t="str">
        <f t="shared" si="8"/>
        <v>Powercor</v>
      </c>
      <c r="C74" s="32" t="s">
        <v>4</v>
      </c>
      <c r="D74" s="391"/>
      <c r="F74" t="s">
        <v>207</v>
      </c>
      <c r="G74" s="21">
        <v>1000.6629714837352</v>
      </c>
      <c r="H74" s="21">
        <v>1588.1060534817618</v>
      </c>
      <c r="I74" s="21">
        <v>1158.1210387203464</v>
      </c>
      <c r="J74" s="21">
        <v>1683.4188973375649</v>
      </c>
      <c r="K74" s="21">
        <v>1748.9480125629163</v>
      </c>
      <c r="L74" s="21"/>
      <c r="M74" s="21"/>
      <c r="N74" s="21"/>
      <c r="O74" s="21"/>
      <c r="P74" s="21"/>
      <c r="Q74" s="21"/>
      <c r="R74" s="23">
        <v>82</v>
      </c>
      <c r="S74" s="23">
        <v>101</v>
      </c>
      <c r="T74" s="23">
        <v>69</v>
      </c>
      <c r="U74" s="23">
        <v>96</v>
      </c>
      <c r="V74" s="23">
        <v>113</v>
      </c>
      <c r="W74" s="23"/>
      <c r="X74" s="23"/>
      <c r="Y74" s="23"/>
      <c r="Z74" s="23"/>
      <c r="AA74" s="23"/>
      <c r="AB74" s="23"/>
      <c r="AC74" s="25">
        <v>0</v>
      </c>
      <c r="AD74" s="25">
        <v>0</v>
      </c>
      <c r="AE74" s="25">
        <v>0</v>
      </c>
      <c r="AF74" s="25">
        <v>0</v>
      </c>
      <c r="AG74" s="25">
        <v>0</v>
      </c>
      <c r="AH74" s="25"/>
      <c r="AI74" s="25"/>
      <c r="AJ74" s="25"/>
      <c r="AK74" s="25"/>
      <c r="AL74" s="25"/>
      <c r="AM74" s="25"/>
    </row>
    <row r="75" spans="1:39" ht="15" customHeight="1">
      <c r="A75" s="32" t="str">
        <f t="shared" si="7"/>
        <v>Powercor--POLE MOUNTED ; &lt; = 22kV ;  &gt; 600 kVA  ; MULTIPLE PHASE</v>
      </c>
      <c r="B75" s="32" t="str">
        <f t="shared" si="8"/>
        <v>Powercor</v>
      </c>
      <c r="C75" s="32" t="s">
        <v>4</v>
      </c>
      <c r="D75" s="391"/>
      <c r="F75" t="s">
        <v>208</v>
      </c>
      <c r="G75" s="21">
        <v>0</v>
      </c>
      <c r="H75" s="21">
        <v>99.022883528678122</v>
      </c>
      <c r="I75" s="21">
        <v>116.35228392050669</v>
      </c>
      <c r="J75" s="21">
        <v>110.14145670659605</v>
      </c>
      <c r="K75" s="21">
        <v>113.59733495380624</v>
      </c>
      <c r="L75" s="21"/>
      <c r="M75" s="21"/>
      <c r="N75" s="21"/>
      <c r="O75" s="21"/>
      <c r="P75" s="21"/>
      <c r="Q75" s="21"/>
      <c r="R75" s="23">
        <v>0</v>
      </c>
      <c r="S75" s="23">
        <v>1</v>
      </c>
      <c r="T75" s="23">
        <v>1</v>
      </c>
      <c r="U75" s="23">
        <v>1</v>
      </c>
      <c r="V75" s="23">
        <v>1</v>
      </c>
      <c r="W75" s="23"/>
      <c r="X75" s="23"/>
      <c r="Y75" s="23"/>
      <c r="Z75" s="23"/>
      <c r="AA75" s="23"/>
      <c r="AB75" s="23"/>
      <c r="AC75" s="25">
        <v>0</v>
      </c>
      <c r="AD75" s="25">
        <v>0</v>
      </c>
      <c r="AE75" s="25">
        <v>0</v>
      </c>
      <c r="AF75" s="25">
        <v>0</v>
      </c>
      <c r="AG75" s="25">
        <v>0</v>
      </c>
      <c r="AH75" s="25"/>
      <c r="AI75" s="25"/>
      <c r="AJ75" s="25"/>
      <c r="AK75" s="25"/>
      <c r="AL75" s="25"/>
      <c r="AM75" s="25"/>
    </row>
    <row r="76" spans="1:39" ht="15" customHeight="1">
      <c r="A76" s="32" t="str">
        <f t="shared" si="7"/>
        <v xml:space="preserve">Powercor--POLE MOUNTED ; &gt; 22 kV ;  &lt; = 60 kVA </v>
      </c>
      <c r="B76" s="32" t="str">
        <f t="shared" si="8"/>
        <v>Powercor</v>
      </c>
      <c r="C76" s="32" t="s">
        <v>4</v>
      </c>
      <c r="D76" s="391"/>
      <c r="F76" t="s">
        <v>209</v>
      </c>
      <c r="G76" s="21">
        <v>0</v>
      </c>
      <c r="H76" s="21">
        <v>0</v>
      </c>
      <c r="I76" s="21">
        <v>0</v>
      </c>
      <c r="J76" s="21">
        <v>0</v>
      </c>
      <c r="K76" s="21">
        <v>0</v>
      </c>
      <c r="L76" s="21"/>
      <c r="M76" s="21"/>
      <c r="N76" s="21"/>
      <c r="O76" s="21"/>
      <c r="P76" s="21"/>
      <c r="Q76" s="21"/>
      <c r="R76" s="23">
        <v>0</v>
      </c>
      <c r="S76" s="23">
        <v>0</v>
      </c>
      <c r="T76" s="23">
        <v>0</v>
      </c>
      <c r="U76" s="23">
        <v>0</v>
      </c>
      <c r="V76" s="23">
        <v>0</v>
      </c>
      <c r="W76" s="23"/>
      <c r="X76" s="23"/>
      <c r="Y76" s="23"/>
      <c r="Z76" s="23"/>
      <c r="AA76" s="23"/>
      <c r="AB76" s="23"/>
      <c r="AC76" s="25">
        <v>0</v>
      </c>
      <c r="AD76" s="25">
        <v>0</v>
      </c>
      <c r="AE76" s="25">
        <v>0</v>
      </c>
      <c r="AF76" s="25">
        <v>0</v>
      </c>
      <c r="AG76" s="25">
        <v>0</v>
      </c>
      <c r="AH76" s="25"/>
      <c r="AI76" s="25"/>
      <c r="AJ76" s="25"/>
      <c r="AK76" s="25"/>
      <c r="AL76" s="25"/>
      <c r="AM76" s="25"/>
    </row>
    <row r="77" spans="1:39" ht="15" customHeight="1">
      <c r="A77" s="32" t="str">
        <f t="shared" si="7"/>
        <v xml:space="preserve">Powercor--POLE MOUNTED ; &gt; 22 kV ;  &gt; 60 kVA AND &lt; = 600 kVA </v>
      </c>
      <c r="B77" s="32" t="str">
        <f t="shared" si="8"/>
        <v>Powercor</v>
      </c>
      <c r="C77" s="32" t="s">
        <v>4</v>
      </c>
      <c r="D77" s="391"/>
      <c r="F77" t="s">
        <v>210</v>
      </c>
      <c r="G77" s="21">
        <v>0</v>
      </c>
      <c r="H77" s="21">
        <v>0</v>
      </c>
      <c r="I77" s="21">
        <v>0</v>
      </c>
      <c r="J77" s="21">
        <v>0</v>
      </c>
      <c r="K77" s="21">
        <v>0</v>
      </c>
      <c r="L77" s="21"/>
      <c r="M77" s="21"/>
      <c r="N77" s="21"/>
      <c r="O77" s="21"/>
      <c r="P77" s="21"/>
      <c r="Q77" s="21"/>
      <c r="R77" s="23">
        <v>0</v>
      </c>
      <c r="S77" s="23">
        <v>0</v>
      </c>
      <c r="T77" s="23">
        <v>0</v>
      </c>
      <c r="U77" s="23">
        <v>0</v>
      </c>
      <c r="V77" s="23">
        <v>0</v>
      </c>
      <c r="W77" s="23"/>
      <c r="X77" s="23"/>
      <c r="Y77" s="23"/>
      <c r="Z77" s="23"/>
      <c r="AA77" s="23"/>
      <c r="AB77" s="23"/>
      <c r="AC77" s="25">
        <v>0</v>
      </c>
      <c r="AD77" s="25">
        <v>0</v>
      </c>
      <c r="AE77" s="25">
        <v>0</v>
      </c>
      <c r="AF77" s="25">
        <v>0</v>
      </c>
      <c r="AG77" s="25">
        <v>0</v>
      </c>
      <c r="AH77" s="25"/>
      <c r="AI77" s="25"/>
      <c r="AJ77" s="25"/>
      <c r="AK77" s="25"/>
      <c r="AL77" s="25"/>
      <c r="AM77" s="25"/>
    </row>
    <row r="78" spans="1:39" ht="15" customHeight="1">
      <c r="A78" s="32" t="str">
        <f t="shared" si="7"/>
        <v>Powercor--POLE MOUNTED ; &gt; 22 kV ;  &gt; 600 kVA</v>
      </c>
      <c r="B78" s="32" t="str">
        <f t="shared" si="8"/>
        <v>Powercor</v>
      </c>
      <c r="C78" s="32" t="s">
        <v>4</v>
      </c>
      <c r="D78" s="391"/>
      <c r="F78" t="s">
        <v>211</v>
      </c>
      <c r="G78" s="21">
        <v>0</v>
      </c>
      <c r="H78" s="21">
        <v>0</v>
      </c>
      <c r="I78" s="21">
        <v>0</v>
      </c>
      <c r="J78" s="21">
        <v>0</v>
      </c>
      <c r="K78" s="21">
        <v>0</v>
      </c>
      <c r="L78" s="21"/>
      <c r="M78" s="21"/>
      <c r="N78" s="21"/>
      <c r="O78" s="21"/>
      <c r="P78" s="21"/>
      <c r="Q78" s="21"/>
      <c r="R78" s="23">
        <v>0</v>
      </c>
      <c r="S78" s="23">
        <v>0</v>
      </c>
      <c r="T78" s="23">
        <v>0</v>
      </c>
      <c r="U78" s="23">
        <v>0</v>
      </c>
      <c r="V78" s="23">
        <v>0</v>
      </c>
      <c r="W78" s="23"/>
      <c r="X78" s="23"/>
      <c r="Y78" s="23"/>
      <c r="Z78" s="23"/>
      <c r="AA78" s="23"/>
      <c r="AB78" s="23"/>
      <c r="AC78" s="25">
        <v>0</v>
      </c>
      <c r="AD78" s="25">
        <v>0</v>
      </c>
      <c r="AE78" s="25">
        <v>0</v>
      </c>
      <c r="AF78" s="25">
        <v>0</v>
      </c>
      <c r="AG78" s="25">
        <v>0</v>
      </c>
      <c r="AH78" s="25"/>
      <c r="AI78" s="25"/>
      <c r="AJ78" s="25"/>
      <c r="AK78" s="25"/>
      <c r="AL78" s="25"/>
      <c r="AM78" s="25"/>
    </row>
    <row r="79" spans="1:39" ht="15" customHeight="1">
      <c r="A79" s="32" t="str">
        <f t="shared" si="7"/>
        <v xml:space="preserve">Powercor--POLE MOUNTED ; &gt; 22 kV ;  &lt; = 60 kVA </v>
      </c>
      <c r="B79" s="32" t="str">
        <f t="shared" si="8"/>
        <v>Powercor</v>
      </c>
      <c r="C79" s="32" t="s">
        <v>4</v>
      </c>
      <c r="D79" s="391"/>
      <c r="F79" t="s">
        <v>209</v>
      </c>
      <c r="G79" s="21">
        <v>0</v>
      </c>
      <c r="H79" s="21">
        <v>0</v>
      </c>
      <c r="I79" s="21">
        <v>0</v>
      </c>
      <c r="J79" s="21">
        <v>0</v>
      </c>
      <c r="K79" s="21">
        <v>0</v>
      </c>
      <c r="L79" s="21"/>
      <c r="M79" s="21"/>
      <c r="N79" s="21"/>
      <c r="O79" s="21"/>
      <c r="P79" s="21"/>
      <c r="Q79" s="21"/>
      <c r="R79" s="23">
        <v>0</v>
      </c>
      <c r="S79" s="23">
        <v>0</v>
      </c>
      <c r="T79" s="23">
        <v>0</v>
      </c>
      <c r="U79" s="23">
        <v>0</v>
      </c>
      <c r="V79" s="23">
        <v>0</v>
      </c>
      <c r="W79" s="23"/>
      <c r="X79" s="23"/>
      <c r="Y79" s="23"/>
      <c r="Z79" s="23"/>
      <c r="AA79" s="23"/>
      <c r="AB79" s="23"/>
      <c r="AC79" s="25">
        <v>0</v>
      </c>
      <c r="AD79" s="25">
        <v>0</v>
      </c>
      <c r="AE79" s="25">
        <v>0</v>
      </c>
      <c r="AF79" s="25">
        <v>0</v>
      </c>
      <c r="AG79" s="25">
        <v>0</v>
      </c>
      <c r="AH79" s="25"/>
      <c r="AI79" s="25"/>
      <c r="AJ79" s="25"/>
      <c r="AK79" s="25"/>
      <c r="AL79" s="25"/>
      <c r="AM79" s="25"/>
    </row>
    <row r="80" spans="1:39" ht="15" customHeight="1">
      <c r="A80" s="32" t="str">
        <f t="shared" si="7"/>
        <v>Powercor--POLE MOUNTED ; &gt; 22 kV ;  &gt; 60 kVA AND &lt; = 600 kVA</v>
      </c>
      <c r="B80" s="32" t="str">
        <f t="shared" si="8"/>
        <v>Powercor</v>
      </c>
      <c r="C80" s="32" t="s">
        <v>4</v>
      </c>
      <c r="D80" s="391"/>
      <c r="F80" t="s">
        <v>212</v>
      </c>
      <c r="G80" s="21">
        <v>0</v>
      </c>
      <c r="H80" s="21">
        <v>0</v>
      </c>
      <c r="I80" s="21">
        <v>0</v>
      </c>
      <c r="J80" s="21">
        <v>0</v>
      </c>
      <c r="K80" s="21">
        <v>0</v>
      </c>
      <c r="L80" s="21"/>
      <c r="M80" s="21"/>
      <c r="N80" s="21"/>
      <c r="O80" s="21"/>
      <c r="P80" s="21"/>
      <c r="Q80" s="21"/>
      <c r="R80" s="23">
        <v>0</v>
      </c>
      <c r="S80" s="23">
        <v>0</v>
      </c>
      <c r="T80" s="23">
        <v>0</v>
      </c>
      <c r="U80" s="23">
        <v>0</v>
      </c>
      <c r="V80" s="23">
        <v>0</v>
      </c>
      <c r="W80" s="23"/>
      <c r="X80" s="23"/>
      <c r="Y80" s="23"/>
      <c r="Z80" s="23"/>
      <c r="AA80" s="23"/>
      <c r="AB80" s="23"/>
      <c r="AC80" s="25">
        <v>0</v>
      </c>
      <c r="AD80" s="25">
        <v>0</v>
      </c>
      <c r="AE80" s="25">
        <v>0</v>
      </c>
      <c r="AF80" s="25">
        <v>0</v>
      </c>
      <c r="AG80" s="25">
        <v>0</v>
      </c>
      <c r="AH80" s="25"/>
      <c r="AI80" s="25"/>
      <c r="AJ80" s="25"/>
      <c r="AK80" s="25"/>
      <c r="AL80" s="25"/>
      <c r="AM80" s="25"/>
    </row>
    <row r="81" spans="1:39" ht="15" customHeight="1">
      <c r="A81" s="32" t="str">
        <f t="shared" si="7"/>
        <v>Powercor--POLE MOUNTED ; &gt; 22 kV ;  &gt;  600 kVA</v>
      </c>
      <c r="B81" s="32" t="str">
        <f t="shared" si="8"/>
        <v>Powercor</v>
      </c>
      <c r="C81" s="32" t="s">
        <v>4</v>
      </c>
      <c r="D81" s="391"/>
      <c r="F81" t="s">
        <v>213</v>
      </c>
      <c r="G81" s="21">
        <v>0</v>
      </c>
      <c r="H81" s="21">
        <v>0</v>
      </c>
      <c r="I81" s="21">
        <v>0</v>
      </c>
      <c r="J81" s="21">
        <v>0</v>
      </c>
      <c r="K81" s="21">
        <v>0</v>
      </c>
      <c r="L81" s="21"/>
      <c r="M81" s="21"/>
      <c r="N81" s="21"/>
      <c r="O81" s="21"/>
      <c r="P81" s="21"/>
      <c r="Q81" s="21"/>
      <c r="R81" s="23">
        <v>0</v>
      </c>
      <c r="S81" s="23">
        <v>0</v>
      </c>
      <c r="T81" s="23">
        <v>0</v>
      </c>
      <c r="U81" s="23">
        <v>0</v>
      </c>
      <c r="V81" s="23">
        <v>0</v>
      </c>
      <c r="W81" s="23"/>
      <c r="X81" s="23"/>
      <c r="Y81" s="23"/>
      <c r="Z81" s="23"/>
      <c r="AA81" s="23"/>
      <c r="AB81" s="23"/>
      <c r="AC81" s="25">
        <v>0</v>
      </c>
      <c r="AD81" s="25">
        <v>0</v>
      </c>
      <c r="AE81" s="25">
        <v>0</v>
      </c>
      <c r="AF81" s="25">
        <v>0</v>
      </c>
      <c r="AG81" s="25">
        <v>0</v>
      </c>
      <c r="AH81" s="25"/>
      <c r="AI81" s="25"/>
      <c r="AJ81" s="25"/>
      <c r="AK81" s="25"/>
      <c r="AL81" s="25"/>
      <c r="AM81" s="25"/>
    </row>
    <row r="82" spans="1:39" ht="15" customHeight="1">
      <c r="A82" s="32" t="str">
        <f t="shared" si="7"/>
        <v>Powercor--KIOSK MOUNTED ; &lt; = 22kV ;  &lt; = 60 kVA ; SINGLE PHASE</v>
      </c>
      <c r="B82" s="32" t="str">
        <f t="shared" si="8"/>
        <v>Powercor</v>
      </c>
      <c r="C82" s="32" t="s">
        <v>4</v>
      </c>
      <c r="D82" s="391"/>
      <c r="F82" t="s">
        <v>214</v>
      </c>
      <c r="G82" s="21">
        <v>0</v>
      </c>
      <c r="H82" s="21">
        <v>0</v>
      </c>
      <c r="I82" s="21">
        <v>0</v>
      </c>
      <c r="J82" s="21">
        <v>0</v>
      </c>
      <c r="K82" s="21">
        <v>0</v>
      </c>
      <c r="L82" s="21"/>
      <c r="M82" s="21"/>
      <c r="N82" s="21"/>
      <c r="O82" s="21"/>
      <c r="P82" s="21"/>
      <c r="Q82" s="21"/>
      <c r="R82" s="23">
        <v>0</v>
      </c>
      <c r="S82" s="23">
        <v>0</v>
      </c>
      <c r="T82" s="23">
        <v>0</v>
      </c>
      <c r="U82" s="23">
        <v>0</v>
      </c>
      <c r="V82" s="23">
        <v>0</v>
      </c>
      <c r="W82" s="23"/>
      <c r="X82" s="23"/>
      <c r="Y82" s="23"/>
      <c r="Z82" s="23"/>
      <c r="AA82" s="23"/>
      <c r="AB82" s="23"/>
      <c r="AC82" s="25">
        <v>0</v>
      </c>
      <c r="AD82" s="25">
        <v>0</v>
      </c>
      <c r="AE82" s="25">
        <v>0</v>
      </c>
      <c r="AF82" s="25">
        <v>0</v>
      </c>
      <c r="AG82" s="25">
        <v>0</v>
      </c>
      <c r="AH82" s="25"/>
      <c r="AI82" s="25"/>
      <c r="AJ82" s="25"/>
      <c r="AK82" s="25"/>
      <c r="AL82" s="25"/>
      <c r="AM82" s="25"/>
    </row>
    <row r="83" spans="1:39" ht="15" customHeight="1">
      <c r="A83" s="32" t="str">
        <f t="shared" si="7"/>
        <v>Powercor--KIOSK MOUNTED ; &lt; = 22kV ;  &gt; 60 kVA AND &lt; = 600 kVA ; SINGLE PHASE</v>
      </c>
      <c r="B83" s="32" t="str">
        <f t="shared" si="8"/>
        <v>Powercor</v>
      </c>
      <c r="C83" s="32" t="s">
        <v>4</v>
      </c>
      <c r="D83" s="391"/>
      <c r="F83" t="s">
        <v>215</v>
      </c>
      <c r="G83" s="21">
        <v>0</v>
      </c>
      <c r="H83" s="21">
        <v>0</v>
      </c>
      <c r="I83" s="21">
        <v>0</v>
      </c>
      <c r="J83" s="21">
        <v>0</v>
      </c>
      <c r="K83" s="21">
        <v>0</v>
      </c>
      <c r="L83" s="21"/>
      <c r="M83" s="21"/>
      <c r="N83" s="21"/>
      <c r="O83" s="21"/>
      <c r="P83" s="21"/>
      <c r="Q83" s="21"/>
      <c r="R83" s="23">
        <v>0</v>
      </c>
      <c r="S83" s="23">
        <v>0</v>
      </c>
      <c r="T83" s="23">
        <v>0</v>
      </c>
      <c r="U83" s="23">
        <v>0</v>
      </c>
      <c r="V83" s="23">
        <v>0</v>
      </c>
      <c r="W83" s="23"/>
      <c r="X83" s="23"/>
      <c r="Y83" s="23"/>
      <c r="Z83" s="23"/>
      <c r="AA83" s="23"/>
      <c r="AB83" s="23"/>
      <c r="AC83" s="25">
        <v>0</v>
      </c>
      <c r="AD83" s="25">
        <v>0</v>
      </c>
      <c r="AE83" s="25">
        <v>0</v>
      </c>
      <c r="AF83" s="25">
        <v>0</v>
      </c>
      <c r="AG83" s="25">
        <v>0</v>
      </c>
      <c r="AH83" s="25"/>
      <c r="AI83" s="25"/>
      <c r="AJ83" s="25"/>
      <c r="AK83" s="25"/>
      <c r="AL83" s="25"/>
      <c r="AM83" s="25"/>
    </row>
    <row r="84" spans="1:39" ht="15" customHeight="1">
      <c r="A84" s="32" t="str">
        <f t="shared" si="7"/>
        <v>Powercor--KIOSK MOUNTED ; &lt; = 22kV ;  &gt; 600 kVA ; SINGLE PHASE</v>
      </c>
      <c r="B84" s="32" t="str">
        <f t="shared" si="8"/>
        <v>Powercor</v>
      </c>
      <c r="C84" s="32" t="s">
        <v>4</v>
      </c>
      <c r="D84" s="391"/>
      <c r="F84" t="s">
        <v>216</v>
      </c>
      <c r="G84" s="21">
        <v>0</v>
      </c>
      <c r="H84" s="21">
        <v>0</v>
      </c>
      <c r="I84" s="21">
        <v>0</v>
      </c>
      <c r="J84" s="21">
        <v>0</v>
      </c>
      <c r="K84" s="21">
        <v>0</v>
      </c>
      <c r="L84" s="21"/>
      <c r="M84" s="21"/>
      <c r="N84" s="21"/>
      <c r="O84" s="21"/>
      <c r="P84" s="21"/>
      <c r="Q84" s="21"/>
      <c r="R84" s="23">
        <v>0</v>
      </c>
      <c r="S84" s="23">
        <v>0</v>
      </c>
      <c r="T84" s="23">
        <v>0</v>
      </c>
      <c r="U84" s="23">
        <v>0</v>
      </c>
      <c r="V84" s="23">
        <v>0</v>
      </c>
      <c r="W84" s="23"/>
      <c r="X84" s="23"/>
      <c r="Y84" s="23"/>
      <c r="Z84" s="23"/>
      <c r="AA84" s="23"/>
      <c r="AB84" s="23"/>
      <c r="AC84" s="25">
        <v>0</v>
      </c>
      <c r="AD84" s="25">
        <v>0</v>
      </c>
      <c r="AE84" s="25">
        <v>0</v>
      </c>
      <c r="AF84" s="25">
        <v>0</v>
      </c>
      <c r="AG84" s="25">
        <v>0</v>
      </c>
      <c r="AH84" s="25"/>
      <c r="AI84" s="25"/>
      <c r="AJ84" s="25"/>
      <c r="AK84" s="25"/>
      <c r="AL84" s="25"/>
      <c r="AM84" s="25"/>
    </row>
    <row r="85" spans="1:39" ht="15" customHeight="1">
      <c r="A85" s="32" t="str">
        <f t="shared" si="7"/>
        <v>Powercor--KIOSK MOUNTED ; &lt; = 22kV ;  &lt; = 60 kVA  ; MULTIPLE PHASE</v>
      </c>
      <c r="B85" s="32" t="str">
        <f t="shared" si="8"/>
        <v>Powercor</v>
      </c>
      <c r="C85" s="32" t="s">
        <v>4</v>
      </c>
      <c r="D85" s="391"/>
      <c r="F85" t="s">
        <v>217</v>
      </c>
      <c r="G85" s="21">
        <v>0</v>
      </c>
      <c r="H85" s="21">
        <v>0</v>
      </c>
      <c r="I85" s="21">
        <v>0</v>
      </c>
      <c r="J85" s="21">
        <v>0</v>
      </c>
      <c r="K85" s="21">
        <v>0</v>
      </c>
      <c r="L85" s="21"/>
      <c r="M85" s="21"/>
      <c r="N85" s="21"/>
      <c r="O85" s="21"/>
      <c r="P85" s="21"/>
      <c r="Q85" s="21"/>
      <c r="R85" s="23">
        <v>0</v>
      </c>
      <c r="S85" s="23">
        <v>0</v>
      </c>
      <c r="T85" s="23">
        <v>0</v>
      </c>
      <c r="U85" s="23">
        <v>0</v>
      </c>
      <c r="V85" s="23">
        <v>0</v>
      </c>
      <c r="W85" s="23"/>
      <c r="X85" s="23"/>
      <c r="Y85" s="23"/>
      <c r="Z85" s="23"/>
      <c r="AA85" s="23"/>
      <c r="AB85" s="23"/>
      <c r="AC85" s="25">
        <v>0</v>
      </c>
      <c r="AD85" s="25">
        <v>0</v>
      </c>
      <c r="AE85" s="25">
        <v>0</v>
      </c>
      <c r="AF85" s="25">
        <v>0</v>
      </c>
      <c r="AG85" s="25">
        <v>0</v>
      </c>
      <c r="AH85" s="25"/>
      <c r="AI85" s="25"/>
      <c r="AJ85" s="25"/>
      <c r="AK85" s="25"/>
      <c r="AL85" s="25"/>
      <c r="AM85" s="25"/>
    </row>
    <row r="86" spans="1:39" ht="15" customHeight="1">
      <c r="A86" s="32" t="str">
        <f t="shared" si="7"/>
        <v>Powercor--KIOSK MOUNTED ; &lt; = 22kV ;  &gt; 60 kVA AND &lt; = 600 kVA  ; MULTIPLE PHASE</v>
      </c>
      <c r="B86" s="32" t="str">
        <f t="shared" si="8"/>
        <v>Powercor</v>
      </c>
      <c r="C86" s="32" t="s">
        <v>4</v>
      </c>
      <c r="D86" s="391"/>
      <c r="F86" t="s">
        <v>218</v>
      </c>
      <c r="G86" s="21">
        <v>537.23878389916672</v>
      </c>
      <c r="H86" s="21">
        <v>264.18790679655467</v>
      </c>
      <c r="I86" s="21">
        <v>791.44026765355341</v>
      </c>
      <c r="J86" s="21">
        <v>820.71813433045918</v>
      </c>
      <c r="K86" s="21">
        <v>1078.8178406884281</v>
      </c>
      <c r="L86" s="21"/>
      <c r="M86" s="21"/>
      <c r="N86" s="21"/>
      <c r="O86" s="21"/>
      <c r="P86" s="21"/>
      <c r="Q86" s="21"/>
      <c r="R86" s="23">
        <v>7</v>
      </c>
      <c r="S86" s="23">
        <v>3</v>
      </c>
      <c r="T86" s="23">
        <v>8</v>
      </c>
      <c r="U86" s="23">
        <v>7</v>
      </c>
      <c r="V86" s="23">
        <v>11</v>
      </c>
      <c r="W86" s="23"/>
      <c r="X86" s="23"/>
      <c r="Y86" s="23"/>
      <c r="Z86" s="23"/>
      <c r="AA86" s="23"/>
      <c r="AB86" s="23"/>
      <c r="AC86" s="25">
        <v>0</v>
      </c>
      <c r="AD86" s="25">
        <v>0</v>
      </c>
      <c r="AE86" s="25">
        <v>0</v>
      </c>
      <c r="AF86" s="25">
        <v>0</v>
      </c>
      <c r="AG86" s="25">
        <v>0</v>
      </c>
      <c r="AH86" s="25"/>
      <c r="AI86" s="25"/>
      <c r="AJ86" s="25"/>
      <c r="AK86" s="25"/>
      <c r="AL86" s="25"/>
      <c r="AM86" s="25"/>
    </row>
    <row r="87" spans="1:39" ht="15" customHeight="1">
      <c r="A87" s="32" t="str">
        <f t="shared" si="7"/>
        <v>Powercor--KIOSK MOUNTED ; &lt; = 22kV ;  &gt; 600 kVA  ; MULTIPLE PHASE</v>
      </c>
      <c r="B87" s="32" t="str">
        <f t="shared" si="8"/>
        <v>Powercor</v>
      </c>
      <c r="C87" s="32" t="s">
        <v>4</v>
      </c>
      <c r="D87" s="391"/>
      <c r="F87" t="s">
        <v>219</v>
      </c>
      <c r="G87" s="21">
        <v>0</v>
      </c>
      <c r="H87" s="21">
        <v>302.78383188740361</v>
      </c>
      <c r="I87" s="21">
        <v>116.49228392050669</v>
      </c>
      <c r="J87" s="21">
        <v>0</v>
      </c>
      <c r="K87" s="21">
        <v>114.00733495380624</v>
      </c>
      <c r="L87" s="21"/>
      <c r="M87" s="21"/>
      <c r="N87" s="21"/>
      <c r="O87" s="21"/>
      <c r="P87" s="21"/>
      <c r="Q87" s="21"/>
      <c r="R87" s="23">
        <v>0</v>
      </c>
      <c r="S87" s="23">
        <v>3</v>
      </c>
      <c r="T87" s="23">
        <v>1</v>
      </c>
      <c r="U87" s="23">
        <v>0</v>
      </c>
      <c r="V87" s="23">
        <v>1</v>
      </c>
      <c r="W87" s="23"/>
      <c r="X87" s="23"/>
      <c r="Y87" s="23"/>
      <c r="Z87" s="23"/>
      <c r="AA87" s="23"/>
      <c r="AB87" s="23"/>
      <c r="AC87" s="25">
        <v>0</v>
      </c>
      <c r="AD87" s="25">
        <v>0</v>
      </c>
      <c r="AE87" s="25">
        <v>0</v>
      </c>
      <c r="AF87" s="25">
        <v>0</v>
      </c>
      <c r="AG87" s="25">
        <v>0</v>
      </c>
      <c r="AH87" s="25"/>
      <c r="AI87" s="25"/>
      <c r="AJ87" s="25"/>
      <c r="AK87" s="25"/>
      <c r="AL87" s="25"/>
      <c r="AM87" s="25"/>
    </row>
    <row r="88" spans="1:39" ht="15" customHeight="1">
      <c r="A88" s="32" t="str">
        <f t="shared" si="7"/>
        <v xml:space="preserve">Powercor--KIOSK MOUNTED ; &gt; 22 kV ;  &lt; = 60 kVA </v>
      </c>
      <c r="B88" s="32" t="str">
        <f t="shared" si="8"/>
        <v>Powercor</v>
      </c>
      <c r="C88" s="32" t="s">
        <v>4</v>
      </c>
      <c r="D88" s="391"/>
      <c r="F88" t="s">
        <v>220</v>
      </c>
      <c r="G88" s="21">
        <v>0</v>
      </c>
      <c r="H88" s="21">
        <v>0</v>
      </c>
      <c r="I88" s="21">
        <v>0</v>
      </c>
      <c r="J88" s="21">
        <v>0</v>
      </c>
      <c r="K88" s="21">
        <v>0</v>
      </c>
      <c r="L88" s="21"/>
      <c r="M88" s="21"/>
      <c r="N88" s="21"/>
      <c r="O88" s="21"/>
      <c r="P88" s="21"/>
      <c r="Q88" s="21"/>
      <c r="R88" s="23">
        <v>0</v>
      </c>
      <c r="S88" s="23">
        <v>0</v>
      </c>
      <c r="T88" s="23">
        <v>0</v>
      </c>
      <c r="U88" s="23">
        <v>0</v>
      </c>
      <c r="V88" s="23">
        <v>0</v>
      </c>
      <c r="W88" s="23"/>
      <c r="X88" s="23"/>
      <c r="Y88" s="23"/>
      <c r="Z88" s="23"/>
      <c r="AA88" s="23"/>
      <c r="AB88" s="23"/>
      <c r="AC88" s="25">
        <v>0</v>
      </c>
      <c r="AD88" s="25">
        <v>0</v>
      </c>
      <c r="AE88" s="25">
        <v>0</v>
      </c>
      <c r="AF88" s="25">
        <v>0</v>
      </c>
      <c r="AG88" s="25">
        <v>0</v>
      </c>
      <c r="AH88" s="25"/>
      <c r="AI88" s="25"/>
      <c r="AJ88" s="25"/>
      <c r="AK88" s="25"/>
      <c r="AL88" s="25"/>
      <c r="AM88" s="25"/>
    </row>
    <row r="89" spans="1:39" ht="15" customHeight="1">
      <c r="A89" s="32" t="str">
        <f t="shared" si="7"/>
        <v xml:space="preserve">Powercor--KIOSK MOUNTED ; &gt; 22 kV ;  &gt; 60 kVA AND &lt; = 600 kVA </v>
      </c>
      <c r="B89" s="32" t="str">
        <f t="shared" si="8"/>
        <v>Powercor</v>
      </c>
      <c r="C89" s="32" t="s">
        <v>4</v>
      </c>
      <c r="D89" s="391"/>
      <c r="F89" t="s">
        <v>221</v>
      </c>
      <c r="G89" s="21">
        <v>0</v>
      </c>
      <c r="H89" s="21">
        <v>0</v>
      </c>
      <c r="I89" s="21">
        <v>0</v>
      </c>
      <c r="J89" s="21">
        <v>0</v>
      </c>
      <c r="K89" s="21">
        <v>0</v>
      </c>
      <c r="L89" s="21"/>
      <c r="M89" s="21"/>
      <c r="N89" s="21"/>
      <c r="O89" s="21"/>
      <c r="P89" s="21"/>
      <c r="Q89" s="21"/>
      <c r="R89" s="23">
        <v>0</v>
      </c>
      <c r="S89" s="23">
        <v>0</v>
      </c>
      <c r="T89" s="23">
        <v>0</v>
      </c>
      <c r="U89" s="23">
        <v>0</v>
      </c>
      <c r="V89" s="23">
        <v>0</v>
      </c>
      <c r="W89" s="23"/>
      <c r="X89" s="23"/>
      <c r="Y89" s="23"/>
      <c r="Z89" s="23"/>
      <c r="AA89" s="23"/>
      <c r="AB89" s="23"/>
      <c r="AC89" s="25">
        <v>0</v>
      </c>
      <c r="AD89" s="25">
        <v>0</v>
      </c>
      <c r="AE89" s="25">
        <v>0</v>
      </c>
      <c r="AF89" s="25">
        <v>0</v>
      </c>
      <c r="AG89" s="25">
        <v>0</v>
      </c>
      <c r="AH89" s="25"/>
      <c r="AI89" s="25"/>
      <c r="AJ89" s="25"/>
      <c r="AK89" s="25"/>
      <c r="AL89" s="25"/>
      <c r="AM89" s="25"/>
    </row>
    <row r="90" spans="1:39" ht="15" customHeight="1">
      <c r="A90" s="32" t="str">
        <f t="shared" si="7"/>
        <v>Powercor--KIOSK MOUNTED ; &gt; 22 kV ;  &gt; 600 kVA</v>
      </c>
      <c r="B90" s="32" t="str">
        <f t="shared" si="8"/>
        <v>Powercor</v>
      </c>
      <c r="C90" s="32" t="s">
        <v>4</v>
      </c>
      <c r="D90" s="391"/>
      <c r="F90" t="s">
        <v>222</v>
      </c>
      <c r="G90" s="21">
        <v>0</v>
      </c>
      <c r="H90" s="21">
        <v>0</v>
      </c>
      <c r="I90" s="21">
        <v>0</v>
      </c>
      <c r="J90" s="21">
        <v>0</v>
      </c>
      <c r="K90" s="21">
        <v>0</v>
      </c>
      <c r="L90" s="21"/>
      <c r="M90" s="21"/>
      <c r="N90" s="21"/>
      <c r="O90" s="21"/>
      <c r="P90" s="21"/>
      <c r="Q90" s="21"/>
      <c r="R90" s="23">
        <v>0</v>
      </c>
      <c r="S90" s="23">
        <v>0</v>
      </c>
      <c r="T90" s="23">
        <v>0</v>
      </c>
      <c r="U90" s="23">
        <v>0</v>
      </c>
      <c r="V90" s="23">
        <v>0</v>
      </c>
      <c r="W90" s="23"/>
      <c r="X90" s="23"/>
      <c r="Y90" s="23"/>
      <c r="Z90" s="23"/>
      <c r="AA90" s="23"/>
      <c r="AB90" s="23"/>
      <c r="AC90" s="25">
        <v>0</v>
      </c>
      <c r="AD90" s="25">
        <v>0</v>
      </c>
      <c r="AE90" s="25">
        <v>0</v>
      </c>
      <c r="AF90" s="25">
        <v>0</v>
      </c>
      <c r="AG90" s="25">
        <v>0</v>
      </c>
      <c r="AH90" s="25"/>
      <c r="AI90" s="25"/>
      <c r="AJ90" s="25"/>
      <c r="AK90" s="25"/>
      <c r="AL90" s="25"/>
      <c r="AM90" s="25"/>
    </row>
    <row r="91" spans="1:39" ht="15" customHeight="1">
      <c r="A91" s="32" t="str">
        <f t="shared" si="7"/>
        <v xml:space="preserve">Powercor--KIOSK MOUNTED ; &gt; 22 kV ;  &lt; = 60 kVA </v>
      </c>
      <c r="B91" s="32" t="str">
        <f t="shared" si="8"/>
        <v>Powercor</v>
      </c>
      <c r="C91" s="32" t="s">
        <v>4</v>
      </c>
      <c r="D91" s="391"/>
      <c r="F91" t="s">
        <v>220</v>
      </c>
      <c r="G91" s="21">
        <v>0</v>
      </c>
      <c r="H91" s="21">
        <v>0</v>
      </c>
      <c r="I91" s="21">
        <v>0</v>
      </c>
      <c r="J91" s="21">
        <v>0</v>
      </c>
      <c r="K91" s="21">
        <v>0</v>
      </c>
      <c r="L91" s="21"/>
      <c r="M91" s="21"/>
      <c r="N91" s="21"/>
      <c r="O91" s="21"/>
      <c r="P91" s="21"/>
      <c r="Q91" s="21"/>
      <c r="R91" s="23">
        <v>0</v>
      </c>
      <c r="S91" s="23">
        <v>0</v>
      </c>
      <c r="T91" s="23">
        <v>0</v>
      </c>
      <c r="U91" s="23">
        <v>0</v>
      </c>
      <c r="V91" s="23">
        <v>0</v>
      </c>
      <c r="W91" s="23"/>
      <c r="X91" s="23"/>
      <c r="Y91" s="23"/>
      <c r="Z91" s="23"/>
      <c r="AA91" s="23"/>
      <c r="AB91" s="23"/>
      <c r="AC91" s="25">
        <v>0</v>
      </c>
      <c r="AD91" s="25">
        <v>0</v>
      </c>
      <c r="AE91" s="25">
        <v>0</v>
      </c>
      <c r="AF91" s="25">
        <v>0</v>
      </c>
      <c r="AG91" s="25">
        <v>0</v>
      </c>
      <c r="AH91" s="25"/>
      <c r="AI91" s="25"/>
      <c r="AJ91" s="25"/>
      <c r="AK91" s="25"/>
      <c r="AL91" s="25"/>
      <c r="AM91" s="25"/>
    </row>
    <row r="92" spans="1:39" ht="15" customHeight="1">
      <c r="A92" s="32" t="str">
        <f t="shared" si="7"/>
        <v>Powercor--KIOSK MOUNTED ; &gt; 22 kV ;  &gt; 60 kVA AND &lt; = 600 kVA</v>
      </c>
      <c r="B92" s="32" t="str">
        <f t="shared" si="8"/>
        <v>Powercor</v>
      </c>
      <c r="C92" s="32" t="s">
        <v>4</v>
      </c>
      <c r="D92" s="391"/>
      <c r="F92" t="s">
        <v>223</v>
      </c>
      <c r="G92" s="21">
        <v>0</v>
      </c>
      <c r="H92" s="21">
        <v>0</v>
      </c>
      <c r="I92" s="21">
        <v>0</v>
      </c>
      <c r="J92" s="21">
        <v>0</v>
      </c>
      <c r="K92" s="21">
        <v>0</v>
      </c>
      <c r="L92" s="21"/>
      <c r="M92" s="21"/>
      <c r="N92" s="21"/>
      <c r="O92" s="21"/>
      <c r="P92" s="21"/>
      <c r="Q92" s="21"/>
      <c r="R92" s="23">
        <v>0</v>
      </c>
      <c r="S92" s="23">
        <v>0</v>
      </c>
      <c r="T92" s="23">
        <v>0</v>
      </c>
      <c r="U92" s="23">
        <v>0</v>
      </c>
      <c r="V92" s="23">
        <v>0</v>
      </c>
      <c r="W92" s="23"/>
      <c r="X92" s="23"/>
      <c r="Y92" s="23"/>
      <c r="Z92" s="23"/>
      <c r="AA92" s="23"/>
      <c r="AB92" s="23"/>
      <c r="AC92" s="25">
        <v>0</v>
      </c>
      <c r="AD92" s="25">
        <v>0</v>
      </c>
      <c r="AE92" s="25">
        <v>0</v>
      </c>
      <c r="AF92" s="25">
        <v>0</v>
      </c>
      <c r="AG92" s="25">
        <v>0</v>
      </c>
      <c r="AH92" s="25"/>
      <c r="AI92" s="25"/>
      <c r="AJ92" s="25"/>
      <c r="AK92" s="25"/>
      <c r="AL92" s="25"/>
      <c r="AM92" s="25"/>
    </row>
    <row r="93" spans="1:39" ht="15" customHeight="1">
      <c r="A93" s="32" t="str">
        <f t="shared" si="7"/>
        <v>Powercor--KIOSK MOUNTED ; &gt; 22 kV ;  &gt;  600 kVA</v>
      </c>
      <c r="B93" s="32" t="str">
        <f t="shared" si="8"/>
        <v>Powercor</v>
      </c>
      <c r="C93" s="32" t="s">
        <v>4</v>
      </c>
      <c r="D93" s="391"/>
      <c r="F93" t="s">
        <v>224</v>
      </c>
      <c r="G93" s="21">
        <v>0</v>
      </c>
      <c r="H93" s="21">
        <v>0</v>
      </c>
      <c r="I93" s="21">
        <v>0</v>
      </c>
      <c r="J93" s="21">
        <v>0</v>
      </c>
      <c r="K93" s="21">
        <v>0</v>
      </c>
      <c r="L93" s="21"/>
      <c r="M93" s="21"/>
      <c r="N93" s="21"/>
      <c r="O93" s="21"/>
      <c r="P93" s="21"/>
      <c r="Q93" s="21"/>
      <c r="R93" s="23">
        <v>0</v>
      </c>
      <c r="S93" s="23">
        <v>0</v>
      </c>
      <c r="T93" s="23">
        <v>0</v>
      </c>
      <c r="U93" s="23">
        <v>0</v>
      </c>
      <c r="V93" s="23">
        <v>0</v>
      </c>
      <c r="W93" s="23"/>
      <c r="X93" s="23"/>
      <c r="Y93" s="23"/>
      <c r="Z93" s="23"/>
      <c r="AA93" s="23"/>
      <c r="AB93" s="23"/>
      <c r="AC93" s="25">
        <v>0</v>
      </c>
      <c r="AD93" s="25">
        <v>0</v>
      </c>
      <c r="AE93" s="25">
        <v>0</v>
      </c>
      <c r="AF93" s="25">
        <v>0</v>
      </c>
      <c r="AG93" s="25">
        <v>0</v>
      </c>
      <c r="AH93" s="25"/>
      <c r="AI93" s="25"/>
      <c r="AJ93" s="25"/>
      <c r="AK93" s="25"/>
      <c r="AL93" s="25"/>
      <c r="AM93" s="25"/>
    </row>
    <row r="94" spans="1:39" ht="15" customHeight="1">
      <c r="A94" s="32" t="str">
        <f t="shared" si="7"/>
        <v>Powercor--GROUND OUTDOOR / INDOOR CHAMBER MOUNTED ; ˂ 22 kV ;  &lt; = 60 kVA ; SINGLE PHASE</v>
      </c>
      <c r="B94" s="32" t="str">
        <f t="shared" si="8"/>
        <v>Powercor</v>
      </c>
      <c r="C94" s="32" t="s">
        <v>4</v>
      </c>
      <c r="D94" s="391"/>
      <c r="F94" t="s">
        <v>225</v>
      </c>
      <c r="G94" s="21">
        <v>0</v>
      </c>
      <c r="H94" s="21">
        <v>21.37951991177442</v>
      </c>
      <c r="I94" s="21">
        <v>25.121021345924348</v>
      </c>
      <c r="J94" s="21">
        <v>0</v>
      </c>
      <c r="K94" s="21">
        <v>0</v>
      </c>
      <c r="L94" s="21"/>
      <c r="M94" s="21"/>
      <c r="N94" s="21"/>
      <c r="O94" s="21"/>
      <c r="P94" s="21"/>
      <c r="Q94" s="21"/>
      <c r="R94" s="23">
        <v>0</v>
      </c>
      <c r="S94" s="23">
        <v>1</v>
      </c>
      <c r="T94" s="23">
        <v>1</v>
      </c>
      <c r="U94" s="23">
        <v>0</v>
      </c>
      <c r="V94" s="23">
        <v>0</v>
      </c>
      <c r="W94" s="23"/>
      <c r="X94" s="23"/>
      <c r="Y94" s="23"/>
      <c r="Z94" s="23"/>
      <c r="AA94" s="23"/>
      <c r="AB94" s="23"/>
      <c r="AC94" s="25">
        <v>0</v>
      </c>
      <c r="AD94" s="25">
        <v>0</v>
      </c>
      <c r="AE94" s="25">
        <v>0</v>
      </c>
      <c r="AF94" s="25">
        <v>0</v>
      </c>
      <c r="AG94" s="25">
        <v>0</v>
      </c>
      <c r="AH94" s="25"/>
      <c r="AI94" s="25"/>
      <c r="AJ94" s="25"/>
      <c r="AK94" s="25"/>
      <c r="AL94" s="25"/>
      <c r="AM94" s="25"/>
    </row>
    <row r="95" spans="1:39" ht="15" customHeight="1">
      <c r="A95" s="32" t="str">
        <f t="shared" si="7"/>
        <v>Powercor--GROUND OUTDOOR / INDOOR CHAMBER MOUNTED ; ˂  22 kV ;  &gt; 60 kVA  AND &lt; = 600 kVA ; SINGLE PHASE</v>
      </c>
      <c r="B95" s="32" t="str">
        <f t="shared" si="8"/>
        <v>Powercor</v>
      </c>
      <c r="C95" s="32" t="s">
        <v>4</v>
      </c>
      <c r="D95" s="391"/>
      <c r="F95" t="s">
        <v>226</v>
      </c>
      <c r="G95" s="21">
        <v>0</v>
      </c>
      <c r="H95" s="21">
        <v>0</v>
      </c>
      <c r="I95" s="21">
        <v>0</v>
      </c>
      <c r="J95" s="21">
        <v>0</v>
      </c>
      <c r="K95" s="21">
        <v>0</v>
      </c>
      <c r="L95" s="21"/>
      <c r="M95" s="21"/>
      <c r="N95" s="21"/>
      <c r="O95" s="21"/>
      <c r="P95" s="21"/>
      <c r="Q95" s="21"/>
      <c r="R95" s="23">
        <v>0</v>
      </c>
      <c r="S95" s="23">
        <v>0</v>
      </c>
      <c r="T95" s="23">
        <v>0</v>
      </c>
      <c r="U95" s="23">
        <v>0</v>
      </c>
      <c r="V95" s="23">
        <v>0</v>
      </c>
      <c r="W95" s="23"/>
      <c r="X95" s="23"/>
      <c r="Y95" s="23"/>
      <c r="Z95" s="23"/>
      <c r="AA95" s="23"/>
      <c r="AB95" s="23"/>
      <c r="AC95" s="25">
        <v>0</v>
      </c>
      <c r="AD95" s="25">
        <v>0</v>
      </c>
      <c r="AE95" s="25">
        <v>0</v>
      </c>
      <c r="AF95" s="25">
        <v>0</v>
      </c>
      <c r="AG95" s="25">
        <v>0</v>
      </c>
      <c r="AH95" s="25"/>
      <c r="AI95" s="25"/>
      <c r="AJ95" s="25"/>
      <c r="AK95" s="25"/>
      <c r="AL95" s="25"/>
      <c r="AM95" s="25"/>
    </row>
    <row r="96" spans="1:39" ht="15" customHeight="1">
      <c r="A96" s="32" t="str">
        <f t="shared" si="7"/>
        <v>Powercor--GROUND OUTDOOR / INDOOR CHAMBER MOUNTED ; ˂  22 kV ;  &gt;  600 kVA ; SINGLE PHASE</v>
      </c>
      <c r="B96" s="32" t="str">
        <f t="shared" si="8"/>
        <v>Powercor</v>
      </c>
      <c r="C96" s="32" t="s">
        <v>4</v>
      </c>
      <c r="D96" s="391"/>
      <c r="F96" t="s">
        <v>227</v>
      </c>
      <c r="G96" s="21">
        <v>0</v>
      </c>
      <c r="H96" s="21">
        <v>0</v>
      </c>
      <c r="I96" s="21">
        <v>0</v>
      </c>
      <c r="J96" s="21">
        <v>0</v>
      </c>
      <c r="K96" s="21">
        <v>0</v>
      </c>
      <c r="L96" s="21"/>
      <c r="M96" s="21"/>
      <c r="N96" s="21"/>
      <c r="O96" s="21"/>
      <c r="P96" s="21"/>
      <c r="Q96" s="21"/>
      <c r="R96" s="23">
        <v>0</v>
      </c>
      <c r="S96" s="23">
        <v>0</v>
      </c>
      <c r="T96" s="23">
        <v>0</v>
      </c>
      <c r="U96" s="23">
        <v>0</v>
      </c>
      <c r="V96" s="23">
        <v>0</v>
      </c>
      <c r="W96" s="23"/>
      <c r="X96" s="23"/>
      <c r="Y96" s="23"/>
      <c r="Z96" s="23"/>
      <c r="AA96" s="23"/>
      <c r="AB96" s="23"/>
      <c r="AC96" s="25">
        <v>0</v>
      </c>
      <c r="AD96" s="25">
        <v>0</v>
      </c>
      <c r="AE96" s="25">
        <v>0</v>
      </c>
      <c r="AF96" s="25">
        <v>0</v>
      </c>
      <c r="AG96" s="25">
        <v>0</v>
      </c>
      <c r="AH96" s="25"/>
      <c r="AI96" s="25"/>
      <c r="AJ96" s="25"/>
      <c r="AK96" s="25"/>
      <c r="AL96" s="25"/>
      <c r="AM96" s="25"/>
    </row>
    <row r="97" spans="1:39" ht="15" customHeight="1">
      <c r="A97" s="32" t="str">
        <f t="shared" si="7"/>
        <v>Powercor--GROUND OUTDOOR / INDOOR CHAMBER MOUNTED ; ˂  22 kV ;  &lt; = 60 kVA ; MULTIPLE PHASE</v>
      </c>
      <c r="B97" s="32" t="str">
        <f t="shared" si="8"/>
        <v>Powercor</v>
      </c>
      <c r="C97" s="32" t="s">
        <v>4</v>
      </c>
      <c r="D97" s="391"/>
      <c r="F97" t="s">
        <v>228</v>
      </c>
      <c r="G97" s="21">
        <v>0</v>
      </c>
      <c r="H97" s="21">
        <v>0</v>
      </c>
      <c r="I97" s="21">
        <v>0</v>
      </c>
      <c r="J97" s="21">
        <v>0</v>
      </c>
      <c r="K97" s="21">
        <v>0</v>
      </c>
      <c r="L97" s="21"/>
      <c r="M97" s="21"/>
      <c r="N97" s="21"/>
      <c r="O97" s="21"/>
      <c r="P97" s="21"/>
      <c r="Q97" s="21"/>
      <c r="R97" s="23">
        <v>0</v>
      </c>
      <c r="S97" s="23">
        <v>0</v>
      </c>
      <c r="T97" s="23">
        <v>0</v>
      </c>
      <c r="U97" s="23">
        <v>0</v>
      </c>
      <c r="V97" s="23">
        <v>0</v>
      </c>
      <c r="W97" s="23"/>
      <c r="X97" s="23"/>
      <c r="Y97" s="23"/>
      <c r="Z97" s="23"/>
      <c r="AA97" s="23"/>
      <c r="AB97" s="23"/>
      <c r="AC97" s="25">
        <v>0</v>
      </c>
      <c r="AD97" s="25">
        <v>0</v>
      </c>
      <c r="AE97" s="25">
        <v>0</v>
      </c>
      <c r="AF97" s="25">
        <v>0</v>
      </c>
      <c r="AG97" s="25">
        <v>0</v>
      </c>
      <c r="AH97" s="25"/>
      <c r="AI97" s="25"/>
      <c r="AJ97" s="25"/>
      <c r="AK97" s="25"/>
      <c r="AL97" s="25"/>
      <c r="AM97" s="25"/>
    </row>
    <row r="98" spans="1:39" ht="15" customHeight="1">
      <c r="A98" s="32" t="str">
        <f t="shared" si="7"/>
        <v>Powercor--GROUND OUTDOOR / INDOOR CHAMBER MOUNTED ; ˂  22 kV ;  &gt; 60 kVA  AND &lt; = 600 kVA ; MULTIPLE PHASE</v>
      </c>
      <c r="B98" s="32" t="str">
        <f t="shared" si="8"/>
        <v>Powercor</v>
      </c>
      <c r="C98" s="32" t="s">
        <v>4</v>
      </c>
      <c r="D98" s="391"/>
      <c r="F98" t="s">
        <v>229</v>
      </c>
      <c r="G98" s="21">
        <v>0</v>
      </c>
      <c r="H98" s="21">
        <v>0</v>
      </c>
      <c r="I98" s="21">
        <v>0</v>
      </c>
      <c r="J98" s="21">
        <v>26.29</v>
      </c>
      <c r="K98" s="21">
        <v>0</v>
      </c>
      <c r="L98" s="21"/>
      <c r="M98" s="21"/>
      <c r="N98" s="21"/>
      <c r="O98" s="21"/>
      <c r="P98" s="21"/>
      <c r="Q98" s="21"/>
      <c r="R98" s="23">
        <v>0</v>
      </c>
      <c r="S98" s="23">
        <v>0</v>
      </c>
      <c r="T98" s="23">
        <v>0</v>
      </c>
      <c r="U98" s="23">
        <v>1</v>
      </c>
      <c r="V98" s="23">
        <v>0</v>
      </c>
      <c r="W98" s="23"/>
      <c r="X98" s="23"/>
      <c r="Y98" s="23"/>
      <c r="Z98" s="23"/>
      <c r="AA98" s="23"/>
      <c r="AB98" s="23"/>
      <c r="AC98" s="25">
        <v>0</v>
      </c>
      <c r="AD98" s="25">
        <v>0</v>
      </c>
      <c r="AE98" s="25">
        <v>0</v>
      </c>
      <c r="AF98" s="25">
        <v>0</v>
      </c>
      <c r="AG98" s="25">
        <v>0</v>
      </c>
      <c r="AH98" s="25"/>
      <c r="AI98" s="25"/>
      <c r="AJ98" s="25"/>
      <c r="AK98" s="25"/>
      <c r="AL98" s="25"/>
      <c r="AM98" s="25"/>
    </row>
    <row r="99" spans="1:39" ht="15" customHeight="1">
      <c r="A99" s="32" t="str">
        <f t="shared" si="7"/>
        <v>Powercor--GROUND OUTDOOR / INDOOR CHAMBER MOUNTED ; ˂  22 kV ;  &gt;  600 kVA ; MULTIPLE PHASE</v>
      </c>
      <c r="B99" s="32" t="str">
        <f t="shared" si="8"/>
        <v>Powercor</v>
      </c>
      <c r="C99" s="32" t="s">
        <v>4</v>
      </c>
      <c r="D99" s="391"/>
      <c r="F99" t="s">
        <v>230</v>
      </c>
      <c r="G99" s="21">
        <v>22.42</v>
      </c>
      <c r="H99" s="21">
        <v>0</v>
      </c>
      <c r="I99" s="21">
        <v>24.72</v>
      </c>
      <c r="J99" s="21">
        <v>169.55</v>
      </c>
      <c r="K99" s="21">
        <v>0</v>
      </c>
      <c r="L99" s="21"/>
      <c r="M99" s="21"/>
      <c r="N99" s="21"/>
      <c r="O99" s="21"/>
      <c r="P99" s="21"/>
      <c r="Q99" s="21"/>
      <c r="R99" s="23">
        <v>1</v>
      </c>
      <c r="S99" s="23">
        <v>0</v>
      </c>
      <c r="T99" s="23">
        <v>1</v>
      </c>
      <c r="U99" s="23">
        <v>4</v>
      </c>
      <c r="V99" s="23">
        <v>0</v>
      </c>
      <c r="W99" s="23"/>
      <c r="X99" s="23"/>
      <c r="Y99" s="23"/>
      <c r="Z99" s="23"/>
      <c r="AA99" s="23"/>
      <c r="AB99" s="23"/>
      <c r="AC99" s="25">
        <v>0</v>
      </c>
      <c r="AD99" s="25">
        <v>0</v>
      </c>
      <c r="AE99" s="25">
        <v>0</v>
      </c>
      <c r="AF99" s="25">
        <v>0</v>
      </c>
      <c r="AG99" s="25">
        <v>0</v>
      </c>
      <c r="AH99" s="25"/>
      <c r="AI99" s="25"/>
      <c r="AJ99" s="25"/>
      <c r="AK99" s="25"/>
      <c r="AL99" s="25"/>
      <c r="AM99" s="25"/>
    </row>
    <row r="100" spans="1:39" ht="15" customHeight="1">
      <c r="A100" s="32" t="str">
        <f t="shared" si="7"/>
        <v>Powercor--GROUND OUTDOOR / INDOOR CHAMBER MOUNTED ; &gt; = 22 kV &amp; &lt; = 33 kV ;  &lt; = 15 MVA</v>
      </c>
      <c r="B100" s="32" t="str">
        <f t="shared" si="8"/>
        <v>Powercor</v>
      </c>
      <c r="C100" s="32" t="s">
        <v>4</v>
      </c>
      <c r="D100" s="391"/>
      <c r="F100" t="s">
        <v>231</v>
      </c>
      <c r="G100" s="21">
        <v>0</v>
      </c>
      <c r="H100" s="21">
        <v>0</v>
      </c>
      <c r="I100" s="21">
        <v>0</v>
      </c>
      <c r="J100" s="21">
        <v>0</v>
      </c>
      <c r="K100" s="21">
        <v>0</v>
      </c>
      <c r="L100" s="21"/>
      <c r="M100" s="21"/>
      <c r="N100" s="21"/>
      <c r="O100" s="21"/>
      <c r="P100" s="21"/>
      <c r="Q100" s="21"/>
      <c r="R100" s="23">
        <v>0</v>
      </c>
      <c r="S100" s="23">
        <v>0</v>
      </c>
      <c r="T100" s="23">
        <v>0</v>
      </c>
      <c r="U100" s="23">
        <v>0</v>
      </c>
      <c r="V100" s="23">
        <v>0</v>
      </c>
      <c r="W100" s="23"/>
      <c r="X100" s="23"/>
      <c r="Y100" s="23"/>
      <c r="Z100" s="23"/>
      <c r="AA100" s="23"/>
      <c r="AB100" s="23"/>
      <c r="AC100" s="25">
        <v>0</v>
      </c>
      <c r="AD100" s="25">
        <v>0</v>
      </c>
      <c r="AE100" s="25">
        <v>0</v>
      </c>
      <c r="AF100" s="25">
        <v>0</v>
      </c>
      <c r="AG100" s="25">
        <v>0</v>
      </c>
      <c r="AH100" s="25"/>
      <c r="AI100" s="25"/>
      <c r="AJ100" s="25"/>
      <c r="AK100" s="25"/>
      <c r="AL100" s="25"/>
      <c r="AM100" s="25"/>
    </row>
    <row r="101" spans="1:39" ht="15" customHeight="1">
      <c r="A101" s="32" t="str">
        <f t="shared" si="7"/>
        <v>Powercor--GROUND OUTDOOR / INDOOR CHAMBER MOUNTED ; &gt; = 22 kV &amp; &lt; = 33 kV ;  &gt; 15 MVA AND &lt; = 40 MVA</v>
      </c>
      <c r="B101" s="32" t="str">
        <f t="shared" si="8"/>
        <v>Powercor</v>
      </c>
      <c r="C101" s="32" t="s">
        <v>4</v>
      </c>
      <c r="D101" s="391"/>
      <c r="F101" t="s">
        <v>232</v>
      </c>
      <c r="G101" s="21">
        <v>0</v>
      </c>
      <c r="H101" s="21">
        <v>0</v>
      </c>
      <c r="I101" s="21">
        <v>0</v>
      </c>
      <c r="J101" s="21">
        <v>0</v>
      </c>
      <c r="K101" s="21">
        <v>0</v>
      </c>
      <c r="L101" s="21"/>
      <c r="M101" s="21"/>
      <c r="N101" s="21"/>
      <c r="O101" s="21"/>
      <c r="P101" s="21"/>
      <c r="Q101" s="21"/>
      <c r="R101" s="23">
        <v>0</v>
      </c>
      <c r="S101" s="23">
        <v>0</v>
      </c>
      <c r="T101" s="23">
        <v>0</v>
      </c>
      <c r="U101" s="23">
        <v>0</v>
      </c>
      <c r="V101" s="23">
        <v>0</v>
      </c>
      <c r="W101" s="23"/>
      <c r="X101" s="23"/>
      <c r="Y101" s="23"/>
      <c r="Z101" s="23"/>
      <c r="AA101" s="23"/>
      <c r="AB101" s="23"/>
      <c r="AC101" s="25">
        <v>0</v>
      </c>
      <c r="AD101" s="25">
        <v>0</v>
      </c>
      <c r="AE101" s="25">
        <v>0</v>
      </c>
      <c r="AF101" s="25">
        <v>0</v>
      </c>
      <c r="AG101" s="25">
        <v>0</v>
      </c>
      <c r="AH101" s="25"/>
      <c r="AI101" s="25"/>
      <c r="AJ101" s="25"/>
      <c r="AK101" s="25"/>
      <c r="AL101" s="25"/>
      <c r="AM101" s="25"/>
    </row>
    <row r="102" spans="1:39" ht="15" customHeight="1">
      <c r="A102" s="32" t="str">
        <f t="shared" si="7"/>
        <v>Powercor--GROUND OUTDOOR / INDOOR CHAMBER MOUNTED ; &gt; = 22 kV &amp; &lt; = 33 kV ;  &gt; 40 MVA</v>
      </c>
      <c r="B102" s="32" t="str">
        <f t="shared" si="8"/>
        <v>Powercor</v>
      </c>
      <c r="C102" s="32" t="s">
        <v>4</v>
      </c>
      <c r="D102" s="391"/>
      <c r="F102" t="s">
        <v>233</v>
      </c>
      <c r="G102" s="21">
        <v>0</v>
      </c>
      <c r="H102" s="21">
        <v>0</v>
      </c>
      <c r="I102" s="21">
        <v>0</v>
      </c>
      <c r="J102" s="21">
        <v>0</v>
      </c>
      <c r="K102" s="21">
        <v>0</v>
      </c>
      <c r="L102" s="21"/>
      <c r="M102" s="21"/>
      <c r="N102" s="21"/>
      <c r="O102" s="21"/>
      <c r="P102" s="21"/>
      <c r="Q102" s="21"/>
      <c r="R102" s="23">
        <v>0</v>
      </c>
      <c r="S102" s="23">
        <v>0</v>
      </c>
      <c r="T102" s="23">
        <v>0</v>
      </c>
      <c r="U102" s="23">
        <v>0</v>
      </c>
      <c r="V102" s="23">
        <v>0</v>
      </c>
      <c r="W102" s="23"/>
      <c r="X102" s="23"/>
      <c r="Y102" s="23"/>
      <c r="Z102" s="23"/>
      <c r="AA102" s="23"/>
      <c r="AB102" s="23"/>
      <c r="AC102" s="25">
        <v>0</v>
      </c>
      <c r="AD102" s="25">
        <v>0</v>
      </c>
      <c r="AE102" s="25">
        <v>0</v>
      </c>
      <c r="AF102" s="25">
        <v>0</v>
      </c>
      <c r="AG102" s="25">
        <v>0</v>
      </c>
      <c r="AH102" s="25"/>
      <c r="AI102" s="25"/>
      <c r="AJ102" s="25"/>
      <c r="AK102" s="25"/>
      <c r="AL102" s="25"/>
      <c r="AM102" s="25"/>
    </row>
    <row r="103" spans="1:39" ht="15" customHeight="1">
      <c r="A103" s="32" t="str">
        <f t="shared" si="7"/>
        <v>Powercor--GROUND OUTDOOR / INDOOR CHAMBER MOUNTED ; &gt; 33 kV &amp; &lt; = 66 kV ;  &lt; = 15 MVA</v>
      </c>
      <c r="B103" s="32" t="str">
        <f t="shared" si="8"/>
        <v>Powercor</v>
      </c>
      <c r="C103" s="32" t="s">
        <v>4</v>
      </c>
      <c r="D103" s="391"/>
      <c r="F103" t="s">
        <v>234</v>
      </c>
      <c r="G103" s="21">
        <v>6.36</v>
      </c>
      <c r="H103" s="21">
        <v>118.31</v>
      </c>
      <c r="I103" s="21">
        <v>134.93</v>
      </c>
      <c r="J103" s="21">
        <v>100.14</v>
      </c>
      <c r="K103" s="21">
        <v>34</v>
      </c>
      <c r="L103" s="21"/>
      <c r="M103" s="21"/>
      <c r="N103" s="21"/>
      <c r="O103" s="21"/>
      <c r="P103" s="21"/>
      <c r="Q103" s="21"/>
      <c r="R103" s="23">
        <v>0</v>
      </c>
      <c r="S103" s="23">
        <v>0</v>
      </c>
      <c r="T103" s="23">
        <v>0</v>
      </c>
      <c r="U103" s="23">
        <v>0</v>
      </c>
      <c r="V103" s="23">
        <v>0</v>
      </c>
      <c r="W103" s="23"/>
      <c r="X103" s="23"/>
      <c r="Y103" s="23"/>
      <c r="Z103" s="23"/>
      <c r="AA103" s="23"/>
      <c r="AB103" s="23"/>
      <c r="AC103" s="25">
        <v>9</v>
      </c>
      <c r="AD103" s="25">
        <v>12</v>
      </c>
      <c r="AE103" s="25">
        <v>3</v>
      </c>
      <c r="AF103" s="25">
        <v>4</v>
      </c>
      <c r="AG103" s="25">
        <v>7</v>
      </c>
      <c r="AH103" s="25"/>
      <c r="AI103" s="25"/>
      <c r="AJ103" s="25"/>
      <c r="AK103" s="25"/>
      <c r="AL103" s="25"/>
      <c r="AM103" s="25"/>
    </row>
    <row r="104" spans="1:39" ht="15" customHeight="1">
      <c r="A104" s="32" t="str">
        <f t="shared" si="7"/>
        <v>Powercor--GROUND OUTDOOR / INDOOR CHAMBER MOUNTED ; &gt; 33 kV &amp; &lt; = 66 kV ;  &gt; 15 MVA AND &lt; = 40 MVA</v>
      </c>
      <c r="B104" s="32" t="str">
        <f t="shared" si="8"/>
        <v>Powercor</v>
      </c>
      <c r="C104" s="32" t="s">
        <v>4</v>
      </c>
      <c r="D104" s="391"/>
      <c r="F104" t="s">
        <v>235</v>
      </c>
      <c r="G104" s="21">
        <v>67.319999999999993</v>
      </c>
      <c r="H104" s="21">
        <v>1510.21</v>
      </c>
      <c r="I104" s="21">
        <v>911.35</v>
      </c>
      <c r="J104" s="21">
        <v>552.41</v>
      </c>
      <c r="K104" s="21">
        <v>2476.21</v>
      </c>
      <c r="L104" s="21"/>
      <c r="M104" s="21"/>
      <c r="N104" s="21"/>
      <c r="O104" s="21"/>
      <c r="P104" s="21"/>
      <c r="Q104" s="21"/>
      <c r="R104" s="23">
        <v>0</v>
      </c>
      <c r="S104" s="23">
        <v>1</v>
      </c>
      <c r="T104" s="23">
        <v>1</v>
      </c>
      <c r="U104" s="23">
        <v>1</v>
      </c>
      <c r="V104" s="23">
        <v>2</v>
      </c>
      <c r="W104" s="23"/>
      <c r="X104" s="23"/>
      <c r="Y104" s="23"/>
      <c r="Z104" s="23"/>
      <c r="AA104" s="23"/>
      <c r="AB104" s="23"/>
      <c r="AC104" s="25">
        <v>6</v>
      </c>
      <c r="AD104" s="25">
        <v>3</v>
      </c>
      <c r="AE104" s="25">
        <v>3</v>
      </c>
      <c r="AF104" s="25">
        <v>2</v>
      </c>
      <c r="AG104" s="25">
        <v>2</v>
      </c>
      <c r="AH104" s="25"/>
      <c r="AI104" s="25"/>
      <c r="AJ104" s="25"/>
      <c r="AK104" s="25"/>
      <c r="AL104" s="25"/>
      <c r="AM104" s="25"/>
    </row>
    <row r="105" spans="1:39" ht="15" customHeight="1">
      <c r="A105" s="32" t="str">
        <f t="shared" si="7"/>
        <v>Powercor--GROUND OUTDOOR / INDOOR CHAMBER MOUNTED ; &gt; 33 kV &amp; &lt; = 66 kV ;  &gt; 40 MVA</v>
      </c>
      <c r="B105" s="32" t="str">
        <f t="shared" si="8"/>
        <v>Powercor</v>
      </c>
      <c r="C105" s="32" t="s">
        <v>4</v>
      </c>
      <c r="D105" s="391"/>
      <c r="F105" t="s">
        <v>236</v>
      </c>
      <c r="G105" s="21">
        <v>23.42</v>
      </c>
      <c r="H105" s="21">
        <v>7.92</v>
      </c>
      <c r="I105" s="21">
        <v>0</v>
      </c>
      <c r="J105" s="21">
        <v>0</v>
      </c>
      <c r="K105" s="21">
        <v>0</v>
      </c>
      <c r="L105" s="21"/>
      <c r="M105" s="21"/>
      <c r="N105" s="21"/>
      <c r="O105" s="21"/>
      <c r="P105" s="21"/>
      <c r="Q105" s="21"/>
      <c r="R105" s="23">
        <v>0</v>
      </c>
      <c r="S105" s="23">
        <v>0</v>
      </c>
      <c r="T105" s="23">
        <v>0</v>
      </c>
      <c r="U105" s="23">
        <v>0</v>
      </c>
      <c r="V105" s="23">
        <v>0</v>
      </c>
      <c r="W105" s="23"/>
      <c r="X105" s="23"/>
      <c r="Y105" s="23"/>
      <c r="Z105" s="23"/>
      <c r="AA105" s="23"/>
      <c r="AB105" s="23"/>
      <c r="AC105" s="25">
        <v>0</v>
      </c>
      <c r="AD105" s="25">
        <v>0</v>
      </c>
      <c r="AE105" s="25">
        <v>0</v>
      </c>
      <c r="AF105" s="25">
        <v>0</v>
      </c>
      <c r="AG105" s="25">
        <v>0</v>
      </c>
      <c r="AH105" s="25"/>
      <c r="AI105" s="25"/>
      <c r="AJ105" s="25"/>
      <c r="AK105" s="25"/>
      <c r="AL105" s="25"/>
      <c r="AM105" s="25"/>
    </row>
    <row r="106" spans="1:39" ht="15" customHeight="1">
      <c r="A106" s="32" t="str">
        <f t="shared" si="7"/>
        <v>Powercor--GROUND OUTDOOR / INDOOR CHAMBER MOUNTED ; &gt; 66 kV &amp; &lt; = 132 kV ;  &lt; = 100 MVA</v>
      </c>
      <c r="B106" s="32" t="str">
        <f t="shared" si="8"/>
        <v>Powercor</v>
      </c>
      <c r="C106" s="32" t="s">
        <v>4</v>
      </c>
      <c r="D106" s="391"/>
      <c r="F106" t="s">
        <v>237</v>
      </c>
      <c r="G106" s="21">
        <v>0</v>
      </c>
      <c r="H106" s="21">
        <v>0</v>
      </c>
      <c r="I106" s="21">
        <v>0</v>
      </c>
      <c r="J106" s="21">
        <v>0</v>
      </c>
      <c r="K106" s="21">
        <v>0</v>
      </c>
      <c r="L106" s="21"/>
      <c r="M106" s="21"/>
      <c r="N106" s="21"/>
      <c r="O106" s="21"/>
      <c r="P106" s="21"/>
      <c r="Q106" s="21"/>
      <c r="R106" s="23">
        <v>0</v>
      </c>
      <c r="S106" s="23">
        <v>0</v>
      </c>
      <c r="T106" s="23">
        <v>0</v>
      </c>
      <c r="U106" s="23">
        <v>0</v>
      </c>
      <c r="V106" s="23">
        <v>0</v>
      </c>
      <c r="W106" s="23"/>
      <c r="X106" s="23"/>
      <c r="Y106" s="23"/>
      <c r="Z106" s="23"/>
      <c r="AA106" s="23"/>
      <c r="AB106" s="23"/>
      <c r="AC106" s="25">
        <v>0</v>
      </c>
      <c r="AD106" s="25">
        <v>0</v>
      </c>
      <c r="AE106" s="25">
        <v>0</v>
      </c>
      <c r="AF106" s="25">
        <v>0</v>
      </c>
      <c r="AG106" s="25">
        <v>0</v>
      </c>
      <c r="AH106" s="25"/>
      <c r="AI106" s="25"/>
      <c r="AJ106" s="25"/>
      <c r="AK106" s="25"/>
      <c r="AL106" s="25"/>
      <c r="AM106" s="25"/>
    </row>
    <row r="107" spans="1:39" ht="15" customHeight="1">
      <c r="A107" s="32" t="str">
        <f t="shared" si="7"/>
        <v>Powercor--GROUND OUTDOOR / INDOOR CHAMBER MOUNTED ; &gt; 66 kV &amp; &lt; = 132 kV ;  &gt; 100 MVA</v>
      </c>
      <c r="B107" s="32" t="str">
        <f t="shared" si="8"/>
        <v>Powercor</v>
      </c>
      <c r="C107" s="32" t="s">
        <v>4</v>
      </c>
      <c r="D107" s="391"/>
      <c r="F107" t="s">
        <v>238</v>
      </c>
      <c r="G107" s="21">
        <v>0</v>
      </c>
      <c r="H107" s="21">
        <v>0</v>
      </c>
      <c r="I107" s="21">
        <v>0</v>
      </c>
      <c r="J107" s="21">
        <v>0</v>
      </c>
      <c r="K107" s="21">
        <v>0</v>
      </c>
      <c r="L107" s="21"/>
      <c r="M107" s="21"/>
      <c r="N107" s="21"/>
      <c r="O107" s="21"/>
      <c r="P107" s="21"/>
      <c r="Q107" s="21"/>
      <c r="R107" s="23">
        <v>0</v>
      </c>
      <c r="S107" s="23">
        <v>0</v>
      </c>
      <c r="T107" s="23">
        <v>0</v>
      </c>
      <c r="U107" s="23">
        <v>0</v>
      </c>
      <c r="V107" s="23">
        <v>0</v>
      </c>
      <c r="W107" s="23"/>
      <c r="X107" s="23"/>
      <c r="Y107" s="23"/>
      <c r="Z107" s="23"/>
      <c r="AA107" s="23"/>
      <c r="AB107" s="23"/>
      <c r="AC107" s="25">
        <v>0</v>
      </c>
      <c r="AD107" s="25">
        <v>0</v>
      </c>
      <c r="AE107" s="25">
        <v>0</v>
      </c>
      <c r="AF107" s="25">
        <v>0</v>
      </c>
      <c r="AG107" s="25">
        <v>0</v>
      </c>
      <c r="AH107" s="25"/>
      <c r="AI107" s="25"/>
      <c r="AJ107" s="25"/>
      <c r="AK107" s="25"/>
      <c r="AL107" s="25"/>
      <c r="AM107" s="25"/>
    </row>
    <row r="108" spans="1:39" ht="15" customHeight="1">
      <c r="A108" s="32" t="str">
        <f t="shared" si="7"/>
        <v>Powercor--GROUND OUTDOOR / INDOOR CHAMBER MOUNTED ; &gt; 132 kV ;  &lt; = 100 MVA</v>
      </c>
      <c r="B108" s="32" t="str">
        <f t="shared" si="8"/>
        <v>Powercor</v>
      </c>
      <c r="C108" s="32" t="s">
        <v>4</v>
      </c>
      <c r="D108" s="391"/>
      <c r="F108" t="s">
        <v>239</v>
      </c>
      <c r="G108" s="21">
        <v>0</v>
      </c>
      <c r="H108" s="21">
        <v>0</v>
      </c>
      <c r="I108" s="21">
        <v>0</v>
      </c>
      <c r="J108" s="21">
        <v>0</v>
      </c>
      <c r="K108" s="21">
        <v>0</v>
      </c>
      <c r="L108" s="21"/>
      <c r="M108" s="21"/>
      <c r="N108" s="21"/>
      <c r="O108" s="21"/>
      <c r="P108" s="21"/>
      <c r="Q108" s="21"/>
      <c r="R108" s="23">
        <v>0</v>
      </c>
      <c r="S108" s="23">
        <v>0</v>
      </c>
      <c r="T108" s="23">
        <v>0</v>
      </c>
      <c r="U108" s="23">
        <v>0</v>
      </c>
      <c r="V108" s="23">
        <v>0</v>
      </c>
      <c r="W108" s="23"/>
      <c r="X108" s="23"/>
      <c r="Y108" s="23"/>
      <c r="Z108" s="23"/>
      <c r="AA108" s="23"/>
      <c r="AB108" s="23"/>
      <c r="AC108" s="25">
        <v>0</v>
      </c>
      <c r="AD108" s="25">
        <v>0</v>
      </c>
      <c r="AE108" s="25">
        <v>0</v>
      </c>
      <c r="AF108" s="25">
        <v>0</v>
      </c>
      <c r="AG108" s="25">
        <v>0</v>
      </c>
      <c r="AH108" s="25"/>
      <c r="AI108" s="25"/>
      <c r="AJ108" s="25"/>
      <c r="AK108" s="25"/>
      <c r="AL108" s="25"/>
      <c r="AM108" s="25"/>
    </row>
    <row r="109" spans="1:39" ht="15" customHeight="1">
      <c r="A109" s="32" t="str">
        <f t="shared" si="7"/>
        <v>Powercor--GROUND OUTDOOR / INDOOR CHAMBER MOUNTED ; &gt; 132 kV ;  &gt; 100 MVA</v>
      </c>
      <c r="B109" s="32" t="str">
        <f t="shared" si="8"/>
        <v>Powercor</v>
      </c>
      <c r="C109" s="32" t="s">
        <v>4</v>
      </c>
      <c r="D109" s="391"/>
      <c r="F109" t="s">
        <v>240</v>
      </c>
      <c r="G109" s="21">
        <v>0</v>
      </c>
      <c r="H109" s="21">
        <v>0</v>
      </c>
      <c r="I109" s="21">
        <v>0</v>
      </c>
      <c r="J109" s="21">
        <v>0</v>
      </c>
      <c r="K109" s="21">
        <v>0</v>
      </c>
      <c r="L109" s="21"/>
      <c r="M109" s="21"/>
      <c r="N109" s="21"/>
      <c r="O109" s="21"/>
      <c r="P109" s="21"/>
      <c r="Q109" s="21"/>
      <c r="R109" s="23">
        <v>0</v>
      </c>
      <c r="S109" s="23">
        <v>0</v>
      </c>
      <c r="T109" s="23">
        <v>0</v>
      </c>
      <c r="U109" s="23">
        <v>0</v>
      </c>
      <c r="V109" s="23">
        <v>0</v>
      </c>
      <c r="W109" s="23"/>
      <c r="X109" s="23"/>
      <c r="Y109" s="23"/>
      <c r="Z109" s="23"/>
      <c r="AA109" s="23"/>
      <c r="AB109" s="23"/>
      <c r="AC109" s="25">
        <v>0</v>
      </c>
      <c r="AD109" s="25">
        <v>0</v>
      </c>
      <c r="AE109" s="25">
        <v>0</v>
      </c>
      <c r="AF109" s="25">
        <v>0</v>
      </c>
      <c r="AG109" s="25">
        <v>0</v>
      </c>
      <c r="AH109" s="25"/>
      <c r="AI109" s="25"/>
      <c r="AJ109" s="25"/>
      <c r="AK109" s="25"/>
      <c r="AL109" s="25"/>
      <c r="AM109" s="25"/>
    </row>
    <row r="110" spans="1:39" ht="15" customHeight="1">
      <c r="A110" s="32" t="str">
        <f t="shared" si="7"/>
        <v>Powercor--POLE MOUNTED ; &lt; ≈ 22KV ;  &lt; ≈ 60 KVA ; SWER</v>
      </c>
      <c r="B110" s="32" t="str">
        <f t="shared" si="8"/>
        <v>Powercor</v>
      </c>
      <c r="C110" s="32" t="s">
        <v>4</v>
      </c>
      <c r="D110" s="391"/>
      <c r="F110" t="s">
        <v>241</v>
      </c>
      <c r="G110" s="21">
        <v>0</v>
      </c>
      <c r="H110" s="21">
        <v>0</v>
      </c>
      <c r="I110" s="21">
        <v>0</v>
      </c>
      <c r="J110" s="21">
        <v>0</v>
      </c>
      <c r="K110" s="21">
        <v>0</v>
      </c>
      <c r="L110" s="21"/>
      <c r="M110" s="21"/>
      <c r="N110" s="21"/>
      <c r="O110" s="21"/>
      <c r="P110" s="21"/>
      <c r="Q110" s="21"/>
      <c r="R110" s="23">
        <v>0</v>
      </c>
      <c r="S110" s="23">
        <v>0</v>
      </c>
      <c r="T110" s="23">
        <v>0</v>
      </c>
      <c r="U110" s="23">
        <v>0</v>
      </c>
      <c r="V110" s="23">
        <v>0</v>
      </c>
      <c r="W110" s="23"/>
      <c r="X110" s="23"/>
      <c r="Y110" s="23"/>
      <c r="Z110" s="23"/>
      <c r="AA110" s="23"/>
      <c r="AB110" s="23"/>
      <c r="AC110" s="25">
        <v>0</v>
      </c>
      <c r="AD110" s="25">
        <v>0</v>
      </c>
      <c r="AE110" s="25">
        <v>0</v>
      </c>
      <c r="AF110" s="25">
        <v>0</v>
      </c>
      <c r="AG110" s="25">
        <v>0</v>
      </c>
      <c r="AH110" s="25"/>
      <c r="AI110" s="25"/>
      <c r="AJ110" s="25"/>
      <c r="AK110" s="25"/>
      <c r="AL110" s="25"/>
      <c r="AM110" s="25"/>
    </row>
    <row r="111" spans="1:39" ht="15" customHeight="1">
      <c r="A111" s="32" t="str">
        <f t="shared" si="7"/>
        <v>Powercor--POLE MOUNTED ; &lt; ≈ 22KV ;  &gt; 60 KVA AND &lt; ≈ 600 KVA  ; SWER</v>
      </c>
      <c r="B111" s="32" t="str">
        <f t="shared" si="8"/>
        <v>Powercor</v>
      </c>
      <c r="C111" s="32" t="s">
        <v>4</v>
      </c>
      <c r="D111" s="391"/>
      <c r="F111" t="s">
        <v>242</v>
      </c>
      <c r="G111" s="21">
        <v>0</v>
      </c>
      <c r="H111" s="21">
        <v>0</v>
      </c>
      <c r="I111" s="21">
        <v>0</v>
      </c>
      <c r="J111" s="21">
        <v>0</v>
      </c>
      <c r="K111" s="21">
        <v>0</v>
      </c>
      <c r="L111" s="21"/>
      <c r="M111" s="21"/>
      <c r="N111" s="21"/>
      <c r="O111" s="21"/>
      <c r="P111" s="21"/>
      <c r="Q111" s="21"/>
      <c r="R111" s="23">
        <v>0</v>
      </c>
      <c r="S111" s="23">
        <v>0</v>
      </c>
      <c r="T111" s="23">
        <v>0</v>
      </c>
      <c r="U111" s="23">
        <v>0</v>
      </c>
      <c r="V111" s="23">
        <v>0</v>
      </c>
      <c r="W111" s="23"/>
      <c r="X111" s="23"/>
      <c r="Y111" s="23"/>
      <c r="Z111" s="23"/>
      <c r="AA111" s="23"/>
      <c r="AB111" s="23"/>
      <c r="AC111" s="25">
        <v>0</v>
      </c>
      <c r="AD111" s="25">
        <v>0</v>
      </c>
      <c r="AE111" s="25">
        <v>0</v>
      </c>
      <c r="AF111" s="25">
        <v>0</v>
      </c>
      <c r="AG111" s="25">
        <v>0</v>
      </c>
      <c r="AH111" s="25"/>
      <c r="AI111" s="25"/>
      <c r="AJ111" s="25"/>
      <c r="AK111" s="25"/>
      <c r="AL111" s="25"/>
      <c r="AM111" s="25"/>
    </row>
    <row r="112" spans="1:39" ht="15" customHeight="1">
      <c r="A112" s="32" t="str">
        <f t="shared" si="7"/>
        <v>Powercor--KIOSK MOUNTED ; &lt; ≈ 22KV ;  &lt; ≈ 60 KVA ; SWER</v>
      </c>
      <c r="B112" s="32" t="str">
        <f t="shared" si="8"/>
        <v>Powercor</v>
      </c>
      <c r="C112" s="32" t="s">
        <v>4</v>
      </c>
      <c r="D112" s="391"/>
      <c r="F112" t="s">
        <v>243</v>
      </c>
      <c r="G112" s="21">
        <v>0</v>
      </c>
      <c r="H112" s="21">
        <v>0</v>
      </c>
      <c r="I112" s="21">
        <v>0</v>
      </c>
      <c r="J112" s="21">
        <v>0</v>
      </c>
      <c r="K112" s="21">
        <v>0</v>
      </c>
      <c r="L112" s="21"/>
      <c r="M112" s="21"/>
      <c r="N112" s="21"/>
      <c r="O112" s="21"/>
      <c r="P112" s="21"/>
      <c r="Q112" s="21"/>
      <c r="R112" s="23">
        <v>0</v>
      </c>
      <c r="S112" s="23">
        <v>0</v>
      </c>
      <c r="T112" s="23">
        <v>0</v>
      </c>
      <c r="U112" s="23">
        <v>0</v>
      </c>
      <c r="V112" s="23">
        <v>0</v>
      </c>
      <c r="W112" s="23"/>
      <c r="X112" s="23"/>
      <c r="Y112" s="23"/>
      <c r="Z112" s="23"/>
      <c r="AA112" s="23"/>
      <c r="AB112" s="23"/>
      <c r="AC112" s="25">
        <v>0</v>
      </c>
      <c r="AD112" s="25">
        <v>0</v>
      </c>
      <c r="AE112" s="25">
        <v>0</v>
      </c>
      <c r="AF112" s="25">
        <v>0</v>
      </c>
      <c r="AG112" s="25">
        <v>0</v>
      </c>
      <c r="AH112" s="25"/>
      <c r="AI112" s="25"/>
      <c r="AJ112" s="25"/>
      <c r="AK112" s="25"/>
      <c r="AL112" s="25"/>
      <c r="AM112" s="25"/>
    </row>
    <row r="113" spans="1:39" ht="15" customHeight="1">
      <c r="A113" s="32" t="str">
        <f t="shared" si="7"/>
        <v>Powercor--POLE / GROUND MOUNTED ; &lt; = 22KV ;  &gt; 600 KVA ; REGULATOR</v>
      </c>
      <c r="B113" s="32" t="str">
        <f t="shared" si="8"/>
        <v>Powercor</v>
      </c>
      <c r="C113" s="32" t="s">
        <v>4</v>
      </c>
      <c r="D113" s="391"/>
      <c r="F113" t="s">
        <v>244</v>
      </c>
      <c r="G113" s="21">
        <v>583.96149631022024</v>
      </c>
      <c r="H113" s="21">
        <v>1054.3773957216754</v>
      </c>
      <c r="I113" s="21">
        <v>105.46025477372547</v>
      </c>
      <c r="J113" s="21">
        <v>852.42681032315522</v>
      </c>
      <c r="K113" s="21">
        <v>347.77256899426948</v>
      </c>
      <c r="L113" s="21"/>
      <c r="M113" s="21"/>
      <c r="N113" s="21"/>
      <c r="O113" s="21"/>
      <c r="P113" s="21"/>
      <c r="Q113" s="21"/>
      <c r="R113" s="23">
        <v>11</v>
      </c>
      <c r="S113" s="23">
        <v>24</v>
      </c>
      <c r="T113" s="23">
        <v>1</v>
      </c>
      <c r="U113" s="23">
        <v>16</v>
      </c>
      <c r="V113" s="23">
        <v>6</v>
      </c>
      <c r="W113" s="23"/>
      <c r="X113" s="23"/>
      <c r="Y113" s="23"/>
      <c r="Z113" s="23"/>
      <c r="AA113" s="23"/>
      <c r="AB113" s="23"/>
      <c r="AC113" s="25">
        <v>19</v>
      </c>
      <c r="AD113" s="25">
        <v>9</v>
      </c>
      <c r="AE113" s="25">
        <v>4</v>
      </c>
      <c r="AF113" s="25">
        <v>2</v>
      </c>
      <c r="AG113" s="25">
        <v>2</v>
      </c>
      <c r="AH113" s="25"/>
      <c r="AI113" s="25"/>
      <c r="AJ113" s="25"/>
      <c r="AK113" s="25"/>
      <c r="AL113" s="25"/>
      <c r="AM113" s="25"/>
    </row>
    <row r="114" spans="1:39" ht="15" customHeight="1">
      <c r="A114" s="32" t="str">
        <f t="shared" si="7"/>
        <v>Powercor--AUTO TRANSFORMERS</v>
      </c>
      <c r="B114" s="32" t="str">
        <f t="shared" si="8"/>
        <v>Powercor</v>
      </c>
      <c r="C114" s="32" t="s">
        <v>4</v>
      </c>
      <c r="D114" s="391"/>
      <c r="F114" t="s">
        <v>245</v>
      </c>
      <c r="G114" s="21">
        <v>0</v>
      </c>
      <c r="H114" s="21">
        <v>0</v>
      </c>
      <c r="I114" s="21">
        <v>0</v>
      </c>
      <c r="J114" s="21">
        <v>0</v>
      </c>
      <c r="K114" s="21">
        <v>0</v>
      </c>
      <c r="L114" s="21"/>
      <c r="M114" s="21"/>
      <c r="N114" s="21"/>
      <c r="O114" s="21"/>
      <c r="P114" s="21"/>
      <c r="Q114" s="21"/>
      <c r="R114" s="23">
        <v>0</v>
      </c>
      <c r="S114" s="23">
        <v>0</v>
      </c>
      <c r="T114" s="23">
        <v>0</v>
      </c>
      <c r="U114" s="23">
        <v>0</v>
      </c>
      <c r="V114" s="23">
        <v>0</v>
      </c>
      <c r="W114" s="23"/>
      <c r="X114" s="23"/>
      <c r="Y114" s="23"/>
      <c r="Z114" s="23"/>
      <c r="AA114" s="23"/>
      <c r="AB114" s="23"/>
      <c r="AC114" s="25">
        <v>0</v>
      </c>
      <c r="AD114" s="25">
        <v>0</v>
      </c>
      <c r="AE114" s="25">
        <v>0</v>
      </c>
      <c r="AF114" s="25">
        <v>0</v>
      </c>
      <c r="AG114" s="25">
        <v>0</v>
      </c>
      <c r="AH114" s="25"/>
      <c r="AI114" s="25"/>
      <c r="AJ114" s="25"/>
      <c r="AK114" s="25"/>
      <c r="AL114" s="25"/>
      <c r="AM114" s="25"/>
    </row>
    <row r="115" spans="1:39" ht="15" customHeight="1">
      <c r="A115" s="32" t="str">
        <f t="shared" si="7"/>
        <v>Powercor--OTHER - PLEASE ADD A ROW IF NECESSARY AND NOMINATE THE CATEGORY</v>
      </c>
      <c r="B115" s="32" t="str">
        <f t="shared" si="8"/>
        <v>Powercor</v>
      </c>
      <c r="C115" s="32" t="s">
        <v>4</v>
      </c>
      <c r="D115" s="391"/>
      <c r="F115" t="s">
        <v>170</v>
      </c>
      <c r="G115" s="21"/>
      <c r="H115" s="21"/>
      <c r="I115" s="21"/>
      <c r="J115" s="21"/>
      <c r="K115" s="21"/>
      <c r="L115" s="21"/>
      <c r="M115" s="21"/>
      <c r="N115" s="21"/>
      <c r="O115" s="21"/>
      <c r="P115" s="21"/>
      <c r="Q115" s="21"/>
      <c r="R115" s="23"/>
      <c r="S115" s="23"/>
      <c r="T115" s="23"/>
      <c r="U115" s="23"/>
      <c r="V115" s="23"/>
      <c r="W115" s="23"/>
      <c r="X115" s="23"/>
      <c r="Y115" s="23"/>
      <c r="Z115" s="23"/>
      <c r="AA115" s="23"/>
      <c r="AB115" s="23"/>
      <c r="AC115" s="25"/>
      <c r="AD115" s="25"/>
      <c r="AE115" s="25"/>
      <c r="AF115" s="25"/>
      <c r="AG115" s="25"/>
      <c r="AH115" s="25"/>
      <c r="AI115" s="25"/>
      <c r="AJ115" s="25"/>
      <c r="AK115" s="25"/>
      <c r="AL115" s="25"/>
      <c r="AM115" s="25"/>
    </row>
    <row r="116" spans="1:39" ht="45" customHeight="1">
      <c r="A116" s="32" t="str">
        <f t="shared" si="7"/>
        <v>Powercor-SWITCHGEAR BY: 
HIGHEST OPERATING VOLTAGE ; SWITCH FUNCTION-˂ = 11 kV ;  FUSE</v>
      </c>
      <c r="B116" s="32" t="str">
        <f t="shared" si="8"/>
        <v>Powercor</v>
      </c>
      <c r="C116" s="32" t="s">
        <v>2</v>
      </c>
      <c r="D116" s="391"/>
      <c r="E116" s="3" t="s">
        <v>545</v>
      </c>
      <c r="F116" t="s">
        <v>246</v>
      </c>
      <c r="G116" s="21">
        <v>0</v>
      </c>
      <c r="H116" s="21">
        <v>0</v>
      </c>
      <c r="I116" s="21">
        <v>0</v>
      </c>
      <c r="J116" s="21">
        <v>0</v>
      </c>
      <c r="K116" s="21">
        <v>0</v>
      </c>
      <c r="L116" s="21"/>
      <c r="M116" s="21"/>
      <c r="N116" s="21"/>
      <c r="O116" s="21"/>
      <c r="P116" s="21"/>
      <c r="Q116" s="21"/>
      <c r="R116" s="23">
        <v>0</v>
      </c>
      <c r="S116" s="23">
        <v>0</v>
      </c>
      <c r="T116" s="23">
        <v>0</v>
      </c>
      <c r="U116" s="23">
        <v>0</v>
      </c>
      <c r="V116" s="23">
        <v>0</v>
      </c>
      <c r="W116" s="23"/>
      <c r="X116" s="23"/>
      <c r="Y116" s="23"/>
      <c r="Z116" s="23"/>
      <c r="AA116" s="23"/>
      <c r="AB116" s="23"/>
      <c r="AC116" s="25">
        <v>0</v>
      </c>
      <c r="AD116" s="25">
        <v>0</v>
      </c>
      <c r="AE116" s="25">
        <v>0</v>
      </c>
      <c r="AF116" s="25">
        <v>0</v>
      </c>
      <c r="AG116" s="25">
        <v>0</v>
      </c>
      <c r="AH116" s="25"/>
      <c r="AI116" s="25"/>
      <c r="AJ116" s="25"/>
      <c r="AK116" s="25"/>
      <c r="AL116" s="25"/>
      <c r="AM116" s="25"/>
    </row>
    <row r="117" spans="1:39" ht="15" customHeight="1">
      <c r="A117" s="32" t="str">
        <f t="shared" si="7"/>
        <v>Powercor--˂ = 11 kV  ; SWITCH</v>
      </c>
      <c r="B117" s="32" t="str">
        <f t="shared" si="8"/>
        <v>Powercor</v>
      </c>
      <c r="C117" s="32" t="s">
        <v>2</v>
      </c>
      <c r="D117" s="391"/>
      <c r="F117" t="s">
        <v>247</v>
      </c>
      <c r="G117" s="21">
        <v>0</v>
      </c>
      <c r="H117" s="21">
        <v>0</v>
      </c>
      <c r="I117" s="21">
        <v>0</v>
      </c>
      <c r="J117" s="21">
        <v>0</v>
      </c>
      <c r="K117" s="21">
        <v>32.869999999999997</v>
      </c>
      <c r="L117" s="21"/>
      <c r="M117" s="21"/>
      <c r="N117" s="21"/>
      <c r="O117" s="21"/>
      <c r="P117" s="21"/>
      <c r="Q117" s="21"/>
      <c r="R117" s="23">
        <v>0</v>
      </c>
      <c r="S117" s="23">
        <v>0</v>
      </c>
      <c r="T117" s="23">
        <v>0</v>
      </c>
      <c r="U117" s="23">
        <v>0</v>
      </c>
      <c r="V117" s="23">
        <v>1</v>
      </c>
      <c r="W117" s="23"/>
      <c r="X117" s="23"/>
      <c r="Y117" s="23"/>
      <c r="Z117" s="23"/>
      <c r="AA117" s="23"/>
      <c r="AB117" s="23"/>
      <c r="AC117" s="25">
        <v>0</v>
      </c>
      <c r="AD117" s="25">
        <v>0</v>
      </c>
      <c r="AE117" s="25">
        <v>0</v>
      </c>
      <c r="AF117" s="25">
        <v>0</v>
      </c>
      <c r="AG117" s="25">
        <v>0</v>
      </c>
      <c r="AH117" s="25"/>
      <c r="AI117" s="25"/>
      <c r="AJ117" s="25"/>
      <c r="AK117" s="25"/>
      <c r="AL117" s="25"/>
      <c r="AM117" s="25"/>
    </row>
    <row r="118" spans="1:39" ht="15" customHeight="1">
      <c r="A118" s="32" t="str">
        <f t="shared" si="7"/>
        <v>Powercor--˂ = 11 kV ;  CIRCUIT BREAKER</v>
      </c>
      <c r="B118" s="32" t="str">
        <f t="shared" si="8"/>
        <v>Powercor</v>
      </c>
      <c r="C118" s="32" t="s">
        <v>2</v>
      </c>
      <c r="D118" s="391"/>
      <c r="F118" t="s">
        <v>248</v>
      </c>
      <c r="G118" s="21">
        <v>0</v>
      </c>
      <c r="H118" s="21">
        <v>0</v>
      </c>
      <c r="I118" s="21">
        <v>0</v>
      </c>
      <c r="J118" s="21">
        <v>0</v>
      </c>
      <c r="K118" s="21">
        <v>0</v>
      </c>
      <c r="L118" s="21"/>
      <c r="M118" s="21"/>
      <c r="N118" s="21"/>
      <c r="O118" s="21"/>
      <c r="P118" s="21"/>
      <c r="Q118" s="21"/>
      <c r="R118" s="23">
        <v>0</v>
      </c>
      <c r="S118" s="23">
        <v>0</v>
      </c>
      <c r="T118" s="23">
        <v>0</v>
      </c>
      <c r="U118" s="23">
        <v>0</v>
      </c>
      <c r="V118" s="23">
        <v>0</v>
      </c>
      <c r="W118" s="23"/>
      <c r="X118" s="23"/>
      <c r="Y118" s="23"/>
      <c r="Z118" s="23"/>
      <c r="AA118" s="23"/>
      <c r="AB118" s="23"/>
      <c r="AC118" s="25">
        <v>0</v>
      </c>
      <c r="AD118" s="25">
        <v>0</v>
      </c>
      <c r="AE118" s="25">
        <v>0</v>
      </c>
      <c r="AF118" s="25">
        <v>0</v>
      </c>
      <c r="AG118" s="25">
        <v>0</v>
      </c>
      <c r="AH118" s="25"/>
      <c r="AI118" s="25"/>
      <c r="AJ118" s="25"/>
      <c r="AK118" s="25"/>
      <c r="AL118" s="25"/>
      <c r="AM118" s="25"/>
    </row>
    <row r="119" spans="1:39" ht="15" customHeight="1">
      <c r="A119" s="32" t="str">
        <f t="shared" si="7"/>
        <v>Powercor--&gt; 11 kV &amp; &lt; = 22 kV  ; SWITCH</v>
      </c>
      <c r="B119" s="32" t="str">
        <f t="shared" si="8"/>
        <v>Powercor</v>
      </c>
      <c r="C119" s="32" t="s">
        <v>2</v>
      </c>
      <c r="D119" s="391"/>
      <c r="F119" t="s">
        <v>249</v>
      </c>
      <c r="G119" s="21">
        <v>1026.471723877157</v>
      </c>
      <c r="H119" s="21">
        <v>825.84593449972658</v>
      </c>
      <c r="I119" s="21">
        <v>1139.3886581856348</v>
      </c>
      <c r="J119" s="21">
        <v>1481.3526125081898</v>
      </c>
      <c r="K119" s="21">
        <v>1347.3310187768968</v>
      </c>
      <c r="L119" s="21"/>
      <c r="M119" s="21"/>
      <c r="N119" s="21"/>
      <c r="O119" s="21"/>
      <c r="P119" s="21"/>
      <c r="Q119" s="21"/>
      <c r="R119" s="23">
        <v>77</v>
      </c>
      <c r="S119" s="23">
        <v>78</v>
      </c>
      <c r="T119" s="23">
        <v>60</v>
      </c>
      <c r="U119" s="23">
        <v>90</v>
      </c>
      <c r="V119" s="23">
        <v>83</v>
      </c>
      <c r="W119" s="23"/>
      <c r="X119" s="23"/>
      <c r="Y119" s="23"/>
      <c r="Z119" s="23"/>
      <c r="AA119" s="23"/>
      <c r="AB119" s="23"/>
      <c r="AC119" s="25">
        <v>10</v>
      </c>
      <c r="AD119" s="25">
        <v>3</v>
      </c>
      <c r="AE119" s="25">
        <v>0</v>
      </c>
      <c r="AF119" s="25">
        <v>1</v>
      </c>
      <c r="AG119" s="25">
        <v>3</v>
      </c>
      <c r="AH119" s="25"/>
      <c r="AI119" s="25"/>
      <c r="AJ119" s="25"/>
      <c r="AK119" s="25"/>
      <c r="AL119" s="25"/>
      <c r="AM119" s="25"/>
    </row>
    <row r="120" spans="1:39" ht="15" customHeight="1">
      <c r="A120" s="32" t="str">
        <f t="shared" si="7"/>
        <v>Powercor--&gt; 11 kV &amp; &lt; = 22 kV  ; CIRCUIT BREAKER</v>
      </c>
      <c r="B120" s="32" t="str">
        <f t="shared" si="8"/>
        <v>Powercor</v>
      </c>
      <c r="C120" s="32" t="s">
        <v>2</v>
      </c>
      <c r="D120" s="391"/>
      <c r="F120" t="s">
        <v>250</v>
      </c>
      <c r="G120" s="21">
        <v>805.08</v>
      </c>
      <c r="H120" s="21">
        <v>1819.4</v>
      </c>
      <c r="I120" s="21">
        <v>2735.14</v>
      </c>
      <c r="J120" s="21">
        <v>4705.6000000000004</v>
      </c>
      <c r="K120" s="21">
        <v>4192.8500000000004</v>
      </c>
      <c r="L120" s="21"/>
      <c r="M120" s="21"/>
      <c r="N120" s="21"/>
      <c r="O120" s="21"/>
      <c r="P120" s="21"/>
      <c r="Q120" s="21"/>
      <c r="R120" s="23">
        <v>33</v>
      </c>
      <c r="S120" s="23">
        <v>26</v>
      </c>
      <c r="T120" s="23">
        <v>48</v>
      </c>
      <c r="U120" s="23">
        <v>25</v>
      </c>
      <c r="V120" s="23">
        <v>60</v>
      </c>
      <c r="W120" s="23"/>
      <c r="X120" s="23"/>
      <c r="Y120" s="23"/>
      <c r="Z120" s="23"/>
      <c r="AA120" s="23"/>
      <c r="AB120" s="23"/>
      <c r="AC120" s="25">
        <v>29</v>
      </c>
      <c r="AD120" s="25">
        <v>11</v>
      </c>
      <c r="AE120" s="25">
        <v>10</v>
      </c>
      <c r="AF120" s="25">
        <v>4</v>
      </c>
      <c r="AG120" s="25">
        <v>7</v>
      </c>
      <c r="AH120" s="25"/>
      <c r="AI120" s="25"/>
      <c r="AJ120" s="25"/>
      <c r="AK120" s="25"/>
      <c r="AL120" s="25"/>
      <c r="AM120" s="25"/>
    </row>
    <row r="121" spans="1:39" ht="15" customHeight="1">
      <c r="A121" s="32" t="str">
        <f t="shared" si="7"/>
        <v>Powercor--&gt; 22 kV &amp; &lt; = 33 kV ; SWITCH</v>
      </c>
      <c r="B121" s="32" t="str">
        <f t="shared" si="8"/>
        <v>Powercor</v>
      </c>
      <c r="C121" s="32" t="s">
        <v>2</v>
      </c>
      <c r="D121" s="391"/>
      <c r="F121" t="s">
        <v>251</v>
      </c>
      <c r="G121" s="21">
        <v>0</v>
      </c>
      <c r="H121" s="21">
        <v>0</v>
      </c>
      <c r="I121" s="21">
        <v>0</v>
      </c>
      <c r="J121" s="21">
        <v>0</v>
      </c>
      <c r="K121" s="21">
        <v>0</v>
      </c>
      <c r="L121" s="21"/>
      <c r="M121" s="21"/>
      <c r="N121" s="21"/>
      <c r="O121" s="21"/>
      <c r="P121" s="21"/>
      <c r="Q121" s="21"/>
      <c r="R121" s="23">
        <v>0</v>
      </c>
      <c r="S121" s="23">
        <v>0</v>
      </c>
      <c r="T121" s="23">
        <v>0</v>
      </c>
      <c r="U121" s="23">
        <v>0</v>
      </c>
      <c r="V121" s="23">
        <v>0</v>
      </c>
      <c r="W121" s="23"/>
      <c r="X121" s="23"/>
      <c r="Y121" s="23"/>
      <c r="Z121" s="23"/>
      <c r="AA121" s="23"/>
      <c r="AB121" s="23"/>
      <c r="AC121" s="25">
        <v>0</v>
      </c>
      <c r="AD121" s="25">
        <v>0</v>
      </c>
      <c r="AE121" s="25">
        <v>0</v>
      </c>
      <c r="AF121" s="25">
        <v>0</v>
      </c>
      <c r="AG121" s="25">
        <v>0</v>
      </c>
      <c r="AH121" s="25"/>
      <c r="AI121" s="25"/>
      <c r="AJ121" s="25"/>
      <c r="AK121" s="25"/>
      <c r="AL121" s="25"/>
      <c r="AM121" s="25"/>
    </row>
    <row r="122" spans="1:39" ht="15" customHeight="1">
      <c r="A122" s="32" t="str">
        <f t="shared" si="7"/>
        <v>Powercor--&gt; 22 kV &amp; &lt; = 33 kV ; CIRCUIT BREAKER</v>
      </c>
      <c r="B122" s="32" t="str">
        <f t="shared" si="8"/>
        <v>Powercor</v>
      </c>
      <c r="C122" s="32" t="s">
        <v>2</v>
      </c>
      <c r="D122" s="391"/>
      <c r="F122" t="s">
        <v>252</v>
      </c>
      <c r="G122" s="21">
        <v>0</v>
      </c>
      <c r="H122" s="21">
        <v>0</v>
      </c>
      <c r="I122" s="21">
        <v>0</v>
      </c>
      <c r="J122" s="21">
        <v>0</v>
      </c>
      <c r="K122" s="21">
        <v>0</v>
      </c>
      <c r="L122" s="21"/>
      <c r="M122" s="21"/>
      <c r="N122" s="21"/>
      <c r="O122" s="21"/>
      <c r="P122" s="21"/>
      <c r="Q122" s="21"/>
      <c r="R122" s="23">
        <v>0</v>
      </c>
      <c r="S122" s="23">
        <v>0</v>
      </c>
      <c r="T122" s="23">
        <v>0</v>
      </c>
      <c r="U122" s="23">
        <v>0</v>
      </c>
      <c r="V122" s="23">
        <v>0</v>
      </c>
      <c r="W122" s="23"/>
      <c r="X122" s="23"/>
      <c r="Y122" s="23"/>
      <c r="Z122" s="23"/>
      <c r="AA122" s="23"/>
      <c r="AB122" s="23"/>
      <c r="AC122" s="25">
        <v>0</v>
      </c>
      <c r="AD122" s="25">
        <v>0</v>
      </c>
      <c r="AE122" s="25">
        <v>0</v>
      </c>
      <c r="AF122" s="25">
        <v>0</v>
      </c>
      <c r="AG122" s="25">
        <v>0</v>
      </c>
      <c r="AH122" s="25"/>
      <c r="AI122" s="25"/>
      <c r="AJ122" s="25"/>
      <c r="AK122" s="25"/>
      <c r="AL122" s="25"/>
      <c r="AM122" s="25"/>
    </row>
    <row r="123" spans="1:39" ht="15" customHeight="1">
      <c r="A123" s="32" t="str">
        <f t="shared" si="7"/>
        <v>Powercor--&gt; 33 kV &amp; &lt; = 66 kV ; SWITCH</v>
      </c>
      <c r="B123" s="32" t="str">
        <f t="shared" si="8"/>
        <v>Powercor</v>
      </c>
      <c r="C123" s="32" t="s">
        <v>2</v>
      </c>
      <c r="D123" s="391"/>
      <c r="F123" t="s">
        <v>253</v>
      </c>
      <c r="G123" s="21">
        <v>0</v>
      </c>
      <c r="H123" s="21">
        <v>0</v>
      </c>
      <c r="I123" s="21">
        <v>415.55</v>
      </c>
      <c r="J123" s="21">
        <v>79.88</v>
      </c>
      <c r="K123" s="21">
        <v>168.3</v>
      </c>
      <c r="L123" s="21"/>
      <c r="M123" s="21"/>
      <c r="N123" s="21"/>
      <c r="O123" s="21"/>
      <c r="P123" s="21"/>
      <c r="Q123" s="21"/>
      <c r="R123" s="23">
        <v>0</v>
      </c>
      <c r="S123" s="23">
        <v>0</v>
      </c>
      <c r="T123" s="23">
        <v>5</v>
      </c>
      <c r="U123" s="23">
        <v>10</v>
      </c>
      <c r="V123" s="23">
        <v>5</v>
      </c>
      <c r="W123" s="23"/>
      <c r="X123" s="23"/>
      <c r="Y123" s="23"/>
      <c r="Z123" s="23"/>
      <c r="AA123" s="23"/>
      <c r="AB123" s="23"/>
      <c r="AC123" s="25">
        <v>0</v>
      </c>
      <c r="AD123" s="25">
        <v>0</v>
      </c>
      <c r="AE123" s="25">
        <v>0</v>
      </c>
      <c r="AF123" s="25">
        <v>0</v>
      </c>
      <c r="AG123" s="25">
        <v>0</v>
      </c>
      <c r="AH123" s="25"/>
      <c r="AI123" s="25"/>
      <c r="AJ123" s="25"/>
      <c r="AK123" s="25"/>
      <c r="AL123" s="25"/>
      <c r="AM123" s="25"/>
    </row>
    <row r="124" spans="1:39" ht="15" customHeight="1">
      <c r="A124" s="32" t="str">
        <f t="shared" si="7"/>
        <v>Powercor--&gt; 33 kV &amp; &lt; = 66 kV ; CIRCUIT BREAKER</v>
      </c>
      <c r="B124" s="32" t="str">
        <f t="shared" si="8"/>
        <v>Powercor</v>
      </c>
      <c r="C124" s="32" t="s">
        <v>2</v>
      </c>
      <c r="D124" s="391"/>
      <c r="F124" t="s">
        <v>254</v>
      </c>
      <c r="G124" s="21">
        <v>0</v>
      </c>
      <c r="H124" s="21">
        <v>91.29</v>
      </c>
      <c r="I124" s="21">
        <v>67.150000000000006</v>
      </c>
      <c r="J124" s="21">
        <v>176.93</v>
      </c>
      <c r="K124" s="21">
        <v>682.35</v>
      </c>
      <c r="L124" s="21"/>
      <c r="M124" s="21"/>
      <c r="N124" s="21"/>
      <c r="O124" s="21"/>
      <c r="P124" s="21"/>
      <c r="Q124" s="21"/>
      <c r="R124" s="23">
        <v>0</v>
      </c>
      <c r="S124" s="23">
        <v>1</v>
      </c>
      <c r="T124" s="23">
        <v>0</v>
      </c>
      <c r="U124" s="23">
        <v>1</v>
      </c>
      <c r="V124" s="23">
        <v>6</v>
      </c>
      <c r="W124" s="23"/>
      <c r="X124" s="23"/>
      <c r="Y124" s="23"/>
      <c r="Z124" s="23"/>
      <c r="AA124" s="23"/>
      <c r="AB124" s="23"/>
      <c r="AC124" s="25">
        <v>1</v>
      </c>
      <c r="AD124" s="25">
        <v>4</v>
      </c>
      <c r="AE124" s="25">
        <v>3</v>
      </c>
      <c r="AF124" s="25">
        <v>2</v>
      </c>
      <c r="AG124" s="25">
        <v>3</v>
      </c>
      <c r="AH124" s="25"/>
      <c r="AI124" s="25"/>
      <c r="AJ124" s="25"/>
      <c r="AK124" s="25"/>
      <c r="AL124" s="25"/>
      <c r="AM124" s="25"/>
    </row>
    <row r="125" spans="1:39" ht="15" customHeight="1">
      <c r="A125" s="32" t="str">
        <f t="shared" si="7"/>
        <v>Powercor--&gt; 66 kV &amp; &lt; = 132 kV ; SWITCH</v>
      </c>
      <c r="B125" s="32" t="str">
        <f t="shared" si="8"/>
        <v>Powercor</v>
      </c>
      <c r="C125" s="32" t="s">
        <v>2</v>
      </c>
      <c r="D125" s="391"/>
      <c r="F125" t="s">
        <v>255</v>
      </c>
      <c r="G125" s="21">
        <v>0</v>
      </c>
      <c r="H125" s="21">
        <v>0</v>
      </c>
      <c r="I125" s="21">
        <v>0</v>
      </c>
      <c r="J125" s="21">
        <v>0</v>
      </c>
      <c r="K125" s="21">
        <v>0</v>
      </c>
      <c r="L125" s="21"/>
      <c r="M125" s="21"/>
      <c r="N125" s="21"/>
      <c r="O125" s="21"/>
      <c r="P125" s="21"/>
      <c r="Q125" s="21"/>
      <c r="R125" s="23">
        <v>0</v>
      </c>
      <c r="S125" s="23">
        <v>0</v>
      </c>
      <c r="T125" s="23">
        <v>0</v>
      </c>
      <c r="U125" s="23">
        <v>0</v>
      </c>
      <c r="V125" s="23">
        <v>0</v>
      </c>
      <c r="W125" s="23"/>
      <c r="X125" s="23"/>
      <c r="Y125" s="23"/>
      <c r="Z125" s="23"/>
      <c r="AA125" s="23"/>
      <c r="AB125" s="23"/>
      <c r="AC125" s="25">
        <v>0</v>
      </c>
      <c r="AD125" s="25">
        <v>0</v>
      </c>
      <c r="AE125" s="25">
        <v>0</v>
      </c>
      <c r="AF125" s="25">
        <v>0</v>
      </c>
      <c r="AG125" s="25">
        <v>0</v>
      </c>
      <c r="AH125" s="25"/>
      <c r="AI125" s="25"/>
      <c r="AJ125" s="25"/>
      <c r="AK125" s="25"/>
      <c r="AL125" s="25"/>
      <c r="AM125" s="25"/>
    </row>
    <row r="126" spans="1:39" ht="15" customHeight="1">
      <c r="A126" s="32" t="str">
        <f t="shared" si="7"/>
        <v>Powercor--&gt; 66 kV &amp; &lt; = 132 kV  ; CIRCUIT BREAKER</v>
      </c>
      <c r="B126" s="32" t="str">
        <f t="shared" si="8"/>
        <v>Powercor</v>
      </c>
      <c r="C126" s="32" t="s">
        <v>2</v>
      </c>
      <c r="D126" s="391"/>
      <c r="F126" t="s">
        <v>256</v>
      </c>
      <c r="G126" s="21">
        <v>0</v>
      </c>
      <c r="H126" s="21">
        <v>0</v>
      </c>
      <c r="I126" s="21">
        <v>0</v>
      </c>
      <c r="J126" s="21">
        <v>0</v>
      </c>
      <c r="K126" s="21">
        <v>0</v>
      </c>
      <c r="L126" s="21"/>
      <c r="M126" s="21"/>
      <c r="N126" s="21"/>
      <c r="O126" s="21"/>
      <c r="P126" s="21"/>
      <c r="Q126" s="21"/>
      <c r="R126" s="23">
        <v>0</v>
      </c>
      <c r="S126" s="23">
        <v>0</v>
      </c>
      <c r="T126" s="23">
        <v>0</v>
      </c>
      <c r="U126" s="23">
        <v>0</v>
      </c>
      <c r="V126" s="23">
        <v>0</v>
      </c>
      <c r="W126" s="23"/>
      <c r="X126" s="23"/>
      <c r="Y126" s="23"/>
      <c r="Z126" s="23"/>
      <c r="AA126" s="23"/>
      <c r="AB126" s="23"/>
      <c r="AC126" s="25">
        <v>0</v>
      </c>
      <c r="AD126" s="25">
        <v>0</v>
      </c>
      <c r="AE126" s="25">
        <v>0</v>
      </c>
      <c r="AF126" s="25">
        <v>0</v>
      </c>
      <c r="AG126" s="25">
        <v>0</v>
      </c>
      <c r="AH126" s="25"/>
      <c r="AI126" s="25"/>
      <c r="AJ126" s="25"/>
      <c r="AK126" s="25"/>
      <c r="AL126" s="25"/>
      <c r="AM126" s="25"/>
    </row>
    <row r="127" spans="1:39" ht="15" customHeight="1">
      <c r="A127" s="32" t="str">
        <f t="shared" si="7"/>
        <v>Powercor--&gt; 132 kV ; SWITCH</v>
      </c>
      <c r="B127" s="32" t="str">
        <f t="shared" si="8"/>
        <v>Powercor</v>
      </c>
      <c r="C127" s="32" t="s">
        <v>2</v>
      </c>
      <c r="D127" s="391"/>
      <c r="F127" t="s">
        <v>257</v>
      </c>
      <c r="G127" s="21">
        <v>0</v>
      </c>
      <c r="H127" s="21">
        <v>0</v>
      </c>
      <c r="I127" s="21">
        <v>0</v>
      </c>
      <c r="J127" s="21">
        <v>0</v>
      </c>
      <c r="K127" s="21">
        <v>0</v>
      </c>
      <c r="L127" s="21"/>
      <c r="M127" s="21"/>
      <c r="N127" s="21"/>
      <c r="O127" s="21"/>
      <c r="P127" s="21"/>
      <c r="Q127" s="21"/>
      <c r="R127" s="23">
        <v>0</v>
      </c>
      <c r="S127" s="23">
        <v>0</v>
      </c>
      <c r="T127" s="23">
        <v>0</v>
      </c>
      <c r="U127" s="23">
        <v>0</v>
      </c>
      <c r="V127" s="23">
        <v>0</v>
      </c>
      <c r="W127" s="23"/>
      <c r="X127" s="23"/>
      <c r="Y127" s="23"/>
      <c r="Z127" s="23"/>
      <c r="AA127" s="23"/>
      <c r="AB127" s="23"/>
      <c r="AC127" s="25">
        <v>0</v>
      </c>
      <c r="AD127" s="25">
        <v>0</v>
      </c>
      <c r="AE127" s="25">
        <v>0</v>
      </c>
      <c r="AF127" s="25">
        <v>0</v>
      </c>
      <c r="AG127" s="25">
        <v>0</v>
      </c>
      <c r="AH127" s="25"/>
      <c r="AI127" s="25"/>
      <c r="AJ127" s="25"/>
      <c r="AK127" s="25"/>
      <c r="AL127" s="25"/>
      <c r="AM127" s="25"/>
    </row>
    <row r="128" spans="1:39" ht="15" customHeight="1">
      <c r="A128" s="32" t="str">
        <f t="shared" si="7"/>
        <v>Powercor--&gt; 132 kV ; CIRCUIT BREAKER</v>
      </c>
      <c r="B128" s="32" t="str">
        <f t="shared" si="8"/>
        <v>Powercor</v>
      </c>
      <c r="C128" s="32" t="s">
        <v>2</v>
      </c>
      <c r="D128" s="391"/>
      <c r="F128" t="s">
        <v>258</v>
      </c>
      <c r="G128" s="21">
        <v>0</v>
      </c>
      <c r="H128" s="21">
        <v>0</v>
      </c>
      <c r="I128" s="21">
        <v>0</v>
      </c>
      <c r="J128" s="21">
        <v>0</v>
      </c>
      <c r="K128" s="21">
        <v>0</v>
      </c>
      <c r="L128" s="21"/>
      <c r="M128" s="21"/>
      <c r="N128" s="21"/>
      <c r="O128" s="21"/>
      <c r="P128" s="21"/>
      <c r="Q128" s="21"/>
      <c r="R128" s="23">
        <v>0</v>
      </c>
      <c r="S128" s="23">
        <v>0</v>
      </c>
      <c r="T128" s="23">
        <v>0</v>
      </c>
      <c r="U128" s="23">
        <v>0</v>
      </c>
      <c r="V128" s="23">
        <v>0</v>
      </c>
      <c r="W128" s="23"/>
      <c r="X128" s="23"/>
      <c r="Y128" s="23"/>
      <c r="Z128" s="23"/>
      <c r="AA128" s="23"/>
      <c r="AB128" s="23"/>
      <c r="AC128" s="25">
        <v>0</v>
      </c>
      <c r="AD128" s="25">
        <v>0</v>
      </c>
      <c r="AE128" s="25">
        <v>0</v>
      </c>
      <c r="AF128" s="25">
        <v>0</v>
      </c>
      <c r="AG128" s="25">
        <v>0</v>
      </c>
      <c r="AH128" s="25"/>
      <c r="AI128" s="25"/>
      <c r="AJ128" s="25"/>
      <c r="AK128" s="25"/>
      <c r="AL128" s="25"/>
      <c r="AM128" s="25"/>
    </row>
    <row r="129" spans="1:39" ht="15" customHeight="1">
      <c r="A129" s="32" t="str">
        <f t="shared" si="7"/>
        <v>Powercor--&gt; 11 KV &amp; &lt; = 22 KV  ; ISOLATORS, EARTHING SWITCH</v>
      </c>
      <c r="B129" s="32" t="str">
        <f t="shared" si="8"/>
        <v>Powercor</v>
      </c>
      <c r="C129" s="32" t="s">
        <v>2</v>
      </c>
      <c r="D129" s="391"/>
      <c r="F129" t="s">
        <v>259</v>
      </c>
      <c r="G129" s="21">
        <v>458.54</v>
      </c>
      <c r="H129" s="21">
        <v>392.75</v>
      </c>
      <c r="I129" s="21">
        <v>484.58</v>
      </c>
      <c r="J129" s="21">
        <v>348.56</v>
      </c>
      <c r="K129" s="21">
        <v>456.51</v>
      </c>
      <c r="L129" s="21"/>
      <c r="M129" s="21"/>
      <c r="N129" s="21"/>
      <c r="O129" s="21"/>
      <c r="P129" s="21"/>
      <c r="Q129" s="21"/>
      <c r="R129" s="23">
        <v>70</v>
      </c>
      <c r="S129" s="23">
        <v>64</v>
      </c>
      <c r="T129" s="23">
        <v>85</v>
      </c>
      <c r="U129" s="23">
        <v>100</v>
      </c>
      <c r="V129" s="23">
        <v>53</v>
      </c>
      <c r="W129" s="23"/>
      <c r="X129" s="23"/>
      <c r="Y129" s="23"/>
      <c r="Z129" s="23"/>
      <c r="AA129" s="23"/>
      <c r="AB129" s="23"/>
      <c r="AC129" s="25">
        <v>0</v>
      </c>
      <c r="AD129" s="25">
        <v>0</v>
      </c>
      <c r="AE129" s="25">
        <v>0</v>
      </c>
      <c r="AF129" s="25">
        <v>0</v>
      </c>
      <c r="AG129" s="25">
        <v>0</v>
      </c>
      <c r="AH129" s="25"/>
      <c r="AI129" s="25"/>
      <c r="AJ129" s="25"/>
      <c r="AK129" s="25"/>
      <c r="AL129" s="25"/>
      <c r="AM129" s="25"/>
    </row>
    <row r="130" spans="1:39" ht="15" customHeight="1">
      <c r="A130" s="32" t="str">
        <f t="shared" si="7"/>
        <v>Powercor--&gt; 33 KV &amp; &lt; ≈ 66 KV ; ISOLATORS, EARTHING SWITCH</v>
      </c>
      <c r="B130" s="32" t="str">
        <f t="shared" si="8"/>
        <v>Powercor</v>
      </c>
      <c r="C130" s="32" t="s">
        <v>2</v>
      </c>
      <c r="D130" s="391"/>
      <c r="F130" t="s">
        <v>260</v>
      </c>
      <c r="G130" s="21">
        <v>0</v>
      </c>
      <c r="H130" s="21">
        <v>0</v>
      </c>
      <c r="I130" s="21">
        <v>0</v>
      </c>
      <c r="J130" s="21">
        <v>0</v>
      </c>
      <c r="K130" s="21">
        <v>0</v>
      </c>
      <c r="L130" s="21"/>
      <c r="M130" s="21"/>
      <c r="N130" s="21"/>
      <c r="O130" s="21"/>
      <c r="P130" s="21"/>
      <c r="Q130" s="21"/>
      <c r="R130" s="23">
        <v>0</v>
      </c>
      <c r="S130" s="23">
        <v>0</v>
      </c>
      <c r="T130" s="23">
        <v>0</v>
      </c>
      <c r="U130" s="23">
        <v>0</v>
      </c>
      <c r="V130" s="23">
        <v>0</v>
      </c>
      <c r="W130" s="23"/>
      <c r="X130" s="23"/>
      <c r="Y130" s="23"/>
      <c r="Z130" s="23"/>
      <c r="AA130" s="23"/>
      <c r="AB130" s="23"/>
      <c r="AC130" s="25">
        <v>0</v>
      </c>
      <c r="AD130" s="25">
        <v>0</v>
      </c>
      <c r="AE130" s="25">
        <v>0</v>
      </c>
      <c r="AF130" s="25">
        <v>0</v>
      </c>
      <c r="AG130" s="25">
        <v>0</v>
      </c>
      <c r="AH130" s="25"/>
      <c r="AI130" s="25"/>
      <c r="AJ130" s="25"/>
      <c r="AK130" s="25"/>
      <c r="AL130" s="25"/>
      <c r="AM130" s="25"/>
    </row>
    <row r="131" spans="1:39" ht="15" customHeight="1">
      <c r="A131" s="32" t="str">
        <f t="shared" si="7"/>
        <v>Powercor--HV FUSES AND SURGE DIVERTERS</v>
      </c>
      <c r="B131" s="32" t="str">
        <f t="shared" si="8"/>
        <v>Powercor</v>
      </c>
      <c r="C131" s="32" t="s">
        <v>2</v>
      </c>
      <c r="D131" s="391"/>
      <c r="F131" t="s">
        <v>261</v>
      </c>
      <c r="G131" s="21">
        <v>2514.0604245604727</v>
      </c>
      <c r="H131" s="21">
        <v>3381.1037192297304</v>
      </c>
      <c r="I131" s="21">
        <v>4621.4031175585787</v>
      </c>
      <c r="J131" s="21">
        <v>4644.351881877702</v>
      </c>
      <c r="K131" s="21">
        <v>8694.0254003440423</v>
      </c>
      <c r="L131" s="21"/>
      <c r="M131" s="21"/>
      <c r="N131" s="21"/>
      <c r="O131" s="21"/>
      <c r="P131" s="21"/>
      <c r="Q131" s="21"/>
      <c r="R131" s="23">
        <v>1744</v>
      </c>
      <c r="S131" s="23">
        <v>2103</v>
      </c>
      <c r="T131" s="23">
        <v>2805</v>
      </c>
      <c r="U131" s="23">
        <v>2948</v>
      </c>
      <c r="V131" s="23">
        <v>3790</v>
      </c>
      <c r="W131" s="23"/>
      <c r="X131" s="23"/>
      <c r="Y131" s="23"/>
      <c r="Z131" s="23"/>
      <c r="AA131" s="23"/>
      <c r="AB131" s="23"/>
      <c r="AC131" s="25">
        <v>38</v>
      </c>
      <c r="AD131" s="25">
        <v>94</v>
      </c>
      <c r="AE131" s="25">
        <v>230</v>
      </c>
      <c r="AF131" s="25">
        <v>180</v>
      </c>
      <c r="AG131" s="25">
        <v>243</v>
      </c>
      <c r="AH131" s="25"/>
      <c r="AI131" s="25"/>
      <c r="AJ131" s="25"/>
      <c r="AK131" s="25"/>
      <c r="AL131" s="25"/>
      <c r="AM131" s="25"/>
    </row>
    <row r="132" spans="1:39" ht="15" customHeight="1">
      <c r="A132" s="32" t="str">
        <f t="shared" si="7"/>
        <v>Powercor--OTHER - PLEASE ADD A ROW IF NECESSARY AND NOMINATE THE CATEGORY</v>
      </c>
      <c r="B132" s="32" t="str">
        <f t="shared" si="8"/>
        <v>Powercor</v>
      </c>
      <c r="C132" s="32" t="s">
        <v>2</v>
      </c>
      <c r="D132" s="391"/>
      <c r="F132" t="s">
        <v>170</v>
      </c>
      <c r="G132" s="21"/>
      <c r="H132" s="21"/>
      <c r="I132" s="21"/>
      <c r="J132" s="21"/>
      <c r="K132" s="21"/>
      <c r="L132" s="21"/>
      <c r="M132" s="21"/>
      <c r="N132" s="21"/>
      <c r="O132" s="21"/>
      <c r="P132" s="21"/>
      <c r="Q132" s="21"/>
      <c r="R132" s="23"/>
      <c r="S132" s="23"/>
      <c r="T132" s="23"/>
      <c r="U132" s="23"/>
      <c r="V132" s="23"/>
      <c r="W132" s="23"/>
      <c r="X132" s="23"/>
      <c r="Y132" s="23"/>
      <c r="Z132" s="23"/>
      <c r="AA132" s="23"/>
      <c r="AB132" s="23"/>
      <c r="AC132" s="25"/>
      <c r="AD132" s="25"/>
      <c r="AE132" s="25"/>
      <c r="AF132" s="25"/>
      <c r="AG132" s="25"/>
      <c r="AH132" s="25"/>
      <c r="AI132" s="25"/>
      <c r="AJ132" s="25"/>
      <c r="AK132" s="25"/>
      <c r="AL132" s="25"/>
      <c r="AM132" s="25"/>
    </row>
    <row r="133" spans="1:39" ht="45" customHeight="1">
      <c r="A133" s="32" t="str">
        <f t="shared" si="7"/>
        <v>Powercor-PUBLIC LIGHTING BY: 
ASSET TYPE ; LIGHTING OBLIGATION-LUMINAIRES ;  MAJOR ROAD</v>
      </c>
      <c r="B133" s="32" t="str">
        <f t="shared" si="8"/>
        <v>Powercor</v>
      </c>
      <c r="C133" s="32" t="s">
        <v>1135</v>
      </c>
      <c r="D133" s="391"/>
      <c r="E133" s="3" t="s">
        <v>547</v>
      </c>
      <c r="F133" t="s">
        <v>262</v>
      </c>
      <c r="G133" s="21">
        <v>173.58377142857142</v>
      </c>
      <c r="H133" s="21">
        <v>208.70963885714289</v>
      </c>
      <c r="I133" s="21">
        <v>169.07677188571432</v>
      </c>
      <c r="J133" s="21">
        <v>194.02247516562582</v>
      </c>
      <c r="K133" s="21">
        <v>286.58285555558405</v>
      </c>
      <c r="L133" s="21"/>
      <c r="M133" s="21"/>
      <c r="N133" s="21"/>
      <c r="O133" s="21"/>
      <c r="P133" s="21"/>
      <c r="Q133" s="21"/>
      <c r="R133" s="23">
        <v>55.928571428571431</v>
      </c>
      <c r="S133" s="23">
        <v>52.714285714285715</v>
      </c>
      <c r="T133" s="23">
        <v>78.428571428571431</v>
      </c>
      <c r="U133" s="23">
        <v>53.961290322580652</v>
      </c>
      <c r="V133" s="23">
        <v>131.04</v>
      </c>
      <c r="W133" s="23"/>
      <c r="X133" s="23"/>
      <c r="Y133" s="23"/>
      <c r="Z133" s="23"/>
      <c r="AA133" s="23"/>
      <c r="AB133" s="23"/>
      <c r="AC133" s="25">
        <v>378</v>
      </c>
      <c r="AD133" s="25">
        <v>439</v>
      </c>
      <c r="AE133" s="25">
        <v>310</v>
      </c>
      <c r="AF133" s="25">
        <v>299</v>
      </c>
      <c r="AG133" s="25">
        <v>368</v>
      </c>
      <c r="AH133" s="25"/>
      <c r="AI133" s="25"/>
      <c r="AJ133" s="25"/>
      <c r="AK133" s="25"/>
      <c r="AL133" s="25"/>
      <c r="AM133" s="25"/>
    </row>
    <row r="134" spans="1:39" ht="15" customHeight="1">
      <c r="A134" s="32" t="str">
        <f t="shared" ref="A134:A197" si="9">B134&amp;"-"&amp;E134&amp;"-"&amp;F134</f>
        <v>Powercor--LUMINAIRES ;  MINOR ROAD</v>
      </c>
      <c r="B134" s="32" t="str">
        <f t="shared" ref="B134:B197" si="10">IF(D134&gt;0,D134,B133)</f>
        <v>Powercor</v>
      </c>
      <c r="C134" s="32" t="s">
        <v>1135</v>
      </c>
      <c r="D134" s="391"/>
      <c r="F134" t="s">
        <v>263</v>
      </c>
      <c r="G134" s="21">
        <v>332.47515428571427</v>
      </c>
      <c r="H134" s="21">
        <v>370.18029897142861</v>
      </c>
      <c r="I134" s="21">
        <v>290.25978400914295</v>
      </c>
      <c r="J134" s="21">
        <v>228.53920013359902</v>
      </c>
      <c r="K134" s="21">
        <v>334.31041409213958</v>
      </c>
      <c r="L134" s="21"/>
      <c r="M134" s="21"/>
      <c r="N134" s="21"/>
      <c r="O134" s="21"/>
      <c r="P134" s="21"/>
      <c r="Q134" s="21"/>
      <c r="R134" s="23">
        <v>42.257142857142853</v>
      </c>
      <c r="S134" s="23">
        <v>39.828571428571429</v>
      </c>
      <c r="T134" s="23">
        <v>59.257142857142867</v>
      </c>
      <c r="U134" s="23">
        <v>38.830967741935488</v>
      </c>
      <c r="V134" s="23">
        <v>105.16799999999999</v>
      </c>
      <c r="W134" s="23"/>
      <c r="X134" s="23"/>
      <c r="Y134" s="23"/>
      <c r="Z134" s="23"/>
      <c r="AA134" s="23"/>
      <c r="AB134" s="23"/>
      <c r="AC134" s="25">
        <v>1347</v>
      </c>
      <c r="AD134" s="25">
        <v>1419</v>
      </c>
      <c r="AE134" s="25">
        <v>1054</v>
      </c>
      <c r="AF134" s="25">
        <v>657</v>
      </c>
      <c r="AG134" s="25">
        <v>869</v>
      </c>
      <c r="AH134" s="25"/>
      <c r="AI134" s="25"/>
      <c r="AJ134" s="25"/>
      <c r="AK134" s="25"/>
      <c r="AL134" s="25"/>
      <c r="AM134" s="25"/>
    </row>
    <row r="135" spans="1:39" ht="15" customHeight="1">
      <c r="A135" s="32" t="str">
        <f t="shared" si="9"/>
        <v>Powercor--BRACKETS ; MAJOR ROAD</v>
      </c>
      <c r="B135" s="32" t="str">
        <f t="shared" si="10"/>
        <v>Powercor</v>
      </c>
      <c r="C135" s="32" t="s">
        <v>1134</v>
      </c>
      <c r="D135" s="391"/>
      <c r="F135" t="s">
        <v>264</v>
      </c>
      <c r="G135" s="21">
        <v>13.268571428571429</v>
      </c>
      <c r="H135" s="21">
        <v>24.204342857142858</v>
      </c>
      <c r="I135" s="21">
        <v>16.844914285714285</v>
      </c>
      <c r="J135" s="21">
        <v>34.328153013677422</v>
      </c>
      <c r="K135" s="21">
        <v>48.311699304960001</v>
      </c>
      <c r="L135" s="21"/>
      <c r="M135" s="21"/>
      <c r="N135" s="21"/>
      <c r="O135" s="21"/>
      <c r="P135" s="21"/>
      <c r="Q135" s="21"/>
      <c r="R135" s="23">
        <v>55.928571428571431</v>
      </c>
      <c r="S135" s="23">
        <v>52.714285714285715</v>
      </c>
      <c r="T135" s="23">
        <v>78.428571428571431</v>
      </c>
      <c r="U135" s="23">
        <v>53.961290322580652</v>
      </c>
      <c r="V135" s="23">
        <v>131.04</v>
      </c>
      <c r="W135" s="23"/>
      <c r="X135" s="23"/>
      <c r="Y135" s="23"/>
      <c r="Z135" s="23"/>
      <c r="AA135" s="23"/>
      <c r="AB135" s="23"/>
      <c r="AC135" s="25">
        <v>27</v>
      </c>
      <c r="AD135" s="25">
        <v>90</v>
      </c>
      <c r="AE135" s="25">
        <v>18</v>
      </c>
      <c r="AF135" s="25">
        <v>102</v>
      </c>
      <c r="AG135" s="25">
        <v>78</v>
      </c>
      <c r="AH135" s="25"/>
      <c r="AI135" s="25"/>
      <c r="AJ135" s="25"/>
      <c r="AK135" s="25"/>
      <c r="AL135" s="25"/>
      <c r="AM135" s="25"/>
    </row>
    <row r="136" spans="1:39" ht="15" customHeight="1">
      <c r="A136" s="32" t="str">
        <f t="shared" si="9"/>
        <v>Powercor--BRACKETS ; MINOR ROAD</v>
      </c>
      <c r="B136" s="32" t="str">
        <f t="shared" si="10"/>
        <v>Powercor</v>
      </c>
      <c r="C136" s="32" t="s">
        <v>1134</v>
      </c>
      <c r="D136" s="391"/>
      <c r="F136" t="s">
        <v>265</v>
      </c>
      <c r="G136" s="21">
        <v>1.3422857142857143</v>
      </c>
      <c r="H136" s="21">
        <v>1.2904457142857144</v>
      </c>
      <c r="I136" s="21">
        <v>2.1887218285714285</v>
      </c>
      <c r="J136" s="21">
        <v>1.8221493107612907</v>
      </c>
      <c r="K136" s="21">
        <v>5.5975250403071994</v>
      </c>
      <c r="L136" s="21"/>
      <c r="M136" s="21"/>
      <c r="N136" s="21"/>
      <c r="O136" s="21"/>
      <c r="P136" s="21"/>
      <c r="Q136" s="21"/>
      <c r="R136" s="23">
        <v>11.185714285714287</v>
      </c>
      <c r="S136" s="23">
        <v>10.542857142857144</v>
      </c>
      <c r="T136" s="23">
        <v>15.685714285714285</v>
      </c>
      <c r="U136" s="23">
        <v>10.792258064516131</v>
      </c>
      <c r="V136" s="23">
        <v>26.207999999999998</v>
      </c>
      <c r="W136" s="23"/>
      <c r="X136" s="23"/>
      <c r="Y136" s="23"/>
      <c r="Z136" s="23"/>
      <c r="AA136" s="23"/>
      <c r="AB136" s="23"/>
      <c r="AC136" s="25">
        <v>0</v>
      </c>
      <c r="AD136" s="25">
        <v>0</v>
      </c>
      <c r="AE136" s="25">
        <v>0</v>
      </c>
      <c r="AF136" s="25">
        <v>0</v>
      </c>
      <c r="AG136" s="25">
        <v>0</v>
      </c>
      <c r="AH136" s="25"/>
      <c r="AI136" s="25"/>
      <c r="AJ136" s="25"/>
      <c r="AK136" s="25"/>
      <c r="AL136" s="25"/>
      <c r="AM136" s="25"/>
    </row>
    <row r="137" spans="1:39" ht="15" customHeight="1">
      <c r="A137" s="32" t="str">
        <f t="shared" si="9"/>
        <v>Powercor--LAMPS ; MAJOR ROAD</v>
      </c>
      <c r="B137" s="32" t="str">
        <f t="shared" si="10"/>
        <v>Powercor</v>
      </c>
      <c r="C137" s="32" t="s">
        <v>1134</v>
      </c>
      <c r="D137" s="391"/>
      <c r="F137" t="s">
        <v>266</v>
      </c>
      <c r="G137" s="21">
        <v>0</v>
      </c>
      <c r="H137" s="21">
        <v>0</v>
      </c>
      <c r="I137" s="21">
        <v>0</v>
      </c>
      <c r="J137" s="21">
        <v>0</v>
      </c>
      <c r="K137" s="21">
        <v>0</v>
      </c>
      <c r="L137" s="21"/>
      <c r="M137" s="21"/>
      <c r="N137" s="21"/>
      <c r="O137" s="21"/>
      <c r="P137" s="21"/>
      <c r="Q137" s="21"/>
      <c r="R137" s="23">
        <v>0</v>
      </c>
      <c r="S137" s="23">
        <v>0</v>
      </c>
      <c r="T137" s="23">
        <v>0</v>
      </c>
      <c r="U137" s="23">
        <v>0</v>
      </c>
      <c r="V137" s="23">
        <v>0</v>
      </c>
      <c r="W137" s="23"/>
      <c r="X137" s="23"/>
      <c r="Y137" s="23"/>
      <c r="Z137" s="23"/>
      <c r="AA137" s="23"/>
      <c r="AB137" s="23"/>
      <c r="AC137" s="25">
        <v>0</v>
      </c>
      <c r="AD137" s="25">
        <v>0</v>
      </c>
      <c r="AE137" s="25">
        <v>0</v>
      </c>
      <c r="AF137" s="25">
        <v>0</v>
      </c>
      <c r="AG137" s="25">
        <v>0</v>
      </c>
      <c r="AH137" s="25"/>
      <c r="AI137" s="25"/>
      <c r="AJ137" s="25"/>
      <c r="AK137" s="25"/>
      <c r="AL137" s="25"/>
      <c r="AM137" s="25"/>
    </row>
    <row r="138" spans="1:39" ht="15" customHeight="1">
      <c r="A138" s="32" t="str">
        <f t="shared" si="9"/>
        <v>Powercor--LAMPS ; MINOR ROAD</v>
      </c>
      <c r="B138" s="32" t="str">
        <f t="shared" si="10"/>
        <v>Powercor</v>
      </c>
      <c r="C138" s="32" t="s">
        <v>1134</v>
      </c>
      <c r="D138" s="391"/>
      <c r="F138" t="s">
        <v>267</v>
      </c>
      <c r="G138" s="21">
        <v>0</v>
      </c>
      <c r="H138" s="21">
        <v>0</v>
      </c>
      <c r="I138" s="21">
        <v>0</v>
      </c>
      <c r="J138" s="21">
        <v>0</v>
      </c>
      <c r="K138" s="21">
        <v>0</v>
      </c>
      <c r="L138" s="21"/>
      <c r="M138" s="21"/>
      <c r="N138" s="21"/>
      <c r="O138" s="21"/>
      <c r="P138" s="21"/>
      <c r="Q138" s="21"/>
      <c r="R138" s="23">
        <v>0</v>
      </c>
      <c r="S138" s="23">
        <v>0</v>
      </c>
      <c r="T138" s="23">
        <v>0</v>
      </c>
      <c r="U138" s="23">
        <v>0</v>
      </c>
      <c r="V138" s="23">
        <v>0</v>
      </c>
      <c r="W138" s="23"/>
      <c r="X138" s="23"/>
      <c r="Y138" s="23"/>
      <c r="Z138" s="23"/>
      <c r="AA138" s="23"/>
      <c r="AB138" s="23"/>
      <c r="AC138" s="25">
        <v>0</v>
      </c>
      <c r="AD138" s="25">
        <v>0</v>
      </c>
      <c r="AE138" s="25">
        <v>0</v>
      </c>
      <c r="AF138" s="25">
        <v>0</v>
      </c>
      <c r="AG138" s="25">
        <v>0</v>
      </c>
      <c r="AH138" s="25"/>
      <c r="AI138" s="25"/>
      <c r="AJ138" s="25"/>
      <c r="AK138" s="25"/>
      <c r="AL138" s="25"/>
      <c r="AM138" s="25"/>
    </row>
    <row r="139" spans="1:39" ht="15" customHeight="1">
      <c r="A139" s="32" t="str">
        <f t="shared" si="9"/>
        <v>Powercor--POLES / COLUMNS ; MAJOR ROAD</v>
      </c>
      <c r="B139" s="32" t="str">
        <f t="shared" si="10"/>
        <v>Powercor</v>
      </c>
      <c r="C139" s="32" t="s">
        <v>1134</v>
      </c>
      <c r="D139" s="391"/>
      <c r="F139" t="s">
        <v>268</v>
      </c>
      <c r="G139" s="21">
        <v>330.38785714285717</v>
      </c>
      <c r="H139" s="21">
        <v>652.74571428571426</v>
      </c>
      <c r="I139" s="21">
        <v>396.67945142857144</v>
      </c>
      <c r="J139" s="21">
        <v>936.68420600774186</v>
      </c>
      <c r="K139" s="21">
        <v>1223.1188854016</v>
      </c>
      <c r="L139" s="21"/>
      <c r="M139" s="21"/>
      <c r="N139" s="21"/>
      <c r="O139" s="21"/>
      <c r="P139" s="21"/>
      <c r="Q139" s="21"/>
      <c r="R139" s="23">
        <v>55.928571428571431</v>
      </c>
      <c r="S139" s="23">
        <v>52.714285714285715</v>
      </c>
      <c r="T139" s="23">
        <v>78.428571428571431</v>
      </c>
      <c r="U139" s="23">
        <v>53.961290322580652</v>
      </c>
      <c r="V139" s="23">
        <v>131.04</v>
      </c>
      <c r="W139" s="23"/>
      <c r="X139" s="23"/>
      <c r="Y139" s="23"/>
      <c r="Z139" s="23"/>
      <c r="AA139" s="23"/>
      <c r="AB139" s="23"/>
      <c r="AC139" s="25">
        <v>27</v>
      </c>
      <c r="AD139" s="25">
        <v>90</v>
      </c>
      <c r="AE139" s="25">
        <v>18</v>
      </c>
      <c r="AF139" s="25">
        <v>102</v>
      </c>
      <c r="AG139" s="25">
        <v>78</v>
      </c>
      <c r="AH139" s="25"/>
      <c r="AI139" s="25"/>
      <c r="AJ139" s="25"/>
      <c r="AK139" s="25"/>
      <c r="AL139" s="25"/>
      <c r="AM139" s="25"/>
    </row>
    <row r="140" spans="1:39" ht="15" customHeight="1">
      <c r="A140" s="32" t="str">
        <f t="shared" si="9"/>
        <v>Powercor--POLES / COLUMNS ; MINOR ROAD</v>
      </c>
      <c r="B140" s="32" t="str">
        <f t="shared" si="10"/>
        <v>Powercor</v>
      </c>
      <c r="C140" s="32" t="s">
        <v>1134</v>
      </c>
      <c r="D140" s="391"/>
      <c r="F140" t="s">
        <v>269</v>
      </c>
      <c r="G140" s="21">
        <v>133.54285714285714</v>
      </c>
      <c r="H140" s="21">
        <v>270.26971428571431</v>
      </c>
      <c r="I140" s="21">
        <v>161.08729142857146</v>
      </c>
      <c r="J140" s="21">
        <v>361.22166090116127</v>
      </c>
      <c r="K140" s="21">
        <v>536.37911619264003</v>
      </c>
      <c r="L140" s="21"/>
      <c r="M140" s="21"/>
      <c r="N140" s="21"/>
      <c r="O140" s="21"/>
      <c r="P140" s="21"/>
      <c r="Q140" s="21"/>
      <c r="R140" s="23">
        <v>31.071428571428569</v>
      </c>
      <c r="S140" s="23">
        <v>29.285714285714285</v>
      </c>
      <c r="T140" s="23">
        <v>43.571428571428584</v>
      </c>
      <c r="U140" s="23">
        <v>28.038709677419355</v>
      </c>
      <c r="V140" s="23">
        <v>78.960000000000008</v>
      </c>
      <c r="W140" s="23"/>
      <c r="X140" s="23"/>
      <c r="Y140" s="23"/>
      <c r="Z140" s="23"/>
      <c r="AA140" s="23"/>
      <c r="AB140" s="23"/>
      <c r="AC140" s="25">
        <v>15</v>
      </c>
      <c r="AD140" s="25">
        <v>50</v>
      </c>
      <c r="AE140" s="25">
        <v>10</v>
      </c>
      <c r="AF140" s="25">
        <v>53</v>
      </c>
      <c r="AG140" s="25">
        <v>47</v>
      </c>
      <c r="AH140" s="25"/>
      <c r="AI140" s="25"/>
      <c r="AJ140" s="25"/>
      <c r="AK140" s="25"/>
      <c r="AL140" s="25"/>
      <c r="AM140" s="25"/>
    </row>
    <row r="141" spans="1:39" ht="15" customHeight="1">
      <c r="A141" s="32" t="str">
        <f t="shared" si="9"/>
        <v>Powercor--POLES / COLUMNS ; MAJOR ROAD - Standard Control Service</v>
      </c>
      <c r="B141" s="32" t="str">
        <f t="shared" si="10"/>
        <v>Powercor</v>
      </c>
      <c r="C141" s="32" t="s">
        <v>1134</v>
      </c>
      <c r="D141" s="391"/>
      <c r="F141" t="s">
        <v>270</v>
      </c>
      <c r="G141" s="21">
        <v>16.335829366597178</v>
      </c>
      <c r="H141" s="21">
        <v>55.91532917093204</v>
      </c>
      <c r="I141" s="21">
        <v>102.05770067354997</v>
      </c>
      <c r="J141" s="21">
        <v>60.381194515218873</v>
      </c>
      <c r="K141" s="21">
        <v>99.641213884115587</v>
      </c>
      <c r="L141" s="21"/>
      <c r="M141" s="21"/>
      <c r="N141" s="21"/>
      <c r="O141" s="21"/>
      <c r="P141" s="21"/>
      <c r="Q141" s="21"/>
      <c r="R141" s="23">
        <v>2</v>
      </c>
      <c r="S141" s="23">
        <v>5</v>
      </c>
      <c r="T141" s="23">
        <v>8</v>
      </c>
      <c r="U141" s="23">
        <v>5</v>
      </c>
      <c r="V141" s="23">
        <v>8</v>
      </c>
      <c r="W141" s="23"/>
      <c r="X141" s="23"/>
      <c r="Y141" s="23"/>
      <c r="Z141" s="23"/>
      <c r="AA141" s="23"/>
      <c r="AB141" s="23"/>
      <c r="AC141" s="25">
        <v>0</v>
      </c>
      <c r="AD141" s="25">
        <v>0</v>
      </c>
      <c r="AE141" s="25">
        <v>0</v>
      </c>
      <c r="AF141" s="25">
        <v>0</v>
      </c>
      <c r="AG141" s="25">
        <v>0</v>
      </c>
      <c r="AH141" s="25"/>
      <c r="AI141" s="25"/>
      <c r="AJ141" s="25"/>
      <c r="AK141" s="25"/>
      <c r="AL141" s="25"/>
      <c r="AM141" s="25"/>
    </row>
    <row r="142" spans="1:39" ht="15" customHeight="1">
      <c r="A142" s="32" t="str">
        <f t="shared" si="9"/>
        <v>Powercor--POLES / COLUMNS ; MINOR ROAD - Standard Control Service</v>
      </c>
      <c r="B142" s="32" t="str">
        <f t="shared" si="10"/>
        <v>Powercor</v>
      </c>
      <c r="C142" s="32" t="s">
        <v>1134</v>
      </c>
      <c r="D142" s="391"/>
      <c r="F142" t="s">
        <v>271</v>
      </c>
      <c r="G142" s="21">
        <v>17.563586928399047</v>
      </c>
      <c r="H142" s="21">
        <v>0</v>
      </c>
      <c r="I142" s="21">
        <v>0</v>
      </c>
      <c r="J142" s="21">
        <v>0</v>
      </c>
      <c r="K142" s="21">
        <v>0</v>
      </c>
      <c r="L142" s="21"/>
      <c r="M142" s="21"/>
      <c r="N142" s="21"/>
      <c r="O142" s="21"/>
      <c r="P142" s="21"/>
      <c r="Q142" s="21"/>
      <c r="R142" s="23">
        <v>3</v>
      </c>
      <c r="S142" s="23">
        <v>0</v>
      </c>
      <c r="T142" s="23">
        <v>0</v>
      </c>
      <c r="U142" s="23">
        <v>0</v>
      </c>
      <c r="V142" s="23">
        <v>0</v>
      </c>
      <c r="W142" s="23"/>
      <c r="X142" s="23"/>
      <c r="Y142" s="23"/>
      <c r="Z142" s="23"/>
      <c r="AA142" s="23"/>
      <c r="AB142" s="23"/>
      <c r="AC142" s="25">
        <v>0</v>
      </c>
      <c r="AD142" s="25">
        <v>0</v>
      </c>
      <c r="AE142" s="25">
        <v>0</v>
      </c>
      <c r="AF142" s="25">
        <v>0</v>
      </c>
      <c r="AG142" s="25">
        <v>0</v>
      </c>
      <c r="AH142" s="25"/>
      <c r="AI142" s="25"/>
      <c r="AJ142" s="25"/>
      <c r="AK142" s="25"/>
      <c r="AL142" s="25"/>
      <c r="AM142" s="25"/>
    </row>
    <row r="143" spans="1:39" ht="15" customHeight="1">
      <c r="A143" s="32" t="str">
        <f t="shared" si="9"/>
        <v>Powercor--OTHER - PLEASE ADD A ROW IF NECESSARY AND NOMINATE THE CATEGORY</v>
      </c>
      <c r="B143" s="32" t="str">
        <f t="shared" si="10"/>
        <v>Powercor</v>
      </c>
      <c r="C143" s="32" t="s">
        <v>1134</v>
      </c>
      <c r="D143" s="391"/>
      <c r="F143" t="s">
        <v>170</v>
      </c>
      <c r="G143" s="21"/>
      <c r="H143" s="21"/>
      <c r="I143" s="21"/>
      <c r="J143" s="21"/>
      <c r="K143" s="21"/>
      <c r="L143" s="21"/>
      <c r="M143" s="21"/>
      <c r="N143" s="21"/>
      <c r="O143" s="21"/>
      <c r="P143" s="21"/>
      <c r="Q143" s="21"/>
      <c r="R143" s="23"/>
      <c r="S143" s="23"/>
      <c r="T143" s="23"/>
      <c r="U143" s="23"/>
      <c r="V143" s="23"/>
      <c r="W143" s="23"/>
      <c r="X143" s="23"/>
      <c r="Y143" s="23"/>
      <c r="Z143" s="23"/>
      <c r="AA143" s="23"/>
      <c r="AB143" s="23"/>
      <c r="AC143" s="25"/>
      <c r="AD143" s="25"/>
      <c r="AE143" s="25"/>
      <c r="AF143" s="25"/>
      <c r="AG143" s="25"/>
      <c r="AH143" s="25"/>
      <c r="AI143" s="25"/>
      <c r="AJ143" s="25"/>
      <c r="AK143" s="25"/>
      <c r="AL143" s="25"/>
      <c r="AM143" s="25"/>
    </row>
    <row r="144" spans="1:39" ht="45" customHeight="1">
      <c r="A144" s="32" t="str">
        <f t="shared" si="9"/>
        <v>Powercor-SCADA, NETWORK CONTROL AND PROTECTION SYSTEMS BY: 
FUNCTION-FIELD DEVICES</v>
      </c>
      <c r="B144" s="32" t="str">
        <f t="shared" si="10"/>
        <v>Powercor</v>
      </c>
      <c r="C144" s="32" t="s">
        <v>659</v>
      </c>
      <c r="D144" s="391"/>
      <c r="E144" s="3" t="s">
        <v>548</v>
      </c>
      <c r="F144" t="s">
        <v>272</v>
      </c>
      <c r="G144" s="21">
        <v>2528</v>
      </c>
      <c r="H144" s="21">
        <v>2647</v>
      </c>
      <c r="I144" s="21">
        <v>1900</v>
      </c>
      <c r="J144" s="21">
        <v>2301</v>
      </c>
      <c r="K144" s="21">
        <v>1716</v>
      </c>
      <c r="L144" s="21"/>
      <c r="M144" s="21"/>
      <c r="N144" s="21"/>
      <c r="O144" s="21"/>
      <c r="P144" s="21"/>
      <c r="Q144" s="21"/>
      <c r="R144" s="23">
        <v>78</v>
      </c>
      <c r="S144" s="23">
        <v>50</v>
      </c>
      <c r="T144" s="23">
        <v>61</v>
      </c>
      <c r="U144" s="23">
        <v>72</v>
      </c>
      <c r="V144" s="23">
        <v>70</v>
      </c>
      <c r="W144" s="23"/>
      <c r="X144" s="23"/>
      <c r="Y144" s="23"/>
      <c r="Z144" s="23"/>
      <c r="AA144" s="23"/>
      <c r="AB144" s="23"/>
      <c r="AC144" s="25">
        <v>58</v>
      </c>
      <c r="AD144" s="25">
        <v>17</v>
      </c>
      <c r="AE144" s="25">
        <v>21</v>
      </c>
      <c r="AF144" s="25">
        <v>14</v>
      </c>
      <c r="AG144" s="25">
        <v>13</v>
      </c>
      <c r="AH144" s="25"/>
      <c r="AI144" s="25"/>
      <c r="AJ144" s="25"/>
      <c r="AK144" s="25"/>
      <c r="AL144" s="25"/>
      <c r="AM144" s="25"/>
    </row>
    <row r="145" spans="1:39" ht="15" customHeight="1">
      <c r="A145" s="32" t="str">
        <f t="shared" si="9"/>
        <v>Powercor--LOCAL NETWORK WIRING ASSETS</v>
      </c>
      <c r="B145" s="32" t="str">
        <f t="shared" si="10"/>
        <v>Powercor</v>
      </c>
      <c r="C145" s="32" t="s">
        <v>659</v>
      </c>
      <c r="D145" s="391"/>
      <c r="F145" t="s">
        <v>273</v>
      </c>
      <c r="G145" s="21">
        <v>0</v>
      </c>
      <c r="H145" s="21">
        <v>0</v>
      </c>
      <c r="I145" s="21">
        <v>0</v>
      </c>
      <c r="J145" s="21">
        <v>0</v>
      </c>
      <c r="K145" s="21">
        <v>0</v>
      </c>
      <c r="L145" s="21"/>
      <c r="M145" s="21"/>
      <c r="N145" s="21"/>
      <c r="O145" s="21"/>
      <c r="P145" s="21"/>
      <c r="Q145" s="21"/>
      <c r="R145" s="23">
        <v>0</v>
      </c>
      <c r="S145" s="23">
        <v>0</v>
      </c>
      <c r="T145" s="23">
        <v>0</v>
      </c>
      <c r="U145" s="23">
        <v>0</v>
      </c>
      <c r="V145" s="23">
        <v>0</v>
      </c>
      <c r="W145" s="23"/>
      <c r="X145" s="23"/>
      <c r="Y145" s="23"/>
      <c r="Z145" s="23"/>
      <c r="AA145" s="23"/>
      <c r="AB145" s="23"/>
      <c r="AC145" s="25">
        <v>0</v>
      </c>
      <c r="AD145" s="25">
        <v>0</v>
      </c>
      <c r="AE145" s="25">
        <v>0</v>
      </c>
      <c r="AF145" s="25">
        <v>0</v>
      </c>
      <c r="AG145" s="25">
        <v>0</v>
      </c>
      <c r="AH145" s="25"/>
      <c r="AI145" s="25"/>
      <c r="AJ145" s="25"/>
      <c r="AK145" s="25"/>
      <c r="AL145" s="25"/>
      <c r="AM145" s="25"/>
    </row>
    <row r="146" spans="1:39" ht="15" customHeight="1">
      <c r="A146" s="32" t="str">
        <f t="shared" si="9"/>
        <v>Powercor--COMMUNICATIONS NETWORK ASSETS</v>
      </c>
      <c r="B146" s="32" t="str">
        <f t="shared" si="10"/>
        <v>Powercor</v>
      </c>
      <c r="C146" s="32" t="s">
        <v>659</v>
      </c>
      <c r="D146" s="391"/>
      <c r="F146" t="s">
        <v>274</v>
      </c>
      <c r="G146" s="21">
        <v>0</v>
      </c>
      <c r="H146" s="21">
        <v>0</v>
      </c>
      <c r="I146" s="21">
        <v>0</v>
      </c>
      <c r="J146" s="21">
        <v>0</v>
      </c>
      <c r="K146" s="21">
        <v>0</v>
      </c>
      <c r="L146" s="21"/>
      <c r="M146" s="21"/>
      <c r="N146" s="21"/>
      <c r="O146" s="21"/>
      <c r="P146" s="21"/>
      <c r="Q146" s="21"/>
      <c r="R146" s="23">
        <v>0</v>
      </c>
      <c r="S146" s="23">
        <v>0</v>
      </c>
      <c r="T146" s="23">
        <v>0</v>
      </c>
      <c r="U146" s="23">
        <v>0</v>
      </c>
      <c r="V146" s="23">
        <v>0</v>
      </c>
      <c r="W146" s="23"/>
      <c r="X146" s="23"/>
      <c r="Y146" s="23"/>
      <c r="Z146" s="23"/>
      <c r="AA146" s="23"/>
      <c r="AB146" s="23"/>
      <c r="AC146" s="25">
        <v>0</v>
      </c>
      <c r="AD146" s="25">
        <v>0</v>
      </c>
      <c r="AE146" s="25">
        <v>0</v>
      </c>
      <c r="AF146" s="25">
        <v>0</v>
      </c>
      <c r="AG146" s="25">
        <v>0</v>
      </c>
      <c r="AH146" s="25"/>
      <c r="AI146" s="25"/>
      <c r="AJ146" s="25"/>
      <c r="AK146" s="25"/>
      <c r="AL146" s="25"/>
      <c r="AM146" s="25"/>
    </row>
    <row r="147" spans="1:39" ht="15" customHeight="1">
      <c r="A147" s="32" t="str">
        <f t="shared" si="9"/>
        <v>Powercor--MASTER STATION ASSETS</v>
      </c>
      <c r="B147" s="32" t="str">
        <f t="shared" si="10"/>
        <v>Powercor</v>
      </c>
      <c r="C147" s="32" t="s">
        <v>659</v>
      </c>
      <c r="D147" s="391"/>
      <c r="F147" t="s">
        <v>275</v>
      </c>
      <c r="G147" s="21">
        <v>0</v>
      </c>
      <c r="H147" s="21">
        <v>0</v>
      </c>
      <c r="I147" s="21">
        <v>0</v>
      </c>
      <c r="J147" s="21">
        <v>0</v>
      </c>
      <c r="K147" s="21">
        <v>0</v>
      </c>
      <c r="L147" s="21"/>
      <c r="M147" s="21"/>
      <c r="N147" s="21"/>
      <c r="O147" s="21"/>
      <c r="P147" s="21"/>
      <c r="Q147" s="21"/>
      <c r="R147" s="23">
        <v>0</v>
      </c>
      <c r="S147" s="23">
        <v>0</v>
      </c>
      <c r="T147" s="23">
        <v>0</v>
      </c>
      <c r="U147" s="23">
        <v>0</v>
      </c>
      <c r="V147" s="23">
        <v>0</v>
      </c>
      <c r="W147" s="23"/>
      <c r="X147" s="23"/>
      <c r="Y147" s="23"/>
      <c r="Z147" s="23"/>
      <c r="AA147" s="23"/>
      <c r="AB147" s="23"/>
      <c r="AC147" s="25">
        <v>0</v>
      </c>
      <c r="AD147" s="25">
        <v>0</v>
      </c>
      <c r="AE147" s="25">
        <v>0</v>
      </c>
      <c r="AF147" s="25">
        <v>0</v>
      </c>
      <c r="AG147" s="25">
        <v>0</v>
      </c>
      <c r="AH147" s="25"/>
      <c r="AI147" s="25"/>
      <c r="AJ147" s="25"/>
      <c r="AK147" s="25"/>
      <c r="AL147" s="25"/>
      <c r="AM147" s="25"/>
    </row>
    <row r="148" spans="1:39" ht="15" customHeight="1">
      <c r="A148" s="32" t="str">
        <f t="shared" si="9"/>
        <v>Powercor--AUTOMATION REPLACEMENT EXPENDITURE</v>
      </c>
      <c r="B148" s="32" t="str">
        <f t="shared" si="10"/>
        <v>Powercor</v>
      </c>
      <c r="C148" s="32" t="s">
        <v>659</v>
      </c>
      <c r="D148" s="391"/>
      <c r="F148" t="s">
        <v>276</v>
      </c>
      <c r="G148" s="21">
        <v>-0.7</v>
      </c>
      <c r="H148" s="21">
        <v>39.6</v>
      </c>
      <c r="I148" s="21">
        <v>1907.7900499999998</v>
      </c>
      <c r="J148" s="21">
        <v>1942.0439500000002</v>
      </c>
      <c r="K148" s="21">
        <v>14.325850000000004</v>
      </c>
      <c r="L148" s="21"/>
      <c r="M148" s="21"/>
      <c r="N148" s="21"/>
      <c r="O148" s="21"/>
      <c r="P148" s="21"/>
      <c r="Q148" s="21"/>
      <c r="R148" s="23">
        <v>0</v>
      </c>
      <c r="S148" s="23">
        <v>0</v>
      </c>
      <c r="T148" s="23">
        <v>32</v>
      </c>
      <c r="U148" s="23">
        <v>31</v>
      </c>
      <c r="V148" s="23">
        <v>1</v>
      </c>
      <c r="W148" s="23"/>
      <c r="X148" s="23"/>
      <c r="Y148" s="23"/>
      <c r="Z148" s="23"/>
      <c r="AA148" s="23"/>
      <c r="AB148" s="23"/>
      <c r="AC148" s="25">
        <v>0</v>
      </c>
      <c r="AD148" s="25">
        <v>0</v>
      </c>
      <c r="AE148" s="25">
        <v>0</v>
      </c>
      <c r="AF148" s="25">
        <v>0</v>
      </c>
      <c r="AG148" s="25">
        <v>0</v>
      </c>
      <c r="AH148" s="25"/>
      <c r="AI148" s="25"/>
      <c r="AJ148" s="25"/>
      <c r="AK148" s="25"/>
      <c r="AL148" s="25"/>
      <c r="AM148" s="25"/>
    </row>
    <row r="149" spans="1:39" ht="15" customHeight="1">
      <c r="A149" s="32" t="str">
        <f t="shared" si="9"/>
        <v>Powercor--OTHER - PLEASE ADD A ROW IF NECESSARY AND NOMINATE THE CATEGORY</v>
      </c>
      <c r="B149" s="32" t="str">
        <f t="shared" si="10"/>
        <v>Powercor</v>
      </c>
      <c r="C149" s="32" t="s">
        <v>659</v>
      </c>
      <c r="D149" s="391"/>
      <c r="F149" t="s">
        <v>170</v>
      </c>
      <c r="G149" s="21"/>
      <c r="H149" s="21"/>
      <c r="I149" s="21"/>
      <c r="J149" s="21"/>
      <c r="K149" s="21"/>
      <c r="L149" s="21"/>
      <c r="M149" s="21"/>
      <c r="N149" s="21"/>
      <c r="O149" s="21"/>
      <c r="P149" s="21"/>
      <c r="Q149" s="21"/>
      <c r="R149" s="23"/>
      <c r="S149" s="23"/>
      <c r="T149" s="23"/>
      <c r="U149" s="23"/>
      <c r="V149" s="23"/>
      <c r="W149" s="23"/>
      <c r="X149" s="23"/>
      <c r="Y149" s="23"/>
      <c r="Z149" s="23"/>
      <c r="AA149" s="23"/>
      <c r="AB149" s="23"/>
      <c r="AC149" s="25"/>
      <c r="AD149" s="25"/>
      <c r="AE149" s="25"/>
      <c r="AF149" s="25"/>
      <c r="AG149" s="25"/>
      <c r="AH149" s="25"/>
      <c r="AI149" s="25"/>
      <c r="AJ149" s="25"/>
      <c r="AK149" s="25"/>
      <c r="AL149" s="25"/>
      <c r="AM149" s="25"/>
    </row>
    <row r="150" spans="1:39" ht="30" customHeight="1">
      <c r="A150" s="32" t="str">
        <f t="shared" si="9"/>
        <v>Powercor-OTHER BY: 
DNSP DEFINED-PLEASE ADD A ROW IF NECESSARY AND NOMINATE THE CATEGORY</v>
      </c>
      <c r="B150" s="32" t="str">
        <f t="shared" si="10"/>
        <v>Powercor</v>
      </c>
      <c r="C150" s="32" t="s">
        <v>720</v>
      </c>
      <c r="D150" s="391"/>
      <c r="E150" s="3" t="s">
        <v>567</v>
      </c>
      <c r="F150" t="s">
        <v>277</v>
      </c>
      <c r="G150" s="21"/>
      <c r="H150" s="21"/>
      <c r="I150" s="21"/>
      <c r="J150" s="21"/>
      <c r="K150" s="21"/>
      <c r="L150" s="21"/>
      <c r="M150" s="21"/>
      <c r="N150" s="21"/>
      <c r="O150" s="21"/>
      <c r="P150" s="21"/>
      <c r="Q150" s="21"/>
      <c r="R150" s="23"/>
      <c r="S150" s="23"/>
      <c r="T150" s="23"/>
      <c r="U150" s="23"/>
      <c r="V150" s="23"/>
      <c r="W150" s="23"/>
      <c r="X150" s="23"/>
      <c r="Y150" s="23"/>
      <c r="Z150" s="23"/>
      <c r="AA150" s="23"/>
      <c r="AB150" s="23"/>
      <c r="AC150" s="25"/>
      <c r="AD150" s="25"/>
      <c r="AE150" s="25"/>
      <c r="AF150" s="25"/>
      <c r="AG150" s="25"/>
      <c r="AH150" s="25"/>
      <c r="AI150" s="25"/>
      <c r="AJ150" s="25"/>
      <c r="AK150" s="25"/>
      <c r="AL150" s="25"/>
      <c r="AM150" s="25"/>
    </row>
    <row r="151" spans="1:39" ht="15" customHeight="1">
      <c r="A151" s="32" t="str">
        <f t="shared" si="9"/>
        <v>Powercor--RECOVERABLE WORK - FAULTS (*2011 - 2013 CA RIN are Quoted Opex)</v>
      </c>
      <c r="B151" s="32" t="str">
        <f t="shared" si="10"/>
        <v>Powercor</v>
      </c>
      <c r="C151" s="32" t="s">
        <v>720</v>
      </c>
      <c r="D151" s="391"/>
      <c r="F151" t="s">
        <v>278</v>
      </c>
      <c r="G151" s="21">
        <v>1265.2</v>
      </c>
      <c r="H151" s="21">
        <v>1352.2</v>
      </c>
      <c r="I151" s="21">
        <v>0</v>
      </c>
      <c r="J151" s="21">
        <v>0</v>
      </c>
      <c r="K151" s="21">
        <v>0</v>
      </c>
      <c r="L151" s="21"/>
      <c r="M151" s="21"/>
      <c r="N151" s="21"/>
      <c r="O151" s="21"/>
      <c r="P151" s="21"/>
      <c r="Q151" s="21"/>
      <c r="R151" s="23">
        <v>0</v>
      </c>
      <c r="S151" s="23">
        <v>0</v>
      </c>
      <c r="T151" s="23">
        <v>0</v>
      </c>
      <c r="U151" s="23">
        <v>0</v>
      </c>
      <c r="V151" s="23">
        <v>0</v>
      </c>
      <c r="W151" s="23"/>
      <c r="X151" s="23"/>
      <c r="Y151" s="23"/>
      <c r="Z151" s="23"/>
      <c r="AA151" s="23"/>
      <c r="AB151" s="23"/>
      <c r="AC151" s="25">
        <v>0</v>
      </c>
      <c r="AD151" s="25">
        <v>0</v>
      </c>
      <c r="AE151" s="25">
        <v>0</v>
      </c>
      <c r="AF151" s="25">
        <v>0</v>
      </c>
      <c r="AG151" s="25">
        <v>0</v>
      </c>
      <c r="AH151" s="25"/>
      <c r="AI151" s="25"/>
      <c r="AJ151" s="25"/>
      <c r="AK151" s="25"/>
      <c r="AL151" s="25"/>
      <c r="AM151" s="25"/>
    </row>
    <row r="152" spans="1:39" ht="15" customHeight="1">
      <c r="A152" s="32" t="str">
        <f t="shared" si="9"/>
        <v>Powercor--POLE CHEMICAL TREATMENT</v>
      </c>
      <c r="B152" s="32" t="str">
        <f t="shared" si="10"/>
        <v>Powercor</v>
      </c>
      <c r="C152" s="32" t="s">
        <v>720</v>
      </c>
      <c r="D152" s="391"/>
      <c r="F152" t="s">
        <v>279</v>
      </c>
      <c r="G152" s="21">
        <v>2069.1999999999998</v>
      </c>
      <c r="H152" s="21">
        <v>1908.9</v>
      </c>
      <c r="I152" s="21">
        <v>2124.5120000000002</v>
      </c>
      <c r="J152" s="21">
        <v>2266.42</v>
      </c>
      <c r="K152" s="21">
        <v>1793.3928000000001</v>
      </c>
      <c r="L152" s="21"/>
      <c r="M152" s="21"/>
      <c r="N152" s="21"/>
      <c r="O152" s="21"/>
      <c r="P152" s="21"/>
      <c r="Q152" s="21"/>
      <c r="R152" s="23">
        <v>82460</v>
      </c>
      <c r="S152" s="23">
        <v>76389</v>
      </c>
      <c r="T152" s="23">
        <v>84484</v>
      </c>
      <c r="U152" s="23">
        <v>78327</v>
      </c>
      <c r="V152" s="23">
        <v>65627</v>
      </c>
      <c r="W152" s="23"/>
      <c r="X152" s="23"/>
      <c r="Y152" s="23"/>
      <c r="Z152" s="23"/>
      <c r="AA152" s="23"/>
      <c r="AB152" s="23"/>
      <c r="AC152" s="25">
        <v>0</v>
      </c>
      <c r="AD152" s="25">
        <v>0</v>
      </c>
      <c r="AE152" s="25">
        <v>0</v>
      </c>
      <c r="AF152" s="25">
        <v>0</v>
      </c>
      <c r="AG152" s="25">
        <v>0</v>
      </c>
      <c r="AH152" s="25"/>
      <c r="AI152" s="25"/>
      <c r="AJ152" s="25"/>
      <c r="AK152" s="25"/>
      <c r="AL152" s="25"/>
      <c r="AM152" s="25"/>
    </row>
    <row r="153" spans="1:39" ht="15" customHeight="1">
      <c r="A153" s="32" t="str">
        <f t="shared" si="9"/>
        <v>Powercor--PLANT AND STATIONS MISCELLANEOUS</v>
      </c>
      <c r="B153" s="32" t="str">
        <f t="shared" si="10"/>
        <v>Powercor</v>
      </c>
      <c r="C153" s="32" t="s">
        <v>720</v>
      </c>
      <c r="D153" s="391"/>
      <c r="F153" t="s">
        <v>280</v>
      </c>
      <c r="G153" s="21">
        <v>1202.0314937934256</v>
      </c>
      <c r="H153" s="21">
        <v>788.59815185035905</v>
      </c>
      <c r="I153" s="21">
        <v>1748.3006054810539</v>
      </c>
      <c r="J153" s="21">
        <v>1877.3491213488462</v>
      </c>
      <c r="K153" s="21">
        <v>4217.1401833942564</v>
      </c>
      <c r="L153" s="21"/>
      <c r="M153" s="21"/>
      <c r="N153" s="21"/>
      <c r="O153" s="21"/>
      <c r="P153" s="21"/>
      <c r="Q153" s="21"/>
      <c r="R153" s="23">
        <v>0</v>
      </c>
      <c r="S153" s="23">
        <v>0</v>
      </c>
      <c r="T153" s="23">
        <v>0</v>
      </c>
      <c r="U153" s="23">
        <v>0</v>
      </c>
      <c r="V153" s="23">
        <v>0</v>
      </c>
      <c r="W153" s="23"/>
      <c r="X153" s="23"/>
      <c r="Y153" s="23"/>
      <c r="Z153" s="23"/>
      <c r="AA153" s="23"/>
      <c r="AB153" s="23"/>
      <c r="AC153" s="25">
        <v>0</v>
      </c>
      <c r="AD153" s="25">
        <v>0</v>
      </c>
      <c r="AE153" s="25">
        <v>0</v>
      </c>
      <c r="AF153" s="25">
        <v>0</v>
      </c>
      <c r="AG153" s="25">
        <v>0</v>
      </c>
      <c r="AH153" s="25"/>
      <c r="AI153" s="25"/>
      <c r="AJ153" s="25"/>
      <c r="AK153" s="25"/>
      <c r="AL153" s="25"/>
      <c r="AM153" s="25"/>
    </row>
    <row r="154" spans="1:39" ht="15" customHeight="1">
      <c r="A154" s="32" t="str">
        <f t="shared" si="9"/>
        <v>Powercor--MAJOR ZONE SUBSTATION REPLACEMENT WORKS</v>
      </c>
      <c r="B154" s="32" t="str">
        <f t="shared" si="10"/>
        <v>Powercor</v>
      </c>
      <c r="C154" s="32" t="s">
        <v>720</v>
      </c>
      <c r="D154" s="391"/>
      <c r="F154" t="s">
        <v>281</v>
      </c>
      <c r="G154" s="21">
        <v>613.71</v>
      </c>
      <c r="H154" s="21">
        <v>493.51</v>
      </c>
      <c r="I154" s="21">
        <v>696.86</v>
      </c>
      <c r="J154" s="21">
        <v>977.31</v>
      </c>
      <c r="K154" s="21">
        <v>679.98</v>
      </c>
      <c r="L154" s="21"/>
      <c r="M154" s="21"/>
      <c r="N154" s="21"/>
      <c r="O154" s="21"/>
      <c r="P154" s="21"/>
      <c r="Q154" s="21"/>
      <c r="R154" s="23">
        <v>0</v>
      </c>
      <c r="S154" s="23">
        <v>0</v>
      </c>
      <c r="T154" s="23">
        <v>0</v>
      </c>
      <c r="U154" s="23">
        <v>0</v>
      </c>
      <c r="V154" s="23">
        <v>0</v>
      </c>
      <c r="W154" s="23"/>
      <c r="X154" s="23"/>
      <c r="Y154" s="23"/>
      <c r="Z154" s="23"/>
      <c r="AA154" s="23"/>
      <c r="AB154" s="23"/>
      <c r="AC154" s="25">
        <v>0</v>
      </c>
      <c r="AD154" s="25">
        <v>0</v>
      </c>
      <c r="AE154" s="25">
        <v>0</v>
      </c>
      <c r="AF154" s="25">
        <v>0</v>
      </c>
      <c r="AG154" s="25">
        <v>0</v>
      </c>
      <c r="AH154" s="25"/>
      <c r="AI154" s="25"/>
      <c r="AJ154" s="25"/>
      <c r="AK154" s="25"/>
      <c r="AL154" s="25"/>
      <c r="AM154" s="25"/>
    </row>
    <row r="155" spans="1:39" ht="15" customHeight="1">
      <c r="A155" s="32" t="str">
        <f t="shared" si="9"/>
        <v>Powercor--TV INTEREFERENCE RELATED EXPENDITURE</v>
      </c>
      <c r="B155" s="32" t="str">
        <f t="shared" si="10"/>
        <v>Powercor</v>
      </c>
      <c r="C155" s="32" t="s">
        <v>720</v>
      </c>
      <c r="D155" s="391"/>
      <c r="F155" t="s">
        <v>282</v>
      </c>
      <c r="G155" s="21">
        <v>306.10000000000002</v>
      </c>
      <c r="H155" s="21">
        <v>338.1</v>
      </c>
      <c r="I155" s="21">
        <v>100.86756999999999</v>
      </c>
      <c r="J155" s="21">
        <v>108.19734999999999</v>
      </c>
      <c r="K155" s="21">
        <v>134.49952999999999</v>
      </c>
      <c r="L155" s="21"/>
      <c r="M155" s="21"/>
      <c r="N155" s="21"/>
      <c r="O155" s="21"/>
      <c r="P155" s="21"/>
      <c r="Q155" s="21"/>
      <c r="R155" s="23">
        <v>0</v>
      </c>
      <c r="S155" s="23">
        <v>0</v>
      </c>
      <c r="T155" s="23">
        <v>0</v>
      </c>
      <c r="U155" s="23">
        <v>0</v>
      </c>
      <c r="V155" s="23">
        <v>0</v>
      </c>
      <c r="W155" s="23"/>
      <c r="X155" s="23"/>
      <c r="Y155" s="23"/>
      <c r="Z155" s="23"/>
      <c r="AA155" s="23"/>
      <c r="AB155" s="23"/>
      <c r="AC155" s="25">
        <v>0</v>
      </c>
      <c r="AD155" s="25">
        <v>0</v>
      </c>
      <c r="AE155" s="25">
        <v>0</v>
      </c>
      <c r="AF155" s="25">
        <v>0</v>
      </c>
      <c r="AG155" s="25">
        <v>0</v>
      </c>
      <c r="AH155" s="25"/>
      <c r="AI155" s="25"/>
      <c r="AJ155" s="25"/>
      <c r="AK155" s="25"/>
      <c r="AL155" s="25"/>
      <c r="AM155" s="25"/>
    </row>
    <row r="156" spans="1:39" ht="15" customHeight="1">
      <c r="A156" s="32" t="str">
        <f t="shared" si="9"/>
        <v>Powercor--ENVIRONMENTAL RELATED REPLACEMENT EXPENDITURE</v>
      </c>
      <c r="B156" s="32" t="str">
        <f t="shared" si="10"/>
        <v>Powercor</v>
      </c>
      <c r="C156" s="32" t="s">
        <v>720</v>
      </c>
      <c r="D156" s="391"/>
      <c r="F156" t="s">
        <v>283</v>
      </c>
      <c r="G156" s="21">
        <v>141.69999999999999</v>
      </c>
      <c r="H156" s="21">
        <v>292.5</v>
      </c>
      <c r="I156" s="21">
        <v>132.07766999999998</v>
      </c>
      <c r="J156" s="21">
        <v>191.34723</v>
      </c>
      <c r="K156" s="21">
        <v>288.36713000000003</v>
      </c>
      <c r="L156" s="21"/>
      <c r="M156" s="21"/>
      <c r="N156" s="21"/>
      <c r="O156" s="21"/>
      <c r="P156" s="21"/>
      <c r="Q156" s="21"/>
      <c r="R156" s="23">
        <v>0</v>
      </c>
      <c r="S156" s="23">
        <v>0</v>
      </c>
      <c r="T156" s="23">
        <v>0</v>
      </c>
      <c r="U156" s="23">
        <v>0</v>
      </c>
      <c r="V156" s="23">
        <v>0</v>
      </c>
      <c r="W156" s="23"/>
      <c r="X156" s="23"/>
      <c r="Y156" s="23"/>
      <c r="Z156" s="23"/>
      <c r="AA156" s="23"/>
      <c r="AB156" s="23"/>
      <c r="AC156" s="25">
        <v>0</v>
      </c>
      <c r="AD156" s="25">
        <v>0</v>
      </c>
      <c r="AE156" s="25">
        <v>0</v>
      </c>
      <c r="AF156" s="25">
        <v>0</v>
      </c>
      <c r="AG156" s="25">
        <v>0</v>
      </c>
      <c r="AH156" s="25"/>
      <c r="AI156" s="25"/>
      <c r="AJ156" s="25"/>
      <c r="AK156" s="25"/>
      <c r="AL156" s="25"/>
      <c r="AM156" s="25"/>
    </row>
    <row r="157" spans="1:39" ht="15" customHeight="1">
      <c r="A157" s="32" t="str">
        <f t="shared" si="9"/>
        <v>Powercor--BUSHFIRE MITIGATION RELATED REPLACEMENT EXPENDITURE</v>
      </c>
      <c r="B157" s="32" t="str">
        <f t="shared" si="10"/>
        <v>Powercor</v>
      </c>
      <c r="C157" s="32" t="s">
        <v>720</v>
      </c>
      <c r="D157" s="391"/>
      <c r="F157" t="s">
        <v>284</v>
      </c>
      <c r="G157" s="21">
        <v>118.7</v>
      </c>
      <c r="H157" s="21">
        <v>137.19999999999999</v>
      </c>
      <c r="I157" s="21">
        <v>87.099070000000012</v>
      </c>
      <c r="J157" s="21">
        <v>54.019449999999999</v>
      </c>
      <c r="K157" s="21">
        <v>24.096689999999999</v>
      </c>
      <c r="L157" s="21"/>
      <c r="M157" s="21"/>
      <c r="N157" s="21"/>
      <c r="O157" s="21"/>
      <c r="P157" s="21"/>
      <c r="Q157" s="21"/>
      <c r="R157" s="23">
        <v>0</v>
      </c>
      <c r="S157" s="23">
        <v>0</v>
      </c>
      <c r="T157" s="23">
        <v>0</v>
      </c>
      <c r="U157" s="23">
        <v>0</v>
      </c>
      <c r="V157" s="23">
        <v>0</v>
      </c>
      <c r="W157" s="23"/>
      <c r="X157" s="23"/>
      <c r="Y157" s="23"/>
      <c r="Z157" s="23"/>
      <c r="AA157" s="23"/>
      <c r="AB157" s="23"/>
      <c r="AC157" s="25">
        <v>0</v>
      </c>
      <c r="AD157" s="25">
        <v>0</v>
      </c>
      <c r="AE157" s="25">
        <v>0</v>
      </c>
      <c r="AF157" s="25">
        <v>0</v>
      </c>
      <c r="AG157" s="25">
        <v>0</v>
      </c>
      <c r="AH157" s="25"/>
      <c r="AI157" s="25"/>
      <c r="AJ157" s="25"/>
      <c r="AK157" s="25"/>
      <c r="AL157" s="25"/>
      <c r="AM157" s="25"/>
    </row>
    <row r="158" spans="1:39" ht="15" customHeight="1">
      <c r="A158" s="32" t="str">
        <f t="shared" si="9"/>
        <v xml:space="preserve">Powercor--LINES MISCELLANEOUS </v>
      </c>
      <c r="B158" s="32" t="str">
        <f t="shared" si="10"/>
        <v>Powercor</v>
      </c>
      <c r="C158" s="32" t="s">
        <v>720</v>
      </c>
      <c r="D158" s="391"/>
      <c r="F158" t="s">
        <v>285</v>
      </c>
      <c r="G158" s="21">
        <v>2971.5</v>
      </c>
      <c r="H158" s="21">
        <v>1874.1</v>
      </c>
      <c r="I158" s="21">
        <v>1833.3778830779538</v>
      </c>
      <c r="J158" s="21">
        <v>81.580616428538391</v>
      </c>
      <c r="K158" s="21">
        <v>4344.3470739207705</v>
      </c>
      <c r="L158" s="21"/>
      <c r="M158" s="21"/>
      <c r="N158" s="21"/>
      <c r="O158" s="21"/>
      <c r="P158" s="21"/>
      <c r="Q158" s="21"/>
      <c r="R158" s="23">
        <v>0</v>
      </c>
      <c r="S158" s="23">
        <v>0</v>
      </c>
      <c r="T158" s="23">
        <v>0</v>
      </c>
      <c r="U158" s="23">
        <v>0</v>
      </c>
      <c r="V158" s="23">
        <v>0</v>
      </c>
      <c r="W158" s="23"/>
      <c r="X158" s="23"/>
      <c r="Y158" s="23"/>
      <c r="Z158" s="23"/>
      <c r="AA158" s="23"/>
      <c r="AB158" s="23"/>
      <c r="AC158" s="25">
        <v>0</v>
      </c>
      <c r="AD158" s="25">
        <v>0</v>
      </c>
      <c r="AE158" s="25">
        <v>0</v>
      </c>
      <c r="AF158" s="25">
        <v>0</v>
      </c>
      <c r="AG158" s="25">
        <v>0</v>
      </c>
      <c r="AH158" s="25"/>
      <c r="AI158" s="25"/>
      <c r="AJ158" s="25"/>
      <c r="AK158" s="25"/>
      <c r="AL158" s="25"/>
      <c r="AM158" s="25"/>
    </row>
    <row r="159" spans="1:39" ht="15" customHeight="1">
      <c r="A159" s="32" t="str">
        <f t="shared" si="9"/>
        <v>Powercor--VBRC SWER ACRs</v>
      </c>
      <c r="B159" s="32" t="str">
        <f t="shared" si="10"/>
        <v>Powercor</v>
      </c>
      <c r="C159" s="32" t="s">
        <v>720</v>
      </c>
      <c r="D159" s="391"/>
      <c r="F159" t="s">
        <v>286</v>
      </c>
      <c r="G159" s="21">
        <v>0</v>
      </c>
      <c r="H159" s="21">
        <v>0</v>
      </c>
      <c r="I159" s="21">
        <v>0</v>
      </c>
      <c r="J159" s="21">
        <v>7599.4640099999997</v>
      </c>
      <c r="K159" s="21">
        <v>550.39330875280939</v>
      </c>
      <c r="L159" s="21"/>
      <c r="M159" s="21"/>
      <c r="N159" s="21"/>
      <c r="O159" s="21"/>
      <c r="P159" s="21"/>
      <c r="Q159" s="21"/>
      <c r="R159" s="23">
        <v>0</v>
      </c>
      <c r="S159" s="23">
        <v>0</v>
      </c>
      <c r="T159" s="23">
        <v>0</v>
      </c>
      <c r="U159" s="23">
        <v>168</v>
      </c>
      <c r="V159" s="23">
        <v>10</v>
      </c>
      <c r="W159" s="23"/>
      <c r="X159" s="23"/>
      <c r="Y159" s="23"/>
      <c r="Z159" s="23"/>
      <c r="AA159" s="23"/>
      <c r="AB159" s="23"/>
      <c r="AC159" s="25">
        <v>0</v>
      </c>
      <c r="AD159" s="25">
        <v>0</v>
      </c>
      <c r="AE159" s="25">
        <v>0</v>
      </c>
      <c r="AF159" s="25">
        <v>0</v>
      </c>
      <c r="AG159" s="25">
        <v>0</v>
      </c>
      <c r="AH159" s="25"/>
      <c r="AI159" s="25"/>
      <c r="AJ159" s="25"/>
      <c r="AK159" s="25"/>
      <c r="AL159" s="25"/>
      <c r="AM159" s="25"/>
    </row>
    <row r="160" spans="1:39" ht="60" customHeight="1">
      <c r="A160" s="32" t="str">
        <f t="shared" si="9"/>
        <v>AusNet-POLES BY: 
HIGHEST OPERATING VOLTAGE ; MATERIAL TYPE;  STAKING (IF WOOD)-STAKING OF A WOODEN POLE</v>
      </c>
      <c r="B160" s="32" t="str">
        <f t="shared" si="10"/>
        <v>AusNet</v>
      </c>
      <c r="C160" s="32" t="s">
        <v>1138</v>
      </c>
      <c r="D160" s="392" t="s">
        <v>1674</v>
      </c>
      <c r="E160" s="3" t="s">
        <v>311</v>
      </c>
      <c r="F160" t="s">
        <v>117</v>
      </c>
      <c r="G160" s="21">
        <v>394.81299999999999</v>
      </c>
      <c r="H160" s="21">
        <v>407.34300000000002</v>
      </c>
      <c r="I160" s="21">
        <v>315.01799999999997</v>
      </c>
      <c r="J160" s="21">
        <v>488.81099999999998</v>
      </c>
      <c r="K160" s="21">
        <v>820.24400000000003</v>
      </c>
      <c r="L160" s="21"/>
      <c r="M160" s="21"/>
      <c r="N160" s="21"/>
      <c r="O160" s="21"/>
      <c r="P160" s="21"/>
      <c r="Q160" s="21"/>
      <c r="R160" s="23">
        <v>294</v>
      </c>
      <c r="S160" s="23">
        <v>190</v>
      </c>
      <c r="T160" s="23">
        <v>225</v>
      </c>
      <c r="U160" s="23">
        <v>371</v>
      </c>
      <c r="V160" s="23">
        <v>507</v>
      </c>
      <c r="W160" s="23"/>
      <c r="X160" s="23"/>
      <c r="Y160" s="23"/>
      <c r="Z160" s="23"/>
      <c r="AA160" s="23"/>
      <c r="AB160" s="23"/>
      <c r="AC160" s="25"/>
      <c r="AD160" s="25"/>
      <c r="AE160" s="25"/>
      <c r="AF160" s="25"/>
      <c r="AG160" s="25"/>
      <c r="AH160" s="25"/>
      <c r="AI160" s="25"/>
      <c r="AJ160" s="25"/>
      <c r="AK160" s="25"/>
      <c r="AL160" s="25"/>
      <c r="AM160" s="25"/>
    </row>
    <row r="161" spans="1:39" ht="15" customHeight="1">
      <c r="A161" s="32" t="str">
        <f t="shared" si="9"/>
        <v>AusNet--˂ = 1 kV; WOOD</v>
      </c>
      <c r="B161" s="32" t="str">
        <f t="shared" si="10"/>
        <v>AusNet</v>
      </c>
      <c r="C161" s="32" t="s">
        <v>1</v>
      </c>
      <c r="D161" s="393"/>
      <c r="F161" t="s">
        <v>119</v>
      </c>
      <c r="G161" s="21">
        <v>525.42773999999997</v>
      </c>
      <c r="H161" s="21">
        <v>188.09087</v>
      </c>
      <c r="I161" s="21">
        <v>152.81675000000001</v>
      </c>
      <c r="J161" s="21">
        <v>426.77813000000003</v>
      </c>
      <c r="K161" s="21">
        <v>640.88283999999999</v>
      </c>
      <c r="L161" s="21"/>
      <c r="M161" s="21"/>
      <c r="N161" s="21"/>
      <c r="O161" s="21"/>
      <c r="P161" s="21"/>
      <c r="Q161" s="21"/>
      <c r="R161" s="23">
        <v>75</v>
      </c>
      <c r="S161" s="23">
        <v>38</v>
      </c>
      <c r="T161" s="23">
        <v>53</v>
      </c>
      <c r="U161" s="23">
        <v>98</v>
      </c>
      <c r="V161" s="23">
        <v>82</v>
      </c>
      <c r="W161" s="23"/>
      <c r="X161" s="23"/>
      <c r="Y161" s="23"/>
      <c r="Z161" s="23"/>
      <c r="AA161" s="23"/>
      <c r="AB161" s="23"/>
      <c r="AC161" s="25">
        <v>56.826654240000003</v>
      </c>
      <c r="AD161" s="25">
        <v>62.085385879999997</v>
      </c>
      <c r="AE161" s="25">
        <v>61.714285709999999</v>
      </c>
      <c r="AF161" s="25">
        <v>139.08149169999999</v>
      </c>
      <c r="AG161" s="25">
        <v>212.77901790000001</v>
      </c>
      <c r="AH161" s="25"/>
      <c r="AI161" s="25"/>
      <c r="AJ161" s="25"/>
      <c r="AK161" s="25"/>
      <c r="AL161" s="25"/>
      <c r="AM161" s="25"/>
    </row>
    <row r="162" spans="1:39" ht="15" customHeight="1">
      <c r="A162" s="32" t="str">
        <f t="shared" si="9"/>
        <v>AusNet--&gt; 1 kV &amp; &lt; = 11 kV; WOOD</v>
      </c>
      <c r="B162" s="32" t="str">
        <f t="shared" si="10"/>
        <v>AusNet</v>
      </c>
      <c r="C162" s="32" t="s">
        <v>1</v>
      </c>
      <c r="D162" s="393"/>
      <c r="F162" t="s">
        <v>121</v>
      </c>
      <c r="G162" s="21">
        <v>10.87092</v>
      </c>
      <c r="H162" s="21">
        <v>0</v>
      </c>
      <c r="I162" s="21">
        <v>18.920169999999999</v>
      </c>
      <c r="J162" s="21">
        <v>16.65476</v>
      </c>
      <c r="K162" s="21">
        <v>23.09488</v>
      </c>
      <c r="L162" s="21"/>
      <c r="M162" s="21"/>
      <c r="N162" s="21"/>
      <c r="O162" s="21"/>
      <c r="P162" s="21"/>
      <c r="Q162" s="21"/>
      <c r="R162" s="23">
        <v>2</v>
      </c>
      <c r="S162" s="23">
        <v>0</v>
      </c>
      <c r="T162" s="23">
        <v>7</v>
      </c>
      <c r="U162" s="23">
        <v>4</v>
      </c>
      <c r="V162" s="23">
        <v>3</v>
      </c>
      <c r="W162" s="23"/>
      <c r="X162" s="23"/>
      <c r="Y162" s="23"/>
      <c r="Z162" s="23"/>
      <c r="AA162" s="23"/>
      <c r="AB162" s="23"/>
      <c r="AC162" s="25">
        <v>4</v>
      </c>
      <c r="AD162" s="25">
        <v>0</v>
      </c>
      <c r="AE162" s="25">
        <v>30.1</v>
      </c>
      <c r="AF162" s="25">
        <v>15.38461538</v>
      </c>
      <c r="AG162" s="25">
        <v>33</v>
      </c>
      <c r="AH162" s="25"/>
      <c r="AI162" s="25"/>
      <c r="AJ162" s="25"/>
      <c r="AK162" s="25"/>
      <c r="AL162" s="25"/>
      <c r="AM162" s="25"/>
    </row>
    <row r="163" spans="1:39" ht="15" customHeight="1">
      <c r="A163" s="32" t="str">
        <f t="shared" si="9"/>
        <v>AusNet--˃ 11 kV &amp; &lt; = 22 kV; WOOD</v>
      </c>
      <c r="B163" s="32" t="str">
        <f t="shared" si="10"/>
        <v>AusNet</v>
      </c>
      <c r="C163" s="32" t="s">
        <v>1</v>
      </c>
      <c r="D163" s="393"/>
      <c r="F163" t="s">
        <v>123</v>
      </c>
      <c r="G163" s="21">
        <v>4669.1772199999996</v>
      </c>
      <c r="H163" s="21">
        <v>1049.9002700000001</v>
      </c>
      <c r="I163" s="21">
        <v>918.42280000000005</v>
      </c>
      <c r="J163" s="21">
        <v>1192.64075</v>
      </c>
      <c r="K163" s="21">
        <v>2635.9272000000001</v>
      </c>
      <c r="L163" s="21"/>
      <c r="M163" s="21"/>
      <c r="N163" s="21"/>
      <c r="O163" s="21"/>
      <c r="P163" s="21"/>
      <c r="Q163" s="21"/>
      <c r="R163" s="23">
        <v>378</v>
      </c>
      <c r="S163" s="23">
        <v>121</v>
      </c>
      <c r="T163" s="23">
        <v>182</v>
      </c>
      <c r="U163" s="23">
        <v>155</v>
      </c>
      <c r="V163" s="23">
        <v>190</v>
      </c>
      <c r="W163" s="23"/>
      <c r="X163" s="23"/>
      <c r="Y163" s="23"/>
      <c r="Z163" s="23"/>
      <c r="AA163" s="23"/>
      <c r="AB163" s="23"/>
      <c r="AC163" s="25">
        <v>548.8311688</v>
      </c>
      <c r="AD163" s="25">
        <v>359.84726219999999</v>
      </c>
      <c r="AE163" s="25">
        <v>487.85647060000002</v>
      </c>
      <c r="AF163" s="25">
        <v>376.03151860000003</v>
      </c>
      <c r="AG163" s="25">
        <v>965.32409010000003</v>
      </c>
      <c r="AH163" s="25"/>
      <c r="AI163" s="25"/>
      <c r="AJ163" s="25"/>
      <c r="AK163" s="25"/>
      <c r="AL163" s="25"/>
      <c r="AM163" s="25"/>
    </row>
    <row r="164" spans="1:39" ht="15" customHeight="1">
      <c r="A164" s="32" t="str">
        <f t="shared" si="9"/>
        <v>AusNet--&gt; 22 kV &amp; &lt; = 66 kV; WOOD</v>
      </c>
      <c r="B164" s="32" t="str">
        <f t="shared" si="10"/>
        <v>AusNet</v>
      </c>
      <c r="C164" s="32" t="s">
        <v>1</v>
      </c>
      <c r="D164" s="393"/>
      <c r="F164" t="s">
        <v>125</v>
      </c>
      <c r="G164" s="21">
        <v>469.83497999999997</v>
      </c>
      <c r="H164" s="21">
        <v>196.17326</v>
      </c>
      <c r="I164" s="21">
        <v>247.32683</v>
      </c>
      <c r="J164" s="21">
        <v>596.2585600000001</v>
      </c>
      <c r="K164" s="21">
        <v>565.00606000000005</v>
      </c>
      <c r="L164" s="21"/>
      <c r="M164" s="21"/>
      <c r="N164" s="21"/>
      <c r="O164" s="21"/>
      <c r="P164" s="21"/>
      <c r="Q164" s="21"/>
      <c r="R164" s="23">
        <v>39</v>
      </c>
      <c r="S164" s="23">
        <v>14</v>
      </c>
      <c r="T164" s="23">
        <v>21</v>
      </c>
      <c r="U164" s="23">
        <v>31</v>
      </c>
      <c r="V164" s="23">
        <v>21</v>
      </c>
      <c r="W164" s="23"/>
      <c r="X164" s="23"/>
      <c r="Y164" s="23"/>
      <c r="Z164" s="23"/>
      <c r="AA164" s="23"/>
      <c r="AB164" s="23"/>
      <c r="AC164" s="25">
        <v>55.705521470000001</v>
      </c>
      <c r="AD164" s="25">
        <v>15.086206900000001</v>
      </c>
      <c r="AE164" s="25">
        <v>32.369426750000002</v>
      </c>
      <c r="AF164" s="25">
        <v>68.825688069999998</v>
      </c>
      <c r="AG164" s="25">
        <v>69.227586209999998</v>
      </c>
      <c r="AH164" s="25"/>
      <c r="AI164" s="25"/>
      <c r="AJ164" s="25"/>
      <c r="AK164" s="25"/>
      <c r="AL164" s="25"/>
      <c r="AM164" s="25"/>
    </row>
    <row r="165" spans="1:39" ht="15" customHeight="1">
      <c r="A165" s="32" t="str">
        <f t="shared" si="9"/>
        <v>AusNet--&gt; 66 kV &amp; &lt; = 132 kV; WOOD</v>
      </c>
      <c r="B165" s="32" t="str">
        <f t="shared" si="10"/>
        <v>AusNet</v>
      </c>
      <c r="C165" s="32" t="s">
        <v>1</v>
      </c>
      <c r="D165" s="393"/>
      <c r="F165" t="s">
        <v>127</v>
      </c>
      <c r="G165" s="21">
        <v>0</v>
      </c>
      <c r="H165" s="21">
        <v>0</v>
      </c>
      <c r="I165" s="21">
        <v>0</v>
      </c>
      <c r="J165" s="21">
        <v>0</v>
      </c>
      <c r="K165" s="21">
        <v>0</v>
      </c>
      <c r="L165" s="21"/>
      <c r="M165" s="21"/>
      <c r="N165" s="21"/>
      <c r="O165" s="21"/>
      <c r="P165" s="21"/>
      <c r="Q165" s="21"/>
      <c r="R165" s="23">
        <v>0</v>
      </c>
      <c r="S165" s="23">
        <v>0</v>
      </c>
      <c r="T165" s="23">
        <v>0</v>
      </c>
      <c r="U165" s="23">
        <v>0</v>
      </c>
      <c r="V165" s="23">
        <v>0</v>
      </c>
      <c r="W165" s="23"/>
      <c r="X165" s="23"/>
      <c r="Y165" s="23"/>
      <c r="Z165" s="23"/>
      <c r="AA165" s="23"/>
      <c r="AB165" s="23"/>
      <c r="AC165" s="25">
        <v>0</v>
      </c>
      <c r="AD165" s="25">
        <v>0</v>
      </c>
      <c r="AE165" s="25">
        <v>0</v>
      </c>
      <c r="AF165" s="25">
        <v>0</v>
      </c>
      <c r="AG165" s="25">
        <v>0</v>
      </c>
      <c r="AH165" s="25"/>
      <c r="AI165" s="25"/>
      <c r="AJ165" s="25"/>
      <c r="AK165" s="25"/>
      <c r="AL165" s="25"/>
      <c r="AM165" s="25"/>
    </row>
    <row r="166" spans="1:39" ht="15" customHeight="1">
      <c r="A166" s="32" t="str">
        <f t="shared" si="9"/>
        <v>AusNet--&gt; 132 kV; WOOD</v>
      </c>
      <c r="B166" s="32" t="str">
        <f t="shared" si="10"/>
        <v>AusNet</v>
      </c>
      <c r="C166" s="32" t="s">
        <v>1</v>
      </c>
      <c r="D166" s="393"/>
      <c r="F166" t="s">
        <v>129</v>
      </c>
      <c r="G166" s="21">
        <v>0</v>
      </c>
      <c r="H166" s="21">
        <v>0</v>
      </c>
      <c r="I166" s="21">
        <v>0</v>
      </c>
      <c r="J166" s="21">
        <v>0</v>
      </c>
      <c r="K166" s="21">
        <v>0</v>
      </c>
      <c r="L166" s="21"/>
      <c r="M166" s="21"/>
      <c r="N166" s="21"/>
      <c r="O166" s="21"/>
      <c r="P166" s="21"/>
      <c r="Q166" s="21"/>
      <c r="R166" s="23">
        <v>0</v>
      </c>
      <c r="S166" s="23">
        <v>0</v>
      </c>
      <c r="T166" s="23">
        <v>0</v>
      </c>
      <c r="U166" s="23">
        <v>0</v>
      </c>
      <c r="V166" s="23">
        <v>0</v>
      </c>
      <c r="W166" s="23"/>
      <c r="X166" s="23"/>
      <c r="Y166" s="23"/>
      <c r="Z166" s="23"/>
      <c r="AA166" s="23"/>
      <c r="AB166" s="23"/>
      <c r="AC166" s="25">
        <v>0</v>
      </c>
      <c r="AD166" s="25">
        <v>0</v>
      </c>
      <c r="AE166" s="25">
        <v>0</v>
      </c>
      <c r="AF166" s="25">
        <v>0</v>
      </c>
      <c r="AG166" s="25">
        <v>0</v>
      </c>
      <c r="AH166" s="25"/>
      <c r="AI166" s="25"/>
      <c r="AJ166" s="25"/>
      <c r="AK166" s="25"/>
      <c r="AL166" s="25"/>
      <c r="AM166" s="25"/>
    </row>
    <row r="167" spans="1:39" ht="15" customHeight="1">
      <c r="A167" s="32" t="str">
        <f t="shared" si="9"/>
        <v>AusNet--˂ = 1 kV; CONCRETE</v>
      </c>
      <c r="B167" s="32" t="str">
        <f t="shared" si="10"/>
        <v>AusNet</v>
      </c>
      <c r="C167" s="32" t="s">
        <v>1</v>
      </c>
      <c r="D167" s="393"/>
      <c r="F167" t="s">
        <v>131</v>
      </c>
      <c r="G167" s="21">
        <v>676.61658</v>
      </c>
      <c r="H167" s="21">
        <v>210.87069</v>
      </c>
      <c r="I167" s="21">
        <v>234.62172000000001</v>
      </c>
      <c r="J167" s="21">
        <v>845.06108999999992</v>
      </c>
      <c r="K167" s="21">
        <v>1459.76828</v>
      </c>
      <c r="L167" s="21"/>
      <c r="M167" s="21"/>
      <c r="N167" s="21"/>
      <c r="O167" s="21"/>
      <c r="P167" s="21"/>
      <c r="Q167" s="21"/>
      <c r="R167" s="23">
        <v>83</v>
      </c>
      <c r="S167" s="23">
        <v>37</v>
      </c>
      <c r="T167" s="23">
        <v>71</v>
      </c>
      <c r="U167" s="23">
        <v>167</v>
      </c>
      <c r="V167" s="23">
        <v>160</v>
      </c>
      <c r="W167" s="23"/>
      <c r="X167" s="23"/>
      <c r="Y167" s="23"/>
      <c r="Z167" s="23"/>
      <c r="AA167" s="23"/>
      <c r="AB167" s="23"/>
      <c r="AC167" s="25">
        <v>63.645852750000003</v>
      </c>
      <c r="AD167" s="25">
        <v>60.451559930000002</v>
      </c>
      <c r="AE167" s="25">
        <v>81.142857140000004</v>
      </c>
      <c r="AF167" s="25">
        <v>238.42541439999999</v>
      </c>
      <c r="AG167" s="25">
        <v>417.7734375</v>
      </c>
      <c r="AH167" s="25"/>
      <c r="AI167" s="25"/>
      <c r="AJ167" s="25"/>
      <c r="AK167" s="25"/>
      <c r="AL167" s="25"/>
      <c r="AM167" s="25"/>
    </row>
    <row r="168" spans="1:39" ht="15" customHeight="1">
      <c r="A168" s="32" t="str">
        <f t="shared" si="9"/>
        <v>AusNet--&gt; 1 kV &amp; &lt; = 11 kV; CONCRETE</v>
      </c>
      <c r="B168" s="32" t="str">
        <f t="shared" si="10"/>
        <v>AusNet</v>
      </c>
      <c r="C168" s="32" t="s">
        <v>1</v>
      </c>
      <c r="D168" s="393"/>
      <c r="F168" t="s">
        <v>133</v>
      </c>
      <c r="G168" s="21">
        <v>4.2025899999999998</v>
      </c>
      <c r="H168" s="21">
        <v>5.4535499999999999</v>
      </c>
      <c r="I168" s="21">
        <v>8.4396299999999993</v>
      </c>
      <c r="J168" s="21">
        <v>43.460279999999997</v>
      </c>
      <c r="K168" s="21">
        <v>33.480919999999998</v>
      </c>
      <c r="L168" s="21"/>
      <c r="M168" s="21"/>
      <c r="N168" s="21"/>
      <c r="O168" s="21"/>
      <c r="P168" s="21"/>
      <c r="Q168" s="21"/>
      <c r="R168" s="23">
        <v>1</v>
      </c>
      <c r="S168" s="23">
        <v>1</v>
      </c>
      <c r="T168" s="23">
        <v>3</v>
      </c>
      <c r="U168" s="23">
        <v>9</v>
      </c>
      <c r="V168" s="23">
        <v>4</v>
      </c>
      <c r="W168" s="23"/>
      <c r="X168" s="23"/>
      <c r="Y168" s="23"/>
      <c r="Z168" s="23"/>
      <c r="AA168" s="23"/>
      <c r="AB168" s="23"/>
      <c r="AC168" s="25">
        <v>2</v>
      </c>
      <c r="AD168" s="25">
        <v>9</v>
      </c>
      <c r="AE168" s="25">
        <v>12.9</v>
      </c>
      <c r="AF168" s="25">
        <v>34.61538462</v>
      </c>
      <c r="AG168" s="25">
        <v>44</v>
      </c>
      <c r="AH168" s="25"/>
      <c r="AI168" s="25"/>
      <c r="AJ168" s="25"/>
      <c r="AK168" s="25"/>
      <c r="AL168" s="25"/>
      <c r="AM168" s="25"/>
    </row>
    <row r="169" spans="1:39" ht="15" customHeight="1">
      <c r="A169" s="32" t="str">
        <f t="shared" si="9"/>
        <v>AusNet--</v>
      </c>
      <c r="B169" s="32" t="str">
        <f t="shared" si="10"/>
        <v>AusNet</v>
      </c>
      <c r="C169" s="32" t="s">
        <v>1</v>
      </c>
      <c r="D169" s="393"/>
      <c r="G169" s="21">
        <v>0</v>
      </c>
      <c r="H169" s="21">
        <v>0</v>
      </c>
      <c r="I169" s="21">
        <v>0</v>
      </c>
      <c r="J169" s="21">
        <v>0</v>
      </c>
      <c r="K169" s="21">
        <v>0</v>
      </c>
      <c r="L169" s="21"/>
      <c r="M169" s="21"/>
      <c r="N169" s="21"/>
      <c r="O169" s="21"/>
      <c r="P169" s="21"/>
      <c r="Q169" s="21"/>
      <c r="R169" s="23">
        <v>0</v>
      </c>
      <c r="S169" s="23">
        <v>0</v>
      </c>
      <c r="T169" s="23">
        <v>0</v>
      </c>
      <c r="U169" s="23">
        <v>0</v>
      </c>
      <c r="V169" s="23">
        <v>0</v>
      </c>
      <c r="W169" s="23"/>
      <c r="X169" s="23"/>
      <c r="Y169" s="23"/>
      <c r="Z169" s="23"/>
      <c r="AA169" s="23"/>
      <c r="AB169" s="23"/>
      <c r="AC169" s="25">
        <v>0</v>
      </c>
      <c r="AD169" s="25">
        <v>0</v>
      </c>
      <c r="AE169" s="25">
        <v>0</v>
      </c>
      <c r="AF169" s="25">
        <v>0</v>
      </c>
      <c r="AG169" s="25">
        <v>0</v>
      </c>
      <c r="AH169" s="25"/>
      <c r="AI169" s="25"/>
      <c r="AJ169" s="25"/>
      <c r="AK169" s="25"/>
      <c r="AL169" s="25"/>
      <c r="AM169" s="25"/>
    </row>
    <row r="170" spans="1:39" ht="15" customHeight="1">
      <c r="A170" s="32" t="str">
        <f t="shared" si="9"/>
        <v>AusNet--</v>
      </c>
      <c r="B170" s="32" t="str">
        <f t="shared" si="10"/>
        <v>AusNet</v>
      </c>
      <c r="C170" s="32" t="s">
        <v>1</v>
      </c>
      <c r="D170" s="393"/>
      <c r="G170" s="21">
        <v>0</v>
      </c>
      <c r="H170" s="21">
        <v>0</v>
      </c>
      <c r="I170" s="21">
        <v>0</v>
      </c>
      <c r="J170" s="21">
        <v>0</v>
      </c>
      <c r="K170" s="21">
        <v>0</v>
      </c>
      <c r="L170" s="21"/>
      <c r="M170" s="21"/>
      <c r="N170" s="21"/>
      <c r="O170" s="21"/>
      <c r="P170" s="21"/>
      <c r="Q170" s="21"/>
      <c r="R170" s="23">
        <v>0</v>
      </c>
      <c r="S170" s="23">
        <v>0</v>
      </c>
      <c r="T170" s="23">
        <v>0</v>
      </c>
      <c r="U170" s="23">
        <v>0</v>
      </c>
      <c r="V170" s="23">
        <v>0</v>
      </c>
      <c r="W170" s="23"/>
      <c r="X170" s="23"/>
      <c r="Y170" s="23"/>
      <c r="Z170" s="23"/>
      <c r="AA170" s="23"/>
      <c r="AB170" s="23"/>
      <c r="AC170" s="25">
        <v>0</v>
      </c>
      <c r="AD170" s="25">
        <v>0</v>
      </c>
      <c r="AE170" s="25">
        <v>0</v>
      </c>
      <c r="AF170" s="25">
        <v>0</v>
      </c>
      <c r="AG170" s="25">
        <v>0</v>
      </c>
      <c r="AH170" s="25"/>
      <c r="AI170" s="25"/>
      <c r="AJ170" s="25"/>
      <c r="AK170" s="25"/>
      <c r="AL170" s="25"/>
      <c r="AM170" s="25"/>
    </row>
    <row r="171" spans="1:39" ht="15" customHeight="1">
      <c r="A171" s="32" t="str">
        <f t="shared" si="9"/>
        <v>AusNet--</v>
      </c>
      <c r="B171" s="32" t="str">
        <f t="shared" si="10"/>
        <v>AusNet</v>
      </c>
      <c r="C171" s="32" t="s">
        <v>1</v>
      </c>
      <c r="D171" s="393"/>
      <c r="G171" s="21">
        <v>0</v>
      </c>
      <c r="H171" s="21">
        <v>0</v>
      </c>
      <c r="I171" s="21">
        <v>0</v>
      </c>
      <c r="J171" s="21">
        <v>0</v>
      </c>
      <c r="K171" s="21">
        <v>0</v>
      </c>
      <c r="L171" s="21"/>
      <c r="M171" s="21"/>
      <c r="N171" s="21"/>
      <c r="O171" s="21"/>
      <c r="P171" s="21"/>
      <c r="Q171" s="21"/>
      <c r="R171" s="23">
        <v>0</v>
      </c>
      <c r="S171" s="23">
        <v>0</v>
      </c>
      <c r="T171" s="23">
        <v>0</v>
      </c>
      <c r="U171" s="23">
        <v>0</v>
      </c>
      <c r="V171" s="23">
        <v>0</v>
      </c>
      <c r="W171" s="23"/>
      <c r="X171" s="23"/>
      <c r="Y171" s="23"/>
      <c r="Z171" s="23"/>
      <c r="AA171" s="23"/>
      <c r="AB171" s="23"/>
      <c r="AC171" s="25">
        <v>0</v>
      </c>
      <c r="AD171" s="25">
        <v>0</v>
      </c>
      <c r="AE171" s="25">
        <v>0</v>
      </c>
      <c r="AF171" s="25">
        <v>0</v>
      </c>
      <c r="AG171" s="25">
        <v>0</v>
      </c>
      <c r="AH171" s="25"/>
      <c r="AI171" s="25"/>
      <c r="AJ171" s="25"/>
      <c r="AK171" s="25"/>
      <c r="AL171" s="25"/>
      <c r="AM171" s="25"/>
    </row>
    <row r="172" spans="1:39" ht="15" customHeight="1">
      <c r="A172" s="32" t="str">
        <f t="shared" si="9"/>
        <v>AusNet--˃ 11 kV &amp; &lt; = 22 kV; CONCRETE</v>
      </c>
      <c r="B172" s="32" t="str">
        <f t="shared" si="10"/>
        <v>AusNet</v>
      </c>
      <c r="C172" s="32" t="s">
        <v>1</v>
      </c>
      <c r="D172" s="393"/>
      <c r="F172" t="s">
        <v>153</v>
      </c>
      <c r="G172" s="21">
        <v>7373.1921700000003</v>
      </c>
      <c r="H172" s="21">
        <v>3675.8705599999998</v>
      </c>
      <c r="I172" s="21">
        <v>3118.7622900000001</v>
      </c>
      <c r="J172" s="21">
        <v>5332.55926</v>
      </c>
      <c r="K172" s="21">
        <v>10452.999810000001</v>
      </c>
      <c r="L172" s="21"/>
      <c r="M172" s="21"/>
      <c r="N172" s="21"/>
      <c r="O172" s="21"/>
      <c r="P172" s="21"/>
      <c r="Q172" s="21"/>
      <c r="R172" s="23">
        <v>525</v>
      </c>
      <c r="S172" s="23">
        <v>371</v>
      </c>
      <c r="T172" s="23">
        <v>543</v>
      </c>
      <c r="U172" s="23">
        <v>610</v>
      </c>
      <c r="V172" s="23">
        <v>664</v>
      </c>
      <c r="W172" s="23"/>
      <c r="X172" s="23"/>
      <c r="Y172" s="23"/>
      <c r="Z172" s="23"/>
      <c r="AA172" s="23"/>
      <c r="AB172" s="23"/>
      <c r="AC172" s="25">
        <v>762.58646620000002</v>
      </c>
      <c r="AD172" s="25">
        <v>1106.087896</v>
      </c>
      <c r="AE172" s="25">
        <v>1455.5717649999999</v>
      </c>
      <c r="AF172" s="25">
        <v>1480.0214900000001</v>
      </c>
      <c r="AG172" s="25">
        <v>3363.5511270000002</v>
      </c>
      <c r="AH172" s="25"/>
      <c r="AI172" s="25"/>
      <c r="AJ172" s="25"/>
      <c r="AK172" s="25"/>
      <c r="AL172" s="25"/>
      <c r="AM172" s="25"/>
    </row>
    <row r="173" spans="1:39" ht="15" customHeight="1">
      <c r="A173" s="32" t="str">
        <f t="shared" si="9"/>
        <v>AusNet--&gt; 22 kV &amp; &lt; = 66 kV; CONCRETE</v>
      </c>
      <c r="B173" s="32" t="str">
        <f t="shared" si="10"/>
        <v>AusNet</v>
      </c>
      <c r="C173" s="32" t="s">
        <v>1</v>
      </c>
      <c r="D173" s="393"/>
      <c r="F173" t="s">
        <v>155</v>
      </c>
      <c r="G173" s="21">
        <v>1523.22892</v>
      </c>
      <c r="H173" s="21">
        <v>1557.75692</v>
      </c>
      <c r="I173" s="21">
        <v>1542.7034799999999</v>
      </c>
      <c r="J173" s="21">
        <v>1446.96245</v>
      </c>
      <c r="K173" s="21">
        <v>3599.89311</v>
      </c>
      <c r="L173" s="21"/>
      <c r="M173" s="21"/>
      <c r="N173" s="21"/>
      <c r="O173" s="21"/>
      <c r="P173" s="21"/>
      <c r="Q173" s="21"/>
      <c r="R173" s="23">
        <v>109</v>
      </c>
      <c r="S173" s="23">
        <v>97</v>
      </c>
      <c r="T173" s="23">
        <v>111</v>
      </c>
      <c r="U173" s="23">
        <v>63</v>
      </c>
      <c r="V173" s="23">
        <v>114</v>
      </c>
      <c r="W173" s="23"/>
      <c r="X173" s="23"/>
      <c r="Y173" s="23"/>
      <c r="Z173" s="23"/>
      <c r="AA173" s="23"/>
      <c r="AB173" s="23"/>
      <c r="AC173" s="25">
        <v>153.19018399999999</v>
      </c>
      <c r="AD173" s="25">
        <v>105.6034483</v>
      </c>
      <c r="AE173" s="25">
        <v>172.63694269999999</v>
      </c>
      <c r="AF173" s="25">
        <v>142.0917431</v>
      </c>
      <c r="AG173" s="25">
        <v>379.10344830000003</v>
      </c>
      <c r="AH173" s="25"/>
      <c r="AI173" s="25"/>
      <c r="AJ173" s="25"/>
      <c r="AK173" s="25"/>
      <c r="AL173" s="25"/>
      <c r="AM173" s="25"/>
    </row>
    <row r="174" spans="1:39" ht="15" customHeight="1">
      <c r="A174" s="32" t="str">
        <f t="shared" si="9"/>
        <v>AusNet--&gt; 66 kV &amp; &lt; = 132 kV; CONCRETE</v>
      </c>
      <c r="B174" s="32" t="str">
        <f t="shared" si="10"/>
        <v>AusNet</v>
      </c>
      <c r="C174" s="32" t="s">
        <v>1</v>
      </c>
      <c r="D174" s="393"/>
      <c r="F174" t="s">
        <v>157</v>
      </c>
      <c r="G174" s="21">
        <v>0</v>
      </c>
      <c r="H174" s="21">
        <v>0</v>
      </c>
      <c r="I174" s="21">
        <v>0</v>
      </c>
      <c r="J174" s="21">
        <v>0</v>
      </c>
      <c r="K174" s="21">
        <v>0</v>
      </c>
      <c r="L174" s="21"/>
      <c r="M174" s="21"/>
      <c r="N174" s="21"/>
      <c r="O174" s="21"/>
      <c r="P174" s="21"/>
      <c r="Q174" s="21"/>
      <c r="R174" s="23">
        <v>0</v>
      </c>
      <c r="S174" s="23">
        <v>0</v>
      </c>
      <c r="T174" s="23">
        <v>0</v>
      </c>
      <c r="U174" s="23">
        <v>0</v>
      </c>
      <c r="V174" s="23">
        <v>0</v>
      </c>
      <c r="W174" s="23"/>
      <c r="X174" s="23"/>
      <c r="Y174" s="23"/>
      <c r="Z174" s="23"/>
      <c r="AA174" s="23"/>
      <c r="AB174" s="23"/>
      <c r="AC174" s="25">
        <v>0</v>
      </c>
      <c r="AD174" s="25">
        <v>0</v>
      </c>
      <c r="AE174" s="25">
        <v>0</v>
      </c>
      <c r="AF174" s="25">
        <v>0</v>
      </c>
      <c r="AG174" s="25">
        <v>0</v>
      </c>
      <c r="AH174" s="25"/>
      <c r="AI174" s="25"/>
      <c r="AJ174" s="25"/>
      <c r="AK174" s="25"/>
      <c r="AL174" s="25"/>
      <c r="AM174" s="25"/>
    </row>
    <row r="175" spans="1:39" ht="15" customHeight="1">
      <c r="A175" s="32" t="str">
        <f t="shared" si="9"/>
        <v>AusNet--&gt; 132 kV; CONCRETE</v>
      </c>
      <c r="B175" s="32" t="str">
        <f t="shared" si="10"/>
        <v>AusNet</v>
      </c>
      <c r="C175" s="32" t="s">
        <v>1</v>
      </c>
      <c r="D175" s="393"/>
      <c r="F175" t="s">
        <v>159</v>
      </c>
      <c r="G175" s="21">
        <v>0</v>
      </c>
      <c r="H175" s="21">
        <v>0</v>
      </c>
      <c r="I175" s="21">
        <v>0</v>
      </c>
      <c r="J175" s="21">
        <v>0</v>
      </c>
      <c r="K175" s="21">
        <v>0</v>
      </c>
      <c r="L175" s="21"/>
      <c r="M175" s="21"/>
      <c r="N175" s="21"/>
      <c r="O175" s="21"/>
      <c r="P175" s="21"/>
      <c r="Q175" s="21"/>
      <c r="R175" s="23">
        <v>0</v>
      </c>
      <c r="S175" s="23">
        <v>0</v>
      </c>
      <c r="T175" s="23">
        <v>0</v>
      </c>
      <c r="U175" s="23">
        <v>0</v>
      </c>
      <c r="V175" s="23">
        <v>0</v>
      </c>
      <c r="W175" s="23"/>
      <c r="X175" s="23"/>
      <c r="Y175" s="23"/>
      <c r="Z175" s="23"/>
      <c r="AA175" s="23"/>
      <c r="AB175" s="23"/>
      <c r="AC175" s="25">
        <v>0</v>
      </c>
      <c r="AD175" s="25">
        <v>0</v>
      </c>
      <c r="AE175" s="25">
        <v>0</v>
      </c>
      <c r="AF175" s="25">
        <v>0</v>
      </c>
      <c r="AG175" s="25">
        <v>0</v>
      </c>
      <c r="AH175" s="25"/>
      <c r="AI175" s="25"/>
      <c r="AJ175" s="25"/>
      <c r="AK175" s="25"/>
      <c r="AL175" s="25"/>
      <c r="AM175" s="25"/>
    </row>
    <row r="176" spans="1:39" ht="15" customHeight="1">
      <c r="A176" s="32" t="str">
        <f t="shared" si="9"/>
        <v>AusNet--˂ = 1 kV; STEEL</v>
      </c>
      <c r="B176" s="32" t="str">
        <f t="shared" si="10"/>
        <v>AusNet</v>
      </c>
      <c r="C176" s="32" t="s">
        <v>1</v>
      </c>
      <c r="D176" s="393"/>
      <c r="F176" t="s">
        <v>161</v>
      </c>
      <c r="G176" s="21">
        <v>7154.8725599999998</v>
      </c>
      <c r="H176" s="21">
        <v>2938.10734</v>
      </c>
      <c r="I176" s="21">
        <v>4268.81466</v>
      </c>
      <c r="J176" s="21">
        <v>5762.3263799999995</v>
      </c>
      <c r="K176" s="21">
        <v>5729.2993099999994</v>
      </c>
      <c r="L176" s="21"/>
      <c r="M176" s="21"/>
      <c r="N176" s="21"/>
      <c r="O176" s="21"/>
      <c r="P176" s="21"/>
      <c r="Q176" s="21"/>
      <c r="R176" s="23">
        <v>908</v>
      </c>
      <c r="S176" s="23">
        <v>529</v>
      </c>
      <c r="T176" s="23">
        <v>1324</v>
      </c>
      <c r="U176" s="23">
        <v>1174</v>
      </c>
      <c r="V176" s="23">
        <v>649</v>
      </c>
      <c r="W176" s="23"/>
      <c r="X176" s="23"/>
      <c r="Y176" s="23"/>
      <c r="Z176" s="23"/>
      <c r="AA176" s="23"/>
      <c r="AB176" s="23"/>
      <c r="AC176" s="25">
        <v>692.52749300000005</v>
      </c>
      <c r="AD176" s="25">
        <v>872.46305419999999</v>
      </c>
      <c r="AE176" s="25">
        <v>1521.142857</v>
      </c>
      <c r="AF176" s="25">
        <v>1677.4930939999999</v>
      </c>
      <c r="AG176" s="25">
        <v>1694.447545</v>
      </c>
      <c r="AH176" s="25"/>
      <c r="AI176" s="25"/>
      <c r="AJ176" s="25"/>
      <c r="AK176" s="25"/>
      <c r="AL176" s="25"/>
      <c r="AM176" s="25"/>
    </row>
    <row r="177" spans="1:39" ht="15" customHeight="1">
      <c r="A177" s="32" t="str">
        <f t="shared" si="9"/>
        <v>AusNet--&gt; 1 kV &amp; &lt; = 11 kV; STEEL</v>
      </c>
      <c r="B177" s="32" t="str">
        <f t="shared" si="10"/>
        <v>AusNet</v>
      </c>
      <c r="C177" s="32" t="s">
        <v>1</v>
      </c>
      <c r="D177" s="393"/>
      <c r="F177" t="s">
        <v>163</v>
      </c>
      <c r="G177" s="21">
        <v>0</v>
      </c>
      <c r="H177" s="21">
        <v>0</v>
      </c>
      <c r="I177" s="21">
        <v>0</v>
      </c>
      <c r="J177" s="21">
        <v>0</v>
      </c>
      <c r="K177" s="21">
        <v>0</v>
      </c>
      <c r="L177" s="21"/>
      <c r="M177" s="21"/>
      <c r="N177" s="21"/>
      <c r="O177" s="21"/>
      <c r="P177" s="21"/>
      <c r="Q177" s="21"/>
      <c r="R177" s="23">
        <v>0</v>
      </c>
      <c r="S177" s="23">
        <v>0</v>
      </c>
      <c r="T177" s="23">
        <v>0</v>
      </c>
      <c r="U177" s="23">
        <v>0</v>
      </c>
      <c r="V177" s="23">
        <v>0</v>
      </c>
      <c r="W177" s="23"/>
      <c r="X177" s="23"/>
      <c r="Y177" s="23"/>
      <c r="Z177" s="23"/>
      <c r="AA177" s="23"/>
      <c r="AB177" s="23"/>
      <c r="AC177" s="25">
        <v>0</v>
      </c>
      <c r="AD177" s="25">
        <v>0</v>
      </c>
      <c r="AE177" s="25">
        <v>0</v>
      </c>
      <c r="AF177" s="25">
        <v>0</v>
      </c>
      <c r="AG177" s="25">
        <v>0</v>
      </c>
      <c r="AH177" s="25"/>
      <c r="AI177" s="25"/>
      <c r="AJ177" s="25"/>
      <c r="AK177" s="25"/>
      <c r="AL177" s="25"/>
      <c r="AM177" s="25"/>
    </row>
    <row r="178" spans="1:39" ht="15" customHeight="1">
      <c r="A178" s="32" t="str">
        <f t="shared" si="9"/>
        <v>AusNet--˃ 11 kV &amp; &lt; = 22 kV; STEEL</v>
      </c>
      <c r="B178" s="32" t="str">
        <f t="shared" si="10"/>
        <v>AusNet</v>
      </c>
      <c r="C178" s="32" t="s">
        <v>1</v>
      </c>
      <c r="D178" s="393"/>
      <c r="F178" t="s">
        <v>165</v>
      </c>
      <c r="G178" s="21">
        <v>7526.3049000000001</v>
      </c>
      <c r="H178" s="21">
        <v>1879.4880600000001</v>
      </c>
      <c r="I178" s="21">
        <v>3031.3621000000003</v>
      </c>
      <c r="J178" s="21">
        <v>5288.4840700000004</v>
      </c>
      <c r="K178" s="21">
        <v>4450.6479300000001</v>
      </c>
      <c r="L178" s="21"/>
      <c r="M178" s="21"/>
      <c r="N178" s="21"/>
      <c r="O178" s="21"/>
      <c r="P178" s="21"/>
      <c r="Q178" s="21"/>
      <c r="R178" s="23">
        <v>551</v>
      </c>
      <c r="S178" s="23">
        <v>195</v>
      </c>
      <c r="T178" s="23">
        <v>543</v>
      </c>
      <c r="U178" s="23">
        <v>622</v>
      </c>
      <c r="V178" s="23">
        <v>291</v>
      </c>
      <c r="W178" s="23"/>
      <c r="X178" s="23"/>
      <c r="Y178" s="23"/>
      <c r="Z178" s="23"/>
      <c r="AA178" s="23"/>
      <c r="AB178" s="23"/>
      <c r="AC178" s="25">
        <v>801.58236499999998</v>
      </c>
      <c r="AD178" s="25">
        <v>581.06484150000006</v>
      </c>
      <c r="AE178" s="25">
        <v>1455.5717649999999</v>
      </c>
      <c r="AF178" s="25">
        <v>1508.946991</v>
      </c>
      <c r="AG178" s="25">
        <v>1473.124783</v>
      </c>
      <c r="AH178" s="25"/>
      <c r="AI178" s="25"/>
      <c r="AJ178" s="25"/>
      <c r="AK178" s="25"/>
      <c r="AL178" s="25"/>
      <c r="AM178" s="25"/>
    </row>
    <row r="179" spans="1:39" ht="15" customHeight="1">
      <c r="A179" s="32" t="str">
        <f t="shared" si="9"/>
        <v>AusNet--&gt; 22 kV &amp; &lt; = 66 kV; STEEL</v>
      </c>
      <c r="B179" s="32" t="str">
        <f t="shared" si="10"/>
        <v>AusNet</v>
      </c>
      <c r="C179" s="32" t="s">
        <v>1</v>
      </c>
      <c r="D179" s="393"/>
      <c r="F179" t="s">
        <v>166</v>
      </c>
      <c r="G179" s="21">
        <v>173.85395</v>
      </c>
      <c r="H179" s="21">
        <v>68.654359999999997</v>
      </c>
      <c r="I179" s="21">
        <v>318.93196</v>
      </c>
      <c r="J179" s="21">
        <v>314.40446999999995</v>
      </c>
      <c r="K179" s="21">
        <v>278.76039000000003</v>
      </c>
      <c r="L179" s="21"/>
      <c r="M179" s="21"/>
      <c r="N179" s="21"/>
      <c r="O179" s="21"/>
      <c r="P179" s="21"/>
      <c r="Q179" s="21"/>
      <c r="R179" s="23">
        <v>13</v>
      </c>
      <c r="S179" s="23">
        <v>4</v>
      </c>
      <c r="T179" s="23">
        <v>24</v>
      </c>
      <c r="U179" s="23">
        <v>14</v>
      </c>
      <c r="V179" s="23">
        <v>9</v>
      </c>
      <c r="W179" s="23"/>
      <c r="X179" s="23"/>
      <c r="Y179" s="23"/>
      <c r="Z179" s="23"/>
      <c r="AA179" s="23"/>
      <c r="AB179" s="23"/>
      <c r="AC179" s="25">
        <v>18.10429448</v>
      </c>
      <c r="AD179" s="25">
        <v>4.3103448279999999</v>
      </c>
      <c r="AE179" s="25">
        <v>36.993630570000001</v>
      </c>
      <c r="AF179" s="25">
        <v>31.082568810000001</v>
      </c>
      <c r="AG179" s="25">
        <v>29.66896552</v>
      </c>
      <c r="AH179" s="25"/>
      <c r="AI179" s="25"/>
      <c r="AJ179" s="25"/>
      <c r="AK179" s="25"/>
      <c r="AL179" s="25"/>
      <c r="AM179" s="25"/>
    </row>
    <row r="180" spans="1:39" ht="15" customHeight="1">
      <c r="A180" s="32" t="str">
        <f t="shared" si="9"/>
        <v>AusNet--&gt; 66 kV &amp; &lt; = 132 kV; STEEL</v>
      </c>
      <c r="B180" s="32" t="str">
        <f t="shared" si="10"/>
        <v>AusNet</v>
      </c>
      <c r="C180" s="32" t="s">
        <v>1</v>
      </c>
      <c r="D180" s="393"/>
      <c r="F180" t="s">
        <v>167</v>
      </c>
      <c r="G180" s="21">
        <v>0</v>
      </c>
      <c r="H180" s="21">
        <v>0</v>
      </c>
      <c r="I180" s="21">
        <v>0</v>
      </c>
      <c r="J180" s="21">
        <v>0</v>
      </c>
      <c r="K180" s="21">
        <v>0</v>
      </c>
      <c r="L180" s="21"/>
      <c r="M180" s="21"/>
      <c r="N180" s="21"/>
      <c r="O180" s="21"/>
      <c r="P180" s="21"/>
      <c r="Q180" s="21"/>
      <c r="R180" s="23">
        <v>0</v>
      </c>
      <c r="S180" s="23">
        <v>0</v>
      </c>
      <c r="T180" s="23">
        <v>0</v>
      </c>
      <c r="U180" s="23">
        <v>0</v>
      </c>
      <c r="V180" s="23">
        <v>0</v>
      </c>
      <c r="W180" s="23"/>
      <c r="X180" s="23"/>
      <c r="Y180" s="23"/>
      <c r="Z180" s="23"/>
      <c r="AA180" s="23"/>
      <c r="AB180" s="23"/>
      <c r="AC180" s="25">
        <v>0</v>
      </c>
      <c r="AD180" s="25">
        <v>0</v>
      </c>
      <c r="AE180" s="25">
        <v>0</v>
      </c>
      <c r="AF180" s="25">
        <v>0</v>
      </c>
      <c r="AG180" s="25">
        <v>0</v>
      </c>
      <c r="AH180" s="25"/>
      <c r="AI180" s="25"/>
      <c r="AJ180" s="25"/>
      <c r="AK180" s="25"/>
      <c r="AL180" s="25"/>
      <c r="AM180" s="25"/>
    </row>
    <row r="181" spans="1:39" ht="15" customHeight="1">
      <c r="A181" s="32" t="str">
        <f t="shared" si="9"/>
        <v>AusNet--&gt; 132 kV; STEEL</v>
      </c>
      <c r="B181" s="32" t="str">
        <f t="shared" si="10"/>
        <v>AusNet</v>
      </c>
      <c r="C181" s="32" t="s">
        <v>1</v>
      </c>
      <c r="D181" s="393"/>
      <c r="F181" t="s">
        <v>168</v>
      </c>
      <c r="G181" s="21">
        <v>0</v>
      </c>
      <c r="H181" s="21">
        <v>0</v>
      </c>
      <c r="I181" s="21">
        <v>0</v>
      </c>
      <c r="J181" s="21">
        <v>0</v>
      </c>
      <c r="K181" s="21">
        <v>0</v>
      </c>
      <c r="L181" s="21"/>
      <c r="M181" s="21"/>
      <c r="N181" s="21"/>
      <c r="O181" s="21"/>
      <c r="P181" s="21"/>
      <c r="Q181" s="21"/>
      <c r="R181" s="23">
        <v>0</v>
      </c>
      <c r="S181" s="23">
        <v>0</v>
      </c>
      <c r="T181" s="23">
        <v>0</v>
      </c>
      <c r="U181" s="23">
        <v>0</v>
      </c>
      <c r="V181" s="23">
        <v>0</v>
      </c>
      <c r="W181" s="23"/>
      <c r="X181" s="23"/>
      <c r="Y181" s="23"/>
      <c r="Z181" s="23"/>
      <c r="AA181" s="23"/>
      <c r="AB181" s="23"/>
      <c r="AC181" s="25">
        <v>0</v>
      </c>
      <c r="AD181" s="25">
        <v>0</v>
      </c>
      <c r="AE181" s="25">
        <v>0</v>
      </c>
      <c r="AF181" s="25">
        <v>0</v>
      </c>
      <c r="AG181" s="25">
        <v>0</v>
      </c>
      <c r="AH181" s="25"/>
      <c r="AI181" s="25"/>
      <c r="AJ181" s="25"/>
      <c r="AK181" s="25"/>
      <c r="AL181" s="25"/>
      <c r="AM181" s="25"/>
    </row>
    <row r="182" spans="1:39" ht="15" customHeight="1">
      <c r="A182" s="32" t="str">
        <f t="shared" si="9"/>
        <v>AusNet--OTHER - PLEASE ADD A ROW IF NECESSARY AND NOMINATE THE CATEGORY</v>
      </c>
      <c r="B182" s="32" t="str">
        <f t="shared" si="10"/>
        <v>AusNet</v>
      </c>
      <c r="C182" s="32" t="s">
        <v>1</v>
      </c>
      <c r="D182" s="393"/>
      <c r="F182" t="s">
        <v>170</v>
      </c>
      <c r="G182" s="21">
        <v>0</v>
      </c>
      <c r="H182" s="21">
        <v>0</v>
      </c>
      <c r="I182" s="21">
        <v>0</v>
      </c>
      <c r="J182" s="21">
        <v>0</v>
      </c>
      <c r="K182" s="21">
        <v>0</v>
      </c>
      <c r="L182" s="21"/>
      <c r="M182" s="21"/>
      <c r="N182" s="21"/>
      <c r="O182" s="21"/>
      <c r="P182" s="21"/>
      <c r="Q182" s="21"/>
      <c r="R182" s="23">
        <v>0</v>
      </c>
      <c r="S182" s="23">
        <v>0</v>
      </c>
      <c r="T182" s="23">
        <v>0</v>
      </c>
      <c r="U182" s="23">
        <v>0</v>
      </c>
      <c r="V182" s="23">
        <v>0</v>
      </c>
      <c r="W182" s="23"/>
      <c r="X182" s="23"/>
      <c r="Y182" s="23"/>
      <c r="Z182" s="23"/>
      <c r="AA182" s="23"/>
      <c r="AB182" s="23"/>
      <c r="AC182" s="25">
        <v>0</v>
      </c>
      <c r="AD182" s="25">
        <v>0</v>
      </c>
      <c r="AE182" s="25">
        <v>0</v>
      </c>
      <c r="AF182" s="25">
        <v>0</v>
      </c>
      <c r="AG182" s="25">
        <v>0</v>
      </c>
      <c r="AH182" s="25"/>
      <c r="AI182" s="25"/>
      <c r="AJ182" s="25"/>
      <c r="AK182" s="25"/>
      <c r="AL182" s="25"/>
      <c r="AM182" s="25"/>
    </row>
    <row r="183" spans="1:39" ht="30" customHeight="1">
      <c r="A183" s="32" t="str">
        <f t="shared" si="9"/>
        <v>AusNet-POLE TOP STRUCTURES BY: 
HIGHEST OPERATING VOLTAGE-˂ = 1 kV</v>
      </c>
      <c r="B183" s="32" t="str">
        <f t="shared" si="10"/>
        <v>AusNet</v>
      </c>
      <c r="C183" s="32" t="s">
        <v>1131</v>
      </c>
      <c r="D183" s="393"/>
      <c r="E183" s="3" t="s">
        <v>660</v>
      </c>
      <c r="F183" t="s">
        <v>171</v>
      </c>
      <c r="G183" s="21">
        <v>1813.1679999999999</v>
      </c>
      <c r="H183" s="21">
        <v>2734.06</v>
      </c>
      <c r="I183" s="21">
        <v>4020.654</v>
      </c>
      <c r="J183" s="21">
        <v>6521.0140000000001</v>
      </c>
      <c r="K183" s="21">
        <v>6175.3069999999998</v>
      </c>
      <c r="L183" s="21"/>
      <c r="M183" s="21"/>
      <c r="N183" s="21"/>
      <c r="O183" s="21"/>
      <c r="P183" s="21"/>
      <c r="Q183" s="21"/>
      <c r="R183" s="23">
        <v>919</v>
      </c>
      <c r="S183" s="23">
        <v>686</v>
      </c>
      <c r="T183" s="23">
        <v>1911</v>
      </c>
      <c r="U183" s="23">
        <v>2589</v>
      </c>
      <c r="V183" s="23">
        <v>1657</v>
      </c>
      <c r="W183" s="23"/>
      <c r="X183" s="23"/>
      <c r="Y183" s="23"/>
      <c r="Z183" s="23"/>
      <c r="AA183" s="23"/>
      <c r="AB183" s="23"/>
      <c r="AC183" s="25">
        <v>4871</v>
      </c>
      <c r="AD183" s="25">
        <v>4755</v>
      </c>
      <c r="AE183" s="25">
        <v>8064</v>
      </c>
      <c r="AF183" s="25">
        <v>8906</v>
      </c>
      <c r="AG183" s="25">
        <v>5469</v>
      </c>
      <c r="AH183" s="25"/>
      <c r="AI183" s="25"/>
      <c r="AJ183" s="25"/>
      <c r="AK183" s="25"/>
      <c r="AL183" s="25"/>
      <c r="AM183" s="25"/>
    </row>
    <row r="184" spans="1:39" ht="15" customHeight="1">
      <c r="A184" s="32" t="str">
        <f t="shared" si="9"/>
        <v>AusNet--&gt; 1 kV &amp; &lt; = 11 kV</v>
      </c>
      <c r="B184" s="32" t="str">
        <f t="shared" si="10"/>
        <v>AusNet</v>
      </c>
      <c r="C184" s="32" t="s">
        <v>1131</v>
      </c>
      <c r="D184" s="393"/>
      <c r="F184" t="s">
        <v>172</v>
      </c>
      <c r="G184" s="21">
        <v>55.067999999999998</v>
      </c>
      <c r="H184" s="21">
        <v>44.22</v>
      </c>
      <c r="I184" s="21">
        <v>143.06100000000001</v>
      </c>
      <c r="J184" s="21">
        <v>200.48</v>
      </c>
      <c r="K184" s="21">
        <v>245.041</v>
      </c>
      <c r="L184" s="21"/>
      <c r="M184" s="21"/>
      <c r="N184" s="21"/>
      <c r="O184" s="21"/>
      <c r="P184" s="21"/>
      <c r="Q184" s="21"/>
      <c r="R184" s="23">
        <v>28</v>
      </c>
      <c r="S184" s="23">
        <v>11</v>
      </c>
      <c r="T184" s="23">
        <v>68</v>
      </c>
      <c r="U184" s="23">
        <v>80</v>
      </c>
      <c r="V184" s="23">
        <v>66</v>
      </c>
      <c r="W184" s="23"/>
      <c r="X184" s="23"/>
      <c r="Y184" s="23"/>
      <c r="Z184" s="23"/>
      <c r="AA184" s="23"/>
      <c r="AB184" s="23"/>
      <c r="AC184" s="25">
        <v>122</v>
      </c>
      <c r="AD184" s="25">
        <v>109</v>
      </c>
      <c r="AE184" s="25">
        <v>164</v>
      </c>
      <c r="AF184" s="25">
        <v>155</v>
      </c>
      <c r="AG184" s="25">
        <v>230</v>
      </c>
      <c r="AH184" s="25"/>
      <c r="AI184" s="25"/>
      <c r="AJ184" s="25"/>
      <c r="AK184" s="25"/>
      <c r="AL184" s="25"/>
      <c r="AM184" s="25"/>
    </row>
    <row r="185" spans="1:39" ht="15" customHeight="1">
      <c r="A185" s="32" t="str">
        <f t="shared" si="9"/>
        <v>AusNet--˃ 11 kV &amp; &lt; = 22 kV</v>
      </c>
      <c r="B185" s="32" t="str">
        <f t="shared" si="10"/>
        <v>AusNet</v>
      </c>
      <c r="C185" s="32" t="s">
        <v>1131</v>
      </c>
      <c r="D185" s="393"/>
      <c r="F185" t="s">
        <v>173</v>
      </c>
      <c r="G185" s="21">
        <v>14940.313</v>
      </c>
      <c r="H185" s="21">
        <v>16926.088</v>
      </c>
      <c r="I185" s="21">
        <v>23139.075000000001</v>
      </c>
      <c r="J185" s="21">
        <v>28521.092000000001</v>
      </c>
      <c r="K185" s="21">
        <v>27303.496999999999</v>
      </c>
      <c r="L185" s="21"/>
      <c r="M185" s="21"/>
      <c r="N185" s="21"/>
      <c r="O185" s="21"/>
      <c r="P185" s="21"/>
      <c r="Q185" s="21"/>
      <c r="R185" s="23">
        <v>5786</v>
      </c>
      <c r="S185" s="23">
        <v>3247</v>
      </c>
      <c r="T185" s="23">
        <v>8403</v>
      </c>
      <c r="U185" s="23">
        <v>8653</v>
      </c>
      <c r="V185" s="23">
        <v>5599</v>
      </c>
      <c r="W185" s="23"/>
      <c r="X185" s="23"/>
      <c r="Y185" s="23"/>
      <c r="Z185" s="23"/>
      <c r="AA185" s="23"/>
      <c r="AB185" s="23"/>
      <c r="AC185" s="25">
        <v>15639</v>
      </c>
      <c r="AD185" s="25">
        <v>13916</v>
      </c>
      <c r="AE185" s="25">
        <v>27368</v>
      </c>
      <c r="AF185" s="25">
        <v>24111</v>
      </c>
      <c r="AG185" s="25">
        <v>19965</v>
      </c>
      <c r="AH185" s="25"/>
      <c r="AI185" s="25"/>
      <c r="AJ185" s="25"/>
      <c r="AK185" s="25"/>
      <c r="AL185" s="25"/>
      <c r="AM185" s="25"/>
    </row>
    <row r="186" spans="1:39" ht="15" customHeight="1">
      <c r="A186" s="32" t="str">
        <f t="shared" si="9"/>
        <v>AusNet--&gt; 22 kV &amp; &lt; = 66 kV</v>
      </c>
      <c r="B186" s="32" t="str">
        <f t="shared" si="10"/>
        <v>AusNet</v>
      </c>
      <c r="C186" s="32" t="s">
        <v>1131</v>
      </c>
      <c r="D186" s="393"/>
      <c r="F186" t="s">
        <v>174</v>
      </c>
      <c r="G186" s="21">
        <v>2697.529</v>
      </c>
      <c r="H186" s="21">
        <v>2510.4479999999999</v>
      </c>
      <c r="I186" s="21">
        <v>2872.1379999999999</v>
      </c>
      <c r="J186" s="21">
        <v>3156.8879999999999</v>
      </c>
      <c r="K186" s="21">
        <v>2938.991</v>
      </c>
      <c r="L186" s="21"/>
      <c r="M186" s="21"/>
      <c r="N186" s="21"/>
      <c r="O186" s="21"/>
      <c r="P186" s="21"/>
      <c r="Q186" s="21"/>
      <c r="R186" s="23">
        <v>881</v>
      </c>
      <c r="S186" s="23">
        <v>406</v>
      </c>
      <c r="T186" s="23">
        <v>879</v>
      </c>
      <c r="U186" s="23">
        <v>807</v>
      </c>
      <c r="V186" s="23">
        <v>508</v>
      </c>
      <c r="W186" s="23"/>
      <c r="X186" s="23"/>
      <c r="Y186" s="23"/>
      <c r="Z186" s="23"/>
      <c r="AA186" s="23"/>
      <c r="AB186" s="23"/>
      <c r="AC186" s="25">
        <v>1675</v>
      </c>
      <c r="AD186" s="25">
        <v>924</v>
      </c>
      <c r="AE186" s="25">
        <v>1940</v>
      </c>
      <c r="AF186" s="25">
        <v>1309</v>
      </c>
      <c r="AG186" s="25">
        <v>1585</v>
      </c>
      <c r="AH186" s="25"/>
      <c r="AI186" s="25"/>
      <c r="AJ186" s="25"/>
      <c r="AK186" s="25"/>
      <c r="AL186" s="25"/>
      <c r="AM186" s="25"/>
    </row>
    <row r="187" spans="1:39" ht="15" customHeight="1">
      <c r="A187" s="32" t="str">
        <f t="shared" si="9"/>
        <v>AusNet--&gt; 66 kV &amp; &lt; = 132 kV</v>
      </c>
      <c r="B187" s="32" t="str">
        <f t="shared" si="10"/>
        <v>AusNet</v>
      </c>
      <c r="C187" s="32" t="s">
        <v>1131</v>
      </c>
      <c r="D187" s="393"/>
      <c r="F187" t="s">
        <v>175</v>
      </c>
      <c r="G187" s="21">
        <v>0</v>
      </c>
      <c r="H187" s="21">
        <v>0</v>
      </c>
      <c r="I187" s="21">
        <v>0</v>
      </c>
      <c r="J187" s="21">
        <v>0</v>
      </c>
      <c r="K187" s="21">
        <v>0</v>
      </c>
      <c r="L187" s="21"/>
      <c r="M187" s="21"/>
      <c r="N187" s="21"/>
      <c r="O187" s="21"/>
      <c r="P187" s="21"/>
      <c r="Q187" s="21"/>
      <c r="R187" s="23">
        <v>0</v>
      </c>
      <c r="S187" s="23">
        <v>0</v>
      </c>
      <c r="T187" s="23">
        <v>0</v>
      </c>
      <c r="U187" s="23">
        <v>0</v>
      </c>
      <c r="V187" s="23">
        <v>0</v>
      </c>
      <c r="W187" s="23"/>
      <c r="X187" s="23"/>
      <c r="Y187" s="23"/>
      <c r="Z187" s="23"/>
      <c r="AA187" s="23"/>
      <c r="AB187" s="23"/>
      <c r="AC187" s="25">
        <v>0</v>
      </c>
      <c r="AD187" s="25">
        <v>0</v>
      </c>
      <c r="AE187" s="25">
        <v>0</v>
      </c>
      <c r="AF187" s="25">
        <v>0</v>
      </c>
      <c r="AG187" s="25">
        <v>0</v>
      </c>
      <c r="AH187" s="25"/>
      <c r="AI187" s="25"/>
      <c r="AJ187" s="25"/>
      <c r="AK187" s="25"/>
      <c r="AL187" s="25"/>
      <c r="AM187" s="25"/>
    </row>
    <row r="188" spans="1:39" ht="15" customHeight="1">
      <c r="A188" s="32" t="str">
        <f t="shared" si="9"/>
        <v>AusNet--&gt; 132 kV</v>
      </c>
      <c r="B188" s="32" t="str">
        <f t="shared" si="10"/>
        <v>AusNet</v>
      </c>
      <c r="C188" s="32" t="s">
        <v>1131</v>
      </c>
      <c r="D188" s="393"/>
      <c r="F188" t="s">
        <v>176</v>
      </c>
      <c r="G188" s="21">
        <v>0</v>
      </c>
      <c r="H188" s="21">
        <v>0</v>
      </c>
      <c r="I188" s="21">
        <v>0</v>
      </c>
      <c r="J188" s="21">
        <v>0</v>
      </c>
      <c r="K188" s="21">
        <v>0</v>
      </c>
      <c r="L188" s="21"/>
      <c r="M188" s="21"/>
      <c r="N188" s="21"/>
      <c r="O188" s="21"/>
      <c r="P188" s="21"/>
      <c r="Q188" s="21"/>
      <c r="R188" s="23">
        <v>0</v>
      </c>
      <c r="S188" s="23">
        <v>0</v>
      </c>
      <c r="T188" s="23">
        <v>0</v>
      </c>
      <c r="U188" s="23">
        <v>0</v>
      </c>
      <c r="V188" s="23">
        <v>0</v>
      </c>
      <c r="W188" s="23"/>
      <c r="X188" s="23"/>
      <c r="Y188" s="23"/>
      <c r="Z188" s="23"/>
      <c r="AA188" s="23"/>
      <c r="AB188" s="23"/>
      <c r="AC188" s="25">
        <v>0</v>
      </c>
      <c r="AD188" s="25">
        <v>0</v>
      </c>
      <c r="AE188" s="25">
        <v>0</v>
      </c>
      <c r="AF188" s="25">
        <v>0</v>
      </c>
      <c r="AG188" s="25">
        <v>0</v>
      </c>
      <c r="AH188" s="25"/>
      <c r="AI188" s="25"/>
      <c r="AJ188" s="25"/>
      <c r="AK188" s="25"/>
      <c r="AL188" s="25"/>
      <c r="AM188" s="25"/>
    </row>
    <row r="189" spans="1:39" ht="15" customHeight="1">
      <c r="A189" s="32" t="str">
        <f t="shared" si="9"/>
        <v>AusNet--OTHER - PLEASE ADD A ROW IF NECESSARY AND NOMINATE THE CATEGORY</v>
      </c>
      <c r="B189" s="32" t="str">
        <f t="shared" si="10"/>
        <v>AusNet</v>
      </c>
      <c r="C189" s="32" t="s">
        <v>1131</v>
      </c>
      <c r="D189" s="393"/>
      <c r="F189" t="s">
        <v>170</v>
      </c>
      <c r="G189" s="21">
        <v>0</v>
      </c>
      <c r="H189" s="21">
        <v>0</v>
      </c>
      <c r="I189" s="21">
        <v>0</v>
      </c>
      <c r="J189" s="21">
        <v>0</v>
      </c>
      <c r="K189" s="21">
        <v>0</v>
      </c>
      <c r="L189" s="21"/>
      <c r="M189" s="21"/>
      <c r="N189" s="21"/>
      <c r="O189" s="21"/>
      <c r="P189" s="21"/>
      <c r="Q189" s="21"/>
      <c r="R189" s="23">
        <v>0</v>
      </c>
      <c r="S189" s="23">
        <v>0</v>
      </c>
      <c r="T189" s="23">
        <v>0</v>
      </c>
      <c r="U189" s="23">
        <v>0</v>
      </c>
      <c r="V189" s="23">
        <v>0</v>
      </c>
      <c r="W189" s="23"/>
      <c r="X189" s="23"/>
      <c r="Y189" s="23"/>
      <c r="Z189" s="23"/>
      <c r="AA189" s="23"/>
      <c r="AB189" s="23"/>
      <c r="AC189" s="25">
        <v>0</v>
      </c>
      <c r="AD189" s="25">
        <v>0</v>
      </c>
      <c r="AE189" s="25">
        <v>0</v>
      </c>
      <c r="AF189" s="25">
        <v>0</v>
      </c>
      <c r="AG189" s="25">
        <v>0</v>
      </c>
      <c r="AH189" s="25"/>
      <c r="AI189" s="25"/>
      <c r="AJ189" s="25"/>
      <c r="AK189" s="25"/>
      <c r="AL189" s="25"/>
      <c r="AM189" s="25"/>
    </row>
    <row r="190" spans="1:39" ht="45" customHeight="1">
      <c r="A190" s="32" t="str">
        <f t="shared" si="9"/>
        <v>AusNet-OVERHEAD CONDUCTORS BY: 
HIGHEST OPERATING VOLTAGE; NUMBER OF PHASES (AT HV)-˂ = 1 kV</v>
      </c>
      <c r="B190" s="32" t="str">
        <f t="shared" si="10"/>
        <v>AusNet</v>
      </c>
      <c r="C190" s="32" t="s">
        <v>1132</v>
      </c>
      <c r="D190" s="393"/>
      <c r="E190" s="3" t="s">
        <v>538</v>
      </c>
      <c r="F190" t="s">
        <v>171</v>
      </c>
      <c r="G190" s="21">
        <v>341.19499999999999</v>
      </c>
      <c r="H190" s="21">
        <v>60.969000000000001</v>
      </c>
      <c r="I190" s="21">
        <v>41.216000000000001</v>
      </c>
      <c r="J190" s="21">
        <v>185.37899999999999</v>
      </c>
      <c r="K190" s="21">
        <v>48.444000000000003</v>
      </c>
      <c r="L190" s="21"/>
      <c r="M190" s="21"/>
      <c r="N190" s="21"/>
      <c r="O190" s="21"/>
      <c r="P190" s="21"/>
      <c r="Q190" s="21"/>
      <c r="R190" s="23">
        <v>54</v>
      </c>
      <c r="S190" s="23">
        <v>5</v>
      </c>
      <c r="T190" s="23">
        <v>6</v>
      </c>
      <c r="U190" s="23">
        <v>23</v>
      </c>
      <c r="V190" s="23">
        <v>4</v>
      </c>
      <c r="W190" s="23"/>
      <c r="X190" s="23"/>
      <c r="Y190" s="23"/>
      <c r="Z190" s="23"/>
      <c r="AA190" s="23"/>
      <c r="AB190" s="23"/>
      <c r="AC190" s="25">
        <v>319</v>
      </c>
      <c r="AD190" s="25">
        <v>77</v>
      </c>
      <c r="AE190" s="25">
        <v>58</v>
      </c>
      <c r="AF190" s="25">
        <v>183</v>
      </c>
      <c r="AG190" s="25">
        <v>68</v>
      </c>
      <c r="AH190" s="25"/>
      <c r="AI190" s="25"/>
      <c r="AJ190" s="25"/>
      <c r="AK190" s="25"/>
      <c r="AL190" s="25"/>
      <c r="AM190" s="25"/>
    </row>
    <row r="191" spans="1:39" ht="15" customHeight="1">
      <c r="A191" s="32" t="str">
        <f t="shared" si="9"/>
        <v>AusNet--&gt; 1 kV &amp; &lt; = 11 kV</v>
      </c>
      <c r="B191" s="32" t="str">
        <f t="shared" si="10"/>
        <v>AusNet</v>
      </c>
      <c r="C191" s="32" t="s">
        <v>1132</v>
      </c>
      <c r="D191" s="393"/>
      <c r="F191" t="s">
        <v>172</v>
      </c>
      <c r="G191" s="21">
        <v>0</v>
      </c>
      <c r="H191" s="21">
        <v>0</v>
      </c>
      <c r="I191" s="21">
        <v>0</v>
      </c>
      <c r="J191" s="21">
        <v>0</v>
      </c>
      <c r="K191" s="21">
        <v>4.4039999999999999</v>
      </c>
      <c r="L191" s="21"/>
      <c r="M191" s="21"/>
      <c r="N191" s="21"/>
      <c r="O191" s="21"/>
      <c r="P191" s="21"/>
      <c r="Q191" s="21"/>
      <c r="R191" s="23">
        <v>0</v>
      </c>
      <c r="S191" s="23">
        <v>0</v>
      </c>
      <c r="T191" s="23">
        <v>0</v>
      </c>
      <c r="U191" s="23">
        <v>0</v>
      </c>
      <c r="V191" s="23">
        <v>0</v>
      </c>
      <c r="W191" s="23"/>
      <c r="X191" s="23"/>
      <c r="Y191" s="23"/>
      <c r="Z191" s="23"/>
      <c r="AA191" s="23"/>
      <c r="AB191" s="23"/>
      <c r="AC191" s="25">
        <v>20</v>
      </c>
      <c r="AD191" s="25">
        <v>46</v>
      </c>
      <c r="AE191" s="25">
        <v>53</v>
      </c>
      <c r="AF191" s="25">
        <v>64</v>
      </c>
      <c r="AG191" s="25">
        <v>54</v>
      </c>
      <c r="AH191" s="25"/>
      <c r="AI191" s="25"/>
      <c r="AJ191" s="25"/>
      <c r="AK191" s="25"/>
      <c r="AL191" s="25"/>
      <c r="AM191" s="25"/>
    </row>
    <row r="192" spans="1:39" ht="15" customHeight="1">
      <c r="A192" s="32" t="str">
        <f t="shared" si="9"/>
        <v>AusNet--˃ 11 kV &amp; &lt; = 22 kV  ; SWER</v>
      </c>
      <c r="B192" s="32" t="str">
        <f t="shared" si="10"/>
        <v>AusNet</v>
      </c>
      <c r="C192" s="32" t="s">
        <v>1132</v>
      </c>
      <c r="D192" s="393"/>
      <c r="F192" t="s">
        <v>177</v>
      </c>
      <c r="G192" s="21">
        <v>286.72899999999998</v>
      </c>
      <c r="H192" s="21">
        <v>331.553</v>
      </c>
      <c r="I192" s="21">
        <v>340.20400000000001</v>
      </c>
      <c r="J192" s="21">
        <v>1597.675</v>
      </c>
      <c r="K192" s="21">
        <v>718.48599999999999</v>
      </c>
      <c r="L192" s="21"/>
      <c r="M192" s="21"/>
      <c r="N192" s="21"/>
      <c r="O192" s="21"/>
      <c r="P192" s="21"/>
      <c r="Q192" s="21"/>
      <c r="R192" s="23">
        <v>8</v>
      </c>
      <c r="S192" s="23">
        <v>4</v>
      </c>
      <c r="T192" s="23">
        <v>9</v>
      </c>
      <c r="U192" s="23">
        <v>34</v>
      </c>
      <c r="V192" s="23">
        <v>10</v>
      </c>
      <c r="W192" s="23"/>
      <c r="X192" s="23"/>
      <c r="Y192" s="23"/>
      <c r="Z192" s="23"/>
      <c r="AA192" s="23"/>
      <c r="AB192" s="23"/>
      <c r="AC192" s="25">
        <v>299</v>
      </c>
      <c r="AD192" s="25">
        <v>358</v>
      </c>
      <c r="AE192" s="25">
        <v>959</v>
      </c>
      <c r="AF192" s="25">
        <v>1567</v>
      </c>
      <c r="AG192" s="25">
        <v>5306</v>
      </c>
      <c r="AH192" s="25"/>
      <c r="AI192" s="25"/>
      <c r="AJ192" s="25"/>
      <c r="AK192" s="25"/>
      <c r="AL192" s="25"/>
      <c r="AM192" s="25"/>
    </row>
    <row r="193" spans="1:39" ht="15" customHeight="1">
      <c r="A193" s="32" t="str">
        <f t="shared" si="9"/>
        <v>AusNet--˃ 11 kV &amp; &lt; = 22 kV ; SINGLE-PHASE</v>
      </c>
      <c r="B193" s="32" t="str">
        <f t="shared" si="10"/>
        <v>AusNet</v>
      </c>
      <c r="C193" s="32" t="s">
        <v>1132</v>
      </c>
      <c r="D193" s="393"/>
      <c r="F193" t="s">
        <v>178</v>
      </c>
      <c r="G193" s="21">
        <v>0</v>
      </c>
      <c r="H193" s="21">
        <v>0</v>
      </c>
      <c r="I193" s="21">
        <v>0</v>
      </c>
      <c r="J193" s="21">
        <v>0</v>
      </c>
      <c r="K193" s="21">
        <v>0</v>
      </c>
      <c r="L193" s="21"/>
      <c r="M193" s="21"/>
      <c r="N193" s="21"/>
      <c r="O193" s="21"/>
      <c r="P193" s="21"/>
      <c r="Q193" s="21"/>
      <c r="R193" s="23">
        <v>0</v>
      </c>
      <c r="S193" s="23">
        <v>0</v>
      </c>
      <c r="T193" s="23">
        <v>0</v>
      </c>
      <c r="U193" s="23">
        <v>0</v>
      </c>
      <c r="V193" s="23">
        <v>0</v>
      </c>
      <c r="W193" s="23"/>
      <c r="X193" s="23"/>
      <c r="Y193" s="23"/>
      <c r="Z193" s="23"/>
      <c r="AA193" s="23"/>
      <c r="AB193" s="23"/>
      <c r="AC193" s="25">
        <v>0</v>
      </c>
      <c r="AD193" s="25">
        <v>0</v>
      </c>
      <c r="AE193" s="25">
        <v>0</v>
      </c>
      <c r="AF193" s="25">
        <v>0</v>
      </c>
      <c r="AG193" s="25">
        <v>0</v>
      </c>
      <c r="AH193" s="25"/>
      <c r="AI193" s="25"/>
      <c r="AJ193" s="25"/>
      <c r="AK193" s="25"/>
      <c r="AL193" s="25"/>
      <c r="AM193" s="25"/>
    </row>
    <row r="194" spans="1:39" ht="15" customHeight="1">
      <c r="A194" s="32" t="str">
        <f t="shared" si="9"/>
        <v>AusNet--˃ 11 kV &amp; &lt; = 22 kV ; MULTIPLE-PHASE</v>
      </c>
      <c r="B194" s="32" t="str">
        <f t="shared" si="10"/>
        <v>AusNet</v>
      </c>
      <c r="C194" s="32" t="s">
        <v>1132</v>
      </c>
      <c r="D194" s="393"/>
      <c r="F194" t="s">
        <v>179</v>
      </c>
      <c r="G194" s="21">
        <v>3093.3020000000001</v>
      </c>
      <c r="H194" s="21">
        <v>4185.0379999999996</v>
      </c>
      <c r="I194" s="21">
        <v>2602.6529999999998</v>
      </c>
      <c r="J194" s="21">
        <v>6009.4709999999995</v>
      </c>
      <c r="K194" s="21">
        <v>1936.1</v>
      </c>
      <c r="L194" s="21"/>
      <c r="M194" s="21"/>
      <c r="N194" s="21"/>
      <c r="O194" s="21"/>
      <c r="P194" s="21"/>
      <c r="Q194" s="21"/>
      <c r="R194" s="23">
        <v>84</v>
      </c>
      <c r="S194" s="23">
        <v>56</v>
      </c>
      <c r="T194" s="23">
        <v>66</v>
      </c>
      <c r="U194" s="23">
        <v>128</v>
      </c>
      <c r="V194" s="23">
        <v>28</v>
      </c>
      <c r="W194" s="23"/>
      <c r="X194" s="23"/>
      <c r="Y194" s="23"/>
      <c r="Z194" s="23"/>
      <c r="AA194" s="23"/>
      <c r="AB194" s="23"/>
      <c r="AC194" s="25">
        <v>3180</v>
      </c>
      <c r="AD194" s="25">
        <v>5112</v>
      </c>
      <c r="AE194" s="25">
        <v>8035</v>
      </c>
      <c r="AF194" s="25">
        <v>5900</v>
      </c>
      <c r="AG194" s="25">
        <v>14858</v>
      </c>
      <c r="AH194" s="25"/>
      <c r="AI194" s="25"/>
      <c r="AJ194" s="25"/>
      <c r="AK194" s="25"/>
      <c r="AL194" s="25"/>
      <c r="AM194" s="25"/>
    </row>
    <row r="195" spans="1:39" ht="15" customHeight="1">
      <c r="A195" s="32" t="str">
        <f t="shared" si="9"/>
        <v>AusNet--&gt; 22 kV &amp; &lt; = 66 kV</v>
      </c>
      <c r="B195" s="32" t="str">
        <f t="shared" si="10"/>
        <v>AusNet</v>
      </c>
      <c r="C195" s="32" t="s">
        <v>1132</v>
      </c>
      <c r="D195" s="393"/>
      <c r="F195" t="s">
        <v>174</v>
      </c>
      <c r="G195" s="21">
        <v>56.57</v>
      </c>
      <c r="H195" s="21">
        <v>23.361999999999998</v>
      </c>
      <c r="I195" s="21">
        <v>177.67099999999999</v>
      </c>
      <c r="J195" s="21">
        <v>976.70899999999995</v>
      </c>
      <c r="K195" s="21">
        <v>126.565</v>
      </c>
      <c r="L195" s="21"/>
      <c r="M195" s="21"/>
      <c r="N195" s="21"/>
      <c r="O195" s="21"/>
      <c r="P195" s="21"/>
      <c r="Q195" s="21"/>
      <c r="R195" s="23">
        <v>2</v>
      </c>
      <c r="S195" s="23">
        <v>0</v>
      </c>
      <c r="T195" s="23">
        <v>5</v>
      </c>
      <c r="U195" s="23">
        <v>21</v>
      </c>
      <c r="V195" s="23">
        <v>2</v>
      </c>
      <c r="W195" s="23"/>
      <c r="X195" s="23"/>
      <c r="Y195" s="23"/>
      <c r="Z195" s="23"/>
      <c r="AA195" s="23"/>
      <c r="AB195" s="23"/>
      <c r="AC195" s="25">
        <v>375</v>
      </c>
      <c r="AD195" s="25">
        <v>230</v>
      </c>
      <c r="AE195" s="25">
        <v>602</v>
      </c>
      <c r="AF195" s="25">
        <v>309</v>
      </c>
      <c r="AG195" s="25">
        <v>1003</v>
      </c>
      <c r="AH195" s="25"/>
      <c r="AI195" s="25"/>
      <c r="AJ195" s="25"/>
      <c r="AK195" s="25"/>
      <c r="AL195" s="25"/>
      <c r="AM195" s="25"/>
    </row>
    <row r="196" spans="1:39" ht="15" customHeight="1">
      <c r="A196" s="32" t="str">
        <f t="shared" si="9"/>
        <v>AusNet--&gt; 66 kV &amp; &lt; = 132 kV</v>
      </c>
      <c r="B196" s="32" t="str">
        <f t="shared" si="10"/>
        <v>AusNet</v>
      </c>
      <c r="C196" s="32" t="s">
        <v>1132</v>
      </c>
      <c r="D196" s="393"/>
      <c r="F196" t="s">
        <v>175</v>
      </c>
      <c r="G196" s="21">
        <v>0</v>
      </c>
      <c r="H196" s="21">
        <v>0</v>
      </c>
      <c r="I196" s="21">
        <v>0</v>
      </c>
      <c r="J196" s="21">
        <v>0</v>
      </c>
      <c r="K196" s="21">
        <v>0</v>
      </c>
      <c r="L196" s="21"/>
      <c r="M196" s="21"/>
      <c r="N196" s="21"/>
      <c r="O196" s="21"/>
      <c r="P196" s="21"/>
      <c r="Q196" s="21"/>
      <c r="R196" s="23">
        <v>0</v>
      </c>
      <c r="S196" s="23">
        <v>0</v>
      </c>
      <c r="T196" s="23">
        <v>0</v>
      </c>
      <c r="U196" s="23">
        <v>0</v>
      </c>
      <c r="V196" s="23">
        <v>0</v>
      </c>
      <c r="W196" s="23"/>
      <c r="X196" s="23"/>
      <c r="Y196" s="23"/>
      <c r="Z196" s="23"/>
      <c r="AA196" s="23"/>
      <c r="AB196" s="23"/>
      <c r="AC196" s="25">
        <v>0</v>
      </c>
      <c r="AD196" s="25">
        <v>0</v>
      </c>
      <c r="AE196" s="25">
        <v>0</v>
      </c>
      <c r="AF196" s="25">
        <v>0</v>
      </c>
      <c r="AG196" s="25">
        <v>0</v>
      </c>
      <c r="AH196" s="25"/>
      <c r="AI196" s="25"/>
      <c r="AJ196" s="25"/>
      <c r="AK196" s="25"/>
      <c r="AL196" s="25"/>
      <c r="AM196" s="25"/>
    </row>
    <row r="197" spans="1:39" ht="15" customHeight="1">
      <c r="A197" s="32" t="str">
        <f t="shared" si="9"/>
        <v>AusNet--&gt; 132 kV</v>
      </c>
      <c r="B197" s="32" t="str">
        <f t="shared" si="10"/>
        <v>AusNet</v>
      </c>
      <c r="C197" s="32" t="s">
        <v>1132</v>
      </c>
      <c r="D197" s="393"/>
      <c r="F197" t="s">
        <v>176</v>
      </c>
      <c r="G197" s="21">
        <v>0</v>
      </c>
      <c r="H197" s="21">
        <v>0</v>
      </c>
      <c r="I197" s="21">
        <v>0</v>
      </c>
      <c r="J197" s="21">
        <v>0</v>
      </c>
      <c r="K197" s="21">
        <v>0</v>
      </c>
      <c r="L197" s="21"/>
      <c r="M197" s="21"/>
      <c r="N197" s="21"/>
      <c r="O197" s="21"/>
      <c r="P197" s="21"/>
      <c r="Q197" s="21"/>
      <c r="R197" s="23">
        <v>0</v>
      </c>
      <c r="S197" s="23">
        <v>0</v>
      </c>
      <c r="T197" s="23">
        <v>0</v>
      </c>
      <c r="U197" s="23">
        <v>0</v>
      </c>
      <c r="V197" s="23">
        <v>0</v>
      </c>
      <c r="W197" s="23"/>
      <c r="X197" s="23"/>
      <c r="Y197" s="23"/>
      <c r="Z197" s="23"/>
      <c r="AA197" s="23"/>
      <c r="AB197" s="23"/>
      <c r="AC197" s="25">
        <v>0</v>
      </c>
      <c r="AD197" s="25">
        <v>0</v>
      </c>
      <c r="AE197" s="25">
        <v>0</v>
      </c>
      <c r="AF197" s="25">
        <v>0</v>
      </c>
      <c r="AG197" s="25">
        <v>0</v>
      </c>
      <c r="AH197" s="25"/>
      <c r="AI197" s="25"/>
      <c r="AJ197" s="25"/>
      <c r="AK197" s="25"/>
      <c r="AL197" s="25"/>
      <c r="AM197" s="25"/>
    </row>
    <row r="198" spans="1:39" ht="15" customHeight="1">
      <c r="A198" s="32" t="str">
        <f t="shared" ref="A198:A261" si="11">B198&amp;"-"&amp;E198&amp;"-"&amp;F198</f>
        <v>AusNet--OTHER - PLEASE ADD A ROW IF NECESSARY AND NOMINATE THE CATEGORY</v>
      </c>
      <c r="B198" s="32" t="str">
        <f t="shared" ref="B198:B261" si="12">IF(D198&gt;0,D198,B197)</f>
        <v>AusNet</v>
      </c>
      <c r="C198" s="32" t="s">
        <v>1132</v>
      </c>
      <c r="D198" s="393"/>
      <c r="F198" t="s">
        <v>170</v>
      </c>
      <c r="G198" s="21">
        <v>0</v>
      </c>
      <c r="H198" s="21">
        <v>0</v>
      </c>
      <c r="I198" s="21">
        <v>0</v>
      </c>
      <c r="J198" s="21">
        <v>0</v>
      </c>
      <c r="K198" s="21">
        <v>0</v>
      </c>
      <c r="L198" s="21"/>
      <c r="M198" s="21"/>
      <c r="N198" s="21"/>
      <c r="O198" s="21"/>
      <c r="P198" s="21"/>
      <c r="Q198" s="21"/>
      <c r="R198" s="23">
        <v>0</v>
      </c>
      <c r="S198" s="23">
        <v>0</v>
      </c>
      <c r="T198" s="23">
        <v>0</v>
      </c>
      <c r="U198" s="23">
        <v>0</v>
      </c>
      <c r="V198" s="23">
        <v>0</v>
      </c>
      <c r="W198" s="23"/>
      <c r="X198" s="23"/>
      <c r="Y198" s="23"/>
      <c r="Z198" s="23"/>
      <c r="AA198" s="23"/>
      <c r="AB198" s="23"/>
      <c r="AC198" s="25">
        <v>0</v>
      </c>
      <c r="AD198" s="25">
        <v>0</v>
      </c>
      <c r="AE198" s="25">
        <v>0</v>
      </c>
      <c r="AF198" s="25">
        <v>0</v>
      </c>
      <c r="AG198" s="25">
        <v>0</v>
      </c>
      <c r="AH198" s="25"/>
      <c r="AI198" s="25"/>
      <c r="AJ198" s="25"/>
      <c r="AK198" s="25"/>
      <c r="AL198" s="25"/>
      <c r="AM198" s="25"/>
    </row>
    <row r="199" spans="1:39" ht="30" customHeight="1">
      <c r="A199" s="32" t="str">
        <f t="shared" si="11"/>
        <v>AusNet-UNDERGROUND CABLES BY: 
HIGHEST OPERATING VOLTAGE-˂ = 1 kV</v>
      </c>
      <c r="B199" s="32" t="str">
        <f t="shared" si="12"/>
        <v>AusNet</v>
      </c>
      <c r="C199" s="32" t="s">
        <v>1133</v>
      </c>
      <c r="D199" s="393"/>
      <c r="E199" s="3" t="s">
        <v>539</v>
      </c>
      <c r="F199" t="s">
        <v>171</v>
      </c>
      <c r="G199" s="21">
        <v>1905.5051699999999</v>
      </c>
      <c r="H199" s="21">
        <v>1197.087</v>
      </c>
      <c r="I199" s="21">
        <v>1458.665</v>
      </c>
      <c r="J199" s="21">
        <v>1589.1590000000001</v>
      </c>
      <c r="K199" s="21">
        <v>2220.1080000000002</v>
      </c>
      <c r="L199" s="21"/>
      <c r="M199" s="21"/>
      <c r="N199" s="21"/>
      <c r="O199" s="21"/>
      <c r="P199" s="21"/>
      <c r="Q199" s="21"/>
      <c r="R199" s="23">
        <v>44</v>
      </c>
      <c r="S199" s="23">
        <v>34</v>
      </c>
      <c r="T199" s="23">
        <v>100</v>
      </c>
      <c r="U199" s="23">
        <v>83</v>
      </c>
      <c r="V199" s="23">
        <v>42</v>
      </c>
      <c r="W199" s="23"/>
      <c r="X199" s="23"/>
      <c r="Y199" s="23"/>
      <c r="Z199" s="23"/>
      <c r="AA199" s="23"/>
      <c r="AB199" s="23"/>
      <c r="AC199" s="25">
        <v>265</v>
      </c>
      <c r="AD199" s="25">
        <v>526</v>
      </c>
      <c r="AE199" s="25">
        <v>975</v>
      </c>
      <c r="AF199" s="25">
        <v>659</v>
      </c>
      <c r="AG199" s="25">
        <v>714</v>
      </c>
      <c r="AH199" s="25"/>
      <c r="AI199" s="25"/>
      <c r="AJ199" s="25"/>
      <c r="AK199" s="25"/>
      <c r="AL199" s="25"/>
      <c r="AM199" s="25"/>
    </row>
    <row r="200" spans="1:39" ht="15" customHeight="1">
      <c r="A200" s="32" t="str">
        <f t="shared" si="11"/>
        <v>AusNet--&gt; 1 kV &amp; &lt; = 11 kV</v>
      </c>
      <c r="B200" s="32" t="str">
        <f t="shared" si="12"/>
        <v>AusNet</v>
      </c>
      <c r="C200" s="32" t="s">
        <v>1133</v>
      </c>
      <c r="D200" s="393"/>
      <c r="F200" t="s">
        <v>172</v>
      </c>
      <c r="G200" s="21">
        <v>0</v>
      </c>
      <c r="H200" s="21">
        <v>0</v>
      </c>
      <c r="I200" s="21">
        <v>0</v>
      </c>
      <c r="J200" s="21">
        <v>0</v>
      </c>
      <c r="K200" s="21">
        <v>0</v>
      </c>
      <c r="L200" s="21"/>
      <c r="M200" s="21"/>
      <c r="N200" s="21"/>
      <c r="O200" s="21"/>
      <c r="P200" s="21"/>
      <c r="Q200" s="21"/>
      <c r="R200" s="23">
        <v>0</v>
      </c>
      <c r="S200" s="23">
        <v>0</v>
      </c>
      <c r="T200" s="23">
        <v>0</v>
      </c>
      <c r="U200" s="23">
        <v>0</v>
      </c>
      <c r="V200" s="23">
        <v>0</v>
      </c>
      <c r="W200" s="23"/>
      <c r="X200" s="23"/>
      <c r="Y200" s="23"/>
      <c r="Z200" s="23"/>
      <c r="AA200" s="23"/>
      <c r="AB200" s="23"/>
      <c r="AC200" s="25">
        <v>0</v>
      </c>
      <c r="AD200" s="25">
        <v>0</v>
      </c>
      <c r="AE200" s="25">
        <v>0</v>
      </c>
      <c r="AF200" s="25">
        <v>0</v>
      </c>
      <c r="AG200" s="25">
        <v>0</v>
      </c>
      <c r="AH200" s="25"/>
      <c r="AI200" s="25"/>
      <c r="AJ200" s="25"/>
      <c r="AK200" s="25"/>
      <c r="AL200" s="25"/>
      <c r="AM200" s="25"/>
    </row>
    <row r="201" spans="1:39" ht="15" customHeight="1">
      <c r="A201" s="32" t="str">
        <f t="shared" si="11"/>
        <v>AusNet--&gt; 11 kV &amp; &lt; = 22 kV</v>
      </c>
      <c r="B201" s="32" t="str">
        <f t="shared" si="12"/>
        <v>AusNet</v>
      </c>
      <c r="C201" s="32" t="s">
        <v>1133</v>
      </c>
      <c r="D201" s="393"/>
      <c r="F201" t="s">
        <v>181</v>
      </c>
      <c r="G201" s="21">
        <v>999.38800000000003</v>
      </c>
      <c r="H201" s="21">
        <v>523.19500000000005</v>
      </c>
      <c r="I201" s="21">
        <v>524.11599999999999</v>
      </c>
      <c r="J201" s="21">
        <v>809.26499999999999</v>
      </c>
      <c r="K201" s="21">
        <v>1249.0160000000001</v>
      </c>
      <c r="L201" s="21"/>
      <c r="M201" s="21"/>
      <c r="N201" s="21"/>
      <c r="O201" s="21"/>
      <c r="P201" s="21"/>
      <c r="Q201" s="21"/>
      <c r="R201" s="23">
        <v>23</v>
      </c>
      <c r="S201" s="23">
        <v>15</v>
      </c>
      <c r="T201" s="23">
        <v>36</v>
      </c>
      <c r="U201" s="23">
        <v>42</v>
      </c>
      <c r="V201" s="23">
        <v>24</v>
      </c>
      <c r="W201" s="23"/>
      <c r="X201" s="23"/>
      <c r="Y201" s="23"/>
      <c r="Z201" s="23"/>
      <c r="AA201" s="23"/>
      <c r="AB201" s="23"/>
      <c r="AC201" s="25">
        <v>858</v>
      </c>
      <c r="AD201" s="25">
        <v>1343</v>
      </c>
      <c r="AE201" s="25">
        <v>4317</v>
      </c>
      <c r="AF201" s="25">
        <v>1935</v>
      </c>
      <c r="AG201" s="25">
        <v>12204</v>
      </c>
      <c r="AH201" s="25"/>
      <c r="AI201" s="25"/>
      <c r="AJ201" s="25"/>
      <c r="AK201" s="25"/>
      <c r="AL201" s="25"/>
      <c r="AM201" s="25"/>
    </row>
    <row r="202" spans="1:39" ht="15" customHeight="1">
      <c r="A202" s="32" t="str">
        <f t="shared" si="11"/>
        <v>AusNet--&gt; 22 kV &amp; &lt; = 33 kV</v>
      </c>
      <c r="B202" s="32" t="str">
        <f t="shared" si="12"/>
        <v>AusNet</v>
      </c>
      <c r="C202" s="32" t="s">
        <v>1133</v>
      </c>
      <c r="D202" s="393"/>
      <c r="F202" t="s">
        <v>182</v>
      </c>
      <c r="G202" s="21">
        <v>0</v>
      </c>
      <c r="H202" s="21">
        <v>0</v>
      </c>
      <c r="I202" s="21">
        <v>0</v>
      </c>
      <c r="J202" s="21">
        <v>0</v>
      </c>
      <c r="K202" s="21">
        <v>0</v>
      </c>
      <c r="L202" s="21"/>
      <c r="M202" s="21"/>
      <c r="N202" s="21"/>
      <c r="O202" s="21"/>
      <c r="P202" s="21"/>
      <c r="Q202" s="21"/>
      <c r="R202" s="23">
        <v>0</v>
      </c>
      <c r="S202" s="23">
        <v>0</v>
      </c>
      <c r="T202" s="23">
        <v>0</v>
      </c>
      <c r="U202" s="23">
        <v>0</v>
      </c>
      <c r="V202" s="23">
        <v>0</v>
      </c>
      <c r="W202" s="23"/>
      <c r="X202" s="23"/>
      <c r="Y202" s="23"/>
      <c r="Z202" s="23"/>
      <c r="AA202" s="23"/>
      <c r="AB202" s="23"/>
      <c r="AC202" s="25">
        <v>0</v>
      </c>
      <c r="AD202" s="25">
        <v>0</v>
      </c>
      <c r="AE202" s="25">
        <v>0</v>
      </c>
      <c r="AF202" s="25">
        <v>0</v>
      </c>
      <c r="AG202" s="25">
        <v>0</v>
      </c>
      <c r="AH202" s="25"/>
      <c r="AI202" s="25"/>
      <c r="AJ202" s="25"/>
      <c r="AK202" s="25"/>
      <c r="AL202" s="25"/>
      <c r="AM202" s="25"/>
    </row>
    <row r="203" spans="1:39" ht="15" customHeight="1">
      <c r="A203" s="32" t="str">
        <f t="shared" si="11"/>
        <v>AusNet--&gt; 33 kV &amp; &lt; = 66 kV</v>
      </c>
      <c r="B203" s="32" t="str">
        <f t="shared" si="12"/>
        <v>AusNet</v>
      </c>
      <c r="C203" s="32" t="s">
        <v>1133</v>
      </c>
      <c r="D203" s="393"/>
      <c r="F203" t="s">
        <v>183</v>
      </c>
      <c r="G203" s="21">
        <v>0</v>
      </c>
      <c r="H203" s="21">
        <v>0</v>
      </c>
      <c r="I203" s="21">
        <v>0</v>
      </c>
      <c r="J203" s="21">
        <v>0</v>
      </c>
      <c r="K203" s="21">
        <v>0</v>
      </c>
      <c r="L203" s="21"/>
      <c r="M203" s="21"/>
      <c r="N203" s="21"/>
      <c r="O203" s="21"/>
      <c r="P203" s="21"/>
      <c r="Q203" s="21"/>
      <c r="R203" s="23">
        <v>0</v>
      </c>
      <c r="S203" s="23">
        <v>0</v>
      </c>
      <c r="T203" s="23">
        <v>0</v>
      </c>
      <c r="U203" s="23">
        <v>0</v>
      </c>
      <c r="V203" s="23">
        <v>0</v>
      </c>
      <c r="W203" s="23"/>
      <c r="X203" s="23"/>
      <c r="Y203" s="23"/>
      <c r="Z203" s="23"/>
      <c r="AA203" s="23"/>
      <c r="AB203" s="23"/>
      <c r="AC203" s="25">
        <v>0</v>
      </c>
      <c r="AD203" s="25">
        <v>0</v>
      </c>
      <c r="AE203" s="25">
        <v>0</v>
      </c>
      <c r="AF203" s="25">
        <v>0</v>
      </c>
      <c r="AG203" s="25">
        <v>0</v>
      </c>
      <c r="AH203" s="25"/>
      <c r="AI203" s="25"/>
      <c r="AJ203" s="25"/>
      <c r="AK203" s="25"/>
      <c r="AL203" s="25"/>
      <c r="AM203" s="25"/>
    </row>
    <row r="204" spans="1:39" ht="15" customHeight="1">
      <c r="A204" s="32" t="str">
        <f t="shared" si="11"/>
        <v>AusNet--&gt; 66 kV &amp; &lt; = 132 kV</v>
      </c>
      <c r="B204" s="32" t="str">
        <f t="shared" si="12"/>
        <v>AusNet</v>
      </c>
      <c r="C204" s="32" t="s">
        <v>1133</v>
      </c>
      <c r="D204" s="393"/>
      <c r="F204" t="s">
        <v>175</v>
      </c>
      <c r="G204" s="21">
        <v>0</v>
      </c>
      <c r="H204" s="21">
        <v>0</v>
      </c>
      <c r="I204" s="21">
        <v>0</v>
      </c>
      <c r="J204" s="21">
        <v>0</v>
      </c>
      <c r="K204" s="21">
        <v>0</v>
      </c>
      <c r="L204" s="21"/>
      <c r="M204" s="21"/>
      <c r="N204" s="21"/>
      <c r="O204" s="21"/>
      <c r="P204" s="21"/>
      <c r="Q204" s="21"/>
      <c r="R204" s="23">
        <v>0</v>
      </c>
      <c r="S204" s="23">
        <v>0</v>
      </c>
      <c r="T204" s="23">
        <v>0</v>
      </c>
      <c r="U204" s="23">
        <v>0</v>
      </c>
      <c r="V204" s="23">
        <v>0</v>
      </c>
      <c r="W204" s="23"/>
      <c r="X204" s="23"/>
      <c r="Y204" s="23"/>
      <c r="Z204" s="23"/>
      <c r="AA204" s="23"/>
      <c r="AB204" s="23"/>
      <c r="AC204" s="25">
        <v>0</v>
      </c>
      <c r="AD204" s="25">
        <v>0</v>
      </c>
      <c r="AE204" s="25">
        <v>0</v>
      </c>
      <c r="AF204" s="25">
        <v>0</v>
      </c>
      <c r="AG204" s="25">
        <v>0</v>
      </c>
      <c r="AH204" s="25"/>
      <c r="AI204" s="25"/>
      <c r="AJ204" s="25"/>
      <c r="AK204" s="25"/>
      <c r="AL204" s="25"/>
      <c r="AM204" s="25"/>
    </row>
    <row r="205" spans="1:39" ht="15" customHeight="1">
      <c r="A205" s="32" t="str">
        <f t="shared" si="11"/>
        <v>AusNet--&gt;  132 kV</v>
      </c>
      <c r="B205" s="32" t="str">
        <f t="shared" si="12"/>
        <v>AusNet</v>
      </c>
      <c r="C205" s="32" t="s">
        <v>1133</v>
      </c>
      <c r="D205" s="393"/>
      <c r="F205" t="s">
        <v>184</v>
      </c>
      <c r="G205" s="21">
        <v>0</v>
      </c>
      <c r="H205" s="21">
        <v>0</v>
      </c>
      <c r="I205" s="21">
        <v>0</v>
      </c>
      <c r="J205" s="21">
        <v>0</v>
      </c>
      <c r="K205" s="21">
        <v>0</v>
      </c>
      <c r="L205" s="21"/>
      <c r="M205" s="21"/>
      <c r="N205" s="21"/>
      <c r="O205" s="21"/>
      <c r="P205" s="21"/>
      <c r="Q205" s="21"/>
      <c r="R205" s="23">
        <v>0</v>
      </c>
      <c r="S205" s="23">
        <v>0</v>
      </c>
      <c r="T205" s="23">
        <v>0</v>
      </c>
      <c r="U205" s="23">
        <v>0</v>
      </c>
      <c r="V205" s="23">
        <v>0</v>
      </c>
      <c r="W205" s="23"/>
      <c r="X205" s="23"/>
      <c r="Y205" s="23"/>
      <c r="Z205" s="23"/>
      <c r="AA205" s="23"/>
      <c r="AB205" s="23"/>
      <c r="AC205" s="25">
        <v>0</v>
      </c>
      <c r="AD205" s="25">
        <v>0</v>
      </c>
      <c r="AE205" s="25">
        <v>0</v>
      </c>
      <c r="AF205" s="25">
        <v>0</v>
      </c>
      <c r="AG205" s="25">
        <v>0</v>
      </c>
      <c r="AH205" s="25"/>
      <c r="AI205" s="25"/>
      <c r="AJ205" s="25"/>
      <c r="AK205" s="25"/>
      <c r="AL205" s="25"/>
      <c r="AM205" s="25"/>
    </row>
    <row r="206" spans="1:39" ht="15" customHeight="1">
      <c r="A206" s="32" t="str">
        <f t="shared" si="11"/>
        <v>AusNet--OTHER - PLEASE ADD A ROW IF NECESSARY AND NOMINATE THE CATEGORY</v>
      </c>
      <c r="B206" s="32" t="str">
        <f t="shared" si="12"/>
        <v>AusNet</v>
      </c>
      <c r="C206" s="32" t="s">
        <v>1133</v>
      </c>
      <c r="D206" s="393"/>
      <c r="F206" t="s">
        <v>170</v>
      </c>
      <c r="G206" s="21">
        <v>0</v>
      </c>
      <c r="H206" s="21">
        <v>0</v>
      </c>
      <c r="I206" s="21">
        <v>0</v>
      </c>
      <c r="J206" s="21">
        <v>0</v>
      </c>
      <c r="K206" s="21">
        <v>0</v>
      </c>
      <c r="L206" s="21"/>
      <c r="M206" s="21"/>
      <c r="N206" s="21"/>
      <c r="O206" s="21"/>
      <c r="P206" s="21"/>
      <c r="Q206" s="21"/>
      <c r="R206" s="23">
        <v>0</v>
      </c>
      <c r="S206" s="23">
        <v>0</v>
      </c>
      <c r="T206" s="23">
        <v>0</v>
      </c>
      <c r="U206" s="23">
        <v>0</v>
      </c>
      <c r="V206" s="23">
        <v>0</v>
      </c>
      <c r="W206" s="23"/>
      <c r="X206" s="23"/>
      <c r="Y206" s="23"/>
      <c r="Z206" s="23"/>
      <c r="AA206" s="23"/>
      <c r="AB206" s="23"/>
      <c r="AC206" s="25">
        <v>0</v>
      </c>
      <c r="AD206" s="25">
        <v>0</v>
      </c>
      <c r="AE206" s="25">
        <v>0</v>
      </c>
      <c r="AF206" s="25">
        <v>0</v>
      </c>
      <c r="AG206" s="25">
        <v>0</v>
      </c>
      <c r="AH206" s="25"/>
      <c r="AI206" s="25"/>
      <c r="AJ206" s="25"/>
      <c r="AK206" s="25"/>
      <c r="AL206" s="25"/>
      <c r="AM206" s="25"/>
    </row>
    <row r="207" spans="1:39" ht="60" customHeight="1">
      <c r="A207" s="32" t="str">
        <f t="shared" si="11"/>
        <v xml:space="preserve">AusNet-SERVICE LINES BY: 
CONNECTION VOLTAGE; CUSTOMER TYPE; CONNECTION COMPLEXITY -˂ = 11 kV ; RESIDENTIAL ; SIMPLE TYPE </v>
      </c>
      <c r="B207" s="32" t="str">
        <f t="shared" si="12"/>
        <v>AusNet</v>
      </c>
      <c r="C207" s="32" t="s">
        <v>719</v>
      </c>
      <c r="D207" s="393"/>
      <c r="E207" s="3" t="s">
        <v>541</v>
      </c>
      <c r="F207" t="s">
        <v>186</v>
      </c>
      <c r="G207" s="21">
        <v>1544.2608071769951</v>
      </c>
      <c r="H207" s="21">
        <v>2139.7568347128395</v>
      </c>
      <c r="I207" s="21">
        <v>2961.2872315617742</v>
      </c>
      <c r="J207" s="21">
        <v>4294.3976309079544</v>
      </c>
      <c r="K207" s="21">
        <v>5517.9419737763337</v>
      </c>
      <c r="L207" s="21"/>
      <c r="M207" s="21"/>
      <c r="N207" s="21"/>
      <c r="O207" s="21"/>
      <c r="P207" s="21"/>
      <c r="Q207" s="21"/>
      <c r="R207" s="23">
        <v>21</v>
      </c>
      <c r="S207" s="23">
        <v>8</v>
      </c>
      <c r="T207" s="23">
        <v>130.49865662211423</v>
      </c>
      <c r="U207" s="23">
        <v>290.69031381125961</v>
      </c>
      <c r="V207" s="23">
        <v>191.79413268529771</v>
      </c>
      <c r="W207" s="23"/>
      <c r="X207" s="23"/>
      <c r="Y207" s="23"/>
      <c r="Z207" s="23"/>
      <c r="AA207" s="23"/>
      <c r="AB207" s="23"/>
      <c r="AC207" s="25">
        <v>5948</v>
      </c>
      <c r="AD207" s="25">
        <v>5780</v>
      </c>
      <c r="AE207" s="25">
        <v>2632</v>
      </c>
      <c r="AF207" s="25">
        <v>1207</v>
      </c>
      <c r="AG207" s="25">
        <v>1488</v>
      </c>
      <c r="AH207" s="25"/>
      <c r="AI207" s="25"/>
      <c r="AJ207" s="25"/>
      <c r="AK207" s="25"/>
      <c r="AL207" s="25"/>
      <c r="AM207" s="25"/>
    </row>
    <row r="208" spans="1:39" ht="15" customHeight="1">
      <c r="A208" s="32" t="str">
        <f t="shared" si="11"/>
        <v xml:space="preserve">AusNet--˂ = 11 kV ; COMMERCIAL &amp; INDUSTRIAL ; SIMPLE TYPE </v>
      </c>
      <c r="B208" s="32" t="str">
        <f t="shared" si="12"/>
        <v>AusNet</v>
      </c>
      <c r="C208" s="32" t="s">
        <v>719</v>
      </c>
      <c r="D208" s="393"/>
      <c r="F208" t="s">
        <v>187</v>
      </c>
      <c r="G208" s="21">
        <v>207.66251282300533</v>
      </c>
      <c r="H208" s="21">
        <v>288.14819328716089</v>
      </c>
      <c r="I208" s="21">
        <v>385.32798603768902</v>
      </c>
      <c r="J208" s="21">
        <v>551.55224833726163</v>
      </c>
      <c r="K208" s="21">
        <v>714.83602419534054</v>
      </c>
      <c r="L208" s="21"/>
      <c r="M208" s="21"/>
      <c r="N208" s="21"/>
      <c r="O208" s="21"/>
      <c r="P208" s="21"/>
      <c r="Q208" s="21"/>
      <c r="R208" s="23">
        <v>2</v>
      </c>
      <c r="S208" s="23">
        <v>1</v>
      </c>
      <c r="T208" s="23">
        <v>16.546943377885789</v>
      </c>
      <c r="U208" s="23">
        <v>36.008086188740386</v>
      </c>
      <c r="V208" s="23">
        <v>23.754667314702314</v>
      </c>
      <c r="W208" s="23"/>
      <c r="X208" s="23"/>
      <c r="Y208" s="23"/>
      <c r="Z208" s="23"/>
      <c r="AA208" s="23"/>
      <c r="AB208" s="23"/>
      <c r="AC208" s="25">
        <v>5714</v>
      </c>
      <c r="AD208" s="25">
        <v>5336</v>
      </c>
      <c r="AE208" s="25">
        <v>2429</v>
      </c>
      <c r="AF208" s="25">
        <v>1160</v>
      </c>
      <c r="AG208" s="25">
        <v>1319</v>
      </c>
      <c r="AH208" s="25"/>
      <c r="AI208" s="25"/>
      <c r="AJ208" s="25"/>
      <c r="AK208" s="25"/>
      <c r="AL208" s="25"/>
      <c r="AM208" s="25"/>
    </row>
    <row r="209" spans="1:39" ht="15" customHeight="1">
      <c r="A209" s="32" t="str">
        <f t="shared" si="11"/>
        <v xml:space="preserve">AusNet--˂ = 11 kV ; RESIDENTIAL ; COMPLEX TYPE </v>
      </c>
      <c r="B209" s="32" t="str">
        <f t="shared" si="12"/>
        <v>AusNet</v>
      </c>
      <c r="C209" s="32" t="s">
        <v>719</v>
      </c>
      <c r="D209" s="393"/>
      <c r="F209" t="s">
        <v>188</v>
      </c>
      <c r="G209" s="21">
        <v>0</v>
      </c>
      <c r="H209" s="21">
        <v>0</v>
      </c>
      <c r="I209" s="21">
        <v>0</v>
      </c>
      <c r="J209" s="21">
        <v>0</v>
      </c>
      <c r="K209" s="21">
        <v>0</v>
      </c>
      <c r="L209" s="21"/>
      <c r="M209" s="21"/>
      <c r="N209" s="21"/>
      <c r="O209" s="21"/>
      <c r="P209" s="21"/>
      <c r="Q209" s="21"/>
      <c r="R209" s="23">
        <v>0</v>
      </c>
      <c r="S209" s="23">
        <v>0</v>
      </c>
      <c r="T209" s="23">
        <v>0</v>
      </c>
      <c r="U209" s="23">
        <v>0</v>
      </c>
      <c r="V209" s="23">
        <v>0</v>
      </c>
      <c r="W209" s="23"/>
      <c r="X209" s="23"/>
      <c r="Y209" s="23"/>
      <c r="Z209" s="23"/>
      <c r="AA209" s="23"/>
      <c r="AB209" s="23"/>
      <c r="AC209" s="25">
        <v>0</v>
      </c>
      <c r="AD209" s="25">
        <v>0</v>
      </c>
      <c r="AE209" s="25">
        <v>0</v>
      </c>
      <c r="AF209" s="25">
        <v>0</v>
      </c>
      <c r="AG209" s="25">
        <v>0</v>
      </c>
      <c r="AH209" s="25"/>
      <c r="AI209" s="25"/>
      <c r="AJ209" s="25"/>
      <c r="AK209" s="25"/>
      <c r="AL209" s="25"/>
      <c r="AM209" s="25"/>
    </row>
    <row r="210" spans="1:39" ht="15" customHeight="1">
      <c r="A210" s="32" t="str">
        <f t="shared" si="11"/>
        <v xml:space="preserve">AusNet--˂ = 11 kV ; COMMERCIAL &amp; INDUSTRIAL ; COMPLEX TYPE </v>
      </c>
      <c r="B210" s="32" t="str">
        <f t="shared" si="12"/>
        <v>AusNet</v>
      </c>
      <c r="C210" s="32" t="s">
        <v>719</v>
      </c>
      <c r="D210" s="393"/>
      <c r="F210" t="s">
        <v>189</v>
      </c>
      <c r="G210" s="21">
        <v>0</v>
      </c>
      <c r="H210" s="21">
        <v>0</v>
      </c>
      <c r="I210" s="21">
        <v>0</v>
      </c>
      <c r="J210" s="21">
        <v>0</v>
      </c>
      <c r="K210" s="21">
        <v>0</v>
      </c>
      <c r="L210" s="21"/>
      <c r="M210" s="21"/>
      <c r="N210" s="21"/>
      <c r="O210" s="21"/>
      <c r="P210" s="21"/>
      <c r="Q210" s="21"/>
      <c r="R210" s="23">
        <v>0</v>
      </c>
      <c r="S210" s="23">
        <v>0</v>
      </c>
      <c r="T210" s="23">
        <v>0</v>
      </c>
      <c r="U210" s="23">
        <v>0</v>
      </c>
      <c r="V210" s="23">
        <v>0</v>
      </c>
      <c r="W210" s="23"/>
      <c r="X210" s="23"/>
      <c r="Y210" s="23"/>
      <c r="Z210" s="23"/>
      <c r="AA210" s="23"/>
      <c r="AB210" s="23"/>
      <c r="AC210" s="25">
        <v>0</v>
      </c>
      <c r="AD210" s="25">
        <v>0</v>
      </c>
      <c r="AE210" s="25">
        <v>0</v>
      </c>
      <c r="AF210" s="25">
        <v>0</v>
      </c>
      <c r="AG210" s="25">
        <v>0</v>
      </c>
      <c r="AH210" s="25"/>
      <c r="AI210" s="25"/>
      <c r="AJ210" s="25"/>
      <c r="AK210" s="25"/>
      <c r="AL210" s="25"/>
      <c r="AM210" s="25"/>
    </row>
    <row r="211" spans="1:39" ht="15" customHeight="1">
      <c r="A211" s="32" t="str">
        <f t="shared" si="11"/>
        <v xml:space="preserve">AusNet--˂ = 11 kV ; SUBDIVISION ; COMPLEX TYPE </v>
      </c>
      <c r="B211" s="32" t="str">
        <f t="shared" si="12"/>
        <v>AusNet</v>
      </c>
      <c r="C211" s="32" t="s">
        <v>719</v>
      </c>
      <c r="D211" s="393"/>
      <c r="F211" t="s">
        <v>190</v>
      </c>
      <c r="G211" s="21">
        <v>0</v>
      </c>
      <c r="H211" s="21">
        <v>0</v>
      </c>
      <c r="I211" s="21">
        <v>0</v>
      </c>
      <c r="J211" s="21">
        <v>0</v>
      </c>
      <c r="K211" s="21">
        <v>0</v>
      </c>
      <c r="L211" s="21"/>
      <c r="M211" s="21"/>
      <c r="N211" s="21"/>
      <c r="O211" s="21"/>
      <c r="P211" s="21"/>
      <c r="Q211" s="21"/>
      <c r="R211" s="23">
        <v>0</v>
      </c>
      <c r="S211" s="23">
        <v>0</v>
      </c>
      <c r="T211" s="23">
        <v>0</v>
      </c>
      <c r="U211" s="23">
        <v>0</v>
      </c>
      <c r="V211" s="23">
        <v>0</v>
      </c>
      <c r="W211" s="23"/>
      <c r="X211" s="23"/>
      <c r="Y211" s="23"/>
      <c r="Z211" s="23"/>
      <c r="AA211" s="23"/>
      <c r="AB211" s="23"/>
      <c r="AC211" s="25">
        <v>0</v>
      </c>
      <c r="AD211" s="25">
        <v>0</v>
      </c>
      <c r="AE211" s="25">
        <v>0</v>
      </c>
      <c r="AF211" s="25">
        <v>0</v>
      </c>
      <c r="AG211" s="25">
        <v>0</v>
      </c>
      <c r="AH211" s="25"/>
      <c r="AI211" s="25"/>
      <c r="AJ211" s="25"/>
      <c r="AK211" s="25"/>
      <c r="AL211" s="25"/>
      <c r="AM211" s="25"/>
    </row>
    <row r="212" spans="1:39" ht="15" customHeight="1">
      <c r="A212" s="32" t="str">
        <f t="shared" si="11"/>
        <v xml:space="preserve">AusNet--&gt; 11 kV  &amp; &lt; = 22 kV ; COMMERCIAL &amp; INDUSTRIAL  </v>
      </c>
      <c r="B212" s="32" t="str">
        <f t="shared" si="12"/>
        <v>AusNet</v>
      </c>
      <c r="C212" s="32" t="s">
        <v>719</v>
      </c>
      <c r="D212" s="393"/>
      <c r="F212" t="s">
        <v>191</v>
      </c>
      <c r="G212" s="21">
        <v>0</v>
      </c>
      <c r="H212" s="21">
        <v>0</v>
      </c>
      <c r="I212" s="21">
        <v>0</v>
      </c>
      <c r="J212" s="21">
        <v>0</v>
      </c>
      <c r="K212" s="21">
        <v>0</v>
      </c>
      <c r="L212" s="21"/>
      <c r="M212" s="21"/>
      <c r="N212" s="21"/>
      <c r="O212" s="21"/>
      <c r="P212" s="21"/>
      <c r="Q212" s="21"/>
      <c r="R212" s="23">
        <v>0</v>
      </c>
      <c r="S212" s="23">
        <v>0</v>
      </c>
      <c r="T212" s="23">
        <v>0</v>
      </c>
      <c r="U212" s="23">
        <v>0</v>
      </c>
      <c r="V212" s="23">
        <v>0</v>
      </c>
      <c r="W212" s="23"/>
      <c r="X212" s="23"/>
      <c r="Y212" s="23"/>
      <c r="Z212" s="23"/>
      <c r="AA212" s="23"/>
      <c r="AB212" s="23"/>
      <c r="AC212" s="25">
        <v>0</v>
      </c>
      <c r="AD212" s="25">
        <v>0</v>
      </c>
      <c r="AE212" s="25">
        <v>0</v>
      </c>
      <c r="AF212" s="25">
        <v>0</v>
      </c>
      <c r="AG212" s="25">
        <v>0</v>
      </c>
      <c r="AH212" s="25"/>
      <c r="AI212" s="25"/>
      <c r="AJ212" s="25"/>
      <c r="AK212" s="25"/>
      <c r="AL212" s="25"/>
      <c r="AM212" s="25"/>
    </row>
    <row r="213" spans="1:39" ht="15" customHeight="1">
      <c r="A213" s="32" t="str">
        <f t="shared" si="11"/>
        <v xml:space="preserve">AusNet--&gt; 11 kV  &amp; &lt; = 22 kV ; SUBDIVISION  </v>
      </c>
      <c r="B213" s="32" t="str">
        <f t="shared" si="12"/>
        <v>AusNet</v>
      </c>
      <c r="C213" s="32" t="s">
        <v>719</v>
      </c>
      <c r="D213" s="393"/>
      <c r="F213" t="s">
        <v>192</v>
      </c>
      <c r="G213" s="21">
        <v>0</v>
      </c>
      <c r="H213" s="21">
        <v>0</v>
      </c>
      <c r="I213" s="21">
        <v>0</v>
      </c>
      <c r="J213" s="21">
        <v>0</v>
      </c>
      <c r="K213" s="21">
        <v>0</v>
      </c>
      <c r="L213" s="21"/>
      <c r="M213" s="21"/>
      <c r="N213" s="21"/>
      <c r="O213" s="21"/>
      <c r="P213" s="21"/>
      <c r="Q213" s="21"/>
      <c r="R213" s="23">
        <v>0</v>
      </c>
      <c r="S213" s="23">
        <v>0</v>
      </c>
      <c r="T213" s="23">
        <v>0</v>
      </c>
      <c r="U213" s="23">
        <v>0</v>
      </c>
      <c r="V213" s="23">
        <v>0</v>
      </c>
      <c r="W213" s="23"/>
      <c r="X213" s="23"/>
      <c r="Y213" s="23"/>
      <c r="Z213" s="23"/>
      <c r="AA213" s="23"/>
      <c r="AB213" s="23"/>
      <c r="AC213" s="25">
        <v>0</v>
      </c>
      <c r="AD213" s="25">
        <v>0</v>
      </c>
      <c r="AE213" s="25">
        <v>0</v>
      </c>
      <c r="AF213" s="25">
        <v>0</v>
      </c>
      <c r="AG213" s="25">
        <v>0</v>
      </c>
      <c r="AH213" s="25"/>
      <c r="AI213" s="25"/>
      <c r="AJ213" s="25"/>
      <c r="AK213" s="25"/>
      <c r="AL213" s="25"/>
      <c r="AM213" s="25"/>
    </row>
    <row r="214" spans="1:39" ht="15" customHeight="1">
      <c r="A214" s="32" t="str">
        <f t="shared" si="11"/>
        <v xml:space="preserve">AusNet--&gt; 22 kV &amp; &lt; = 33 kV ; COMMERCIAL &amp; INDUSTRIAL  </v>
      </c>
      <c r="B214" s="32" t="str">
        <f t="shared" si="12"/>
        <v>AusNet</v>
      </c>
      <c r="C214" s="32" t="s">
        <v>719</v>
      </c>
      <c r="D214" s="393"/>
      <c r="F214" t="s">
        <v>193</v>
      </c>
      <c r="G214" s="21">
        <v>0</v>
      </c>
      <c r="H214" s="21">
        <v>0</v>
      </c>
      <c r="I214" s="21">
        <v>0</v>
      </c>
      <c r="J214" s="21">
        <v>0</v>
      </c>
      <c r="K214" s="21">
        <v>0</v>
      </c>
      <c r="L214" s="21"/>
      <c r="M214" s="21"/>
      <c r="N214" s="21"/>
      <c r="O214" s="21"/>
      <c r="P214" s="21"/>
      <c r="Q214" s="21"/>
      <c r="R214" s="23">
        <v>0</v>
      </c>
      <c r="S214" s="23">
        <v>0</v>
      </c>
      <c r="T214" s="23">
        <v>0</v>
      </c>
      <c r="U214" s="23">
        <v>0</v>
      </c>
      <c r="V214" s="23">
        <v>0</v>
      </c>
      <c r="W214" s="23"/>
      <c r="X214" s="23"/>
      <c r="Y214" s="23"/>
      <c r="Z214" s="23"/>
      <c r="AA214" s="23"/>
      <c r="AB214" s="23"/>
      <c r="AC214" s="25">
        <v>0</v>
      </c>
      <c r="AD214" s="25">
        <v>0</v>
      </c>
      <c r="AE214" s="25">
        <v>0</v>
      </c>
      <c r="AF214" s="25">
        <v>0</v>
      </c>
      <c r="AG214" s="25">
        <v>0</v>
      </c>
      <c r="AH214" s="25"/>
      <c r="AI214" s="25"/>
      <c r="AJ214" s="25"/>
      <c r="AK214" s="25"/>
      <c r="AL214" s="25"/>
      <c r="AM214" s="25"/>
    </row>
    <row r="215" spans="1:39" ht="15" customHeight="1">
      <c r="A215" s="32" t="str">
        <f t="shared" si="11"/>
        <v xml:space="preserve">AusNet--&gt; 22 kV &amp; &lt; = 33 kV ; SUBDIVISION  </v>
      </c>
      <c r="B215" s="32" t="str">
        <f t="shared" si="12"/>
        <v>AusNet</v>
      </c>
      <c r="C215" s="32" t="s">
        <v>719</v>
      </c>
      <c r="D215" s="393"/>
      <c r="F215" t="s">
        <v>194</v>
      </c>
      <c r="G215" s="21">
        <v>0</v>
      </c>
      <c r="H215" s="21">
        <v>0</v>
      </c>
      <c r="I215" s="21">
        <v>0</v>
      </c>
      <c r="J215" s="21">
        <v>0</v>
      </c>
      <c r="K215" s="21">
        <v>0</v>
      </c>
      <c r="L215" s="21"/>
      <c r="M215" s="21"/>
      <c r="N215" s="21"/>
      <c r="O215" s="21"/>
      <c r="P215" s="21"/>
      <c r="Q215" s="21"/>
      <c r="R215" s="23">
        <v>0</v>
      </c>
      <c r="S215" s="23">
        <v>0</v>
      </c>
      <c r="T215" s="23">
        <v>0</v>
      </c>
      <c r="U215" s="23">
        <v>0</v>
      </c>
      <c r="V215" s="23">
        <v>0</v>
      </c>
      <c r="W215" s="23"/>
      <c r="X215" s="23"/>
      <c r="Y215" s="23"/>
      <c r="Z215" s="23"/>
      <c r="AA215" s="23"/>
      <c r="AB215" s="23"/>
      <c r="AC215" s="25">
        <v>0</v>
      </c>
      <c r="AD215" s="25">
        <v>0</v>
      </c>
      <c r="AE215" s="25">
        <v>0</v>
      </c>
      <c r="AF215" s="25">
        <v>0</v>
      </c>
      <c r="AG215" s="25">
        <v>0</v>
      </c>
      <c r="AH215" s="25"/>
      <c r="AI215" s="25"/>
      <c r="AJ215" s="25"/>
      <c r="AK215" s="25"/>
      <c r="AL215" s="25"/>
      <c r="AM215" s="25"/>
    </row>
    <row r="216" spans="1:39" ht="15" customHeight="1">
      <c r="A216" s="32" t="str">
        <f t="shared" si="11"/>
        <v xml:space="preserve">AusNet--&gt; 33 kV &amp; &lt; = 66 kV ; COMMERCIAL &amp; INDUSTRIAL  </v>
      </c>
      <c r="B216" s="32" t="str">
        <f t="shared" si="12"/>
        <v>AusNet</v>
      </c>
      <c r="C216" s="32" t="s">
        <v>719</v>
      </c>
      <c r="D216" s="393"/>
      <c r="F216" t="s">
        <v>195</v>
      </c>
      <c r="G216" s="21">
        <v>0</v>
      </c>
      <c r="H216" s="21">
        <v>0</v>
      </c>
      <c r="I216" s="21">
        <v>0</v>
      </c>
      <c r="J216" s="21">
        <v>0</v>
      </c>
      <c r="K216" s="21">
        <v>0</v>
      </c>
      <c r="L216" s="21"/>
      <c r="M216" s="21"/>
      <c r="N216" s="21"/>
      <c r="O216" s="21"/>
      <c r="P216" s="21"/>
      <c r="Q216" s="21"/>
      <c r="R216" s="23">
        <v>0</v>
      </c>
      <c r="S216" s="23">
        <v>0</v>
      </c>
      <c r="T216" s="23">
        <v>0</v>
      </c>
      <c r="U216" s="23">
        <v>0</v>
      </c>
      <c r="V216" s="23">
        <v>0</v>
      </c>
      <c r="W216" s="23"/>
      <c r="X216" s="23"/>
      <c r="Y216" s="23"/>
      <c r="Z216" s="23"/>
      <c r="AA216" s="23"/>
      <c r="AB216" s="23"/>
      <c r="AC216" s="25">
        <v>0</v>
      </c>
      <c r="AD216" s="25">
        <v>0</v>
      </c>
      <c r="AE216" s="25">
        <v>0</v>
      </c>
      <c r="AF216" s="25">
        <v>0</v>
      </c>
      <c r="AG216" s="25">
        <v>0</v>
      </c>
      <c r="AH216" s="25"/>
      <c r="AI216" s="25"/>
      <c r="AJ216" s="25"/>
      <c r="AK216" s="25"/>
      <c r="AL216" s="25"/>
      <c r="AM216" s="25"/>
    </row>
    <row r="217" spans="1:39" ht="15" customHeight="1">
      <c r="A217" s="32" t="str">
        <f t="shared" si="11"/>
        <v xml:space="preserve">AusNet--&gt; 33 kV &amp; &lt; = 66 kV ; SUBDIVISION  </v>
      </c>
      <c r="B217" s="32" t="str">
        <f t="shared" si="12"/>
        <v>AusNet</v>
      </c>
      <c r="C217" s="32" t="s">
        <v>719</v>
      </c>
      <c r="D217" s="393"/>
      <c r="F217" t="s">
        <v>196</v>
      </c>
      <c r="G217" s="21">
        <v>0</v>
      </c>
      <c r="H217" s="21">
        <v>0</v>
      </c>
      <c r="I217" s="21">
        <v>0</v>
      </c>
      <c r="J217" s="21">
        <v>0</v>
      </c>
      <c r="K217" s="21">
        <v>0</v>
      </c>
      <c r="L217" s="21"/>
      <c r="M217" s="21"/>
      <c r="N217" s="21"/>
      <c r="O217" s="21"/>
      <c r="P217" s="21"/>
      <c r="Q217" s="21"/>
      <c r="R217" s="23">
        <v>0</v>
      </c>
      <c r="S217" s="23">
        <v>0</v>
      </c>
      <c r="T217" s="23">
        <v>0</v>
      </c>
      <c r="U217" s="23">
        <v>0</v>
      </c>
      <c r="V217" s="23">
        <v>0</v>
      </c>
      <c r="W217" s="23"/>
      <c r="X217" s="23"/>
      <c r="Y217" s="23"/>
      <c r="Z217" s="23"/>
      <c r="AA217" s="23"/>
      <c r="AB217" s="23"/>
      <c r="AC217" s="25">
        <v>0</v>
      </c>
      <c r="AD217" s="25">
        <v>0</v>
      </c>
      <c r="AE217" s="25">
        <v>0</v>
      </c>
      <c r="AF217" s="25">
        <v>0</v>
      </c>
      <c r="AG217" s="25">
        <v>0</v>
      </c>
      <c r="AH217" s="25"/>
      <c r="AI217" s="25"/>
      <c r="AJ217" s="25"/>
      <c r="AK217" s="25"/>
      <c r="AL217" s="25"/>
      <c r="AM217" s="25"/>
    </row>
    <row r="218" spans="1:39" ht="15" customHeight="1">
      <c r="A218" s="32" t="str">
        <f t="shared" si="11"/>
        <v xml:space="preserve">AusNet--&gt; 66 kV &amp; &lt; = 132 kV ; COMMERCIAL &amp; INDUSTRIAL  </v>
      </c>
      <c r="B218" s="32" t="str">
        <f t="shared" si="12"/>
        <v>AusNet</v>
      </c>
      <c r="C218" s="32" t="s">
        <v>719</v>
      </c>
      <c r="D218" s="393"/>
      <c r="F218" t="s">
        <v>197</v>
      </c>
      <c r="G218" s="21">
        <v>0</v>
      </c>
      <c r="H218" s="21">
        <v>0</v>
      </c>
      <c r="I218" s="21">
        <v>0</v>
      </c>
      <c r="J218" s="21">
        <v>0</v>
      </c>
      <c r="K218" s="21">
        <v>0</v>
      </c>
      <c r="L218" s="21"/>
      <c r="M218" s="21"/>
      <c r="N218" s="21"/>
      <c r="O218" s="21"/>
      <c r="P218" s="21"/>
      <c r="Q218" s="21"/>
      <c r="R218" s="23">
        <v>0</v>
      </c>
      <c r="S218" s="23">
        <v>0</v>
      </c>
      <c r="T218" s="23">
        <v>0</v>
      </c>
      <c r="U218" s="23">
        <v>0</v>
      </c>
      <c r="V218" s="23">
        <v>0</v>
      </c>
      <c r="W218" s="23"/>
      <c r="X218" s="23"/>
      <c r="Y218" s="23"/>
      <c r="Z218" s="23"/>
      <c r="AA218" s="23"/>
      <c r="AB218" s="23"/>
      <c r="AC218" s="25">
        <v>0</v>
      </c>
      <c r="AD218" s="25">
        <v>0</v>
      </c>
      <c r="AE218" s="25">
        <v>0</v>
      </c>
      <c r="AF218" s="25">
        <v>0</v>
      </c>
      <c r="AG218" s="25">
        <v>0</v>
      </c>
      <c r="AH218" s="25"/>
      <c r="AI218" s="25"/>
      <c r="AJ218" s="25"/>
      <c r="AK218" s="25"/>
      <c r="AL218" s="25"/>
      <c r="AM218" s="25"/>
    </row>
    <row r="219" spans="1:39" ht="15" customHeight="1">
      <c r="A219" s="32" t="str">
        <f t="shared" si="11"/>
        <v xml:space="preserve">AusNet--&gt; 66 kV &amp; &lt; = 132 kV ; SUBDIVISION  </v>
      </c>
      <c r="B219" s="32" t="str">
        <f t="shared" si="12"/>
        <v>AusNet</v>
      </c>
      <c r="C219" s="32" t="s">
        <v>719</v>
      </c>
      <c r="D219" s="393"/>
      <c r="F219" t="s">
        <v>198</v>
      </c>
      <c r="G219" s="21">
        <v>0</v>
      </c>
      <c r="H219" s="21">
        <v>0</v>
      </c>
      <c r="I219" s="21">
        <v>0</v>
      </c>
      <c r="J219" s="21">
        <v>0</v>
      </c>
      <c r="K219" s="21">
        <v>0</v>
      </c>
      <c r="L219" s="21"/>
      <c r="M219" s="21"/>
      <c r="N219" s="21"/>
      <c r="O219" s="21"/>
      <c r="P219" s="21"/>
      <c r="Q219" s="21"/>
      <c r="R219" s="23">
        <v>0</v>
      </c>
      <c r="S219" s="23">
        <v>0</v>
      </c>
      <c r="T219" s="23">
        <v>0</v>
      </c>
      <c r="U219" s="23">
        <v>0</v>
      </c>
      <c r="V219" s="23">
        <v>0</v>
      </c>
      <c r="W219" s="23"/>
      <c r="X219" s="23"/>
      <c r="Y219" s="23"/>
      <c r="Z219" s="23"/>
      <c r="AA219" s="23"/>
      <c r="AB219" s="23"/>
      <c r="AC219" s="25">
        <v>0</v>
      </c>
      <c r="AD219" s="25">
        <v>0</v>
      </c>
      <c r="AE219" s="25">
        <v>0</v>
      </c>
      <c r="AF219" s="25">
        <v>0</v>
      </c>
      <c r="AG219" s="25">
        <v>0</v>
      </c>
      <c r="AH219" s="25"/>
      <c r="AI219" s="25"/>
      <c r="AJ219" s="25"/>
      <c r="AK219" s="25"/>
      <c r="AL219" s="25"/>
      <c r="AM219" s="25"/>
    </row>
    <row r="220" spans="1:39" ht="15" customHeight="1">
      <c r="A220" s="32" t="str">
        <f t="shared" si="11"/>
        <v xml:space="preserve">AusNet--&gt; 132 kV ; COMMERCIAL &amp; INDUSTRIAL  </v>
      </c>
      <c r="B220" s="32" t="str">
        <f t="shared" si="12"/>
        <v>AusNet</v>
      </c>
      <c r="C220" s="32" t="s">
        <v>719</v>
      </c>
      <c r="D220" s="393"/>
      <c r="F220" t="s">
        <v>199</v>
      </c>
      <c r="G220" s="21">
        <v>0</v>
      </c>
      <c r="H220" s="21">
        <v>0</v>
      </c>
      <c r="I220" s="21">
        <v>0</v>
      </c>
      <c r="J220" s="21">
        <v>0</v>
      </c>
      <c r="K220" s="21">
        <v>0</v>
      </c>
      <c r="L220" s="21"/>
      <c r="M220" s="21"/>
      <c r="N220" s="21"/>
      <c r="O220" s="21"/>
      <c r="P220" s="21"/>
      <c r="Q220" s="21"/>
      <c r="R220" s="23">
        <v>0</v>
      </c>
      <c r="S220" s="23">
        <v>0</v>
      </c>
      <c r="T220" s="23">
        <v>0</v>
      </c>
      <c r="U220" s="23">
        <v>0</v>
      </c>
      <c r="V220" s="23">
        <v>0</v>
      </c>
      <c r="W220" s="23"/>
      <c r="X220" s="23"/>
      <c r="Y220" s="23"/>
      <c r="Z220" s="23"/>
      <c r="AA220" s="23"/>
      <c r="AB220" s="23"/>
      <c r="AC220" s="25">
        <v>0</v>
      </c>
      <c r="AD220" s="25">
        <v>0</v>
      </c>
      <c r="AE220" s="25">
        <v>0</v>
      </c>
      <c r="AF220" s="25">
        <v>0</v>
      </c>
      <c r="AG220" s="25">
        <v>0</v>
      </c>
      <c r="AH220" s="25"/>
      <c r="AI220" s="25"/>
      <c r="AJ220" s="25"/>
      <c r="AK220" s="25"/>
      <c r="AL220" s="25"/>
      <c r="AM220" s="25"/>
    </row>
    <row r="221" spans="1:39" ht="15" customHeight="1">
      <c r="A221" s="32" t="str">
        <f t="shared" si="11"/>
        <v xml:space="preserve">AusNet--&gt; 132 kV ; SUBDIVISION  </v>
      </c>
      <c r="B221" s="32" t="str">
        <f t="shared" si="12"/>
        <v>AusNet</v>
      </c>
      <c r="C221" s="32" t="s">
        <v>719</v>
      </c>
      <c r="D221" s="393"/>
      <c r="F221" t="s">
        <v>200</v>
      </c>
      <c r="G221" s="21">
        <v>0</v>
      </c>
      <c r="H221" s="21">
        <v>0</v>
      </c>
      <c r="I221" s="21">
        <v>0</v>
      </c>
      <c r="J221" s="21">
        <v>0</v>
      </c>
      <c r="K221" s="21">
        <v>0</v>
      </c>
      <c r="L221" s="21"/>
      <c r="M221" s="21"/>
      <c r="N221" s="21"/>
      <c r="O221" s="21"/>
      <c r="P221" s="21"/>
      <c r="Q221" s="21"/>
      <c r="R221" s="23">
        <v>0</v>
      </c>
      <c r="S221" s="23">
        <v>0</v>
      </c>
      <c r="T221" s="23">
        <v>0</v>
      </c>
      <c r="U221" s="23">
        <v>0</v>
      </c>
      <c r="V221" s="23">
        <v>0</v>
      </c>
      <c r="W221" s="23"/>
      <c r="X221" s="23"/>
      <c r="Y221" s="23"/>
      <c r="Z221" s="23"/>
      <c r="AA221" s="23"/>
      <c r="AB221" s="23"/>
      <c r="AC221" s="25">
        <v>0</v>
      </c>
      <c r="AD221" s="25">
        <v>0</v>
      </c>
      <c r="AE221" s="25">
        <v>0</v>
      </c>
      <c r="AF221" s="25">
        <v>0</v>
      </c>
      <c r="AG221" s="25">
        <v>0</v>
      </c>
      <c r="AH221" s="25"/>
      <c r="AI221" s="25"/>
      <c r="AJ221" s="25"/>
      <c r="AK221" s="25"/>
      <c r="AL221" s="25"/>
      <c r="AM221" s="25"/>
    </row>
    <row r="222" spans="1:39" ht="15" customHeight="1">
      <c r="A222" s="32" t="str">
        <f t="shared" si="11"/>
        <v>AusNet--OTHER - PLEASE ADD A ROW IF NECESSARY AND NOMINATE THE CATEGORY</v>
      </c>
      <c r="B222" s="32" t="str">
        <f t="shared" si="12"/>
        <v>AusNet</v>
      </c>
      <c r="C222" s="32" t="s">
        <v>719</v>
      </c>
      <c r="D222" s="393"/>
      <c r="F222" t="s">
        <v>170</v>
      </c>
      <c r="G222" s="21">
        <v>0</v>
      </c>
      <c r="H222" s="21">
        <v>0</v>
      </c>
      <c r="I222" s="21">
        <v>0</v>
      </c>
      <c r="J222" s="21">
        <v>0</v>
      </c>
      <c r="K222" s="21">
        <v>0</v>
      </c>
      <c r="L222" s="21"/>
      <c r="M222" s="21"/>
      <c r="N222" s="21"/>
      <c r="O222" s="21"/>
      <c r="P222" s="21"/>
      <c r="Q222" s="21"/>
      <c r="R222" s="23">
        <v>0</v>
      </c>
      <c r="S222" s="23">
        <v>0</v>
      </c>
      <c r="T222" s="23">
        <v>0</v>
      </c>
      <c r="U222" s="23">
        <v>0</v>
      </c>
      <c r="V222" s="23">
        <v>0</v>
      </c>
      <c r="W222" s="23"/>
      <c r="X222" s="23"/>
      <c r="Y222" s="23"/>
      <c r="Z222" s="23"/>
      <c r="AA222" s="23"/>
      <c r="AB222" s="23"/>
      <c r="AC222" s="25">
        <v>0</v>
      </c>
      <c r="AD222" s="25">
        <v>0</v>
      </c>
      <c r="AE222" s="25">
        <v>0</v>
      </c>
      <c r="AF222" s="25">
        <v>0</v>
      </c>
      <c r="AG222" s="25">
        <v>0</v>
      </c>
      <c r="AH222" s="25"/>
      <c r="AI222" s="25"/>
      <c r="AJ222" s="25"/>
      <c r="AK222" s="25"/>
      <c r="AL222" s="25"/>
      <c r="AM222" s="25"/>
    </row>
    <row r="223" spans="1:39" ht="75" customHeight="1">
      <c r="A223" s="32" t="str">
        <f t="shared" si="11"/>
        <v>AusNet-TRANSFORMERS BY: 
MOUNTING TYPE; HIGHEST OPERATING VOLTAGE ; AMPERE RATING; NUMBER OF PHASES (AT LV)-POLE MOUNTED ; &lt; = 22kV ;  &lt; = 60 kVA ; SINGLE PHASE</v>
      </c>
      <c r="B223" s="32" t="str">
        <f t="shared" si="12"/>
        <v>AusNet</v>
      </c>
      <c r="C223" s="32" t="s">
        <v>4</v>
      </c>
      <c r="D223" s="393"/>
      <c r="E223" s="3" t="s">
        <v>544</v>
      </c>
      <c r="F223" t="s">
        <v>203</v>
      </c>
      <c r="G223" s="21">
        <v>747.072</v>
      </c>
      <c r="H223" s="21">
        <v>573.5</v>
      </c>
      <c r="I223" s="21">
        <v>981.87599999999998</v>
      </c>
      <c r="J223" s="21">
        <v>962.15700000000004</v>
      </c>
      <c r="K223" s="21">
        <v>436.51499999999999</v>
      </c>
      <c r="L223" s="21"/>
      <c r="M223" s="21"/>
      <c r="N223" s="21"/>
      <c r="O223" s="21"/>
      <c r="P223" s="21"/>
      <c r="Q223" s="21"/>
      <c r="R223" s="23">
        <v>266</v>
      </c>
      <c r="S223" s="23">
        <v>150</v>
      </c>
      <c r="T223" s="23">
        <v>231</v>
      </c>
      <c r="U223" s="23">
        <v>132</v>
      </c>
      <c r="V223" s="23">
        <v>79</v>
      </c>
      <c r="W223" s="23"/>
      <c r="X223" s="23"/>
      <c r="Y223" s="23"/>
      <c r="Z223" s="23"/>
      <c r="AA223" s="23"/>
      <c r="AB223" s="23"/>
      <c r="AC223" s="25">
        <v>989</v>
      </c>
      <c r="AD223" s="25">
        <v>454</v>
      </c>
      <c r="AE223" s="25">
        <v>451</v>
      </c>
      <c r="AF223" s="25">
        <v>145</v>
      </c>
      <c r="AG223" s="25">
        <v>251</v>
      </c>
      <c r="AH223" s="25"/>
      <c r="AI223" s="25"/>
      <c r="AJ223" s="25"/>
      <c r="AK223" s="25"/>
      <c r="AL223" s="25"/>
      <c r="AM223" s="25"/>
    </row>
    <row r="224" spans="1:39" ht="15" customHeight="1">
      <c r="A224" s="32" t="str">
        <f t="shared" si="11"/>
        <v>AusNet--POLE MOUNTED ; &lt; = 22kV ;  &gt; 60 kVA AND &lt; = 600 kVA ; SINGLE PHASE</v>
      </c>
      <c r="B224" s="32" t="str">
        <f t="shared" si="12"/>
        <v>AusNet</v>
      </c>
      <c r="C224" s="32" t="s">
        <v>4</v>
      </c>
      <c r="D224" s="393"/>
      <c r="F224" t="s">
        <v>204</v>
      </c>
      <c r="G224" s="21">
        <v>33.363999999999997</v>
      </c>
      <c r="H224" s="21">
        <v>6.0620000000000003</v>
      </c>
      <c r="I224" s="21">
        <v>19.379000000000001</v>
      </c>
      <c r="J224" s="21">
        <v>52.101999999999997</v>
      </c>
      <c r="K224" s="21">
        <v>48.954999999999998</v>
      </c>
      <c r="L224" s="21"/>
      <c r="M224" s="21"/>
      <c r="N224" s="21"/>
      <c r="O224" s="21"/>
      <c r="P224" s="21"/>
      <c r="Q224" s="21"/>
      <c r="R224" s="23">
        <v>12</v>
      </c>
      <c r="S224" s="23">
        <v>2</v>
      </c>
      <c r="T224" s="23">
        <v>5</v>
      </c>
      <c r="U224" s="23">
        <v>7</v>
      </c>
      <c r="V224" s="23">
        <v>9</v>
      </c>
      <c r="W224" s="23"/>
      <c r="X224" s="23"/>
      <c r="Y224" s="23"/>
      <c r="Z224" s="23"/>
      <c r="AA224" s="23"/>
      <c r="AB224" s="23"/>
      <c r="AC224" s="25">
        <v>44</v>
      </c>
      <c r="AD224" s="25">
        <v>4</v>
      </c>
      <c r="AE224" s="25">
        <v>9</v>
      </c>
      <c r="AF224" s="25">
        <v>6</v>
      </c>
      <c r="AG224" s="25">
        <v>19</v>
      </c>
      <c r="AH224" s="25"/>
      <c r="AI224" s="25"/>
      <c r="AJ224" s="25"/>
      <c r="AK224" s="25"/>
      <c r="AL224" s="25"/>
      <c r="AM224" s="25"/>
    </row>
    <row r="225" spans="1:39" ht="15" customHeight="1">
      <c r="A225" s="32" t="str">
        <f t="shared" si="11"/>
        <v>AusNet--POLE MOUNTED ; &lt; = 22kV ;  &gt; 600 kVA ; SINGLE PHASE</v>
      </c>
      <c r="B225" s="32" t="str">
        <f t="shared" si="12"/>
        <v>AusNet</v>
      </c>
      <c r="C225" s="32" t="s">
        <v>4</v>
      </c>
      <c r="D225" s="393"/>
      <c r="F225" t="s">
        <v>205</v>
      </c>
      <c r="G225" s="21">
        <v>1.4510000000000001</v>
      </c>
      <c r="H225" s="21">
        <v>0</v>
      </c>
      <c r="I225" s="21">
        <v>2.153</v>
      </c>
      <c r="J225" s="21">
        <v>0</v>
      </c>
      <c r="K225" s="21">
        <v>0</v>
      </c>
      <c r="L225" s="21"/>
      <c r="M225" s="21"/>
      <c r="N225" s="21"/>
      <c r="O225" s="21"/>
      <c r="P225" s="21"/>
      <c r="Q225" s="21"/>
      <c r="R225" s="23">
        <v>1</v>
      </c>
      <c r="S225" s="23">
        <v>0</v>
      </c>
      <c r="T225" s="23">
        <v>1</v>
      </c>
      <c r="U225" s="23">
        <v>0</v>
      </c>
      <c r="V225" s="23">
        <v>0</v>
      </c>
      <c r="W225" s="23"/>
      <c r="X225" s="23"/>
      <c r="Y225" s="23"/>
      <c r="Z225" s="23"/>
      <c r="AA225" s="23"/>
      <c r="AB225" s="23"/>
      <c r="AC225" s="25">
        <v>2</v>
      </c>
      <c r="AD225" s="25" t="s">
        <v>291</v>
      </c>
      <c r="AE225" s="25">
        <v>1</v>
      </c>
      <c r="AF225" s="25" t="s">
        <v>291</v>
      </c>
      <c r="AG225" s="25" t="s">
        <v>291</v>
      </c>
      <c r="AH225" s="25"/>
      <c r="AI225" s="25"/>
      <c r="AJ225" s="25"/>
      <c r="AK225" s="25"/>
      <c r="AL225" s="25"/>
      <c r="AM225" s="25"/>
    </row>
    <row r="226" spans="1:39" ht="15" customHeight="1">
      <c r="A226" s="32" t="str">
        <f t="shared" si="11"/>
        <v>AusNet--POLE MOUNTED ; &lt; = 22kV ;  &lt; = 60 kVA  ; MULTIPLE PHASE</v>
      </c>
      <c r="B226" s="32" t="str">
        <f t="shared" si="12"/>
        <v>AusNet</v>
      </c>
      <c r="C226" s="32" t="s">
        <v>4</v>
      </c>
      <c r="D226" s="393"/>
      <c r="F226" t="s">
        <v>206</v>
      </c>
      <c r="G226" s="21">
        <v>126.053</v>
      </c>
      <c r="H226" s="21">
        <v>84.287000000000006</v>
      </c>
      <c r="I226" s="21">
        <v>152.18100000000001</v>
      </c>
      <c r="J226" s="21">
        <v>96.585999999999999</v>
      </c>
      <c r="K226" s="21">
        <v>40.177</v>
      </c>
      <c r="L226" s="21"/>
      <c r="M226" s="21"/>
      <c r="N226" s="21"/>
      <c r="O226" s="21"/>
      <c r="P226" s="21"/>
      <c r="Q226" s="21"/>
      <c r="R226" s="23">
        <v>39</v>
      </c>
      <c r="S226" s="23">
        <v>19</v>
      </c>
      <c r="T226" s="23">
        <v>31</v>
      </c>
      <c r="U226" s="23">
        <v>11</v>
      </c>
      <c r="V226" s="23">
        <v>6</v>
      </c>
      <c r="W226" s="23"/>
      <c r="X226" s="23"/>
      <c r="Y226" s="23"/>
      <c r="Z226" s="23"/>
      <c r="AA226" s="23"/>
      <c r="AB226" s="23"/>
      <c r="AC226" s="25">
        <v>167</v>
      </c>
      <c r="AD226" s="25">
        <v>67</v>
      </c>
      <c r="AE226" s="25">
        <v>70</v>
      </c>
      <c r="AF226" s="25">
        <v>17</v>
      </c>
      <c r="AG226" s="25">
        <v>24</v>
      </c>
      <c r="AH226" s="25"/>
      <c r="AI226" s="25"/>
      <c r="AJ226" s="25"/>
      <c r="AK226" s="25"/>
      <c r="AL226" s="25"/>
      <c r="AM226" s="25"/>
    </row>
    <row r="227" spans="1:39" ht="15" customHeight="1">
      <c r="A227" s="32" t="str">
        <f t="shared" si="11"/>
        <v>AusNet--POLE MOUNTED ; &lt; = 22kV ;  &gt; 60 kVA AND &lt; = 600 kVA  ; MULTIPLE PHASE</v>
      </c>
      <c r="B227" s="32" t="str">
        <f t="shared" si="12"/>
        <v>AusNet</v>
      </c>
      <c r="C227" s="32" t="s">
        <v>4</v>
      </c>
      <c r="D227" s="393"/>
      <c r="F227" t="s">
        <v>207</v>
      </c>
      <c r="G227" s="21">
        <v>1421.3589999999999</v>
      </c>
      <c r="H227" s="21">
        <v>1597.748</v>
      </c>
      <c r="I227" s="21">
        <v>2082.846</v>
      </c>
      <c r="J227" s="21">
        <v>2248.241</v>
      </c>
      <c r="K227" s="21">
        <v>926.37599999999998</v>
      </c>
      <c r="L227" s="21"/>
      <c r="M227" s="21"/>
      <c r="N227" s="21"/>
      <c r="O227" s="21"/>
      <c r="P227" s="21"/>
      <c r="Q227" s="21"/>
      <c r="R227" s="23">
        <v>283</v>
      </c>
      <c r="S227" s="23">
        <v>234</v>
      </c>
      <c r="T227" s="23">
        <v>274</v>
      </c>
      <c r="U227" s="23">
        <v>173</v>
      </c>
      <c r="V227" s="23">
        <v>93</v>
      </c>
      <c r="W227" s="23"/>
      <c r="X227" s="23"/>
      <c r="Y227" s="23"/>
      <c r="Z227" s="23"/>
      <c r="AA227" s="23"/>
      <c r="AB227" s="23"/>
      <c r="AC227" s="25">
        <v>1882</v>
      </c>
      <c r="AD227" s="25">
        <v>1265</v>
      </c>
      <c r="AE227" s="25">
        <v>957</v>
      </c>
      <c r="AF227" s="25">
        <v>342</v>
      </c>
      <c r="AG227" s="25">
        <v>560</v>
      </c>
      <c r="AH227" s="25"/>
      <c r="AI227" s="25"/>
      <c r="AJ227" s="25"/>
      <c r="AK227" s="25"/>
      <c r="AL227" s="25"/>
      <c r="AM227" s="25"/>
    </row>
    <row r="228" spans="1:39" ht="15" customHeight="1">
      <c r="A228" s="32" t="str">
        <f t="shared" si="11"/>
        <v>AusNet--POLE MOUNTED ; &lt; = 22kV ;  &gt; 600 kVA  ; MULTIPLE PHASE</v>
      </c>
      <c r="B228" s="32" t="str">
        <f t="shared" si="12"/>
        <v>AusNet</v>
      </c>
      <c r="C228" s="32" t="s">
        <v>4</v>
      </c>
      <c r="D228" s="393"/>
      <c r="F228" t="s">
        <v>208</v>
      </c>
      <c r="G228" s="21">
        <v>57.061999999999998</v>
      </c>
      <c r="H228" s="21">
        <v>41.19</v>
      </c>
      <c r="I228" s="21">
        <v>273.35000000000002</v>
      </c>
      <c r="J228" s="21">
        <v>130.423</v>
      </c>
      <c r="K228" s="21">
        <v>32.823999999999998</v>
      </c>
      <c r="L228" s="21"/>
      <c r="M228" s="21"/>
      <c r="N228" s="21"/>
      <c r="O228" s="21"/>
      <c r="P228" s="21"/>
      <c r="Q228" s="21"/>
      <c r="R228" s="23">
        <v>11</v>
      </c>
      <c r="S228" s="23">
        <v>6</v>
      </c>
      <c r="T228" s="23">
        <v>36</v>
      </c>
      <c r="U228" s="23">
        <v>10</v>
      </c>
      <c r="V228" s="23">
        <v>3</v>
      </c>
      <c r="W228" s="23"/>
      <c r="X228" s="23"/>
      <c r="Y228" s="23"/>
      <c r="Z228" s="23"/>
      <c r="AA228" s="23"/>
      <c r="AB228" s="23"/>
      <c r="AC228" s="25">
        <v>76</v>
      </c>
      <c r="AD228" s="25">
        <v>33</v>
      </c>
      <c r="AE228" s="25">
        <v>126</v>
      </c>
      <c r="AF228" s="25">
        <v>20</v>
      </c>
      <c r="AG228" s="25">
        <v>19</v>
      </c>
      <c r="AH228" s="25"/>
      <c r="AI228" s="25"/>
      <c r="AJ228" s="25"/>
      <c r="AK228" s="25"/>
      <c r="AL228" s="25"/>
      <c r="AM228" s="25"/>
    </row>
    <row r="229" spans="1:39" ht="15" customHeight="1">
      <c r="A229" s="32" t="str">
        <f t="shared" si="11"/>
        <v>AusNet--KIOSK MOUNTED ; &lt; = 22kV ;  &lt; = 60 kVA ; SINGLE PHASE</v>
      </c>
      <c r="B229" s="32" t="str">
        <f t="shared" si="12"/>
        <v>AusNet</v>
      </c>
      <c r="C229" s="32" t="s">
        <v>4</v>
      </c>
      <c r="D229" s="393"/>
      <c r="F229" t="s">
        <v>214</v>
      </c>
      <c r="G229" s="21">
        <v>2.9009999999999998</v>
      </c>
      <c r="H229" s="21">
        <v>2.4249999999999998</v>
      </c>
      <c r="I229" s="21">
        <v>0</v>
      </c>
      <c r="J229" s="21">
        <v>0</v>
      </c>
      <c r="K229" s="21">
        <v>0</v>
      </c>
      <c r="L229" s="21"/>
      <c r="M229" s="21"/>
      <c r="N229" s="21"/>
      <c r="O229" s="21"/>
      <c r="P229" s="21"/>
      <c r="Q229" s="21"/>
      <c r="R229" s="23">
        <v>1</v>
      </c>
      <c r="S229" s="23">
        <v>1</v>
      </c>
      <c r="T229" s="23">
        <v>0</v>
      </c>
      <c r="U229" s="23">
        <v>0</v>
      </c>
      <c r="V229" s="23">
        <v>0</v>
      </c>
      <c r="W229" s="23"/>
      <c r="X229" s="23"/>
      <c r="Y229" s="23"/>
      <c r="Z229" s="23"/>
      <c r="AA229" s="23"/>
      <c r="AB229" s="23"/>
      <c r="AC229" s="25">
        <v>0</v>
      </c>
      <c r="AD229" s="25">
        <v>0</v>
      </c>
      <c r="AE229" s="25">
        <v>0</v>
      </c>
      <c r="AF229" s="25">
        <v>0</v>
      </c>
      <c r="AG229" s="25">
        <v>0</v>
      </c>
      <c r="AH229" s="25"/>
      <c r="AI229" s="25"/>
      <c r="AJ229" s="25"/>
      <c r="AK229" s="25"/>
      <c r="AL229" s="25"/>
      <c r="AM229" s="25"/>
    </row>
    <row r="230" spans="1:39" ht="15" customHeight="1">
      <c r="A230" s="32" t="str">
        <f t="shared" si="11"/>
        <v>AusNet--KIOSK MOUNTED ; &lt; = 22kV ;  &gt; 60 kVA AND &lt; = 600 kVA ; SINGLE PHASE</v>
      </c>
      <c r="B230" s="32" t="str">
        <f t="shared" si="12"/>
        <v>AusNet</v>
      </c>
      <c r="C230" s="32" t="s">
        <v>4</v>
      </c>
      <c r="D230" s="393"/>
      <c r="F230" t="s">
        <v>215</v>
      </c>
      <c r="G230" s="21">
        <v>0</v>
      </c>
      <c r="H230" s="21">
        <v>0</v>
      </c>
      <c r="I230" s="21">
        <v>0</v>
      </c>
      <c r="J230" s="21">
        <v>0</v>
      </c>
      <c r="K230" s="21">
        <v>0</v>
      </c>
      <c r="L230" s="21"/>
      <c r="M230" s="21"/>
      <c r="N230" s="21"/>
      <c r="O230" s="21"/>
      <c r="P230" s="21"/>
      <c r="Q230" s="21"/>
      <c r="R230" s="23">
        <v>0</v>
      </c>
      <c r="S230" s="23">
        <v>0</v>
      </c>
      <c r="T230" s="23">
        <v>0</v>
      </c>
      <c r="U230" s="23">
        <v>0</v>
      </c>
      <c r="V230" s="23">
        <v>0</v>
      </c>
      <c r="W230" s="23"/>
      <c r="X230" s="23"/>
      <c r="Y230" s="23"/>
      <c r="Z230" s="23"/>
      <c r="AA230" s="23"/>
      <c r="AB230" s="23"/>
      <c r="AC230" s="25">
        <v>0</v>
      </c>
      <c r="AD230" s="25">
        <v>0</v>
      </c>
      <c r="AE230" s="25">
        <v>0</v>
      </c>
      <c r="AF230" s="25">
        <v>0</v>
      </c>
      <c r="AG230" s="25">
        <v>0</v>
      </c>
      <c r="AH230" s="25"/>
      <c r="AI230" s="25"/>
      <c r="AJ230" s="25"/>
      <c r="AK230" s="25"/>
      <c r="AL230" s="25"/>
      <c r="AM230" s="25"/>
    </row>
    <row r="231" spans="1:39" ht="15" customHeight="1">
      <c r="A231" s="32" t="str">
        <f t="shared" si="11"/>
        <v>AusNet--KIOSK MOUNTED ; &lt; = 22kV ;  &gt; 600 kVA ; SINGLE PHASE</v>
      </c>
      <c r="B231" s="32" t="str">
        <f t="shared" si="12"/>
        <v>AusNet</v>
      </c>
      <c r="C231" s="32" t="s">
        <v>4</v>
      </c>
      <c r="D231" s="393"/>
      <c r="F231" t="s">
        <v>216</v>
      </c>
      <c r="G231" s="21">
        <v>0</v>
      </c>
      <c r="H231" s="21">
        <v>0</v>
      </c>
      <c r="I231" s="21">
        <v>0</v>
      </c>
      <c r="J231" s="21">
        <v>0</v>
      </c>
      <c r="K231" s="21">
        <v>0</v>
      </c>
      <c r="L231" s="21"/>
      <c r="M231" s="21"/>
      <c r="N231" s="21"/>
      <c r="O231" s="21"/>
      <c r="P231" s="21"/>
      <c r="Q231" s="21"/>
      <c r="R231" s="23">
        <v>0</v>
      </c>
      <c r="S231" s="23">
        <v>0</v>
      </c>
      <c r="T231" s="23">
        <v>0</v>
      </c>
      <c r="U231" s="23">
        <v>0</v>
      </c>
      <c r="V231" s="23">
        <v>0</v>
      </c>
      <c r="W231" s="23"/>
      <c r="X231" s="23"/>
      <c r="Y231" s="23"/>
      <c r="Z231" s="23"/>
      <c r="AA231" s="23"/>
      <c r="AB231" s="23"/>
      <c r="AC231" s="25">
        <v>0</v>
      </c>
      <c r="AD231" s="25">
        <v>0</v>
      </c>
      <c r="AE231" s="25">
        <v>0</v>
      </c>
      <c r="AF231" s="25">
        <v>0</v>
      </c>
      <c r="AG231" s="25">
        <v>0</v>
      </c>
      <c r="AH231" s="25"/>
      <c r="AI231" s="25"/>
      <c r="AJ231" s="25"/>
      <c r="AK231" s="25"/>
      <c r="AL231" s="25"/>
      <c r="AM231" s="25"/>
    </row>
    <row r="232" spans="1:39" ht="15" customHeight="1">
      <c r="A232" s="32" t="str">
        <f t="shared" si="11"/>
        <v>AusNet--KIOSK MOUNTED ; &lt; = 22kV ;  &lt; = 60 kVA  ; MULTIPLE PHASE</v>
      </c>
      <c r="B232" s="32" t="str">
        <f t="shared" si="12"/>
        <v>AusNet</v>
      </c>
      <c r="C232" s="32" t="s">
        <v>4</v>
      </c>
      <c r="D232" s="393"/>
      <c r="F232" t="s">
        <v>217</v>
      </c>
      <c r="G232" s="21">
        <v>16.477</v>
      </c>
      <c r="H232" s="21">
        <v>13.772</v>
      </c>
      <c r="I232" s="21">
        <v>24.457999999999998</v>
      </c>
      <c r="J232" s="21">
        <v>0</v>
      </c>
      <c r="K232" s="21">
        <v>11.585000000000001</v>
      </c>
      <c r="L232" s="21"/>
      <c r="M232" s="21"/>
      <c r="N232" s="21"/>
      <c r="O232" s="21"/>
      <c r="P232" s="21"/>
      <c r="Q232" s="21"/>
      <c r="R232" s="23">
        <v>1</v>
      </c>
      <c r="S232" s="23">
        <v>1</v>
      </c>
      <c r="T232" s="23">
        <v>1</v>
      </c>
      <c r="U232" s="23">
        <v>0</v>
      </c>
      <c r="V232" s="23">
        <v>0</v>
      </c>
      <c r="W232" s="23"/>
      <c r="X232" s="23"/>
      <c r="Y232" s="23"/>
      <c r="Z232" s="23"/>
      <c r="AA232" s="23"/>
      <c r="AB232" s="23"/>
      <c r="AC232" s="25">
        <v>0</v>
      </c>
      <c r="AD232" s="25">
        <v>0</v>
      </c>
      <c r="AE232" s="25">
        <v>0</v>
      </c>
      <c r="AF232" s="25">
        <v>0</v>
      </c>
      <c r="AG232" s="25">
        <v>0</v>
      </c>
      <c r="AH232" s="25"/>
      <c r="AI232" s="25"/>
      <c r="AJ232" s="25"/>
      <c r="AK232" s="25"/>
      <c r="AL232" s="25"/>
      <c r="AM232" s="25"/>
    </row>
    <row r="233" spans="1:39" ht="15" customHeight="1">
      <c r="A233" s="32" t="str">
        <f t="shared" si="11"/>
        <v>AusNet--KIOSK MOUNTED ; &lt; = 22kV ;  &gt; 60 kVA AND &lt; = 600 kVA  ; MULTIPLE PHASE</v>
      </c>
      <c r="B233" s="32" t="str">
        <f t="shared" si="12"/>
        <v>AusNet</v>
      </c>
      <c r="C233" s="32" t="s">
        <v>4</v>
      </c>
      <c r="D233" s="393"/>
      <c r="F233" t="s">
        <v>218</v>
      </c>
      <c r="G233" s="21">
        <v>1845.4359999999999</v>
      </c>
      <c r="H233" s="21">
        <v>1267.028</v>
      </c>
      <c r="I233" s="21">
        <v>2225.6610000000001</v>
      </c>
      <c r="J233" s="21">
        <v>1223.076</v>
      </c>
      <c r="K233" s="21">
        <v>382.29199999999997</v>
      </c>
      <c r="L233" s="21"/>
      <c r="M233" s="21"/>
      <c r="N233" s="21"/>
      <c r="O233" s="21"/>
      <c r="P233" s="21"/>
      <c r="Q233" s="21"/>
      <c r="R233" s="23">
        <v>116</v>
      </c>
      <c r="S233" s="23">
        <v>58</v>
      </c>
      <c r="T233" s="23">
        <v>92</v>
      </c>
      <c r="U233" s="23">
        <v>30</v>
      </c>
      <c r="V233" s="23">
        <v>12</v>
      </c>
      <c r="W233" s="23"/>
      <c r="X233" s="23"/>
      <c r="Y233" s="23"/>
      <c r="Z233" s="23"/>
      <c r="AA233" s="23"/>
      <c r="AB233" s="23"/>
      <c r="AC233" s="25">
        <v>0</v>
      </c>
      <c r="AD233" s="25">
        <v>0</v>
      </c>
      <c r="AE233" s="25">
        <v>0</v>
      </c>
      <c r="AF233" s="25">
        <v>0</v>
      </c>
      <c r="AG233" s="25">
        <v>1</v>
      </c>
      <c r="AH233" s="25"/>
      <c r="AI233" s="25"/>
      <c r="AJ233" s="25"/>
      <c r="AK233" s="25"/>
      <c r="AL233" s="25"/>
      <c r="AM233" s="25"/>
    </row>
    <row r="234" spans="1:39" ht="15" customHeight="1">
      <c r="A234" s="32" t="str">
        <f t="shared" si="11"/>
        <v>AusNet--KIOSK MOUNTED ; &lt; = 22kV ;  &gt; 600 kVA  ; MULTIPLE PHASE</v>
      </c>
      <c r="B234" s="32" t="str">
        <f t="shared" si="12"/>
        <v>AusNet</v>
      </c>
      <c r="C234" s="32" t="s">
        <v>4</v>
      </c>
      <c r="D234" s="393"/>
      <c r="F234" t="s">
        <v>219</v>
      </c>
      <c r="G234" s="21">
        <v>129.64099999999999</v>
      </c>
      <c r="H234" s="21">
        <v>48.158999999999999</v>
      </c>
      <c r="I234" s="21">
        <v>149.66999999999999</v>
      </c>
      <c r="J234" s="21">
        <v>344.91300000000001</v>
      </c>
      <c r="K234" s="21">
        <v>222.803</v>
      </c>
      <c r="L234" s="21"/>
      <c r="M234" s="21"/>
      <c r="N234" s="21"/>
      <c r="O234" s="21"/>
      <c r="P234" s="21"/>
      <c r="Q234" s="21"/>
      <c r="R234" s="23">
        <v>5</v>
      </c>
      <c r="S234" s="23">
        <v>1</v>
      </c>
      <c r="T234" s="23">
        <v>4</v>
      </c>
      <c r="U234" s="23">
        <v>5</v>
      </c>
      <c r="V234" s="23">
        <v>4</v>
      </c>
      <c r="W234" s="23"/>
      <c r="X234" s="23"/>
      <c r="Y234" s="23"/>
      <c r="Z234" s="23"/>
      <c r="AA234" s="23"/>
      <c r="AB234" s="23"/>
      <c r="AC234" s="25">
        <v>2</v>
      </c>
      <c r="AD234" s="25">
        <v>2</v>
      </c>
      <c r="AE234" s="25">
        <v>0</v>
      </c>
      <c r="AF234" s="25">
        <v>0</v>
      </c>
      <c r="AG234" s="25">
        <v>0</v>
      </c>
      <c r="AH234" s="25"/>
      <c r="AI234" s="25"/>
      <c r="AJ234" s="25"/>
      <c r="AK234" s="25"/>
      <c r="AL234" s="25"/>
      <c r="AM234" s="25"/>
    </row>
    <row r="235" spans="1:39" ht="15" customHeight="1">
      <c r="A235" s="32" t="str">
        <f t="shared" si="11"/>
        <v>AusNet--GROUND OUTDOOR / INDOOR CHAMBER MOUNTED ; ˂ 22 kV ;  &lt; = 60 kVA ; SINGLE PHASE</v>
      </c>
      <c r="B235" s="32" t="str">
        <f t="shared" si="12"/>
        <v>AusNet</v>
      </c>
      <c r="C235" s="32" t="s">
        <v>4</v>
      </c>
      <c r="D235" s="393"/>
      <c r="F235" t="s">
        <v>225</v>
      </c>
      <c r="G235" s="21">
        <v>0</v>
      </c>
      <c r="H235" s="21">
        <v>0</v>
      </c>
      <c r="I235" s="21">
        <v>0</v>
      </c>
      <c r="J235" s="21">
        <v>0</v>
      </c>
      <c r="K235" s="21">
        <v>0</v>
      </c>
      <c r="L235" s="21"/>
      <c r="M235" s="21"/>
      <c r="N235" s="21"/>
      <c r="O235" s="21"/>
      <c r="P235" s="21"/>
      <c r="Q235" s="21"/>
      <c r="R235" s="23">
        <v>0</v>
      </c>
      <c r="S235" s="23">
        <v>0</v>
      </c>
      <c r="T235" s="23">
        <v>0</v>
      </c>
      <c r="U235" s="23">
        <v>0</v>
      </c>
      <c r="V235" s="23">
        <v>0</v>
      </c>
      <c r="W235" s="23"/>
      <c r="X235" s="23"/>
      <c r="Y235" s="23"/>
      <c r="Z235" s="23"/>
      <c r="AA235" s="23"/>
      <c r="AB235" s="23"/>
      <c r="AC235" s="25">
        <v>0</v>
      </c>
      <c r="AD235" s="25">
        <v>0</v>
      </c>
      <c r="AE235" s="25">
        <v>0</v>
      </c>
      <c r="AF235" s="25">
        <v>0</v>
      </c>
      <c r="AG235" s="25">
        <v>0</v>
      </c>
      <c r="AH235" s="25"/>
      <c r="AI235" s="25"/>
      <c r="AJ235" s="25"/>
      <c r="AK235" s="25"/>
      <c r="AL235" s="25"/>
      <c r="AM235" s="25"/>
    </row>
    <row r="236" spans="1:39" ht="15" customHeight="1">
      <c r="A236" s="32" t="str">
        <f t="shared" si="11"/>
        <v>AusNet--GROUND OUTDOOR / INDOOR CHAMBER MOUNTED ; ˂  22 kV ;  &gt; 60 kVA  AND &lt; = 600 kVA ; SINGLE PHASE</v>
      </c>
      <c r="B236" s="32" t="str">
        <f t="shared" si="12"/>
        <v>AusNet</v>
      </c>
      <c r="C236" s="32" t="s">
        <v>4</v>
      </c>
      <c r="D236" s="393"/>
      <c r="F236" t="s">
        <v>226</v>
      </c>
      <c r="G236" s="21">
        <v>0</v>
      </c>
      <c r="H236" s="21">
        <v>0</v>
      </c>
      <c r="I236" s="21">
        <v>0</v>
      </c>
      <c r="J236" s="21">
        <v>0</v>
      </c>
      <c r="K236" s="21">
        <v>0</v>
      </c>
      <c r="L236" s="21"/>
      <c r="M236" s="21"/>
      <c r="N236" s="21"/>
      <c r="O236" s="21"/>
      <c r="P236" s="21"/>
      <c r="Q236" s="21"/>
      <c r="R236" s="23">
        <v>0</v>
      </c>
      <c r="S236" s="23">
        <v>0</v>
      </c>
      <c r="T236" s="23">
        <v>0</v>
      </c>
      <c r="U236" s="23">
        <v>0</v>
      </c>
      <c r="V236" s="23">
        <v>0</v>
      </c>
      <c r="W236" s="23"/>
      <c r="X236" s="23"/>
      <c r="Y236" s="23"/>
      <c r="Z236" s="23"/>
      <c r="AA236" s="23"/>
      <c r="AB236" s="23"/>
      <c r="AC236" s="25">
        <v>0</v>
      </c>
      <c r="AD236" s="25">
        <v>0</v>
      </c>
      <c r="AE236" s="25">
        <v>0</v>
      </c>
      <c r="AF236" s="25">
        <v>0</v>
      </c>
      <c r="AG236" s="25">
        <v>0</v>
      </c>
      <c r="AH236" s="25"/>
      <c r="AI236" s="25"/>
      <c r="AJ236" s="25"/>
      <c r="AK236" s="25"/>
      <c r="AL236" s="25"/>
      <c r="AM236" s="25"/>
    </row>
    <row r="237" spans="1:39" ht="15" customHeight="1">
      <c r="A237" s="32" t="str">
        <f t="shared" si="11"/>
        <v>AusNet--GROUND OUTDOOR / INDOOR CHAMBER MOUNTED ; ˂  22 kV ;  &gt;  600 kVA ; SINGLE PHASE</v>
      </c>
      <c r="B237" s="32" t="str">
        <f t="shared" si="12"/>
        <v>AusNet</v>
      </c>
      <c r="C237" s="32" t="s">
        <v>4</v>
      </c>
      <c r="D237" s="393"/>
      <c r="F237" t="s">
        <v>227</v>
      </c>
      <c r="G237" s="21">
        <v>0</v>
      </c>
      <c r="H237" s="21">
        <v>0</v>
      </c>
      <c r="I237" s="21">
        <v>0</v>
      </c>
      <c r="J237" s="21">
        <v>0</v>
      </c>
      <c r="K237" s="21">
        <v>0</v>
      </c>
      <c r="L237" s="21"/>
      <c r="M237" s="21"/>
      <c r="N237" s="21"/>
      <c r="O237" s="21"/>
      <c r="P237" s="21"/>
      <c r="Q237" s="21"/>
      <c r="R237" s="23">
        <v>0</v>
      </c>
      <c r="S237" s="23">
        <v>0</v>
      </c>
      <c r="T237" s="23">
        <v>0</v>
      </c>
      <c r="U237" s="23">
        <v>0</v>
      </c>
      <c r="V237" s="23">
        <v>0</v>
      </c>
      <c r="W237" s="23"/>
      <c r="X237" s="23"/>
      <c r="Y237" s="23"/>
      <c r="Z237" s="23"/>
      <c r="AA237" s="23"/>
      <c r="AB237" s="23"/>
      <c r="AC237" s="25">
        <v>0</v>
      </c>
      <c r="AD237" s="25">
        <v>0</v>
      </c>
      <c r="AE237" s="25">
        <v>0</v>
      </c>
      <c r="AF237" s="25">
        <v>0</v>
      </c>
      <c r="AG237" s="25">
        <v>0</v>
      </c>
      <c r="AH237" s="25"/>
      <c r="AI237" s="25"/>
      <c r="AJ237" s="25"/>
      <c r="AK237" s="25"/>
      <c r="AL237" s="25"/>
      <c r="AM237" s="25"/>
    </row>
    <row r="238" spans="1:39" ht="15" customHeight="1">
      <c r="A238" s="32" t="str">
        <f t="shared" si="11"/>
        <v>AusNet--GROUND OUTDOOR / INDOOR CHAMBER MOUNTED ; ˂  22 kV ;  &lt; = 60 kVA ; MULTIPLE PHASE</v>
      </c>
      <c r="B238" s="32" t="str">
        <f t="shared" si="12"/>
        <v>AusNet</v>
      </c>
      <c r="C238" s="32" t="s">
        <v>4</v>
      </c>
      <c r="D238" s="393"/>
      <c r="F238" t="s">
        <v>228</v>
      </c>
      <c r="G238" s="21">
        <v>0</v>
      </c>
      <c r="H238" s="21">
        <v>0</v>
      </c>
      <c r="I238" s="21">
        <v>0</v>
      </c>
      <c r="J238" s="21">
        <v>0</v>
      </c>
      <c r="K238" s="21">
        <v>0</v>
      </c>
      <c r="L238" s="21"/>
      <c r="M238" s="21"/>
      <c r="N238" s="21"/>
      <c r="O238" s="21"/>
      <c r="P238" s="21"/>
      <c r="Q238" s="21"/>
      <c r="R238" s="23">
        <v>0</v>
      </c>
      <c r="S238" s="23">
        <v>0</v>
      </c>
      <c r="T238" s="23">
        <v>0</v>
      </c>
      <c r="U238" s="23">
        <v>0</v>
      </c>
      <c r="V238" s="23">
        <v>0</v>
      </c>
      <c r="W238" s="23"/>
      <c r="X238" s="23"/>
      <c r="Y238" s="23"/>
      <c r="Z238" s="23"/>
      <c r="AA238" s="23"/>
      <c r="AB238" s="23"/>
      <c r="AC238" s="25">
        <v>2</v>
      </c>
      <c r="AD238" s="25">
        <v>1</v>
      </c>
      <c r="AE238" s="25">
        <v>0</v>
      </c>
      <c r="AF238" s="25">
        <v>0</v>
      </c>
      <c r="AG238" s="25">
        <v>0</v>
      </c>
      <c r="AH238" s="25"/>
      <c r="AI238" s="25"/>
      <c r="AJ238" s="25"/>
      <c r="AK238" s="25"/>
      <c r="AL238" s="25"/>
      <c r="AM238" s="25"/>
    </row>
    <row r="239" spans="1:39" ht="15" customHeight="1">
      <c r="A239" s="32" t="str">
        <f t="shared" si="11"/>
        <v>AusNet--GROUND OUTDOOR / INDOOR CHAMBER MOUNTED ; ˂  22 kV ;  &gt; 60 kVA  AND &lt; = 600 kVA ; MULTIPLE PHASE</v>
      </c>
      <c r="B239" s="32" t="str">
        <f t="shared" si="12"/>
        <v>AusNet</v>
      </c>
      <c r="C239" s="32" t="s">
        <v>4</v>
      </c>
      <c r="D239" s="393"/>
      <c r="F239" t="s">
        <v>229</v>
      </c>
      <c r="G239" s="21">
        <v>0</v>
      </c>
      <c r="H239" s="21">
        <v>0</v>
      </c>
      <c r="I239" s="21">
        <v>0</v>
      </c>
      <c r="J239" s="21">
        <v>0</v>
      </c>
      <c r="K239" s="21">
        <v>0</v>
      </c>
      <c r="L239" s="21"/>
      <c r="M239" s="21"/>
      <c r="N239" s="21"/>
      <c r="O239" s="21"/>
      <c r="P239" s="21"/>
      <c r="Q239" s="21"/>
      <c r="R239" s="23">
        <v>0</v>
      </c>
      <c r="S239" s="23">
        <v>0</v>
      </c>
      <c r="T239" s="23">
        <v>0</v>
      </c>
      <c r="U239" s="23">
        <v>0</v>
      </c>
      <c r="V239" s="23">
        <v>0</v>
      </c>
      <c r="W239" s="23"/>
      <c r="X239" s="23"/>
      <c r="Y239" s="23"/>
      <c r="Z239" s="23"/>
      <c r="AA239" s="23"/>
      <c r="AB239" s="23"/>
      <c r="AC239" s="25">
        <v>0</v>
      </c>
      <c r="AD239" s="25">
        <v>0</v>
      </c>
      <c r="AE239" s="25">
        <v>0</v>
      </c>
      <c r="AF239" s="25">
        <v>0</v>
      </c>
      <c r="AG239" s="25">
        <v>0</v>
      </c>
      <c r="AH239" s="25"/>
      <c r="AI239" s="25"/>
      <c r="AJ239" s="25"/>
      <c r="AK239" s="25"/>
      <c r="AL239" s="25"/>
      <c r="AM239" s="25"/>
    </row>
    <row r="240" spans="1:39" ht="15" customHeight="1">
      <c r="A240" s="32" t="str">
        <f t="shared" si="11"/>
        <v>AusNet--GROUND OUTDOOR / INDOOR CHAMBER MOUNTED ; ˂  22 kV ;  &gt;  600 kVA ; MULTIPLE PHASE</v>
      </c>
      <c r="B240" s="32" t="str">
        <f t="shared" si="12"/>
        <v>AusNet</v>
      </c>
      <c r="C240" s="32" t="s">
        <v>4</v>
      </c>
      <c r="D240" s="393"/>
      <c r="F240" t="s">
        <v>230</v>
      </c>
      <c r="G240" s="21">
        <v>0</v>
      </c>
      <c r="H240" s="21">
        <v>0</v>
      </c>
      <c r="I240" s="21">
        <v>0</v>
      </c>
      <c r="J240" s="21">
        <v>0</v>
      </c>
      <c r="K240" s="21">
        <v>0</v>
      </c>
      <c r="L240" s="21"/>
      <c r="M240" s="21"/>
      <c r="N240" s="21"/>
      <c r="O240" s="21"/>
      <c r="P240" s="21"/>
      <c r="Q240" s="21"/>
      <c r="R240" s="23">
        <v>0</v>
      </c>
      <c r="S240" s="23">
        <v>0</v>
      </c>
      <c r="T240" s="23">
        <v>0</v>
      </c>
      <c r="U240" s="23">
        <v>0</v>
      </c>
      <c r="V240" s="23">
        <v>0</v>
      </c>
      <c r="W240" s="23"/>
      <c r="X240" s="23"/>
      <c r="Y240" s="23"/>
      <c r="Z240" s="23"/>
      <c r="AA240" s="23"/>
      <c r="AB240" s="23"/>
      <c r="AC240" s="25">
        <v>0</v>
      </c>
      <c r="AD240" s="25">
        <v>0</v>
      </c>
      <c r="AE240" s="25">
        <v>0</v>
      </c>
      <c r="AF240" s="25">
        <v>0</v>
      </c>
      <c r="AG240" s="25">
        <v>0</v>
      </c>
      <c r="AH240" s="25"/>
      <c r="AI240" s="25"/>
      <c r="AJ240" s="25"/>
      <c r="AK240" s="25"/>
      <c r="AL240" s="25"/>
      <c r="AM240" s="25"/>
    </row>
    <row r="241" spans="1:39" ht="15" customHeight="1">
      <c r="A241" s="32" t="str">
        <f t="shared" si="11"/>
        <v>AusNet--GROUND OUTDOOR / INDOOR CHAMBER MOUNTED ; &gt; = 22 kV &amp; &lt; = 33 kV ;  &lt; = 15 MVA</v>
      </c>
      <c r="B241" s="32" t="str">
        <f t="shared" si="12"/>
        <v>AusNet</v>
      </c>
      <c r="C241" s="32" t="s">
        <v>4</v>
      </c>
      <c r="D241" s="393"/>
      <c r="F241" t="s">
        <v>231</v>
      </c>
      <c r="G241" s="21">
        <v>0</v>
      </c>
      <c r="H241" s="21">
        <v>0</v>
      </c>
      <c r="I241" s="21">
        <v>0</v>
      </c>
      <c r="J241" s="21">
        <v>0</v>
      </c>
      <c r="K241" s="21">
        <v>0</v>
      </c>
      <c r="L241" s="21"/>
      <c r="M241" s="21"/>
      <c r="N241" s="21"/>
      <c r="O241" s="21"/>
      <c r="P241" s="21"/>
      <c r="Q241" s="21"/>
      <c r="R241" s="23">
        <v>0</v>
      </c>
      <c r="S241" s="23">
        <v>0</v>
      </c>
      <c r="T241" s="23">
        <v>0</v>
      </c>
      <c r="U241" s="23">
        <v>0</v>
      </c>
      <c r="V241" s="23">
        <v>0</v>
      </c>
      <c r="W241" s="23"/>
      <c r="X241" s="23"/>
      <c r="Y241" s="23"/>
      <c r="Z241" s="23"/>
      <c r="AA241" s="23"/>
      <c r="AB241" s="23"/>
      <c r="AC241" s="25">
        <v>7</v>
      </c>
      <c r="AD241" s="25">
        <v>12</v>
      </c>
      <c r="AE241" s="25">
        <v>2</v>
      </c>
      <c r="AF241" s="25">
        <v>1</v>
      </c>
      <c r="AG241" s="25">
        <v>2</v>
      </c>
      <c r="AH241" s="25"/>
      <c r="AI241" s="25"/>
      <c r="AJ241" s="25"/>
      <c r="AK241" s="25"/>
      <c r="AL241" s="25"/>
      <c r="AM241" s="25"/>
    </row>
    <row r="242" spans="1:39" ht="15" customHeight="1">
      <c r="A242" s="32" t="str">
        <f t="shared" si="11"/>
        <v>AusNet--GROUND OUTDOOR / INDOOR CHAMBER MOUNTED ; &gt; = 22 kV &amp; &lt; = 33 kV ;  &gt; 15 MVA AND &lt; = 40 MVA</v>
      </c>
      <c r="B242" s="32" t="str">
        <f t="shared" si="12"/>
        <v>AusNet</v>
      </c>
      <c r="C242" s="32" t="s">
        <v>4</v>
      </c>
      <c r="D242" s="393"/>
      <c r="F242" t="s">
        <v>232</v>
      </c>
      <c r="G242" s="21">
        <v>0</v>
      </c>
      <c r="H242" s="21">
        <v>0</v>
      </c>
      <c r="I242" s="21">
        <v>0</v>
      </c>
      <c r="J242" s="21">
        <v>0</v>
      </c>
      <c r="K242" s="21">
        <v>0</v>
      </c>
      <c r="L242" s="21"/>
      <c r="M242" s="21"/>
      <c r="N242" s="21"/>
      <c r="O242" s="21"/>
      <c r="P242" s="21"/>
      <c r="Q242" s="21"/>
      <c r="R242" s="23">
        <v>0</v>
      </c>
      <c r="S242" s="23">
        <v>0</v>
      </c>
      <c r="T242" s="23">
        <v>0</v>
      </c>
      <c r="U242" s="23">
        <v>0</v>
      </c>
      <c r="V242" s="23">
        <v>0</v>
      </c>
      <c r="W242" s="23"/>
      <c r="X242" s="23"/>
      <c r="Y242" s="23"/>
      <c r="Z242" s="23"/>
      <c r="AA242" s="23"/>
      <c r="AB242" s="23"/>
      <c r="AC242" s="25">
        <v>0</v>
      </c>
      <c r="AD242" s="25">
        <v>0</v>
      </c>
      <c r="AE242" s="25">
        <v>0</v>
      </c>
      <c r="AF242" s="25">
        <v>0</v>
      </c>
      <c r="AG242" s="25">
        <v>0</v>
      </c>
      <c r="AH242" s="25"/>
      <c r="AI242" s="25"/>
      <c r="AJ242" s="25"/>
      <c r="AK242" s="25"/>
      <c r="AL242" s="25"/>
      <c r="AM242" s="25"/>
    </row>
    <row r="243" spans="1:39" ht="15" customHeight="1">
      <c r="A243" s="32" t="str">
        <f t="shared" si="11"/>
        <v>AusNet--GROUND OUTDOOR / INDOOR CHAMBER MOUNTED ; &gt; = 22 kV &amp; &lt; = 33 kV ;  &gt; 40 MVA</v>
      </c>
      <c r="B243" s="32" t="str">
        <f t="shared" si="12"/>
        <v>AusNet</v>
      </c>
      <c r="C243" s="32" t="s">
        <v>4</v>
      </c>
      <c r="D243" s="393"/>
      <c r="F243" t="s">
        <v>233</v>
      </c>
      <c r="G243" s="21">
        <v>0</v>
      </c>
      <c r="H243" s="21">
        <v>0</v>
      </c>
      <c r="I243" s="21">
        <v>0</v>
      </c>
      <c r="J243" s="21">
        <v>0</v>
      </c>
      <c r="K243" s="21">
        <v>0</v>
      </c>
      <c r="L243" s="21"/>
      <c r="M243" s="21"/>
      <c r="N243" s="21"/>
      <c r="O243" s="21"/>
      <c r="P243" s="21"/>
      <c r="Q243" s="21"/>
      <c r="R243" s="23">
        <v>0</v>
      </c>
      <c r="S243" s="23">
        <v>0</v>
      </c>
      <c r="T243" s="23">
        <v>0</v>
      </c>
      <c r="U243" s="23">
        <v>0</v>
      </c>
      <c r="V243" s="23">
        <v>0</v>
      </c>
      <c r="W243" s="23"/>
      <c r="X243" s="23"/>
      <c r="Y243" s="23"/>
      <c r="Z243" s="23"/>
      <c r="AA243" s="23"/>
      <c r="AB243" s="23"/>
      <c r="AC243" s="25">
        <v>0</v>
      </c>
      <c r="AD243" s="25">
        <v>0</v>
      </c>
      <c r="AE243" s="25">
        <v>0</v>
      </c>
      <c r="AF243" s="25">
        <v>0</v>
      </c>
      <c r="AG243" s="25">
        <v>0</v>
      </c>
      <c r="AH243" s="25"/>
      <c r="AI243" s="25"/>
      <c r="AJ243" s="25"/>
      <c r="AK243" s="25"/>
      <c r="AL243" s="25"/>
      <c r="AM243" s="25"/>
    </row>
    <row r="244" spans="1:39" ht="15" customHeight="1">
      <c r="A244" s="32" t="str">
        <f t="shared" si="11"/>
        <v>AusNet--GROUND OUTDOOR / INDOOR CHAMBER MOUNTED ; &gt; 33 kV &amp; &lt; = 66 kV ;  &lt; = 15 MVA</v>
      </c>
      <c r="B244" s="32" t="str">
        <f t="shared" si="12"/>
        <v>AusNet</v>
      </c>
      <c r="C244" s="32" t="s">
        <v>4</v>
      </c>
      <c r="D244" s="393"/>
      <c r="F244" t="s">
        <v>234</v>
      </c>
      <c r="G244" s="21">
        <v>0</v>
      </c>
      <c r="H244" s="21">
        <v>0</v>
      </c>
      <c r="I244" s="21">
        <v>0</v>
      </c>
      <c r="J244" s="21">
        <v>0</v>
      </c>
      <c r="K244" s="21">
        <v>0</v>
      </c>
      <c r="L244" s="21"/>
      <c r="M244" s="21"/>
      <c r="N244" s="21"/>
      <c r="O244" s="21"/>
      <c r="P244" s="21"/>
      <c r="Q244" s="21"/>
      <c r="R244" s="23">
        <v>0</v>
      </c>
      <c r="S244" s="23">
        <v>0</v>
      </c>
      <c r="T244" s="23">
        <v>0</v>
      </c>
      <c r="U244" s="23">
        <v>0</v>
      </c>
      <c r="V244" s="23">
        <v>0</v>
      </c>
      <c r="W244" s="23"/>
      <c r="X244" s="23"/>
      <c r="Y244" s="23"/>
      <c r="Z244" s="23"/>
      <c r="AA244" s="23"/>
      <c r="AB244" s="23"/>
      <c r="AC244" s="25">
        <v>87</v>
      </c>
      <c r="AD244" s="25">
        <v>65</v>
      </c>
      <c r="AE244" s="25">
        <v>10</v>
      </c>
      <c r="AF244" s="25">
        <v>19</v>
      </c>
      <c r="AG244" s="25">
        <v>17</v>
      </c>
      <c r="AH244" s="25"/>
      <c r="AI244" s="25"/>
      <c r="AJ244" s="25"/>
      <c r="AK244" s="25"/>
      <c r="AL244" s="25"/>
      <c r="AM244" s="25"/>
    </row>
    <row r="245" spans="1:39" ht="15" customHeight="1">
      <c r="A245" s="32" t="str">
        <f t="shared" si="11"/>
        <v>AusNet--GROUND OUTDOOR / INDOOR CHAMBER MOUNTED ; &gt; 33 kV &amp; &lt; = 66 kV ;  &gt; 15 MVA AND &lt; = 40 MVA</v>
      </c>
      <c r="B245" s="32" t="str">
        <f t="shared" si="12"/>
        <v>AusNet</v>
      </c>
      <c r="C245" s="32" t="s">
        <v>4</v>
      </c>
      <c r="D245" s="393"/>
      <c r="F245" t="s">
        <v>235</v>
      </c>
      <c r="G245" s="21">
        <v>0</v>
      </c>
      <c r="H245" s="21">
        <v>14.766</v>
      </c>
      <c r="I245" s="21">
        <v>17.483000000000001</v>
      </c>
      <c r="J245" s="21">
        <v>0</v>
      </c>
      <c r="K245" s="21">
        <v>0</v>
      </c>
      <c r="L245" s="21"/>
      <c r="M245" s="21"/>
      <c r="N245" s="21"/>
      <c r="O245" s="21"/>
      <c r="P245" s="21"/>
      <c r="Q245" s="21"/>
      <c r="R245" s="23">
        <v>0</v>
      </c>
      <c r="S245" s="23">
        <v>1</v>
      </c>
      <c r="T245" s="23">
        <v>1</v>
      </c>
      <c r="U245" s="23">
        <v>0</v>
      </c>
      <c r="V245" s="23">
        <v>0</v>
      </c>
      <c r="W245" s="23"/>
      <c r="X245" s="23"/>
      <c r="Y245" s="23"/>
      <c r="Z245" s="23"/>
      <c r="AA245" s="23"/>
      <c r="AB245" s="23"/>
      <c r="AC245" s="25">
        <v>66</v>
      </c>
      <c r="AD245" s="25">
        <v>37</v>
      </c>
      <c r="AE245" s="25">
        <v>23</v>
      </c>
      <c r="AF245" s="25">
        <v>12</v>
      </c>
      <c r="AG245" s="25">
        <v>8</v>
      </c>
      <c r="AH245" s="25"/>
      <c r="AI245" s="25"/>
      <c r="AJ245" s="25"/>
      <c r="AK245" s="25"/>
      <c r="AL245" s="25"/>
      <c r="AM245" s="25"/>
    </row>
    <row r="246" spans="1:39" ht="15" customHeight="1">
      <c r="A246" s="32" t="str">
        <f t="shared" si="11"/>
        <v>AusNet--GROUND OUTDOOR / INDOOR CHAMBER MOUNTED ; &gt; 33 kV &amp; &lt; = 66 kV ;  &gt; 40 MVA</v>
      </c>
      <c r="B246" s="32" t="str">
        <f t="shared" si="12"/>
        <v>AusNet</v>
      </c>
      <c r="C246" s="32" t="s">
        <v>4</v>
      </c>
      <c r="D246" s="393"/>
      <c r="F246" t="s">
        <v>236</v>
      </c>
      <c r="G246" s="21">
        <v>17.667000000000002</v>
      </c>
      <c r="H246" s="21">
        <v>14.766</v>
      </c>
      <c r="I246" s="21">
        <v>0</v>
      </c>
      <c r="J246" s="21">
        <v>28.202000000000002</v>
      </c>
      <c r="K246" s="21">
        <v>24.841999999999999</v>
      </c>
      <c r="L246" s="21"/>
      <c r="M246" s="21"/>
      <c r="N246" s="21"/>
      <c r="O246" s="21"/>
      <c r="P246" s="21"/>
      <c r="Q246" s="21"/>
      <c r="R246" s="23">
        <v>2</v>
      </c>
      <c r="S246" s="23">
        <v>1</v>
      </c>
      <c r="T246" s="23">
        <v>0</v>
      </c>
      <c r="U246" s="23">
        <v>1</v>
      </c>
      <c r="V246" s="23">
        <v>1</v>
      </c>
      <c r="W246" s="23"/>
      <c r="X246" s="23"/>
      <c r="Y246" s="23"/>
      <c r="Z246" s="23"/>
      <c r="AA246" s="23"/>
      <c r="AB246" s="23"/>
      <c r="AC246" s="25">
        <v>22</v>
      </c>
      <c r="AD246" s="25">
        <v>11</v>
      </c>
      <c r="AE246" s="25">
        <v>5</v>
      </c>
      <c r="AF246" s="25">
        <v>0</v>
      </c>
      <c r="AG246" s="25">
        <v>0</v>
      </c>
      <c r="AH246" s="25"/>
      <c r="AI246" s="25"/>
      <c r="AJ246" s="25"/>
      <c r="AK246" s="25"/>
      <c r="AL246" s="25"/>
      <c r="AM246" s="25"/>
    </row>
    <row r="247" spans="1:39" ht="15" customHeight="1">
      <c r="A247" s="32" t="str">
        <f t="shared" si="11"/>
        <v>AusNet--GROUND OUTDOOR / INDOOR CHAMBER MOUNTED ; &gt; 66 kV &amp; &lt; = 132 kV ;  &lt; = 100 MVA</v>
      </c>
      <c r="B247" s="32" t="str">
        <f t="shared" si="12"/>
        <v>AusNet</v>
      </c>
      <c r="C247" s="32" t="s">
        <v>4</v>
      </c>
      <c r="D247" s="393"/>
      <c r="F247" t="s">
        <v>237</v>
      </c>
      <c r="G247" s="21">
        <v>0</v>
      </c>
      <c r="H247" s="21">
        <v>0</v>
      </c>
      <c r="I247" s="21">
        <v>0</v>
      </c>
      <c r="J247" s="21">
        <v>0</v>
      </c>
      <c r="K247" s="21">
        <v>0</v>
      </c>
      <c r="L247" s="21"/>
      <c r="M247" s="21"/>
      <c r="N247" s="21"/>
      <c r="O247" s="21"/>
      <c r="P247" s="21"/>
      <c r="Q247" s="21"/>
      <c r="R247" s="23">
        <v>0</v>
      </c>
      <c r="S247" s="23">
        <v>0</v>
      </c>
      <c r="T247" s="23">
        <v>0</v>
      </c>
      <c r="U247" s="23">
        <v>0</v>
      </c>
      <c r="V247" s="23">
        <v>0</v>
      </c>
      <c r="W247" s="23"/>
      <c r="X247" s="23"/>
      <c r="Y247" s="23"/>
      <c r="Z247" s="23"/>
      <c r="AA247" s="23"/>
      <c r="AB247" s="23"/>
      <c r="AC247" s="25">
        <v>0</v>
      </c>
      <c r="AD247" s="25">
        <v>0</v>
      </c>
      <c r="AE247" s="25">
        <v>0</v>
      </c>
      <c r="AF247" s="25">
        <v>0</v>
      </c>
      <c r="AG247" s="25">
        <v>0</v>
      </c>
      <c r="AH247" s="25"/>
      <c r="AI247" s="25"/>
      <c r="AJ247" s="25"/>
      <c r="AK247" s="25"/>
      <c r="AL247" s="25"/>
      <c r="AM247" s="25"/>
    </row>
    <row r="248" spans="1:39" ht="15" customHeight="1">
      <c r="A248" s="32" t="str">
        <f t="shared" si="11"/>
        <v>AusNet--GROUND OUTDOOR / INDOOR CHAMBER MOUNTED ; &gt; 66 kV &amp; &lt; = 132 kV ;  &gt; 100 MVA</v>
      </c>
      <c r="B248" s="32" t="str">
        <f t="shared" si="12"/>
        <v>AusNet</v>
      </c>
      <c r="C248" s="32" t="s">
        <v>4</v>
      </c>
      <c r="D248" s="393"/>
      <c r="F248" t="s">
        <v>238</v>
      </c>
      <c r="G248" s="21">
        <v>0</v>
      </c>
      <c r="H248" s="21">
        <v>0</v>
      </c>
      <c r="I248" s="21">
        <v>0</v>
      </c>
      <c r="J248" s="21">
        <v>0</v>
      </c>
      <c r="K248" s="21">
        <v>0</v>
      </c>
      <c r="L248" s="21"/>
      <c r="M248" s="21"/>
      <c r="N248" s="21"/>
      <c r="O248" s="21"/>
      <c r="P248" s="21"/>
      <c r="Q248" s="21"/>
      <c r="R248" s="23">
        <v>0</v>
      </c>
      <c r="S248" s="23">
        <v>0</v>
      </c>
      <c r="T248" s="23">
        <v>0</v>
      </c>
      <c r="U248" s="23">
        <v>0</v>
      </c>
      <c r="V248" s="23">
        <v>0</v>
      </c>
      <c r="W248" s="23"/>
      <c r="X248" s="23"/>
      <c r="Y248" s="23"/>
      <c r="Z248" s="23"/>
      <c r="AA248" s="23"/>
      <c r="AB248" s="23"/>
      <c r="AC248" s="25">
        <v>0</v>
      </c>
      <c r="AD248" s="25">
        <v>0</v>
      </c>
      <c r="AE248" s="25">
        <v>0</v>
      </c>
      <c r="AF248" s="25">
        <v>0</v>
      </c>
      <c r="AG248" s="25">
        <v>0</v>
      </c>
      <c r="AH248" s="25"/>
      <c r="AI248" s="25"/>
      <c r="AJ248" s="25"/>
      <c r="AK248" s="25"/>
      <c r="AL248" s="25"/>
      <c r="AM248" s="25"/>
    </row>
    <row r="249" spans="1:39" ht="15" customHeight="1">
      <c r="A249" s="32" t="str">
        <f t="shared" si="11"/>
        <v>AusNet--GROUND OUTDOOR / INDOOR CHAMBER MOUNTED ; &gt; 132 kV ;  &lt; = 100 MVA</v>
      </c>
      <c r="B249" s="32" t="str">
        <f t="shared" si="12"/>
        <v>AusNet</v>
      </c>
      <c r="C249" s="32" t="s">
        <v>4</v>
      </c>
      <c r="D249" s="393"/>
      <c r="F249" t="s">
        <v>239</v>
      </c>
      <c r="G249" s="21">
        <v>0</v>
      </c>
      <c r="H249" s="21">
        <v>0</v>
      </c>
      <c r="I249" s="21">
        <v>0</v>
      </c>
      <c r="J249" s="21">
        <v>0</v>
      </c>
      <c r="K249" s="21">
        <v>0</v>
      </c>
      <c r="L249" s="21"/>
      <c r="M249" s="21"/>
      <c r="N249" s="21"/>
      <c r="O249" s="21"/>
      <c r="P249" s="21"/>
      <c r="Q249" s="21"/>
      <c r="R249" s="23">
        <v>0</v>
      </c>
      <c r="S249" s="23">
        <v>0</v>
      </c>
      <c r="T249" s="23">
        <v>0</v>
      </c>
      <c r="U249" s="23">
        <v>0</v>
      </c>
      <c r="V249" s="23">
        <v>0</v>
      </c>
      <c r="W249" s="23"/>
      <c r="X249" s="23"/>
      <c r="Y249" s="23"/>
      <c r="Z249" s="23"/>
      <c r="AA249" s="23"/>
      <c r="AB249" s="23"/>
      <c r="AC249" s="25">
        <v>0</v>
      </c>
      <c r="AD249" s="25">
        <v>0</v>
      </c>
      <c r="AE249" s="25">
        <v>0</v>
      </c>
      <c r="AF249" s="25">
        <v>0</v>
      </c>
      <c r="AG249" s="25">
        <v>0</v>
      </c>
      <c r="AH249" s="25"/>
      <c r="AI249" s="25"/>
      <c r="AJ249" s="25"/>
      <c r="AK249" s="25"/>
      <c r="AL249" s="25"/>
      <c r="AM249" s="25"/>
    </row>
    <row r="250" spans="1:39" ht="15" customHeight="1">
      <c r="A250" s="32" t="str">
        <f t="shared" si="11"/>
        <v>AusNet--GROUND OUTDOOR / INDOOR CHAMBER MOUNTED ; &gt; 132 kV ;  &gt; 100 MVA</v>
      </c>
      <c r="B250" s="32" t="str">
        <f t="shared" si="12"/>
        <v>AusNet</v>
      </c>
      <c r="C250" s="32" t="s">
        <v>4</v>
      </c>
      <c r="D250" s="393"/>
      <c r="F250" t="s">
        <v>240</v>
      </c>
      <c r="G250" s="21">
        <v>0</v>
      </c>
      <c r="H250" s="21">
        <v>0</v>
      </c>
      <c r="I250" s="21">
        <v>0</v>
      </c>
      <c r="J250" s="21">
        <v>0</v>
      </c>
      <c r="K250" s="21">
        <v>0</v>
      </c>
      <c r="L250" s="21"/>
      <c r="M250" s="21"/>
      <c r="N250" s="21"/>
      <c r="O250" s="21"/>
      <c r="P250" s="21"/>
      <c r="Q250" s="21"/>
      <c r="R250" s="23">
        <v>0</v>
      </c>
      <c r="S250" s="23">
        <v>0</v>
      </c>
      <c r="T250" s="23">
        <v>0</v>
      </c>
      <c r="U250" s="23">
        <v>0</v>
      </c>
      <c r="V250" s="23">
        <v>0</v>
      </c>
      <c r="W250" s="23"/>
      <c r="X250" s="23"/>
      <c r="Y250" s="23"/>
      <c r="Z250" s="23"/>
      <c r="AA250" s="23"/>
      <c r="AB250" s="23"/>
      <c r="AC250" s="25">
        <v>0</v>
      </c>
      <c r="AD250" s="25">
        <v>0</v>
      </c>
      <c r="AE250" s="25">
        <v>0</v>
      </c>
      <c r="AF250" s="25">
        <v>0</v>
      </c>
      <c r="AG250" s="25">
        <v>0</v>
      </c>
      <c r="AH250" s="25"/>
      <c r="AI250" s="25"/>
      <c r="AJ250" s="25"/>
      <c r="AK250" s="25"/>
      <c r="AL250" s="25"/>
      <c r="AM250" s="25"/>
    </row>
    <row r="251" spans="1:39" ht="15" customHeight="1">
      <c r="A251" s="32" t="str">
        <f t="shared" si="11"/>
        <v>AusNet--OTHER - PLEASE ADD A ROW IF NECESSARY AND NOMINATE THE CATEGORY</v>
      </c>
      <c r="B251" s="32" t="str">
        <f t="shared" si="12"/>
        <v>AusNet</v>
      </c>
      <c r="C251" s="32" t="s">
        <v>4</v>
      </c>
      <c r="D251" s="393"/>
      <c r="F251" t="s">
        <v>170</v>
      </c>
      <c r="G251" s="21">
        <v>0</v>
      </c>
      <c r="H251" s="21">
        <v>0</v>
      </c>
      <c r="I251" s="21">
        <v>0</v>
      </c>
      <c r="J251" s="21">
        <v>0</v>
      </c>
      <c r="K251" s="21">
        <v>0</v>
      </c>
      <c r="L251" s="21"/>
      <c r="M251" s="21"/>
      <c r="N251" s="21"/>
      <c r="O251" s="21"/>
      <c r="P251" s="21"/>
      <c r="Q251" s="21"/>
      <c r="R251" s="23">
        <v>0</v>
      </c>
      <c r="S251" s="23">
        <v>0</v>
      </c>
      <c r="T251" s="23">
        <v>0</v>
      </c>
      <c r="U251" s="23">
        <v>0</v>
      </c>
      <c r="V251" s="23">
        <v>0</v>
      </c>
      <c r="W251" s="23"/>
      <c r="X251" s="23"/>
      <c r="Y251" s="23"/>
      <c r="Z251" s="23"/>
      <c r="AA251" s="23"/>
      <c r="AB251" s="23"/>
      <c r="AC251" s="25">
        <v>0</v>
      </c>
      <c r="AD251" s="25">
        <v>0</v>
      </c>
      <c r="AE251" s="25">
        <v>0</v>
      </c>
      <c r="AF251" s="25">
        <v>0</v>
      </c>
      <c r="AG251" s="25">
        <v>0</v>
      </c>
      <c r="AH251" s="25"/>
      <c r="AI251" s="25"/>
      <c r="AJ251" s="25"/>
      <c r="AK251" s="25"/>
      <c r="AL251" s="25"/>
      <c r="AM251" s="25"/>
    </row>
    <row r="252" spans="1:39" ht="45" customHeight="1">
      <c r="A252" s="32" t="str">
        <f t="shared" si="11"/>
        <v>AusNet-SWITCHGEAR BY: 
HIGHEST OPERATING VOLTAGE ; SWITCH FUNCTION-˂ = 11 kV ;  FUSE</v>
      </c>
      <c r="B252" s="32" t="str">
        <f t="shared" si="12"/>
        <v>AusNet</v>
      </c>
      <c r="C252" s="32" t="s">
        <v>2</v>
      </c>
      <c r="D252" s="393"/>
      <c r="E252" s="3" t="s">
        <v>545</v>
      </c>
      <c r="F252" t="s">
        <v>246</v>
      </c>
      <c r="G252" s="21">
        <v>0</v>
      </c>
      <c r="H252" s="21">
        <v>3.048</v>
      </c>
      <c r="I252" s="21">
        <v>13.532</v>
      </c>
      <c r="J252" s="21">
        <v>24.74</v>
      </c>
      <c r="K252" s="21">
        <v>5.9820000000000002</v>
      </c>
      <c r="L252" s="21"/>
      <c r="M252" s="21"/>
      <c r="N252" s="21"/>
      <c r="O252" s="21"/>
      <c r="P252" s="21"/>
      <c r="Q252" s="21"/>
      <c r="R252" s="23" t="s">
        <v>291</v>
      </c>
      <c r="S252" s="23">
        <v>2</v>
      </c>
      <c r="T252" s="23">
        <v>8</v>
      </c>
      <c r="U252" s="23">
        <v>8</v>
      </c>
      <c r="V252" s="23">
        <v>3</v>
      </c>
      <c r="W252" s="23"/>
      <c r="X252" s="23"/>
      <c r="Y252" s="23"/>
      <c r="Z252" s="23"/>
      <c r="AA252" s="23"/>
      <c r="AB252" s="23"/>
      <c r="AC252" s="25">
        <v>5</v>
      </c>
      <c r="AD252" s="25">
        <v>4</v>
      </c>
      <c r="AE252" s="25">
        <v>42</v>
      </c>
      <c r="AF252" s="25">
        <v>26</v>
      </c>
      <c r="AG252" s="25">
        <v>10</v>
      </c>
      <c r="AH252" s="25"/>
      <c r="AI252" s="25"/>
      <c r="AJ252" s="25"/>
      <c r="AK252" s="25"/>
      <c r="AL252" s="25"/>
      <c r="AM252" s="25"/>
    </row>
    <row r="253" spans="1:39" ht="15" customHeight="1">
      <c r="A253" s="32" t="str">
        <f t="shared" si="11"/>
        <v>AusNet--˂ = 11 kV  ; SWITCH</v>
      </c>
      <c r="B253" s="32" t="str">
        <f t="shared" si="12"/>
        <v>AusNet</v>
      </c>
      <c r="C253" s="32" t="s">
        <v>2</v>
      </c>
      <c r="D253" s="393"/>
      <c r="F253" t="s">
        <v>247</v>
      </c>
      <c r="G253" s="21">
        <v>0.60799999999999998</v>
      </c>
      <c r="H253" s="21">
        <v>3.048</v>
      </c>
      <c r="I253" s="21">
        <v>1.804</v>
      </c>
      <c r="J253" s="21">
        <v>5.8209999999999997</v>
      </c>
      <c r="K253" s="21">
        <v>4.2729999999999997</v>
      </c>
      <c r="L253" s="21"/>
      <c r="M253" s="21"/>
      <c r="N253" s="21"/>
      <c r="O253" s="21"/>
      <c r="P253" s="21"/>
      <c r="Q253" s="21"/>
      <c r="R253" s="23">
        <v>1</v>
      </c>
      <c r="S253" s="23">
        <v>2</v>
      </c>
      <c r="T253" s="23">
        <v>1</v>
      </c>
      <c r="U253" s="23">
        <v>2</v>
      </c>
      <c r="V253" s="23">
        <v>2</v>
      </c>
      <c r="W253" s="23"/>
      <c r="X253" s="23"/>
      <c r="Y253" s="23"/>
      <c r="Z253" s="23"/>
      <c r="AA253" s="23"/>
      <c r="AB253" s="23"/>
      <c r="AC253" s="25">
        <v>3</v>
      </c>
      <c r="AD253" s="25">
        <v>2</v>
      </c>
      <c r="AE253" s="25">
        <v>1</v>
      </c>
      <c r="AF253" s="25">
        <v>2</v>
      </c>
      <c r="AG253" s="25">
        <v>1</v>
      </c>
      <c r="AH253" s="25"/>
      <c r="AI253" s="25"/>
      <c r="AJ253" s="25"/>
      <c r="AK253" s="25"/>
      <c r="AL253" s="25"/>
      <c r="AM253" s="25"/>
    </row>
    <row r="254" spans="1:39" ht="15" customHeight="1">
      <c r="A254" s="32" t="str">
        <f t="shared" si="11"/>
        <v>AusNet--˂ = 11 kV ;  CIRCUIT BREAKER</v>
      </c>
      <c r="B254" s="32" t="str">
        <f t="shared" si="12"/>
        <v>AusNet</v>
      </c>
      <c r="C254" s="32" t="s">
        <v>2</v>
      </c>
      <c r="D254" s="393"/>
      <c r="F254" t="s">
        <v>248</v>
      </c>
      <c r="G254" s="21">
        <v>0</v>
      </c>
      <c r="H254" s="21">
        <v>0</v>
      </c>
      <c r="I254" s="21">
        <v>0</v>
      </c>
      <c r="J254" s="21">
        <v>0</v>
      </c>
      <c r="K254" s="21">
        <v>0</v>
      </c>
      <c r="L254" s="21"/>
      <c r="M254" s="21"/>
      <c r="N254" s="21"/>
      <c r="O254" s="21"/>
      <c r="P254" s="21"/>
      <c r="Q254" s="21"/>
      <c r="R254" s="23" t="s">
        <v>291</v>
      </c>
      <c r="S254" s="23" t="s">
        <v>291</v>
      </c>
      <c r="T254" s="23" t="s">
        <v>291</v>
      </c>
      <c r="U254" s="23" t="s">
        <v>291</v>
      </c>
      <c r="V254" s="23" t="s">
        <v>291</v>
      </c>
      <c r="W254" s="23"/>
      <c r="X254" s="23"/>
      <c r="Y254" s="23"/>
      <c r="Z254" s="23"/>
      <c r="AA254" s="23"/>
      <c r="AB254" s="23"/>
      <c r="AC254" s="25">
        <v>2</v>
      </c>
      <c r="AD254" s="25">
        <v>11</v>
      </c>
      <c r="AE254" s="25"/>
      <c r="AF254" s="25">
        <v>3</v>
      </c>
      <c r="AG254" s="25">
        <v>6</v>
      </c>
      <c r="AH254" s="25"/>
      <c r="AI254" s="25"/>
      <c r="AJ254" s="25"/>
      <c r="AK254" s="25"/>
      <c r="AL254" s="25"/>
      <c r="AM254" s="25"/>
    </row>
    <row r="255" spans="1:39" ht="15" customHeight="1">
      <c r="A255" s="32" t="str">
        <f t="shared" si="11"/>
        <v>AusNet--&gt; 11 kV &amp; &lt; = 22 kV  ; FUSE</v>
      </c>
      <c r="B255" s="32" t="str">
        <f t="shared" si="12"/>
        <v>AusNet</v>
      </c>
      <c r="C255" s="32" t="s">
        <v>2</v>
      </c>
      <c r="D255" s="393"/>
      <c r="F255" t="s">
        <v>292</v>
      </c>
      <c r="G255" s="21">
        <v>4008.5340000000001</v>
      </c>
      <c r="H255" s="21">
        <v>3022.4119999999998</v>
      </c>
      <c r="I255" s="21">
        <v>7556.3649999999998</v>
      </c>
      <c r="J255" s="21">
        <v>7709.6989999999996</v>
      </c>
      <c r="K255" s="21">
        <v>13694.957</v>
      </c>
      <c r="L255" s="21"/>
      <c r="M255" s="21"/>
      <c r="N255" s="21"/>
      <c r="O255" s="21"/>
      <c r="P255" s="21"/>
      <c r="Q255" s="21"/>
      <c r="R255" s="23">
        <v>544</v>
      </c>
      <c r="S255" s="23">
        <v>301</v>
      </c>
      <c r="T255" s="23">
        <v>678</v>
      </c>
      <c r="U255" s="23">
        <v>403</v>
      </c>
      <c r="V255" s="23">
        <v>939</v>
      </c>
      <c r="W255" s="23"/>
      <c r="X255" s="23"/>
      <c r="Y255" s="23"/>
      <c r="Z255" s="23"/>
      <c r="AA255" s="23"/>
      <c r="AB255" s="23"/>
      <c r="AC255" s="25">
        <v>1945</v>
      </c>
      <c r="AD255" s="25">
        <v>1282</v>
      </c>
      <c r="AE255" s="25">
        <v>6445</v>
      </c>
      <c r="AF255" s="25">
        <v>3358</v>
      </c>
      <c r="AG255" s="25">
        <v>1764</v>
      </c>
      <c r="AH255" s="25"/>
      <c r="AI255" s="25"/>
      <c r="AJ255" s="25"/>
      <c r="AK255" s="25"/>
      <c r="AL255" s="25"/>
      <c r="AM255" s="25"/>
    </row>
    <row r="256" spans="1:39" ht="15" customHeight="1">
      <c r="A256" s="32" t="str">
        <f t="shared" si="11"/>
        <v>AusNet--&gt; 11 kV &amp; &lt; = 22 kV  ; SWITCH</v>
      </c>
      <c r="B256" s="32" t="str">
        <f t="shared" si="12"/>
        <v>AusNet</v>
      </c>
      <c r="C256" s="32" t="s">
        <v>2</v>
      </c>
      <c r="D256" s="393"/>
      <c r="F256" t="s">
        <v>249</v>
      </c>
      <c r="G256" s="21">
        <v>823.32299999999998</v>
      </c>
      <c r="H256" s="21">
        <v>1061.817</v>
      </c>
      <c r="I256" s="21">
        <v>1305.048</v>
      </c>
      <c r="J256" s="21">
        <v>5307.6930000000002</v>
      </c>
      <c r="K256" s="21">
        <v>2724.0259999999998</v>
      </c>
      <c r="L256" s="21"/>
      <c r="M256" s="21"/>
      <c r="N256" s="21"/>
      <c r="O256" s="21"/>
      <c r="P256" s="21"/>
      <c r="Q256" s="21"/>
      <c r="R256" s="23">
        <v>114</v>
      </c>
      <c r="S256" s="23">
        <v>108</v>
      </c>
      <c r="T256" s="23">
        <v>120</v>
      </c>
      <c r="U256" s="23">
        <v>284</v>
      </c>
      <c r="V256" s="23">
        <v>191</v>
      </c>
      <c r="W256" s="23"/>
      <c r="X256" s="23"/>
      <c r="Y256" s="23"/>
      <c r="Z256" s="23"/>
      <c r="AA256" s="23"/>
      <c r="AB256" s="23"/>
      <c r="AC256" s="25">
        <v>53</v>
      </c>
      <c r="AD256" s="25">
        <v>114</v>
      </c>
      <c r="AE256" s="25">
        <v>160</v>
      </c>
      <c r="AF256" s="25">
        <v>88</v>
      </c>
      <c r="AG256" s="25">
        <v>129</v>
      </c>
      <c r="AH256" s="25"/>
      <c r="AI256" s="25"/>
      <c r="AJ256" s="25"/>
      <c r="AK256" s="25"/>
      <c r="AL256" s="25"/>
      <c r="AM256" s="25"/>
    </row>
    <row r="257" spans="1:39" ht="15" customHeight="1">
      <c r="A257" s="32" t="str">
        <f t="shared" si="11"/>
        <v>AusNet--&gt; 11 kV &amp; &lt; = 22 kV  ; CIRCUIT BREAKER</v>
      </c>
      <c r="B257" s="32" t="str">
        <f t="shared" si="12"/>
        <v>AusNet</v>
      </c>
      <c r="C257" s="32" t="s">
        <v>2</v>
      </c>
      <c r="D257" s="393"/>
      <c r="F257" t="s">
        <v>250</v>
      </c>
      <c r="G257" s="21">
        <v>182.88900000000001</v>
      </c>
      <c r="H257" s="21">
        <v>519.73900000000003</v>
      </c>
      <c r="I257" s="21">
        <v>90.491</v>
      </c>
      <c r="J257" s="21">
        <v>875.85</v>
      </c>
      <c r="K257" s="21">
        <v>188.59100000000001</v>
      </c>
      <c r="L257" s="21"/>
      <c r="M257" s="21"/>
      <c r="N257" s="21"/>
      <c r="O257" s="21"/>
      <c r="P257" s="21"/>
      <c r="Q257" s="21"/>
      <c r="R257" s="23">
        <v>8</v>
      </c>
      <c r="S257" s="23">
        <v>16</v>
      </c>
      <c r="T257" s="23">
        <v>3</v>
      </c>
      <c r="U257" s="23">
        <v>14</v>
      </c>
      <c r="V257" s="23">
        <v>4</v>
      </c>
      <c r="W257" s="23"/>
      <c r="X257" s="23"/>
      <c r="Y257" s="23"/>
      <c r="Z257" s="23"/>
      <c r="AA257" s="23"/>
      <c r="AB257" s="23"/>
      <c r="AC257" s="25">
        <v>179</v>
      </c>
      <c r="AD257" s="25">
        <v>90</v>
      </c>
      <c r="AE257" s="25">
        <v>38</v>
      </c>
      <c r="AF257" s="25">
        <v>55</v>
      </c>
      <c r="AG257" s="25">
        <v>53</v>
      </c>
      <c r="AH257" s="25"/>
      <c r="AI257" s="25"/>
      <c r="AJ257" s="25"/>
      <c r="AK257" s="25"/>
      <c r="AL257" s="25"/>
      <c r="AM257" s="25"/>
    </row>
    <row r="258" spans="1:39" ht="15" customHeight="1">
      <c r="A258" s="32" t="str">
        <f t="shared" si="11"/>
        <v>AusNet--&gt; 22 kV &amp; &lt; = 33 kV ; SWITCH</v>
      </c>
      <c r="B258" s="32" t="str">
        <f t="shared" si="12"/>
        <v>AusNet</v>
      </c>
      <c r="C258" s="32" t="s">
        <v>2</v>
      </c>
      <c r="D258" s="393"/>
      <c r="F258" t="s">
        <v>251</v>
      </c>
      <c r="G258" s="21">
        <v>0</v>
      </c>
      <c r="H258" s="21">
        <v>0</v>
      </c>
      <c r="I258" s="21">
        <v>0</v>
      </c>
      <c r="J258" s="21">
        <v>0</v>
      </c>
      <c r="K258" s="21">
        <v>0</v>
      </c>
      <c r="L258" s="21"/>
      <c r="M258" s="21"/>
      <c r="N258" s="21"/>
      <c r="O258" s="21"/>
      <c r="P258" s="21"/>
      <c r="Q258" s="21"/>
      <c r="R258" s="23" t="s">
        <v>291</v>
      </c>
      <c r="S258" s="23" t="s">
        <v>291</v>
      </c>
      <c r="T258" s="23" t="s">
        <v>291</v>
      </c>
      <c r="U258" s="23" t="s">
        <v>291</v>
      </c>
      <c r="V258" s="23" t="s">
        <v>291</v>
      </c>
      <c r="W258" s="23"/>
      <c r="X258" s="23"/>
      <c r="Y258" s="23"/>
      <c r="Z258" s="23"/>
      <c r="AA258" s="23"/>
      <c r="AB258" s="23"/>
      <c r="AC258" s="25">
        <v>0</v>
      </c>
      <c r="AD258" s="25">
        <v>0</v>
      </c>
      <c r="AE258" s="25">
        <v>0</v>
      </c>
      <c r="AF258" s="25">
        <v>0</v>
      </c>
      <c r="AG258" s="25">
        <v>0</v>
      </c>
      <c r="AH258" s="25"/>
      <c r="AI258" s="25"/>
      <c r="AJ258" s="25"/>
      <c r="AK258" s="25"/>
      <c r="AL258" s="25"/>
      <c r="AM258" s="25"/>
    </row>
    <row r="259" spans="1:39" ht="15" customHeight="1">
      <c r="A259" s="32" t="str">
        <f t="shared" si="11"/>
        <v>AusNet--&gt; 22 kV &amp; &lt; = 33 kV ; CIRCUIT BREAKER</v>
      </c>
      <c r="B259" s="32" t="str">
        <f t="shared" si="12"/>
        <v>AusNet</v>
      </c>
      <c r="C259" s="32" t="s">
        <v>2</v>
      </c>
      <c r="D259" s="393"/>
      <c r="F259" t="s">
        <v>252</v>
      </c>
      <c r="G259" s="21">
        <v>0</v>
      </c>
      <c r="H259" s="21">
        <v>0</v>
      </c>
      <c r="I259" s="21">
        <v>0</v>
      </c>
      <c r="J259" s="21">
        <v>0</v>
      </c>
      <c r="K259" s="21">
        <v>0</v>
      </c>
      <c r="L259" s="21"/>
      <c r="M259" s="21"/>
      <c r="N259" s="21"/>
      <c r="O259" s="21"/>
      <c r="P259" s="21"/>
      <c r="Q259" s="21"/>
      <c r="R259" s="23" t="s">
        <v>291</v>
      </c>
      <c r="S259" s="23" t="s">
        <v>291</v>
      </c>
      <c r="T259" s="23" t="s">
        <v>291</v>
      </c>
      <c r="U259" s="23" t="s">
        <v>291</v>
      </c>
      <c r="V259" s="23" t="s">
        <v>291</v>
      </c>
      <c r="W259" s="23"/>
      <c r="X259" s="23"/>
      <c r="Y259" s="23"/>
      <c r="Z259" s="23"/>
      <c r="AA259" s="23"/>
      <c r="AB259" s="23"/>
      <c r="AC259" s="25">
        <v>0</v>
      </c>
      <c r="AD259" s="25">
        <v>0</v>
      </c>
      <c r="AE259" s="25">
        <v>0</v>
      </c>
      <c r="AF259" s="25">
        <v>0</v>
      </c>
      <c r="AG259" s="25">
        <v>0</v>
      </c>
      <c r="AH259" s="25"/>
      <c r="AI259" s="25"/>
      <c r="AJ259" s="25"/>
      <c r="AK259" s="25"/>
      <c r="AL259" s="25"/>
      <c r="AM259" s="25"/>
    </row>
    <row r="260" spans="1:39" ht="15" customHeight="1">
      <c r="A260" s="32" t="str">
        <f t="shared" si="11"/>
        <v>AusNet--&gt; 33 kV &amp; &lt; = 66 kV ; FUSE</v>
      </c>
      <c r="B260" s="32" t="str">
        <f t="shared" si="12"/>
        <v>AusNet</v>
      </c>
      <c r="C260" s="32" t="s">
        <v>2</v>
      </c>
      <c r="D260" s="393"/>
      <c r="F260" t="s">
        <v>293</v>
      </c>
      <c r="G260" s="21">
        <v>549.33000000000004</v>
      </c>
      <c r="H260" s="21">
        <v>660.72199999999998</v>
      </c>
      <c r="I260" s="21">
        <v>974.50099999999998</v>
      </c>
      <c r="J260" s="21">
        <v>898.29399999999998</v>
      </c>
      <c r="K260" s="21">
        <v>1337.636</v>
      </c>
      <c r="L260" s="21"/>
      <c r="M260" s="21"/>
      <c r="N260" s="21"/>
      <c r="O260" s="21"/>
      <c r="P260" s="21"/>
      <c r="Q260" s="21"/>
      <c r="R260" s="23">
        <v>21</v>
      </c>
      <c r="S260" s="23">
        <v>19</v>
      </c>
      <c r="T260" s="23">
        <v>25</v>
      </c>
      <c r="U260" s="23">
        <v>13</v>
      </c>
      <c r="V260" s="23">
        <v>26</v>
      </c>
      <c r="W260" s="23"/>
      <c r="X260" s="23"/>
      <c r="Y260" s="23"/>
      <c r="Z260" s="23"/>
      <c r="AA260" s="23"/>
      <c r="AB260" s="23"/>
      <c r="AC260" s="25">
        <v>67</v>
      </c>
      <c r="AD260" s="25">
        <v>24</v>
      </c>
      <c r="AE260" s="25">
        <v>168</v>
      </c>
      <c r="AF260" s="25">
        <v>48</v>
      </c>
      <c r="AG260" s="25">
        <v>66</v>
      </c>
      <c r="AH260" s="25"/>
      <c r="AI260" s="25"/>
      <c r="AJ260" s="25"/>
      <c r="AK260" s="25"/>
      <c r="AL260" s="25"/>
      <c r="AM260" s="25"/>
    </row>
    <row r="261" spans="1:39" ht="15" customHeight="1">
      <c r="A261" s="32" t="str">
        <f t="shared" si="11"/>
        <v>AusNet--&gt; 33 kV &amp; &lt; = 66 kV ; SWITCH</v>
      </c>
      <c r="B261" s="32" t="str">
        <f t="shared" si="12"/>
        <v>AusNet</v>
      </c>
      <c r="C261" s="32" t="s">
        <v>2</v>
      </c>
      <c r="D261" s="393"/>
      <c r="F261" t="s">
        <v>253</v>
      </c>
      <c r="G261" s="21">
        <v>549.33000000000004</v>
      </c>
      <c r="H261" s="21">
        <v>739.11300000000006</v>
      </c>
      <c r="I261" s="21">
        <v>1014.276</v>
      </c>
      <c r="J261" s="21">
        <v>1443.6869999999999</v>
      </c>
      <c r="K261" s="21">
        <v>772.43799999999999</v>
      </c>
      <c r="L261" s="21"/>
      <c r="M261" s="21"/>
      <c r="N261" s="21"/>
      <c r="O261" s="21"/>
      <c r="P261" s="21"/>
      <c r="Q261" s="21"/>
      <c r="R261" s="23">
        <v>21</v>
      </c>
      <c r="S261" s="23">
        <v>21</v>
      </c>
      <c r="T261" s="23">
        <v>26</v>
      </c>
      <c r="U261" s="23">
        <v>21</v>
      </c>
      <c r="V261" s="23">
        <v>15</v>
      </c>
      <c r="W261" s="23"/>
      <c r="X261" s="23"/>
      <c r="Y261" s="23"/>
      <c r="Z261" s="23"/>
      <c r="AA261" s="23"/>
      <c r="AB261" s="23"/>
      <c r="AC261" s="25">
        <v>35</v>
      </c>
      <c r="AD261" s="25">
        <v>43</v>
      </c>
      <c r="AE261" s="25">
        <v>34</v>
      </c>
      <c r="AF261" s="25">
        <v>15</v>
      </c>
      <c r="AG261" s="25">
        <v>29</v>
      </c>
      <c r="AH261" s="25"/>
      <c r="AI261" s="25"/>
      <c r="AJ261" s="25"/>
      <c r="AK261" s="25"/>
      <c r="AL261" s="25"/>
      <c r="AM261" s="25"/>
    </row>
    <row r="262" spans="1:39" ht="15" customHeight="1">
      <c r="A262" s="32" t="str">
        <f t="shared" ref="A262:A325" si="13">B262&amp;"-"&amp;E262&amp;"-"&amp;F262</f>
        <v>AusNet--&gt; 33 kV &amp; &lt; = 66 kV ; CIRCUIT BREAKER</v>
      </c>
      <c r="B262" s="32" t="str">
        <f t="shared" ref="B262:B325" si="14">IF(D262&gt;0,D262,B261)</f>
        <v>AusNet</v>
      </c>
      <c r="C262" s="32" t="s">
        <v>2</v>
      </c>
      <c r="D262" s="393"/>
      <c r="F262" t="s">
        <v>254</v>
      </c>
      <c r="G262" s="21">
        <v>95.081000000000003</v>
      </c>
      <c r="H262" s="21">
        <v>124.884</v>
      </c>
      <c r="I262" s="21">
        <v>120.97199999999999</v>
      </c>
      <c r="J262" s="21">
        <v>0</v>
      </c>
      <c r="K262" s="21">
        <v>38.198999999999998</v>
      </c>
      <c r="L262" s="21"/>
      <c r="M262" s="21"/>
      <c r="N262" s="21"/>
      <c r="O262" s="21"/>
      <c r="P262" s="21"/>
      <c r="Q262" s="21"/>
      <c r="R262" s="23">
        <v>4</v>
      </c>
      <c r="S262" s="23">
        <v>3</v>
      </c>
      <c r="T262" s="23">
        <v>3</v>
      </c>
      <c r="U262" s="23" t="s">
        <v>291</v>
      </c>
      <c r="V262" s="23">
        <v>1</v>
      </c>
      <c r="W262" s="23"/>
      <c r="X262" s="23"/>
      <c r="Y262" s="23"/>
      <c r="Z262" s="23"/>
      <c r="AA262" s="23"/>
      <c r="AB262" s="23"/>
      <c r="AC262" s="25">
        <v>23</v>
      </c>
      <c r="AD262" s="25">
        <v>40</v>
      </c>
      <c r="AE262" s="25">
        <v>38</v>
      </c>
      <c r="AF262" s="25">
        <v>35</v>
      </c>
      <c r="AG262" s="25">
        <v>37</v>
      </c>
      <c r="AH262" s="25"/>
      <c r="AI262" s="25"/>
      <c r="AJ262" s="25"/>
      <c r="AK262" s="25"/>
      <c r="AL262" s="25"/>
      <c r="AM262" s="25"/>
    </row>
    <row r="263" spans="1:39" ht="15" customHeight="1">
      <c r="A263" s="32" t="str">
        <f t="shared" si="13"/>
        <v>AusNet--&gt; 66 kV &amp; &lt; = 132 kV ; SWITCH</v>
      </c>
      <c r="B263" s="32" t="str">
        <f t="shared" si="14"/>
        <v>AusNet</v>
      </c>
      <c r="C263" s="32" t="s">
        <v>2</v>
      </c>
      <c r="D263" s="393"/>
      <c r="F263" t="s">
        <v>255</v>
      </c>
      <c r="G263" s="21">
        <v>0</v>
      </c>
      <c r="H263" s="21">
        <v>0</v>
      </c>
      <c r="I263" s="21">
        <v>0</v>
      </c>
      <c r="J263" s="21">
        <v>0</v>
      </c>
      <c r="K263" s="21">
        <v>0</v>
      </c>
      <c r="L263" s="21"/>
      <c r="M263" s="21"/>
      <c r="N263" s="21"/>
      <c r="O263" s="21"/>
      <c r="P263" s="21"/>
      <c r="Q263" s="21"/>
      <c r="R263" s="23" t="s">
        <v>291</v>
      </c>
      <c r="S263" s="23" t="s">
        <v>291</v>
      </c>
      <c r="T263" s="23" t="s">
        <v>291</v>
      </c>
      <c r="U263" s="23" t="s">
        <v>291</v>
      </c>
      <c r="V263" s="23" t="s">
        <v>291</v>
      </c>
      <c r="W263" s="23"/>
      <c r="X263" s="23"/>
      <c r="Y263" s="23"/>
      <c r="Z263" s="23"/>
      <c r="AA263" s="23"/>
      <c r="AB263" s="23"/>
      <c r="AC263" s="25">
        <v>0</v>
      </c>
      <c r="AD263" s="25">
        <v>0</v>
      </c>
      <c r="AE263" s="25">
        <v>0</v>
      </c>
      <c r="AF263" s="25">
        <v>0</v>
      </c>
      <c r="AG263" s="25">
        <v>0</v>
      </c>
      <c r="AH263" s="25"/>
      <c r="AI263" s="25"/>
      <c r="AJ263" s="25"/>
      <c r="AK263" s="25"/>
      <c r="AL263" s="25"/>
      <c r="AM263" s="25"/>
    </row>
    <row r="264" spans="1:39" ht="15" customHeight="1">
      <c r="A264" s="32" t="str">
        <f t="shared" si="13"/>
        <v>AusNet--&gt; 66 kV &amp; &lt; = 132 kV  ; CIRCUIT BREAKER</v>
      </c>
      <c r="B264" s="32" t="str">
        <f t="shared" si="14"/>
        <v>AusNet</v>
      </c>
      <c r="C264" s="32" t="s">
        <v>2</v>
      </c>
      <c r="D264" s="393"/>
      <c r="F264" t="s">
        <v>256</v>
      </c>
      <c r="G264" s="21">
        <v>0</v>
      </c>
      <c r="H264" s="21">
        <v>0</v>
      </c>
      <c r="I264" s="21">
        <v>0</v>
      </c>
      <c r="J264" s="21">
        <v>0</v>
      </c>
      <c r="K264" s="21">
        <v>0</v>
      </c>
      <c r="L264" s="21"/>
      <c r="M264" s="21"/>
      <c r="N264" s="21"/>
      <c r="O264" s="21"/>
      <c r="P264" s="21"/>
      <c r="Q264" s="21"/>
      <c r="R264" s="23" t="s">
        <v>291</v>
      </c>
      <c r="S264" s="23" t="s">
        <v>291</v>
      </c>
      <c r="T264" s="23" t="s">
        <v>291</v>
      </c>
      <c r="U264" s="23" t="s">
        <v>291</v>
      </c>
      <c r="V264" s="23" t="s">
        <v>291</v>
      </c>
      <c r="W264" s="23"/>
      <c r="X264" s="23"/>
      <c r="Y264" s="23"/>
      <c r="Z264" s="23"/>
      <c r="AA264" s="23"/>
      <c r="AB264" s="23"/>
      <c r="AC264" s="25">
        <v>0</v>
      </c>
      <c r="AD264" s="25">
        <v>0</v>
      </c>
      <c r="AE264" s="25">
        <v>0</v>
      </c>
      <c r="AF264" s="25">
        <v>0</v>
      </c>
      <c r="AG264" s="25">
        <v>0</v>
      </c>
      <c r="AH264" s="25"/>
      <c r="AI264" s="25"/>
      <c r="AJ264" s="25"/>
      <c r="AK264" s="25"/>
      <c r="AL264" s="25"/>
      <c r="AM264" s="25"/>
    </row>
    <row r="265" spans="1:39" ht="15" customHeight="1">
      <c r="A265" s="32" t="str">
        <f t="shared" si="13"/>
        <v>AusNet--&gt; 132 kV ; SWITCH</v>
      </c>
      <c r="B265" s="32" t="str">
        <f t="shared" si="14"/>
        <v>AusNet</v>
      </c>
      <c r="C265" s="32" t="s">
        <v>2</v>
      </c>
      <c r="D265" s="393"/>
      <c r="F265" t="s">
        <v>257</v>
      </c>
      <c r="G265" s="21">
        <v>0</v>
      </c>
      <c r="H265" s="21">
        <v>0</v>
      </c>
      <c r="I265" s="21">
        <v>0</v>
      </c>
      <c r="J265" s="21">
        <v>0</v>
      </c>
      <c r="K265" s="21">
        <v>0</v>
      </c>
      <c r="L265" s="21"/>
      <c r="M265" s="21"/>
      <c r="N265" s="21"/>
      <c r="O265" s="21"/>
      <c r="P265" s="21"/>
      <c r="Q265" s="21"/>
      <c r="R265" s="23">
        <v>0</v>
      </c>
      <c r="S265" s="23">
        <v>0</v>
      </c>
      <c r="T265" s="23">
        <v>0</v>
      </c>
      <c r="U265" s="23">
        <v>0</v>
      </c>
      <c r="V265" s="23">
        <v>0</v>
      </c>
      <c r="W265" s="23"/>
      <c r="X265" s="23"/>
      <c r="Y265" s="23"/>
      <c r="Z265" s="23"/>
      <c r="AA265" s="23"/>
      <c r="AB265" s="23"/>
      <c r="AC265" s="25">
        <v>0</v>
      </c>
      <c r="AD265" s="25">
        <v>0</v>
      </c>
      <c r="AE265" s="25">
        <v>0</v>
      </c>
      <c r="AF265" s="25">
        <v>0</v>
      </c>
      <c r="AG265" s="25">
        <v>0</v>
      </c>
      <c r="AH265" s="25"/>
      <c r="AI265" s="25"/>
      <c r="AJ265" s="25"/>
      <c r="AK265" s="25"/>
      <c r="AL265" s="25"/>
      <c r="AM265" s="25"/>
    </row>
    <row r="266" spans="1:39" ht="15" customHeight="1">
      <c r="A266" s="32" t="str">
        <f t="shared" si="13"/>
        <v>AusNet--&gt; 132 kV ; CIRCUIT BREAKER</v>
      </c>
      <c r="B266" s="32" t="str">
        <f t="shared" si="14"/>
        <v>AusNet</v>
      </c>
      <c r="C266" s="32" t="s">
        <v>2</v>
      </c>
      <c r="D266" s="393"/>
      <c r="F266" t="s">
        <v>258</v>
      </c>
      <c r="G266" s="21">
        <v>0</v>
      </c>
      <c r="H266" s="21">
        <v>0</v>
      </c>
      <c r="I266" s="21">
        <v>0</v>
      </c>
      <c r="J266" s="21">
        <v>0</v>
      </c>
      <c r="K266" s="21">
        <v>0</v>
      </c>
      <c r="L266" s="21"/>
      <c r="M266" s="21"/>
      <c r="N266" s="21"/>
      <c r="O266" s="21"/>
      <c r="P266" s="21"/>
      <c r="Q266" s="21"/>
      <c r="R266" s="23">
        <v>0</v>
      </c>
      <c r="S266" s="23">
        <v>0</v>
      </c>
      <c r="T266" s="23">
        <v>0</v>
      </c>
      <c r="U266" s="23">
        <v>0</v>
      </c>
      <c r="V266" s="23">
        <v>0</v>
      </c>
      <c r="W266" s="23"/>
      <c r="X266" s="23"/>
      <c r="Y266" s="23"/>
      <c r="Z266" s="23"/>
      <c r="AA266" s="23"/>
      <c r="AB266" s="23"/>
      <c r="AC266" s="25">
        <v>0</v>
      </c>
      <c r="AD266" s="25">
        <v>0</v>
      </c>
      <c r="AE266" s="25">
        <v>0</v>
      </c>
      <c r="AF266" s="25">
        <v>0</v>
      </c>
      <c r="AG266" s="25">
        <v>0</v>
      </c>
      <c r="AH266" s="25"/>
      <c r="AI266" s="25"/>
      <c r="AJ266" s="25"/>
      <c r="AK266" s="25"/>
      <c r="AL266" s="25"/>
      <c r="AM266" s="25"/>
    </row>
    <row r="267" spans="1:39" ht="15" customHeight="1">
      <c r="A267" s="32" t="str">
        <f t="shared" si="13"/>
        <v>AusNet--OTHER - PLEASE ADD A ROW IF NECESSARY AND NOMINATE THE CATEGORY</v>
      </c>
      <c r="B267" s="32" t="str">
        <f t="shared" si="14"/>
        <v>AusNet</v>
      </c>
      <c r="C267" s="32" t="s">
        <v>2</v>
      </c>
      <c r="D267" s="393"/>
      <c r="F267" t="s">
        <v>170</v>
      </c>
      <c r="G267" s="21">
        <v>0</v>
      </c>
      <c r="H267" s="21">
        <v>0</v>
      </c>
      <c r="I267" s="21">
        <v>0</v>
      </c>
      <c r="J267" s="21">
        <v>0</v>
      </c>
      <c r="K267" s="21">
        <v>0</v>
      </c>
      <c r="L267" s="21"/>
      <c r="M267" s="21"/>
      <c r="N267" s="21"/>
      <c r="O267" s="21"/>
      <c r="P267" s="21"/>
      <c r="Q267" s="21"/>
      <c r="R267" s="23">
        <v>0</v>
      </c>
      <c r="S267" s="23">
        <v>0</v>
      </c>
      <c r="T267" s="23">
        <v>0</v>
      </c>
      <c r="U267" s="23">
        <v>0</v>
      </c>
      <c r="V267" s="23">
        <v>0</v>
      </c>
      <c r="W267" s="23"/>
      <c r="X267" s="23"/>
      <c r="Y267" s="23"/>
      <c r="Z267" s="23"/>
      <c r="AA267" s="23"/>
      <c r="AB267" s="23"/>
      <c r="AC267" s="25">
        <v>0</v>
      </c>
      <c r="AD267" s="25">
        <v>0</v>
      </c>
      <c r="AE267" s="25">
        <v>0</v>
      </c>
      <c r="AF267" s="25">
        <v>0</v>
      </c>
      <c r="AG267" s="25">
        <v>0</v>
      </c>
      <c r="AH267" s="25"/>
      <c r="AI267" s="25"/>
      <c r="AJ267" s="25"/>
      <c r="AK267" s="25"/>
      <c r="AL267" s="25"/>
      <c r="AM267" s="25"/>
    </row>
    <row r="268" spans="1:39" ht="45" customHeight="1">
      <c r="A268" s="32" t="str">
        <f t="shared" si="13"/>
        <v>AusNet-PUBLIC LIGHTING BY: 
ASSET TYPE ; LIGHTING OBLIGATION-LUMINAIRES ;  MAJOR ROAD</v>
      </c>
      <c r="B268" s="32" t="str">
        <f t="shared" si="14"/>
        <v>AusNet</v>
      </c>
      <c r="C268" s="32" t="s">
        <v>1135</v>
      </c>
      <c r="D268" s="393"/>
      <c r="E268" s="3" t="s">
        <v>547</v>
      </c>
      <c r="F268" t="s">
        <v>262</v>
      </c>
      <c r="G268" s="21">
        <v>0</v>
      </c>
      <c r="H268" s="21">
        <v>0</v>
      </c>
      <c r="I268" s="21">
        <v>0</v>
      </c>
      <c r="J268" s="21">
        <v>0</v>
      </c>
      <c r="K268" s="21">
        <v>0</v>
      </c>
      <c r="L268" s="21"/>
      <c r="M268" s="21"/>
      <c r="N268" s="21"/>
      <c r="O268" s="21"/>
      <c r="P268" s="21"/>
      <c r="Q268" s="21"/>
      <c r="R268" s="23">
        <v>0</v>
      </c>
      <c r="S268" s="23">
        <v>0</v>
      </c>
      <c r="T268" s="23">
        <v>0</v>
      </c>
      <c r="U268" s="23">
        <v>0</v>
      </c>
      <c r="V268" s="23">
        <v>0</v>
      </c>
      <c r="W268" s="23"/>
      <c r="X268" s="23"/>
      <c r="Y268" s="23"/>
      <c r="Z268" s="23"/>
      <c r="AA268" s="23"/>
      <c r="AB268" s="23"/>
      <c r="AC268" s="25">
        <v>0</v>
      </c>
      <c r="AD268" s="25">
        <v>0</v>
      </c>
      <c r="AE268" s="25">
        <v>0</v>
      </c>
      <c r="AF268" s="25">
        <v>0</v>
      </c>
      <c r="AG268" s="25">
        <v>0</v>
      </c>
      <c r="AH268" s="25"/>
      <c r="AI268" s="25"/>
      <c r="AJ268" s="25"/>
      <c r="AK268" s="25"/>
      <c r="AL268" s="25"/>
      <c r="AM268" s="25"/>
    </row>
    <row r="269" spans="1:39" ht="15" customHeight="1">
      <c r="A269" s="32" t="str">
        <f t="shared" si="13"/>
        <v>AusNet--LUMINAIRES ;  MINOR ROAD</v>
      </c>
      <c r="B269" s="32" t="str">
        <f t="shared" si="14"/>
        <v>AusNet</v>
      </c>
      <c r="C269" s="32" t="s">
        <v>1135</v>
      </c>
      <c r="D269" s="393"/>
      <c r="F269" t="s">
        <v>263</v>
      </c>
      <c r="G269" s="21">
        <v>0</v>
      </c>
      <c r="H269" s="21">
        <v>0</v>
      </c>
      <c r="I269" s="21">
        <v>0</v>
      </c>
      <c r="J269" s="21">
        <v>0</v>
      </c>
      <c r="K269" s="21">
        <v>0</v>
      </c>
      <c r="L269" s="21"/>
      <c r="M269" s="21"/>
      <c r="N269" s="21"/>
      <c r="O269" s="21"/>
      <c r="P269" s="21"/>
      <c r="Q269" s="21"/>
      <c r="R269" s="23">
        <v>0</v>
      </c>
      <c r="S269" s="23">
        <v>0</v>
      </c>
      <c r="T269" s="23">
        <v>0</v>
      </c>
      <c r="U269" s="23">
        <v>0</v>
      </c>
      <c r="V269" s="23">
        <v>0</v>
      </c>
      <c r="W269" s="23"/>
      <c r="X269" s="23"/>
      <c r="Y269" s="23"/>
      <c r="Z269" s="23"/>
      <c r="AA269" s="23"/>
      <c r="AB269" s="23"/>
      <c r="AC269" s="25">
        <v>0</v>
      </c>
      <c r="AD269" s="25">
        <v>0</v>
      </c>
      <c r="AE269" s="25">
        <v>0</v>
      </c>
      <c r="AF269" s="25">
        <v>0</v>
      </c>
      <c r="AG269" s="25">
        <v>0</v>
      </c>
      <c r="AH269" s="25"/>
      <c r="AI269" s="25"/>
      <c r="AJ269" s="25"/>
      <c r="AK269" s="25"/>
      <c r="AL269" s="25"/>
      <c r="AM269" s="25"/>
    </row>
    <row r="270" spans="1:39" ht="15" customHeight="1">
      <c r="A270" s="32" t="str">
        <f t="shared" si="13"/>
        <v>AusNet--BRACKETS ; MAJOR ROAD</v>
      </c>
      <c r="B270" s="32" t="str">
        <f t="shared" si="14"/>
        <v>AusNet</v>
      </c>
      <c r="C270" s="32" t="s">
        <v>1134</v>
      </c>
      <c r="D270" s="393"/>
      <c r="F270" t="s">
        <v>264</v>
      </c>
      <c r="G270" s="21">
        <v>0</v>
      </c>
      <c r="H270" s="21">
        <v>0</v>
      </c>
      <c r="I270" s="21">
        <v>0</v>
      </c>
      <c r="J270" s="21">
        <v>0</v>
      </c>
      <c r="K270" s="21">
        <v>0</v>
      </c>
      <c r="L270" s="21"/>
      <c r="M270" s="21"/>
      <c r="N270" s="21"/>
      <c r="O270" s="21"/>
      <c r="P270" s="21"/>
      <c r="Q270" s="21"/>
      <c r="R270" s="23">
        <v>0</v>
      </c>
      <c r="S270" s="23">
        <v>0</v>
      </c>
      <c r="T270" s="23">
        <v>0</v>
      </c>
      <c r="U270" s="23">
        <v>0</v>
      </c>
      <c r="V270" s="23">
        <v>0</v>
      </c>
      <c r="W270" s="23"/>
      <c r="X270" s="23"/>
      <c r="Y270" s="23"/>
      <c r="Z270" s="23"/>
      <c r="AA270" s="23"/>
      <c r="AB270" s="23"/>
      <c r="AC270" s="25">
        <v>0</v>
      </c>
      <c r="AD270" s="25">
        <v>0</v>
      </c>
      <c r="AE270" s="25">
        <v>0</v>
      </c>
      <c r="AF270" s="25">
        <v>0</v>
      </c>
      <c r="AG270" s="25">
        <v>0</v>
      </c>
      <c r="AH270" s="25"/>
      <c r="AI270" s="25"/>
      <c r="AJ270" s="25"/>
      <c r="AK270" s="25"/>
      <c r="AL270" s="25"/>
      <c r="AM270" s="25"/>
    </row>
    <row r="271" spans="1:39" ht="15" customHeight="1">
      <c r="A271" s="32" t="str">
        <f t="shared" si="13"/>
        <v>AusNet--BRACKETS ; MINOR ROAD</v>
      </c>
      <c r="B271" s="32" t="str">
        <f t="shared" si="14"/>
        <v>AusNet</v>
      </c>
      <c r="C271" s="32" t="s">
        <v>1134</v>
      </c>
      <c r="D271" s="393"/>
      <c r="F271" t="s">
        <v>265</v>
      </c>
      <c r="G271" s="21">
        <v>0</v>
      </c>
      <c r="H271" s="21">
        <v>0</v>
      </c>
      <c r="I271" s="21">
        <v>0</v>
      </c>
      <c r="J271" s="21">
        <v>0</v>
      </c>
      <c r="K271" s="21">
        <v>0</v>
      </c>
      <c r="L271" s="21"/>
      <c r="M271" s="21"/>
      <c r="N271" s="21"/>
      <c r="O271" s="21"/>
      <c r="P271" s="21"/>
      <c r="Q271" s="21"/>
      <c r="R271" s="23">
        <v>0</v>
      </c>
      <c r="S271" s="23">
        <v>0</v>
      </c>
      <c r="T271" s="23">
        <v>0</v>
      </c>
      <c r="U271" s="23">
        <v>0</v>
      </c>
      <c r="V271" s="23">
        <v>0</v>
      </c>
      <c r="W271" s="23"/>
      <c r="X271" s="23"/>
      <c r="Y271" s="23"/>
      <c r="Z271" s="23"/>
      <c r="AA271" s="23"/>
      <c r="AB271" s="23"/>
      <c r="AC271" s="25">
        <v>0</v>
      </c>
      <c r="AD271" s="25">
        <v>0</v>
      </c>
      <c r="AE271" s="25">
        <v>0</v>
      </c>
      <c r="AF271" s="25">
        <v>0</v>
      </c>
      <c r="AG271" s="25">
        <v>0</v>
      </c>
      <c r="AH271" s="25"/>
      <c r="AI271" s="25"/>
      <c r="AJ271" s="25"/>
      <c r="AK271" s="25"/>
      <c r="AL271" s="25"/>
      <c r="AM271" s="25"/>
    </row>
    <row r="272" spans="1:39" ht="15" customHeight="1">
      <c r="A272" s="32" t="str">
        <f t="shared" si="13"/>
        <v>AusNet--LAMPS ; MAJOR ROAD</v>
      </c>
      <c r="B272" s="32" t="str">
        <f t="shared" si="14"/>
        <v>AusNet</v>
      </c>
      <c r="C272" s="32" t="s">
        <v>1134</v>
      </c>
      <c r="D272" s="393"/>
      <c r="F272" t="s">
        <v>266</v>
      </c>
      <c r="G272" s="21">
        <v>0</v>
      </c>
      <c r="H272" s="21">
        <v>0</v>
      </c>
      <c r="I272" s="21">
        <v>0</v>
      </c>
      <c r="J272" s="21">
        <v>0</v>
      </c>
      <c r="K272" s="21">
        <v>0</v>
      </c>
      <c r="L272" s="21"/>
      <c r="M272" s="21"/>
      <c r="N272" s="21"/>
      <c r="O272" s="21"/>
      <c r="P272" s="21"/>
      <c r="Q272" s="21"/>
      <c r="R272" s="23">
        <v>0</v>
      </c>
      <c r="S272" s="23">
        <v>0</v>
      </c>
      <c r="T272" s="23">
        <v>0</v>
      </c>
      <c r="U272" s="23">
        <v>0</v>
      </c>
      <c r="V272" s="23">
        <v>0</v>
      </c>
      <c r="W272" s="23"/>
      <c r="X272" s="23"/>
      <c r="Y272" s="23"/>
      <c r="Z272" s="23"/>
      <c r="AA272" s="23"/>
      <c r="AB272" s="23"/>
      <c r="AC272" s="25">
        <v>0</v>
      </c>
      <c r="AD272" s="25">
        <v>0</v>
      </c>
      <c r="AE272" s="25">
        <v>0</v>
      </c>
      <c r="AF272" s="25">
        <v>0</v>
      </c>
      <c r="AG272" s="25">
        <v>0</v>
      </c>
      <c r="AH272" s="25"/>
      <c r="AI272" s="25"/>
      <c r="AJ272" s="25"/>
      <c r="AK272" s="25"/>
      <c r="AL272" s="25"/>
      <c r="AM272" s="25"/>
    </row>
    <row r="273" spans="1:39" ht="15" customHeight="1">
      <c r="A273" s="32" t="str">
        <f t="shared" si="13"/>
        <v>AusNet--LAMPS ; MINOR ROAD</v>
      </c>
      <c r="B273" s="32" t="str">
        <f t="shared" si="14"/>
        <v>AusNet</v>
      </c>
      <c r="C273" s="32" t="s">
        <v>1134</v>
      </c>
      <c r="D273" s="393"/>
      <c r="F273" t="s">
        <v>267</v>
      </c>
      <c r="G273" s="21">
        <v>0</v>
      </c>
      <c r="H273" s="21">
        <v>0</v>
      </c>
      <c r="I273" s="21">
        <v>0</v>
      </c>
      <c r="J273" s="21">
        <v>0</v>
      </c>
      <c r="K273" s="21">
        <v>0</v>
      </c>
      <c r="L273" s="21"/>
      <c r="M273" s="21"/>
      <c r="N273" s="21"/>
      <c r="O273" s="21"/>
      <c r="P273" s="21"/>
      <c r="Q273" s="21"/>
      <c r="R273" s="23">
        <v>0</v>
      </c>
      <c r="S273" s="23">
        <v>0</v>
      </c>
      <c r="T273" s="23">
        <v>0</v>
      </c>
      <c r="U273" s="23">
        <v>0</v>
      </c>
      <c r="V273" s="23">
        <v>0</v>
      </c>
      <c r="W273" s="23"/>
      <c r="X273" s="23"/>
      <c r="Y273" s="23"/>
      <c r="Z273" s="23"/>
      <c r="AA273" s="23"/>
      <c r="AB273" s="23"/>
      <c r="AC273" s="25">
        <v>0</v>
      </c>
      <c r="AD273" s="25">
        <v>0</v>
      </c>
      <c r="AE273" s="25">
        <v>0</v>
      </c>
      <c r="AF273" s="25">
        <v>0</v>
      </c>
      <c r="AG273" s="25">
        <v>0</v>
      </c>
      <c r="AH273" s="25"/>
      <c r="AI273" s="25"/>
      <c r="AJ273" s="25"/>
      <c r="AK273" s="25"/>
      <c r="AL273" s="25"/>
      <c r="AM273" s="25"/>
    </row>
    <row r="274" spans="1:39" ht="15" customHeight="1">
      <c r="A274" s="32" t="str">
        <f t="shared" si="13"/>
        <v>AusNet--POLES / COLUMNS ; MAJOR ROAD</v>
      </c>
      <c r="B274" s="32" t="str">
        <f t="shared" si="14"/>
        <v>AusNet</v>
      </c>
      <c r="C274" s="32" t="s">
        <v>1134</v>
      </c>
      <c r="D274" s="393"/>
      <c r="F274" t="s">
        <v>268</v>
      </c>
      <c r="G274" s="21">
        <v>0</v>
      </c>
      <c r="H274" s="21">
        <v>0</v>
      </c>
      <c r="I274" s="21">
        <v>0</v>
      </c>
      <c r="J274" s="21">
        <v>0</v>
      </c>
      <c r="K274" s="21">
        <v>0</v>
      </c>
      <c r="L274" s="21"/>
      <c r="M274" s="21"/>
      <c r="N274" s="21"/>
      <c r="O274" s="21"/>
      <c r="P274" s="21"/>
      <c r="Q274" s="21"/>
      <c r="R274" s="23">
        <v>0</v>
      </c>
      <c r="S274" s="23">
        <v>0</v>
      </c>
      <c r="T274" s="23">
        <v>0</v>
      </c>
      <c r="U274" s="23">
        <v>0</v>
      </c>
      <c r="V274" s="23">
        <v>0</v>
      </c>
      <c r="W274" s="23"/>
      <c r="X274" s="23"/>
      <c r="Y274" s="23"/>
      <c r="Z274" s="23"/>
      <c r="AA274" s="23"/>
      <c r="AB274" s="23"/>
      <c r="AC274" s="25">
        <v>0</v>
      </c>
      <c r="AD274" s="25">
        <v>0</v>
      </c>
      <c r="AE274" s="25">
        <v>0</v>
      </c>
      <c r="AF274" s="25">
        <v>0</v>
      </c>
      <c r="AG274" s="25">
        <v>0</v>
      </c>
      <c r="AH274" s="25"/>
      <c r="AI274" s="25"/>
      <c r="AJ274" s="25"/>
      <c r="AK274" s="25"/>
      <c r="AL274" s="25"/>
      <c r="AM274" s="25"/>
    </row>
    <row r="275" spans="1:39" ht="15" customHeight="1">
      <c r="A275" s="32" t="str">
        <f t="shared" si="13"/>
        <v>AusNet--POLES / COLUMNS ; MINOR ROAD</v>
      </c>
      <c r="B275" s="32" t="str">
        <f t="shared" si="14"/>
        <v>AusNet</v>
      </c>
      <c r="C275" s="32" t="s">
        <v>1134</v>
      </c>
      <c r="D275" s="393"/>
      <c r="F275" t="s">
        <v>269</v>
      </c>
      <c r="G275" s="21">
        <v>0</v>
      </c>
      <c r="H275" s="21">
        <v>0</v>
      </c>
      <c r="I275" s="21">
        <v>0</v>
      </c>
      <c r="J275" s="21">
        <v>0</v>
      </c>
      <c r="K275" s="21">
        <v>0</v>
      </c>
      <c r="L275" s="21"/>
      <c r="M275" s="21"/>
      <c r="N275" s="21"/>
      <c r="O275" s="21"/>
      <c r="P275" s="21"/>
      <c r="Q275" s="21"/>
      <c r="R275" s="23">
        <v>0</v>
      </c>
      <c r="S275" s="23">
        <v>0</v>
      </c>
      <c r="T275" s="23">
        <v>0</v>
      </c>
      <c r="U275" s="23">
        <v>0</v>
      </c>
      <c r="V275" s="23">
        <v>0</v>
      </c>
      <c r="W275" s="23"/>
      <c r="X275" s="23"/>
      <c r="Y275" s="23"/>
      <c r="Z275" s="23"/>
      <c r="AA275" s="23"/>
      <c r="AB275" s="23"/>
      <c r="AC275" s="25">
        <v>0</v>
      </c>
      <c r="AD275" s="25">
        <v>0</v>
      </c>
      <c r="AE275" s="25">
        <v>0</v>
      </c>
      <c r="AF275" s="25">
        <v>0</v>
      </c>
      <c r="AG275" s="25">
        <v>0</v>
      </c>
      <c r="AH275" s="25"/>
      <c r="AI275" s="25"/>
      <c r="AJ275" s="25"/>
      <c r="AK275" s="25"/>
      <c r="AL275" s="25"/>
      <c r="AM275" s="25"/>
    </row>
    <row r="276" spans="1:39" ht="15" customHeight="1">
      <c r="A276" s="32" t="str">
        <f t="shared" si="13"/>
        <v>AusNet--OTHER - PLEASE ADD A ROW IF NECESSARY AND NOMINATE THE CATEGORY</v>
      </c>
      <c r="B276" s="32" t="str">
        <f t="shared" si="14"/>
        <v>AusNet</v>
      </c>
      <c r="C276" s="32" t="s">
        <v>1134</v>
      </c>
      <c r="D276" s="393"/>
      <c r="F276" t="s">
        <v>170</v>
      </c>
      <c r="G276" s="21">
        <v>0</v>
      </c>
      <c r="H276" s="21">
        <v>0</v>
      </c>
      <c r="I276" s="21">
        <v>0</v>
      </c>
      <c r="J276" s="21">
        <v>0</v>
      </c>
      <c r="K276" s="21">
        <v>0</v>
      </c>
      <c r="L276" s="21"/>
      <c r="M276" s="21"/>
      <c r="N276" s="21"/>
      <c r="O276" s="21"/>
      <c r="P276" s="21"/>
      <c r="Q276" s="21"/>
      <c r="R276" s="23">
        <v>0</v>
      </c>
      <c r="S276" s="23">
        <v>0</v>
      </c>
      <c r="T276" s="23">
        <v>0</v>
      </c>
      <c r="U276" s="23">
        <v>0</v>
      </c>
      <c r="V276" s="23">
        <v>0</v>
      </c>
      <c r="W276" s="23"/>
      <c r="X276" s="23"/>
      <c r="Y276" s="23"/>
      <c r="Z276" s="23"/>
      <c r="AA276" s="23"/>
      <c r="AB276" s="23"/>
      <c r="AC276" s="25">
        <v>0</v>
      </c>
      <c r="AD276" s="25">
        <v>0</v>
      </c>
      <c r="AE276" s="25">
        <v>0</v>
      </c>
      <c r="AF276" s="25">
        <v>0</v>
      </c>
      <c r="AG276" s="25">
        <v>0</v>
      </c>
      <c r="AH276" s="25"/>
      <c r="AI276" s="25"/>
      <c r="AJ276" s="25"/>
      <c r="AK276" s="25"/>
      <c r="AL276" s="25"/>
      <c r="AM276" s="25"/>
    </row>
    <row r="277" spans="1:39" ht="45" customHeight="1">
      <c r="A277" s="32" t="str">
        <f t="shared" si="13"/>
        <v>AusNet-SCADA, NETWORK CONTROL AND PROTECTION SYSTEMS BY: 
FUNCTION-FIELD DEVICES</v>
      </c>
      <c r="B277" s="32" t="str">
        <f t="shared" si="14"/>
        <v>AusNet</v>
      </c>
      <c r="C277" s="32" t="s">
        <v>659</v>
      </c>
      <c r="D277" s="393"/>
      <c r="E277" s="3" t="s">
        <v>548</v>
      </c>
      <c r="F277" t="s">
        <v>272</v>
      </c>
      <c r="G277" s="21">
        <v>1441.1369999999999</v>
      </c>
      <c r="H277" s="21">
        <v>721.20399999999995</v>
      </c>
      <c r="I277" s="21">
        <v>218.239</v>
      </c>
      <c r="J277" s="21">
        <v>1561.818</v>
      </c>
      <c r="K277" s="21">
        <v>70.183000000000007</v>
      </c>
      <c r="L277" s="21"/>
      <c r="M277" s="21"/>
      <c r="N277" s="21"/>
      <c r="O277" s="21"/>
      <c r="P277" s="21"/>
      <c r="Q277" s="21"/>
      <c r="R277" s="23">
        <v>109</v>
      </c>
      <c r="S277" s="23">
        <v>240</v>
      </c>
      <c r="T277" s="23">
        <v>73</v>
      </c>
      <c r="U277" s="23">
        <v>137</v>
      </c>
      <c r="V277" s="23">
        <v>56</v>
      </c>
      <c r="W277" s="23"/>
      <c r="X277" s="23"/>
      <c r="Y277" s="23"/>
      <c r="Z277" s="23"/>
      <c r="AA277" s="23"/>
      <c r="AB277" s="23"/>
      <c r="AC277" s="25">
        <v>2</v>
      </c>
      <c r="AD277" s="25">
        <v>43</v>
      </c>
      <c r="AE277" s="25">
        <v>65</v>
      </c>
      <c r="AF277" s="25">
        <v>101</v>
      </c>
      <c r="AG277" s="25">
        <v>279</v>
      </c>
      <c r="AH277" s="25"/>
      <c r="AI277" s="25"/>
      <c r="AJ277" s="25"/>
      <c r="AK277" s="25"/>
      <c r="AL277" s="25"/>
      <c r="AM277" s="25"/>
    </row>
    <row r="278" spans="1:39" ht="15" customHeight="1">
      <c r="A278" s="32" t="str">
        <f t="shared" si="13"/>
        <v>AusNet--LOCAL NETWORK WIRING ASSETS</v>
      </c>
      <c r="B278" s="32" t="str">
        <f t="shared" si="14"/>
        <v>AusNet</v>
      </c>
      <c r="C278" s="32" t="s">
        <v>659</v>
      </c>
      <c r="D278" s="393"/>
      <c r="F278" t="s">
        <v>273</v>
      </c>
      <c r="G278" s="21">
        <v>116.663</v>
      </c>
      <c r="H278" s="21">
        <v>9.5269999999999992</v>
      </c>
      <c r="I278" s="21">
        <v>6.0620000000000003</v>
      </c>
      <c r="J278" s="21">
        <v>48.976999999999997</v>
      </c>
      <c r="K278" s="21">
        <v>6.9260000000000002</v>
      </c>
      <c r="L278" s="21"/>
      <c r="M278" s="21"/>
      <c r="N278" s="21"/>
      <c r="O278" s="21"/>
      <c r="P278" s="21"/>
      <c r="Q278" s="21"/>
      <c r="R278" s="23">
        <v>9</v>
      </c>
      <c r="S278" s="23">
        <v>3</v>
      </c>
      <c r="T278" s="23">
        <v>2</v>
      </c>
      <c r="U278" s="23">
        <v>4</v>
      </c>
      <c r="V278" s="23">
        <v>6</v>
      </c>
      <c r="W278" s="23"/>
      <c r="X278" s="23"/>
      <c r="Y278" s="23"/>
      <c r="Z278" s="23"/>
      <c r="AA278" s="23"/>
      <c r="AB278" s="23"/>
      <c r="AC278" s="25">
        <v>2</v>
      </c>
      <c r="AD278" s="25">
        <v>2</v>
      </c>
      <c r="AE278" s="25">
        <v>1</v>
      </c>
      <c r="AF278" s="25">
        <v>0</v>
      </c>
      <c r="AG278" s="25">
        <v>0</v>
      </c>
      <c r="AH278" s="25"/>
      <c r="AI278" s="25"/>
      <c r="AJ278" s="25"/>
      <c r="AK278" s="25"/>
      <c r="AL278" s="25"/>
      <c r="AM278" s="25"/>
    </row>
    <row r="279" spans="1:39" ht="15" customHeight="1">
      <c r="A279" s="32" t="str">
        <f t="shared" si="13"/>
        <v>AusNet--COMMUNICATIONS NETWORK ASSETS</v>
      </c>
      <c r="B279" s="32" t="str">
        <f t="shared" si="14"/>
        <v>AusNet</v>
      </c>
      <c r="C279" s="32" t="s">
        <v>659</v>
      </c>
      <c r="D279" s="393"/>
      <c r="F279" t="s">
        <v>274</v>
      </c>
      <c r="G279" s="21">
        <v>1331.336</v>
      </c>
      <c r="H279" s="21">
        <v>1695.83</v>
      </c>
      <c r="I279" s="21">
        <v>531.95799999999997</v>
      </c>
      <c r="J279" s="21">
        <v>1931.866</v>
      </c>
      <c r="K279" s="21">
        <v>679.66499999999996</v>
      </c>
      <c r="L279" s="21"/>
      <c r="M279" s="21"/>
      <c r="N279" s="21"/>
      <c r="O279" s="21"/>
      <c r="P279" s="21"/>
      <c r="Q279" s="21"/>
      <c r="R279" s="23">
        <v>100</v>
      </c>
      <c r="S279" s="23">
        <v>564</v>
      </c>
      <c r="T279" s="23">
        <v>178</v>
      </c>
      <c r="U279" s="23">
        <v>169</v>
      </c>
      <c r="V279" s="23">
        <v>541</v>
      </c>
      <c r="W279" s="23"/>
      <c r="X279" s="23"/>
      <c r="Y279" s="23"/>
      <c r="Z279" s="23"/>
      <c r="AA279" s="23"/>
      <c r="AB279" s="23"/>
      <c r="AC279" s="25">
        <v>0</v>
      </c>
      <c r="AD279" s="25">
        <v>0</v>
      </c>
      <c r="AE279" s="25">
        <v>0</v>
      </c>
      <c r="AF279" s="25">
        <v>0</v>
      </c>
      <c r="AG279" s="25">
        <v>0</v>
      </c>
      <c r="AH279" s="25"/>
      <c r="AI279" s="25"/>
      <c r="AJ279" s="25"/>
      <c r="AK279" s="25"/>
      <c r="AL279" s="25"/>
      <c r="AM279" s="25"/>
    </row>
    <row r="280" spans="1:39" ht="15" customHeight="1">
      <c r="A280" s="32" t="str">
        <f t="shared" si="13"/>
        <v>AusNet--MASTER STATION ASSETS</v>
      </c>
      <c r="B280" s="32" t="str">
        <f t="shared" si="14"/>
        <v>AusNet</v>
      </c>
      <c r="C280" s="32" t="s">
        <v>659</v>
      </c>
      <c r="D280" s="393"/>
      <c r="F280" t="s">
        <v>275</v>
      </c>
      <c r="G280" s="21">
        <v>1029.384</v>
      </c>
      <c r="H280" s="21">
        <v>201.023</v>
      </c>
      <c r="I280" s="21">
        <v>112.151</v>
      </c>
      <c r="J280" s="21">
        <v>419.024</v>
      </c>
      <c r="K280" s="21">
        <v>54.945999999999998</v>
      </c>
      <c r="L280" s="21"/>
      <c r="M280" s="21"/>
      <c r="N280" s="21"/>
      <c r="O280" s="21"/>
      <c r="P280" s="21"/>
      <c r="Q280" s="21"/>
      <c r="R280" s="23">
        <v>78</v>
      </c>
      <c r="S280" s="23">
        <v>67</v>
      </c>
      <c r="T280" s="23">
        <v>38</v>
      </c>
      <c r="U280" s="23">
        <v>37</v>
      </c>
      <c r="V280" s="23">
        <v>44</v>
      </c>
      <c r="W280" s="23"/>
      <c r="X280" s="23"/>
      <c r="Y280" s="23"/>
      <c r="Z280" s="23"/>
      <c r="AA280" s="23"/>
      <c r="AB280" s="23"/>
      <c r="AC280" s="25">
        <v>30</v>
      </c>
      <c r="AD280" s="25">
        <v>35</v>
      </c>
      <c r="AE280" s="25">
        <v>25</v>
      </c>
      <c r="AF280" s="25">
        <v>27</v>
      </c>
      <c r="AG280" s="25">
        <v>56</v>
      </c>
      <c r="AH280" s="25"/>
      <c r="AI280" s="25"/>
      <c r="AJ280" s="25"/>
      <c r="AK280" s="25"/>
      <c r="AL280" s="25"/>
      <c r="AM280" s="25"/>
    </row>
    <row r="281" spans="1:39" ht="15" customHeight="1">
      <c r="A281" s="32" t="str">
        <f t="shared" si="13"/>
        <v>AusNet--RELAYS</v>
      </c>
      <c r="B281" s="32" t="str">
        <f t="shared" si="14"/>
        <v>AusNet</v>
      </c>
      <c r="C281" s="32" t="s">
        <v>659</v>
      </c>
      <c r="D281" s="393"/>
      <c r="F281" t="s">
        <v>294</v>
      </c>
      <c r="G281" s="21">
        <v>54.9</v>
      </c>
      <c r="H281" s="21">
        <v>83.838999999999999</v>
      </c>
      <c r="I281" s="21">
        <v>174.28800000000001</v>
      </c>
      <c r="J281" s="21">
        <v>500.65300000000002</v>
      </c>
      <c r="K281" s="21">
        <v>199.46700000000001</v>
      </c>
      <c r="L281" s="21"/>
      <c r="M281" s="21"/>
      <c r="N281" s="21"/>
      <c r="O281" s="21"/>
      <c r="P281" s="21"/>
      <c r="Q281" s="21"/>
      <c r="R281" s="23">
        <v>4</v>
      </c>
      <c r="S281" s="23">
        <v>28</v>
      </c>
      <c r="T281" s="23">
        <v>58</v>
      </c>
      <c r="U281" s="23">
        <v>44</v>
      </c>
      <c r="V281" s="23">
        <v>159</v>
      </c>
      <c r="W281" s="23"/>
      <c r="X281" s="23"/>
      <c r="Y281" s="23"/>
      <c r="Z281" s="23"/>
      <c r="AA281" s="23"/>
      <c r="AB281" s="23"/>
      <c r="AC281" s="25">
        <v>9</v>
      </c>
      <c r="AD281" s="25">
        <v>14</v>
      </c>
      <c r="AE281" s="25">
        <v>4</v>
      </c>
      <c r="AF281" s="25">
        <v>3</v>
      </c>
      <c r="AG281" s="25">
        <v>6</v>
      </c>
      <c r="AH281" s="25"/>
      <c r="AI281" s="25"/>
      <c r="AJ281" s="25"/>
      <c r="AK281" s="25"/>
      <c r="AL281" s="25"/>
      <c r="AM281" s="25"/>
    </row>
    <row r="282" spans="1:39" ht="15" customHeight="1">
      <c r="A282" s="32" t="str">
        <f t="shared" si="13"/>
        <v>AusNet--BATTERIES</v>
      </c>
      <c r="B282" s="32" t="str">
        <f t="shared" si="14"/>
        <v>AusNet</v>
      </c>
      <c r="C282" s="32" t="s">
        <v>659</v>
      </c>
      <c r="D282" s="393"/>
      <c r="F282" t="s">
        <v>295</v>
      </c>
      <c r="G282" s="21">
        <v>0</v>
      </c>
      <c r="H282" s="21">
        <v>0</v>
      </c>
      <c r="I282" s="21">
        <v>0</v>
      </c>
      <c r="J282" s="21">
        <v>0</v>
      </c>
      <c r="K282" s="21">
        <v>0</v>
      </c>
      <c r="L282" s="21"/>
      <c r="M282" s="21"/>
      <c r="N282" s="21"/>
      <c r="O282" s="21"/>
      <c r="P282" s="21"/>
      <c r="Q282" s="21"/>
      <c r="R282" s="23">
        <v>0</v>
      </c>
      <c r="S282" s="23">
        <v>0</v>
      </c>
      <c r="T282" s="23">
        <v>0</v>
      </c>
      <c r="U282" s="23">
        <v>0</v>
      </c>
      <c r="V282" s="23">
        <v>0</v>
      </c>
      <c r="W282" s="23"/>
      <c r="X282" s="23"/>
      <c r="Y282" s="23"/>
      <c r="Z282" s="23"/>
      <c r="AA282" s="23"/>
      <c r="AB282" s="23"/>
      <c r="AC282" s="25">
        <v>0</v>
      </c>
      <c r="AD282" s="25">
        <v>0</v>
      </c>
      <c r="AE282" s="25">
        <v>0</v>
      </c>
      <c r="AF282" s="25">
        <v>0</v>
      </c>
      <c r="AG282" s="25">
        <v>0</v>
      </c>
      <c r="AH282" s="25"/>
      <c r="AI282" s="25"/>
      <c r="AJ282" s="25"/>
      <c r="AK282" s="25"/>
      <c r="AL282" s="25"/>
      <c r="AM282" s="25"/>
    </row>
    <row r="283" spans="1:39" ht="15" customHeight="1">
      <c r="A283" s="32" t="str">
        <f t="shared" si="13"/>
        <v>AusNet--</v>
      </c>
      <c r="B283" s="32" t="str">
        <f t="shared" si="14"/>
        <v>AusNet</v>
      </c>
      <c r="C283" s="32" t="s">
        <v>659</v>
      </c>
      <c r="D283" s="393"/>
      <c r="G283" s="21">
        <v>0</v>
      </c>
      <c r="H283" s="21">
        <v>0</v>
      </c>
      <c r="I283" s="21">
        <v>0</v>
      </c>
      <c r="J283" s="21">
        <v>0</v>
      </c>
      <c r="K283" s="21">
        <v>0</v>
      </c>
      <c r="L283" s="21"/>
      <c r="M283" s="21"/>
      <c r="N283" s="21"/>
      <c r="O283" s="21"/>
      <c r="P283" s="21"/>
      <c r="Q283" s="21"/>
      <c r="R283" s="23">
        <v>0</v>
      </c>
      <c r="S283" s="23">
        <v>0</v>
      </c>
      <c r="T283" s="23">
        <v>0</v>
      </c>
      <c r="U283" s="23">
        <v>0</v>
      </c>
      <c r="V283" s="23">
        <v>0</v>
      </c>
      <c r="W283" s="23"/>
      <c r="X283" s="23"/>
      <c r="Y283" s="23"/>
      <c r="Z283" s="23"/>
      <c r="AA283" s="23"/>
      <c r="AB283" s="23"/>
      <c r="AC283" s="25">
        <v>0</v>
      </c>
      <c r="AD283" s="25">
        <v>0</v>
      </c>
      <c r="AE283" s="25">
        <v>0</v>
      </c>
      <c r="AF283" s="25">
        <v>0</v>
      </c>
      <c r="AG283" s="25">
        <v>0</v>
      </c>
      <c r="AH283" s="25"/>
      <c r="AI283" s="25"/>
      <c r="AJ283" s="25"/>
      <c r="AK283" s="25"/>
      <c r="AL283" s="25"/>
      <c r="AM283" s="25"/>
    </row>
    <row r="284" spans="1:39" ht="30" customHeight="1">
      <c r="A284" s="32" t="str">
        <f t="shared" si="13"/>
        <v>AusNet-OTHER BY: 
DNSP DEFINED-OTHER - CAPACITIVE VOLTAGE TRANSFORMERS</v>
      </c>
      <c r="B284" s="32" t="str">
        <f t="shared" si="14"/>
        <v>AusNet</v>
      </c>
      <c r="C284" s="32" t="s">
        <v>720</v>
      </c>
      <c r="D284" s="393"/>
      <c r="E284" s="3" t="s">
        <v>567</v>
      </c>
      <c r="F284" t="s">
        <v>296</v>
      </c>
      <c r="G284" s="21">
        <v>0</v>
      </c>
      <c r="H284" s="21">
        <v>0</v>
      </c>
      <c r="I284" s="21">
        <v>0</v>
      </c>
      <c r="J284" s="21">
        <v>0</v>
      </c>
      <c r="K284" s="21">
        <v>0</v>
      </c>
      <c r="L284" s="21"/>
      <c r="M284" s="21"/>
      <c r="N284" s="21"/>
      <c r="O284" s="21"/>
      <c r="P284" s="21"/>
      <c r="Q284" s="21"/>
      <c r="R284" s="23">
        <v>0</v>
      </c>
      <c r="S284" s="23">
        <v>0</v>
      </c>
      <c r="T284" s="23">
        <v>0</v>
      </c>
      <c r="U284" s="23">
        <v>0</v>
      </c>
      <c r="V284" s="23">
        <v>0</v>
      </c>
      <c r="W284" s="23"/>
      <c r="X284" s="23"/>
      <c r="Y284" s="23"/>
      <c r="Z284" s="23"/>
      <c r="AA284" s="23"/>
      <c r="AB284" s="23"/>
      <c r="AC284" s="25"/>
      <c r="AD284" s="25">
        <v>2</v>
      </c>
      <c r="AE284" s="25">
        <v>0</v>
      </c>
      <c r="AF284" s="25">
        <v>1</v>
      </c>
      <c r="AG284" s="25">
        <v>1</v>
      </c>
      <c r="AH284" s="25"/>
      <c r="AI284" s="25"/>
      <c r="AJ284" s="25"/>
      <c r="AK284" s="25"/>
      <c r="AL284" s="25"/>
      <c r="AM284" s="25"/>
    </row>
    <row r="285" spans="1:39" ht="15" customHeight="1">
      <c r="A285" s="32" t="str">
        <f t="shared" si="13"/>
        <v>AusNet--OTHER - CAPACITOR BANK</v>
      </c>
      <c r="B285" s="32" t="str">
        <f t="shared" si="14"/>
        <v>AusNet</v>
      </c>
      <c r="C285" s="32" t="s">
        <v>720</v>
      </c>
      <c r="D285" s="393"/>
      <c r="F285" t="s">
        <v>297</v>
      </c>
      <c r="G285" s="21">
        <v>13.776999999999999</v>
      </c>
      <c r="H285" s="21">
        <v>6.9349999999999996</v>
      </c>
      <c r="I285" s="21">
        <v>0</v>
      </c>
      <c r="J285" s="21">
        <v>6.3319999999999999</v>
      </c>
      <c r="K285" s="21">
        <v>11.125</v>
      </c>
      <c r="L285" s="21"/>
      <c r="M285" s="21"/>
      <c r="N285" s="21"/>
      <c r="O285" s="21"/>
      <c r="P285" s="21"/>
      <c r="Q285" s="21"/>
      <c r="R285" s="23">
        <v>1</v>
      </c>
      <c r="S285" s="23">
        <v>1</v>
      </c>
      <c r="T285" s="23">
        <v>0</v>
      </c>
      <c r="U285" s="23">
        <v>1</v>
      </c>
      <c r="V285" s="23">
        <v>1</v>
      </c>
      <c r="W285" s="23"/>
      <c r="X285" s="23"/>
      <c r="Y285" s="23"/>
      <c r="Z285" s="23"/>
      <c r="AA285" s="23"/>
      <c r="AB285" s="23"/>
      <c r="AC285" s="25">
        <v>11</v>
      </c>
      <c r="AD285" s="25">
        <v>18</v>
      </c>
      <c r="AE285" s="25">
        <v>8</v>
      </c>
      <c r="AF285" s="25">
        <v>2</v>
      </c>
      <c r="AG285" s="25">
        <v>3</v>
      </c>
      <c r="AH285" s="25"/>
      <c r="AI285" s="25"/>
      <c r="AJ285" s="25"/>
      <c r="AK285" s="25"/>
      <c r="AL285" s="25"/>
      <c r="AM285" s="25"/>
    </row>
    <row r="286" spans="1:39" ht="15" customHeight="1">
      <c r="A286" s="32" t="str">
        <f t="shared" si="13"/>
        <v>AusNet--OTHER - CAPACITORS</v>
      </c>
      <c r="B286" s="32" t="str">
        <f t="shared" si="14"/>
        <v>AusNet</v>
      </c>
      <c r="C286" s="32" t="s">
        <v>720</v>
      </c>
      <c r="D286" s="393"/>
      <c r="F286" t="s">
        <v>298</v>
      </c>
      <c r="G286" s="21">
        <v>0</v>
      </c>
      <c r="H286" s="21">
        <v>0</v>
      </c>
      <c r="I286" s="21">
        <v>0</v>
      </c>
      <c r="J286" s="21">
        <v>0</v>
      </c>
      <c r="K286" s="21">
        <v>0</v>
      </c>
      <c r="L286" s="21"/>
      <c r="M286" s="21"/>
      <c r="N286" s="21"/>
      <c r="O286" s="21"/>
      <c r="P286" s="21"/>
      <c r="Q286" s="21"/>
      <c r="R286" s="23">
        <v>0</v>
      </c>
      <c r="S286" s="23">
        <v>0</v>
      </c>
      <c r="T286" s="23">
        <v>0</v>
      </c>
      <c r="U286" s="23">
        <v>0</v>
      </c>
      <c r="V286" s="23">
        <v>0</v>
      </c>
      <c r="W286" s="23"/>
      <c r="X286" s="23"/>
      <c r="Y286" s="23"/>
      <c r="Z286" s="23"/>
      <c r="AA286" s="23"/>
      <c r="AB286" s="23"/>
      <c r="AC286" s="25">
        <v>0</v>
      </c>
      <c r="AD286" s="25">
        <v>0</v>
      </c>
      <c r="AE286" s="25">
        <v>0</v>
      </c>
      <c r="AF286" s="25">
        <v>0</v>
      </c>
      <c r="AG286" s="25">
        <v>0</v>
      </c>
      <c r="AH286" s="25"/>
      <c r="AI286" s="25"/>
      <c r="AJ286" s="25"/>
      <c r="AK286" s="25"/>
      <c r="AL286" s="25"/>
      <c r="AM286" s="25"/>
    </row>
    <row r="287" spans="1:39" ht="15" customHeight="1">
      <c r="A287" s="32" t="str">
        <f t="shared" si="13"/>
        <v>AusNet--OTHER - CURRENT TRANSFORMERS</v>
      </c>
      <c r="B287" s="32" t="str">
        <f t="shared" si="14"/>
        <v>AusNet</v>
      </c>
      <c r="C287" s="32" t="s">
        <v>720</v>
      </c>
      <c r="D287" s="393"/>
      <c r="F287" t="s">
        <v>299</v>
      </c>
      <c r="G287" s="21">
        <v>192.881</v>
      </c>
      <c r="H287" s="21">
        <v>244.16</v>
      </c>
      <c r="I287" s="21">
        <v>242.077</v>
      </c>
      <c r="J287" s="21">
        <v>78.096000000000004</v>
      </c>
      <c r="K287" s="21">
        <v>139.05799999999999</v>
      </c>
      <c r="L287" s="21"/>
      <c r="M287" s="21"/>
      <c r="N287" s="21"/>
      <c r="O287" s="21"/>
      <c r="P287" s="21"/>
      <c r="Q287" s="21"/>
      <c r="R287" s="23">
        <v>7</v>
      </c>
      <c r="S287" s="23">
        <v>22</v>
      </c>
      <c r="T287" s="23">
        <v>11</v>
      </c>
      <c r="U287" s="23">
        <v>18</v>
      </c>
      <c r="V287" s="23">
        <v>9</v>
      </c>
      <c r="W287" s="23"/>
      <c r="X287" s="23"/>
      <c r="Y287" s="23"/>
      <c r="Z287" s="23"/>
      <c r="AA287" s="23"/>
      <c r="AB287" s="23"/>
      <c r="AC287" s="25">
        <v>6</v>
      </c>
      <c r="AD287" s="25">
        <v>20</v>
      </c>
      <c r="AE287" s="25">
        <v>5</v>
      </c>
      <c r="AF287" s="25">
        <v>4</v>
      </c>
      <c r="AG287" s="25">
        <v>6</v>
      </c>
      <c r="AH287" s="25"/>
      <c r="AI287" s="25"/>
      <c r="AJ287" s="25"/>
      <c r="AK287" s="25"/>
      <c r="AL287" s="25"/>
      <c r="AM287" s="25"/>
    </row>
    <row r="288" spans="1:39" ht="15" customHeight="1">
      <c r="A288" s="32" t="str">
        <f t="shared" si="13"/>
        <v>AusNet--OTHER - EARTHING</v>
      </c>
      <c r="B288" s="32" t="str">
        <f t="shared" si="14"/>
        <v>AusNet</v>
      </c>
      <c r="C288" s="32" t="s">
        <v>720</v>
      </c>
      <c r="D288" s="393"/>
      <c r="F288" t="s">
        <v>300</v>
      </c>
      <c r="G288" s="21">
        <v>27.553999999999998</v>
      </c>
      <c r="H288" s="21">
        <v>7.181</v>
      </c>
      <c r="I288" s="21">
        <v>11.004</v>
      </c>
      <c r="J288" s="21">
        <v>0</v>
      </c>
      <c r="K288" s="21">
        <v>5.5620000000000003</v>
      </c>
      <c r="L288" s="21"/>
      <c r="M288" s="21"/>
      <c r="N288" s="21"/>
      <c r="O288" s="21"/>
      <c r="P288" s="21"/>
      <c r="Q288" s="21"/>
      <c r="R288" s="23">
        <v>1</v>
      </c>
      <c r="S288" s="23">
        <v>1</v>
      </c>
      <c r="T288" s="23">
        <v>1</v>
      </c>
      <c r="U288" s="23">
        <v>0</v>
      </c>
      <c r="V288" s="23">
        <v>0</v>
      </c>
      <c r="W288" s="23"/>
      <c r="X288" s="23"/>
      <c r="Y288" s="23"/>
      <c r="Z288" s="23"/>
      <c r="AA288" s="23"/>
      <c r="AB288" s="23"/>
      <c r="AC288" s="25">
        <v>9</v>
      </c>
      <c r="AD288" s="25">
        <v>9</v>
      </c>
      <c r="AE288" s="25">
        <v>2</v>
      </c>
      <c r="AF288" s="25">
        <v>1</v>
      </c>
      <c r="AG288" s="25">
        <v>0</v>
      </c>
      <c r="AH288" s="25"/>
      <c r="AI288" s="25"/>
      <c r="AJ288" s="25"/>
      <c r="AK288" s="25"/>
      <c r="AL288" s="25"/>
      <c r="AM288" s="25"/>
    </row>
    <row r="289" spans="1:39" ht="15" customHeight="1">
      <c r="A289" s="32" t="str">
        <f t="shared" si="13"/>
        <v>AusNet--OTHER - MAGNETIC VOLTAGE TRANSFORMERS</v>
      </c>
      <c r="B289" s="32" t="str">
        <f t="shared" si="14"/>
        <v>AusNet</v>
      </c>
      <c r="C289" s="32" t="s">
        <v>720</v>
      </c>
      <c r="D289" s="393"/>
      <c r="F289" t="s">
        <v>301</v>
      </c>
      <c r="G289" s="21">
        <v>206.65799999999999</v>
      </c>
      <c r="H289" s="21">
        <v>71.811999999999998</v>
      </c>
      <c r="I289" s="21">
        <v>99.031999999999996</v>
      </c>
      <c r="J289" s="21">
        <v>0</v>
      </c>
      <c r="K289" s="21">
        <v>16.687000000000001</v>
      </c>
      <c r="L289" s="21"/>
      <c r="M289" s="21"/>
      <c r="N289" s="21"/>
      <c r="O289" s="21"/>
      <c r="P289" s="21"/>
      <c r="Q289" s="21"/>
      <c r="R289" s="23">
        <v>8</v>
      </c>
      <c r="S289" s="23">
        <v>6</v>
      </c>
      <c r="T289" s="23">
        <v>5</v>
      </c>
      <c r="U289" s="23">
        <v>0</v>
      </c>
      <c r="V289" s="23">
        <v>1</v>
      </c>
      <c r="W289" s="23"/>
      <c r="X289" s="23"/>
      <c r="Y289" s="23"/>
      <c r="Z289" s="23"/>
      <c r="AA289" s="23"/>
      <c r="AB289" s="23"/>
      <c r="AC289" s="25">
        <v>1</v>
      </c>
      <c r="AD289" s="25">
        <v>0</v>
      </c>
      <c r="AE289" s="25">
        <v>0</v>
      </c>
      <c r="AF289" s="25">
        <v>2</v>
      </c>
      <c r="AG289" s="25">
        <v>2</v>
      </c>
      <c r="AH289" s="25"/>
      <c r="AI289" s="25"/>
      <c r="AJ289" s="25"/>
      <c r="AK289" s="25"/>
      <c r="AL289" s="25"/>
      <c r="AM289" s="25"/>
    </row>
    <row r="290" spans="1:39" ht="15" customHeight="1">
      <c r="A290" s="32" t="str">
        <f t="shared" si="13"/>
        <v>AusNet--OTHER - NEUTRAL EARTH RESISTORS</v>
      </c>
      <c r="B290" s="32" t="str">
        <f t="shared" si="14"/>
        <v>AusNet</v>
      </c>
      <c r="C290" s="32" t="s">
        <v>720</v>
      </c>
      <c r="D290" s="393"/>
      <c r="F290" t="s">
        <v>302</v>
      </c>
      <c r="G290" s="21">
        <v>13.776999999999999</v>
      </c>
      <c r="H290" s="21">
        <v>10.772</v>
      </c>
      <c r="I290" s="21">
        <v>0</v>
      </c>
      <c r="J290" s="21">
        <v>10.554</v>
      </c>
      <c r="K290" s="21">
        <v>33.374000000000002</v>
      </c>
      <c r="L290" s="21"/>
      <c r="M290" s="21"/>
      <c r="N290" s="21"/>
      <c r="O290" s="21"/>
      <c r="P290" s="21"/>
      <c r="Q290" s="21"/>
      <c r="R290" s="23">
        <v>1</v>
      </c>
      <c r="S290" s="23">
        <v>1</v>
      </c>
      <c r="T290" s="23">
        <v>0</v>
      </c>
      <c r="U290" s="23">
        <v>2</v>
      </c>
      <c r="V290" s="23">
        <v>2</v>
      </c>
      <c r="W290" s="23"/>
      <c r="X290" s="23"/>
      <c r="Y290" s="23"/>
      <c r="Z290" s="23"/>
      <c r="AA290" s="23"/>
      <c r="AB290" s="23"/>
      <c r="AC290" s="25">
        <v>30</v>
      </c>
      <c r="AD290" s="25">
        <v>2</v>
      </c>
      <c r="AE290" s="25">
        <v>4</v>
      </c>
      <c r="AF290" s="25">
        <v>0</v>
      </c>
      <c r="AG290" s="25">
        <v>3</v>
      </c>
      <c r="AH290" s="25"/>
      <c r="AI290" s="25"/>
      <c r="AJ290" s="25"/>
      <c r="AK290" s="25"/>
      <c r="AL290" s="25"/>
      <c r="AM290" s="25"/>
    </row>
    <row r="291" spans="1:39" ht="15" customHeight="1">
      <c r="A291" s="32" t="str">
        <f t="shared" si="13"/>
        <v>AusNet--OTHER - REGULATORS</v>
      </c>
      <c r="B291" s="32" t="str">
        <f t="shared" si="14"/>
        <v>AusNet</v>
      </c>
      <c r="C291" s="32" t="s">
        <v>720</v>
      </c>
      <c r="D291" s="393"/>
      <c r="F291" t="s">
        <v>303</v>
      </c>
      <c r="G291" s="21">
        <v>0</v>
      </c>
      <c r="H291" s="21">
        <v>43.087000000000003</v>
      </c>
      <c r="I291" s="21">
        <v>0</v>
      </c>
      <c r="J291" s="21">
        <v>12.664</v>
      </c>
      <c r="K291" s="21">
        <v>0</v>
      </c>
      <c r="L291" s="21"/>
      <c r="M291" s="21"/>
      <c r="N291" s="21"/>
      <c r="O291" s="21"/>
      <c r="P291" s="21"/>
      <c r="Q291" s="21"/>
      <c r="R291" s="23">
        <v>0</v>
      </c>
      <c r="S291" s="23">
        <v>4</v>
      </c>
      <c r="T291" s="23">
        <v>0</v>
      </c>
      <c r="U291" s="23">
        <v>3</v>
      </c>
      <c r="V291" s="23">
        <v>0</v>
      </c>
      <c r="W291" s="23"/>
      <c r="X291" s="23"/>
      <c r="Y291" s="23"/>
      <c r="Z291" s="23"/>
      <c r="AA291" s="23"/>
      <c r="AB291" s="23"/>
      <c r="AC291" s="25">
        <v>19</v>
      </c>
      <c r="AD291" s="25">
        <v>28</v>
      </c>
      <c r="AE291" s="25">
        <v>8</v>
      </c>
      <c r="AF291" s="25">
        <v>6</v>
      </c>
      <c r="AG291" s="25">
        <v>8</v>
      </c>
      <c r="AH291" s="25"/>
      <c r="AI291" s="25"/>
      <c r="AJ291" s="25"/>
      <c r="AK291" s="25"/>
      <c r="AL291" s="25"/>
      <c r="AM291" s="25"/>
    </row>
    <row r="292" spans="1:39" ht="15" customHeight="1">
      <c r="A292" s="32" t="str">
        <f t="shared" si="13"/>
        <v>AusNet--OTHER - STATION SUPPLIES TRANSFORMERS</v>
      </c>
      <c r="B292" s="32" t="str">
        <f t="shared" si="14"/>
        <v>AusNet</v>
      </c>
      <c r="C292" s="32" t="s">
        <v>720</v>
      </c>
      <c r="D292" s="393"/>
      <c r="F292" t="s">
        <v>304</v>
      </c>
      <c r="G292" s="21">
        <v>41.332000000000001</v>
      </c>
      <c r="H292" s="21">
        <v>21.544</v>
      </c>
      <c r="I292" s="21">
        <v>33.011000000000003</v>
      </c>
      <c r="J292" s="21">
        <v>4.2210000000000001</v>
      </c>
      <c r="K292" s="21">
        <v>5.5620000000000003</v>
      </c>
      <c r="L292" s="21"/>
      <c r="M292" s="21"/>
      <c r="N292" s="21"/>
      <c r="O292" s="21"/>
      <c r="P292" s="21"/>
      <c r="Q292" s="21"/>
      <c r="R292" s="23">
        <v>2</v>
      </c>
      <c r="S292" s="23">
        <v>2</v>
      </c>
      <c r="T292" s="23">
        <v>2</v>
      </c>
      <c r="U292" s="23">
        <v>1</v>
      </c>
      <c r="V292" s="23">
        <v>0</v>
      </c>
      <c r="W292" s="23"/>
      <c r="X292" s="23"/>
      <c r="Y292" s="23"/>
      <c r="Z292" s="23"/>
      <c r="AA292" s="23"/>
      <c r="AB292" s="23"/>
      <c r="AC292" s="25">
        <v>0</v>
      </c>
      <c r="AD292" s="25">
        <v>0</v>
      </c>
      <c r="AE292" s="25">
        <v>0</v>
      </c>
      <c r="AF292" s="25">
        <v>0</v>
      </c>
      <c r="AG292" s="25">
        <v>1</v>
      </c>
      <c r="AH292" s="25"/>
      <c r="AI292" s="25"/>
      <c r="AJ292" s="25"/>
      <c r="AK292" s="25"/>
      <c r="AL292" s="25"/>
      <c r="AM292" s="25"/>
    </row>
    <row r="293" spans="1:39" ht="15" customHeight="1">
      <c r="A293" s="32" t="str">
        <f t="shared" si="13"/>
        <v>AusNet--OTHER - SURGE DIVERTERS</v>
      </c>
      <c r="B293" s="32" t="str">
        <f t="shared" si="14"/>
        <v>AusNet</v>
      </c>
      <c r="C293" s="32" t="s">
        <v>720</v>
      </c>
      <c r="D293" s="393"/>
      <c r="F293" t="s">
        <v>305</v>
      </c>
      <c r="G293" s="21">
        <v>1157.2850000000001</v>
      </c>
      <c r="H293" s="21">
        <v>129.261</v>
      </c>
      <c r="I293" s="21">
        <v>627.20000000000005</v>
      </c>
      <c r="J293" s="21">
        <v>647.98900000000003</v>
      </c>
      <c r="K293" s="21">
        <v>383.8</v>
      </c>
      <c r="L293" s="21"/>
      <c r="M293" s="21"/>
      <c r="N293" s="21"/>
      <c r="O293" s="21"/>
      <c r="P293" s="21"/>
      <c r="Q293" s="21"/>
      <c r="R293" s="23">
        <v>43</v>
      </c>
      <c r="S293" s="23">
        <v>11</v>
      </c>
      <c r="T293" s="23">
        <v>29</v>
      </c>
      <c r="U293" s="23">
        <v>146</v>
      </c>
      <c r="V293" s="23">
        <v>25</v>
      </c>
      <c r="W293" s="23"/>
      <c r="X293" s="23"/>
      <c r="Y293" s="23"/>
      <c r="Z293" s="23"/>
      <c r="AA293" s="23"/>
      <c r="AB293" s="23"/>
      <c r="AC293" s="25">
        <v>7</v>
      </c>
      <c r="AD293" s="25">
        <v>2</v>
      </c>
      <c r="AE293" s="25">
        <v>5</v>
      </c>
      <c r="AF293" s="25">
        <v>15</v>
      </c>
      <c r="AG293" s="25">
        <v>11</v>
      </c>
      <c r="AH293" s="25"/>
      <c r="AI293" s="25"/>
      <c r="AJ293" s="25"/>
      <c r="AK293" s="25"/>
      <c r="AL293" s="25"/>
      <c r="AM293" s="25"/>
    </row>
    <row r="294" spans="1:39" ht="15" customHeight="1">
      <c r="A294" s="32" t="str">
        <f t="shared" si="13"/>
        <v>AusNet--OTHER - VOLTAGE TRANSFORMERS</v>
      </c>
      <c r="B294" s="32" t="str">
        <f t="shared" si="14"/>
        <v>AusNet</v>
      </c>
      <c r="C294" s="32" t="s">
        <v>720</v>
      </c>
      <c r="D294" s="393"/>
      <c r="F294" t="s">
        <v>306</v>
      </c>
      <c r="G294" s="21">
        <v>234.21199999999999</v>
      </c>
      <c r="H294" s="21">
        <v>78.992999999999995</v>
      </c>
      <c r="I294" s="21">
        <v>33.011000000000003</v>
      </c>
      <c r="J294" s="21">
        <v>18.995999999999999</v>
      </c>
      <c r="K294" s="21">
        <v>66.748000000000005</v>
      </c>
      <c r="L294" s="21"/>
      <c r="M294" s="21"/>
      <c r="N294" s="21"/>
      <c r="O294" s="21"/>
      <c r="P294" s="21"/>
      <c r="Q294" s="21"/>
      <c r="R294" s="23">
        <v>9</v>
      </c>
      <c r="S294" s="23">
        <v>7</v>
      </c>
      <c r="T294" s="23">
        <v>2</v>
      </c>
      <c r="U294" s="23">
        <v>4</v>
      </c>
      <c r="V294" s="23">
        <v>4</v>
      </c>
      <c r="W294" s="23"/>
      <c r="X294" s="23"/>
      <c r="Y294" s="23"/>
      <c r="Z294" s="23"/>
      <c r="AA294" s="23"/>
      <c r="AB294" s="23"/>
      <c r="AC294" s="25">
        <v>5</v>
      </c>
      <c r="AD294" s="25">
        <v>4</v>
      </c>
      <c r="AE294" s="25">
        <v>11</v>
      </c>
      <c r="AF294" s="25">
        <v>11</v>
      </c>
      <c r="AG294" s="25">
        <v>15</v>
      </c>
      <c r="AH294" s="25"/>
      <c r="AI294" s="25"/>
      <c r="AJ294" s="25"/>
      <c r="AK294" s="25"/>
      <c r="AL294" s="25"/>
      <c r="AM294" s="25"/>
    </row>
    <row r="295" spans="1:39" ht="15" customHeight="1">
      <c r="A295" s="32" t="str">
        <f t="shared" si="13"/>
        <v xml:space="preserve">AusNet--OTHER&lt; ≈ 11 kV ; REACTOR ; </v>
      </c>
      <c r="B295" s="32" t="str">
        <f t="shared" si="14"/>
        <v>AusNet</v>
      </c>
      <c r="C295" s="32" t="s">
        <v>720</v>
      </c>
      <c r="D295" s="393"/>
      <c r="F295" t="s">
        <v>307</v>
      </c>
      <c r="G295" s="21">
        <v>0</v>
      </c>
      <c r="H295" s="21">
        <v>0</v>
      </c>
      <c r="I295" s="21">
        <v>0</v>
      </c>
      <c r="J295" s="21">
        <v>0</v>
      </c>
      <c r="K295" s="21">
        <v>0</v>
      </c>
      <c r="L295" s="21"/>
      <c r="M295" s="21"/>
      <c r="N295" s="21"/>
      <c r="O295" s="21"/>
      <c r="P295" s="21"/>
      <c r="Q295" s="21"/>
      <c r="R295" s="23">
        <v>0</v>
      </c>
      <c r="S295" s="23">
        <v>0</v>
      </c>
      <c r="T295" s="23">
        <v>0</v>
      </c>
      <c r="U295" s="23">
        <v>0</v>
      </c>
      <c r="V295" s="23">
        <v>0</v>
      </c>
      <c r="W295" s="23"/>
      <c r="X295" s="23"/>
      <c r="Y295" s="23"/>
      <c r="Z295" s="23"/>
      <c r="AA295" s="23"/>
      <c r="AB295" s="23"/>
      <c r="AC295" s="25">
        <v>0</v>
      </c>
      <c r="AD295" s="25">
        <v>0</v>
      </c>
      <c r="AE295" s="25">
        <v>0</v>
      </c>
      <c r="AF295" s="25">
        <v>0</v>
      </c>
      <c r="AG295" s="25">
        <v>0</v>
      </c>
      <c r="AH295" s="25"/>
      <c r="AI295" s="25"/>
      <c r="AJ295" s="25"/>
      <c r="AK295" s="25"/>
      <c r="AL295" s="25"/>
      <c r="AM295" s="25"/>
    </row>
    <row r="296" spans="1:39" ht="15" customHeight="1">
      <c r="A296" s="32" t="str">
        <f t="shared" si="13"/>
        <v xml:space="preserve">AusNet--OTHER&gt; 11 kV &amp; &lt; ≈ 22 kV ; REACTOR ; </v>
      </c>
      <c r="B296" s="32" t="str">
        <f t="shared" si="14"/>
        <v>AusNet</v>
      </c>
      <c r="C296" s="32" t="s">
        <v>720</v>
      </c>
      <c r="D296" s="393"/>
      <c r="F296" t="s">
        <v>308</v>
      </c>
      <c r="G296" s="21">
        <v>41.332000000000001</v>
      </c>
      <c r="H296" s="21">
        <v>10.772</v>
      </c>
      <c r="I296" s="21">
        <v>0</v>
      </c>
      <c r="J296" s="21">
        <v>18.995999999999999</v>
      </c>
      <c r="K296" s="21">
        <v>33.374000000000002</v>
      </c>
      <c r="L296" s="21"/>
      <c r="M296" s="21"/>
      <c r="N296" s="21"/>
      <c r="O296" s="21"/>
      <c r="P296" s="21"/>
      <c r="Q296" s="21"/>
      <c r="R296" s="23">
        <v>2</v>
      </c>
      <c r="S296" s="23">
        <v>1</v>
      </c>
      <c r="T296" s="23">
        <v>0</v>
      </c>
      <c r="U296" s="23">
        <v>4</v>
      </c>
      <c r="V296" s="23">
        <v>2</v>
      </c>
      <c r="W296" s="23"/>
      <c r="X296" s="23"/>
      <c r="Y296" s="23"/>
      <c r="Z296" s="23"/>
      <c r="AA296" s="23"/>
      <c r="AB296" s="23"/>
      <c r="AC296" s="25">
        <v>7</v>
      </c>
      <c r="AD296" s="25">
        <v>1</v>
      </c>
      <c r="AE296" s="25">
        <v>1</v>
      </c>
      <c r="AF296" s="25">
        <v>0</v>
      </c>
      <c r="AG296" s="25">
        <v>0</v>
      </c>
      <c r="AH296" s="25"/>
      <c r="AI296" s="25"/>
      <c r="AJ296" s="25"/>
      <c r="AK296" s="25"/>
      <c r="AL296" s="25"/>
      <c r="AM296" s="25"/>
    </row>
    <row r="297" spans="1:39" ht="15" customHeight="1">
      <c r="A297" s="32" t="str">
        <f t="shared" si="13"/>
        <v xml:space="preserve">AusNet--OTHER&gt; 22 kV &amp; &lt; = 66 kV ; REACTOR ; </v>
      </c>
      <c r="B297" s="32" t="str">
        <f t="shared" si="14"/>
        <v>AusNet</v>
      </c>
      <c r="C297" s="32" t="s">
        <v>720</v>
      </c>
      <c r="D297" s="393"/>
      <c r="F297" t="s">
        <v>309</v>
      </c>
      <c r="G297" s="21">
        <v>0</v>
      </c>
      <c r="H297" s="21">
        <v>0</v>
      </c>
      <c r="I297" s="21">
        <v>0</v>
      </c>
      <c r="J297" s="21">
        <v>0</v>
      </c>
      <c r="K297" s="21">
        <v>0</v>
      </c>
      <c r="L297" s="21"/>
      <c r="M297" s="21"/>
      <c r="N297" s="21"/>
      <c r="O297" s="21"/>
      <c r="P297" s="21"/>
      <c r="Q297" s="21"/>
      <c r="R297" s="23">
        <v>0</v>
      </c>
      <c r="S297" s="23">
        <v>0</v>
      </c>
      <c r="T297" s="23">
        <v>0</v>
      </c>
      <c r="U297" s="23">
        <v>0</v>
      </c>
      <c r="V297" s="23">
        <v>0</v>
      </c>
      <c r="W297" s="23"/>
      <c r="X297" s="23"/>
      <c r="Y297" s="23"/>
      <c r="Z297" s="23"/>
      <c r="AA297" s="23"/>
      <c r="AB297" s="23"/>
      <c r="AC297" s="25">
        <v>0</v>
      </c>
      <c r="AD297" s="25">
        <v>0</v>
      </c>
      <c r="AE297" s="25">
        <v>0</v>
      </c>
      <c r="AF297" s="25">
        <v>0</v>
      </c>
      <c r="AG297" s="25">
        <v>0</v>
      </c>
      <c r="AH297" s="25"/>
      <c r="AI297" s="25"/>
      <c r="AJ297" s="25"/>
      <c r="AK297" s="25"/>
      <c r="AL297" s="25"/>
      <c r="AM297" s="25"/>
    </row>
    <row r="298" spans="1:39" ht="96" customHeight="1">
      <c r="A298" s="32" t="str">
        <f t="shared" si="13"/>
        <v>Essential (Original)-POLES BY: 
HIGHEST OPERATING VOLTAGE ; MATERIAL TYPE;  STAKING (IF WOOD)-STAKING OF A WOODEN POLE</v>
      </c>
      <c r="B298" s="32" t="str">
        <f t="shared" si="14"/>
        <v>Essential (Original)</v>
      </c>
      <c r="C298" s="32" t="s">
        <v>1138</v>
      </c>
      <c r="D298" s="383" t="s">
        <v>1560</v>
      </c>
      <c r="E298" s="3" t="s">
        <v>311</v>
      </c>
      <c r="F298" t="s">
        <v>117</v>
      </c>
      <c r="G298" s="21">
        <v>163.33274473019162</v>
      </c>
      <c r="H298" s="21">
        <v>2.0305083981268206</v>
      </c>
      <c r="I298" s="21">
        <v>1.3750253086670334</v>
      </c>
      <c r="J298" s="21">
        <v>7.6582616674873965</v>
      </c>
      <c r="K298" s="21">
        <v>3.8127653464520641</v>
      </c>
      <c r="L298" s="21">
        <v>948.56150421280574</v>
      </c>
      <c r="M298" s="21">
        <v>975.65446129991506</v>
      </c>
      <c r="N298" s="21">
        <v>973.86081826590419</v>
      </c>
      <c r="O298" s="21">
        <v>972.21513133794087</v>
      </c>
      <c r="P298" s="21">
        <v>970.69985628535881</v>
      </c>
      <c r="Q298" s="21">
        <v>969.30479566805741</v>
      </c>
      <c r="R298" s="23">
        <v>266</v>
      </c>
      <c r="S298" s="23">
        <v>3</v>
      </c>
      <c r="T298" s="23">
        <v>1</v>
      </c>
      <c r="U298" s="23">
        <v>7</v>
      </c>
      <c r="V298" s="23">
        <v>4</v>
      </c>
      <c r="W298" s="23">
        <v>1130</v>
      </c>
      <c r="X298" s="23">
        <v>1280</v>
      </c>
      <c r="Y298" s="23">
        <v>1280</v>
      </c>
      <c r="Z298" s="23">
        <v>1280</v>
      </c>
      <c r="AA298" s="23">
        <v>1280</v>
      </c>
      <c r="AB298" s="23">
        <v>1280</v>
      </c>
      <c r="AC298" s="25">
        <v>0</v>
      </c>
      <c r="AD298" s="25">
        <v>0</v>
      </c>
      <c r="AE298" s="25">
        <v>1</v>
      </c>
      <c r="AF298" s="25">
        <v>0</v>
      </c>
      <c r="AG298" s="25">
        <v>0</v>
      </c>
      <c r="AH298" s="25">
        <v>1</v>
      </c>
      <c r="AI298" s="25">
        <v>0</v>
      </c>
      <c r="AJ298" s="25">
        <v>0</v>
      </c>
      <c r="AK298" s="25">
        <v>1</v>
      </c>
      <c r="AL298" s="25">
        <v>0</v>
      </c>
      <c r="AM298" s="25">
        <v>1</v>
      </c>
    </row>
    <row r="299" spans="1:39" ht="15" customHeight="1">
      <c r="A299" s="32" t="str">
        <f t="shared" si="13"/>
        <v>Essential (Original)--˂ = 1 KV; WOOD</v>
      </c>
      <c r="B299" s="32" t="str">
        <f t="shared" si="14"/>
        <v>Essential (Original)</v>
      </c>
      <c r="C299" s="32" t="s">
        <v>1</v>
      </c>
      <c r="D299" s="384"/>
      <c r="F299" t="s">
        <v>312</v>
      </c>
      <c r="G299" s="21">
        <v>4920.4501044032668</v>
      </c>
      <c r="H299" s="21">
        <v>5337.9809666311749</v>
      </c>
      <c r="I299" s="21">
        <v>9863.5148808381873</v>
      </c>
      <c r="J299" s="21">
        <v>9576.4738756294773</v>
      </c>
      <c r="K299" s="21">
        <v>9538.2679750409134</v>
      </c>
      <c r="L299" s="21">
        <v>8475.2467542051254</v>
      </c>
      <c r="M299" s="21">
        <v>6944.7361440206032</v>
      </c>
      <c r="N299" s="21">
        <v>7333.3785040956045</v>
      </c>
      <c r="O299" s="21">
        <v>7731.0564446884255</v>
      </c>
      <c r="P299" s="21">
        <v>8138.6103629420159</v>
      </c>
      <c r="Q299" s="21">
        <v>8553.532332000741</v>
      </c>
      <c r="R299" s="23">
        <v>1202</v>
      </c>
      <c r="S299" s="23">
        <v>1183</v>
      </c>
      <c r="T299" s="23">
        <v>1076</v>
      </c>
      <c r="U299" s="23">
        <v>1313</v>
      </c>
      <c r="V299" s="23">
        <v>1501</v>
      </c>
      <c r="W299" s="23">
        <v>1514.4556451612902</v>
      </c>
      <c r="X299" s="23">
        <v>1366.661448844719</v>
      </c>
      <c r="Y299" s="23">
        <v>1445.8007205726922</v>
      </c>
      <c r="Z299" s="23">
        <v>1526.7843397350034</v>
      </c>
      <c r="AA299" s="23">
        <v>1609.7799742802295</v>
      </c>
      <c r="AB299" s="23">
        <v>1694.2846203626414</v>
      </c>
      <c r="AC299" s="25">
        <v>14.860217757599132</v>
      </c>
      <c r="AD299" s="25">
        <v>30.82675354846636</v>
      </c>
      <c r="AE299" s="25">
        <v>27.357447219737242</v>
      </c>
      <c r="AF299" s="25">
        <v>26.285815554893613</v>
      </c>
      <c r="AG299" s="25">
        <v>60.351351351351354</v>
      </c>
      <c r="AH299" s="25">
        <v>66.229838709677423</v>
      </c>
      <c r="AI299" s="25">
        <v>63.290595030514389</v>
      </c>
      <c r="AJ299" s="25">
        <v>63.290595030514389</v>
      </c>
      <c r="AK299" s="25">
        <v>63.290595030514389</v>
      </c>
      <c r="AL299" s="25">
        <v>63.290595030514389</v>
      </c>
      <c r="AM299" s="25">
        <v>63.290595030514389</v>
      </c>
    </row>
    <row r="300" spans="1:39" ht="15" customHeight="1">
      <c r="A300" s="32" t="str">
        <f t="shared" si="13"/>
        <v>Essential (Original)--&gt; 1 KV &amp; &lt; = 11 KV; WOOD</v>
      </c>
      <c r="B300" s="32" t="str">
        <f t="shared" si="14"/>
        <v>Essential (Original)</v>
      </c>
      <c r="C300" s="32" t="s">
        <v>1</v>
      </c>
      <c r="D300" s="384"/>
      <c r="F300" t="s">
        <v>313</v>
      </c>
      <c r="G300" s="21">
        <v>4830.3919494141883</v>
      </c>
      <c r="H300" s="21">
        <v>6082.5007126110095</v>
      </c>
      <c r="I300" s="21">
        <v>12366.060942612188</v>
      </c>
      <c r="J300" s="21">
        <v>12311.567328303548</v>
      </c>
      <c r="K300" s="21">
        <v>9512.8495393978992</v>
      </c>
      <c r="L300" s="21">
        <v>12552.260498939369</v>
      </c>
      <c r="M300" s="21">
        <v>10285.498429045092</v>
      </c>
      <c r="N300" s="21">
        <v>10861.097026473957</v>
      </c>
      <c r="O300" s="21">
        <v>11450.07776647732</v>
      </c>
      <c r="P300" s="21">
        <v>12053.685318876223</v>
      </c>
      <c r="Q300" s="21">
        <v>12668.20531969789</v>
      </c>
      <c r="R300" s="23">
        <v>1180</v>
      </c>
      <c r="S300" s="23">
        <v>1348</v>
      </c>
      <c r="T300" s="23">
        <v>1349</v>
      </c>
      <c r="U300" s="23">
        <v>1688</v>
      </c>
      <c r="V300" s="23">
        <v>1497</v>
      </c>
      <c r="W300" s="23">
        <v>2242.983870967742</v>
      </c>
      <c r="X300" s="23">
        <v>2024.0933411461147</v>
      </c>
      <c r="Y300" s="23">
        <v>2141.3025249298184</v>
      </c>
      <c r="Z300" s="23">
        <v>2261.2432786745826</v>
      </c>
      <c r="AA300" s="23">
        <v>2384.1639269223224</v>
      </c>
      <c r="AB300" s="23">
        <v>2509.3194960472938</v>
      </c>
      <c r="AC300" s="25">
        <v>19.921860750279713</v>
      </c>
      <c r="AD300" s="25">
        <v>41.326870278309983</v>
      </c>
      <c r="AE300" s="25">
        <v>36.675859188942745</v>
      </c>
      <c r="AF300" s="25">
        <v>35.239211546838845</v>
      </c>
      <c r="AG300" s="25">
        <v>84.965517241379317</v>
      </c>
      <c r="AH300" s="25">
        <v>90.882056451612897</v>
      </c>
      <c r="AI300" s="25">
        <v>87.923786846496114</v>
      </c>
      <c r="AJ300" s="25">
        <v>87.923786846496114</v>
      </c>
      <c r="AK300" s="25">
        <v>87.923786846496114</v>
      </c>
      <c r="AL300" s="25">
        <v>87.923786846496114</v>
      </c>
      <c r="AM300" s="25">
        <v>87.923786846496114</v>
      </c>
    </row>
    <row r="301" spans="1:39" ht="15" customHeight="1">
      <c r="A301" s="32" t="str">
        <f t="shared" si="13"/>
        <v>Essential (Original)--˃ 11 KV &amp; &lt; = 22 KV; WOOD</v>
      </c>
      <c r="B301" s="32" t="str">
        <f t="shared" si="14"/>
        <v>Essential (Original)</v>
      </c>
      <c r="C301" s="32" t="s">
        <v>1</v>
      </c>
      <c r="D301" s="384"/>
      <c r="F301" t="s">
        <v>314</v>
      </c>
      <c r="G301" s="21">
        <v>3033.3224021321303</v>
      </c>
      <c r="H301" s="21">
        <v>3050.2748380749572</v>
      </c>
      <c r="I301" s="21">
        <v>6233.4480659572182</v>
      </c>
      <c r="J301" s="21">
        <v>5404.5446624839633</v>
      </c>
      <c r="K301" s="21">
        <v>6481.701088968508</v>
      </c>
      <c r="L301" s="21">
        <v>8664.6837564857051</v>
      </c>
      <c r="M301" s="21">
        <v>7099.9634825166922</v>
      </c>
      <c r="N301" s="21">
        <v>7497.2926980647007</v>
      </c>
      <c r="O301" s="21">
        <v>7903.8594555998297</v>
      </c>
      <c r="P301" s="21">
        <v>8320.5229366520907</v>
      </c>
      <c r="Q301" s="21">
        <v>8744.7191576917194</v>
      </c>
      <c r="R301" s="23">
        <v>741</v>
      </c>
      <c r="S301" s="23">
        <v>676</v>
      </c>
      <c r="T301" s="23">
        <v>680</v>
      </c>
      <c r="U301" s="23">
        <v>741</v>
      </c>
      <c r="V301" s="23">
        <v>1020</v>
      </c>
      <c r="W301" s="23">
        <v>1548.3064516129032</v>
      </c>
      <c r="X301" s="23">
        <v>1397.2087892950872</v>
      </c>
      <c r="Y301" s="23">
        <v>1478.1169660276698</v>
      </c>
      <c r="Z301" s="23">
        <v>1560.9107146756305</v>
      </c>
      <c r="AA301" s="23">
        <v>1645.7614508676397</v>
      </c>
      <c r="AB301" s="23">
        <v>1732.1549277176857</v>
      </c>
      <c r="AC301" s="25">
        <v>32.658957927951448</v>
      </c>
      <c r="AD301" s="25">
        <v>67.749319937108908</v>
      </c>
      <c r="AE301" s="25">
        <v>60.124671948946073</v>
      </c>
      <c r="AF301" s="25">
        <v>57.7694996340255</v>
      </c>
      <c r="AG301" s="25">
        <v>141.94</v>
      </c>
      <c r="AH301" s="25">
        <v>122.0888034508627</v>
      </c>
      <c r="AI301" s="25">
        <v>132.01440172543136</v>
      </c>
      <c r="AJ301" s="25">
        <v>132.01440172543136</v>
      </c>
      <c r="AK301" s="25">
        <v>132.01440172543136</v>
      </c>
      <c r="AL301" s="25">
        <v>132.01440172543136</v>
      </c>
      <c r="AM301" s="25">
        <v>132.01440172543136</v>
      </c>
    </row>
    <row r="302" spans="1:39" ht="15" customHeight="1">
      <c r="A302" s="32" t="str">
        <f t="shared" si="13"/>
        <v>Essential (Original)--&gt; 22 KV &amp; &lt; = 66 KV; WOOD</v>
      </c>
      <c r="B302" s="32" t="str">
        <f t="shared" si="14"/>
        <v>Essential (Original)</v>
      </c>
      <c r="C302" s="32" t="s">
        <v>1</v>
      </c>
      <c r="D302" s="384"/>
      <c r="F302" t="s">
        <v>315</v>
      </c>
      <c r="G302" s="21">
        <v>816.6637236509581</v>
      </c>
      <c r="H302" s="21">
        <v>1243.1223637420869</v>
      </c>
      <c r="I302" s="21">
        <v>2612.5480864673636</v>
      </c>
      <c r="J302" s="21">
        <v>2549.8364561462795</v>
      </c>
      <c r="K302" s="21">
        <v>2281.9400598515599</v>
      </c>
      <c r="L302" s="21">
        <v>2722.950997998264</v>
      </c>
      <c r="M302" s="21">
        <v>2231.2242655133246</v>
      </c>
      <c r="N302" s="21">
        <v>2356.0883707036019</v>
      </c>
      <c r="O302" s="21">
        <v>2483.8554524917326</v>
      </c>
      <c r="P302" s="21">
        <v>2614.7955160239358</v>
      </c>
      <c r="Q302" s="21">
        <v>2748.1028075407621</v>
      </c>
      <c r="R302" s="23">
        <v>105</v>
      </c>
      <c r="S302" s="23">
        <v>145</v>
      </c>
      <c r="T302" s="23">
        <v>150</v>
      </c>
      <c r="U302" s="23">
        <v>184</v>
      </c>
      <c r="V302" s="23">
        <v>189</v>
      </c>
      <c r="W302" s="23">
        <v>256.08870967741933</v>
      </c>
      <c r="X302" s="23">
        <v>231.09727123321778</v>
      </c>
      <c r="Y302" s="23">
        <v>244.47942213765637</v>
      </c>
      <c r="Z302" s="23">
        <v>258.17344520300344</v>
      </c>
      <c r="AA302" s="23">
        <v>272.20769244388714</v>
      </c>
      <c r="AB302" s="23">
        <v>286.49710781642329</v>
      </c>
      <c r="AC302" s="25">
        <v>5.8675887202787367</v>
      </c>
      <c r="AD302" s="25">
        <v>12.172009478885128</v>
      </c>
      <c r="AE302" s="25">
        <v>10.802146465186501</v>
      </c>
      <c r="AF302" s="25">
        <v>10.379010413514949</v>
      </c>
      <c r="AG302" s="25">
        <v>26.000000000000004</v>
      </c>
      <c r="AH302" s="25">
        <v>23.548387096774192</v>
      </c>
      <c r="AI302" s="25">
        <v>24.774193548387096</v>
      </c>
      <c r="AJ302" s="25">
        <v>24.774193548387096</v>
      </c>
      <c r="AK302" s="25">
        <v>24.774193548387096</v>
      </c>
      <c r="AL302" s="25">
        <v>24.774193548387096</v>
      </c>
      <c r="AM302" s="25">
        <v>24.774193548387096</v>
      </c>
    </row>
    <row r="303" spans="1:39" ht="15" customHeight="1">
      <c r="A303" s="32" t="str">
        <f t="shared" si="13"/>
        <v>Essential (Original)--&gt; 66 KV &amp; &lt; = 132 KV; WOOD</v>
      </c>
      <c r="B303" s="32" t="str">
        <f t="shared" si="14"/>
        <v>Essential (Original)</v>
      </c>
      <c r="C303" s="32" t="s">
        <v>1</v>
      </c>
      <c r="D303" s="384"/>
      <c r="F303" t="s">
        <v>316</v>
      </c>
      <c r="G303" s="21">
        <v>194.44374372641863</v>
      </c>
      <c r="H303" s="21">
        <v>120.02560753371873</v>
      </c>
      <c r="I303" s="21">
        <v>156.75288518804183</v>
      </c>
      <c r="J303" s="21">
        <v>69.289034134409775</v>
      </c>
      <c r="K303" s="21">
        <v>36.2212707912946</v>
      </c>
      <c r="L303" s="21">
        <v>563.36917199964091</v>
      </c>
      <c r="M303" s="21">
        <v>461.63260665792927</v>
      </c>
      <c r="N303" s="21">
        <v>487.46655945591772</v>
      </c>
      <c r="O303" s="21">
        <v>513.90112810173798</v>
      </c>
      <c r="P303" s="21">
        <v>540.99217572909026</v>
      </c>
      <c r="Q303" s="21">
        <v>568.57299466360598</v>
      </c>
      <c r="R303" s="23">
        <v>25</v>
      </c>
      <c r="S303" s="23">
        <v>14</v>
      </c>
      <c r="T303" s="23">
        <v>9.0000000000000018</v>
      </c>
      <c r="U303" s="23">
        <v>5</v>
      </c>
      <c r="V303" s="23">
        <v>3</v>
      </c>
      <c r="W303" s="23">
        <v>52.983870967741936</v>
      </c>
      <c r="X303" s="23">
        <v>47.81322853101058</v>
      </c>
      <c r="Y303" s="23">
        <v>50.581949407790979</v>
      </c>
      <c r="Z303" s="23">
        <v>53.4151955592421</v>
      </c>
      <c r="AA303" s="23">
        <v>56.318832919424935</v>
      </c>
      <c r="AB303" s="23">
        <v>59.275263686156542</v>
      </c>
      <c r="AC303" s="25">
        <v>0.83822696003981967</v>
      </c>
      <c r="AD303" s="25">
        <v>1.7388584969835899</v>
      </c>
      <c r="AE303" s="25">
        <v>1.5431637807409286</v>
      </c>
      <c r="AF303" s="25">
        <v>1.4827157733592782</v>
      </c>
      <c r="AG303" s="25">
        <v>5</v>
      </c>
      <c r="AH303" s="25">
        <v>0</v>
      </c>
      <c r="AI303" s="25">
        <v>2.5</v>
      </c>
      <c r="AJ303" s="25">
        <v>2.5</v>
      </c>
      <c r="AK303" s="25">
        <v>2.5</v>
      </c>
      <c r="AL303" s="25">
        <v>2.5</v>
      </c>
      <c r="AM303" s="25">
        <v>2.5</v>
      </c>
    </row>
    <row r="304" spans="1:39" ht="15" customHeight="1">
      <c r="A304" s="32" t="str">
        <f t="shared" si="13"/>
        <v>Essential (Original)--&gt; 132 KV; WOOD</v>
      </c>
      <c r="B304" s="32" t="str">
        <f t="shared" si="14"/>
        <v>Essential (Original)</v>
      </c>
      <c r="C304" s="32" t="s">
        <v>1</v>
      </c>
      <c r="D304" s="384"/>
      <c r="F304" t="s">
        <v>317</v>
      </c>
      <c r="G304" s="21">
        <v>0</v>
      </c>
      <c r="H304" s="21">
        <v>0</v>
      </c>
      <c r="I304" s="21">
        <v>0</v>
      </c>
      <c r="J304" s="21">
        <v>0</v>
      </c>
      <c r="K304" s="21">
        <v>0</v>
      </c>
      <c r="L304" s="21">
        <v>0</v>
      </c>
      <c r="M304" s="21">
        <v>0</v>
      </c>
      <c r="N304" s="21">
        <v>0</v>
      </c>
      <c r="O304" s="21">
        <v>0</v>
      </c>
      <c r="P304" s="21">
        <v>0</v>
      </c>
      <c r="Q304" s="21">
        <v>0</v>
      </c>
      <c r="R304" s="23">
        <v>0</v>
      </c>
      <c r="S304" s="23">
        <v>0</v>
      </c>
      <c r="T304" s="23">
        <v>0</v>
      </c>
      <c r="U304" s="23">
        <v>0</v>
      </c>
      <c r="V304" s="23">
        <v>0</v>
      </c>
      <c r="W304" s="23">
        <v>0</v>
      </c>
      <c r="X304" s="23">
        <v>0</v>
      </c>
      <c r="Y304" s="23">
        <v>0</v>
      </c>
      <c r="Z304" s="23">
        <v>0</v>
      </c>
      <c r="AA304" s="23">
        <v>0</v>
      </c>
      <c r="AB304" s="23">
        <v>0</v>
      </c>
      <c r="AC304" s="25">
        <v>0</v>
      </c>
      <c r="AD304" s="25">
        <v>0</v>
      </c>
      <c r="AE304" s="25">
        <v>0</v>
      </c>
      <c r="AF304" s="25">
        <v>0</v>
      </c>
      <c r="AG304" s="25">
        <v>0</v>
      </c>
      <c r="AH304" s="25">
        <v>0</v>
      </c>
      <c r="AI304" s="25">
        <v>0</v>
      </c>
      <c r="AJ304" s="25">
        <v>0</v>
      </c>
      <c r="AK304" s="25">
        <v>0</v>
      </c>
      <c r="AL304" s="25">
        <v>0</v>
      </c>
      <c r="AM304" s="25">
        <v>0</v>
      </c>
    </row>
    <row r="305" spans="1:39" ht="15" customHeight="1">
      <c r="A305" s="32" t="str">
        <f t="shared" si="13"/>
        <v>Essential (Original)--˂ = 1 KV; CONCRETE</v>
      </c>
      <c r="B305" s="32" t="str">
        <f t="shared" si="14"/>
        <v>Essential (Original)</v>
      </c>
      <c r="C305" s="32" t="s">
        <v>1</v>
      </c>
      <c r="D305" s="384"/>
      <c r="F305" t="s">
        <v>318</v>
      </c>
      <c r="G305" s="21">
        <v>839.99697289812832</v>
      </c>
      <c r="H305" s="21">
        <v>817.61804831239976</v>
      </c>
      <c r="I305" s="21">
        <v>1947.0358370725196</v>
      </c>
      <c r="J305" s="21">
        <v>1356.6063525263389</v>
      </c>
      <c r="K305" s="21">
        <v>1189.5827880930437</v>
      </c>
      <c r="L305" s="21">
        <v>405.23045705237337</v>
      </c>
      <c r="M305" s="21">
        <v>1276.8499211590065</v>
      </c>
      <c r="N305" s="21">
        <v>1348.3051869214173</v>
      </c>
      <c r="O305" s="21">
        <v>1421.4217224617655</v>
      </c>
      <c r="P305" s="21">
        <v>1496.35404207742</v>
      </c>
      <c r="Q305" s="21">
        <v>1572.6410416830017</v>
      </c>
      <c r="R305" s="23">
        <v>171</v>
      </c>
      <c r="S305" s="23">
        <v>151</v>
      </c>
      <c r="T305" s="23">
        <v>177</v>
      </c>
      <c r="U305" s="23">
        <v>155</v>
      </c>
      <c r="V305" s="23">
        <v>156</v>
      </c>
      <c r="W305" s="23">
        <v>60.342741935483879</v>
      </c>
      <c r="X305" s="23">
        <v>209.3937920534355</v>
      </c>
      <c r="Y305" s="23">
        <v>221.51915947451525</v>
      </c>
      <c r="Z305" s="23">
        <v>233.92710961091689</v>
      </c>
      <c r="AA305" s="23">
        <v>246.64333180039679</v>
      </c>
      <c r="AB305" s="23">
        <v>259.59075802968539</v>
      </c>
      <c r="AC305" s="25">
        <v>0.22153401858149827</v>
      </c>
      <c r="AD305" s="25">
        <v>0.50158645716565653</v>
      </c>
      <c r="AE305" s="25">
        <v>0.41798871430471374</v>
      </c>
      <c r="AF305" s="25">
        <v>0.40126916573252519</v>
      </c>
      <c r="AG305" s="25">
        <v>2.0810810810810811</v>
      </c>
      <c r="AH305" s="25">
        <v>2.943548387096774</v>
      </c>
      <c r="AI305" s="25">
        <v>2.5123147340889274</v>
      </c>
      <c r="AJ305" s="25">
        <v>2.5123147340889274</v>
      </c>
      <c r="AK305" s="25">
        <v>2.5123147340889274</v>
      </c>
      <c r="AL305" s="25">
        <v>2.5123147340889274</v>
      </c>
      <c r="AM305" s="25">
        <v>2.5123147340889274</v>
      </c>
    </row>
    <row r="306" spans="1:39" ht="15" customHeight="1">
      <c r="A306" s="32" t="str">
        <f t="shared" si="13"/>
        <v>Essential (Original)--&gt; 1 KV &amp; &lt; = 11 KV; CONCRETE</v>
      </c>
      <c r="B306" s="32" t="str">
        <f t="shared" si="14"/>
        <v>Essential (Original)</v>
      </c>
      <c r="C306" s="32" t="s">
        <v>1</v>
      </c>
      <c r="D306" s="384"/>
      <c r="F306" t="s">
        <v>319</v>
      </c>
      <c r="G306" s="21">
        <v>648.41871592136226</v>
      </c>
      <c r="H306" s="21">
        <v>671.42144364726869</v>
      </c>
      <c r="I306" s="21">
        <v>1507.0277382990687</v>
      </c>
      <c r="J306" s="21">
        <v>866.47760580714544</v>
      </c>
      <c r="K306" s="21">
        <v>724.42541582589206</v>
      </c>
      <c r="L306" s="21">
        <v>286.6264208419226</v>
      </c>
      <c r="M306" s="21">
        <v>903.13774911246799</v>
      </c>
      <c r="N306" s="21">
        <v>953.67927855417315</v>
      </c>
      <c r="O306" s="21">
        <v>1005.3958524729561</v>
      </c>
      <c r="P306" s="21">
        <v>1058.3967614693945</v>
      </c>
      <c r="Q306" s="21">
        <v>1112.3558587513917</v>
      </c>
      <c r="R306" s="23">
        <v>132</v>
      </c>
      <c r="S306" s="23">
        <v>124</v>
      </c>
      <c r="T306" s="23">
        <v>137</v>
      </c>
      <c r="U306" s="23">
        <v>99</v>
      </c>
      <c r="V306" s="23">
        <v>95</v>
      </c>
      <c r="W306" s="23">
        <v>42.681451612903224</v>
      </c>
      <c r="X306" s="23">
        <v>148.10780413535679</v>
      </c>
      <c r="Y306" s="23">
        <v>156.68428353075467</v>
      </c>
      <c r="Z306" s="23">
        <v>165.46063850528267</v>
      </c>
      <c r="AA306" s="23">
        <v>174.4550395661343</v>
      </c>
      <c r="AB306" s="23">
        <v>183.61297519172871</v>
      </c>
      <c r="AC306" s="25">
        <v>0.53587736464448799</v>
      </c>
      <c r="AD306" s="25">
        <v>1.2133072407045011</v>
      </c>
      <c r="AE306" s="25">
        <v>1.0110893672537509</v>
      </c>
      <c r="AF306" s="25">
        <v>0.97064579256360073</v>
      </c>
      <c r="AG306" s="25">
        <v>3.0344827586206895</v>
      </c>
      <c r="AH306" s="25">
        <v>4.783266129032258</v>
      </c>
      <c r="AI306" s="25">
        <v>3.9088744438264733</v>
      </c>
      <c r="AJ306" s="25">
        <v>3.9088744438264733</v>
      </c>
      <c r="AK306" s="25">
        <v>3.9088744438264733</v>
      </c>
      <c r="AL306" s="25">
        <v>3.9088744438264733</v>
      </c>
      <c r="AM306" s="25">
        <v>3.9088744438264733</v>
      </c>
    </row>
    <row r="307" spans="1:39" ht="15" customHeight="1">
      <c r="A307" s="32" t="str">
        <f t="shared" si="13"/>
        <v>Essential (Original)--˃ 11 KV &amp; &lt; = 22 KV; CONCRETE</v>
      </c>
      <c r="B307" s="32" t="str">
        <f t="shared" si="14"/>
        <v>Essential (Original)</v>
      </c>
      <c r="C307" s="32" t="s">
        <v>1</v>
      </c>
      <c r="D307" s="384"/>
      <c r="F307" t="s">
        <v>321</v>
      </c>
      <c r="G307" s="21">
        <v>1267.3638538462988</v>
      </c>
      <c r="H307" s="21">
        <v>1424.0632232196101</v>
      </c>
      <c r="I307" s="21">
        <v>2783.0512247420756</v>
      </c>
      <c r="J307" s="21">
        <v>1382.8632496720097</v>
      </c>
      <c r="K307" s="21">
        <v>983.69345938463221</v>
      </c>
      <c r="L307" s="21">
        <v>247.09174210510571</v>
      </c>
      <c r="M307" s="21">
        <v>778.56702509695526</v>
      </c>
      <c r="N307" s="21">
        <v>822.13730909842513</v>
      </c>
      <c r="O307" s="21">
        <v>866.72056247668615</v>
      </c>
      <c r="P307" s="21">
        <v>912.4110012667195</v>
      </c>
      <c r="Q307" s="21">
        <v>958.92746444085492</v>
      </c>
      <c r="R307" s="23">
        <v>258</v>
      </c>
      <c r="S307" s="23">
        <v>263</v>
      </c>
      <c r="T307" s="23">
        <v>253</v>
      </c>
      <c r="U307" s="23">
        <v>158</v>
      </c>
      <c r="V307" s="23">
        <v>129</v>
      </c>
      <c r="W307" s="23">
        <v>36.79435483870968</v>
      </c>
      <c r="X307" s="23">
        <v>127.67914149599727</v>
      </c>
      <c r="Y307" s="23">
        <v>135.07265821616784</v>
      </c>
      <c r="Z307" s="23">
        <v>142.63848147007127</v>
      </c>
      <c r="AA307" s="23">
        <v>150.39227548804683</v>
      </c>
      <c r="AB307" s="23">
        <v>158.28704757907647</v>
      </c>
      <c r="AC307" s="25">
        <v>1.3680683499594291</v>
      </c>
      <c r="AD307" s="25">
        <v>3.0975132451911604</v>
      </c>
      <c r="AE307" s="25">
        <v>2.5812610376592997</v>
      </c>
      <c r="AF307" s="25">
        <v>2.4780105961529277</v>
      </c>
      <c r="AG307" s="25">
        <v>9.06</v>
      </c>
      <c r="AH307" s="25">
        <v>5.9555513878469615</v>
      </c>
      <c r="AI307" s="25">
        <v>7.5077756939234819</v>
      </c>
      <c r="AJ307" s="25">
        <v>7.5077756939234819</v>
      </c>
      <c r="AK307" s="25">
        <v>7.5077756939234819</v>
      </c>
      <c r="AL307" s="25">
        <v>7.5077756939234819</v>
      </c>
      <c r="AM307" s="25">
        <v>7.5077756939234819</v>
      </c>
    </row>
    <row r="308" spans="1:39" ht="15" customHeight="1">
      <c r="A308" s="32" t="str">
        <f t="shared" si="13"/>
        <v>Essential (Original)--&gt; 22 KV &amp; &lt; = 66 KV; CONCRETE</v>
      </c>
      <c r="B308" s="32" t="str">
        <f t="shared" si="14"/>
        <v>Essential (Original)</v>
      </c>
      <c r="C308" s="32" t="s">
        <v>1</v>
      </c>
      <c r="D308" s="384"/>
      <c r="F308" t="s">
        <v>323</v>
      </c>
      <c r="G308" s="21">
        <v>387.25006645303586</v>
      </c>
      <c r="H308" s="21">
        <v>436.78491764150283</v>
      </c>
      <c r="I308" s="21">
        <v>383.17371934854668</v>
      </c>
      <c r="J308" s="21">
        <v>577.65173720476378</v>
      </c>
      <c r="K308" s="21">
        <v>475.32474652435735</v>
      </c>
      <c r="L308" s="21">
        <v>54.360183263123261</v>
      </c>
      <c r="M308" s="21">
        <v>171.28474552133014</v>
      </c>
      <c r="N308" s="21">
        <v>180.87020800165354</v>
      </c>
      <c r="O308" s="21">
        <v>190.678523744871</v>
      </c>
      <c r="P308" s="21">
        <v>200.73042027867831</v>
      </c>
      <c r="Q308" s="21">
        <v>210.9640421769881</v>
      </c>
      <c r="R308" s="23">
        <v>43</v>
      </c>
      <c r="S308" s="23">
        <v>44</v>
      </c>
      <c r="T308" s="23">
        <v>19</v>
      </c>
      <c r="U308" s="23">
        <v>36.000000000000007</v>
      </c>
      <c r="V308" s="23">
        <v>34</v>
      </c>
      <c r="W308" s="23">
        <v>4.415322580645161</v>
      </c>
      <c r="X308" s="23">
        <v>15.321496979519669</v>
      </c>
      <c r="Y308" s="23">
        <v>16.208718985940141</v>
      </c>
      <c r="Z308" s="23">
        <v>17.116617776408553</v>
      </c>
      <c r="AA308" s="23">
        <v>18.047073058565619</v>
      </c>
      <c r="AB308" s="23">
        <v>18.994445709489177</v>
      </c>
      <c r="AC308" s="25">
        <v>0.20743639921722112</v>
      </c>
      <c r="AD308" s="25">
        <v>0.4696673189823875</v>
      </c>
      <c r="AE308" s="25">
        <v>0.39138943248532287</v>
      </c>
      <c r="AF308" s="25">
        <v>0.37573385518590996</v>
      </c>
      <c r="AG308" s="25">
        <v>1</v>
      </c>
      <c r="AH308" s="25">
        <v>0</v>
      </c>
      <c r="AI308" s="25">
        <v>0.5</v>
      </c>
      <c r="AJ308" s="25">
        <v>0.5</v>
      </c>
      <c r="AK308" s="25">
        <v>0.5</v>
      </c>
      <c r="AL308" s="25">
        <v>0.5</v>
      </c>
      <c r="AM308" s="25">
        <v>0.5</v>
      </c>
    </row>
    <row r="309" spans="1:39" ht="15" customHeight="1">
      <c r="A309" s="32" t="str">
        <f t="shared" si="13"/>
        <v>Essential (Original)--&gt; 66 KV &amp; &lt; = 132 KV; CONCRETE</v>
      </c>
      <c r="B309" s="32" t="str">
        <f t="shared" si="14"/>
        <v>Essential (Original)</v>
      </c>
      <c r="C309" s="32" t="s">
        <v>1</v>
      </c>
      <c r="D309" s="384"/>
      <c r="F309" t="s">
        <v>325</v>
      </c>
      <c r="G309" s="21">
        <v>9.0058154989078094</v>
      </c>
      <c r="H309" s="21">
        <v>0</v>
      </c>
      <c r="I309" s="21">
        <v>0</v>
      </c>
      <c r="J309" s="21">
        <v>64.183526356084855</v>
      </c>
      <c r="K309" s="21">
        <v>13.980139603657568</v>
      </c>
      <c r="L309" s="21">
        <v>0</v>
      </c>
      <c r="M309" s="21">
        <v>0</v>
      </c>
      <c r="N309" s="21">
        <v>0</v>
      </c>
      <c r="O309" s="21">
        <v>0</v>
      </c>
      <c r="P309" s="21">
        <v>0</v>
      </c>
      <c r="Q309" s="21">
        <v>0</v>
      </c>
      <c r="R309" s="23">
        <v>1</v>
      </c>
      <c r="S309" s="23">
        <v>0</v>
      </c>
      <c r="T309" s="23">
        <v>0</v>
      </c>
      <c r="U309" s="23">
        <v>4</v>
      </c>
      <c r="V309" s="23">
        <v>1</v>
      </c>
      <c r="W309" s="23">
        <v>0</v>
      </c>
      <c r="X309" s="23">
        <v>0</v>
      </c>
      <c r="Y309" s="23">
        <v>0</v>
      </c>
      <c r="Z309" s="23">
        <v>0</v>
      </c>
      <c r="AA309" s="23">
        <v>0</v>
      </c>
      <c r="AB309" s="23">
        <v>0</v>
      </c>
      <c r="AC309" s="25">
        <v>0</v>
      </c>
      <c r="AD309" s="25">
        <v>0</v>
      </c>
      <c r="AE309" s="25">
        <v>0</v>
      </c>
      <c r="AF309" s="25">
        <v>0</v>
      </c>
      <c r="AG309" s="25">
        <v>0</v>
      </c>
      <c r="AH309" s="25">
        <v>0</v>
      </c>
      <c r="AI309" s="25">
        <v>0</v>
      </c>
      <c r="AJ309" s="25">
        <v>0</v>
      </c>
      <c r="AK309" s="25">
        <v>0</v>
      </c>
      <c r="AL309" s="25">
        <v>0</v>
      </c>
      <c r="AM309" s="25">
        <v>0</v>
      </c>
    </row>
    <row r="310" spans="1:39" ht="15" customHeight="1">
      <c r="A310" s="32" t="str">
        <f t="shared" si="13"/>
        <v>Essential (Original)--&gt; 132 KV; CONCRETE</v>
      </c>
      <c r="B310" s="32" t="str">
        <f t="shared" si="14"/>
        <v>Essential (Original)</v>
      </c>
      <c r="C310" s="32" t="s">
        <v>1</v>
      </c>
      <c r="D310" s="384"/>
      <c r="F310" t="s">
        <v>327</v>
      </c>
      <c r="G310" s="21">
        <v>0</v>
      </c>
      <c r="H310" s="21">
        <v>0</v>
      </c>
      <c r="I310" s="21">
        <v>0</v>
      </c>
      <c r="J310" s="21">
        <v>0</v>
      </c>
      <c r="K310" s="21">
        <v>0</v>
      </c>
      <c r="L310" s="21">
        <v>0</v>
      </c>
      <c r="M310" s="21">
        <v>0</v>
      </c>
      <c r="N310" s="21">
        <v>0</v>
      </c>
      <c r="O310" s="21">
        <v>0</v>
      </c>
      <c r="P310" s="21">
        <v>0</v>
      </c>
      <c r="Q310" s="21">
        <v>0</v>
      </c>
      <c r="R310" s="23">
        <v>0</v>
      </c>
      <c r="S310" s="23">
        <v>0</v>
      </c>
      <c r="T310" s="23">
        <v>0</v>
      </c>
      <c r="U310" s="23">
        <v>0</v>
      </c>
      <c r="V310" s="23">
        <v>0</v>
      </c>
      <c r="W310" s="23">
        <v>0</v>
      </c>
      <c r="X310" s="23">
        <v>0</v>
      </c>
      <c r="Y310" s="23">
        <v>0</v>
      </c>
      <c r="Z310" s="23">
        <v>0</v>
      </c>
      <c r="AA310" s="23">
        <v>0</v>
      </c>
      <c r="AB310" s="23">
        <v>0</v>
      </c>
      <c r="AC310" s="25">
        <v>0</v>
      </c>
      <c r="AD310" s="25">
        <v>0</v>
      </c>
      <c r="AE310" s="25">
        <v>0</v>
      </c>
      <c r="AF310" s="25">
        <v>0</v>
      </c>
      <c r="AG310" s="25">
        <v>0</v>
      </c>
      <c r="AH310" s="25">
        <v>0</v>
      </c>
      <c r="AI310" s="25">
        <v>0</v>
      </c>
      <c r="AJ310" s="25">
        <v>0</v>
      </c>
      <c r="AK310" s="25">
        <v>0</v>
      </c>
      <c r="AL310" s="25">
        <v>0</v>
      </c>
      <c r="AM310" s="25">
        <v>0</v>
      </c>
    </row>
    <row r="311" spans="1:39" ht="15" customHeight="1">
      <c r="A311" s="32" t="str">
        <f t="shared" si="13"/>
        <v>Essential (Original)--˂ = 1 KV; STEEL</v>
      </c>
      <c r="B311" s="32" t="str">
        <f t="shared" si="14"/>
        <v>Essential (Original)</v>
      </c>
      <c r="C311" s="32" t="s">
        <v>1</v>
      </c>
      <c r="D311" s="384"/>
      <c r="F311" t="s">
        <v>329</v>
      </c>
      <c r="G311" s="21">
        <v>167.01694197974481</v>
      </c>
      <c r="H311" s="21">
        <v>438.58981399539323</v>
      </c>
      <c r="I311" s="21">
        <v>583.01073087482212</v>
      </c>
      <c r="J311" s="21">
        <v>612.66093339899169</v>
      </c>
      <c r="K311" s="21">
        <v>366.0254732593981</v>
      </c>
      <c r="L311" s="21">
        <v>672.08953852588741</v>
      </c>
      <c r="M311" s="21">
        <v>1571.6081598059077</v>
      </c>
      <c r="N311" s="21">
        <v>1659.5587300901343</v>
      </c>
      <c r="O311" s="21">
        <v>1749.5540709424442</v>
      </c>
      <c r="P311" s="21">
        <v>1841.7843659752791</v>
      </c>
      <c r="Q311" s="21">
        <v>1935.6820661516747</v>
      </c>
      <c r="R311" s="23">
        <v>34</v>
      </c>
      <c r="S311" s="23">
        <v>81</v>
      </c>
      <c r="T311" s="23">
        <v>53</v>
      </c>
      <c r="U311" s="23">
        <v>70</v>
      </c>
      <c r="V311" s="23">
        <v>48</v>
      </c>
      <c r="W311" s="23">
        <v>100.08064516129032</v>
      </c>
      <c r="X311" s="23">
        <v>257.73192820121545</v>
      </c>
      <c r="Y311" s="23">
        <v>272.65641232720895</v>
      </c>
      <c r="Z311" s="23">
        <v>287.92871282054568</v>
      </c>
      <c r="AA311" s="23">
        <v>303.58044935098388</v>
      </c>
      <c r="AB311" s="23">
        <v>319.5167629092482</v>
      </c>
      <c r="AC311" s="25">
        <v>0</v>
      </c>
      <c r="AD311" s="25">
        <v>0</v>
      </c>
      <c r="AE311" s="25">
        <v>0</v>
      </c>
      <c r="AF311" s="25">
        <v>0</v>
      </c>
      <c r="AG311" s="25">
        <v>0</v>
      </c>
      <c r="AH311" s="25">
        <v>0</v>
      </c>
      <c r="AI311" s="25">
        <v>0</v>
      </c>
      <c r="AJ311" s="25">
        <v>0</v>
      </c>
      <c r="AK311" s="25">
        <v>0</v>
      </c>
      <c r="AL311" s="25">
        <v>0</v>
      </c>
      <c r="AM311" s="25">
        <v>0</v>
      </c>
    </row>
    <row r="312" spans="1:39" ht="15" customHeight="1">
      <c r="A312" s="32" t="str">
        <f t="shared" si="13"/>
        <v>Essential (Original)--&gt; 1 KV &amp; &lt; = 11 KV; STEEL</v>
      </c>
      <c r="B312" s="32" t="str">
        <f t="shared" si="14"/>
        <v>Essential (Original)</v>
      </c>
      <c r="C312" s="32" t="s">
        <v>1</v>
      </c>
      <c r="D312" s="384"/>
      <c r="F312" t="s">
        <v>331</v>
      </c>
      <c r="G312" s="21">
        <v>1075.785596869533</v>
      </c>
      <c r="H312" s="21">
        <v>1635.2360966247995</v>
      </c>
      <c r="I312" s="21">
        <v>4015.0739013077377</v>
      </c>
      <c r="J312" s="21">
        <v>4559.9478042982091</v>
      </c>
      <c r="K312" s="21">
        <v>4316.0503721837376</v>
      </c>
      <c r="L312" s="21">
        <v>859.87926252576756</v>
      </c>
      <c r="M312" s="21">
        <v>2010.7339691634404</v>
      </c>
      <c r="N312" s="21">
        <v>2123.2589634976716</v>
      </c>
      <c r="O312" s="21">
        <v>2238.4000613528324</v>
      </c>
      <c r="P312" s="21">
        <v>2356.4005858801361</v>
      </c>
      <c r="Q312" s="21">
        <v>2476.5344081646417</v>
      </c>
      <c r="R312" s="23">
        <v>219</v>
      </c>
      <c r="S312" s="23">
        <v>302</v>
      </c>
      <c r="T312" s="23">
        <v>365</v>
      </c>
      <c r="U312" s="23">
        <v>521</v>
      </c>
      <c r="V312" s="23">
        <v>566.00000000000011</v>
      </c>
      <c r="W312" s="23">
        <v>128.04435483870967</v>
      </c>
      <c r="X312" s="23">
        <v>329.74526108096677</v>
      </c>
      <c r="Y312" s="23">
        <v>348.83982165392905</v>
      </c>
      <c r="Z312" s="23">
        <v>368.37938257922741</v>
      </c>
      <c r="AA312" s="23">
        <v>388.40439843434694</v>
      </c>
      <c r="AB312" s="23">
        <v>408.79350548683215</v>
      </c>
      <c r="AC312" s="25">
        <v>0</v>
      </c>
      <c r="AD312" s="25">
        <v>0</v>
      </c>
      <c r="AE312" s="25">
        <v>0</v>
      </c>
      <c r="AF312" s="25">
        <v>0</v>
      </c>
      <c r="AG312" s="25">
        <v>0</v>
      </c>
      <c r="AH312" s="25">
        <v>0</v>
      </c>
      <c r="AI312" s="25">
        <v>0</v>
      </c>
      <c r="AJ312" s="25">
        <v>0</v>
      </c>
      <c r="AK312" s="25">
        <v>0</v>
      </c>
      <c r="AL312" s="25">
        <v>0</v>
      </c>
      <c r="AM312" s="25">
        <v>0</v>
      </c>
    </row>
    <row r="313" spans="1:39" ht="15" customHeight="1">
      <c r="A313" s="32" t="str">
        <f t="shared" si="13"/>
        <v>Essential (Original)--˃ 11 KV &amp; &lt; = 22 KV; STEEL</v>
      </c>
      <c r="B313" s="32" t="str">
        <f t="shared" si="14"/>
        <v>Essential (Original)</v>
      </c>
      <c r="C313" s="32" t="s">
        <v>1</v>
      </c>
      <c r="D313" s="384"/>
      <c r="F313" t="s">
        <v>333</v>
      </c>
      <c r="G313" s="21">
        <v>3143.8483196187258</v>
      </c>
      <c r="H313" s="21">
        <v>3698.2326291216496</v>
      </c>
      <c r="I313" s="21">
        <v>6523.1200643164066</v>
      </c>
      <c r="J313" s="21">
        <v>9951.3640182093368</v>
      </c>
      <c r="K313" s="21">
        <v>9592.9176116733906</v>
      </c>
      <c r="L313" s="21">
        <v>3044.1702627349018</v>
      </c>
      <c r="M313" s="21">
        <v>7118.4604885326407</v>
      </c>
      <c r="N313" s="21">
        <v>7516.8248362906106</v>
      </c>
      <c r="O313" s="21">
        <v>7924.4507919157759</v>
      </c>
      <c r="P313" s="21">
        <v>8342.1997752997941</v>
      </c>
      <c r="Q313" s="21">
        <v>8767.5011231575863</v>
      </c>
      <c r="R313" s="23">
        <v>640</v>
      </c>
      <c r="S313" s="23">
        <v>683</v>
      </c>
      <c r="T313" s="23">
        <v>593</v>
      </c>
      <c r="U313" s="23">
        <v>1137</v>
      </c>
      <c r="V313" s="23">
        <v>1258</v>
      </c>
      <c r="W313" s="23">
        <v>453.30645161290323</v>
      </c>
      <c r="X313" s="23">
        <v>1167.374027734917</v>
      </c>
      <c r="Y313" s="23">
        <v>1234.9731617173584</v>
      </c>
      <c r="Z313" s="23">
        <v>1304.1476992460009</v>
      </c>
      <c r="AA313" s="23">
        <v>1375.0408588250448</v>
      </c>
      <c r="AB313" s="23">
        <v>1447.2229849418889</v>
      </c>
      <c r="AC313" s="25">
        <v>0</v>
      </c>
      <c r="AD313" s="25">
        <v>0</v>
      </c>
      <c r="AE313" s="25">
        <v>0</v>
      </c>
      <c r="AF313" s="25">
        <v>0</v>
      </c>
      <c r="AG313" s="25">
        <v>0</v>
      </c>
      <c r="AH313" s="25">
        <v>0</v>
      </c>
      <c r="AI313" s="25">
        <v>0</v>
      </c>
      <c r="AJ313" s="25">
        <v>0</v>
      </c>
      <c r="AK313" s="25">
        <v>0</v>
      </c>
      <c r="AL313" s="25">
        <v>0</v>
      </c>
      <c r="AM313" s="25">
        <v>0</v>
      </c>
    </row>
    <row r="314" spans="1:39" ht="15" customHeight="1">
      <c r="A314" s="32" t="str">
        <f t="shared" si="13"/>
        <v>Essential (Original)--&gt; 22 KV &amp; &lt; = 66 KV; STEEL</v>
      </c>
      <c r="B314" s="32" t="str">
        <f t="shared" si="14"/>
        <v>Essential (Original)</v>
      </c>
      <c r="C314" s="32" t="s">
        <v>1</v>
      </c>
      <c r="D314" s="384"/>
      <c r="F314" t="s">
        <v>334</v>
      </c>
      <c r="G314" s="21">
        <v>504.3256679388374</v>
      </c>
      <c r="H314" s="21">
        <v>1548.6010716380556</v>
      </c>
      <c r="I314" s="21">
        <v>2601.5478839980274</v>
      </c>
      <c r="J314" s="21">
        <v>2021.781080216673</v>
      </c>
      <c r="K314" s="21">
        <v>2796.0279207315139</v>
      </c>
      <c r="L314" s="21">
        <v>3624.0122175415499</v>
      </c>
      <c r="M314" s="21">
        <v>8474.3577244436183</v>
      </c>
      <c r="N314" s="21">
        <v>8948.60099558406</v>
      </c>
      <c r="O314" s="21">
        <v>9433.8699903759243</v>
      </c>
      <c r="P314" s="21">
        <v>9931.1902086902319</v>
      </c>
      <c r="Q314" s="21">
        <v>10437.501337092364</v>
      </c>
      <c r="R314" s="23">
        <v>56</v>
      </c>
      <c r="S314" s="23">
        <v>156</v>
      </c>
      <c r="T314" s="23">
        <v>129</v>
      </c>
      <c r="U314" s="23">
        <v>126</v>
      </c>
      <c r="V314" s="23">
        <v>200</v>
      </c>
      <c r="W314" s="23">
        <v>294.35483870967744</v>
      </c>
      <c r="X314" s="23">
        <v>758.03508294475114</v>
      </c>
      <c r="Y314" s="23">
        <v>801.93062449179115</v>
      </c>
      <c r="Z314" s="23">
        <v>846.84915535454593</v>
      </c>
      <c r="AA314" s="23">
        <v>892.88367456171727</v>
      </c>
      <c r="AB314" s="23">
        <v>939.75518502720058</v>
      </c>
      <c r="AC314" s="25">
        <v>0</v>
      </c>
      <c r="AD314" s="25">
        <v>0</v>
      </c>
      <c r="AE314" s="25">
        <v>0</v>
      </c>
      <c r="AF314" s="25">
        <v>0</v>
      </c>
      <c r="AG314" s="25">
        <v>0</v>
      </c>
      <c r="AH314" s="25">
        <v>0</v>
      </c>
      <c r="AI314" s="25">
        <v>0</v>
      </c>
      <c r="AJ314" s="25">
        <v>0</v>
      </c>
      <c r="AK314" s="25">
        <v>0</v>
      </c>
      <c r="AL314" s="25">
        <v>0</v>
      </c>
      <c r="AM314" s="25">
        <v>0</v>
      </c>
    </row>
    <row r="315" spans="1:39" ht="15" customHeight="1">
      <c r="A315" s="32" t="str">
        <f t="shared" si="13"/>
        <v>Essential (Original)--&gt; 66 KV &amp; &lt; = 132 KV; STEEL</v>
      </c>
      <c r="B315" s="32" t="str">
        <f t="shared" si="14"/>
        <v>Essential (Original)</v>
      </c>
      <c r="C315" s="32" t="s">
        <v>1</v>
      </c>
      <c r="D315" s="384"/>
      <c r="F315" t="s">
        <v>335</v>
      </c>
      <c r="G315" s="21">
        <v>504.3256679388374</v>
      </c>
      <c r="H315" s="21">
        <v>0</v>
      </c>
      <c r="I315" s="21">
        <v>625.17817367394457</v>
      </c>
      <c r="J315" s="21">
        <v>561.60585561574237</v>
      </c>
      <c r="K315" s="21">
        <v>419.40418810972704</v>
      </c>
      <c r="L315" s="21">
        <v>36.240122175415493</v>
      </c>
      <c r="M315" s="21">
        <v>84.743577244436196</v>
      </c>
      <c r="N315" s="21">
        <v>89.486009955840586</v>
      </c>
      <c r="O315" s="21">
        <v>94.33869990375922</v>
      </c>
      <c r="P315" s="21">
        <v>99.311902086902336</v>
      </c>
      <c r="Q315" s="21">
        <v>104.37501337092363</v>
      </c>
      <c r="R315" s="23">
        <v>56</v>
      </c>
      <c r="S315" s="23">
        <v>0</v>
      </c>
      <c r="T315" s="23">
        <v>31</v>
      </c>
      <c r="U315" s="23">
        <v>35</v>
      </c>
      <c r="V315" s="23">
        <v>30</v>
      </c>
      <c r="W315" s="23">
        <v>2.943548387096774</v>
      </c>
      <c r="X315" s="23">
        <v>7.5803508294475117</v>
      </c>
      <c r="Y315" s="23">
        <v>8.0193062449179102</v>
      </c>
      <c r="Z315" s="23">
        <v>8.4684915535454586</v>
      </c>
      <c r="AA315" s="23">
        <v>8.9288367456171738</v>
      </c>
      <c r="AB315" s="23">
        <v>9.3975518502720039</v>
      </c>
      <c r="AC315" s="25">
        <v>0</v>
      </c>
      <c r="AD315" s="25">
        <v>0</v>
      </c>
      <c r="AE315" s="25">
        <v>0</v>
      </c>
      <c r="AF315" s="25">
        <v>0</v>
      </c>
      <c r="AG315" s="25">
        <v>0</v>
      </c>
      <c r="AH315" s="25">
        <v>0</v>
      </c>
      <c r="AI315" s="25">
        <v>0</v>
      </c>
      <c r="AJ315" s="25">
        <v>0</v>
      </c>
      <c r="AK315" s="25">
        <v>0</v>
      </c>
      <c r="AL315" s="25">
        <v>0</v>
      </c>
      <c r="AM315" s="25">
        <v>0</v>
      </c>
    </row>
    <row r="316" spans="1:39" ht="15" customHeight="1">
      <c r="A316" s="32" t="str">
        <f t="shared" si="13"/>
        <v>Essential (Original)--&gt; 132 KV; STEEL</v>
      </c>
      <c r="B316" s="32" t="str">
        <f t="shared" si="14"/>
        <v>Essential (Original)</v>
      </c>
      <c r="C316" s="32" t="s">
        <v>1</v>
      </c>
      <c r="D316" s="384"/>
      <c r="F316" t="s">
        <v>336</v>
      </c>
      <c r="G316" s="21">
        <v>0</v>
      </c>
      <c r="H316" s="21">
        <v>0</v>
      </c>
      <c r="I316" s="21">
        <v>0</v>
      </c>
      <c r="J316" s="21">
        <v>0</v>
      </c>
      <c r="K316" s="21">
        <v>0</v>
      </c>
      <c r="L316" s="21">
        <v>0</v>
      </c>
      <c r="M316" s="21">
        <v>0</v>
      </c>
      <c r="N316" s="21">
        <v>0</v>
      </c>
      <c r="O316" s="21">
        <v>0</v>
      </c>
      <c r="P316" s="21">
        <v>0</v>
      </c>
      <c r="Q316" s="21">
        <v>0</v>
      </c>
      <c r="R316" s="23">
        <v>0</v>
      </c>
      <c r="S316" s="23">
        <v>0</v>
      </c>
      <c r="T316" s="23">
        <v>0</v>
      </c>
      <c r="U316" s="23">
        <v>0</v>
      </c>
      <c r="V316" s="23">
        <v>0</v>
      </c>
      <c r="W316" s="23">
        <v>0</v>
      </c>
      <c r="X316" s="23">
        <v>0</v>
      </c>
      <c r="Y316" s="23">
        <v>0</v>
      </c>
      <c r="Z316" s="23">
        <v>0</v>
      </c>
      <c r="AA316" s="23">
        <v>0</v>
      </c>
      <c r="AB316" s="23">
        <v>0</v>
      </c>
      <c r="AC316" s="25">
        <v>0</v>
      </c>
      <c r="AD316" s="25">
        <v>0</v>
      </c>
      <c r="AE316" s="25">
        <v>0</v>
      </c>
      <c r="AF316" s="25">
        <v>0</v>
      </c>
      <c r="AG316" s="25">
        <v>0</v>
      </c>
      <c r="AH316" s="25">
        <v>0</v>
      </c>
      <c r="AI316" s="25">
        <v>0</v>
      </c>
      <c r="AJ316" s="25">
        <v>0</v>
      </c>
      <c r="AK316" s="25">
        <v>0</v>
      </c>
      <c r="AL316" s="25">
        <v>0</v>
      </c>
      <c r="AM316" s="25">
        <v>0</v>
      </c>
    </row>
    <row r="317" spans="1:39" ht="15" customHeight="1">
      <c r="A317" s="32" t="str">
        <f t="shared" si="13"/>
        <v>Essential (Original)--OTHER - Bollards and unknown</v>
      </c>
      <c r="B317" s="32" t="str">
        <f t="shared" si="14"/>
        <v>Essential (Original)</v>
      </c>
      <c r="C317" s="32" t="s">
        <v>1</v>
      </c>
      <c r="D317" s="384"/>
      <c r="F317" t="s">
        <v>337</v>
      </c>
      <c r="G317" s="21">
        <v>245.61314997021299</v>
      </c>
      <c r="H317" s="21">
        <v>234.63652600576594</v>
      </c>
      <c r="I317" s="21">
        <v>476.67544033790489</v>
      </c>
      <c r="J317" s="21">
        <v>459.49570004924374</v>
      </c>
      <c r="K317" s="21">
        <v>381.27653464520637</v>
      </c>
      <c r="L317" s="21">
        <v>335.77398379214361</v>
      </c>
      <c r="M317" s="21">
        <v>320.93460126268377</v>
      </c>
      <c r="N317" s="21">
        <v>338.89479129407181</v>
      </c>
      <c r="O317" s="21">
        <v>357.27253936805869</v>
      </c>
      <c r="P317" s="21">
        <v>376.10668245647224</v>
      </c>
      <c r="Q317" s="21">
        <v>395.28132263479517</v>
      </c>
      <c r="R317" s="23">
        <v>60</v>
      </c>
      <c r="S317" s="23">
        <v>52</v>
      </c>
      <c r="T317" s="23">
        <v>52</v>
      </c>
      <c r="U317" s="23">
        <v>63</v>
      </c>
      <c r="V317" s="23">
        <v>60</v>
      </c>
      <c r="W317" s="23">
        <v>60</v>
      </c>
      <c r="X317" s="23">
        <v>63.157035494243019</v>
      </c>
      <c r="Y317" s="23">
        <v>66.814270281788438</v>
      </c>
      <c r="Z317" s="23">
        <v>70.556737235992742</v>
      </c>
      <c r="AA317" s="23">
        <v>74.392184735643156</v>
      </c>
      <c r="AB317" s="23">
        <v>78.297367644378099</v>
      </c>
      <c r="AC317" s="25">
        <v>4.5264255842150263</v>
      </c>
      <c r="AD317" s="25">
        <v>9.3898358837113847</v>
      </c>
      <c r="AE317" s="25">
        <v>8.3330844160010145</v>
      </c>
      <c r="AF317" s="25">
        <v>8.0066651761401033</v>
      </c>
      <c r="AG317" s="25">
        <v>17</v>
      </c>
      <c r="AH317" s="25">
        <v>1.471774193548387</v>
      </c>
      <c r="AI317" s="25">
        <v>9.2358870967741939</v>
      </c>
      <c r="AJ317" s="25">
        <v>9.2358870967741939</v>
      </c>
      <c r="AK317" s="25">
        <v>9.2358870967741939</v>
      </c>
      <c r="AL317" s="25">
        <v>9.2358870967741939</v>
      </c>
      <c r="AM317" s="25">
        <v>9.2358870967741939</v>
      </c>
    </row>
    <row r="318" spans="1:39" ht="30" customHeight="1">
      <c r="A318" s="32" t="str">
        <f t="shared" si="13"/>
        <v>Essential (Original)-POLE TOP STRUCTURES BY: 
HIGHEST OPERATING VOLTAGE-˂ = 1 kV</v>
      </c>
      <c r="B318" s="32" t="str">
        <f t="shared" si="14"/>
        <v>Essential (Original)</v>
      </c>
      <c r="C318" s="32" t="s">
        <v>1131</v>
      </c>
      <c r="D318" s="384"/>
      <c r="E318" s="3" t="s">
        <v>660</v>
      </c>
      <c r="F318" t="s">
        <v>171</v>
      </c>
      <c r="G318" s="21">
        <v>362.00769548686651</v>
      </c>
      <c r="H318" s="21">
        <v>335.22717666189908</v>
      </c>
      <c r="I318" s="21">
        <v>228.03762985361234</v>
      </c>
      <c r="J318" s="21">
        <v>182.55507428705948</v>
      </c>
      <c r="K318" s="21">
        <v>206.11056883474072</v>
      </c>
      <c r="L318" s="21">
        <v>283.21889253114847</v>
      </c>
      <c r="M318" s="21">
        <v>224.46435096597062</v>
      </c>
      <c r="N318" s="21">
        <v>224.46435096597062</v>
      </c>
      <c r="O318" s="21">
        <v>224.46435096597062</v>
      </c>
      <c r="P318" s="21">
        <v>224.46435096597062</v>
      </c>
      <c r="Q318" s="21">
        <v>224.46435096597062</v>
      </c>
      <c r="R318" s="23">
        <v>465</v>
      </c>
      <c r="S318" s="23">
        <v>134</v>
      </c>
      <c r="T318" s="23">
        <v>22</v>
      </c>
      <c r="U318" s="23">
        <v>40</v>
      </c>
      <c r="V318" s="23">
        <v>73</v>
      </c>
      <c r="W318" s="23">
        <v>107.43951612903226</v>
      </c>
      <c r="X318" s="23">
        <v>203</v>
      </c>
      <c r="Y318" s="23">
        <v>203</v>
      </c>
      <c r="Z318" s="23">
        <v>203</v>
      </c>
      <c r="AA318" s="23">
        <v>203</v>
      </c>
      <c r="AB318" s="23">
        <v>203</v>
      </c>
      <c r="AC318" s="25">
        <v>285.00000000000006</v>
      </c>
      <c r="AD318" s="25">
        <v>358</v>
      </c>
      <c r="AE318" s="25">
        <v>273</v>
      </c>
      <c r="AF318" s="25">
        <v>310</v>
      </c>
      <c r="AG318" s="25">
        <v>279</v>
      </c>
      <c r="AH318" s="25">
        <v>300</v>
      </c>
      <c r="AI318" s="25">
        <v>290</v>
      </c>
      <c r="AJ318" s="25">
        <v>290</v>
      </c>
      <c r="AK318" s="25">
        <v>290</v>
      </c>
      <c r="AL318" s="25">
        <v>290</v>
      </c>
      <c r="AM318" s="25">
        <v>290</v>
      </c>
    </row>
    <row r="319" spans="1:39" ht="15" customHeight="1">
      <c r="A319" s="32" t="str">
        <f t="shared" si="13"/>
        <v>Essential (Original)--&gt; 1 kV &amp; &lt; = 11 kV</v>
      </c>
      <c r="B319" s="32" t="str">
        <f t="shared" si="14"/>
        <v>Essential (Original)</v>
      </c>
      <c r="C319" s="32" t="s">
        <v>1131</v>
      </c>
      <c r="D319" s="384"/>
      <c r="F319" t="s">
        <v>172</v>
      </c>
      <c r="G319" s="21">
        <v>1082.5197861816944</v>
      </c>
      <c r="H319" s="21">
        <v>566.63399637253838</v>
      </c>
      <c r="I319" s="21">
        <v>5053.1065706198187</v>
      </c>
      <c r="J319" s="21">
        <v>5620.4143496128454</v>
      </c>
      <c r="K319" s="21">
        <v>4446.9061084207751</v>
      </c>
      <c r="L319" s="21">
        <v>3951.4855074380093</v>
      </c>
      <c r="M319" s="21">
        <v>4842.895243443887</v>
      </c>
      <c r="N319" s="21">
        <v>4842.895243443887</v>
      </c>
      <c r="O319" s="21">
        <v>4842.895243443887</v>
      </c>
      <c r="P319" s="21">
        <v>4842.895243443887</v>
      </c>
      <c r="Q319" s="21">
        <v>4842.895243443887</v>
      </c>
      <c r="R319" s="23">
        <v>927</v>
      </c>
      <c r="S319" s="23">
        <v>151</v>
      </c>
      <c r="T319" s="23">
        <v>325</v>
      </c>
      <c r="U319" s="23">
        <v>821.00000000000011</v>
      </c>
      <c r="V319" s="23">
        <v>1050</v>
      </c>
      <c r="W319" s="23">
        <v>999.33467741935488</v>
      </c>
      <c r="X319" s="23">
        <v>2919.8630136986303</v>
      </c>
      <c r="Y319" s="23">
        <v>2919.8630136986303</v>
      </c>
      <c r="Z319" s="23">
        <v>2919.8630136986303</v>
      </c>
      <c r="AA319" s="23">
        <v>2919.8630136986303</v>
      </c>
      <c r="AB319" s="23">
        <v>2919.8630136986303</v>
      </c>
      <c r="AC319" s="25">
        <v>915</v>
      </c>
      <c r="AD319" s="25">
        <v>1168</v>
      </c>
      <c r="AE319" s="25">
        <v>1014</v>
      </c>
      <c r="AF319" s="25">
        <v>977</v>
      </c>
      <c r="AG319" s="25">
        <v>1123</v>
      </c>
      <c r="AH319" s="25">
        <v>972.8427419354839</v>
      </c>
      <c r="AI319" s="25">
        <v>1047.921370967742</v>
      </c>
      <c r="AJ319" s="25">
        <v>1047.921370967742</v>
      </c>
      <c r="AK319" s="25">
        <v>1047.921370967742</v>
      </c>
      <c r="AL319" s="25">
        <v>1047.921370967742</v>
      </c>
      <c r="AM319" s="25">
        <v>1047.921370967742</v>
      </c>
    </row>
    <row r="320" spans="1:39" ht="15" customHeight="1">
      <c r="A320" s="32" t="str">
        <f t="shared" si="13"/>
        <v>Essential (Original)--˃ 11 kV &amp; &lt; = 22 kV</v>
      </c>
      <c r="B320" s="32" t="str">
        <f t="shared" si="14"/>
        <v>Essential (Original)</v>
      </c>
      <c r="C320" s="32" t="s">
        <v>1131</v>
      </c>
      <c r="D320" s="384"/>
      <c r="F320" t="s">
        <v>173</v>
      </c>
      <c r="G320" s="21">
        <v>1339.428473301406</v>
      </c>
      <c r="H320" s="21">
        <v>2131.4444366861048</v>
      </c>
      <c r="I320" s="21">
        <v>761.85299064729577</v>
      </c>
      <c r="J320" s="21">
        <v>753.03968143412044</v>
      </c>
      <c r="K320" s="21">
        <v>808.91339686511253</v>
      </c>
      <c r="L320" s="21">
        <v>663.43055647707388</v>
      </c>
      <c r="M320" s="21">
        <v>880.94570618836406</v>
      </c>
      <c r="N320" s="21">
        <v>880.94570618836406</v>
      </c>
      <c r="O320" s="21">
        <v>880.94570618836406</v>
      </c>
      <c r="P320" s="21">
        <v>880.94570618836406</v>
      </c>
      <c r="Q320" s="21">
        <v>880.94570618836406</v>
      </c>
      <c r="R320" s="23">
        <v>1147</v>
      </c>
      <c r="S320" s="23">
        <v>568.00000000000011</v>
      </c>
      <c r="T320" s="23">
        <v>49</v>
      </c>
      <c r="U320" s="23">
        <v>110</v>
      </c>
      <c r="V320" s="23">
        <v>191</v>
      </c>
      <c r="W320" s="23">
        <v>167.78225806451613</v>
      </c>
      <c r="X320" s="23">
        <v>531.1369863013698</v>
      </c>
      <c r="Y320" s="23">
        <v>531.1369863013698</v>
      </c>
      <c r="Z320" s="23">
        <v>531.1369863013698</v>
      </c>
      <c r="AA320" s="23">
        <v>531.1369863013698</v>
      </c>
      <c r="AB320" s="23">
        <v>531.1369863013698</v>
      </c>
      <c r="AC320" s="25">
        <v>253</v>
      </c>
      <c r="AD320" s="25">
        <v>265</v>
      </c>
      <c r="AE320" s="25">
        <v>274</v>
      </c>
      <c r="AF320" s="25">
        <v>384</v>
      </c>
      <c r="AG320" s="25">
        <v>410.00000000000006</v>
      </c>
      <c r="AH320" s="25">
        <v>314.95967741935482</v>
      </c>
      <c r="AI320" s="25">
        <v>362.47983870967744</v>
      </c>
      <c r="AJ320" s="25">
        <v>362.47983870967744</v>
      </c>
      <c r="AK320" s="25">
        <v>362.47983870967744</v>
      </c>
      <c r="AL320" s="25">
        <v>362.47983870967744</v>
      </c>
      <c r="AM320" s="25">
        <v>362.47983870967744</v>
      </c>
    </row>
    <row r="321" spans="1:39" ht="15" customHeight="1">
      <c r="A321" s="32" t="str">
        <f t="shared" si="13"/>
        <v>Essential (Original)--&gt; 22 kV &amp; &lt; = 66 kV</v>
      </c>
      <c r="B321" s="32" t="str">
        <f t="shared" si="14"/>
        <v>Essential (Original)</v>
      </c>
      <c r="C321" s="32" t="s">
        <v>1131</v>
      </c>
      <c r="D321" s="384"/>
      <c r="F321" t="s">
        <v>174</v>
      </c>
      <c r="G321" s="21">
        <v>228.88228488847042</v>
      </c>
      <c r="H321" s="21">
        <v>195.13223716140396</v>
      </c>
      <c r="I321" s="21">
        <v>932.88121303750506</v>
      </c>
      <c r="J321" s="21">
        <v>328.59913371670712</v>
      </c>
      <c r="K321" s="21">
        <v>999.49508722600308</v>
      </c>
      <c r="L321" s="21">
        <v>861.29581016321868</v>
      </c>
      <c r="M321" s="21">
        <v>1458.9680205643072</v>
      </c>
      <c r="N321" s="21">
        <v>1458.9680205643072</v>
      </c>
      <c r="O321" s="21">
        <v>1458.9680205643072</v>
      </c>
      <c r="P321" s="21">
        <v>1458.9680205643072</v>
      </c>
      <c r="Q321" s="21">
        <v>1458.9680205643072</v>
      </c>
      <c r="R321" s="23">
        <v>98</v>
      </c>
      <c r="S321" s="23">
        <v>26.000000000000004</v>
      </c>
      <c r="T321" s="23">
        <v>30</v>
      </c>
      <c r="U321" s="23">
        <v>24</v>
      </c>
      <c r="V321" s="23">
        <v>118.00000000000001</v>
      </c>
      <c r="W321" s="23">
        <v>108.91129032258064</v>
      </c>
      <c r="X321" s="23">
        <v>439.81818181818181</v>
      </c>
      <c r="Y321" s="23">
        <v>439.81818181818181</v>
      </c>
      <c r="Z321" s="23">
        <v>439.81818181818181</v>
      </c>
      <c r="AA321" s="23">
        <v>439.81818181818181</v>
      </c>
      <c r="AB321" s="23">
        <v>439.81818181818181</v>
      </c>
      <c r="AC321" s="25">
        <v>71.000000000000014</v>
      </c>
      <c r="AD321" s="25">
        <v>197</v>
      </c>
      <c r="AE321" s="25">
        <v>84</v>
      </c>
      <c r="AF321" s="25">
        <v>74</v>
      </c>
      <c r="AG321" s="25">
        <v>92</v>
      </c>
      <c r="AH321" s="25">
        <v>126.57258064516131</v>
      </c>
      <c r="AI321" s="25">
        <v>109.28629032258064</v>
      </c>
      <c r="AJ321" s="25">
        <v>109.28629032258064</v>
      </c>
      <c r="AK321" s="25">
        <v>109.28629032258064</v>
      </c>
      <c r="AL321" s="25">
        <v>109.28629032258064</v>
      </c>
      <c r="AM321" s="25">
        <v>109.28629032258064</v>
      </c>
    </row>
    <row r="322" spans="1:39" ht="15" customHeight="1">
      <c r="A322" s="32" t="str">
        <f t="shared" si="13"/>
        <v>Essential (Original)--&gt; 66 kV &amp; &lt; = 132 kV</v>
      </c>
      <c r="B322" s="32" t="str">
        <f t="shared" si="14"/>
        <v>Essential (Original)</v>
      </c>
      <c r="C322" s="32" t="s">
        <v>1131</v>
      </c>
      <c r="D322" s="384"/>
      <c r="F322" t="s">
        <v>175</v>
      </c>
      <c r="G322" s="21">
        <v>0</v>
      </c>
      <c r="H322" s="21">
        <v>312.71191852789087</v>
      </c>
      <c r="I322" s="21">
        <v>0</v>
      </c>
      <c r="J322" s="21">
        <v>45.638768571764871</v>
      </c>
      <c r="K322" s="21">
        <v>42.351486746864531</v>
      </c>
      <c r="L322" s="21">
        <v>0</v>
      </c>
      <c r="M322" s="21">
        <v>61.820678837470638</v>
      </c>
      <c r="N322" s="21">
        <v>61.820678837470638</v>
      </c>
      <c r="O322" s="21">
        <v>61.820678837470638</v>
      </c>
      <c r="P322" s="21">
        <v>61.820678837470638</v>
      </c>
      <c r="Q322" s="21">
        <v>61.820678837470638</v>
      </c>
      <c r="R322" s="23">
        <v>0</v>
      </c>
      <c r="S322" s="23">
        <v>25</v>
      </c>
      <c r="T322" s="23">
        <v>0</v>
      </c>
      <c r="U322" s="23">
        <v>2</v>
      </c>
      <c r="V322" s="23">
        <v>3</v>
      </c>
      <c r="W322" s="23">
        <v>0</v>
      </c>
      <c r="X322" s="23">
        <v>11.181818181818182</v>
      </c>
      <c r="Y322" s="23">
        <v>11.181818181818182</v>
      </c>
      <c r="Z322" s="23">
        <v>11.181818181818182</v>
      </c>
      <c r="AA322" s="23">
        <v>11.181818181818182</v>
      </c>
      <c r="AB322" s="23">
        <v>11.181818181818182</v>
      </c>
      <c r="AC322" s="25">
        <v>1</v>
      </c>
      <c r="AD322" s="25">
        <v>0</v>
      </c>
      <c r="AE322" s="25">
        <v>4</v>
      </c>
      <c r="AF322" s="25">
        <v>7</v>
      </c>
      <c r="AG322" s="25">
        <v>1</v>
      </c>
      <c r="AH322" s="25">
        <v>1.471774193548387</v>
      </c>
      <c r="AI322" s="25">
        <v>1.2358870967741935</v>
      </c>
      <c r="AJ322" s="25">
        <v>1.2358870967741935</v>
      </c>
      <c r="AK322" s="25">
        <v>1.2358870967741935</v>
      </c>
      <c r="AL322" s="25">
        <v>1.2358870967741935</v>
      </c>
      <c r="AM322" s="25">
        <v>1.2358870967741935</v>
      </c>
    </row>
    <row r="323" spans="1:39" ht="15" customHeight="1">
      <c r="A323" s="32" t="str">
        <f t="shared" si="13"/>
        <v>Essential (Original)--&gt; 132 kV</v>
      </c>
      <c r="B323" s="32" t="str">
        <f t="shared" si="14"/>
        <v>Essential (Original)</v>
      </c>
      <c r="C323" s="32" t="s">
        <v>1131</v>
      </c>
      <c r="D323" s="384"/>
      <c r="F323" t="s">
        <v>176</v>
      </c>
      <c r="G323" s="21">
        <v>0</v>
      </c>
      <c r="H323" s="21">
        <v>0</v>
      </c>
      <c r="I323" s="21">
        <v>0</v>
      </c>
      <c r="J323" s="21">
        <v>0</v>
      </c>
      <c r="K323" s="21">
        <v>0</v>
      </c>
      <c r="L323" s="21">
        <v>0</v>
      </c>
      <c r="M323" s="21">
        <v>0</v>
      </c>
      <c r="N323" s="21">
        <v>0</v>
      </c>
      <c r="O323" s="21">
        <v>0</v>
      </c>
      <c r="P323" s="21">
        <v>0</v>
      </c>
      <c r="Q323" s="21">
        <v>0</v>
      </c>
      <c r="R323" s="23">
        <v>0</v>
      </c>
      <c r="S323" s="23">
        <v>0</v>
      </c>
      <c r="T323" s="23">
        <v>0</v>
      </c>
      <c r="U323" s="23">
        <v>0</v>
      </c>
      <c r="V323" s="23">
        <v>0</v>
      </c>
      <c r="W323" s="23">
        <v>0</v>
      </c>
      <c r="X323" s="23">
        <v>0</v>
      </c>
      <c r="Y323" s="23">
        <v>0</v>
      </c>
      <c r="Z323" s="23">
        <v>0</v>
      </c>
      <c r="AA323" s="23">
        <v>0</v>
      </c>
      <c r="AB323" s="23">
        <v>0</v>
      </c>
      <c r="AC323" s="25">
        <v>0</v>
      </c>
      <c r="AD323" s="25">
        <v>0</v>
      </c>
      <c r="AE323" s="25">
        <v>0</v>
      </c>
      <c r="AF323" s="25">
        <v>0</v>
      </c>
      <c r="AG323" s="25">
        <v>0</v>
      </c>
      <c r="AH323" s="25">
        <v>0</v>
      </c>
      <c r="AI323" s="25">
        <v>0</v>
      </c>
      <c r="AJ323" s="25">
        <v>0</v>
      </c>
      <c r="AK323" s="25">
        <v>0</v>
      </c>
      <c r="AL323" s="25">
        <v>0</v>
      </c>
      <c r="AM323" s="25">
        <v>0</v>
      </c>
    </row>
    <row r="324" spans="1:39" ht="15.75" customHeight="1" thickBot="1">
      <c r="A324" s="32" t="str">
        <f t="shared" si="13"/>
        <v>Essential (Original)--OTHER - PLEASE ADD A ROW IF NECESSARY AND NOMINATE THE CATEGORY</v>
      </c>
      <c r="B324" s="32" t="str">
        <f t="shared" si="14"/>
        <v>Essential (Original)</v>
      </c>
      <c r="C324" s="32" t="s">
        <v>1131</v>
      </c>
      <c r="D324" s="384"/>
      <c r="F324" t="s">
        <v>170</v>
      </c>
      <c r="G324" s="21">
        <v>0</v>
      </c>
      <c r="H324" s="21">
        <v>0</v>
      </c>
      <c r="I324" s="21">
        <v>0</v>
      </c>
      <c r="J324" s="21">
        <v>0</v>
      </c>
      <c r="K324" s="21">
        <v>0</v>
      </c>
      <c r="L324" s="21">
        <v>0</v>
      </c>
      <c r="M324" s="21">
        <v>0</v>
      </c>
      <c r="N324" s="21">
        <v>0</v>
      </c>
      <c r="O324" s="21">
        <v>0</v>
      </c>
      <c r="P324" s="21">
        <v>0</v>
      </c>
      <c r="Q324" s="21">
        <v>0</v>
      </c>
      <c r="R324" s="23">
        <v>0</v>
      </c>
      <c r="S324" s="23">
        <v>0</v>
      </c>
      <c r="T324" s="23">
        <v>0</v>
      </c>
      <c r="U324" s="23">
        <v>0</v>
      </c>
      <c r="V324" s="23">
        <v>0</v>
      </c>
      <c r="W324" s="23">
        <v>0</v>
      </c>
      <c r="X324" s="23">
        <v>0</v>
      </c>
      <c r="Y324" s="23">
        <v>0</v>
      </c>
      <c r="Z324" s="23">
        <v>0</v>
      </c>
      <c r="AA324" s="23">
        <v>0</v>
      </c>
      <c r="AB324" s="23">
        <v>0</v>
      </c>
      <c r="AC324" s="25">
        <v>0</v>
      </c>
      <c r="AD324" s="25">
        <v>0</v>
      </c>
      <c r="AE324" s="25">
        <v>0</v>
      </c>
      <c r="AF324" s="25">
        <v>0</v>
      </c>
      <c r="AG324" s="25">
        <v>0</v>
      </c>
      <c r="AH324" s="25">
        <v>0</v>
      </c>
      <c r="AI324" s="25">
        <v>0</v>
      </c>
      <c r="AJ324" s="25">
        <v>0</v>
      </c>
      <c r="AK324" s="25">
        <v>0</v>
      </c>
      <c r="AL324" s="25">
        <v>0</v>
      </c>
      <c r="AM324" s="25">
        <v>0</v>
      </c>
    </row>
    <row r="325" spans="1:39" ht="45" customHeight="1">
      <c r="A325" s="32" t="str">
        <f t="shared" si="13"/>
        <v>Essential (Original)-OVERHEAD CONDUCTORS BY: 
HIGHEST OPERATING VOLTAGE; NUMBER OF PHASES (AT HV)-˂ = 1 kV</v>
      </c>
      <c r="B325" s="32" t="str">
        <f t="shared" si="14"/>
        <v>Essential (Original)</v>
      </c>
      <c r="C325" s="32" t="s">
        <v>1132</v>
      </c>
      <c r="D325" s="384"/>
      <c r="E325" s="3" t="s">
        <v>538</v>
      </c>
      <c r="F325" t="s">
        <v>171</v>
      </c>
      <c r="G325" s="21">
        <v>92.24138321175279</v>
      </c>
      <c r="H325" s="21">
        <v>419.07806912325628</v>
      </c>
      <c r="I325" s="21">
        <v>1457.4044398458832</v>
      </c>
      <c r="J325" s="21">
        <v>1384.4859303818578</v>
      </c>
      <c r="K325" s="21">
        <v>1123.5309575804356</v>
      </c>
      <c r="L325" s="21">
        <v>944.48969282891028</v>
      </c>
      <c r="M325" s="21">
        <v>1299.198929585463</v>
      </c>
      <c r="N325" s="21">
        <v>1299.198929585463</v>
      </c>
      <c r="O325" s="21">
        <v>1299.198929585463</v>
      </c>
      <c r="P325" s="21">
        <v>1299.198929585463</v>
      </c>
      <c r="Q325" s="21">
        <v>1299.198929585463</v>
      </c>
      <c r="R325" s="65">
        <v>0.4</v>
      </c>
      <c r="S325" s="66">
        <v>11.9</v>
      </c>
      <c r="T325" s="66">
        <v>25.1</v>
      </c>
      <c r="U325" s="66">
        <v>24.3</v>
      </c>
      <c r="V325" s="66">
        <v>25.8</v>
      </c>
      <c r="W325" s="67">
        <v>21.193548387096776</v>
      </c>
      <c r="X325" s="23">
        <v>29</v>
      </c>
      <c r="Y325" s="23">
        <v>29</v>
      </c>
      <c r="Z325" s="23">
        <v>29</v>
      </c>
      <c r="AA325" s="23">
        <v>29</v>
      </c>
      <c r="AB325" s="23">
        <v>29</v>
      </c>
      <c r="AC325" s="25">
        <v>98</v>
      </c>
      <c r="AD325" s="25">
        <v>52.000000000000007</v>
      </c>
      <c r="AE325" s="25">
        <v>25</v>
      </c>
      <c r="AF325" s="25">
        <v>69</v>
      </c>
      <c r="AG325" s="25">
        <v>63</v>
      </c>
      <c r="AH325" s="25">
        <v>60.342741935483879</v>
      </c>
      <c r="AI325" s="25">
        <v>61.671370967741936</v>
      </c>
      <c r="AJ325" s="25">
        <v>61.671370967741936</v>
      </c>
      <c r="AK325" s="25">
        <v>61.671370967741936</v>
      </c>
      <c r="AL325" s="25">
        <v>61.671370967741936</v>
      </c>
      <c r="AM325" s="25">
        <v>61.671370967741936</v>
      </c>
    </row>
    <row r="326" spans="1:39" ht="15" customHeight="1">
      <c r="A326" s="32" t="str">
        <f t="shared" ref="A326:A389" si="15">B326&amp;"-"&amp;E326&amp;"-"&amp;F326</f>
        <v>Essential (Original)--&gt; 1 kV &amp; &lt; = 11 kV</v>
      </c>
      <c r="B326" s="32" t="str">
        <f t="shared" ref="B326:B389" si="16">IF(D326&gt;0,D326,B325)</f>
        <v>Essential (Original)</v>
      </c>
      <c r="C326" s="32" t="s">
        <v>1132</v>
      </c>
      <c r="D326" s="384"/>
      <c r="F326" t="s">
        <v>172</v>
      </c>
      <c r="G326" s="21">
        <v>5350.0002262816615</v>
      </c>
      <c r="H326" s="21">
        <v>5222.6283740318413</v>
      </c>
      <c r="I326" s="21">
        <v>10346.990883686707</v>
      </c>
      <c r="J326" s="21">
        <v>12055.852792954778</v>
      </c>
      <c r="K326" s="21">
        <v>10111.778618223922</v>
      </c>
      <c r="L326" s="21">
        <v>7004.9652218144183</v>
      </c>
      <c r="M326" s="21">
        <v>11603.190440090859</v>
      </c>
      <c r="N326" s="21">
        <v>11603.190440090859</v>
      </c>
      <c r="O326" s="21">
        <v>11603.190440090859</v>
      </c>
      <c r="P326" s="21">
        <v>11603.190440090859</v>
      </c>
      <c r="Q326" s="21">
        <v>11603.190440090859</v>
      </c>
      <c r="R326" s="68">
        <v>23.2</v>
      </c>
      <c r="S326" s="69">
        <v>148.30000000000001</v>
      </c>
      <c r="T326" s="69">
        <v>178.2</v>
      </c>
      <c r="U326" s="69">
        <v>211.6</v>
      </c>
      <c r="V326" s="69">
        <v>232.2</v>
      </c>
      <c r="W326" s="70">
        <v>157.18548387096774</v>
      </c>
      <c r="X326" s="23">
        <v>259</v>
      </c>
      <c r="Y326" s="23">
        <v>259</v>
      </c>
      <c r="Z326" s="23">
        <v>259</v>
      </c>
      <c r="AA326" s="23">
        <v>259</v>
      </c>
      <c r="AB326" s="23">
        <v>259</v>
      </c>
      <c r="AC326" s="25">
        <v>292</v>
      </c>
      <c r="AD326" s="25">
        <v>230</v>
      </c>
      <c r="AE326" s="25">
        <v>174.00000000000003</v>
      </c>
      <c r="AF326" s="25">
        <v>188</v>
      </c>
      <c r="AG326" s="25">
        <v>170</v>
      </c>
      <c r="AH326" s="25">
        <v>164.83870967741936</v>
      </c>
      <c r="AI326" s="25">
        <v>167.41935483870969</v>
      </c>
      <c r="AJ326" s="25">
        <v>167.41935483870969</v>
      </c>
      <c r="AK326" s="25">
        <v>167.41935483870969</v>
      </c>
      <c r="AL326" s="25">
        <v>167.41935483870969</v>
      </c>
      <c r="AM326" s="25">
        <v>167.41935483870969</v>
      </c>
    </row>
    <row r="327" spans="1:39" ht="15" customHeight="1">
      <c r="A327" s="32" t="str">
        <f t="shared" si="15"/>
        <v>Essential (Original)--˃ 11 kV &amp; &lt; = 22 kV  ; SWER</v>
      </c>
      <c r="B327" s="32" t="str">
        <f t="shared" si="16"/>
        <v>Essential (Original)</v>
      </c>
      <c r="C327" s="32" t="s">
        <v>1132</v>
      </c>
      <c r="D327" s="384"/>
      <c r="F327" t="s">
        <v>177</v>
      </c>
      <c r="G327" s="21">
        <v>0</v>
      </c>
      <c r="H327" s="21">
        <v>7.0433288928278373</v>
      </c>
      <c r="I327" s="21">
        <v>0</v>
      </c>
      <c r="J327" s="21">
        <v>393.12563455287318</v>
      </c>
      <c r="K327" s="21">
        <v>230.80287113086473</v>
      </c>
      <c r="L327" s="21">
        <v>964.16656142951251</v>
      </c>
      <c r="M327" s="21">
        <v>268.79977853492335</v>
      </c>
      <c r="N327" s="21">
        <v>268.79977853492335</v>
      </c>
      <c r="O327" s="21">
        <v>268.79977853492335</v>
      </c>
      <c r="P327" s="21">
        <v>268.79977853492335</v>
      </c>
      <c r="Q327" s="21">
        <v>268.79977853492335</v>
      </c>
      <c r="R327" s="68">
        <v>0</v>
      </c>
      <c r="S327" s="69">
        <v>0.2</v>
      </c>
      <c r="T327" s="69">
        <v>0</v>
      </c>
      <c r="U327" s="69">
        <v>6.9</v>
      </c>
      <c r="V327" s="69">
        <v>5.3</v>
      </c>
      <c r="W327" s="70">
        <v>21.635080645161292</v>
      </c>
      <c r="X327" s="23">
        <v>6</v>
      </c>
      <c r="Y327" s="23">
        <v>6</v>
      </c>
      <c r="Z327" s="23">
        <v>6</v>
      </c>
      <c r="AA327" s="23">
        <v>6</v>
      </c>
      <c r="AB327" s="23">
        <v>6</v>
      </c>
      <c r="AC327" s="25">
        <v>28</v>
      </c>
      <c r="AD327" s="25">
        <v>20</v>
      </c>
      <c r="AE327" s="25">
        <v>20</v>
      </c>
      <c r="AF327" s="25">
        <v>25</v>
      </c>
      <c r="AG327" s="25">
        <v>21</v>
      </c>
      <c r="AH327" s="25">
        <v>23.548387096774192</v>
      </c>
      <c r="AI327" s="25">
        <v>22.274193548387096</v>
      </c>
      <c r="AJ327" s="25">
        <v>22.274193548387096</v>
      </c>
      <c r="AK327" s="25">
        <v>22.274193548387096</v>
      </c>
      <c r="AL327" s="25">
        <v>22.274193548387096</v>
      </c>
      <c r="AM327" s="25">
        <v>22.274193548387096</v>
      </c>
    </row>
    <row r="328" spans="1:39" ht="15" customHeight="1">
      <c r="A328" s="32" t="str">
        <f t="shared" si="15"/>
        <v>Essential (Original)--˃ 11 kV &amp; &lt; = 22 kV ; SINGLE-PHASE</v>
      </c>
      <c r="B328" s="32" t="str">
        <f t="shared" si="16"/>
        <v>Essential (Original)</v>
      </c>
      <c r="C328" s="32" t="s">
        <v>1132</v>
      </c>
      <c r="D328" s="384"/>
      <c r="F328" t="s">
        <v>178</v>
      </c>
      <c r="G328" s="21">
        <v>0</v>
      </c>
      <c r="H328" s="21">
        <v>0</v>
      </c>
      <c r="I328" s="21">
        <v>0</v>
      </c>
      <c r="J328" s="21">
        <v>0</v>
      </c>
      <c r="K328" s="21">
        <v>0</v>
      </c>
      <c r="L328" s="21">
        <v>0</v>
      </c>
      <c r="M328" s="21">
        <v>0</v>
      </c>
      <c r="N328" s="21">
        <v>0</v>
      </c>
      <c r="O328" s="21">
        <v>0</v>
      </c>
      <c r="P328" s="21">
        <v>0</v>
      </c>
      <c r="Q328" s="21">
        <v>0</v>
      </c>
      <c r="R328" s="68">
        <v>0</v>
      </c>
      <c r="S328" s="69">
        <v>0</v>
      </c>
      <c r="T328" s="69">
        <v>0</v>
      </c>
      <c r="U328" s="69">
        <v>0</v>
      </c>
      <c r="V328" s="69">
        <v>0</v>
      </c>
      <c r="W328" s="70">
        <v>0</v>
      </c>
      <c r="X328" s="23">
        <v>0</v>
      </c>
      <c r="Y328" s="23">
        <v>0</v>
      </c>
      <c r="Z328" s="23">
        <v>0</v>
      </c>
      <c r="AA328" s="23">
        <v>0</v>
      </c>
      <c r="AB328" s="23">
        <v>0</v>
      </c>
      <c r="AC328" s="25">
        <v>0</v>
      </c>
      <c r="AD328" s="25">
        <v>0</v>
      </c>
      <c r="AE328" s="25">
        <v>0</v>
      </c>
      <c r="AF328" s="25">
        <v>0</v>
      </c>
      <c r="AG328" s="25">
        <v>0</v>
      </c>
      <c r="AH328" s="25">
        <v>0</v>
      </c>
      <c r="AI328" s="25">
        <v>0</v>
      </c>
      <c r="AJ328" s="25">
        <v>0</v>
      </c>
      <c r="AK328" s="25">
        <v>0</v>
      </c>
      <c r="AL328" s="25">
        <v>0</v>
      </c>
      <c r="AM328" s="25">
        <v>0</v>
      </c>
    </row>
    <row r="329" spans="1:39" ht="15" customHeight="1">
      <c r="A329" s="32" t="str">
        <f t="shared" si="15"/>
        <v>Essential (Original)--˃ 11 kV &amp; &lt; = 22 kV ; MULTIPLE-PHASE</v>
      </c>
      <c r="B329" s="32" t="str">
        <f t="shared" si="16"/>
        <v>Essential (Original)</v>
      </c>
      <c r="C329" s="32" t="s">
        <v>1132</v>
      </c>
      <c r="D329" s="384"/>
      <c r="F329" t="s">
        <v>179</v>
      </c>
      <c r="G329" s="21">
        <v>922.41383211752782</v>
      </c>
      <c r="H329" s="21">
        <v>1820.7005187959958</v>
      </c>
      <c r="I329" s="21">
        <v>2932.2280562636292</v>
      </c>
      <c r="J329" s="21">
        <v>387.42816158833881</v>
      </c>
      <c r="K329" s="21">
        <v>2133.8378651721455</v>
      </c>
      <c r="L329" s="21">
        <v>3253.2422752995794</v>
      </c>
      <c r="M329" s="21">
        <v>2463.9979699034643</v>
      </c>
      <c r="N329" s="21">
        <v>2463.9979699034643</v>
      </c>
      <c r="O329" s="21">
        <v>2463.9979699034643</v>
      </c>
      <c r="P329" s="21">
        <v>2463.9979699034643</v>
      </c>
      <c r="Q329" s="21">
        <v>2463.9979699034643</v>
      </c>
      <c r="R329" s="68">
        <v>4</v>
      </c>
      <c r="S329" s="69">
        <v>51.7</v>
      </c>
      <c r="T329" s="69">
        <v>50.5</v>
      </c>
      <c r="U329" s="69">
        <v>6.8</v>
      </c>
      <c r="V329" s="69">
        <v>49</v>
      </c>
      <c r="W329" s="70">
        <v>73</v>
      </c>
      <c r="X329" s="23">
        <v>55</v>
      </c>
      <c r="Y329" s="23">
        <v>55</v>
      </c>
      <c r="Z329" s="23">
        <v>55</v>
      </c>
      <c r="AA329" s="23">
        <v>55</v>
      </c>
      <c r="AB329" s="23">
        <v>55</v>
      </c>
      <c r="AC329" s="25">
        <v>137</v>
      </c>
      <c r="AD329" s="25">
        <v>125</v>
      </c>
      <c r="AE329" s="25">
        <v>102.00000000000001</v>
      </c>
      <c r="AF329" s="25">
        <v>123</v>
      </c>
      <c r="AG329" s="25">
        <v>129</v>
      </c>
      <c r="AH329" s="25">
        <v>128.04435483870967</v>
      </c>
      <c r="AI329" s="25">
        <v>128.52217741935482</v>
      </c>
      <c r="AJ329" s="25">
        <v>128.52217741935482</v>
      </c>
      <c r="AK329" s="25">
        <v>128.52217741935482</v>
      </c>
      <c r="AL329" s="25">
        <v>128.52217741935482</v>
      </c>
      <c r="AM329" s="25">
        <v>128.52217741935482</v>
      </c>
    </row>
    <row r="330" spans="1:39" ht="15" customHeight="1">
      <c r="A330" s="32" t="str">
        <f t="shared" si="15"/>
        <v>Essential (Original)--&gt; 22 kV &amp; &lt; = 66 kV</v>
      </c>
      <c r="B330" s="32" t="str">
        <f t="shared" si="16"/>
        <v>Essential (Original)</v>
      </c>
      <c r="C330" s="32" t="s">
        <v>1132</v>
      </c>
      <c r="D330" s="384"/>
      <c r="F330" t="s">
        <v>174</v>
      </c>
      <c r="G330" s="21">
        <v>0</v>
      </c>
      <c r="H330" s="21">
        <v>11.269326228524539</v>
      </c>
      <c r="I330" s="21">
        <v>0</v>
      </c>
      <c r="J330" s="21">
        <v>419.33401018973143</v>
      </c>
      <c r="K330" s="21">
        <v>118.44977537282112</v>
      </c>
      <c r="L330" s="21">
        <v>0</v>
      </c>
      <c r="M330" s="21">
        <v>143.35988188529245</v>
      </c>
      <c r="N330" s="21">
        <v>143.35988188529245</v>
      </c>
      <c r="O330" s="21">
        <v>143.35988188529245</v>
      </c>
      <c r="P330" s="21">
        <v>143.35988188529245</v>
      </c>
      <c r="Q330" s="21">
        <v>143.35988188529245</v>
      </c>
      <c r="R330" s="68">
        <v>0</v>
      </c>
      <c r="S330" s="69">
        <v>0.2</v>
      </c>
      <c r="T330" s="69">
        <v>0</v>
      </c>
      <c r="U330" s="69">
        <v>4.5999999999999996</v>
      </c>
      <c r="V330" s="69">
        <v>1.7</v>
      </c>
      <c r="W330" s="70">
        <v>0</v>
      </c>
      <c r="X330" s="23">
        <v>2</v>
      </c>
      <c r="Y330" s="23">
        <v>2</v>
      </c>
      <c r="Z330" s="23">
        <v>2</v>
      </c>
      <c r="AA330" s="23">
        <v>2</v>
      </c>
      <c r="AB330" s="23">
        <v>2</v>
      </c>
      <c r="AC330" s="25">
        <v>27</v>
      </c>
      <c r="AD330" s="25">
        <v>33</v>
      </c>
      <c r="AE330" s="25">
        <v>10</v>
      </c>
      <c r="AF330" s="25">
        <v>17</v>
      </c>
      <c r="AG330" s="25">
        <v>25</v>
      </c>
      <c r="AH330" s="25">
        <v>23.548387096774192</v>
      </c>
      <c r="AI330" s="25">
        <v>24.274193548387096</v>
      </c>
      <c r="AJ330" s="25">
        <v>24.274193548387096</v>
      </c>
      <c r="AK330" s="25">
        <v>24.274193548387096</v>
      </c>
      <c r="AL330" s="25">
        <v>24.274193548387096</v>
      </c>
      <c r="AM330" s="25">
        <v>24.274193548387096</v>
      </c>
    </row>
    <row r="331" spans="1:39" ht="15.75" customHeight="1" thickBot="1">
      <c r="A331" s="32" t="str">
        <f t="shared" si="15"/>
        <v>Essential (Original)--&gt; 66 kV &amp; &lt; = 132 kV</v>
      </c>
      <c r="B331" s="32" t="str">
        <f t="shared" si="16"/>
        <v>Essential (Original)</v>
      </c>
      <c r="C331" s="32" t="s">
        <v>1132</v>
      </c>
      <c r="D331" s="384"/>
      <c r="F331" t="s">
        <v>175</v>
      </c>
      <c r="G331" s="21">
        <v>0</v>
      </c>
      <c r="H331" s="21">
        <v>0</v>
      </c>
      <c r="I331" s="21">
        <v>0</v>
      </c>
      <c r="J331" s="21">
        <v>0</v>
      </c>
      <c r="K331" s="21">
        <v>20.902901536380202</v>
      </c>
      <c r="L331" s="21">
        <v>0</v>
      </c>
      <c r="M331" s="21">
        <v>0</v>
      </c>
      <c r="N331" s="21">
        <v>0</v>
      </c>
      <c r="O331" s="21">
        <v>0</v>
      </c>
      <c r="P331" s="21">
        <v>0</v>
      </c>
      <c r="Q331" s="21">
        <v>0</v>
      </c>
      <c r="R331" s="71">
        <v>0</v>
      </c>
      <c r="S331" s="72">
        <v>0</v>
      </c>
      <c r="T331" s="72">
        <v>0</v>
      </c>
      <c r="U331" s="72">
        <v>0</v>
      </c>
      <c r="V331" s="72">
        <v>0.3</v>
      </c>
      <c r="W331" s="73">
        <v>0</v>
      </c>
      <c r="X331" s="23">
        <v>0</v>
      </c>
      <c r="Y331" s="23">
        <v>0</v>
      </c>
      <c r="Z331" s="23">
        <v>0</v>
      </c>
      <c r="AA331" s="23">
        <v>0</v>
      </c>
      <c r="AB331" s="23">
        <v>0</v>
      </c>
      <c r="AC331" s="25">
        <v>1</v>
      </c>
      <c r="AD331" s="25">
        <v>1</v>
      </c>
      <c r="AE331" s="25">
        <v>0</v>
      </c>
      <c r="AF331" s="25">
        <v>0</v>
      </c>
      <c r="AG331" s="25">
        <v>0</v>
      </c>
      <c r="AH331" s="25">
        <v>0</v>
      </c>
      <c r="AI331" s="25">
        <v>0</v>
      </c>
      <c r="AJ331" s="25">
        <v>0</v>
      </c>
      <c r="AK331" s="25">
        <v>0</v>
      </c>
      <c r="AL331" s="25">
        <v>0</v>
      </c>
      <c r="AM331" s="25">
        <v>0</v>
      </c>
    </row>
    <row r="332" spans="1:39" ht="15" customHeight="1">
      <c r="A332" s="32" t="str">
        <f t="shared" si="15"/>
        <v>Essential (Original)--&gt; 132 kV</v>
      </c>
      <c r="B332" s="32" t="str">
        <f t="shared" si="16"/>
        <v>Essential (Original)</v>
      </c>
      <c r="C332" s="32" t="s">
        <v>1132</v>
      </c>
      <c r="D332" s="384"/>
      <c r="F332" t="s">
        <v>176</v>
      </c>
      <c r="G332" s="21">
        <v>0</v>
      </c>
      <c r="H332" s="21">
        <v>0</v>
      </c>
      <c r="I332" s="21">
        <v>0</v>
      </c>
      <c r="J332" s="21">
        <v>0</v>
      </c>
      <c r="K332" s="21">
        <v>0</v>
      </c>
      <c r="L332" s="21">
        <v>0</v>
      </c>
      <c r="M332" s="21">
        <v>0</v>
      </c>
      <c r="N332" s="21">
        <v>0</v>
      </c>
      <c r="O332" s="21">
        <v>0</v>
      </c>
      <c r="P332" s="21">
        <v>0</v>
      </c>
      <c r="Q332" s="21">
        <v>0</v>
      </c>
      <c r="R332" s="23">
        <v>0</v>
      </c>
      <c r="S332" s="23">
        <v>0</v>
      </c>
      <c r="T332" s="23">
        <v>0</v>
      </c>
      <c r="U332" s="23">
        <v>0</v>
      </c>
      <c r="V332" s="23">
        <v>0</v>
      </c>
      <c r="W332" s="23">
        <v>0</v>
      </c>
      <c r="X332" s="23">
        <v>0</v>
      </c>
      <c r="Y332" s="23">
        <v>0</v>
      </c>
      <c r="Z332" s="23">
        <v>0</v>
      </c>
      <c r="AA332" s="23">
        <v>0</v>
      </c>
      <c r="AB332" s="23">
        <v>0</v>
      </c>
      <c r="AC332" s="25">
        <v>0</v>
      </c>
      <c r="AD332" s="25">
        <v>0</v>
      </c>
      <c r="AE332" s="25">
        <v>0</v>
      </c>
      <c r="AF332" s="25">
        <v>0</v>
      </c>
      <c r="AG332" s="25">
        <v>0</v>
      </c>
      <c r="AH332" s="25">
        <v>0</v>
      </c>
      <c r="AI332" s="25">
        <v>0</v>
      </c>
      <c r="AJ332" s="25">
        <v>0</v>
      </c>
      <c r="AK332" s="25">
        <v>0</v>
      </c>
      <c r="AL332" s="25">
        <v>0</v>
      </c>
      <c r="AM332" s="25">
        <v>0</v>
      </c>
    </row>
    <row r="333" spans="1:39" ht="15.75" customHeight="1" thickBot="1">
      <c r="A333" s="32" t="str">
        <f t="shared" si="15"/>
        <v>Essential (Original)--OTHER - PLEASE ADD A ROW IF NECESSARY AND NOMINATE THE CATEGORY</v>
      </c>
      <c r="B333" s="32" t="str">
        <f t="shared" si="16"/>
        <v>Essential (Original)</v>
      </c>
      <c r="C333" s="32" t="s">
        <v>1132</v>
      </c>
      <c r="D333" s="384"/>
      <c r="F333" t="s">
        <v>170</v>
      </c>
      <c r="G333" s="21" t="s">
        <v>338</v>
      </c>
      <c r="H333" s="21" t="s">
        <v>338</v>
      </c>
      <c r="I333" s="21" t="s">
        <v>338</v>
      </c>
      <c r="J333" s="21" t="s">
        <v>338</v>
      </c>
      <c r="K333" s="21" t="s">
        <v>338</v>
      </c>
      <c r="L333" s="21" t="s">
        <v>338</v>
      </c>
      <c r="M333" s="21" t="s">
        <v>338</v>
      </c>
      <c r="N333" s="21" t="s">
        <v>338</v>
      </c>
      <c r="O333" s="21" t="s">
        <v>338</v>
      </c>
      <c r="P333" s="21" t="s">
        <v>338</v>
      </c>
      <c r="Q333" s="21" t="s">
        <v>338</v>
      </c>
      <c r="R333" s="23">
        <v>0</v>
      </c>
      <c r="S333" s="23">
        <v>0</v>
      </c>
      <c r="T333" s="23">
        <v>0</v>
      </c>
      <c r="U333" s="23">
        <v>0</v>
      </c>
      <c r="V333" s="23">
        <v>0</v>
      </c>
      <c r="W333" s="23">
        <v>0</v>
      </c>
      <c r="X333" s="23">
        <v>0</v>
      </c>
      <c r="Y333" s="23">
        <v>0</v>
      </c>
      <c r="Z333" s="23">
        <v>0</v>
      </c>
      <c r="AA333" s="23">
        <v>0</v>
      </c>
      <c r="AB333" s="23">
        <v>0</v>
      </c>
      <c r="AC333" s="25">
        <v>0</v>
      </c>
      <c r="AD333" s="25">
        <v>0</v>
      </c>
      <c r="AE333" s="25">
        <v>0</v>
      </c>
      <c r="AF333" s="25">
        <v>0</v>
      </c>
      <c r="AG333" s="25">
        <v>0</v>
      </c>
      <c r="AH333" s="25">
        <v>0</v>
      </c>
      <c r="AI333" s="25">
        <v>0</v>
      </c>
      <c r="AJ333" s="25">
        <v>0</v>
      </c>
      <c r="AK333" s="25">
        <v>0</v>
      </c>
      <c r="AL333" s="25">
        <v>0</v>
      </c>
      <c r="AM333" s="25">
        <v>0</v>
      </c>
    </row>
    <row r="334" spans="1:39" ht="30" customHeight="1">
      <c r="A334" s="32" t="str">
        <f t="shared" si="15"/>
        <v>Essential (Original)-UNDERGROUND CABLES BY: 
HIGHEST OPERATING VOLTAGE-˂ = 1 kV</v>
      </c>
      <c r="B334" s="32" t="str">
        <f t="shared" si="16"/>
        <v>Essential (Original)</v>
      </c>
      <c r="C334" s="32" t="s">
        <v>1133</v>
      </c>
      <c r="D334" s="384"/>
      <c r="E334" s="3" t="s">
        <v>539</v>
      </c>
      <c r="F334" t="s">
        <v>171</v>
      </c>
      <c r="G334" s="21">
        <v>5529.704297511722</v>
      </c>
      <c r="H334" s="21">
        <v>0</v>
      </c>
      <c r="I334" s="21">
        <v>3531.0071954002888</v>
      </c>
      <c r="J334" s="21">
        <v>2616.811998716978</v>
      </c>
      <c r="K334" s="21">
        <v>1666.6016717413665</v>
      </c>
      <c r="L334" s="21">
        <v>566.36850269895626</v>
      </c>
      <c r="M334" s="21">
        <v>2982.5848529669715</v>
      </c>
      <c r="N334" s="21">
        <v>4950.8540829549211</v>
      </c>
      <c r="O334" s="21">
        <v>5619.1054238249681</v>
      </c>
      <c r="P334" s="21">
        <v>5619.3708932088884</v>
      </c>
      <c r="Q334" s="21">
        <v>5156.6240854863563</v>
      </c>
      <c r="R334" s="65">
        <v>1</v>
      </c>
      <c r="S334" s="66">
        <v>0</v>
      </c>
      <c r="T334" s="66">
        <v>0.9</v>
      </c>
      <c r="U334" s="66">
        <v>0.5</v>
      </c>
      <c r="V334" s="66">
        <v>2</v>
      </c>
      <c r="W334" s="67">
        <v>0.58870967741935487</v>
      </c>
      <c r="X334" s="23">
        <v>11</v>
      </c>
      <c r="Y334" s="23">
        <v>19</v>
      </c>
      <c r="Z334" s="23">
        <v>22</v>
      </c>
      <c r="AA334" s="23">
        <v>22</v>
      </c>
      <c r="AB334" s="23">
        <v>22</v>
      </c>
      <c r="AC334" s="25">
        <v>19</v>
      </c>
      <c r="AD334" s="25">
        <v>4</v>
      </c>
      <c r="AE334" s="25">
        <v>16</v>
      </c>
      <c r="AF334" s="25">
        <v>14</v>
      </c>
      <c r="AG334" s="25">
        <v>7</v>
      </c>
      <c r="AH334" s="25">
        <v>8.8306451612903221</v>
      </c>
      <c r="AI334" s="25">
        <v>7.915322580645161</v>
      </c>
      <c r="AJ334" s="25">
        <v>7.915322580645161</v>
      </c>
      <c r="AK334" s="25">
        <v>7.915322580645161</v>
      </c>
      <c r="AL334" s="25">
        <v>7.915322580645161</v>
      </c>
      <c r="AM334" s="25">
        <v>7.915322580645161</v>
      </c>
    </row>
    <row r="335" spans="1:39" ht="15" customHeight="1">
      <c r="A335" s="32" t="str">
        <f t="shared" si="15"/>
        <v>Essential (Original)--&gt; 1 kV &amp; &lt; = 11 kV</v>
      </c>
      <c r="B335" s="32" t="str">
        <f t="shared" si="16"/>
        <v>Essential (Original)</v>
      </c>
      <c r="C335" s="32" t="s">
        <v>1133</v>
      </c>
      <c r="D335" s="384"/>
      <c r="F335" t="s">
        <v>172</v>
      </c>
      <c r="G335" s="21">
        <v>0</v>
      </c>
      <c r="H335" s="21">
        <v>7465.3497253720079</v>
      </c>
      <c r="I335" s="21">
        <v>1177.002398466763</v>
      </c>
      <c r="J335" s="21">
        <v>0</v>
      </c>
      <c r="K335" s="21">
        <v>1374.9463791866274</v>
      </c>
      <c r="L335" s="21">
        <v>2123.8818851210858</v>
      </c>
      <c r="M335" s="21">
        <v>2033.5805815683896</v>
      </c>
      <c r="N335" s="21">
        <v>1954.2845064295741</v>
      </c>
      <c r="O335" s="21">
        <v>1915.6041217585116</v>
      </c>
      <c r="P335" s="21">
        <v>1915.6946226848481</v>
      </c>
      <c r="Q335" s="21">
        <v>1757.9400291430759</v>
      </c>
      <c r="R335" s="68">
        <v>0</v>
      </c>
      <c r="S335" s="69">
        <v>0.2</v>
      </c>
      <c r="T335" s="69">
        <v>0.2</v>
      </c>
      <c r="U335" s="69">
        <v>0</v>
      </c>
      <c r="V335" s="69">
        <v>1.1000000000000001</v>
      </c>
      <c r="W335" s="70">
        <v>1.471774193548387</v>
      </c>
      <c r="X335" s="23">
        <v>5</v>
      </c>
      <c r="Y335" s="23">
        <v>5</v>
      </c>
      <c r="Z335" s="23">
        <v>5</v>
      </c>
      <c r="AA335" s="23">
        <v>5</v>
      </c>
      <c r="AB335" s="23">
        <v>5</v>
      </c>
      <c r="AC335" s="25">
        <v>5</v>
      </c>
      <c r="AD335" s="25">
        <v>4</v>
      </c>
      <c r="AE335" s="25">
        <v>2</v>
      </c>
      <c r="AF335" s="25">
        <v>5</v>
      </c>
      <c r="AG335" s="25">
        <v>5</v>
      </c>
      <c r="AH335" s="25">
        <v>4.415322580645161</v>
      </c>
      <c r="AI335" s="25">
        <v>4.7076612903225801</v>
      </c>
      <c r="AJ335" s="25">
        <v>4.7076612903225801</v>
      </c>
      <c r="AK335" s="25">
        <v>4.7076612903225801</v>
      </c>
      <c r="AL335" s="25">
        <v>4.7076612903225801</v>
      </c>
      <c r="AM335" s="25">
        <v>4.7076612903225801</v>
      </c>
    </row>
    <row r="336" spans="1:39" ht="15" customHeight="1">
      <c r="A336" s="32" t="str">
        <f t="shared" si="15"/>
        <v>Essential (Original)--&gt; 11 kV &amp; &lt; = 22 kV</v>
      </c>
      <c r="B336" s="32" t="str">
        <f t="shared" si="16"/>
        <v>Essential (Original)</v>
      </c>
      <c r="C336" s="32" t="s">
        <v>1133</v>
      </c>
      <c r="D336" s="384"/>
      <c r="F336" t="s">
        <v>181</v>
      </c>
      <c r="G336" s="21">
        <v>0</v>
      </c>
      <c r="H336" s="21">
        <v>0</v>
      </c>
      <c r="I336" s="21">
        <v>0</v>
      </c>
      <c r="J336" s="21">
        <v>1570.0871992301868</v>
      </c>
      <c r="K336" s="21">
        <v>624.97562690301243</v>
      </c>
      <c r="L336" s="21">
        <v>212.3881885121086</v>
      </c>
      <c r="M336" s="21">
        <v>0</v>
      </c>
      <c r="N336" s="21">
        <v>0</v>
      </c>
      <c r="O336" s="21">
        <v>0</v>
      </c>
      <c r="P336" s="21">
        <v>0</v>
      </c>
      <c r="Q336" s="21">
        <v>0</v>
      </c>
      <c r="R336" s="68">
        <v>0</v>
      </c>
      <c r="S336" s="69">
        <v>0</v>
      </c>
      <c r="T336" s="69">
        <v>0</v>
      </c>
      <c r="U336" s="69">
        <v>0.2</v>
      </c>
      <c r="V336" s="69">
        <v>0.5</v>
      </c>
      <c r="W336" s="70">
        <v>0.14717741935483872</v>
      </c>
      <c r="X336" s="23">
        <v>0</v>
      </c>
      <c r="Y336" s="23">
        <v>0</v>
      </c>
      <c r="Z336" s="23">
        <v>0</v>
      </c>
      <c r="AA336" s="23">
        <v>0</v>
      </c>
      <c r="AB336" s="23">
        <v>0</v>
      </c>
      <c r="AC336" s="25">
        <v>1</v>
      </c>
      <c r="AD336" s="25">
        <v>3</v>
      </c>
      <c r="AE336" s="25">
        <v>2</v>
      </c>
      <c r="AF336" s="25">
        <v>3</v>
      </c>
      <c r="AG336" s="25">
        <v>4</v>
      </c>
      <c r="AH336" s="25">
        <v>0</v>
      </c>
      <c r="AI336" s="25">
        <v>2</v>
      </c>
      <c r="AJ336" s="25">
        <v>2</v>
      </c>
      <c r="AK336" s="25">
        <v>2</v>
      </c>
      <c r="AL336" s="25">
        <v>2</v>
      </c>
      <c r="AM336" s="25">
        <v>2</v>
      </c>
    </row>
    <row r="337" spans="1:39" ht="15" customHeight="1">
      <c r="A337" s="32" t="str">
        <f t="shared" si="15"/>
        <v>Essential (Original)--&gt; 22 kV &amp; &lt; = 33 kV</v>
      </c>
      <c r="B337" s="32" t="str">
        <f t="shared" si="16"/>
        <v>Essential (Original)</v>
      </c>
      <c r="C337" s="32" t="s">
        <v>1133</v>
      </c>
      <c r="D337" s="384"/>
      <c r="F337" t="s">
        <v>182</v>
      </c>
      <c r="G337" s="21">
        <v>0</v>
      </c>
      <c r="H337" s="21">
        <v>0</v>
      </c>
      <c r="I337" s="21">
        <v>0</v>
      </c>
      <c r="J337" s="21">
        <v>0</v>
      </c>
      <c r="K337" s="21">
        <v>0</v>
      </c>
      <c r="L337" s="21">
        <v>0</v>
      </c>
      <c r="M337" s="21">
        <v>0</v>
      </c>
      <c r="N337" s="21">
        <v>0</v>
      </c>
      <c r="O337" s="21">
        <v>0</v>
      </c>
      <c r="P337" s="21">
        <v>0</v>
      </c>
      <c r="Q337" s="21">
        <v>0</v>
      </c>
      <c r="R337" s="68">
        <v>0</v>
      </c>
      <c r="S337" s="69">
        <v>0</v>
      </c>
      <c r="T337" s="69">
        <v>0</v>
      </c>
      <c r="U337" s="69">
        <v>0</v>
      </c>
      <c r="V337" s="69">
        <v>0</v>
      </c>
      <c r="W337" s="70">
        <v>0</v>
      </c>
      <c r="X337" s="23">
        <v>0</v>
      </c>
      <c r="Y337" s="23">
        <v>0</v>
      </c>
      <c r="Z337" s="23">
        <v>0</v>
      </c>
      <c r="AA337" s="23">
        <v>0</v>
      </c>
      <c r="AB337" s="23">
        <v>0</v>
      </c>
      <c r="AC337" s="25">
        <v>0</v>
      </c>
      <c r="AD337" s="25">
        <v>0</v>
      </c>
      <c r="AE337" s="25">
        <v>0</v>
      </c>
      <c r="AF337" s="25">
        <v>2</v>
      </c>
      <c r="AG337" s="25">
        <v>0</v>
      </c>
      <c r="AH337" s="25">
        <v>0</v>
      </c>
      <c r="AI337" s="25">
        <v>0</v>
      </c>
      <c r="AJ337" s="25">
        <v>0</v>
      </c>
      <c r="AK337" s="25">
        <v>0</v>
      </c>
      <c r="AL337" s="25">
        <v>0</v>
      </c>
      <c r="AM337" s="25">
        <v>0</v>
      </c>
    </row>
    <row r="338" spans="1:39" ht="15" customHeight="1">
      <c r="A338" s="32" t="str">
        <f t="shared" si="15"/>
        <v>Essential (Original)--&gt; 33 kV &amp; &lt; = 66 kV</v>
      </c>
      <c r="B338" s="32" t="str">
        <f t="shared" si="16"/>
        <v>Essential (Original)</v>
      </c>
      <c r="C338" s="32" t="s">
        <v>1133</v>
      </c>
      <c r="D338" s="384"/>
      <c r="F338" t="s">
        <v>183</v>
      </c>
      <c r="G338" s="21">
        <v>0</v>
      </c>
      <c r="H338" s="21">
        <v>0</v>
      </c>
      <c r="I338" s="21">
        <v>0</v>
      </c>
      <c r="J338" s="21">
        <v>0</v>
      </c>
      <c r="K338" s="21">
        <v>0</v>
      </c>
      <c r="L338" s="21">
        <v>0</v>
      </c>
      <c r="M338" s="21">
        <v>0</v>
      </c>
      <c r="N338" s="21">
        <v>0</v>
      </c>
      <c r="O338" s="21">
        <v>0</v>
      </c>
      <c r="P338" s="21">
        <v>0</v>
      </c>
      <c r="Q338" s="21">
        <v>0</v>
      </c>
      <c r="R338" s="68">
        <v>0</v>
      </c>
      <c r="S338" s="69">
        <v>0</v>
      </c>
      <c r="T338" s="69">
        <v>0</v>
      </c>
      <c r="U338" s="69">
        <v>0</v>
      </c>
      <c r="V338" s="69">
        <v>0</v>
      </c>
      <c r="W338" s="70">
        <v>0</v>
      </c>
      <c r="X338" s="23">
        <v>0</v>
      </c>
      <c r="Y338" s="23">
        <v>0</v>
      </c>
      <c r="Z338" s="23">
        <v>0</v>
      </c>
      <c r="AA338" s="23">
        <v>0</v>
      </c>
      <c r="AB338" s="23">
        <v>0</v>
      </c>
      <c r="AC338" s="25">
        <v>0</v>
      </c>
      <c r="AD338" s="25">
        <v>0</v>
      </c>
      <c r="AE338" s="25">
        <v>0</v>
      </c>
      <c r="AF338" s="25">
        <v>0</v>
      </c>
      <c r="AG338" s="25">
        <v>0</v>
      </c>
      <c r="AH338" s="25">
        <v>0</v>
      </c>
      <c r="AI338" s="25">
        <v>0</v>
      </c>
      <c r="AJ338" s="25">
        <v>0</v>
      </c>
      <c r="AK338" s="25">
        <v>0</v>
      </c>
      <c r="AL338" s="25">
        <v>0</v>
      </c>
      <c r="AM338" s="25">
        <v>0</v>
      </c>
    </row>
    <row r="339" spans="1:39" ht="15" customHeight="1">
      <c r="A339" s="32" t="str">
        <f t="shared" si="15"/>
        <v>Essential (Original)--&gt; 66 kV &amp; &lt; = 132 kV</v>
      </c>
      <c r="B339" s="32" t="str">
        <f t="shared" si="16"/>
        <v>Essential (Original)</v>
      </c>
      <c r="C339" s="32" t="s">
        <v>1133</v>
      </c>
      <c r="D339" s="384"/>
      <c r="F339" t="s">
        <v>175</v>
      </c>
      <c r="G339" s="21">
        <v>0</v>
      </c>
      <c r="H339" s="21">
        <v>0</v>
      </c>
      <c r="I339" s="21">
        <v>0</v>
      </c>
      <c r="J339" s="21">
        <v>0</v>
      </c>
      <c r="K339" s="21">
        <v>0</v>
      </c>
      <c r="L339" s="21">
        <v>0</v>
      </c>
      <c r="M339" s="21">
        <v>0</v>
      </c>
      <c r="N339" s="21">
        <v>0</v>
      </c>
      <c r="O339" s="21">
        <v>0</v>
      </c>
      <c r="P339" s="21">
        <v>0</v>
      </c>
      <c r="Q339" s="21">
        <v>0</v>
      </c>
      <c r="R339" s="68">
        <v>0</v>
      </c>
      <c r="S339" s="69">
        <v>0</v>
      </c>
      <c r="T339" s="69">
        <v>0</v>
      </c>
      <c r="U339" s="69">
        <v>0</v>
      </c>
      <c r="V339" s="69">
        <v>0</v>
      </c>
      <c r="W339" s="70">
        <v>0</v>
      </c>
      <c r="X339" s="23">
        <v>0</v>
      </c>
      <c r="Y339" s="23">
        <v>0</v>
      </c>
      <c r="Z339" s="23">
        <v>0</v>
      </c>
      <c r="AA339" s="23">
        <v>0</v>
      </c>
      <c r="AB339" s="23">
        <v>0</v>
      </c>
      <c r="AC339" s="25">
        <v>0</v>
      </c>
      <c r="AD339" s="25">
        <v>0</v>
      </c>
      <c r="AE339" s="25">
        <v>0</v>
      </c>
      <c r="AF339" s="25">
        <v>0</v>
      </c>
      <c r="AG339" s="25">
        <v>0</v>
      </c>
      <c r="AH339" s="25">
        <v>0</v>
      </c>
      <c r="AI339" s="25">
        <v>0</v>
      </c>
      <c r="AJ339" s="25">
        <v>0</v>
      </c>
      <c r="AK339" s="25">
        <v>0</v>
      </c>
      <c r="AL339" s="25">
        <v>0</v>
      </c>
      <c r="AM339" s="25">
        <v>0</v>
      </c>
    </row>
    <row r="340" spans="1:39" ht="15.75" customHeight="1" thickBot="1">
      <c r="A340" s="32" t="str">
        <f t="shared" si="15"/>
        <v>Essential (Original)--&gt;  132 kV</v>
      </c>
      <c r="B340" s="32" t="str">
        <f t="shared" si="16"/>
        <v>Essential (Original)</v>
      </c>
      <c r="C340" s="32" t="s">
        <v>1133</v>
      </c>
      <c r="D340" s="384"/>
      <c r="F340" t="s">
        <v>184</v>
      </c>
      <c r="G340" s="21">
        <v>0</v>
      </c>
      <c r="H340" s="21">
        <v>0</v>
      </c>
      <c r="I340" s="21">
        <v>0</v>
      </c>
      <c r="J340" s="21">
        <v>0</v>
      </c>
      <c r="K340" s="21">
        <v>0</v>
      </c>
      <c r="L340" s="21">
        <v>0</v>
      </c>
      <c r="M340" s="21">
        <v>0</v>
      </c>
      <c r="N340" s="21">
        <v>0</v>
      </c>
      <c r="O340" s="21">
        <v>0</v>
      </c>
      <c r="P340" s="21">
        <v>0</v>
      </c>
      <c r="Q340" s="21">
        <v>0</v>
      </c>
      <c r="R340" s="71">
        <v>0</v>
      </c>
      <c r="S340" s="72">
        <v>0</v>
      </c>
      <c r="T340" s="72">
        <v>0</v>
      </c>
      <c r="U340" s="72">
        <v>0</v>
      </c>
      <c r="V340" s="72">
        <v>0</v>
      </c>
      <c r="W340" s="73">
        <v>0</v>
      </c>
      <c r="X340" s="23">
        <v>0</v>
      </c>
      <c r="Y340" s="23">
        <v>0</v>
      </c>
      <c r="Z340" s="23">
        <v>0</v>
      </c>
      <c r="AA340" s="23">
        <v>0</v>
      </c>
      <c r="AB340" s="23">
        <v>0</v>
      </c>
      <c r="AC340" s="25">
        <v>0</v>
      </c>
      <c r="AD340" s="25">
        <v>0</v>
      </c>
      <c r="AE340" s="25">
        <v>0</v>
      </c>
      <c r="AF340" s="25">
        <v>0</v>
      </c>
      <c r="AG340" s="25">
        <v>0</v>
      </c>
      <c r="AH340" s="25">
        <v>0</v>
      </c>
      <c r="AI340" s="25">
        <v>0</v>
      </c>
      <c r="AJ340" s="25">
        <v>0</v>
      </c>
      <c r="AK340" s="25">
        <v>0</v>
      </c>
      <c r="AL340" s="25">
        <v>0</v>
      </c>
      <c r="AM340" s="25">
        <v>0</v>
      </c>
    </row>
    <row r="341" spans="1:39" ht="15" customHeight="1">
      <c r="A341" s="32" t="str">
        <f t="shared" si="15"/>
        <v>Essential (Original)--OTHER - PLEASE ADD A ROW IF NECESSARY AND NOMINATE THE CATEGORY</v>
      </c>
      <c r="B341" s="32" t="str">
        <f t="shared" si="16"/>
        <v>Essential (Original)</v>
      </c>
      <c r="C341" s="32" t="s">
        <v>1133</v>
      </c>
      <c r="D341" s="384"/>
      <c r="F341" t="s">
        <v>170</v>
      </c>
      <c r="G341" s="21">
        <v>0</v>
      </c>
      <c r="H341" s="21">
        <v>0</v>
      </c>
      <c r="I341" s="21">
        <v>0</v>
      </c>
      <c r="J341" s="21">
        <v>0</v>
      </c>
      <c r="K341" s="21">
        <v>0</v>
      </c>
      <c r="L341" s="21">
        <v>0</v>
      </c>
      <c r="M341" s="21">
        <v>0</v>
      </c>
      <c r="N341" s="21">
        <v>0</v>
      </c>
      <c r="O341" s="21">
        <v>0</v>
      </c>
      <c r="P341" s="21">
        <v>0</v>
      </c>
      <c r="Q341" s="21">
        <v>0</v>
      </c>
      <c r="R341" s="23">
        <v>0</v>
      </c>
      <c r="S341" s="23">
        <v>0</v>
      </c>
      <c r="T341" s="23">
        <v>0</v>
      </c>
      <c r="U341" s="23">
        <v>0</v>
      </c>
      <c r="V341" s="23">
        <v>0</v>
      </c>
      <c r="W341" s="23">
        <v>0</v>
      </c>
      <c r="X341" s="23">
        <v>0</v>
      </c>
      <c r="Y341" s="23">
        <v>0</v>
      </c>
      <c r="Z341" s="23">
        <v>0</v>
      </c>
      <c r="AA341" s="23">
        <v>0</v>
      </c>
      <c r="AB341" s="23">
        <v>0</v>
      </c>
      <c r="AC341" s="25">
        <v>0</v>
      </c>
      <c r="AD341" s="25">
        <v>0</v>
      </c>
      <c r="AE341" s="25">
        <v>0</v>
      </c>
      <c r="AF341" s="25">
        <v>0</v>
      </c>
      <c r="AG341" s="25">
        <v>0</v>
      </c>
      <c r="AH341" s="25">
        <v>0</v>
      </c>
      <c r="AI341" s="25">
        <v>0</v>
      </c>
      <c r="AJ341" s="25">
        <v>0</v>
      </c>
      <c r="AK341" s="25">
        <v>0</v>
      </c>
      <c r="AL341" s="25">
        <v>0</v>
      </c>
      <c r="AM341" s="25">
        <v>0</v>
      </c>
    </row>
    <row r="342" spans="1:39" ht="60" customHeight="1">
      <c r="A342" s="32" t="str">
        <f t="shared" si="15"/>
        <v xml:space="preserve">Essential (Original)-SERVICE LINES BY: 
CONNECTION VOLTAGE; CUSTOMER TYPE; CONNECTION COMPLEXITY -˂ = 11 kV ; RESIDENTIAL ; SIMPLE TYPE </v>
      </c>
      <c r="B342" s="32" t="str">
        <f t="shared" si="16"/>
        <v>Essential (Original)</v>
      </c>
      <c r="C342" s="32" t="s">
        <v>719</v>
      </c>
      <c r="D342" s="384"/>
      <c r="E342" s="3" t="s">
        <v>541</v>
      </c>
      <c r="F342" t="s">
        <v>186</v>
      </c>
      <c r="G342" s="21">
        <v>2456.544548422246</v>
      </c>
      <c r="H342" s="21">
        <v>2830.3955615261243</v>
      </c>
      <c r="I342" s="21">
        <v>5579.6902834906032</v>
      </c>
      <c r="J342" s="21">
        <v>5451.8560038765199</v>
      </c>
      <c r="K342" s="21">
        <v>5117.3796601512304</v>
      </c>
      <c r="L342" s="21">
        <v>4304.5649571691529</v>
      </c>
      <c r="M342" s="21">
        <v>2817.6189683170132</v>
      </c>
      <c r="N342" s="21">
        <v>5634.9848137748495</v>
      </c>
      <c r="O342" s="21">
        <v>6573.9904863699358</v>
      </c>
      <c r="P342" s="21">
        <v>6574.4261586121956</v>
      </c>
      <c r="Q342" s="21">
        <v>6574.2204878124476</v>
      </c>
      <c r="R342" s="23">
        <v>556.22031870711442</v>
      </c>
      <c r="S342" s="23">
        <v>3068.9043624662072</v>
      </c>
      <c r="T342" s="23">
        <v>16625.014237168973</v>
      </c>
      <c r="U342" s="23">
        <v>23838.820488014619</v>
      </c>
      <c r="V342" s="23">
        <v>16944.751636238376</v>
      </c>
      <c r="W342" s="23">
        <v>104.65498702261772</v>
      </c>
      <c r="X342" s="23">
        <v>7719</v>
      </c>
      <c r="Y342" s="23">
        <v>7719</v>
      </c>
      <c r="Z342" s="23">
        <v>7719</v>
      </c>
      <c r="AA342" s="23">
        <v>7719</v>
      </c>
      <c r="AB342" s="23">
        <v>7719</v>
      </c>
      <c r="AC342" s="25">
        <v>939.99048751486328</v>
      </c>
      <c r="AD342" s="25">
        <v>845.27323162274615</v>
      </c>
      <c r="AE342" s="25">
        <v>694.75510204081638</v>
      </c>
      <c r="AF342" s="25">
        <v>657.23684210526312</v>
      </c>
      <c r="AG342" s="25">
        <v>823.6488340192044</v>
      </c>
      <c r="AH342" s="25">
        <v>619.68624340988299</v>
      </c>
      <c r="AI342" s="25">
        <v>2140.7783933518003</v>
      </c>
      <c r="AJ342" s="25">
        <v>2140.7783933518003</v>
      </c>
      <c r="AK342" s="25">
        <v>2140.7783933518003</v>
      </c>
      <c r="AL342" s="25">
        <v>2140.7783933518003</v>
      </c>
      <c r="AM342" s="25">
        <v>2140.7783933518003</v>
      </c>
    </row>
    <row r="343" spans="1:39" ht="15" customHeight="1">
      <c r="A343" s="32" t="str">
        <f t="shared" si="15"/>
        <v xml:space="preserve">Essential (Original)--˂ = 11 kV ; COMMERCIAL &amp; INDUSTRIAL ; SIMPLE TYPE </v>
      </c>
      <c r="B343" s="32" t="str">
        <f t="shared" si="16"/>
        <v>Essential (Original)</v>
      </c>
      <c r="C343" s="32" t="s">
        <v>719</v>
      </c>
      <c r="D343" s="384"/>
      <c r="F343" t="s">
        <v>187</v>
      </c>
      <c r="G343" s="21">
        <v>57.130097027708921</v>
      </c>
      <c r="H343" s="21">
        <v>124.06056004448023</v>
      </c>
      <c r="I343" s="21">
        <v>240.4325635622007</v>
      </c>
      <c r="J343" s="21">
        <v>330.19560423922763</v>
      </c>
      <c r="K343" s="21">
        <v>308.85870993473611</v>
      </c>
      <c r="L343" s="21">
        <v>500.64990591981592</v>
      </c>
      <c r="M343" s="21">
        <v>298.29747647475875</v>
      </c>
      <c r="N343" s="21">
        <v>596.56815517771815</v>
      </c>
      <c r="O343" s="21">
        <v>695.97940477542568</v>
      </c>
      <c r="P343" s="21">
        <v>696.02552880138433</v>
      </c>
      <c r="Q343" s="21">
        <v>696.00375471438417</v>
      </c>
      <c r="R343" s="23">
        <v>10.779681292885519</v>
      </c>
      <c r="S343" s="23">
        <v>112.09563753379285</v>
      </c>
      <c r="T343" s="23">
        <v>596.98576283102886</v>
      </c>
      <c r="U343" s="23">
        <v>1203.1795119853812</v>
      </c>
      <c r="V343" s="23">
        <v>852.24836376162591</v>
      </c>
      <c r="W343" s="23">
        <v>10.143400074156471</v>
      </c>
      <c r="X343" s="23">
        <v>681</v>
      </c>
      <c r="Y343" s="23">
        <v>681</v>
      </c>
      <c r="Z343" s="23">
        <v>681</v>
      </c>
      <c r="AA343" s="23">
        <v>681</v>
      </c>
      <c r="AB343" s="23">
        <v>681</v>
      </c>
      <c r="AC343" s="25">
        <v>88.009512485136739</v>
      </c>
      <c r="AD343" s="25">
        <v>76.726768377253819</v>
      </c>
      <c r="AE343" s="25">
        <v>72.244897959183675</v>
      </c>
      <c r="AF343" s="25">
        <v>82.763157894736864</v>
      </c>
      <c r="AG343" s="25">
        <v>59.351165980795614</v>
      </c>
      <c r="AH343" s="25">
        <v>60.273434009471906</v>
      </c>
      <c r="AI343" s="25">
        <v>208.22160664819947</v>
      </c>
      <c r="AJ343" s="25">
        <v>208.22160664819947</v>
      </c>
      <c r="AK343" s="25">
        <v>208.22160664819947</v>
      </c>
      <c r="AL343" s="25">
        <v>208.22160664819947</v>
      </c>
      <c r="AM343" s="25">
        <v>208.22160664819947</v>
      </c>
    </row>
    <row r="344" spans="1:39" ht="15" customHeight="1">
      <c r="A344" s="32" t="str">
        <f t="shared" si="15"/>
        <v xml:space="preserve">Essential (Original)--˂ = 11 kV ; RESIDENTIAL ; COMPLEX TYPE </v>
      </c>
      <c r="B344" s="32" t="str">
        <f t="shared" si="16"/>
        <v>Essential (Original)</v>
      </c>
      <c r="C344" s="32" t="s">
        <v>719</v>
      </c>
      <c r="D344" s="384"/>
      <c r="F344" t="s">
        <v>188</v>
      </c>
      <c r="G344" s="21">
        <v>0</v>
      </c>
      <c r="H344" s="21">
        <v>0</v>
      </c>
      <c r="I344" s="21">
        <v>0</v>
      </c>
      <c r="J344" s="21">
        <v>0</v>
      </c>
      <c r="K344" s="21">
        <v>0</v>
      </c>
      <c r="L344" s="21">
        <v>0</v>
      </c>
      <c r="M344" s="21">
        <v>0</v>
      </c>
      <c r="N344" s="21">
        <v>0</v>
      </c>
      <c r="O344" s="21">
        <v>0</v>
      </c>
      <c r="P344" s="21">
        <v>0</v>
      </c>
      <c r="Q344" s="21">
        <v>0</v>
      </c>
      <c r="R344" s="23">
        <v>0</v>
      </c>
      <c r="S344" s="23">
        <v>0</v>
      </c>
      <c r="T344" s="23">
        <v>0</v>
      </c>
      <c r="U344" s="23">
        <v>0</v>
      </c>
      <c r="V344" s="23">
        <v>0</v>
      </c>
      <c r="W344" s="23">
        <v>0</v>
      </c>
      <c r="X344" s="23">
        <v>0</v>
      </c>
      <c r="Y344" s="23">
        <v>0</v>
      </c>
      <c r="Z344" s="23">
        <v>0</v>
      </c>
      <c r="AA344" s="23">
        <v>0</v>
      </c>
      <c r="AB344" s="23">
        <v>0</v>
      </c>
      <c r="AC344" s="25">
        <v>0</v>
      </c>
      <c r="AD344" s="25">
        <v>0</v>
      </c>
      <c r="AE344" s="25">
        <v>0</v>
      </c>
      <c r="AF344" s="25">
        <v>0</v>
      </c>
      <c r="AG344" s="25">
        <v>0</v>
      </c>
      <c r="AH344" s="25">
        <v>0</v>
      </c>
      <c r="AI344" s="25">
        <v>0</v>
      </c>
      <c r="AJ344" s="25">
        <v>0</v>
      </c>
      <c r="AK344" s="25">
        <v>0</v>
      </c>
      <c r="AL344" s="25">
        <v>0</v>
      </c>
      <c r="AM344" s="25">
        <v>0</v>
      </c>
    </row>
    <row r="345" spans="1:39" ht="15" customHeight="1">
      <c r="A345" s="32" t="str">
        <f t="shared" si="15"/>
        <v xml:space="preserve">Essential (Original)--˂ = 11 kV ; COMMERCIAL &amp; INDUSTRIAL ; COMPLEX TYPE </v>
      </c>
      <c r="B345" s="32" t="str">
        <f t="shared" si="16"/>
        <v>Essential (Original)</v>
      </c>
      <c r="C345" s="32" t="s">
        <v>719</v>
      </c>
      <c r="D345" s="384"/>
      <c r="F345" t="s">
        <v>189</v>
      </c>
      <c r="G345" s="21">
        <v>0</v>
      </c>
      <c r="H345" s="21">
        <v>0</v>
      </c>
      <c r="I345" s="21">
        <v>0</v>
      </c>
      <c r="J345" s="21">
        <v>0</v>
      </c>
      <c r="K345" s="21">
        <v>0</v>
      </c>
      <c r="L345" s="21">
        <v>0</v>
      </c>
      <c r="M345" s="21">
        <v>0</v>
      </c>
      <c r="N345" s="21">
        <v>0</v>
      </c>
      <c r="O345" s="21">
        <v>0</v>
      </c>
      <c r="P345" s="21">
        <v>0</v>
      </c>
      <c r="Q345" s="21">
        <v>0</v>
      </c>
      <c r="R345" s="23">
        <v>0</v>
      </c>
      <c r="S345" s="23">
        <v>0</v>
      </c>
      <c r="T345" s="23">
        <v>0</v>
      </c>
      <c r="U345" s="23">
        <v>0</v>
      </c>
      <c r="V345" s="23">
        <v>0</v>
      </c>
      <c r="W345" s="23">
        <v>0</v>
      </c>
      <c r="X345" s="23">
        <v>0</v>
      </c>
      <c r="Y345" s="23">
        <v>0</v>
      </c>
      <c r="Z345" s="23">
        <v>0</v>
      </c>
      <c r="AA345" s="23">
        <v>0</v>
      </c>
      <c r="AB345" s="23">
        <v>0</v>
      </c>
      <c r="AC345" s="25">
        <v>0</v>
      </c>
      <c r="AD345" s="25">
        <v>0</v>
      </c>
      <c r="AE345" s="25">
        <v>0</v>
      </c>
      <c r="AF345" s="25">
        <v>0</v>
      </c>
      <c r="AG345" s="25">
        <v>0</v>
      </c>
      <c r="AH345" s="25">
        <v>0</v>
      </c>
      <c r="AI345" s="25">
        <v>0</v>
      </c>
      <c r="AJ345" s="25">
        <v>0</v>
      </c>
      <c r="AK345" s="25">
        <v>0</v>
      </c>
      <c r="AL345" s="25">
        <v>0</v>
      </c>
      <c r="AM345" s="25">
        <v>0</v>
      </c>
    </row>
    <row r="346" spans="1:39" ht="15" customHeight="1">
      <c r="A346" s="32" t="str">
        <f t="shared" si="15"/>
        <v xml:space="preserve">Essential (Original)--˂ = 11 kV ; SUBDIVISION ; COMPLEX TYPE </v>
      </c>
      <c r="B346" s="32" t="str">
        <f t="shared" si="16"/>
        <v>Essential (Original)</v>
      </c>
      <c r="C346" s="32" t="s">
        <v>719</v>
      </c>
      <c r="D346" s="384"/>
      <c r="F346" t="s">
        <v>190</v>
      </c>
      <c r="G346" s="21">
        <v>0</v>
      </c>
      <c r="H346" s="21">
        <v>0</v>
      </c>
      <c r="I346" s="21">
        <v>0</v>
      </c>
      <c r="J346" s="21">
        <v>0</v>
      </c>
      <c r="K346" s="21">
        <v>0</v>
      </c>
      <c r="L346" s="21">
        <v>0</v>
      </c>
      <c r="M346" s="21">
        <v>0</v>
      </c>
      <c r="N346" s="21">
        <v>0</v>
      </c>
      <c r="O346" s="21">
        <v>0</v>
      </c>
      <c r="P346" s="21">
        <v>0</v>
      </c>
      <c r="Q346" s="21">
        <v>0</v>
      </c>
      <c r="R346" s="23">
        <v>0</v>
      </c>
      <c r="S346" s="23">
        <v>0</v>
      </c>
      <c r="T346" s="23">
        <v>0</v>
      </c>
      <c r="U346" s="23">
        <v>0</v>
      </c>
      <c r="V346" s="23">
        <v>0</v>
      </c>
      <c r="W346" s="23">
        <v>0</v>
      </c>
      <c r="X346" s="23">
        <v>0</v>
      </c>
      <c r="Y346" s="23">
        <v>0</v>
      </c>
      <c r="Z346" s="23">
        <v>0</v>
      </c>
      <c r="AA346" s="23">
        <v>0</v>
      </c>
      <c r="AB346" s="23">
        <v>0</v>
      </c>
      <c r="AC346" s="25">
        <v>0</v>
      </c>
      <c r="AD346" s="25">
        <v>0</v>
      </c>
      <c r="AE346" s="25">
        <v>0</v>
      </c>
      <c r="AF346" s="25">
        <v>0</v>
      </c>
      <c r="AG346" s="25">
        <v>0</v>
      </c>
      <c r="AH346" s="25">
        <v>0</v>
      </c>
      <c r="AI346" s="25">
        <v>0</v>
      </c>
      <c r="AJ346" s="25">
        <v>0</v>
      </c>
      <c r="AK346" s="25">
        <v>0</v>
      </c>
      <c r="AL346" s="25">
        <v>0</v>
      </c>
      <c r="AM346" s="25">
        <v>0</v>
      </c>
    </row>
    <row r="347" spans="1:39" ht="15" customHeight="1">
      <c r="A347" s="32" t="str">
        <f t="shared" si="15"/>
        <v xml:space="preserve">Essential (Original)--&gt; 11 kV  &amp; &lt; = 22 kV ; COMMERCIAL &amp; INDUSTRIAL  </v>
      </c>
      <c r="B347" s="32" t="str">
        <f t="shared" si="16"/>
        <v>Essential (Original)</v>
      </c>
      <c r="C347" s="32" t="s">
        <v>719</v>
      </c>
      <c r="D347" s="384"/>
      <c r="F347" t="s">
        <v>191</v>
      </c>
      <c r="G347" s="21">
        <v>0</v>
      </c>
      <c r="H347" s="21">
        <v>0</v>
      </c>
      <c r="I347" s="21">
        <v>0</v>
      </c>
      <c r="J347" s="21">
        <v>0</v>
      </c>
      <c r="K347" s="21">
        <v>0</v>
      </c>
      <c r="L347" s="21">
        <v>0</v>
      </c>
      <c r="M347" s="21">
        <v>0</v>
      </c>
      <c r="N347" s="21">
        <v>0</v>
      </c>
      <c r="O347" s="21">
        <v>0</v>
      </c>
      <c r="P347" s="21">
        <v>0</v>
      </c>
      <c r="Q347" s="21">
        <v>0</v>
      </c>
      <c r="R347" s="23">
        <v>0</v>
      </c>
      <c r="S347" s="23">
        <v>0</v>
      </c>
      <c r="T347" s="23">
        <v>0</v>
      </c>
      <c r="U347" s="23">
        <v>0</v>
      </c>
      <c r="V347" s="23">
        <v>0</v>
      </c>
      <c r="W347" s="23">
        <v>0</v>
      </c>
      <c r="X347" s="23">
        <v>0</v>
      </c>
      <c r="Y347" s="23">
        <v>0</v>
      </c>
      <c r="Z347" s="23">
        <v>0</v>
      </c>
      <c r="AA347" s="23">
        <v>0</v>
      </c>
      <c r="AB347" s="23">
        <v>0</v>
      </c>
      <c r="AC347" s="25">
        <v>0</v>
      </c>
      <c r="AD347" s="25">
        <v>0</v>
      </c>
      <c r="AE347" s="25">
        <v>0</v>
      </c>
      <c r="AF347" s="25">
        <v>0</v>
      </c>
      <c r="AG347" s="25">
        <v>0</v>
      </c>
      <c r="AH347" s="25">
        <v>0</v>
      </c>
      <c r="AI347" s="25">
        <v>0</v>
      </c>
      <c r="AJ347" s="25">
        <v>0</v>
      </c>
      <c r="AK347" s="25">
        <v>0</v>
      </c>
      <c r="AL347" s="25">
        <v>0</v>
      </c>
      <c r="AM347" s="25">
        <v>0</v>
      </c>
    </row>
    <row r="348" spans="1:39" ht="15" customHeight="1">
      <c r="A348" s="32" t="str">
        <f t="shared" si="15"/>
        <v xml:space="preserve">Essential (Original)--&gt; 11 kV  &amp; &lt; = 22 kV ; SUBDIVISION  </v>
      </c>
      <c r="B348" s="32" t="str">
        <f t="shared" si="16"/>
        <v>Essential (Original)</v>
      </c>
      <c r="C348" s="32" t="s">
        <v>719</v>
      </c>
      <c r="D348" s="384"/>
      <c r="F348" t="s">
        <v>192</v>
      </c>
      <c r="G348" s="21">
        <v>0</v>
      </c>
      <c r="H348" s="21">
        <v>0</v>
      </c>
      <c r="I348" s="21">
        <v>0</v>
      </c>
      <c r="J348" s="21">
        <v>0</v>
      </c>
      <c r="K348" s="21">
        <v>0</v>
      </c>
      <c r="L348" s="21">
        <v>0</v>
      </c>
      <c r="M348" s="21">
        <v>0</v>
      </c>
      <c r="N348" s="21">
        <v>0</v>
      </c>
      <c r="O348" s="21">
        <v>0</v>
      </c>
      <c r="P348" s="21">
        <v>0</v>
      </c>
      <c r="Q348" s="21">
        <v>0</v>
      </c>
      <c r="R348" s="23">
        <v>0</v>
      </c>
      <c r="S348" s="23">
        <v>0</v>
      </c>
      <c r="T348" s="23">
        <v>0</v>
      </c>
      <c r="U348" s="23">
        <v>0</v>
      </c>
      <c r="V348" s="23">
        <v>0</v>
      </c>
      <c r="W348" s="23">
        <v>0</v>
      </c>
      <c r="X348" s="23">
        <v>0</v>
      </c>
      <c r="Y348" s="23">
        <v>0</v>
      </c>
      <c r="Z348" s="23">
        <v>0</v>
      </c>
      <c r="AA348" s="23">
        <v>0</v>
      </c>
      <c r="AB348" s="23">
        <v>0</v>
      </c>
      <c r="AC348" s="25">
        <v>0</v>
      </c>
      <c r="AD348" s="25">
        <v>0</v>
      </c>
      <c r="AE348" s="25">
        <v>0</v>
      </c>
      <c r="AF348" s="25">
        <v>0</v>
      </c>
      <c r="AG348" s="25">
        <v>0</v>
      </c>
      <c r="AH348" s="25">
        <v>0</v>
      </c>
      <c r="AI348" s="25">
        <v>0</v>
      </c>
      <c r="AJ348" s="25">
        <v>0</v>
      </c>
      <c r="AK348" s="25">
        <v>0</v>
      </c>
      <c r="AL348" s="25">
        <v>0</v>
      </c>
      <c r="AM348" s="25">
        <v>0</v>
      </c>
    </row>
    <row r="349" spans="1:39" ht="15" customHeight="1">
      <c r="A349" s="32" t="str">
        <f t="shared" si="15"/>
        <v xml:space="preserve">Essential (Original)--&gt; 22 kV &amp; &lt; = 33 kV ; COMMERCIAL &amp; INDUSTRIAL  </v>
      </c>
      <c r="B349" s="32" t="str">
        <f t="shared" si="16"/>
        <v>Essential (Original)</v>
      </c>
      <c r="C349" s="32" t="s">
        <v>719</v>
      </c>
      <c r="D349" s="384"/>
      <c r="F349" t="s">
        <v>193</v>
      </c>
      <c r="G349" s="21">
        <v>0</v>
      </c>
      <c r="H349" s="21">
        <v>0</v>
      </c>
      <c r="I349" s="21">
        <v>0</v>
      </c>
      <c r="J349" s="21">
        <v>0</v>
      </c>
      <c r="K349" s="21">
        <v>0</v>
      </c>
      <c r="L349" s="21">
        <v>0</v>
      </c>
      <c r="M349" s="21">
        <v>0</v>
      </c>
      <c r="N349" s="21">
        <v>0</v>
      </c>
      <c r="O349" s="21">
        <v>0</v>
      </c>
      <c r="P349" s="21">
        <v>0</v>
      </c>
      <c r="Q349" s="21">
        <v>0</v>
      </c>
      <c r="R349" s="23">
        <v>0</v>
      </c>
      <c r="S349" s="23">
        <v>0</v>
      </c>
      <c r="T349" s="23">
        <v>0</v>
      </c>
      <c r="U349" s="23">
        <v>0</v>
      </c>
      <c r="V349" s="23">
        <v>0</v>
      </c>
      <c r="W349" s="23">
        <v>0</v>
      </c>
      <c r="X349" s="23">
        <v>0</v>
      </c>
      <c r="Y349" s="23">
        <v>0</v>
      </c>
      <c r="Z349" s="23">
        <v>0</v>
      </c>
      <c r="AA349" s="23">
        <v>0</v>
      </c>
      <c r="AB349" s="23">
        <v>0</v>
      </c>
      <c r="AC349" s="25">
        <v>0</v>
      </c>
      <c r="AD349" s="25">
        <v>0</v>
      </c>
      <c r="AE349" s="25">
        <v>0</v>
      </c>
      <c r="AF349" s="25">
        <v>0</v>
      </c>
      <c r="AG349" s="25">
        <v>0</v>
      </c>
      <c r="AH349" s="25">
        <v>0</v>
      </c>
      <c r="AI349" s="25">
        <v>0</v>
      </c>
      <c r="AJ349" s="25">
        <v>0</v>
      </c>
      <c r="AK349" s="25">
        <v>0</v>
      </c>
      <c r="AL349" s="25">
        <v>0</v>
      </c>
      <c r="AM349" s="25">
        <v>0</v>
      </c>
    </row>
    <row r="350" spans="1:39" ht="15" customHeight="1">
      <c r="A350" s="32" t="str">
        <f t="shared" si="15"/>
        <v xml:space="preserve">Essential (Original)--&gt; 22 kV &amp; &lt; = 33 kV ; SUBDIVISION  </v>
      </c>
      <c r="B350" s="32" t="str">
        <f t="shared" si="16"/>
        <v>Essential (Original)</v>
      </c>
      <c r="C350" s="32" t="s">
        <v>719</v>
      </c>
      <c r="D350" s="384"/>
      <c r="F350" t="s">
        <v>194</v>
      </c>
      <c r="G350" s="21">
        <v>0</v>
      </c>
      <c r="H350" s="21">
        <v>0</v>
      </c>
      <c r="I350" s="21">
        <v>0</v>
      </c>
      <c r="J350" s="21">
        <v>0</v>
      </c>
      <c r="K350" s="21">
        <v>0</v>
      </c>
      <c r="L350" s="21">
        <v>0</v>
      </c>
      <c r="M350" s="21">
        <v>0</v>
      </c>
      <c r="N350" s="21">
        <v>0</v>
      </c>
      <c r="O350" s="21">
        <v>0</v>
      </c>
      <c r="P350" s="21">
        <v>0</v>
      </c>
      <c r="Q350" s="21">
        <v>0</v>
      </c>
      <c r="R350" s="23">
        <v>0</v>
      </c>
      <c r="S350" s="23">
        <v>0</v>
      </c>
      <c r="T350" s="23">
        <v>0</v>
      </c>
      <c r="U350" s="23">
        <v>0</v>
      </c>
      <c r="V350" s="23">
        <v>0</v>
      </c>
      <c r="W350" s="23">
        <v>0</v>
      </c>
      <c r="X350" s="23">
        <v>0</v>
      </c>
      <c r="Y350" s="23">
        <v>0</v>
      </c>
      <c r="Z350" s="23">
        <v>0</v>
      </c>
      <c r="AA350" s="23">
        <v>0</v>
      </c>
      <c r="AB350" s="23">
        <v>0</v>
      </c>
      <c r="AC350" s="25">
        <v>0</v>
      </c>
      <c r="AD350" s="25">
        <v>0</v>
      </c>
      <c r="AE350" s="25">
        <v>0</v>
      </c>
      <c r="AF350" s="25">
        <v>0</v>
      </c>
      <c r="AG350" s="25">
        <v>0</v>
      </c>
      <c r="AH350" s="25">
        <v>0</v>
      </c>
      <c r="AI350" s="25">
        <v>0</v>
      </c>
      <c r="AJ350" s="25">
        <v>0</v>
      </c>
      <c r="AK350" s="25">
        <v>0</v>
      </c>
      <c r="AL350" s="25">
        <v>0</v>
      </c>
      <c r="AM350" s="25">
        <v>0</v>
      </c>
    </row>
    <row r="351" spans="1:39" ht="15" customHeight="1">
      <c r="A351" s="32" t="str">
        <f t="shared" si="15"/>
        <v xml:space="preserve">Essential (Original)--&gt; 33 kV &amp; &lt; = 66 kV ; COMMERCIAL &amp; INDUSTRIAL  </v>
      </c>
      <c r="B351" s="32" t="str">
        <f t="shared" si="16"/>
        <v>Essential (Original)</v>
      </c>
      <c r="C351" s="32" t="s">
        <v>719</v>
      </c>
      <c r="D351" s="384"/>
      <c r="F351" t="s">
        <v>195</v>
      </c>
      <c r="G351" s="21">
        <v>0</v>
      </c>
      <c r="H351" s="21">
        <v>0</v>
      </c>
      <c r="I351" s="21">
        <v>0</v>
      </c>
      <c r="J351" s="21">
        <v>0</v>
      </c>
      <c r="K351" s="21">
        <v>0</v>
      </c>
      <c r="L351" s="21">
        <v>0</v>
      </c>
      <c r="M351" s="21">
        <v>0</v>
      </c>
      <c r="N351" s="21">
        <v>0</v>
      </c>
      <c r="O351" s="21">
        <v>0</v>
      </c>
      <c r="P351" s="21">
        <v>0</v>
      </c>
      <c r="Q351" s="21">
        <v>0</v>
      </c>
      <c r="R351" s="23">
        <v>0</v>
      </c>
      <c r="S351" s="23">
        <v>0</v>
      </c>
      <c r="T351" s="23">
        <v>0</v>
      </c>
      <c r="U351" s="23">
        <v>0</v>
      </c>
      <c r="V351" s="23">
        <v>0</v>
      </c>
      <c r="W351" s="23">
        <v>0</v>
      </c>
      <c r="X351" s="23">
        <v>0</v>
      </c>
      <c r="Y351" s="23">
        <v>0</v>
      </c>
      <c r="Z351" s="23">
        <v>0</v>
      </c>
      <c r="AA351" s="23">
        <v>0</v>
      </c>
      <c r="AB351" s="23">
        <v>0</v>
      </c>
      <c r="AC351" s="25">
        <v>0</v>
      </c>
      <c r="AD351" s="25">
        <v>0</v>
      </c>
      <c r="AE351" s="25">
        <v>0</v>
      </c>
      <c r="AF351" s="25">
        <v>0</v>
      </c>
      <c r="AG351" s="25">
        <v>0</v>
      </c>
      <c r="AH351" s="25">
        <v>0</v>
      </c>
      <c r="AI351" s="25">
        <v>0</v>
      </c>
      <c r="AJ351" s="25">
        <v>0</v>
      </c>
      <c r="AK351" s="25">
        <v>0</v>
      </c>
      <c r="AL351" s="25">
        <v>0</v>
      </c>
      <c r="AM351" s="25">
        <v>0</v>
      </c>
    </row>
    <row r="352" spans="1:39" ht="15" customHeight="1">
      <c r="A352" s="32" t="str">
        <f t="shared" si="15"/>
        <v xml:space="preserve">Essential (Original)--&gt; 33 kV &amp; &lt; = 66 kV ; SUBDIVISION  </v>
      </c>
      <c r="B352" s="32" t="str">
        <f t="shared" si="16"/>
        <v>Essential (Original)</v>
      </c>
      <c r="C352" s="32" t="s">
        <v>719</v>
      </c>
      <c r="D352" s="384"/>
      <c r="F352" t="s">
        <v>196</v>
      </c>
      <c r="G352" s="21">
        <v>0</v>
      </c>
      <c r="H352" s="21">
        <v>0</v>
      </c>
      <c r="I352" s="21">
        <v>0</v>
      </c>
      <c r="J352" s="21">
        <v>0</v>
      </c>
      <c r="K352" s="21">
        <v>0</v>
      </c>
      <c r="L352" s="21">
        <v>0</v>
      </c>
      <c r="M352" s="21">
        <v>0</v>
      </c>
      <c r="N352" s="21">
        <v>0</v>
      </c>
      <c r="O352" s="21">
        <v>0</v>
      </c>
      <c r="P352" s="21">
        <v>0</v>
      </c>
      <c r="Q352" s="21">
        <v>0</v>
      </c>
      <c r="R352" s="23">
        <v>0</v>
      </c>
      <c r="S352" s="23">
        <v>0</v>
      </c>
      <c r="T352" s="23">
        <v>0</v>
      </c>
      <c r="U352" s="23">
        <v>0</v>
      </c>
      <c r="V352" s="23">
        <v>0</v>
      </c>
      <c r="W352" s="23">
        <v>0</v>
      </c>
      <c r="X352" s="23">
        <v>0</v>
      </c>
      <c r="Y352" s="23">
        <v>0</v>
      </c>
      <c r="Z352" s="23">
        <v>0</v>
      </c>
      <c r="AA352" s="23">
        <v>0</v>
      </c>
      <c r="AB352" s="23">
        <v>0</v>
      </c>
      <c r="AC352" s="25">
        <v>0</v>
      </c>
      <c r="AD352" s="25">
        <v>0</v>
      </c>
      <c r="AE352" s="25">
        <v>0</v>
      </c>
      <c r="AF352" s="25">
        <v>0</v>
      </c>
      <c r="AG352" s="25">
        <v>0</v>
      </c>
      <c r="AH352" s="25">
        <v>0</v>
      </c>
      <c r="AI352" s="25">
        <v>0</v>
      </c>
      <c r="AJ352" s="25">
        <v>0</v>
      </c>
      <c r="AK352" s="25">
        <v>0</v>
      </c>
      <c r="AL352" s="25">
        <v>0</v>
      </c>
      <c r="AM352" s="25">
        <v>0</v>
      </c>
    </row>
    <row r="353" spans="1:39" ht="15" customHeight="1">
      <c r="A353" s="32" t="str">
        <f t="shared" si="15"/>
        <v xml:space="preserve">Essential (Original)--&gt; 66 kV &amp; &lt; = 132 kV ; COMMERCIAL &amp; INDUSTRIAL  </v>
      </c>
      <c r="B353" s="32" t="str">
        <f t="shared" si="16"/>
        <v>Essential (Original)</v>
      </c>
      <c r="C353" s="32" t="s">
        <v>719</v>
      </c>
      <c r="D353" s="384"/>
      <c r="F353" t="s">
        <v>197</v>
      </c>
      <c r="G353" s="21">
        <v>0</v>
      </c>
      <c r="H353" s="21">
        <v>0</v>
      </c>
      <c r="I353" s="21">
        <v>0</v>
      </c>
      <c r="J353" s="21">
        <v>0</v>
      </c>
      <c r="K353" s="21">
        <v>0</v>
      </c>
      <c r="L353" s="21">
        <v>0</v>
      </c>
      <c r="M353" s="21">
        <v>0</v>
      </c>
      <c r="N353" s="21">
        <v>0</v>
      </c>
      <c r="O353" s="21">
        <v>0</v>
      </c>
      <c r="P353" s="21">
        <v>0</v>
      </c>
      <c r="Q353" s="21">
        <v>0</v>
      </c>
      <c r="R353" s="23">
        <v>0</v>
      </c>
      <c r="S353" s="23">
        <v>0</v>
      </c>
      <c r="T353" s="23">
        <v>0</v>
      </c>
      <c r="U353" s="23">
        <v>0</v>
      </c>
      <c r="V353" s="23">
        <v>0</v>
      </c>
      <c r="W353" s="23">
        <v>0</v>
      </c>
      <c r="X353" s="23">
        <v>0</v>
      </c>
      <c r="Y353" s="23">
        <v>0</v>
      </c>
      <c r="Z353" s="23">
        <v>0</v>
      </c>
      <c r="AA353" s="23">
        <v>0</v>
      </c>
      <c r="AB353" s="23">
        <v>0</v>
      </c>
      <c r="AC353" s="25">
        <v>0</v>
      </c>
      <c r="AD353" s="25">
        <v>0</v>
      </c>
      <c r="AE353" s="25">
        <v>0</v>
      </c>
      <c r="AF353" s="25">
        <v>0</v>
      </c>
      <c r="AG353" s="25">
        <v>0</v>
      </c>
      <c r="AH353" s="25">
        <v>0</v>
      </c>
      <c r="AI353" s="25">
        <v>0</v>
      </c>
      <c r="AJ353" s="25">
        <v>0</v>
      </c>
      <c r="AK353" s="25">
        <v>0</v>
      </c>
      <c r="AL353" s="25">
        <v>0</v>
      </c>
      <c r="AM353" s="25">
        <v>0</v>
      </c>
    </row>
    <row r="354" spans="1:39" ht="15" customHeight="1">
      <c r="A354" s="32" t="str">
        <f t="shared" si="15"/>
        <v xml:space="preserve">Essential (Original)--&gt; 66 kV &amp; &lt; = 132 kV ; SUBDIVISION  </v>
      </c>
      <c r="B354" s="32" t="str">
        <f t="shared" si="16"/>
        <v>Essential (Original)</v>
      </c>
      <c r="C354" s="32" t="s">
        <v>719</v>
      </c>
      <c r="D354" s="384"/>
      <c r="F354" t="s">
        <v>198</v>
      </c>
      <c r="G354" s="21">
        <v>0</v>
      </c>
      <c r="H354" s="21">
        <v>0</v>
      </c>
      <c r="I354" s="21">
        <v>0</v>
      </c>
      <c r="J354" s="21">
        <v>0</v>
      </c>
      <c r="K354" s="21">
        <v>0</v>
      </c>
      <c r="L354" s="21">
        <v>0</v>
      </c>
      <c r="M354" s="21">
        <v>0</v>
      </c>
      <c r="N354" s="21">
        <v>0</v>
      </c>
      <c r="O354" s="21">
        <v>0</v>
      </c>
      <c r="P354" s="21">
        <v>0</v>
      </c>
      <c r="Q354" s="21">
        <v>0</v>
      </c>
      <c r="R354" s="23">
        <v>0</v>
      </c>
      <c r="S354" s="23">
        <v>0</v>
      </c>
      <c r="T354" s="23">
        <v>0</v>
      </c>
      <c r="U354" s="23">
        <v>0</v>
      </c>
      <c r="V354" s="23">
        <v>0</v>
      </c>
      <c r="W354" s="23">
        <v>0</v>
      </c>
      <c r="X354" s="23">
        <v>0</v>
      </c>
      <c r="Y354" s="23">
        <v>0</v>
      </c>
      <c r="Z354" s="23">
        <v>0</v>
      </c>
      <c r="AA354" s="23">
        <v>0</v>
      </c>
      <c r="AB354" s="23">
        <v>0</v>
      </c>
      <c r="AC354" s="25">
        <v>0</v>
      </c>
      <c r="AD354" s="25">
        <v>0</v>
      </c>
      <c r="AE354" s="25">
        <v>0</v>
      </c>
      <c r="AF354" s="25">
        <v>0</v>
      </c>
      <c r="AG354" s="25">
        <v>0</v>
      </c>
      <c r="AH354" s="25">
        <v>0</v>
      </c>
      <c r="AI354" s="25">
        <v>0</v>
      </c>
      <c r="AJ354" s="25">
        <v>0</v>
      </c>
      <c r="AK354" s="25">
        <v>0</v>
      </c>
      <c r="AL354" s="25">
        <v>0</v>
      </c>
      <c r="AM354" s="25">
        <v>0</v>
      </c>
    </row>
    <row r="355" spans="1:39" ht="15" customHeight="1">
      <c r="A355" s="32" t="str">
        <f t="shared" si="15"/>
        <v xml:space="preserve">Essential (Original)--&gt; 132 kV ; COMMERCIAL &amp; INDUSTRIAL  </v>
      </c>
      <c r="B355" s="32" t="str">
        <f t="shared" si="16"/>
        <v>Essential (Original)</v>
      </c>
      <c r="C355" s="32" t="s">
        <v>719</v>
      </c>
      <c r="D355" s="384"/>
      <c r="F355" t="s">
        <v>199</v>
      </c>
      <c r="G355" s="21">
        <v>0</v>
      </c>
      <c r="H355" s="21">
        <v>0</v>
      </c>
      <c r="I355" s="21">
        <v>0</v>
      </c>
      <c r="J355" s="21">
        <v>0</v>
      </c>
      <c r="K355" s="21">
        <v>0</v>
      </c>
      <c r="L355" s="21">
        <v>0</v>
      </c>
      <c r="M355" s="21">
        <v>0</v>
      </c>
      <c r="N355" s="21">
        <v>0</v>
      </c>
      <c r="O355" s="21">
        <v>0</v>
      </c>
      <c r="P355" s="21">
        <v>0</v>
      </c>
      <c r="Q355" s="21">
        <v>0</v>
      </c>
      <c r="R355" s="23">
        <v>0</v>
      </c>
      <c r="S355" s="23">
        <v>0</v>
      </c>
      <c r="T355" s="23">
        <v>0</v>
      </c>
      <c r="U355" s="23">
        <v>0</v>
      </c>
      <c r="V355" s="23">
        <v>0</v>
      </c>
      <c r="W355" s="23">
        <v>0</v>
      </c>
      <c r="X355" s="23">
        <v>0</v>
      </c>
      <c r="Y355" s="23">
        <v>0</v>
      </c>
      <c r="Z355" s="23">
        <v>0</v>
      </c>
      <c r="AA355" s="23">
        <v>0</v>
      </c>
      <c r="AB355" s="23">
        <v>0</v>
      </c>
      <c r="AC355" s="25">
        <v>0</v>
      </c>
      <c r="AD355" s="25">
        <v>0</v>
      </c>
      <c r="AE355" s="25">
        <v>0</v>
      </c>
      <c r="AF355" s="25">
        <v>0</v>
      </c>
      <c r="AG355" s="25">
        <v>0</v>
      </c>
      <c r="AH355" s="25">
        <v>0</v>
      </c>
      <c r="AI355" s="25">
        <v>0</v>
      </c>
      <c r="AJ355" s="25">
        <v>0</v>
      </c>
      <c r="AK355" s="25">
        <v>0</v>
      </c>
      <c r="AL355" s="25">
        <v>0</v>
      </c>
      <c r="AM355" s="25">
        <v>0</v>
      </c>
    </row>
    <row r="356" spans="1:39" ht="15" customHeight="1">
      <c r="A356" s="32" t="str">
        <f t="shared" si="15"/>
        <v xml:space="preserve">Essential (Original)--&gt; 132 kV ; SUBDIVISION  </v>
      </c>
      <c r="B356" s="32" t="str">
        <f t="shared" si="16"/>
        <v>Essential (Original)</v>
      </c>
      <c r="C356" s="32" t="s">
        <v>719</v>
      </c>
      <c r="D356" s="384"/>
      <c r="F356" t="s">
        <v>200</v>
      </c>
      <c r="G356" s="21">
        <v>0</v>
      </c>
      <c r="H356" s="21">
        <v>0</v>
      </c>
      <c r="I356" s="21">
        <v>0</v>
      </c>
      <c r="J356" s="21">
        <v>0</v>
      </c>
      <c r="K356" s="21">
        <v>0</v>
      </c>
      <c r="L356" s="21">
        <v>0</v>
      </c>
      <c r="M356" s="21">
        <v>0</v>
      </c>
      <c r="N356" s="21">
        <v>0</v>
      </c>
      <c r="O356" s="21">
        <v>0</v>
      </c>
      <c r="P356" s="21">
        <v>0</v>
      </c>
      <c r="Q356" s="21">
        <v>0</v>
      </c>
      <c r="R356" s="23">
        <v>0</v>
      </c>
      <c r="S356" s="23">
        <v>0</v>
      </c>
      <c r="T356" s="23">
        <v>0</v>
      </c>
      <c r="U356" s="23">
        <v>0</v>
      </c>
      <c r="V356" s="23">
        <v>0</v>
      </c>
      <c r="W356" s="23">
        <v>0</v>
      </c>
      <c r="X356" s="23">
        <v>0</v>
      </c>
      <c r="Y356" s="23">
        <v>0</v>
      </c>
      <c r="Z356" s="23">
        <v>0</v>
      </c>
      <c r="AA356" s="23">
        <v>0</v>
      </c>
      <c r="AB356" s="23">
        <v>0</v>
      </c>
      <c r="AC356" s="25">
        <v>0</v>
      </c>
      <c r="AD356" s="25">
        <v>0</v>
      </c>
      <c r="AE356" s="25">
        <v>0</v>
      </c>
      <c r="AF356" s="25">
        <v>0</v>
      </c>
      <c r="AG356" s="25">
        <v>0</v>
      </c>
      <c r="AH356" s="25">
        <v>0</v>
      </c>
      <c r="AI356" s="25">
        <v>0</v>
      </c>
      <c r="AJ356" s="25">
        <v>0</v>
      </c>
      <c r="AK356" s="25">
        <v>0</v>
      </c>
      <c r="AL356" s="25">
        <v>0</v>
      </c>
      <c r="AM356" s="25">
        <v>0</v>
      </c>
    </row>
    <row r="357" spans="1:39" ht="15" customHeight="1">
      <c r="A357" s="32" t="str">
        <f t="shared" si="15"/>
        <v>Essential (Original)--OTHER - PLEASE ADD A ROW IF NECESSARY AND NOMINATE THE CATEGORY</v>
      </c>
      <c r="B357" s="32" t="str">
        <f t="shared" si="16"/>
        <v>Essential (Original)</v>
      </c>
      <c r="C357" s="32" t="s">
        <v>719</v>
      </c>
      <c r="D357" s="384"/>
      <c r="F357" t="s">
        <v>170</v>
      </c>
      <c r="G357" s="21" t="s">
        <v>338</v>
      </c>
      <c r="H357" s="21" t="s">
        <v>338</v>
      </c>
      <c r="I357" s="21" t="s">
        <v>338</v>
      </c>
      <c r="J357" s="21" t="s">
        <v>338</v>
      </c>
      <c r="K357" s="21" t="s">
        <v>338</v>
      </c>
      <c r="L357" s="21" t="s">
        <v>338</v>
      </c>
      <c r="M357" s="21" t="s">
        <v>338</v>
      </c>
      <c r="N357" s="21" t="s">
        <v>338</v>
      </c>
      <c r="O357" s="21" t="s">
        <v>338</v>
      </c>
      <c r="P357" s="21" t="s">
        <v>338</v>
      </c>
      <c r="Q357" s="21" t="s">
        <v>338</v>
      </c>
      <c r="R357" s="23">
        <v>0</v>
      </c>
      <c r="S357" s="23">
        <v>0</v>
      </c>
      <c r="T357" s="23">
        <v>0</v>
      </c>
      <c r="U357" s="23">
        <v>0</v>
      </c>
      <c r="V357" s="23">
        <v>0</v>
      </c>
      <c r="W357" s="23">
        <v>0</v>
      </c>
      <c r="X357" s="23">
        <v>0</v>
      </c>
      <c r="Y357" s="23">
        <v>0</v>
      </c>
      <c r="Z357" s="23">
        <v>0</v>
      </c>
      <c r="AA357" s="23">
        <v>0</v>
      </c>
      <c r="AB357" s="23">
        <v>0</v>
      </c>
      <c r="AC357" s="25">
        <v>0</v>
      </c>
      <c r="AD357" s="25">
        <v>0</v>
      </c>
      <c r="AE357" s="25">
        <v>0</v>
      </c>
      <c r="AF357" s="25">
        <v>0</v>
      </c>
      <c r="AG357" s="25">
        <v>0</v>
      </c>
      <c r="AH357" s="25">
        <v>0</v>
      </c>
      <c r="AI357" s="25">
        <v>0</v>
      </c>
      <c r="AJ357" s="25">
        <v>0</v>
      </c>
      <c r="AK357" s="25">
        <v>0</v>
      </c>
      <c r="AL357" s="25">
        <v>0</v>
      </c>
      <c r="AM357" s="25">
        <v>0</v>
      </c>
    </row>
    <row r="358" spans="1:39" ht="75" customHeight="1">
      <c r="A358" s="32" t="str">
        <f t="shared" si="15"/>
        <v>Essential (Original)-TRANSFORMERS BY: 
MOUNTING TYPE; HIGHEST OPERATING VOLTAGE ; AMPERE RATING; NUMBER OF PHASES (AT LV)-POLE MOUNTED ; &lt; = 22kV ;  &lt; = 60 kVA ; SINGLE PHASE</v>
      </c>
      <c r="B358" s="32" t="str">
        <f t="shared" si="16"/>
        <v>Essential (Original)</v>
      </c>
      <c r="C358" s="32" t="s">
        <v>4</v>
      </c>
      <c r="D358" s="384"/>
      <c r="E358" s="3" t="s">
        <v>544</v>
      </c>
      <c r="F358" t="s">
        <v>203</v>
      </c>
      <c r="G358" s="21">
        <v>60.530086925434958</v>
      </c>
      <c r="H358" s="21">
        <v>189.59801054394222</v>
      </c>
      <c r="I358" s="21">
        <v>346.23006279986822</v>
      </c>
      <c r="J358" s="21">
        <v>517.5821324911966</v>
      </c>
      <c r="K358" s="21">
        <v>540.05745737527002</v>
      </c>
      <c r="L358" s="21">
        <v>335.65737943100532</v>
      </c>
      <c r="M358" s="21">
        <v>595.73402978318404</v>
      </c>
      <c r="N358" s="21">
        <v>593.50039870050568</v>
      </c>
      <c r="O358" s="21">
        <v>599.96478673872855</v>
      </c>
      <c r="P358" s="21">
        <v>576.97725781442193</v>
      </c>
      <c r="Q358" s="21">
        <v>553.7762100484241</v>
      </c>
      <c r="R358" s="23">
        <v>66</v>
      </c>
      <c r="S358" s="23">
        <v>81</v>
      </c>
      <c r="T358" s="23">
        <v>147</v>
      </c>
      <c r="U358" s="23">
        <v>196</v>
      </c>
      <c r="V358" s="23">
        <v>255</v>
      </c>
      <c r="W358" s="23">
        <v>223.70967741935482</v>
      </c>
      <c r="X358" s="23">
        <v>189.17570498915404</v>
      </c>
      <c r="Y358" s="23">
        <v>189.17570498915404</v>
      </c>
      <c r="Z358" s="23">
        <v>189.17570498915404</v>
      </c>
      <c r="AA358" s="23">
        <v>189.17570498915404</v>
      </c>
      <c r="AB358" s="23">
        <v>189.17570498915404</v>
      </c>
      <c r="AC358" s="25">
        <v>343</v>
      </c>
      <c r="AD358" s="25">
        <v>269</v>
      </c>
      <c r="AE358" s="25">
        <v>240</v>
      </c>
      <c r="AF358" s="25">
        <v>360</v>
      </c>
      <c r="AG358" s="25">
        <v>334</v>
      </c>
      <c r="AH358" s="25">
        <v>313.48790322580652</v>
      </c>
      <c r="AI358" s="25">
        <v>323.74395161290323</v>
      </c>
      <c r="AJ358" s="25">
        <v>323.74395161290323</v>
      </c>
      <c r="AK358" s="25">
        <v>323.74395161290323</v>
      </c>
      <c r="AL358" s="25">
        <v>323.74395161290323</v>
      </c>
      <c r="AM358" s="25">
        <v>323.74395161290323</v>
      </c>
    </row>
    <row r="359" spans="1:39" ht="15" customHeight="1">
      <c r="A359" s="32" t="str">
        <f t="shared" si="15"/>
        <v>Essential (Original)--POLE MOUNTED ; &lt; = 22kV ;  &gt; 60 kVA AND &lt; = 600 kVA ; SINGLE PHASE</v>
      </c>
      <c r="B359" s="32" t="str">
        <f t="shared" si="16"/>
        <v>Essential (Original)</v>
      </c>
      <c r="C359" s="32" t="s">
        <v>4</v>
      </c>
      <c r="D359" s="384"/>
      <c r="F359" t="s">
        <v>204</v>
      </c>
      <c r="G359" s="21">
        <v>2.7513675875197707</v>
      </c>
      <c r="H359" s="21">
        <v>7.0221485386645259</v>
      </c>
      <c r="I359" s="21">
        <v>0</v>
      </c>
      <c r="J359" s="21">
        <v>7.9221754973142344</v>
      </c>
      <c r="K359" s="21">
        <v>25.414468582365647</v>
      </c>
      <c r="L359" s="21">
        <v>6.6248166992961588</v>
      </c>
      <c r="M359" s="21">
        <v>28.03454257803218</v>
      </c>
      <c r="N359" s="21">
        <v>27.929430527082616</v>
      </c>
      <c r="O359" s="21">
        <v>28.233637022998987</v>
      </c>
      <c r="P359" s="21">
        <v>27.15187095597279</v>
      </c>
      <c r="Q359" s="21">
        <v>26.060056943455244</v>
      </c>
      <c r="R359" s="23">
        <v>1</v>
      </c>
      <c r="S359" s="23">
        <v>1</v>
      </c>
      <c r="T359" s="23">
        <v>0</v>
      </c>
      <c r="U359" s="23">
        <v>1</v>
      </c>
      <c r="V359" s="23">
        <v>4</v>
      </c>
      <c r="W359" s="23">
        <v>1.471774193548387</v>
      </c>
      <c r="X359" s="23">
        <v>2.9674620390455533</v>
      </c>
      <c r="Y359" s="23">
        <v>2.9674620390455533</v>
      </c>
      <c r="Z359" s="23">
        <v>2.9674620390455533</v>
      </c>
      <c r="AA359" s="23">
        <v>2.9674620390455533</v>
      </c>
      <c r="AB359" s="23">
        <v>2.9674620390455533</v>
      </c>
      <c r="AC359" s="25">
        <v>0</v>
      </c>
      <c r="AD359" s="25">
        <v>2</v>
      </c>
      <c r="AE359" s="25">
        <v>4</v>
      </c>
      <c r="AF359" s="25">
        <v>2</v>
      </c>
      <c r="AG359" s="25">
        <v>5</v>
      </c>
      <c r="AH359" s="25">
        <v>2.943548387096774</v>
      </c>
      <c r="AI359" s="25">
        <v>3.9717741935483875</v>
      </c>
      <c r="AJ359" s="25">
        <v>3.9717741935483875</v>
      </c>
      <c r="AK359" s="25">
        <v>3.9717741935483875</v>
      </c>
      <c r="AL359" s="25">
        <v>3.9717741935483875</v>
      </c>
      <c r="AM359" s="25">
        <v>3.9717741935483875</v>
      </c>
    </row>
    <row r="360" spans="1:39" ht="15" customHeight="1">
      <c r="A360" s="32" t="str">
        <f t="shared" si="15"/>
        <v>Essential (Original)--POLE MOUNTED ; &lt; = 22kV ;  &gt; 600 kVA ; SINGLE PHASE</v>
      </c>
      <c r="B360" s="32" t="str">
        <f t="shared" si="16"/>
        <v>Essential (Original)</v>
      </c>
      <c r="C360" s="32" t="s">
        <v>4</v>
      </c>
      <c r="D360" s="384"/>
      <c r="F360" t="s">
        <v>205</v>
      </c>
      <c r="G360" s="21">
        <v>0</v>
      </c>
      <c r="H360" s="21">
        <v>0</v>
      </c>
      <c r="I360" s="21">
        <v>0</v>
      </c>
      <c r="J360" s="21">
        <v>0</v>
      </c>
      <c r="K360" s="21">
        <v>0</v>
      </c>
      <c r="L360" s="21">
        <v>0</v>
      </c>
      <c r="M360" s="21">
        <v>0</v>
      </c>
      <c r="N360" s="21">
        <v>0</v>
      </c>
      <c r="O360" s="21">
        <v>0</v>
      </c>
      <c r="P360" s="21">
        <v>0</v>
      </c>
      <c r="Q360" s="21">
        <v>0</v>
      </c>
      <c r="R360" s="23">
        <v>0</v>
      </c>
      <c r="S360" s="23">
        <v>0</v>
      </c>
      <c r="T360" s="23">
        <v>0</v>
      </c>
      <c r="U360" s="23">
        <v>0</v>
      </c>
      <c r="V360" s="23">
        <v>0</v>
      </c>
      <c r="W360" s="23">
        <v>0</v>
      </c>
      <c r="X360" s="23">
        <v>0</v>
      </c>
      <c r="Y360" s="23">
        <v>0</v>
      </c>
      <c r="Z360" s="23">
        <v>0</v>
      </c>
      <c r="AA360" s="23">
        <v>0</v>
      </c>
      <c r="AB360" s="23">
        <v>0</v>
      </c>
      <c r="AC360" s="25">
        <v>0</v>
      </c>
      <c r="AD360" s="25">
        <v>0</v>
      </c>
      <c r="AE360" s="25">
        <v>0</v>
      </c>
      <c r="AF360" s="25">
        <v>0</v>
      </c>
      <c r="AG360" s="25">
        <v>0</v>
      </c>
      <c r="AH360" s="25">
        <v>0</v>
      </c>
      <c r="AI360" s="25">
        <v>0</v>
      </c>
      <c r="AJ360" s="25">
        <v>0</v>
      </c>
      <c r="AK360" s="25">
        <v>0</v>
      </c>
      <c r="AL360" s="25">
        <v>0</v>
      </c>
      <c r="AM360" s="25">
        <v>0</v>
      </c>
    </row>
    <row r="361" spans="1:39" ht="15" customHeight="1">
      <c r="A361" s="32" t="str">
        <f t="shared" si="15"/>
        <v>Essential (Original)--POLE MOUNTED ; &lt; = 22kV ;  &lt; = 60 kVA  ; MULTIPLE PHASE</v>
      </c>
      <c r="B361" s="32" t="str">
        <f t="shared" si="16"/>
        <v>Essential (Original)</v>
      </c>
      <c r="C361" s="32" t="s">
        <v>4</v>
      </c>
      <c r="D361" s="384"/>
      <c r="F361" t="s">
        <v>206</v>
      </c>
      <c r="G361" s="21">
        <v>20.176695641811651</v>
      </c>
      <c r="H361" s="21">
        <v>74.902917745754948</v>
      </c>
      <c r="I361" s="21">
        <v>221.39881566794293</v>
      </c>
      <c r="J361" s="21">
        <v>174.28786094091316</v>
      </c>
      <c r="K361" s="21">
        <v>203.31574865892517</v>
      </c>
      <c r="L361" s="21">
        <v>136.91287845212062</v>
      </c>
      <c r="M361" s="21">
        <v>224.27634062425744</v>
      </c>
      <c r="N361" s="21">
        <v>223.43544421666093</v>
      </c>
      <c r="O361" s="21">
        <v>225.8690961839919</v>
      </c>
      <c r="P361" s="21">
        <v>217.21496764778232</v>
      </c>
      <c r="Q361" s="21">
        <v>208.48045554764195</v>
      </c>
      <c r="R361" s="23">
        <v>11</v>
      </c>
      <c r="S361" s="23">
        <v>16</v>
      </c>
      <c r="T361" s="23">
        <v>47</v>
      </c>
      <c r="U361" s="23">
        <v>33</v>
      </c>
      <c r="V361" s="23">
        <v>48</v>
      </c>
      <c r="W361" s="23">
        <v>45.625</v>
      </c>
      <c r="X361" s="23">
        <v>35.609544468546638</v>
      </c>
      <c r="Y361" s="23">
        <v>35.609544468546638</v>
      </c>
      <c r="Z361" s="23">
        <v>35.609544468546638</v>
      </c>
      <c r="AA361" s="23">
        <v>35.609544468546638</v>
      </c>
      <c r="AB361" s="23">
        <v>35.609544468546638</v>
      </c>
      <c r="AC361" s="25">
        <v>45</v>
      </c>
      <c r="AD361" s="25">
        <v>54</v>
      </c>
      <c r="AE361" s="25">
        <v>42</v>
      </c>
      <c r="AF361" s="25">
        <v>68</v>
      </c>
      <c r="AG361" s="25">
        <v>63</v>
      </c>
      <c r="AH361" s="25">
        <v>79.475806451612897</v>
      </c>
      <c r="AI361" s="25">
        <v>71.237903225806448</v>
      </c>
      <c r="AJ361" s="25">
        <v>71.237903225806448</v>
      </c>
      <c r="AK361" s="25">
        <v>71.237903225806448</v>
      </c>
      <c r="AL361" s="25">
        <v>71.237903225806448</v>
      </c>
      <c r="AM361" s="25">
        <v>71.237903225806448</v>
      </c>
    </row>
    <row r="362" spans="1:39" ht="15" customHeight="1">
      <c r="A362" s="32" t="str">
        <f t="shared" si="15"/>
        <v>Essential (Original)--POLE MOUNTED ; &lt; = 22kV ;  &gt; 60 kVA AND &lt; = 600 kVA  ; MULTIPLE PHASE</v>
      </c>
      <c r="B362" s="32" t="str">
        <f t="shared" si="16"/>
        <v>Essential (Original)</v>
      </c>
      <c r="C362" s="32" t="s">
        <v>4</v>
      </c>
      <c r="D362" s="384"/>
      <c r="F362" t="s">
        <v>207</v>
      </c>
      <c r="G362" s="21">
        <v>201.76695641811654</v>
      </c>
      <c r="H362" s="21">
        <v>386.21816962654896</v>
      </c>
      <c r="I362" s="21">
        <v>871.46342337381782</v>
      </c>
      <c r="J362" s="21">
        <v>1082.6973179662787</v>
      </c>
      <c r="K362" s="21">
        <v>1514.2787530326202</v>
      </c>
      <c r="L362" s="21">
        <v>1048.9293107218919</v>
      </c>
      <c r="M362" s="21">
        <v>1666.5831966664123</v>
      </c>
      <c r="N362" s="21">
        <v>1660.334549042072</v>
      </c>
      <c r="O362" s="21">
        <v>1678.418861743085</v>
      </c>
      <c r="P362" s="21">
        <v>1614.1105840170737</v>
      </c>
      <c r="Q362" s="21">
        <v>1549.2049811493994</v>
      </c>
      <c r="R362" s="23">
        <v>44</v>
      </c>
      <c r="S362" s="23">
        <v>33</v>
      </c>
      <c r="T362" s="23">
        <v>74</v>
      </c>
      <c r="U362" s="23">
        <v>82</v>
      </c>
      <c r="V362" s="23">
        <v>143.00000000000003</v>
      </c>
      <c r="W362" s="23">
        <v>139.81854838709677</v>
      </c>
      <c r="X362" s="23">
        <v>105.84490238611714</v>
      </c>
      <c r="Y362" s="23">
        <v>105.84490238611714</v>
      </c>
      <c r="Z362" s="23">
        <v>105.84490238611714</v>
      </c>
      <c r="AA362" s="23">
        <v>105.84490238611714</v>
      </c>
      <c r="AB362" s="23">
        <v>105.84490238611714</v>
      </c>
      <c r="AC362" s="25">
        <v>76</v>
      </c>
      <c r="AD362" s="25">
        <v>70</v>
      </c>
      <c r="AE362" s="25">
        <v>54</v>
      </c>
      <c r="AF362" s="25">
        <v>79</v>
      </c>
      <c r="AG362" s="25">
        <v>76</v>
      </c>
      <c r="AH362" s="25">
        <v>97.137096774193552</v>
      </c>
      <c r="AI362" s="25">
        <v>86.568548387096769</v>
      </c>
      <c r="AJ362" s="25">
        <v>86.568548387096769</v>
      </c>
      <c r="AK362" s="25">
        <v>86.568548387096769</v>
      </c>
      <c r="AL362" s="25">
        <v>86.568548387096769</v>
      </c>
      <c r="AM362" s="25">
        <v>86.568548387096769</v>
      </c>
    </row>
    <row r="363" spans="1:39" ht="15" customHeight="1">
      <c r="A363" s="32" t="str">
        <f t="shared" si="15"/>
        <v>Essential (Original)--POLE MOUNTED ; &lt; = 22kV ;  &gt; 600 kVA  ; MULTIPLE PHASE</v>
      </c>
      <c r="B363" s="32" t="str">
        <f t="shared" si="16"/>
        <v>Essential (Original)</v>
      </c>
      <c r="C363" s="32" t="s">
        <v>4</v>
      </c>
      <c r="D363" s="384"/>
      <c r="F363" t="s">
        <v>208</v>
      </c>
      <c r="G363" s="21">
        <v>0</v>
      </c>
      <c r="H363" s="21">
        <v>0</v>
      </c>
      <c r="I363" s="21">
        <v>0</v>
      </c>
      <c r="J363" s="21">
        <v>0</v>
      </c>
      <c r="K363" s="21">
        <v>33.885958109820869</v>
      </c>
      <c r="L363" s="21">
        <v>0</v>
      </c>
      <c r="M363" s="21">
        <v>37.379390104042912</v>
      </c>
      <c r="N363" s="21">
        <v>37.239240702776826</v>
      </c>
      <c r="O363" s="21">
        <v>37.644849363998652</v>
      </c>
      <c r="P363" s="21">
        <v>36.202494607963722</v>
      </c>
      <c r="Q363" s="21">
        <v>34.746742591273666</v>
      </c>
      <c r="R363" s="23">
        <v>0</v>
      </c>
      <c r="S363" s="23">
        <v>0</v>
      </c>
      <c r="T363" s="23">
        <v>0</v>
      </c>
      <c r="U363" s="23">
        <v>0</v>
      </c>
      <c r="V363" s="23">
        <v>2</v>
      </c>
      <c r="W363" s="23">
        <v>0</v>
      </c>
      <c r="X363" s="23">
        <v>1.4837310195227766</v>
      </c>
      <c r="Y363" s="23">
        <v>1.4837310195227766</v>
      </c>
      <c r="Z363" s="23">
        <v>1.4837310195227766</v>
      </c>
      <c r="AA363" s="23">
        <v>1.4837310195227766</v>
      </c>
      <c r="AB363" s="23">
        <v>1.4837310195227766</v>
      </c>
      <c r="AC363" s="25">
        <v>0</v>
      </c>
      <c r="AD363" s="25">
        <v>0</v>
      </c>
      <c r="AE363" s="25">
        <v>0</v>
      </c>
      <c r="AF363" s="25">
        <v>0</v>
      </c>
      <c r="AG363" s="25">
        <v>0</v>
      </c>
      <c r="AH363" s="25">
        <v>0</v>
      </c>
      <c r="AI363" s="25">
        <v>0</v>
      </c>
      <c r="AJ363" s="25">
        <v>0</v>
      </c>
      <c r="AK363" s="25">
        <v>0</v>
      </c>
      <c r="AL363" s="25">
        <v>0</v>
      </c>
      <c r="AM363" s="25">
        <v>0</v>
      </c>
    </row>
    <row r="364" spans="1:39" ht="15" customHeight="1">
      <c r="A364" s="32" t="str">
        <f t="shared" si="15"/>
        <v xml:space="preserve">Essential (Original)--POLE MOUNTED ; &gt; 22 kV ;  &lt; = 60 kVA </v>
      </c>
      <c r="B364" s="32" t="str">
        <f t="shared" si="16"/>
        <v>Essential (Original)</v>
      </c>
      <c r="C364" s="32" t="s">
        <v>4</v>
      </c>
      <c r="D364" s="384"/>
      <c r="F364" t="s">
        <v>209</v>
      </c>
      <c r="G364" s="21">
        <v>0</v>
      </c>
      <c r="H364" s="21">
        <v>7.0221485386645259</v>
      </c>
      <c r="I364" s="21">
        <v>14.131839297953805</v>
      </c>
      <c r="J364" s="21">
        <v>39.610877486571169</v>
      </c>
      <c r="K364" s="21">
        <v>31.768085727957061</v>
      </c>
      <c r="L364" s="21">
        <v>13.249633398592318</v>
      </c>
      <c r="M364" s="21">
        <v>35.043178222540234</v>
      </c>
      <c r="N364" s="21">
        <v>34.91178815885327</v>
      </c>
      <c r="O364" s="21">
        <v>35.292046278748742</v>
      </c>
      <c r="P364" s="21">
        <v>33.939838694965992</v>
      </c>
      <c r="Q364" s="21">
        <v>32.57507117931906</v>
      </c>
      <c r="R364" s="23">
        <v>0</v>
      </c>
      <c r="S364" s="23">
        <v>1</v>
      </c>
      <c r="T364" s="23">
        <v>2</v>
      </c>
      <c r="U364" s="23">
        <v>5</v>
      </c>
      <c r="V364" s="23">
        <v>5</v>
      </c>
      <c r="W364" s="23">
        <v>2.943548387096774</v>
      </c>
      <c r="X364" s="23">
        <v>3.7093275488069417</v>
      </c>
      <c r="Y364" s="23">
        <v>3.7093275488069417</v>
      </c>
      <c r="Z364" s="23">
        <v>3.7093275488069417</v>
      </c>
      <c r="AA364" s="23">
        <v>3.7093275488069417</v>
      </c>
      <c r="AB364" s="23">
        <v>3.7093275488069417</v>
      </c>
      <c r="AC364" s="25">
        <v>3</v>
      </c>
      <c r="AD364" s="25">
        <v>3</v>
      </c>
      <c r="AE364" s="25">
        <v>3</v>
      </c>
      <c r="AF364" s="25">
        <v>3</v>
      </c>
      <c r="AG364" s="25">
        <v>4</v>
      </c>
      <c r="AH364" s="25">
        <v>1.471774193548387</v>
      </c>
      <c r="AI364" s="25">
        <v>2.7358870967741935</v>
      </c>
      <c r="AJ364" s="25">
        <v>2.7358870967741935</v>
      </c>
      <c r="AK364" s="25">
        <v>2.7358870967741935</v>
      </c>
      <c r="AL364" s="25">
        <v>2.7358870967741935</v>
      </c>
      <c r="AM364" s="25">
        <v>2.7358870967741935</v>
      </c>
    </row>
    <row r="365" spans="1:39" ht="15" customHeight="1">
      <c r="A365" s="32" t="str">
        <f t="shared" si="15"/>
        <v xml:space="preserve">Essential (Original)--POLE MOUNTED ; &gt; 22 kV ;  &gt; 60 kVA AND &lt; = 600 kVA </v>
      </c>
      <c r="B365" s="32" t="str">
        <f t="shared" si="16"/>
        <v>Essential (Original)</v>
      </c>
      <c r="C365" s="32" t="s">
        <v>4</v>
      </c>
      <c r="D365" s="384"/>
      <c r="F365" t="s">
        <v>210</v>
      </c>
      <c r="G365" s="21">
        <v>0</v>
      </c>
      <c r="H365" s="21">
        <v>0</v>
      </c>
      <c r="I365" s="21">
        <v>70.659196489769016</v>
      </c>
      <c r="J365" s="21">
        <v>95.06610596777081</v>
      </c>
      <c r="K365" s="21">
        <v>50.828937164731293</v>
      </c>
      <c r="L365" s="21">
        <v>92.747433790146218</v>
      </c>
      <c r="M365" s="21">
        <v>56.069085156064361</v>
      </c>
      <c r="N365" s="21">
        <v>55.858861054165232</v>
      </c>
      <c r="O365" s="21">
        <v>56.467274045997975</v>
      </c>
      <c r="P365" s="21">
        <v>54.303741911945579</v>
      </c>
      <c r="Q365" s="21">
        <v>52.120113886910488</v>
      </c>
      <c r="R365" s="23">
        <v>0</v>
      </c>
      <c r="S365" s="23">
        <v>0</v>
      </c>
      <c r="T365" s="23">
        <v>5</v>
      </c>
      <c r="U365" s="23">
        <v>6</v>
      </c>
      <c r="V365" s="23">
        <v>4</v>
      </c>
      <c r="W365" s="23">
        <v>10.302419354838708</v>
      </c>
      <c r="X365" s="23">
        <v>2.9674620390455533</v>
      </c>
      <c r="Y365" s="23">
        <v>2.9674620390455533</v>
      </c>
      <c r="Z365" s="23">
        <v>2.9674620390455533</v>
      </c>
      <c r="AA365" s="23">
        <v>2.9674620390455533</v>
      </c>
      <c r="AB365" s="23">
        <v>2.9674620390455533</v>
      </c>
      <c r="AC365" s="25">
        <v>6</v>
      </c>
      <c r="AD365" s="25">
        <v>1</v>
      </c>
      <c r="AE365" s="25">
        <v>6</v>
      </c>
      <c r="AF365" s="25">
        <v>6</v>
      </c>
      <c r="AG365" s="25">
        <v>3</v>
      </c>
      <c r="AH365" s="25">
        <v>5.887096774193548</v>
      </c>
      <c r="AI365" s="25">
        <v>4.443548387096774</v>
      </c>
      <c r="AJ365" s="25">
        <v>4.443548387096774</v>
      </c>
      <c r="AK365" s="25">
        <v>4.443548387096774</v>
      </c>
      <c r="AL365" s="25">
        <v>4.443548387096774</v>
      </c>
      <c r="AM365" s="25">
        <v>4.443548387096774</v>
      </c>
    </row>
    <row r="366" spans="1:39" ht="15" customHeight="1">
      <c r="A366" s="32" t="str">
        <f t="shared" si="15"/>
        <v>Essential (Original)--POLE MOUNTED ; &gt; 22 kV ;  &gt; 600 kVA</v>
      </c>
      <c r="B366" s="32" t="str">
        <f t="shared" si="16"/>
        <v>Essential (Original)</v>
      </c>
      <c r="C366" s="32" t="s">
        <v>4</v>
      </c>
      <c r="D366" s="384"/>
      <c r="F366" t="s">
        <v>211</v>
      </c>
      <c r="G366" s="21">
        <v>0</v>
      </c>
      <c r="H366" s="21">
        <v>0</v>
      </c>
      <c r="I366" s="21">
        <v>0</v>
      </c>
      <c r="J366" s="21">
        <v>0</v>
      </c>
      <c r="K366" s="21">
        <v>0</v>
      </c>
      <c r="L366" s="21">
        <v>0</v>
      </c>
      <c r="M366" s="21">
        <v>0</v>
      </c>
      <c r="N366" s="21">
        <v>0</v>
      </c>
      <c r="O366" s="21">
        <v>0</v>
      </c>
      <c r="P366" s="21">
        <v>0</v>
      </c>
      <c r="Q366" s="21">
        <v>0</v>
      </c>
      <c r="R366" s="23">
        <v>0</v>
      </c>
      <c r="S366" s="23">
        <v>0</v>
      </c>
      <c r="T366" s="23">
        <v>0</v>
      </c>
      <c r="U366" s="23">
        <v>0</v>
      </c>
      <c r="V366" s="23">
        <v>0</v>
      </c>
      <c r="W366" s="23">
        <v>0</v>
      </c>
      <c r="X366" s="23">
        <v>0</v>
      </c>
      <c r="Y366" s="23">
        <v>0</v>
      </c>
      <c r="Z366" s="23">
        <v>0</v>
      </c>
      <c r="AA366" s="23">
        <v>0</v>
      </c>
      <c r="AB366" s="23">
        <v>0</v>
      </c>
      <c r="AC366" s="25">
        <v>0</v>
      </c>
      <c r="AD366" s="25">
        <v>0</v>
      </c>
      <c r="AE366" s="25">
        <v>0</v>
      </c>
      <c r="AF366" s="25">
        <v>1</v>
      </c>
      <c r="AG366" s="25">
        <v>0</v>
      </c>
      <c r="AH366" s="25">
        <v>0</v>
      </c>
      <c r="AI366" s="25">
        <v>0</v>
      </c>
      <c r="AJ366" s="25">
        <v>0</v>
      </c>
      <c r="AK366" s="25">
        <v>0</v>
      </c>
      <c r="AL366" s="25">
        <v>0</v>
      </c>
      <c r="AM366" s="25">
        <v>0</v>
      </c>
    </row>
    <row r="367" spans="1:39" ht="15" customHeight="1">
      <c r="A367" s="32" t="str">
        <f t="shared" si="15"/>
        <v xml:space="preserve">Essential (Original)--POLE MOUNTED ; &gt; 22 kV ;  &lt; = 60 kVA </v>
      </c>
      <c r="B367" s="32" t="str">
        <f t="shared" si="16"/>
        <v>Essential (Original)</v>
      </c>
      <c r="C367" s="32" t="s">
        <v>4</v>
      </c>
      <c r="D367" s="384"/>
      <c r="F367" t="s">
        <v>209</v>
      </c>
      <c r="G367" s="21">
        <v>0</v>
      </c>
      <c r="H367" s="21">
        <v>0</v>
      </c>
      <c r="I367" s="21">
        <v>0</v>
      </c>
      <c r="J367" s="21">
        <v>0</v>
      </c>
      <c r="K367" s="21">
        <v>0</v>
      </c>
      <c r="L367" s="21">
        <v>0</v>
      </c>
      <c r="M367" s="21">
        <v>0</v>
      </c>
      <c r="N367" s="21">
        <v>0</v>
      </c>
      <c r="O367" s="21">
        <v>0</v>
      </c>
      <c r="P367" s="21">
        <v>0</v>
      </c>
      <c r="Q367" s="21">
        <v>0</v>
      </c>
      <c r="R367" s="23">
        <v>0</v>
      </c>
      <c r="S367" s="23">
        <v>0</v>
      </c>
      <c r="T367" s="23">
        <v>0</v>
      </c>
      <c r="U367" s="23">
        <v>0</v>
      </c>
      <c r="V367" s="23">
        <v>0</v>
      </c>
      <c r="W367" s="23">
        <v>0</v>
      </c>
      <c r="X367" s="23">
        <v>0</v>
      </c>
      <c r="Y367" s="23">
        <v>0</v>
      </c>
      <c r="Z367" s="23">
        <v>0</v>
      </c>
      <c r="AA367" s="23">
        <v>0</v>
      </c>
      <c r="AB367" s="23">
        <v>0</v>
      </c>
      <c r="AC367" s="25">
        <v>0</v>
      </c>
      <c r="AD367" s="25">
        <v>0</v>
      </c>
      <c r="AE367" s="25">
        <v>0</v>
      </c>
      <c r="AF367" s="25">
        <v>0</v>
      </c>
      <c r="AG367" s="25">
        <v>0</v>
      </c>
      <c r="AH367" s="25">
        <v>0</v>
      </c>
      <c r="AI367" s="25">
        <v>0</v>
      </c>
      <c r="AJ367" s="25">
        <v>0</v>
      </c>
      <c r="AK367" s="25">
        <v>0</v>
      </c>
      <c r="AL367" s="25">
        <v>0</v>
      </c>
      <c r="AM367" s="25">
        <v>0</v>
      </c>
    </row>
    <row r="368" spans="1:39" ht="15" customHeight="1">
      <c r="A368" s="32" t="str">
        <f t="shared" si="15"/>
        <v>Essential (Original)--POLE MOUNTED ; &gt; 22 kV ;  &gt; 60 kVA AND &lt; = 600 kVA</v>
      </c>
      <c r="B368" s="32" t="str">
        <f t="shared" si="16"/>
        <v>Essential (Original)</v>
      </c>
      <c r="C368" s="32" t="s">
        <v>4</v>
      </c>
      <c r="D368" s="384"/>
      <c r="F368" t="s">
        <v>212</v>
      </c>
      <c r="G368" s="21">
        <v>0</v>
      </c>
      <c r="H368" s="21">
        <v>0</v>
      </c>
      <c r="I368" s="21">
        <v>0</v>
      </c>
      <c r="J368" s="21">
        <v>0</v>
      </c>
      <c r="K368" s="21">
        <v>0</v>
      </c>
      <c r="L368" s="21">
        <v>0</v>
      </c>
      <c r="M368" s="21">
        <v>0</v>
      </c>
      <c r="N368" s="21">
        <v>0</v>
      </c>
      <c r="O368" s="21">
        <v>0</v>
      </c>
      <c r="P368" s="21">
        <v>0</v>
      </c>
      <c r="Q368" s="21">
        <v>0</v>
      </c>
      <c r="R368" s="23">
        <v>0</v>
      </c>
      <c r="S368" s="23">
        <v>0</v>
      </c>
      <c r="T368" s="23">
        <v>0</v>
      </c>
      <c r="U368" s="23">
        <v>0</v>
      </c>
      <c r="V368" s="23">
        <v>0</v>
      </c>
      <c r="W368" s="23">
        <v>0</v>
      </c>
      <c r="X368" s="23">
        <v>0</v>
      </c>
      <c r="Y368" s="23">
        <v>0</v>
      </c>
      <c r="Z368" s="23">
        <v>0</v>
      </c>
      <c r="AA368" s="23">
        <v>0</v>
      </c>
      <c r="AB368" s="23">
        <v>0</v>
      </c>
      <c r="AC368" s="25">
        <v>0</v>
      </c>
      <c r="AD368" s="25">
        <v>0</v>
      </c>
      <c r="AE368" s="25">
        <v>0</v>
      </c>
      <c r="AF368" s="25">
        <v>0</v>
      </c>
      <c r="AG368" s="25">
        <v>0</v>
      </c>
      <c r="AH368" s="25">
        <v>0</v>
      </c>
      <c r="AI368" s="25">
        <v>0</v>
      </c>
      <c r="AJ368" s="25">
        <v>0</v>
      </c>
      <c r="AK368" s="25">
        <v>0</v>
      </c>
      <c r="AL368" s="25">
        <v>0</v>
      </c>
      <c r="AM368" s="25">
        <v>0</v>
      </c>
    </row>
    <row r="369" spans="1:39" ht="15" customHeight="1">
      <c r="A369" s="32" t="str">
        <f t="shared" si="15"/>
        <v>Essential (Original)--POLE MOUNTED ; &gt; 22 kV ;  &gt;  600 kVA</v>
      </c>
      <c r="B369" s="32" t="str">
        <f t="shared" si="16"/>
        <v>Essential (Original)</v>
      </c>
      <c r="C369" s="32" t="s">
        <v>4</v>
      </c>
      <c r="D369" s="384"/>
      <c r="F369" t="s">
        <v>213</v>
      </c>
      <c r="G369" s="21">
        <v>0</v>
      </c>
      <c r="H369" s="21">
        <v>0</v>
      </c>
      <c r="I369" s="21">
        <v>0</v>
      </c>
      <c r="J369" s="21">
        <v>0</v>
      </c>
      <c r="K369" s="21">
        <v>0</v>
      </c>
      <c r="L369" s="21">
        <v>0</v>
      </c>
      <c r="M369" s="21">
        <v>0</v>
      </c>
      <c r="N369" s="21">
        <v>0</v>
      </c>
      <c r="O369" s="21">
        <v>0</v>
      </c>
      <c r="P369" s="21">
        <v>0</v>
      </c>
      <c r="Q369" s="21">
        <v>0</v>
      </c>
      <c r="R369" s="23">
        <v>0</v>
      </c>
      <c r="S369" s="23">
        <v>0</v>
      </c>
      <c r="T369" s="23">
        <v>0</v>
      </c>
      <c r="U369" s="23">
        <v>0</v>
      </c>
      <c r="V369" s="23">
        <v>0</v>
      </c>
      <c r="W369" s="23">
        <v>0</v>
      </c>
      <c r="X369" s="23">
        <v>0</v>
      </c>
      <c r="Y369" s="23">
        <v>0</v>
      </c>
      <c r="Z369" s="23">
        <v>0</v>
      </c>
      <c r="AA369" s="23">
        <v>0</v>
      </c>
      <c r="AB369" s="23">
        <v>0</v>
      </c>
      <c r="AC369" s="25">
        <v>0</v>
      </c>
      <c r="AD369" s="25">
        <v>0</v>
      </c>
      <c r="AE369" s="25">
        <v>0</v>
      </c>
      <c r="AF369" s="25">
        <v>0</v>
      </c>
      <c r="AG369" s="25">
        <v>0</v>
      </c>
      <c r="AH369" s="25">
        <v>0</v>
      </c>
      <c r="AI369" s="25">
        <v>0</v>
      </c>
      <c r="AJ369" s="25">
        <v>0</v>
      </c>
      <c r="AK369" s="25">
        <v>0</v>
      </c>
      <c r="AL369" s="25">
        <v>0</v>
      </c>
      <c r="AM369" s="25">
        <v>0</v>
      </c>
    </row>
    <row r="370" spans="1:39" ht="15" customHeight="1">
      <c r="A370" s="32" t="str">
        <f t="shared" si="15"/>
        <v>Essential (Original)--KIOSK MOUNTED ; &lt; = 22kV ;  &lt; = 60 kVA ; SINGLE PHASE</v>
      </c>
      <c r="B370" s="32" t="str">
        <f t="shared" si="16"/>
        <v>Essential (Original)</v>
      </c>
      <c r="C370" s="32" t="s">
        <v>4</v>
      </c>
      <c r="D370" s="384"/>
      <c r="F370" t="s">
        <v>214</v>
      </c>
      <c r="G370" s="21">
        <v>0</v>
      </c>
      <c r="H370" s="21">
        <v>0</v>
      </c>
      <c r="I370" s="21">
        <v>0</v>
      </c>
      <c r="J370" s="21">
        <v>0</v>
      </c>
      <c r="K370" s="21">
        <v>0</v>
      </c>
      <c r="L370" s="21">
        <v>0</v>
      </c>
      <c r="M370" s="21">
        <v>0</v>
      </c>
      <c r="N370" s="21">
        <v>0</v>
      </c>
      <c r="O370" s="21">
        <v>0</v>
      </c>
      <c r="P370" s="21">
        <v>0</v>
      </c>
      <c r="Q370" s="21">
        <v>0</v>
      </c>
      <c r="R370" s="23">
        <v>0</v>
      </c>
      <c r="S370" s="23">
        <v>0</v>
      </c>
      <c r="T370" s="23">
        <v>0</v>
      </c>
      <c r="U370" s="23">
        <v>0</v>
      </c>
      <c r="V370" s="23">
        <v>0</v>
      </c>
      <c r="W370" s="23">
        <v>0</v>
      </c>
      <c r="X370" s="23">
        <v>0</v>
      </c>
      <c r="Y370" s="23">
        <v>0</v>
      </c>
      <c r="Z370" s="23">
        <v>0</v>
      </c>
      <c r="AA370" s="23">
        <v>0</v>
      </c>
      <c r="AB370" s="23">
        <v>0</v>
      </c>
      <c r="AC370" s="25">
        <v>0</v>
      </c>
      <c r="AD370" s="25">
        <v>0</v>
      </c>
      <c r="AE370" s="25">
        <v>0</v>
      </c>
      <c r="AF370" s="25">
        <v>0</v>
      </c>
      <c r="AG370" s="25">
        <v>0</v>
      </c>
      <c r="AH370" s="25">
        <v>0</v>
      </c>
      <c r="AI370" s="25">
        <v>0</v>
      </c>
      <c r="AJ370" s="25">
        <v>0</v>
      </c>
      <c r="AK370" s="25">
        <v>0</v>
      </c>
      <c r="AL370" s="25">
        <v>0</v>
      </c>
      <c r="AM370" s="25">
        <v>0</v>
      </c>
    </row>
    <row r="371" spans="1:39" ht="15" customHeight="1">
      <c r="A371" s="32" t="str">
        <f t="shared" si="15"/>
        <v>Essential (Original)--KIOSK MOUNTED ; &lt; = 22kV ;  &gt; 60 kVA AND &lt; = 600 kVA ; SINGLE PHASE</v>
      </c>
      <c r="B371" s="32" t="str">
        <f t="shared" si="16"/>
        <v>Essential (Original)</v>
      </c>
      <c r="C371" s="32" t="s">
        <v>4</v>
      </c>
      <c r="D371" s="384"/>
      <c r="F371" t="s">
        <v>215</v>
      </c>
      <c r="G371" s="21">
        <v>0</v>
      </c>
      <c r="H371" s="21">
        <v>0</v>
      </c>
      <c r="I371" s="21">
        <v>0</v>
      </c>
      <c r="J371" s="21">
        <v>0</v>
      </c>
      <c r="K371" s="21">
        <v>0</v>
      </c>
      <c r="L371" s="21">
        <v>0</v>
      </c>
      <c r="M371" s="21">
        <v>0</v>
      </c>
      <c r="N371" s="21">
        <v>0</v>
      </c>
      <c r="O371" s="21">
        <v>0</v>
      </c>
      <c r="P371" s="21">
        <v>0</v>
      </c>
      <c r="Q371" s="21">
        <v>0</v>
      </c>
      <c r="R371" s="23">
        <v>0</v>
      </c>
      <c r="S371" s="23">
        <v>0</v>
      </c>
      <c r="T371" s="23">
        <v>0</v>
      </c>
      <c r="U371" s="23">
        <v>0</v>
      </c>
      <c r="V371" s="23">
        <v>0</v>
      </c>
      <c r="W371" s="23">
        <v>0</v>
      </c>
      <c r="X371" s="23">
        <v>0</v>
      </c>
      <c r="Y371" s="23">
        <v>0</v>
      </c>
      <c r="Z371" s="23">
        <v>0</v>
      </c>
      <c r="AA371" s="23">
        <v>0</v>
      </c>
      <c r="AB371" s="23">
        <v>0</v>
      </c>
      <c r="AC371" s="25">
        <v>0</v>
      </c>
      <c r="AD371" s="25">
        <v>0</v>
      </c>
      <c r="AE371" s="25">
        <v>0</v>
      </c>
      <c r="AF371" s="25">
        <v>0</v>
      </c>
      <c r="AG371" s="25">
        <v>0</v>
      </c>
      <c r="AH371" s="25">
        <v>0</v>
      </c>
      <c r="AI371" s="25">
        <v>0</v>
      </c>
      <c r="AJ371" s="25">
        <v>0</v>
      </c>
      <c r="AK371" s="25">
        <v>0</v>
      </c>
      <c r="AL371" s="25">
        <v>0</v>
      </c>
      <c r="AM371" s="25">
        <v>0</v>
      </c>
    </row>
    <row r="372" spans="1:39" ht="15" customHeight="1">
      <c r="A372" s="32" t="str">
        <f t="shared" si="15"/>
        <v>Essential (Original)--KIOSK MOUNTED ; &lt; = 22kV ;  &gt; 600 kVA ; SINGLE PHASE</v>
      </c>
      <c r="B372" s="32" t="str">
        <f t="shared" si="16"/>
        <v>Essential (Original)</v>
      </c>
      <c r="C372" s="32" t="s">
        <v>4</v>
      </c>
      <c r="D372" s="384"/>
      <c r="F372" t="s">
        <v>216</v>
      </c>
      <c r="G372" s="21">
        <v>0</v>
      </c>
      <c r="H372" s="21">
        <v>0</v>
      </c>
      <c r="I372" s="21">
        <v>0</v>
      </c>
      <c r="J372" s="21">
        <v>0</v>
      </c>
      <c r="K372" s="21">
        <v>0</v>
      </c>
      <c r="L372" s="21">
        <v>0</v>
      </c>
      <c r="M372" s="21">
        <v>0</v>
      </c>
      <c r="N372" s="21">
        <v>0</v>
      </c>
      <c r="O372" s="21">
        <v>0</v>
      </c>
      <c r="P372" s="21">
        <v>0</v>
      </c>
      <c r="Q372" s="21">
        <v>0</v>
      </c>
      <c r="R372" s="23">
        <v>0</v>
      </c>
      <c r="S372" s="23">
        <v>0</v>
      </c>
      <c r="T372" s="23">
        <v>0</v>
      </c>
      <c r="U372" s="23">
        <v>0</v>
      </c>
      <c r="V372" s="23">
        <v>0</v>
      </c>
      <c r="W372" s="23">
        <v>0</v>
      </c>
      <c r="X372" s="23">
        <v>0</v>
      </c>
      <c r="Y372" s="23">
        <v>0</v>
      </c>
      <c r="Z372" s="23">
        <v>0</v>
      </c>
      <c r="AA372" s="23">
        <v>0</v>
      </c>
      <c r="AB372" s="23">
        <v>0</v>
      </c>
      <c r="AC372" s="25">
        <v>0</v>
      </c>
      <c r="AD372" s="25">
        <v>0</v>
      </c>
      <c r="AE372" s="25">
        <v>0</v>
      </c>
      <c r="AF372" s="25">
        <v>0</v>
      </c>
      <c r="AG372" s="25">
        <v>0</v>
      </c>
      <c r="AH372" s="25">
        <v>0</v>
      </c>
      <c r="AI372" s="25">
        <v>0</v>
      </c>
      <c r="AJ372" s="25">
        <v>0</v>
      </c>
      <c r="AK372" s="25">
        <v>0</v>
      </c>
      <c r="AL372" s="25">
        <v>0</v>
      </c>
      <c r="AM372" s="25">
        <v>0</v>
      </c>
    </row>
    <row r="373" spans="1:39" ht="15" customHeight="1">
      <c r="A373" s="32" t="str">
        <f t="shared" si="15"/>
        <v>Essential (Original)--KIOSK MOUNTED ; &lt; = 22kV ;  &lt; = 60 kVA  ; MULTIPLE PHASE</v>
      </c>
      <c r="B373" s="32" t="str">
        <f t="shared" si="16"/>
        <v>Essential (Original)</v>
      </c>
      <c r="C373" s="32" t="s">
        <v>4</v>
      </c>
      <c r="D373" s="384"/>
      <c r="F373" t="s">
        <v>217</v>
      </c>
      <c r="G373" s="21">
        <v>0</v>
      </c>
      <c r="H373" s="21">
        <v>0</v>
      </c>
      <c r="I373" s="21">
        <v>0</v>
      </c>
      <c r="J373" s="21">
        <v>0</v>
      </c>
      <c r="K373" s="21">
        <v>0</v>
      </c>
      <c r="L373" s="21">
        <v>0</v>
      </c>
      <c r="M373" s="21">
        <v>0</v>
      </c>
      <c r="N373" s="21">
        <v>0</v>
      </c>
      <c r="O373" s="21">
        <v>0</v>
      </c>
      <c r="P373" s="21">
        <v>0</v>
      </c>
      <c r="Q373" s="21">
        <v>0</v>
      </c>
      <c r="R373" s="23">
        <v>0</v>
      </c>
      <c r="S373" s="23">
        <v>0</v>
      </c>
      <c r="T373" s="23">
        <v>0</v>
      </c>
      <c r="U373" s="23">
        <v>0</v>
      </c>
      <c r="V373" s="23">
        <v>0</v>
      </c>
      <c r="W373" s="23">
        <v>0</v>
      </c>
      <c r="X373" s="23">
        <v>0</v>
      </c>
      <c r="Y373" s="23">
        <v>0</v>
      </c>
      <c r="Z373" s="23">
        <v>0</v>
      </c>
      <c r="AA373" s="23">
        <v>0</v>
      </c>
      <c r="AB373" s="23">
        <v>0</v>
      </c>
      <c r="AC373" s="25">
        <v>0</v>
      </c>
      <c r="AD373" s="25">
        <v>0</v>
      </c>
      <c r="AE373" s="25">
        <v>0</v>
      </c>
      <c r="AF373" s="25">
        <v>0</v>
      </c>
      <c r="AG373" s="25">
        <v>0</v>
      </c>
      <c r="AH373" s="25">
        <v>0</v>
      </c>
      <c r="AI373" s="25">
        <v>0</v>
      </c>
      <c r="AJ373" s="25">
        <v>0</v>
      </c>
      <c r="AK373" s="25">
        <v>0</v>
      </c>
      <c r="AL373" s="25">
        <v>0</v>
      </c>
      <c r="AM373" s="25">
        <v>0</v>
      </c>
    </row>
    <row r="374" spans="1:39" ht="15" customHeight="1">
      <c r="A374" s="32" t="str">
        <f t="shared" si="15"/>
        <v>Essential (Original)--KIOSK MOUNTED ; &lt; = 22kV ;  &gt; 60 kVA AND &lt; = 600 kVA  ; MULTIPLE PHASE</v>
      </c>
      <c r="B374" s="32" t="str">
        <f t="shared" si="16"/>
        <v>Essential (Original)</v>
      </c>
      <c r="C374" s="32" t="s">
        <v>4</v>
      </c>
      <c r="D374" s="384"/>
      <c r="F374" t="s">
        <v>218</v>
      </c>
      <c r="G374" s="21">
        <v>183.51993710012007</v>
      </c>
      <c r="H374" s="21">
        <v>1818.2654628261064</v>
      </c>
      <c r="I374" s="21">
        <v>1915.2913156548914</v>
      </c>
      <c r="J374" s="21">
        <v>1431.59227058735</v>
      </c>
      <c r="K374" s="21">
        <v>1117.2773364840245</v>
      </c>
      <c r="L374" s="21">
        <v>840.70083701950273</v>
      </c>
      <c r="M374" s="21">
        <v>1763.4984190898606</v>
      </c>
      <c r="N374" s="21">
        <v>1756.8863998225263</v>
      </c>
      <c r="O374" s="21">
        <v>1776.0223523044392</v>
      </c>
      <c r="P374" s="21">
        <v>1707.974416665189</v>
      </c>
      <c r="Q374" s="21">
        <v>1639.2944202052647</v>
      </c>
      <c r="R374" s="23">
        <v>10.005202754399388</v>
      </c>
      <c r="S374" s="23">
        <v>38.839938791124695</v>
      </c>
      <c r="T374" s="23">
        <v>40.659066564651901</v>
      </c>
      <c r="U374" s="23">
        <v>27.106044376434603</v>
      </c>
      <c r="V374" s="23">
        <v>26.377352716143839</v>
      </c>
      <c r="W374" s="23">
        <v>28.0156082631982</v>
      </c>
      <c r="X374" s="23">
        <v>28</v>
      </c>
      <c r="Y374" s="23">
        <v>28</v>
      </c>
      <c r="Z374" s="23">
        <v>28</v>
      </c>
      <c r="AA374" s="23">
        <v>28</v>
      </c>
      <c r="AB374" s="23">
        <v>28</v>
      </c>
      <c r="AC374" s="25">
        <v>0.90956388676358069</v>
      </c>
      <c r="AD374" s="25">
        <v>5.4573833205814841</v>
      </c>
      <c r="AE374" s="25">
        <v>4.3669472073450706</v>
      </c>
      <c r="AF374" s="25">
        <v>3.6382555470543227</v>
      </c>
      <c r="AG374" s="25">
        <v>2.7286916602907421</v>
      </c>
      <c r="AH374" s="25">
        <v>2.18347360367253</v>
      </c>
      <c r="AI374" s="25">
        <v>3.1834736036725322</v>
      </c>
      <c r="AJ374" s="25">
        <v>3.1834736036725322</v>
      </c>
      <c r="AK374" s="25">
        <v>2.18347360367253</v>
      </c>
      <c r="AL374" s="25">
        <v>3.1834736036725322</v>
      </c>
      <c r="AM374" s="25">
        <v>3.1834736036725322</v>
      </c>
    </row>
    <row r="375" spans="1:39" ht="15" customHeight="1">
      <c r="A375" s="32" t="str">
        <f t="shared" si="15"/>
        <v>Essential (Original)--KIOSK MOUNTED ; &lt; = 22kV ;  &gt; 600 kVA  ; MULTIPLE PHASE</v>
      </c>
      <c r="B375" s="32" t="str">
        <f t="shared" si="16"/>
        <v>Essential (Original)</v>
      </c>
      <c r="C375" s="32" t="s">
        <v>4</v>
      </c>
      <c r="D375" s="384"/>
      <c r="F375" t="s">
        <v>219</v>
      </c>
      <c r="G375" s="21">
        <v>36.684901166930281</v>
      </c>
      <c r="H375" s="21">
        <v>280.88594154658108</v>
      </c>
      <c r="I375" s="21">
        <v>188.4245239727174</v>
      </c>
      <c r="J375" s="21">
        <v>105.62900663085645</v>
      </c>
      <c r="K375" s="21">
        <v>84.714895274552163</v>
      </c>
      <c r="L375" s="21">
        <v>120.03320850596876</v>
      </c>
      <c r="M375" s="21">
        <v>251.9283455842658</v>
      </c>
      <c r="N375" s="21">
        <v>250.98377140321804</v>
      </c>
      <c r="O375" s="21">
        <v>253.71747890063421</v>
      </c>
      <c r="P375" s="21">
        <v>243.99634523788413</v>
      </c>
      <c r="Q375" s="21">
        <v>234.18491717218069</v>
      </c>
      <c r="R375" s="23">
        <v>1</v>
      </c>
      <c r="S375" s="23">
        <v>3</v>
      </c>
      <c r="T375" s="23">
        <v>2</v>
      </c>
      <c r="U375" s="23">
        <v>1</v>
      </c>
      <c r="V375" s="23">
        <v>1</v>
      </c>
      <c r="W375" s="23">
        <v>2</v>
      </c>
      <c r="X375" s="23">
        <v>2</v>
      </c>
      <c r="Y375" s="23">
        <v>2</v>
      </c>
      <c r="Z375" s="23">
        <v>2</v>
      </c>
      <c r="AA375" s="23">
        <v>2</v>
      </c>
      <c r="AB375" s="23">
        <v>2</v>
      </c>
      <c r="AC375" s="25">
        <v>0</v>
      </c>
      <c r="AD375" s="25">
        <v>0</v>
      </c>
      <c r="AE375" s="25">
        <v>2</v>
      </c>
      <c r="AF375" s="25">
        <v>0</v>
      </c>
      <c r="AG375" s="25">
        <v>0</v>
      </c>
      <c r="AH375" s="25">
        <v>1</v>
      </c>
      <c r="AI375" s="25">
        <v>0</v>
      </c>
      <c r="AJ375" s="25">
        <v>0</v>
      </c>
      <c r="AK375" s="25">
        <v>1</v>
      </c>
      <c r="AL375" s="25">
        <v>0</v>
      </c>
      <c r="AM375" s="25">
        <v>0</v>
      </c>
    </row>
    <row r="376" spans="1:39" ht="15" customHeight="1">
      <c r="A376" s="32" t="str">
        <f t="shared" si="15"/>
        <v xml:space="preserve">Essential (Original)--KIOSK MOUNTED ; &gt; 22 kV ;  &lt; = 60 kVA </v>
      </c>
      <c r="B376" s="32" t="str">
        <f t="shared" si="16"/>
        <v>Essential (Original)</v>
      </c>
      <c r="C376" s="32" t="s">
        <v>4</v>
      </c>
      <c r="D376" s="384"/>
      <c r="F376" t="s">
        <v>220</v>
      </c>
      <c r="G376" s="21">
        <v>0</v>
      </c>
      <c r="H376" s="21">
        <v>0</v>
      </c>
      <c r="I376" s="21">
        <v>0</v>
      </c>
      <c r="J376" s="21">
        <v>0</v>
      </c>
      <c r="K376" s="21">
        <v>0</v>
      </c>
      <c r="L376" s="21">
        <v>0</v>
      </c>
      <c r="M376" s="21">
        <v>0</v>
      </c>
      <c r="N376" s="21">
        <v>0</v>
      </c>
      <c r="O376" s="21">
        <v>0</v>
      </c>
      <c r="P376" s="21">
        <v>0</v>
      </c>
      <c r="Q376" s="21">
        <v>0</v>
      </c>
      <c r="R376" s="23">
        <v>0</v>
      </c>
      <c r="S376" s="23">
        <v>0</v>
      </c>
      <c r="T376" s="23">
        <v>0</v>
      </c>
      <c r="U376" s="23">
        <v>0</v>
      </c>
      <c r="V376" s="23">
        <v>0</v>
      </c>
      <c r="W376" s="23">
        <v>0</v>
      </c>
      <c r="X376" s="23">
        <v>0</v>
      </c>
      <c r="Y376" s="23">
        <v>0</v>
      </c>
      <c r="Z376" s="23">
        <v>0</v>
      </c>
      <c r="AA376" s="23">
        <v>0</v>
      </c>
      <c r="AB376" s="23">
        <v>0</v>
      </c>
      <c r="AC376" s="25">
        <v>0</v>
      </c>
      <c r="AD376" s="25">
        <v>0</v>
      </c>
      <c r="AE376" s="25">
        <v>0</v>
      </c>
      <c r="AF376" s="25">
        <v>0</v>
      </c>
      <c r="AG376" s="25">
        <v>0</v>
      </c>
      <c r="AH376" s="25">
        <v>0</v>
      </c>
      <c r="AI376" s="25">
        <v>0</v>
      </c>
      <c r="AJ376" s="25">
        <v>0</v>
      </c>
      <c r="AK376" s="25">
        <v>0</v>
      </c>
      <c r="AL376" s="25">
        <v>0</v>
      </c>
      <c r="AM376" s="25">
        <v>0</v>
      </c>
    </row>
    <row r="377" spans="1:39" ht="15" customHeight="1">
      <c r="A377" s="32" t="str">
        <f t="shared" si="15"/>
        <v xml:space="preserve">Essential (Original)--KIOSK MOUNTED ; &gt; 22 kV ;  &gt; 60 kVA AND &lt; = 600 kVA </v>
      </c>
      <c r="B377" s="32" t="str">
        <f t="shared" si="16"/>
        <v>Essential (Original)</v>
      </c>
      <c r="C377" s="32" t="s">
        <v>4</v>
      </c>
      <c r="D377" s="384"/>
      <c r="F377" t="s">
        <v>221</v>
      </c>
      <c r="G377" s="21">
        <v>0</v>
      </c>
      <c r="H377" s="21">
        <v>0</v>
      </c>
      <c r="I377" s="21">
        <v>0</v>
      </c>
      <c r="J377" s="21">
        <v>0</v>
      </c>
      <c r="K377" s="21">
        <v>0</v>
      </c>
      <c r="L377" s="21">
        <v>0</v>
      </c>
      <c r="M377" s="21">
        <v>0</v>
      </c>
      <c r="N377" s="21">
        <v>0</v>
      </c>
      <c r="O377" s="21">
        <v>0</v>
      </c>
      <c r="P377" s="21">
        <v>0</v>
      </c>
      <c r="Q377" s="21">
        <v>0</v>
      </c>
      <c r="R377" s="23">
        <v>0</v>
      </c>
      <c r="S377" s="23">
        <v>0</v>
      </c>
      <c r="T377" s="23">
        <v>0</v>
      </c>
      <c r="U377" s="23">
        <v>0</v>
      </c>
      <c r="V377" s="23">
        <v>0</v>
      </c>
      <c r="W377" s="23">
        <v>0</v>
      </c>
      <c r="X377" s="23">
        <v>0</v>
      </c>
      <c r="Y377" s="23">
        <v>0</v>
      </c>
      <c r="Z377" s="23">
        <v>0</v>
      </c>
      <c r="AA377" s="23">
        <v>0</v>
      </c>
      <c r="AB377" s="23">
        <v>0</v>
      </c>
      <c r="AC377" s="25">
        <v>0</v>
      </c>
      <c r="AD377" s="25">
        <v>0</v>
      </c>
      <c r="AE377" s="25">
        <v>0</v>
      </c>
      <c r="AF377" s="25">
        <v>0</v>
      </c>
      <c r="AG377" s="25">
        <v>0</v>
      </c>
      <c r="AH377" s="25">
        <v>0</v>
      </c>
      <c r="AI377" s="25">
        <v>0</v>
      </c>
      <c r="AJ377" s="25">
        <v>0</v>
      </c>
      <c r="AK377" s="25">
        <v>0</v>
      </c>
      <c r="AL377" s="25">
        <v>0</v>
      </c>
      <c r="AM377" s="25">
        <v>0</v>
      </c>
    </row>
    <row r="378" spans="1:39" ht="15" customHeight="1">
      <c r="A378" s="32" t="str">
        <f t="shared" si="15"/>
        <v>Essential (Original)--KIOSK MOUNTED ; &gt; 22 kV ;  &gt; 600 kVA</v>
      </c>
      <c r="B378" s="32" t="str">
        <f t="shared" si="16"/>
        <v>Essential (Original)</v>
      </c>
      <c r="C378" s="32" t="s">
        <v>4</v>
      </c>
      <c r="D378" s="384"/>
      <c r="F378" t="s">
        <v>222</v>
      </c>
      <c r="G378" s="21">
        <v>0</v>
      </c>
      <c r="H378" s="21">
        <v>0</v>
      </c>
      <c r="I378" s="21">
        <v>0</v>
      </c>
      <c r="J378" s="21">
        <v>0</v>
      </c>
      <c r="K378" s="21">
        <v>0</v>
      </c>
      <c r="L378" s="21">
        <v>0</v>
      </c>
      <c r="M378" s="21">
        <v>0</v>
      </c>
      <c r="N378" s="21">
        <v>0</v>
      </c>
      <c r="O378" s="21">
        <v>0</v>
      </c>
      <c r="P378" s="21">
        <v>0</v>
      </c>
      <c r="Q378" s="21">
        <v>0</v>
      </c>
      <c r="R378" s="23">
        <v>0</v>
      </c>
      <c r="S378" s="23">
        <v>0</v>
      </c>
      <c r="T378" s="23">
        <v>0</v>
      </c>
      <c r="U378" s="23">
        <v>0</v>
      </c>
      <c r="V378" s="23">
        <v>0</v>
      </c>
      <c r="W378" s="23">
        <v>0</v>
      </c>
      <c r="X378" s="23">
        <v>0</v>
      </c>
      <c r="Y378" s="23">
        <v>0</v>
      </c>
      <c r="Z378" s="23">
        <v>0</v>
      </c>
      <c r="AA378" s="23">
        <v>0</v>
      </c>
      <c r="AB378" s="23">
        <v>0</v>
      </c>
      <c r="AC378" s="25">
        <v>0</v>
      </c>
      <c r="AD378" s="25">
        <v>0</v>
      </c>
      <c r="AE378" s="25">
        <v>0</v>
      </c>
      <c r="AF378" s="25">
        <v>0</v>
      </c>
      <c r="AG378" s="25">
        <v>0</v>
      </c>
      <c r="AH378" s="25">
        <v>0</v>
      </c>
      <c r="AI378" s="25">
        <v>0</v>
      </c>
      <c r="AJ378" s="25">
        <v>0</v>
      </c>
      <c r="AK378" s="25">
        <v>0</v>
      </c>
      <c r="AL378" s="25">
        <v>0</v>
      </c>
      <c r="AM378" s="25">
        <v>0</v>
      </c>
    </row>
    <row r="379" spans="1:39" ht="15" customHeight="1">
      <c r="A379" s="32" t="str">
        <f t="shared" si="15"/>
        <v xml:space="preserve">Essential (Original)--KIOSK MOUNTED ; &gt; 22 kV ;  &lt; = 60 kVA </v>
      </c>
      <c r="B379" s="32" t="str">
        <f t="shared" si="16"/>
        <v>Essential (Original)</v>
      </c>
      <c r="C379" s="32" t="s">
        <v>4</v>
      </c>
      <c r="D379" s="384"/>
      <c r="F379" t="s">
        <v>220</v>
      </c>
      <c r="G379" s="21">
        <v>0</v>
      </c>
      <c r="H379" s="21">
        <v>0</v>
      </c>
      <c r="I379" s="21">
        <v>0</v>
      </c>
      <c r="J379" s="21">
        <v>0</v>
      </c>
      <c r="K379" s="21">
        <v>0</v>
      </c>
      <c r="L379" s="21">
        <v>0</v>
      </c>
      <c r="M379" s="21">
        <v>0</v>
      </c>
      <c r="N379" s="21">
        <v>0</v>
      </c>
      <c r="O379" s="21">
        <v>0</v>
      </c>
      <c r="P379" s="21">
        <v>0</v>
      </c>
      <c r="Q379" s="21">
        <v>0</v>
      </c>
      <c r="R379" s="23">
        <v>0</v>
      </c>
      <c r="S379" s="23">
        <v>0</v>
      </c>
      <c r="T379" s="23">
        <v>0</v>
      </c>
      <c r="U379" s="23">
        <v>0</v>
      </c>
      <c r="V379" s="23">
        <v>0</v>
      </c>
      <c r="W379" s="23">
        <v>0</v>
      </c>
      <c r="X379" s="23">
        <v>0</v>
      </c>
      <c r="Y379" s="23">
        <v>0</v>
      </c>
      <c r="Z379" s="23">
        <v>0</v>
      </c>
      <c r="AA379" s="23">
        <v>0</v>
      </c>
      <c r="AB379" s="23">
        <v>0</v>
      </c>
      <c r="AC379" s="25">
        <v>0</v>
      </c>
      <c r="AD379" s="25">
        <v>0</v>
      </c>
      <c r="AE379" s="25">
        <v>0</v>
      </c>
      <c r="AF379" s="25">
        <v>0</v>
      </c>
      <c r="AG379" s="25">
        <v>0</v>
      </c>
      <c r="AH379" s="25">
        <v>0</v>
      </c>
      <c r="AI379" s="25">
        <v>0</v>
      </c>
      <c r="AJ379" s="25">
        <v>0</v>
      </c>
      <c r="AK379" s="25">
        <v>0</v>
      </c>
      <c r="AL379" s="25">
        <v>0</v>
      </c>
      <c r="AM379" s="25">
        <v>0</v>
      </c>
    </row>
    <row r="380" spans="1:39" ht="15" customHeight="1">
      <c r="A380" s="32" t="str">
        <f t="shared" si="15"/>
        <v>Essential (Original)--KIOSK MOUNTED ; &gt; 22 kV ;  &gt; 60 kVA AND &lt; = 600 kVA</v>
      </c>
      <c r="B380" s="32" t="str">
        <f t="shared" si="16"/>
        <v>Essential (Original)</v>
      </c>
      <c r="C380" s="32" t="s">
        <v>4</v>
      </c>
      <c r="D380" s="384"/>
      <c r="F380" t="s">
        <v>223</v>
      </c>
      <c r="G380" s="21">
        <v>0</v>
      </c>
      <c r="H380" s="21">
        <v>0</v>
      </c>
      <c r="I380" s="21">
        <v>0</v>
      </c>
      <c r="J380" s="21">
        <v>0</v>
      </c>
      <c r="K380" s="21">
        <v>0</v>
      </c>
      <c r="L380" s="21">
        <v>0</v>
      </c>
      <c r="M380" s="21">
        <v>0</v>
      </c>
      <c r="N380" s="21">
        <v>0</v>
      </c>
      <c r="O380" s="21">
        <v>0</v>
      </c>
      <c r="P380" s="21">
        <v>0</v>
      </c>
      <c r="Q380" s="21">
        <v>0</v>
      </c>
      <c r="R380" s="23">
        <v>0</v>
      </c>
      <c r="S380" s="23">
        <v>0</v>
      </c>
      <c r="T380" s="23">
        <v>0</v>
      </c>
      <c r="U380" s="23">
        <v>0</v>
      </c>
      <c r="V380" s="23">
        <v>0</v>
      </c>
      <c r="W380" s="23">
        <v>0</v>
      </c>
      <c r="X380" s="23">
        <v>0</v>
      </c>
      <c r="Y380" s="23">
        <v>0</v>
      </c>
      <c r="Z380" s="23">
        <v>0</v>
      </c>
      <c r="AA380" s="23">
        <v>0</v>
      </c>
      <c r="AB380" s="23">
        <v>0</v>
      </c>
      <c r="AC380" s="25">
        <v>0</v>
      </c>
      <c r="AD380" s="25">
        <v>0</v>
      </c>
      <c r="AE380" s="25">
        <v>0</v>
      </c>
      <c r="AF380" s="25">
        <v>0</v>
      </c>
      <c r="AG380" s="25">
        <v>0</v>
      </c>
      <c r="AH380" s="25">
        <v>0</v>
      </c>
      <c r="AI380" s="25">
        <v>0</v>
      </c>
      <c r="AJ380" s="25">
        <v>0</v>
      </c>
      <c r="AK380" s="25">
        <v>0</v>
      </c>
      <c r="AL380" s="25">
        <v>0</v>
      </c>
      <c r="AM380" s="25">
        <v>0</v>
      </c>
    </row>
    <row r="381" spans="1:39" ht="15" customHeight="1">
      <c r="A381" s="32" t="str">
        <f t="shared" si="15"/>
        <v>Essential (Original)--KIOSK MOUNTED ; &gt; 22 kV ;  &gt;  600 kVA</v>
      </c>
      <c r="B381" s="32" t="str">
        <f t="shared" si="16"/>
        <v>Essential (Original)</v>
      </c>
      <c r="C381" s="32" t="s">
        <v>4</v>
      </c>
      <c r="D381" s="384"/>
      <c r="F381" t="s">
        <v>224</v>
      </c>
      <c r="G381" s="21">
        <v>0</v>
      </c>
      <c r="H381" s="21">
        <v>0</v>
      </c>
      <c r="I381" s="21">
        <v>0</v>
      </c>
      <c r="J381" s="21">
        <v>0</v>
      </c>
      <c r="K381" s="21">
        <v>0</v>
      </c>
      <c r="L381" s="21">
        <v>0</v>
      </c>
      <c r="M381" s="21">
        <v>0</v>
      </c>
      <c r="N381" s="21">
        <v>0</v>
      </c>
      <c r="O381" s="21">
        <v>0</v>
      </c>
      <c r="P381" s="21">
        <v>0</v>
      </c>
      <c r="Q381" s="21">
        <v>0</v>
      </c>
      <c r="R381" s="23">
        <v>0</v>
      </c>
      <c r="S381" s="23">
        <v>0</v>
      </c>
      <c r="T381" s="23">
        <v>0</v>
      </c>
      <c r="U381" s="23">
        <v>0</v>
      </c>
      <c r="V381" s="23">
        <v>0</v>
      </c>
      <c r="W381" s="23">
        <v>0</v>
      </c>
      <c r="X381" s="23">
        <v>0</v>
      </c>
      <c r="Y381" s="23">
        <v>0</v>
      </c>
      <c r="Z381" s="23">
        <v>0</v>
      </c>
      <c r="AA381" s="23">
        <v>0</v>
      </c>
      <c r="AB381" s="23">
        <v>0</v>
      </c>
      <c r="AC381" s="25">
        <v>0</v>
      </c>
      <c r="AD381" s="25">
        <v>0</v>
      </c>
      <c r="AE381" s="25">
        <v>0</v>
      </c>
      <c r="AF381" s="25">
        <v>0</v>
      </c>
      <c r="AG381" s="25">
        <v>0</v>
      </c>
      <c r="AH381" s="25">
        <v>0</v>
      </c>
      <c r="AI381" s="25">
        <v>0</v>
      </c>
      <c r="AJ381" s="25">
        <v>0</v>
      </c>
      <c r="AK381" s="25">
        <v>0</v>
      </c>
      <c r="AL381" s="25">
        <v>0</v>
      </c>
      <c r="AM381" s="25">
        <v>0</v>
      </c>
    </row>
    <row r="382" spans="1:39" ht="15" customHeight="1">
      <c r="A382" s="32" t="str">
        <f t="shared" si="15"/>
        <v>Essential (Original)--GROUND OUTDOOR / INDOOR CHAMBER MOUNTED ; ˂ 22 kV ;  &lt; = 60 kVA ; SINGLE PHASE</v>
      </c>
      <c r="B382" s="32" t="str">
        <f t="shared" si="16"/>
        <v>Essential (Original)</v>
      </c>
      <c r="C382" s="32" t="s">
        <v>4</v>
      </c>
      <c r="D382" s="384"/>
      <c r="F382" t="s">
        <v>225</v>
      </c>
      <c r="G382" s="21">
        <v>0</v>
      </c>
      <c r="H382" s="21">
        <v>0</v>
      </c>
      <c r="I382" s="21">
        <v>0</v>
      </c>
      <c r="J382" s="21">
        <v>0</v>
      </c>
      <c r="K382" s="21">
        <v>0</v>
      </c>
      <c r="L382" s="21">
        <v>0</v>
      </c>
      <c r="M382" s="21">
        <v>0</v>
      </c>
      <c r="N382" s="21">
        <v>0</v>
      </c>
      <c r="O382" s="21">
        <v>0</v>
      </c>
      <c r="P382" s="21">
        <v>0</v>
      </c>
      <c r="Q382" s="21">
        <v>0</v>
      </c>
      <c r="R382" s="23">
        <v>0</v>
      </c>
      <c r="S382" s="23">
        <v>0</v>
      </c>
      <c r="T382" s="23">
        <v>0</v>
      </c>
      <c r="U382" s="23">
        <v>0</v>
      </c>
      <c r="V382" s="23">
        <v>0</v>
      </c>
      <c r="W382" s="23">
        <v>0</v>
      </c>
      <c r="X382" s="23">
        <v>0</v>
      </c>
      <c r="Y382" s="23">
        <v>0</v>
      </c>
      <c r="Z382" s="23">
        <v>0</v>
      </c>
      <c r="AA382" s="23">
        <v>0</v>
      </c>
      <c r="AB382" s="23">
        <v>0</v>
      </c>
      <c r="AC382" s="25">
        <v>0</v>
      </c>
      <c r="AD382" s="25">
        <v>0</v>
      </c>
      <c r="AE382" s="25">
        <v>0</v>
      </c>
      <c r="AF382" s="25">
        <v>0</v>
      </c>
      <c r="AG382" s="25">
        <v>0</v>
      </c>
      <c r="AH382" s="25">
        <v>0</v>
      </c>
      <c r="AI382" s="25">
        <v>0</v>
      </c>
      <c r="AJ382" s="25">
        <v>0</v>
      </c>
      <c r="AK382" s="25">
        <v>0</v>
      </c>
      <c r="AL382" s="25">
        <v>0</v>
      </c>
      <c r="AM382" s="25">
        <v>0</v>
      </c>
    </row>
    <row r="383" spans="1:39" ht="15" customHeight="1">
      <c r="A383" s="32" t="str">
        <f t="shared" si="15"/>
        <v>Essential (Original)--GROUND OUTDOOR / INDOOR CHAMBER MOUNTED ; ˂  22 kV ;  &gt; 60 kVA  AND &lt; = 600 kVA ; SINGLE PHASE</v>
      </c>
      <c r="B383" s="32" t="str">
        <f t="shared" si="16"/>
        <v>Essential (Original)</v>
      </c>
      <c r="C383" s="32" t="s">
        <v>4</v>
      </c>
      <c r="D383" s="384"/>
      <c r="F383" t="s">
        <v>226</v>
      </c>
      <c r="G383" s="21">
        <v>0</v>
      </c>
      <c r="H383" s="21">
        <v>0</v>
      </c>
      <c r="I383" s="21">
        <v>0</v>
      </c>
      <c r="J383" s="21">
        <v>0</v>
      </c>
      <c r="K383" s="21">
        <v>0</v>
      </c>
      <c r="L383" s="21">
        <v>0</v>
      </c>
      <c r="M383" s="21">
        <v>0</v>
      </c>
      <c r="N383" s="21">
        <v>0</v>
      </c>
      <c r="O383" s="21">
        <v>0</v>
      </c>
      <c r="P383" s="21">
        <v>0</v>
      </c>
      <c r="Q383" s="21">
        <v>0</v>
      </c>
      <c r="R383" s="23">
        <v>0</v>
      </c>
      <c r="S383" s="23">
        <v>0</v>
      </c>
      <c r="T383" s="23">
        <v>0</v>
      </c>
      <c r="U383" s="23">
        <v>0</v>
      </c>
      <c r="V383" s="23">
        <v>0</v>
      </c>
      <c r="W383" s="23">
        <v>0</v>
      </c>
      <c r="X383" s="23">
        <v>0</v>
      </c>
      <c r="Y383" s="23">
        <v>0</v>
      </c>
      <c r="Z383" s="23">
        <v>0</v>
      </c>
      <c r="AA383" s="23">
        <v>0</v>
      </c>
      <c r="AB383" s="23">
        <v>0</v>
      </c>
      <c r="AC383" s="25">
        <v>0</v>
      </c>
      <c r="AD383" s="25">
        <v>0</v>
      </c>
      <c r="AE383" s="25">
        <v>0</v>
      </c>
      <c r="AF383" s="25">
        <v>0</v>
      </c>
      <c r="AG383" s="25">
        <v>0</v>
      </c>
      <c r="AH383" s="25">
        <v>0</v>
      </c>
      <c r="AI383" s="25">
        <v>0</v>
      </c>
      <c r="AJ383" s="25">
        <v>0</v>
      </c>
      <c r="AK383" s="25">
        <v>0</v>
      </c>
      <c r="AL383" s="25">
        <v>0</v>
      </c>
      <c r="AM383" s="25">
        <v>0</v>
      </c>
    </row>
    <row r="384" spans="1:39" ht="15" customHeight="1">
      <c r="A384" s="32" t="str">
        <f t="shared" si="15"/>
        <v>Essential (Original)--GROUND OUTDOOR / INDOOR CHAMBER MOUNTED ; ˂  22 kV ;  &gt;  600 kVA ; SINGLE PHASE</v>
      </c>
      <c r="B384" s="32" t="str">
        <f t="shared" si="16"/>
        <v>Essential (Original)</v>
      </c>
      <c r="C384" s="32" t="s">
        <v>4</v>
      </c>
      <c r="D384" s="384"/>
      <c r="F384" t="s">
        <v>227</v>
      </c>
      <c r="G384" s="21">
        <v>0</v>
      </c>
      <c r="H384" s="21">
        <v>0</v>
      </c>
      <c r="I384" s="21">
        <v>0</v>
      </c>
      <c r="J384" s="21">
        <v>0</v>
      </c>
      <c r="K384" s="21">
        <v>0</v>
      </c>
      <c r="L384" s="21">
        <v>0</v>
      </c>
      <c r="M384" s="21">
        <v>0</v>
      </c>
      <c r="N384" s="21">
        <v>0</v>
      </c>
      <c r="O384" s="21">
        <v>0</v>
      </c>
      <c r="P384" s="21">
        <v>0</v>
      </c>
      <c r="Q384" s="21">
        <v>0</v>
      </c>
      <c r="R384" s="23">
        <v>0</v>
      </c>
      <c r="S384" s="23">
        <v>0</v>
      </c>
      <c r="T384" s="23">
        <v>0</v>
      </c>
      <c r="U384" s="23">
        <v>0</v>
      </c>
      <c r="V384" s="23">
        <v>0</v>
      </c>
      <c r="W384" s="23">
        <v>0</v>
      </c>
      <c r="X384" s="23">
        <v>0</v>
      </c>
      <c r="Y384" s="23">
        <v>0</v>
      </c>
      <c r="Z384" s="23">
        <v>0</v>
      </c>
      <c r="AA384" s="23">
        <v>0</v>
      </c>
      <c r="AB384" s="23">
        <v>0</v>
      </c>
      <c r="AC384" s="25">
        <v>0</v>
      </c>
      <c r="AD384" s="25">
        <v>0</v>
      </c>
      <c r="AE384" s="25">
        <v>0</v>
      </c>
      <c r="AF384" s="25">
        <v>0</v>
      </c>
      <c r="AG384" s="25">
        <v>0</v>
      </c>
      <c r="AH384" s="25">
        <v>0</v>
      </c>
      <c r="AI384" s="25">
        <v>0</v>
      </c>
      <c r="AJ384" s="25">
        <v>0</v>
      </c>
      <c r="AK384" s="25">
        <v>0</v>
      </c>
      <c r="AL384" s="25">
        <v>0</v>
      </c>
      <c r="AM384" s="25">
        <v>0</v>
      </c>
    </row>
    <row r="385" spans="1:39" ht="15" customHeight="1">
      <c r="A385" s="32" t="str">
        <f t="shared" si="15"/>
        <v>Essential (Original)--GROUND OUTDOOR / INDOOR CHAMBER MOUNTED ; ˂  22 kV ;  &lt; = 60 kVA ; MULTIPLE PHASE</v>
      </c>
      <c r="B385" s="32" t="str">
        <f t="shared" si="16"/>
        <v>Essential (Original)</v>
      </c>
      <c r="C385" s="32" t="s">
        <v>4</v>
      </c>
      <c r="D385" s="384"/>
      <c r="F385" t="s">
        <v>228</v>
      </c>
      <c r="G385" s="21">
        <v>0</v>
      </c>
      <c r="H385" s="21">
        <v>0</v>
      </c>
      <c r="I385" s="21">
        <v>0</v>
      </c>
      <c r="J385" s="21">
        <v>0</v>
      </c>
      <c r="K385" s="21">
        <v>0</v>
      </c>
      <c r="L385" s="21">
        <v>0</v>
      </c>
      <c r="M385" s="21">
        <v>0</v>
      </c>
      <c r="N385" s="21">
        <v>0</v>
      </c>
      <c r="O385" s="21">
        <v>0</v>
      </c>
      <c r="P385" s="21">
        <v>0</v>
      </c>
      <c r="Q385" s="21">
        <v>0</v>
      </c>
      <c r="R385" s="23">
        <v>0</v>
      </c>
      <c r="S385" s="23">
        <v>0</v>
      </c>
      <c r="T385" s="23">
        <v>0</v>
      </c>
      <c r="U385" s="23">
        <v>0</v>
      </c>
      <c r="V385" s="23">
        <v>0</v>
      </c>
      <c r="W385" s="23">
        <v>0</v>
      </c>
      <c r="X385" s="23">
        <v>0</v>
      </c>
      <c r="Y385" s="23">
        <v>0</v>
      </c>
      <c r="Z385" s="23">
        <v>0</v>
      </c>
      <c r="AA385" s="23">
        <v>0</v>
      </c>
      <c r="AB385" s="23">
        <v>0</v>
      </c>
      <c r="AC385" s="25">
        <v>0</v>
      </c>
      <c r="AD385" s="25">
        <v>0</v>
      </c>
      <c r="AE385" s="25">
        <v>0</v>
      </c>
      <c r="AF385" s="25">
        <v>0</v>
      </c>
      <c r="AG385" s="25">
        <v>0</v>
      </c>
      <c r="AH385" s="25">
        <v>0</v>
      </c>
      <c r="AI385" s="25">
        <v>0</v>
      </c>
      <c r="AJ385" s="25">
        <v>0</v>
      </c>
      <c r="AK385" s="25">
        <v>0</v>
      </c>
      <c r="AL385" s="25">
        <v>0</v>
      </c>
      <c r="AM385" s="25">
        <v>0</v>
      </c>
    </row>
    <row r="386" spans="1:39" ht="15" customHeight="1">
      <c r="A386" s="32" t="str">
        <f t="shared" si="15"/>
        <v>Essential (Original)--GROUND OUTDOOR / INDOOR CHAMBER MOUNTED ; ˂  22 kV ;  &gt; 60 kVA  AND &lt; = 600 kVA ; MULTIPLE PHASE</v>
      </c>
      <c r="B386" s="32" t="str">
        <f t="shared" si="16"/>
        <v>Essential (Original)</v>
      </c>
      <c r="C386" s="32" t="s">
        <v>4</v>
      </c>
      <c r="D386" s="384"/>
      <c r="F386" t="s">
        <v>229</v>
      </c>
      <c r="G386" s="21">
        <v>18.247019317996461</v>
      </c>
      <c r="H386" s="21">
        <v>147.93612799996049</v>
      </c>
      <c r="I386" s="21">
        <v>110.27231705182234</v>
      </c>
      <c r="J386" s="21">
        <v>152.8428288754979</v>
      </c>
      <c r="K386" s="21">
        <v>68.731197359705561</v>
      </c>
      <c r="L386" s="21">
        <v>59.548226775264183</v>
      </c>
      <c r="M386" s="21">
        <v>0</v>
      </c>
      <c r="N386" s="21">
        <v>124.51253051097696</v>
      </c>
      <c r="O386" s="21">
        <v>125.86871715315341</v>
      </c>
      <c r="P386" s="21">
        <v>0</v>
      </c>
      <c r="Q386" s="21">
        <v>0</v>
      </c>
      <c r="R386" s="23">
        <v>0.99479724560061211</v>
      </c>
      <c r="S386" s="23">
        <v>3.1600612088752897</v>
      </c>
      <c r="T386" s="23">
        <v>2.3409334353481297</v>
      </c>
      <c r="U386" s="23">
        <v>2.8939556235654171</v>
      </c>
      <c r="V386" s="23">
        <v>1.6226472838561601</v>
      </c>
      <c r="W386" s="23">
        <v>1.9843917368018398</v>
      </c>
      <c r="X386" s="23">
        <v>0</v>
      </c>
      <c r="Y386" s="23">
        <v>1.9843917368018398</v>
      </c>
      <c r="Z386" s="23">
        <v>1.9843917368018398</v>
      </c>
      <c r="AA386" s="23">
        <v>0</v>
      </c>
      <c r="AB386" s="23">
        <v>0</v>
      </c>
      <c r="AC386" s="25">
        <v>9.0436113236419285E-2</v>
      </c>
      <c r="AD386" s="25">
        <v>0.54261667941851566</v>
      </c>
      <c r="AE386" s="25">
        <v>0</v>
      </c>
      <c r="AF386" s="25">
        <v>0.36174445294567714</v>
      </c>
      <c r="AG386" s="25">
        <v>0</v>
      </c>
      <c r="AH386" s="25">
        <v>0.31652639632746749</v>
      </c>
      <c r="AI386" s="25">
        <v>0</v>
      </c>
      <c r="AJ386" s="25">
        <v>0.31652639632746749</v>
      </c>
      <c r="AK386" s="25">
        <v>0.31652639632746749</v>
      </c>
      <c r="AL386" s="25">
        <v>0</v>
      </c>
      <c r="AM386" s="25">
        <v>0.31652639632746749</v>
      </c>
    </row>
    <row r="387" spans="1:39" ht="15" customHeight="1">
      <c r="A387" s="32" t="str">
        <f t="shared" si="15"/>
        <v>Essential (Original)--GROUND OUTDOOR / INDOOR CHAMBER MOUNTED ; ˂  22 kV ;  &gt;  600 kVA ; MULTIPLE PHASE</v>
      </c>
      <c r="B387" s="32" t="str">
        <f t="shared" si="16"/>
        <v>Essential (Original)</v>
      </c>
      <c r="C387" s="32" t="s">
        <v>4</v>
      </c>
      <c r="D387" s="384"/>
      <c r="F387" t="s">
        <v>230</v>
      </c>
      <c r="G387" s="21">
        <v>0</v>
      </c>
      <c r="H387" s="21">
        <v>93.628647182193689</v>
      </c>
      <c r="I387" s="21">
        <v>0</v>
      </c>
      <c r="J387" s="21">
        <v>0</v>
      </c>
      <c r="K387" s="21">
        <v>84.714895274552163</v>
      </c>
      <c r="L387" s="21">
        <v>0</v>
      </c>
      <c r="M387" s="21">
        <v>375.92643641392016</v>
      </c>
      <c r="N387" s="21">
        <v>0</v>
      </c>
      <c r="O387" s="21">
        <v>0</v>
      </c>
      <c r="P387" s="21">
        <v>364.09033826889475</v>
      </c>
      <c r="Q387" s="21">
        <v>0</v>
      </c>
      <c r="R387" s="23">
        <v>0</v>
      </c>
      <c r="S387" s="23">
        <v>1</v>
      </c>
      <c r="T387" s="23">
        <v>0</v>
      </c>
      <c r="U387" s="23">
        <v>0</v>
      </c>
      <c r="V387" s="23">
        <v>1</v>
      </c>
      <c r="W387" s="23">
        <v>0</v>
      </c>
      <c r="X387" s="23">
        <v>2.9843917368018369</v>
      </c>
      <c r="Y387" s="23">
        <v>0</v>
      </c>
      <c r="Z387" s="23">
        <v>0</v>
      </c>
      <c r="AA387" s="23">
        <v>2.9843917368018369</v>
      </c>
      <c r="AB387" s="23">
        <v>0</v>
      </c>
      <c r="AC387" s="25">
        <v>0</v>
      </c>
      <c r="AD387" s="25">
        <v>0</v>
      </c>
      <c r="AE387" s="25">
        <v>0.63305279265493497</v>
      </c>
      <c r="AF387" s="25">
        <v>0</v>
      </c>
      <c r="AG387" s="25">
        <v>0.27130833970925783</v>
      </c>
      <c r="AH387" s="25">
        <v>0</v>
      </c>
      <c r="AI387" s="25">
        <v>0</v>
      </c>
      <c r="AJ387" s="25">
        <v>0</v>
      </c>
      <c r="AK387" s="25">
        <v>0</v>
      </c>
      <c r="AL387" s="25">
        <v>0.31652639632746749</v>
      </c>
      <c r="AM387" s="25">
        <v>0</v>
      </c>
    </row>
    <row r="388" spans="1:39" ht="15" customHeight="1">
      <c r="A388" s="32" t="str">
        <f t="shared" si="15"/>
        <v>Essential (Original)--GROUND OUTDOOR / INDOOR CHAMBER MOUNTED ; &gt; = 22 kV &amp; &lt; = 33 kV ;  &lt; = 15 MVA</v>
      </c>
      <c r="B388" s="32" t="str">
        <f t="shared" si="16"/>
        <v>Essential (Original)</v>
      </c>
      <c r="C388" s="32" t="s">
        <v>4</v>
      </c>
      <c r="D388" s="384"/>
      <c r="F388" t="s">
        <v>231</v>
      </c>
      <c r="G388" s="21">
        <v>1116.1571175613321</v>
      </c>
      <c r="H388" s="21">
        <v>2978.7566393446004</v>
      </c>
      <c r="I388" s="21">
        <v>5605.3242618284803</v>
      </c>
      <c r="J388" s="21">
        <v>2436.2810744047988</v>
      </c>
      <c r="K388" s="21">
        <v>1095.7201884792096</v>
      </c>
      <c r="L388" s="21">
        <v>90.024906379476576</v>
      </c>
      <c r="M388" s="21">
        <v>350.71965752399268</v>
      </c>
      <c r="N388" s="21">
        <v>2179.5030233754687</v>
      </c>
      <c r="O388" s="21">
        <v>1824.3822990462102</v>
      </c>
      <c r="P388" s="21">
        <v>1676.7228997673801</v>
      </c>
      <c r="Q388" s="21">
        <v>2238.5833963393261</v>
      </c>
      <c r="R388" s="23">
        <v>7</v>
      </c>
      <c r="S388" s="23">
        <v>6</v>
      </c>
      <c r="T388" s="23">
        <v>14</v>
      </c>
      <c r="U388" s="23">
        <v>3</v>
      </c>
      <c r="V388" s="23">
        <v>2</v>
      </c>
      <c r="W388" s="23">
        <v>1</v>
      </c>
      <c r="X388" s="23">
        <v>1</v>
      </c>
      <c r="Y388" s="23">
        <v>5</v>
      </c>
      <c r="Z388" s="23">
        <v>3</v>
      </c>
      <c r="AA388" s="23">
        <v>3</v>
      </c>
      <c r="AB388" s="23">
        <v>6.9843917368018369</v>
      </c>
      <c r="AC388" s="25">
        <v>2</v>
      </c>
      <c r="AD388" s="25">
        <v>0</v>
      </c>
      <c r="AE388" s="25">
        <v>0</v>
      </c>
      <c r="AF388" s="25">
        <v>1</v>
      </c>
      <c r="AG388" s="25">
        <v>0</v>
      </c>
      <c r="AH388" s="25">
        <v>1</v>
      </c>
      <c r="AI388" s="25">
        <v>1.3165263963274674</v>
      </c>
      <c r="AJ388" s="25">
        <v>1</v>
      </c>
      <c r="AK388" s="25">
        <v>1</v>
      </c>
      <c r="AL388" s="25">
        <v>1</v>
      </c>
      <c r="AM388" s="25">
        <v>1</v>
      </c>
    </row>
    <row r="389" spans="1:39" ht="15" customHeight="1">
      <c r="A389" s="32" t="str">
        <f t="shared" si="15"/>
        <v>Essential (Original)--GROUND OUTDOOR / INDOOR CHAMBER MOUNTED ; &gt; = 22 kV &amp; &lt; = 33 kV ;  &gt; 15 MVA AND &lt; = 40 MVA</v>
      </c>
      <c r="B389" s="32" t="str">
        <f t="shared" si="16"/>
        <v>Essential (Original)</v>
      </c>
      <c r="C389" s="32" t="s">
        <v>4</v>
      </c>
      <c r="D389" s="384"/>
      <c r="F389" t="s">
        <v>232</v>
      </c>
      <c r="G389" s="21">
        <v>0</v>
      </c>
      <c r="H389" s="21">
        <v>0</v>
      </c>
      <c r="I389" s="21">
        <v>0</v>
      </c>
      <c r="J389" s="21">
        <v>1256.8116653675554</v>
      </c>
      <c r="K389" s="21">
        <v>1069.6316125630378</v>
      </c>
      <c r="L389" s="21">
        <v>493.96703011444293</v>
      </c>
      <c r="M389" s="21">
        <v>542.78042235856014</v>
      </c>
      <c r="N389" s="21">
        <v>0</v>
      </c>
      <c r="O389" s="21">
        <v>0</v>
      </c>
      <c r="P389" s="21">
        <v>1602.7498306599957</v>
      </c>
      <c r="Q389" s="21">
        <v>2504.1925526305085</v>
      </c>
      <c r="R389" s="23">
        <v>0</v>
      </c>
      <c r="S389" s="23">
        <v>0</v>
      </c>
      <c r="T389" s="23">
        <v>0</v>
      </c>
      <c r="U389" s="23">
        <v>1</v>
      </c>
      <c r="V389" s="23">
        <v>1</v>
      </c>
      <c r="W389" s="23">
        <v>1</v>
      </c>
      <c r="X389" s="23">
        <v>1</v>
      </c>
      <c r="Y389" s="23">
        <v>0</v>
      </c>
      <c r="Z389" s="23">
        <v>0</v>
      </c>
      <c r="AA389" s="23">
        <v>2</v>
      </c>
      <c r="AB389" s="23">
        <v>4</v>
      </c>
      <c r="AC389" s="25">
        <v>0</v>
      </c>
      <c r="AD389" s="25">
        <v>0</v>
      </c>
      <c r="AE389" s="25">
        <v>0</v>
      </c>
      <c r="AF389" s="25">
        <v>0</v>
      </c>
      <c r="AG389" s="25">
        <v>0</v>
      </c>
      <c r="AH389" s="25">
        <v>0</v>
      </c>
      <c r="AI389" s="25">
        <v>0</v>
      </c>
      <c r="AJ389" s="25">
        <v>0</v>
      </c>
      <c r="AK389" s="25">
        <v>0</v>
      </c>
      <c r="AL389" s="25">
        <v>0</v>
      </c>
      <c r="AM389" s="25">
        <v>0</v>
      </c>
    </row>
    <row r="390" spans="1:39" ht="15" customHeight="1">
      <c r="A390" s="32" t="str">
        <f t="shared" ref="A390:A453" si="17">B390&amp;"-"&amp;E390&amp;"-"&amp;F390</f>
        <v>Essential (Original)--GROUND OUTDOOR / INDOOR CHAMBER MOUNTED ; &gt; = 22 kV &amp; &lt; = 33 kV ;  &gt; 40 MVA</v>
      </c>
      <c r="B390" s="32" t="str">
        <f t="shared" ref="B390:B453" si="18">IF(D390&gt;0,D390,B389)</f>
        <v>Essential (Original)</v>
      </c>
      <c r="C390" s="32" t="s">
        <v>4</v>
      </c>
      <c r="D390" s="384"/>
      <c r="F390" t="s">
        <v>233</v>
      </c>
      <c r="G390" s="21">
        <v>0</v>
      </c>
      <c r="H390" s="21">
        <v>0</v>
      </c>
      <c r="I390" s="21">
        <v>0</v>
      </c>
      <c r="J390" s="21">
        <v>0</v>
      </c>
      <c r="K390" s="21">
        <v>0</v>
      </c>
      <c r="L390" s="21">
        <v>0</v>
      </c>
      <c r="M390" s="21">
        <v>0</v>
      </c>
      <c r="N390" s="21">
        <v>0</v>
      </c>
      <c r="O390" s="21">
        <v>0</v>
      </c>
      <c r="P390" s="21">
        <v>0</v>
      </c>
      <c r="Q390" s="21">
        <v>0</v>
      </c>
      <c r="R390" s="23">
        <v>0</v>
      </c>
      <c r="S390" s="23">
        <v>0</v>
      </c>
      <c r="T390" s="23">
        <v>0</v>
      </c>
      <c r="U390" s="23">
        <v>0</v>
      </c>
      <c r="V390" s="23">
        <v>0</v>
      </c>
      <c r="W390" s="23">
        <v>0</v>
      </c>
      <c r="X390" s="23">
        <v>0</v>
      </c>
      <c r="Y390" s="23">
        <v>0</v>
      </c>
      <c r="Z390" s="23">
        <v>0</v>
      </c>
      <c r="AA390" s="23">
        <v>0</v>
      </c>
      <c r="AB390" s="23">
        <v>0</v>
      </c>
      <c r="AC390" s="25">
        <v>0</v>
      </c>
      <c r="AD390" s="25">
        <v>0</v>
      </c>
      <c r="AE390" s="25">
        <v>0</v>
      </c>
      <c r="AF390" s="25">
        <v>0</v>
      </c>
      <c r="AG390" s="25">
        <v>0</v>
      </c>
      <c r="AH390" s="25">
        <v>0</v>
      </c>
      <c r="AI390" s="25">
        <v>0</v>
      </c>
      <c r="AJ390" s="25">
        <v>0</v>
      </c>
      <c r="AK390" s="25">
        <v>0</v>
      </c>
      <c r="AL390" s="25">
        <v>0</v>
      </c>
      <c r="AM390" s="25">
        <v>0</v>
      </c>
    </row>
    <row r="391" spans="1:39" ht="15" customHeight="1">
      <c r="A391" s="32" t="str">
        <f t="shared" si="17"/>
        <v>Essential (Original)--GROUND OUTDOOR / INDOOR CHAMBER MOUNTED ; &gt; 33 kV &amp; &lt; = 66 kV ;  &lt; = 15 MVA</v>
      </c>
      <c r="B391" s="32" t="str">
        <f t="shared" si="18"/>
        <v>Essential (Original)</v>
      </c>
      <c r="C391" s="32" t="s">
        <v>4</v>
      </c>
      <c r="D391" s="384"/>
      <c r="F391" t="s">
        <v>234</v>
      </c>
      <c r="G391" s="21">
        <v>1591.694648716405</v>
      </c>
      <c r="H391" s="21">
        <v>1839.8202772422533</v>
      </c>
      <c r="I391" s="21">
        <v>1643.7711322537866</v>
      </c>
      <c r="J391" s="21">
        <v>7463.52773587502</v>
      </c>
      <c r="K391" s="21">
        <v>7070.0040732825182</v>
      </c>
      <c r="L391" s="21">
        <v>2933.4042096026915</v>
      </c>
      <c r="M391" s="21">
        <v>350.71965752399268</v>
      </c>
      <c r="N391" s="21">
        <v>2542.0406742421974</v>
      </c>
      <c r="O391" s="21">
        <v>3219.4981747874299</v>
      </c>
      <c r="P391" s="21">
        <v>1035.6229675033819</v>
      </c>
      <c r="Q391" s="21">
        <v>1001.6770210522034</v>
      </c>
      <c r="R391" s="23">
        <v>9</v>
      </c>
      <c r="S391" s="23">
        <v>4</v>
      </c>
      <c r="T391" s="23">
        <v>4</v>
      </c>
      <c r="U391" s="23">
        <v>8</v>
      </c>
      <c r="V391" s="23">
        <v>11</v>
      </c>
      <c r="W391" s="23">
        <v>8</v>
      </c>
      <c r="X391" s="23">
        <v>1</v>
      </c>
      <c r="Y391" s="23">
        <v>5</v>
      </c>
      <c r="Z391" s="23">
        <v>5</v>
      </c>
      <c r="AA391" s="23">
        <v>2</v>
      </c>
      <c r="AB391" s="23">
        <v>2</v>
      </c>
      <c r="AC391" s="25">
        <v>0</v>
      </c>
      <c r="AD391" s="25">
        <v>4</v>
      </c>
      <c r="AE391" s="25">
        <v>0</v>
      </c>
      <c r="AF391" s="25">
        <v>1</v>
      </c>
      <c r="AG391" s="25">
        <v>1</v>
      </c>
      <c r="AH391" s="25">
        <v>1</v>
      </c>
      <c r="AI391" s="25">
        <v>1</v>
      </c>
      <c r="AJ391" s="25">
        <v>1</v>
      </c>
      <c r="AK391" s="25">
        <v>1</v>
      </c>
      <c r="AL391" s="25">
        <v>1</v>
      </c>
      <c r="AM391" s="25">
        <v>1</v>
      </c>
    </row>
    <row r="392" spans="1:39" ht="15" customHeight="1">
      <c r="A392" s="32" t="str">
        <f t="shared" si="17"/>
        <v>Essential (Original)--GROUND OUTDOOR / INDOOR CHAMBER MOUNTED ; &gt; 33 kV &amp; &lt; = 66 kV ;  &gt; 15 MVA AND &lt; = 40 MVA</v>
      </c>
      <c r="B392" s="32" t="str">
        <f t="shared" si="18"/>
        <v>Essential (Original)</v>
      </c>
      <c r="C392" s="32" t="s">
        <v>4</v>
      </c>
      <c r="D392" s="384"/>
      <c r="F392" t="s">
        <v>235</v>
      </c>
      <c r="G392" s="21">
        <v>1213.2770484088283</v>
      </c>
      <c r="H392" s="21">
        <v>3405.8577751329808</v>
      </c>
      <c r="I392" s="21">
        <v>3042.9334650650453</v>
      </c>
      <c r="J392" s="21">
        <v>5684.6558402778646</v>
      </c>
      <c r="K392" s="21">
        <v>5752.5309895158498</v>
      </c>
      <c r="L392" s="21">
        <v>1740.2838445570374</v>
      </c>
      <c r="M392" s="21">
        <v>1085.5608447171203</v>
      </c>
      <c r="N392" s="21">
        <v>0</v>
      </c>
      <c r="O392" s="21">
        <v>4359.7371116913109</v>
      </c>
      <c r="P392" s="21">
        <v>2613.7151084609163</v>
      </c>
      <c r="Q392" s="21">
        <v>1252.0962763152543</v>
      </c>
      <c r="R392" s="23">
        <v>4</v>
      </c>
      <c r="S392" s="23">
        <v>4</v>
      </c>
      <c r="T392" s="23">
        <v>4</v>
      </c>
      <c r="U392" s="23">
        <v>4</v>
      </c>
      <c r="V392" s="23">
        <v>6</v>
      </c>
      <c r="W392" s="23">
        <v>3</v>
      </c>
      <c r="X392" s="23">
        <v>2</v>
      </c>
      <c r="Y392" s="23">
        <v>0</v>
      </c>
      <c r="Z392" s="23">
        <v>5</v>
      </c>
      <c r="AA392" s="23">
        <v>3</v>
      </c>
      <c r="AB392" s="23">
        <v>2</v>
      </c>
      <c r="AC392" s="25">
        <v>0</v>
      </c>
      <c r="AD392" s="25">
        <v>0</v>
      </c>
      <c r="AE392" s="25">
        <v>0</v>
      </c>
      <c r="AF392" s="25">
        <v>0</v>
      </c>
      <c r="AG392" s="25">
        <v>0</v>
      </c>
      <c r="AH392" s="25">
        <v>0</v>
      </c>
      <c r="AI392" s="25">
        <v>0</v>
      </c>
      <c r="AJ392" s="25">
        <v>0</v>
      </c>
      <c r="AK392" s="25">
        <v>0</v>
      </c>
      <c r="AL392" s="25">
        <v>0</v>
      </c>
      <c r="AM392" s="25">
        <v>0</v>
      </c>
    </row>
    <row r="393" spans="1:39" ht="15" customHeight="1">
      <c r="A393" s="32" t="str">
        <f t="shared" si="17"/>
        <v>Essential (Original)--GROUND OUTDOOR / INDOOR CHAMBER MOUNTED ; &gt; 33 kV &amp; &lt; = 66 kV ;  &gt; 40 MVA</v>
      </c>
      <c r="B393" s="32" t="str">
        <f t="shared" si="18"/>
        <v>Essential (Original)</v>
      </c>
      <c r="C393" s="32" t="s">
        <v>4</v>
      </c>
      <c r="D393" s="384"/>
      <c r="F393" t="s">
        <v>236</v>
      </c>
      <c r="G393" s="21">
        <v>0</v>
      </c>
      <c r="H393" s="21">
        <v>0</v>
      </c>
      <c r="I393" s="21">
        <v>0</v>
      </c>
      <c r="J393" s="21">
        <v>0</v>
      </c>
      <c r="K393" s="21">
        <v>0</v>
      </c>
      <c r="L393" s="21">
        <v>0</v>
      </c>
      <c r="M393" s="21">
        <v>0</v>
      </c>
      <c r="N393" s="21">
        <v>0</v>
      </c>
      <c r="O393" s="21">
        <v>0</v>
      </c>
      <c r="P393" s="21">
        <v>0</v>
      </c>
      <c r="Q393" s="21">
        <v>0</v>
      </c>
      <c r="R393" s="23">
        <v>0</v>
      </c>
      <c r="S393" s="23">
        <v>0</v>
      </c>
      <c r="T393" s="23">
        <v>0</v>
      </c>
      <c r="U393" s="23">
        <v>0</v>
      </c>
      <c r="V393" s="23">
        <v>0</v>
      </c>
      <c r="W393" s="23">
        <v>0</v>
      </c>
      <c r="X393" s="23">
        <v>0</v>
      </c>
      <c r="Y393" s="23">
        <v>0</v>
      </c>
      <c r="Z393" s="23">
        <v>0</v>
      </c>
      <c r="AA393" s="23">
        <v>0</v>
      </c>
      <c r="AB393" s="23">
        <v>0</v>
      </c>
      <c r="AC393" s="25">
        <v>0</v>
      </c>
      <c r="AD393" s="25">
        <v>0</v>
      </c>
      <c r="AE393" s="25">
        <v>0</v>
      </c>
      <c r="AF393" s="25">
        <v>0</v>
      </c>
      <c r="AG393" s="25">
        <v>0</v>
      </c>
      <c r="AH393" s="25">
        <v>0</v>
      </c>
      <c r="AI393" s="25">
        <v>0</v>
      </c>
      <c r="AJ393" s="25">
        <v>0</v>
      </c>
      <c r="AK393" s="25">
        <v>0</v>
      </c>
      <c r="AL393" s="25">
        <v>0</v>
      </c>
      <c r="AM393" s="25">
        <v>0</v>
      </c>
    </row>
    <row r="394" spans="1:39" ht="15" customHeight="1">
      <c r="A394" s="32" t="str">
        <f t="shared" si="17"/>
        <v>Essential (Original)--GROUND OUTDOOR / INDOOR CHAMBER MOUNTED ; &gt; 66 kV &amp; &lt; = 132 kV ;  &lt; = 100 MVA</v>
      </c>
      <c r="B394" s="32" t="str">
        <f t="shared" si="18"/>
        <v>Essential (Original)</v>
      </c>
      <c r="C394" s="32" t="s">
        <v>4</v>
      </c>
      <c r="D394" s="384"/>
      <c r="F394" t="s">
        <v>237</v>
      </c>
      <c r="G394" s="21">
        <v>0</v>
      </c>
      <c r="H394" s="21">
        <v>0</v>
      </c>
      <c r="I394" s="21">
        <v>0</v>
      </c>
      <c r="J394" s="21">
        <v>0</v>
      </c>
      <c r="K394" s="21">
        <v>1356.6059476409262</v>
      </c>
      <c r="L394" s="21">
        <v>0</v>
      </c>
      <c r="M394" s="21">
        <v>1736.8973515473929</v>
      </c>
      <c r="N394" s="21">
        <v>1101.5509588382856</v>
      </c>
      <c r="O394" s="21">
        <v>0</v>
      </c>
      <c r="P394" s="21">
        <v>0</v>
      </c>
      <c r="Q394" s="21">
        <v>1001.6770210522034</v>
      </c>
      <c r="R394" s="23">
        <v>0</v>
      </c>
      <c r="S394" s="23">
        <v>0</v>
      </c>
      <c r="T394" s="23">
        <v>0</v>
      </c>
      <c r="U394" s="23">
        <v>0</v>
      </c>
      <c r="V394" s="23">
        <v>1</v>
      </c>
      <c r="W394" s="23">
        <v>0</v>
      </c>
      <c r="X394" s="23">
        <v>2</v>
      </c>
      <c r="Y394" s="23">
        <v>1</v>
      </c>
      <c r="Z394" s="23">
        <v>0</v>
      </c>
      <c r="AA394" s="23">
        <v>0</v>
      </c>
      <c r="AB394" s="23">
        <v>1</v>
      </c>
      <c r="AC394" s="25">
        <v>0</v>
      </c>
      <c r="AD394" s="25">
        <v>0</v>
      </c>
      <c r="AE394" s="25">
        <v>0</v>
      </c>
      <c r="AF394" s="25">
        <v>0</v>
      </c>
      <c r="AG394" s="25">
        <v>0</v>
      </c>
      <c r="AH394" s="25">
        <v>0</v>
      </c>
      <c r="AI394" s="25">
        <v>0</v>
      </c>
      <c r="AJ394" s="25">
        <v>0</v>
      </c>
      <c r="AK394" s="25">
        <v>0</v>
      </c>
      <c r="AL394" s="25">
        <v>0</v>
      </c>
      <c r="AM394" s="25">
        <v>0</v>
      </c>
    </row>
    <row r="395" spans="1:39" ht="15" customHeight="1">
      <c r="A395" s="32" t="str">
        <f t="shared" si="17"/>
        <v>Essential (Original)--GROUND OUTDOOR / INDOOR CHAMBER MOUNTED ; &gt; 66 kV &amp; &lt; = 132 kV ;  &gt; 100 MVA</v>
      </c>
      <c r="B395" s="32" t="str">
        <f t="shared" si="18"/>
        <v>Essential (Original)</v>
      </c>
      <c r="C395" s="32" t="s">
        <v>4</v>
      </c>
      <c r="D395" s="384"/>
      <c r="F395" t="s">
        <v>238</v>
      </c>
      <c r="G395" s="21">
        <v>0</v>
      </c>
      <c r="H395" s="21">
        <v>0</v>
      </c>
      <c r="I395" s="21">
        <v>0</v>
      </c>
      <c r="J395" s="21">
        <v>0</v>
      </c>
      <c r="K395" s="21">
        <v>0</v>
      </c>
      <c r="L395" s="21">
        <v>0</v>
      </c>
      <c r="M395" s="21">
        <v>0</v>
      </c>
      <c r="N395" s="21">
        <v>0</v>
      </c>
      <c r="O395" s="21">
        <v>0</v>
      </c>
      <c r="P395" s="21">
        <v>0</v>
      </c>
      <c r="Q395" s="21">
        <v>0</v>
      </c>
      <c r="R395" s="23">
        <v>0</v>
      </c>
      <c r="S395" s="23">
        <v>0</v>
      </c>
      <c r="T395" s="23">
        <v>0</v>
      </c>
      <c r="U395" s="23">
        <v>0</v>
      </c>
      <c r="V395" s="23">
        <v>0</v>
      </c>
      <c r="W395" s="23">
        <v>0</v>
      </c>
      <c r="X395" s="23">
        <v>0</v>
      </c>
      <c r="Y395" s="23">
        <v>0</v>
      </c>
      <c r="Z395" s="23">
        <v>0</v>
      </c>
      <c r="AA395" s="23">
        <v>0</v>
      </c>
      <c r="AB395" s="23">
        <v>0</v>
      </c>
      <c r="AC395" s="25">
        <v>0</v>
      </c>
      <c r="AD395" s="25">
        <v>0</v>
      </c>
      <c r="AE395" s="25">
        <v>0</v>
      </c>
      <c r="AF395" s="25">
        <v>0</v>
      </c>
      <c r="AG395" s="25">
        <v>0</v>
      </c>
      <c r="AH395" s="25">
        <v>0</v>
      </c>
      <c r="AI395" s="25">
        <v>0</v>
      </c>
      <c r="AJ395" s="25">
        <v>0</v>
      </c>
      <c r="AK395" s="25">
        <v>0</v>
      </c>
      <c r="AL395" s="25">
        <v>0</v>
      </c>
      <c r="AM395" s="25">
        <v>0</v>
      </c>
    </row>
    <row r="396" spans="1:39" ht="15" customHeight="1">
      <c r="A396" s="32" t="str">
        <f t="shared" si="17"/>
        <v>Essential (Original)--GROUND OUTDOOR / INDOOR CHAMBER MOUNTED ; &gt; 132 kV ;  &lt; = 100 MVA</v>
      </c>
      <c r="B396" s="32" t="str">
        <f t="shared" si="18"/>
        <v>Essential (Original)</v>
      </c>
      <c r="C396" s="32" t="s">
        <v>4</v>
      </c>
      <c r="D396" s="384"/>
      <c r="F396" t="s">
        <v>239</v>
      </c>
      <c r="G396" s="21">
        <v>0</v>
      </c>
      <c r="H396" s="21">
        <v>0</v>
      </c>
      <c r="I396" s="21">
        <v>0</v>
      </c>
      <c r="J396" s="21">
        <v>0</v>
      </c>
      <c r="K396" s="21">
        <v>0</v>
      </c>
      <c r="L396" s="21">
        <v>0</v>
      </c>
      <c r="M396" s="21">
        <v>0</v>
      </c>
      <c r="N396" s="21">
        <v>0</v>
      </c>
      <c r="O396" s="21">
        <v>0</v>
      </c>
      <c r="P396" s="21">
        <v>0</v>
      </c>
      <c r="Q396" s="21">
        <v>0</v>
      </c>
      <c r="R396" s="23">
        <v>0</v>
      </c>
      <c r="S396" s="23">
        <v>0</v>
      </c>
      <c r="T396" s="23">
        <v>0</v>
      </c>
      <c r="U396" s="23">
        <v>0</v>
      </c>
      <c r="V396" s="23">
        <v>0</v>
      </c>
      <c r="W396" s="23">
        <v>0</v>
      </c>
      <c r="X396" s="23">
        <v>0</v>
      </c>
      <c r="Y396" s="23">
        <v>0</v>
      </c>
      <c r="Z396" s="23">
        <v>0</v>
      </c>
      <c r="AA396" s="23">
        <v>0</v>
      </c>
      <c r="AB396" s="23">
        <v>0</v>
      </c>
      <c r="AC396" s="25">
        <v>0</v>
      </c>
      <c r="AD396" s="25">
        <v>0</v>
      </c>
      <c r="AE396" s="25">
        <v>0</v>
      </c>
      <c r="AF396" s="25">
        <v>0</v>
      </c>
      <c r="AG396" s="25">
        <v>0</v>
      </c>
      <c r="AH396" s="25">
        <v>0</v>
      </c>
      <c r="AI396" s="25">
        <v>0</v>
      </c>
      <c r="AJ396" s="25">
        <v>0</v>
      </c>
      <c r="AK396" s="25">
        <v>0</v>
      </c>
      <c r="AL396" s="25">
        <v>0</v>
      </c>
      <c r="AM396" s="25">
        <v>0</v>
      </c>
    </row>
    <row r="397" spans="1:39" ht="15" customHeight="1">
      <c r="A397" s="32" t="str">
        <f t="shared" si="17"/>
        <v>Essential (Original)--GROUND OUTDOOR / INDOOR CHAMBER MOUNTED ; &gt; 132 kV ;  &gt; 100 MVA</v>
      </c>
      <c r="B397" s="32" t="str">
        <f t="shared" si="18"/>
        <v>Essential (Original)</v>
      </c>
      <c r="C397" s="32" t="s">
        <v>4</v>
      </c>
      <c r="D397" s="384"/>
      <c r="F397" t="s">
        <v>240</v>
      </c>
      <c r="G397" s="21">
        <v>0</v>
      </c>
      <c r="H397" s="21">
        <v>0</v>
      </c>
      <c r="I397" s="21">
        <v>0</v>
      </c>
      <c r="J397" s="21">
        <v>0</v>
      </c>
      <c r="K397" s="21">
        <v>0</v>
      </c>
      <c r="L397" s="21">
        <v>0</v>
      </c>
      <c r="M397" s="21">
        <v>0</v>
      </c>
      <c r="N397" s="21">
        <v>0</v>
      </c>
      <c r="O397" s="21">
        <v>0</v>
      </c>
      <c r="P397" s="21">
        <v>0</v>
      </c>
      <c r="Q397" s="21">
        <v>0</v>
      </c>
      <c r="R397" s="23">
        <v>0</v>
      </c>
      <c r="S397" s="23">
        <v>0</v>
      </c>
      <c r="T397" s="23">
        <v>0</v>
      </c>
      <c r="U397" s="23">
        <v>0</v>
      </c>
      <c r="V397" s="23">
        <v>0</v>
      </c>
      <c r="W397" s="23">
        <v>0</v>
      </c>
      <c r="X397" s="23">
        <v>0</v>
      </c>
      <c r="Y397" s="23">
        <v>0</v>
      </c>
      <c r="Z397" s="23">
        <v>0</v>
      </c>
      <c r="AA397" s="23">
        <v>0</v>
      </c>
      <c r="AB397" s="23">
        <v>0</v>
      </c>
      <c r="AC397" s="25">
        <v>0</v>
      </c>
      <c r="AD397" s="25">
        <v>0</v>
      </c>
      <c r="AE397" s="25">
        <v>0</v>
      </c>
      <c r="AF397" s="25">
        <v>0</v>
      </c>
      <c r="AG397" s="25">
        <v>0</v>
      </c>
      <c r="AH397" s="25">
        <v>0</v>
      </c>
      <c r="AI397" s="25">
        <v>0</v>
      </c>
      <c r="AJ397" s="25">
        <v>0</v>
      </c>
      <c r="AK397" s="25">
        <v>0</v>
      </c>
      <c r="AL397" s="25">
        <v>0</v>
      </c>
      <c r="AM397" s="25">
        <v>0</v>
      </c>
    </row>
    <row r="398" spans="1:39" ht="15" customHeight="1">
      <c r="A398" s="32" t="str">
        <f t="shared" si="17"/>
        <v>Essential (Original)--REGULATORS (ALL VOLTAGES)</v>
      </c>
      <c r="B398" s="32" t="str">
        <f t="shared" si="18"/>
        <v>Essential (Original)</v>
      </c>
      <c r="C398" s="32" t="s">
        <v>4</v>
      </c>
      <c r="D398" s="384"/>
      <c r="F398" t="s">
        <v>339</v>
      </c>
      <c r="G398" s="21">
        <v>935.46497975672207</v>
      </c>
      <c r="H398" s="21">
        <v>2387.5305031459388</v>
      </c>
      <c r="I398" s="21">
        <v>2402.4126806521467</v>
      </c>
      <c r="J398" s="21">
        <v>2693.5396690868397</v>
      </c>
      <c r="K398" s="21">
        <v>2160.2298295010801</v>
      </c>
      <c r="L398" s="21">
        <v>1530.4234084511015</v>
      </c>
      <c r="M398" s="21">
        <v>3684.4520541698876</v>
      </c>
      <c r="N398" s="21">
        <v>3764.7565710482704</v>
      </c>
      <c r="O398" s="21">
        <v>3900.9062380972505</v>
      </c>
      <c r="P398" s="21">
        <v>3842.9424374966752</v>
      </c>
      <c r="Q398" s="21">
        <v>3864.0511333409813</v>
      </c>
      <c r="R398" s="23">
        <v>34</v>
      </c>
      <c r="S398" s="23">
        <v>34</v>
      </c>
      <c r="T398" s="23">
        <v>34</v>
      </c>
      <c r="U398" s="23">
        <v>34</v>
      </c>
      <c r="V398" s="23">
        <v>34</v>
      </c>
      <c r="W398" s="23">
        <v>34</v>
      </c>
      <c r="X398" s="23">
        <v>39</v>
      </c>
      <c r="Y398" s="23">
        <v>40</v>
      </c>
      <c r="Z398" s="23">
        <v>41</v>
      </c>
      <c r="AA398" s="23">
        <v>42</v>
      </c>
      <c r="AB398" s="23">
        <v>44</v>
      </c>
      <c r="AC398" s="25">
        <v>9</v>
      </c>
      <c r="AD398" s="25">
        <v>9</v>
      </c>
      <c r="AE398" s="25">
        <v>9</v>
      </c>
      <c r="AF398" s="25">
        <v>9</v>
      </c>
      <c r="AG398" s="25">
        <v>9</v>
      </c>
      <c r="AH398" s="25">
        <v>9</v>
      </c>
      <c r="AI398" s="25">
        <v>9</v>
      </c>
      <c r="AJ398" s="25">
        <v>9</v>
      </c>
      <c r="AK398" s="25">
        <v>9</v>
      </c>
      <c r="AL398" s="25">
        <v>9</v>
      </c>
      <c r="AM398" s="25">
        <v>9</v>
      </c>
    </row>
    <row r="399" spans="1:39" ht="45" customHeight="1">
      <c r="A399" s="32" t="str">
        <f t="shared" si="17"/>
        <v>Essential (Original)-SWITCHGEAR BY: 
HIGHEST OPERATING VOLTAGE ; SWITCH FUNCTION-˂ = 11 KV ;  FUSE</v>
      </c>
      <c r="B399" s="32" t="str">
        <f t="shared" si="18"/>
        <v>Essential (Original)</v>
      </c>
      <c r="C399" s="32" t="s">
        <v>2</v>
      </c>
      <c r="D399" s="384"/>
      <c r="E399" s="3" t="s">
        <v>545</v>
      </c>
      <c r="F399" t="s">
        <v>340</v>
      </c>
      <c r="G399" s="21">
        <v>223.9974324744947</v>
      </c>
      <c r="H399" s="21">
        <v>1897.3989207215459</v>
      </c>
      <c r="I399" s="21">
        <v>3937.1501539165265</v>
      </c>
      <c r="J399" s="21">
        <v>1575.8329160239862</v>
      </c>
      <c r="K399" s="21">
        <v>524.20401942204739</v>
      </c>
      <c r="L399" s="21">
        <v>264.83591484362336</v>
      </c>
      <c r="M399" s="21">
        <v>1562.2584003845998</v>
      </c>
      <c r="N399" s="21">
        <v>1817.089386099834</v>
      </c>
      <c r="O399" s="21">
        <v>1862.7688543315469</v>
      </c>
      <c r="P399" s="21">
        <v>1643.6237658974533</v>
      </c>
      <c r="Q399" s="21">
        <v>1678.3206093695057</v>
      </c>
      <c r="R399" s="23">
        <v>59.000000000000007</v>
      </c>
      <c r="S399" s="23">
        <v>947.00000000000011</v>
      </c>
      <c r="T399" s="23">
        <v>2548.0000000000005</v>
      </c>
      <c r="U399" s="23">
        <v>927</v>
      </c>
      <c r="V399" s="23">
        <v>149</v>
      </c>
      <c r="W399" s="23">
        <v>121.74193548387098</v>
      </c>
      <c r="X399" s="23">
        <v>1651.1681415929204</v>
      </c>
      <c r="Y399" s="23">
        <v>1804.7964601769916</v>
      </c>
      <c r="Z399" s="23">
        <v>1793.0265486725664</v>
      </c>
      <c r="AA399" s="23">
        <v>1619.5752212389382</v>
      </c>
      <c r="AB399" s="23">
        <v>1628.8672566371683</v>
      </c>
      <c r="AC399" s="25">
        <v>343</v>
      </c>
      <c r="AD399" s="25">
        <v>870</v>
      </c>
      <c r="AE399" s="25">
        <v>251</v>
      </c>
      <c r="AF399" s="25">
        <v>236.00000000000003</v>
      </c>
      <c r="AG399" s="25">
        <v>282</v>
      </c>
      <c r="AH399" s="25">
        <v>192.33064516129031</v>
      </c>
      <c r="AI399" s="25">
        <v>236.90120967741936</v>
      </c>
      <c r="AJ399" s="25">
        <v>236.90120967741936</v>
      </c>
      <c r="AK399" s="25">
        <v>236.90120967741936</v>
      </c>
      <c r="AL399" s="25">
        <v>236.90120967741936</v>
      </c>
      <c r="AM399" s="25">
        <v>236.90120967741936</v>
      </c>
    </row>
    <row r="400" spans="1:39" ht="15" customHeight="1">
      <c r="A400" s="32" t="str">
        <f t="shared" si="17"/>
        <v>Essential (Original)--˂ = 11 KV  ; SWITCH</v>
      </c>
      <c r="B400" s="32" t="str">
        <f t="shared" si="18"/>
        <v>Essential (Original)</v>
      </c>
      <c r="C400" s="32" t="s">
        <v>2</v>
      </c>
      <c r="D400" s="384"/>
      <c r="F400" t="s">
        <v>341</v>
      </c>
      <c r="G400" s="21">
        <v>2059.8713925233178</v>
      </c>
      <c r="H400" s="21">
        <v>809.8731757699851</v>
      </c>
      <c r="I400" s="21">
        <v>1204.8349339388124</v>
      </c>
      <c r="J400" s="21">
        <v>1293.8941317718406</v>
      </c>
      <c r="K400" s="21">
        <v>2145.0561391249935</v>
      </c>
      <c r="L400" s="21">
        <v>1172.0029355917272</v>
      </c>
      <c r="M400" s="21">
        <v>1233.703284980802</v>
      </c>
      <c r="N400" s="21">
        <v>1836.2289649097479</v>
      </c>
      <c r="O400" s="21">
        <v>1983.1630850083159</v>
      </c>
      <c r="P400" s="21">
        <v>1898.7435348785841</v>
      </c>
      <c r="Q400" s="21">
        <v>1827.5166739682704</v>
      </c>
      <c r="R400" s="23">
        <v>132</v>
      </c>
      <c r="S400" s="23">
        <v>66</v>
      </c>
      <c r="T400" s="23">
        <v>96</v>
      </c>
      <c r="U400" s="23">
        <v>119</v>
      </c>
      <c r="V400" s="23">
        <v>158</v>
      </c>
      <c r="W400" s="23">
        <v>105.30645161290322</v>
      </c>
      <c r="X400" s="23">
        <v>177.87719298245611</v>
      </c>
      <c r="Y400" s="23">
        <v>257.54970760233914</v>
      </c>
      <c r="Z400" s="23">
        <v>257.54970760233914</v>
      </c>
      <c r="AA400" s="23">
        <v>257.54970760233914</v>
      </c>
      <c r="AB400" s="23">
        <v>257.54970760233914</v>
      </c>
      <c r="AC400" s="25">
        <v>141</v>
      </c>
      <c r="AD400" s="25">
        <v>135</v>
      </c>
      <c r="AE400" s="25">
        <v>132</v>
      </c>
      <c r="AF400" s="25">
        <v>125</v>
      </c>
      <c r="AG400" s="25">
        <v>97</v>
      </c>
      <c r="AH400" s="25">
        <v>100.60887096774195</v>
      </c>
      <c r="AI400" s="25">
        <v>98.304435483870975</v>
      </c>
      <c r="AJ400" s="25">
        <v>98.304435483870975</v>
      </c>
      <c r="AK400" s="25">
        <v>98.304435483870975</v>
      </c>
      <c r="AL400" s="25">
        <v>98.304435483870975</v>
      </c>
      <c r="AM400" s="25">
        <v>98.304435483870975</v>
      </c>
    </row>
    <row r="401" spans="1:39" ht="15" customHeight="1">
      <c r="A401" s="32" t="str">
        <f t="shared" si="17"/>
        <v>Essential (Original)--˂ = 11 KV ;  CIRCUIT BREAKER</v>
      </c>
      <c r="B401" s="32" t="str">
        <f t="shared" si="18"/>
        <v>Essential (Original)</v>
      </c>
      <c r="C401" s="32" t="s">
        <v>2</v>
      </c>
      <c r="D401" s="384"/>
      <c r="F401" t="s">
        <v>342</v>
      </c>
      <c r="G401" s="21">
        <v>1727.0640559004128</v>
      </c>
      <c r="H401" s="21">
        <v>2075.6457532449135</v>
      </c>
      <c r="I401" s="21">
        <v>2991.15263330062</v>
      </c>
      <c r="J401" s="21">
        <v>4745.290125446978</v>
      </c>
      <c r="K401" s="21">
        <v>4360.1021144285878</v>
      </c>
      <c r="L401" s="21">
        <v>4129.0386342048168</v>
      </c>
      <c r="M401" s="21">
        <v>4048.8414402362869</v>
      </c>
      <c r="N401" s="21">
        <v>4094.5809832245968</v>
      </c>
      <c r="O401" s="21">
        <v>4146.0559809819379</v>
      </c>
      <c r="P401" s="21">
        <v>4026.3982888163036</v>
      </c>
      <c r="Q401" s="21">
        <v>3686.8869330589955</v>
      </c>
      <c r="R401" s="23">
        <v>51</v>
      </c>
      <c r="S401" s="23">
        <v>25</v>
      </c>
      <c r="T401" s="23">
        <v>41</v>
      </c>
      <c r="U401" s="23">
        <v>53</v>
      </c>
      <c r="V401" s="23">
        <v>55</v>
      </c>
      <c r="W401" s="23">
        <v>59</v>
      </c>
      <c r="X401" s="23">
        <v>89.394736842105303</v>
      </c>
      <c r="Y401" s="23">
        <v>86.394736842105303</v>
      </c>
      <c r="Z401" s="23">
        <v>83.907894736842096</v>
      </c>
      <c r="AA401" s="23">
        <v>83.907894736842096</v>
      </c>
      <c r="AB401" s="23">
        <v>73.342105263157904</v>
      </c>
      <c r="AC401" s="25">
        <v>3</v>
      </c>
      <c r="AD401" s="25">
        <v>1</v>
      </c>
      <c r="AE401" s="25">
        <v>2</v>
      </c>
      <c r="AF401" s="25">
        <v>4</v>
      </c>
      <c r="AG401" s="25">
        <v>4</v>
      </c>
      <c r="AH401" s="25">
        <v>0</v>
      </c>
      <c r="AI401" s="25">
        <v>1.5</v>
      </c>
      <c r="AJ401" s="25">
        <v>1.5</v>
      </c>
      <c r="AK401" s="25">
        <v>1.5</v>
      </c>
      <c r="AL401" s="25">
        <v>1.5</v>
      </c>
      <c r="AM401" s="25">
        <v>1.5</v>
      </c>
    </row>
    <row r="402" spans="1:39" ht="15" customHeight="1">
      <c r="A402" s="32" t="str">
        <f t="shared" si="17"/>
        <v>Essential (Original)--&gt; 11 KV &amp; &lt; = 22 KV  ; SWITCH</v>
      </c>
      <c r="B402" s="32" t="str">
        <f t="shared" si="18"/>
        <v>Essential (Original)</v>
      </c>
      <c r="C402" s="32" t="s">
        <v>2</v>
      </c>
      <c r="D402" s="384"/>
      <c r="F402" t="s">
        <v>343</v>
      </c>
      <c r="G402" s="21">
        <v>70.61324642868243</v>
      </c>
      <c r="H402" s="21">
        <v>224.40198428808145</v>
      </c>
      <c r="I402" s="21">
        <v>558.66108258795282</v>
      </c>
      <c r="J402" s="21">
        <v>535.7264073417457</v>
      </c>
      <c r="K402" s="21">
        <v>498.52132361451186</v>
      </c>
      <c r="L402" s="21">
        <v>486.61878067195187</v>
      </c>
      <c r="M402" s="21">
        <v>320.33736911083838</v>
      </c>
      <c r="N402" s="21">
        <v>486.42318618463548</v>
      </c>
      <c r="O402" s="21">
        <v>514.98408555825699</v>
      </c>
      <c r="P402" s="21">
        <v>495.76243697620419</v>
      </c>
      <c r="Q402" s="21">
        <v>488.88978940956599</v>
      </c>
      <c r="R402" s="23">
        <v>3</v>
      </c>
      <c r="S402" s="23">
        <v>14</v>
      </c>
      <c r="T402" s="23">
        <v>36</v>
      </c>
      <c r="U402" s="23">
        <v>34</v>
      </c>
      <c r="V402" s="23">
        <v>33</v>
      </c>
      <c r="W402" s="23">
        <v>36.850806451612904</v>
      </c>
      <c r="X402" s="23">
        <v>38.614035087719294</v>
      </c>
      <c r="Y402" s="23">
        <v>56.251461988304101</v>
      </c>
      <c r="Z402" s="23">
        <v>56.251461988304101</v>
      </c>
      <c r="AA402" s="23">
        <v>56.251461988304101</v>
      </c>
      <c r="AB402" s="23">
        <v>56.251461988304101</v>
      </c>
      <c r="AC402" s="25">
        <v>31</v>
      </c>
      <c r="AD402" s="25">
        <v>17</v>
      </c>
      <c r="AE402" s="25">
        <v>19.000000000000004</v>
      </c>
      <c r="AF402" s="25">
        <v>29</v>
      </c>
      <c r="AG402" s="25">
        <v>22</v>
      </c>
      <c r="AH402" s="25">
        <v>30.435483870967744</v>
      </c>
      <c r="AI402" s="25">
        <v>25.217741935483872</v>
      </c>
      <c r="AJ402" s="25">
        <v>25.217741935483872</v>
      </c>
      <c r="AK402" s="25">
        <v>25.217741935483872</v>
      </c>
      <c r="AL402" s="25">
        <v>25.217741935483872</v>
      </c>
      <c r="AM402" s="25">
        <v>25.217741935483872</v>
      </c>
    </row>
    <row r="403" spans="1:39" ht="15" customHeight="1">
      <c r="A403" s="32" t="str">
        <f t="shared" si="17"/>
        <v>Essential (Original)--&gt; 11 KV &amp; &lt; = 22 KV  ; CIRCUIT BREAKER</v>
      </c>
      <c r="B403" s="32" t="str">
        <f t="shared" si="18"/>
        <v>Essential (Original)</v>
      </c>
      <c r="C403" s="32" t="s">
        <v>2</v>
      </c>
      <c r="D403" s="384"/>
      <c r="F403" t="s">
        <v>344</v>
      </c>
      <c r="G403" s="21">
        <v>5646.0589139224658</v>
      </c>
      <c r="H403" s="21">
        <v>10478.661274254011</v>
      </c>
      <c r="I403" s="21">
        <v>3397.203240375216</v>
      </c>
      <c r="J403" s="21">
        <v>5959.247608305619</v>
      </c>
      <c r="K403" s="21">
        <v>5981.7156067793767</v>
      </c>
      <c r="L403" s="21">
        <v>5463.6700777405167</v>
      </c>
      <c r="M403" s="21">
        <v>4711.2432561254045</v>
      </c>
      <c r="N403" s="21">
        <v>5078.0176307860111</v>
      </c>
      <c r="O403" s="21">
        <v>5224.0332802135799</v>
      </c>
      <c r="P403" s="21">
        <v>4420.9252487336153</v>
      </c>
      <c r="Q403" s="21">
        <v>4026.5689667090187</v>
      </c>
      <c r="R403" s="23">
        <v>22</v>
      </c>
      <c r="S403" s="23">
        <v>18</v>
      </c>
      <c r="T403" s="23">
        <v>40</v>
      </c>
      <c r="U403" s="23">
        <v>56</v>
      </c>
      <c r="V403" s="23">
        <v>64</v>
      </c>
      <c r="W403" s="23">
        <v>60.096774193548399</v>
      </c>
      <c r="X403" s="23">
        <v>84.631578947368411</v>
      </c>
      <c r="Y403" s="23">
        <v>88.631578947368411</v>
      </c>
      <c r="Z403" s="23">
        <v>86.552631578947398</v>
      </c>
      <c r="AA403" s="23">
        <v>78.552631578947398</v>
      </c>
      <c r="AB403" s="23">
        <v>68.947368421052602</v>
      </c>
      <c r="AC403" s="25">
        <v>2</v>
      </c>
      <c r="AD403" s="25">
        <v>7</v>
      </c>
      <c r="AE403" s="25">
        <v>3</v>
      </c>
      <c r="AF403" s="25">
        <v>4</v>
      </c>
      <c r="AG403" s="25">
        <v>0</v>
      </c>
      <c r="AH403" s="25">
        <v>0</v>
      </c>
      <c r="AI403" s="25">
        <v>0</v>
      </c>
      <c r="AJ403" s="25">
        <v>0</v>
      </c>
      <c r="AK403" s="25">
        <v>0</v>
      </c>
      <c r="AL403" s="25">
        <v>0</v>
      </c>
      <c r="AM403" s="25">
        <v>0</v>
      </c>
    </row>
    <row r="404" spans="1:39" ht="15" customHeight="1">
      <c r="A404" s="32" t="str">
        <f t="shared" si="17"/>
        <v>Essential (Original)--&gt; 22 KV &amp; &lt; = 33 KV ; SWITCH</v>
      </c>
      <c r="B404" s="32" t="str">
        <f t="shared" si="18"/>
        <v>Essential (Original)</v>
      </c>
      <c r="C404" s="32" t="s">
        <v>2</v>
      </c>
      <c r="D404" s="384"/>
      <c r="F404" t="s">
        <v>345</v>
      </c>
      <c r="G404" s="21">
        <v>183.16387465426095</v>
      </c>
      <c r="H404" s="21">
        <v>24.04306974515158</v>
      </c>
      <c r="I404" s="21">
        <v>109.90241543658229</v>
      </c>
      <c r="J404" s="21">
        <v>505.23895842913589</v>
      </c>
      <c r="K404" s="21">
        <v>408.42616868061765</v>
      </c>
      <c r="L404" s="21">
        <v>239.66419709607123</v>
      </c>
      <c r="M404" s="21">
        <v>215.82771673875308</v>
      </c>
      <c r="N404" s="21">
        <v>306.9047326440508</v>
      </c>
      <c r="O404" s="21">
        <v>346.87256301096329</v>
      </c>
      <c r="P404" s="21">
        <v>328.09141981690959</v>
      </c>
      <c r="Q404" s="21">
        <v>298.34862455949451</v>
      </c>
      <c r="R404" s="23">
        <v>9</v>
      </c>
      <c r="S404" s="23">
        <v>1</v>
      </c>
      <c r="T404" s="23">
        <v>6</v>
      </c>
      <c r="U404" s="23">
        <v>12</v>
      </c>
      <c r="V404" s="23">
        <v>14</v>
      </c>
      <c r="W404" s="23">
        <v>11.358870967741936</v>
      </c>
      <c r="X404" s="23">
        <v>13.824561403508772</v>
      </c>
      <c r="Y404" s="23">
        <v>18.690058479532162</v>
      </c>
      <c r="Z404" s="23">
        <v>18.690058479532162</v>
      </c>
      <c r="AA404" s="23">
        <v>18.690058479532162</v>
      </c>
      <c r="AB404" s="23">
        <v>18.690058479532162</v>
      </c>
      <c r="AC404" s="25">
        <v>4</v>
      </c>
      <c r="AD404" s="25">
        <v>7</v>
      </c>
      <c r="AE404" s="25">
        <v>5</v>
      </c>
      <c r="AF404" s="25">
        <v>2</v>
      </c>
      <c r="AG404" s="25">
        <v>5</v>
      </c>
      <c r="AH404" s="25">
        <v>2.471774193548387</v>
      </c>
      <c r="AI404" s="25">
        <v>3.2358870967741935</v>
      </c>
      <c r="AJ404" s="25">
        <v>3.2358870967741935</v>
      </c>
      <c r="AK404" s="25">
        <v>3.2358870967741935</v>
      </c>
      <c r="AL404" s="25">
        <v>3.2358870967741935</v>
      </c>
      <c r="AM404" s="25">
        <v>3.2358870967741935</v>
      </c>
    </row>
    <row r="405" spans="1:39" ht="15" customHeight="1">
      <c r="A405" s="32" t="str">
        <f t="shared" si="17"/>
        <v>Essential (Original)--&gt; 22 KV &amp; &lt; = 33 KV ; CIRCUIT BREAKER</v>
      </c>
      <c r="B405" s="32" t="str">
        <f t="shared" si="18"/>
        <v>Essential (Original)</v>
      </c>
      <c r="C405" s="32" t="s">
        <v>2</v>
      </c>
      <c r="D405" s="384"/>
      <c r="F405" t="s">
        <v>346</v>
      </c>
      <c r="G405" s="21">
        <v>317.1685660309895</v>
      </c>
      <c r="H405" s="21">
        <v>1132.3655753979106</v>
      </c>
      <c r="I405" s="21">
        <v>864.35854764381156</v>
      </c>
      <c r="J405" s="21">
        <v>2321.8029746516418</v>
      </c>
      <c r="K405" s="21">
        <v>1815.0594577935362</v>
      </c>
      <c r="L405" s="21">
        <v>1278.6153322462424</v>
      </c>
      <c r="M405" s="21">
        <v>955.13019587708186</v>
      </c>
      <c r="N405" s="21">
        <v>1093.2329789955666</v>
      </c>
      <c r="O405" s="21">
        <v>1642.2465955741513</v>
      </c>
      <c r="P405" s="21">
        <v>1442.212111078431</v>
      </c>
      <c r="Q405" s="21">
        <v>1217.6883088508441</v>
      </c>
      <c r="R405" s="23">
        <v>11</v>
      </c>
      <c r="S405" s="23">
        <v>14</v>
      </c>
      <c r="T405" s="23">
        <v>11</v>
      </c>
      <c r="U405" s="23">
        <v>17</v>
      </c>
      <c r="V405" s="23">
        <v>20</v>
      </c>
      <c r="W405" s="23">
        <v>16.41532258064516</v>
      </c>
      <c r="X405" s="23">
        <v>14.973684210526319</v>
      </c>
      <c r="Y405" s="23">
        <v>14.973684210526319</v>
      </c>
      <c r="Z405" s="23">
        <v>18.539473684210531</v>
      </c>
      <c r="AA405" s="23">
        <v>17.539473684210531</v>
      </c>
      <c r="AB405" s="23">
        <v>16.710526315789469</v>
      </c>
      <c r="AC405" s="25">
        <v>1</v>
      </c>
      <c r="AD405" s="25">
        <v>0</v>
      </c>
      <c r="AE405" s="25">
        <v>1</v>
      </c>
      <c r="AF405" s="25">
        <v>2</v>
      </c>
      <c r="AG405" s="25">
        <v>2</v>
      </c>
      <c r="AH405" s="25">
        <v>1.471774193548387</v>
      </c>
      <c r="AI405" s="25">
        <v>1.7358870967741935</v>
      </c>
      <c r="AJ405" s="25">
        <v>1.7358870967741935</v>
      </c>
      <c r="AK405" s="25">
        <v>1.7358870967741935</v>
      </c>
      <c r="AL405" s="25">
        <v>1.7358870967741935</v>
      </c>
      <c r="AM405" s="25">
        <v>1.7358870967741935</v>
      </c>
    </row>
    <row r="406" spans="1:39" ht="15" customHeight="1">
      <c r="A406" s="32" t="str">
        <f t="shared" si="17"/>
        <v>Essential (Original)--&gt; 33 KV &amp; &lt; = 66 KV ; SWITCH</v>
      </c>
      <c r="B406" s="32" t="str">
        <f t="shared" si="18"/>
        <v>Essential (Original)</v>
      </c>
      <c r="C406" s="32" t="s">
        <v>2</v>
      </c>
      <c r="D406" s="384"/>
      <c r="F406" t="s">
        <v>347</v>
      </c>
      <c r="G406" s="21">
        <v>1288.3212201893218</v>
      </c>
      <c r="H406" s="21">
        <v>1366.7236345228166</v>
      </c>
      <c r="I406" s="21">
        <v>2480.3427555619055</v>
      </c>
      <c r="J406" s="21">
        <v>4534.1096770637123</v>
      </c>
      <c r="K406" s="21">
        <v>845.08090629860146</v>
      </c>
      <c r="L406" s="21">
        <v>1244.7969158883961</v>
      </c>
      <c r="M406" s="21">
        <v>1532.8090684994843</v>
      </c>
      <c r="N406" s="21">
        <v>1996.0247844839403</v>
      </c>
      <c r="O406" s="21">
        <v>2462.6202596012563</v>
      </c>
      <c r="P406" s="21">
        <v>2277.8252050388819</v>
      </c>
      <c r="Q406" s="21">
        <v>1845.1611440391064</v>
      </c>
      <c r="R406" s="23">
        <v>50</v>
      </c>
      <c r="S406" s="23">
        <v>32</v>
      </c>
      <c r="T406" s="23">
        <v>62</v>
      </c>
      <c r="U406" s="23">
        <v>60</v>
      </c>
      <c r="V406" s="23">
        <v>15</v>
      </c>
      <c r="W406" s="23">
        <v>42</v>
      </c>
      <c r="X406" s="23">
        <v>45.684210526315788</v>
      </c>
      <c r="Y406" s="23">
        <v>47.508771929824562</v>
      </c>
      <c r="Z406" s="23">
        <v>47.508771929824562</v>
      </c>
      <c r="AA406" s="23">
        <v>47.508771929824562</v>
      </c>
      <c r="AB406" s="23">
        <v>47.508771929824562</v>
      </c>
      <c r="AC406" s="25">
        <v>0</v>
      </c>
      <c r="AD406" s="25">
        <v>1</v>
      </c>
      <c r="AE406" s="25">
        <v>2</v>
      </c>
      <c r="AF406" s="25">
        <v>7</v>
      </c>
      <c r="AG406" s="25">
        <v>5</v>
      </c>
      <c r="AH406" s="25">
        <v>2.471774193548387</v>
      </c>
      <c r="AI406" s="25">
        <v>3.971774193548387</v>
      </c>
      <c r="AJ406" s="25">
        <v>3.971774193548387</v>
      </c>
      <c r="AK406" s="25">
        <v>3.971774193548387</v>
      </c>
      <c r="AL406" s="25">
        <v>3.971774193548387</v>
      </c>
      <c r="AM406" s="25">
        <v>3.971774193548387</v>
      </c>
    </row>
    <row r="407" spans="1:39" ht="15" customHeight="1">
      <c r="A407" s="32" t="str">
        <f t="shared" si="17"/>
        <v>Essential (Original)--&gt; 33 KV &amp; &lt; = 66 KV ; CIRCUIT BREAKER</v>
      </c>
      <c r="B407" s="32" t="str">
        <f t="shared" si="18"/>
        <v>Essential (Original)</v>
      </c>
      <c r="C407" s="32" t="s">
        <v>2</v>
      </c>
      <c r="D407" s="384"/>
      <c r="F407" t="s">
        <v>348</v>
      </c>
      <c r="G407" s="21">
        <v>1078.685221495309</v>
      </c>
      <c r="H407" s="21">
        <v>3843.9102220954219</v>
      </c>
      <c r="I407" s="21">
        <v>2289.5383627820597</v>
      </c>
      <c r="J407" s="21">
        <v>5054.5589819260858</v>
      </c>
      <c r="K407" s="21">
        <v>3045.8412382130409</v>
      </c>
      <c r="L407" s="21">
        <v>2682.6612357361864</v>
      </c>
      <c r="M407" s="21">
        <v>1340.2501198238294</v>
      </c>
      <c r="N407" s="21">
        <v>2134.2549827491785</v>
      </c>
      <c r="O407" s="21">
        <v>3118.8888568253228</v>
      </c>
      <c r="P407" s="21">
        <v>1812.3401931309184</v>
      </c>
      <c r="Q407" s="21">
        <v>2326.0096210010297</v>
      </c>
      <c r="R407" s="23">
        <v>26</v>
      </c>
      <c r="S407" s="23">
        <v>33</v>
      </c>
      <c r="T407" s="23">
        <v>22</v>
      </c>
      <c r="U407" s="23">
        <v>25</v>
      </c>
      <c r="V407" s="23">
        <v>22</v>
      </c>
      <c r="W407" s="23">
        <v>32.471774193548384</v>
      </c>
      <c r="X407" s="23">
        <v>15</v>
      </c>
      <c r="Y407" s="23">
        <v>19</v>
      </c>
      <c r="Z407" s="23">
        <v>22</v>
      </c>
      <c r="AA407" s="23">
        <v>14</v>
      </c>
      <c r="AB407" s="23">
        <v>23</v>
      </c>
      <c r="AC407" s="25">
        <v>0</v>
      </c>
      <c r="AD407" s="25">
        <v>0</v>
      </c>
      <c r="AE407" s="25">
        <v>1</v>
      </c>
      <c r="AF407" s="25">
        <v>1</v>
      </c>
      <c r="AG407" s="25">
        <v>1</v>
      </c>
      <c r="AH407" s="25">
        <v>0</v>
      </c>
      <c r="AI407" s="25">
        <v>0.5</v>
      </c>
      <c r="AJ407" s="25">
        <v>0.5</v>
      </c>
      <c r="AK407" s="25">
        <v>0.5</v>
      </c>
      <c r="AL407" s="25">
        <v>0.5</v>
      </c>
      <c r="AM407" s="25">
        <v>0.5</v>
      </c>
    </row>
    <row r="408" spans="1:39" ht="15" customHeight="1">
      <c r="A408" s="32" t="str">
        <f t="shared" si="17"/>
        <v>Essential (Original)--&gt; 66 KV &amp; &lt; = 132 KV ; SWITCH</v>
      </c>
      <c r="B408" s="32" t="str">
        <f t="shared" si="18"/>
        <v>Essential (Original)</v>
      </c>
      <c r="C408" s="32" t="s">
        <v>2</v>
      </c>
      <c r="D408" s="384"/>
      <c r="F408" t="s">
        <v>349</v>
      </c>
      <c r="G408" s="21">
        <v>0</v>
      </c>
      <c r="H408" s="21">
        <v>0</v>
      </c>
      <c r="I408" s="21">
        <v>49.900195086275666</v>
      </c>
      <c r="J408" s="21">
        <v>0</v>
      </c>
      <c r="K408" s="21">
        <v>598.73281727613937</v>
      </c>
      <c r="L408" s="21">
        <v>77.514826264112571</v>
      </c>
      <c r="M408" s="21">
        <v>85.174773970112525</v>
      </c>
      <c r="N408" s="21">
        <v>108.03672865529339</v>
      </c>
      <c r="O408" s="21">
        <v>136.82867242846581</v>
      </c>
      <c r="P408" s="21">
        <v>125.75421748255351</v>
      </c>
      <c r="Q408" s="21">
        <v>98.241400141658403</v>
      </c>
      <c r="R408" s="23">
        <v>0</v>
      </c>
      <c r="S408" s="23">
        <v>0</v>
      </c>
      <c r="T408" s="23">
        <v>1</v>
      </c>
      <c r="U408" s="23">
        <v>0</v>
      </c>
      <c r="V408" s="23">
        <v>9</v>
      </c>
      <c r="W408" s="23">
        <v>2</v>
      </c>
      <c r="X408" s="23">
        <v>2</v>
      </c>
      <c r="Y408" s="23">
        <v>2</v>
      </c>
      <c r="Z408" s="23">
        <v>2</v>
      </c>
      <c r="AA408" s="23">
        <v>2</v>
      </c>
      <c r="AB408" s="23">
        <v>2</v>
      </c>
      <c r="AC408" s="25">
        <v>1</v>
      </c>
      <c r="AD408" s="25">
        <v>0</v>
      </c>
      <c r="AE408" s="25">
        <v>0</v>
      </c>
      <c r="AF408" s="25">
        <v>1</v>
      </c>
      <c r="AG408" s="25">
        <v>0</v>
      </c>
      <c r="AH408" s="25">
        <v>0</v>
      </c>
      <c r="AI408" s="25">
        <v>0</v>
      </c>
      <c r="AJ408" s="25">
        <v>0</v>
      </c>
      <c r="AK408" s="25">
        <v>0</v>
      </c>
      <c r="AL408" s="25">
        <v>0</v>
      </c>
      <c r="AM408" s="25">
        <v>0</v>
      </c>
    </row>
    <row r="409" spans="1:39" ht="15" customHeight="1">
      <c r="A409" s="32" t="str">
        <f t="shared" si="17"/>
        <v>Essential (Original)--&gt; 66 KV &amp; &lt; = 132 KV  ; CIRCUIT BREAKER</v>
      </c>
      <c r="B409" s="32" t="str">
        <f t="shared" si="18"/>
        <v>Essential (Original)</v>
      </c>
      <c r="C409" s="32" t="s">
        <v>2</v>
      </c>
      <c r="D409" s="384"/>
      <c r="F409" t="s">
        <v>350</v>
      </c>
      <c r="G409" s="21">
        <v>163.85091972080642</v>
      </c>
      <c r="H409" s="21">
        <v>459.95506931056332</v>
      </c>
      <c r="I409" s="21">
        <v>0</v>
      </c>
      <c r="J409" s="21">
        <v>812.09369146826646</v>
      </c>
      <c r="K409" s="21">
        <v>1408.7830994732694</v>
      </c>
      <c r="L409" s="21">
        <v>212.78579758776002</v>
      </c>
      <c r="M409" s="21">
        <v>62.628510272141561</v>
      </c>
      <c r="N409" s="21">
        <v>376.01018306499179</v>
      </c>
      <c r="O409" s="21">
        <v>288.41337815804064</v>
      </c>
      <c r="P409" s="21">
        <v>92.46633638423053</v>
      </c>
      <c r="Q409" s="21">
        <v>207.07746108290743</v>
      </c>
      <c r="R409" s="23">
        <v>3</v>
      </c>
      <c r="S409" s="23">
        <v>3</v>
      </c>
      <c r="T409" s="23">
        <v>0</v>
      </c>
      <c r="U409" s="23">
        <v>3</v>
      </c>
      <c r="V409" s="23">
        <v>8</v>
      </c>
      <c r="W409" s="23">
        <v>2</v>
      </c>
      <c r="X409" s="23">
        <v>1</v>
      </c>
      <c r="Y409" s="23">
        <v>3</v>
      </c>
      <c r="Z409" s="23">
        <v>2</v>
      </c>
      <c r="AA409" s="23">
        <v>1</v>
      </c>
      <c r="AB409" s="23">
        <v>2</v>
      </c>
      <c r="AC409" s="25">
        <v>0</v>
      </c>
      <c r="AD409" s="25">
        <v>1</v>
      </c>
      <c r="AE409" s="25">
        <v>1</v>
      </c>
      <c r="AF409" s="25">
        <v>2</v>
      </c>
      <c r="AG409" s="25">
        <v>1</v>
      </c>
      <c r="AH409" s="25">
        <v>1</v>
      </c>
      <c r="AI409" s="25">
        <v>1</v>
      </c>
      <c r="AJ409" s="25">
        <v>1</v>
      </c>
      <c r="AK409" s="25">
        <v>1</v>
      </c>
      <c r="AL409" s="25">
        <v>1</v>
      </c>
      <c r="AM409" s="25">
        <v>1</v>
      </c>
    </row>
    <row r="410" spans="1:39" ht="15" customHeight="1">
      <c r="A410" s="32" t="str">
        <f t="shared" si="17"/>
        <v>Essential (Original)--&gt; 132 KV ; SWITCH</v>
      </c>
      <c r="B410" s="32" t="str">
        <f t="shared" si="18"/>
        <v>Essential (Original)</v>
      </c>
      <c r="C410" s="32" t="s">
        <v>2</v>
      </c>
      <c r="D410" s="384"/>
      <c r="F410" t="s">
        <v>351</v>
      </c>
      <c r="G410" s="21">
        <v>0</v>
      </c>
      <c r="H410" s="21">
        <v>0</v>
      </c>
      <c r="I410" s="21">
        <v>0</v>
      </c>
      <c r="J410" s="21">
        <v>0</v>
      </c>
      <c r="K410" s="21">
        <v>0</v>
      </c>
      <c r="L410" s="21">
        <v>0</v>
      </c>
      <c r="M410" s="21">
        <v>0</v>
      </c>
      <c r="N410" s="21">
        <v>0</v>
      </c>
      <c r="O410" s="21">
        <v>0</v>
      </c>
      <c r="P410" s="21">
        <v>0</v>
      </c>
      <c r="Q410" s="21">
        <v>0</v>
      </c>
      <c r="R410" s="23">
        <v>0</v>
      </c>
      <c r="S410" s="23">
        <v>0</v>
      </c>
      <c r="T410" s="23">
        <v>0</v>
      </c>
      <c r="U410" s="23">
        <v>0</v>
      </c>
      <c r="V410" s="23">
        <v>0</v>
      </c>
      <c r="W410" s="23">
        <v>0</v>
      </c>
      <c r="X410" s="23">
        <v>0</v>
      </c>
      <c r="Y410" s="23">
        <v>0</v>
      </c>
      <c r="Z410" s="23">
        <v>0</v>
      </c>
      <c r="AA410" s="23">
        <v>0</v>
      </c>
      <c r="AB410" s="23">
        <v>0</v>
      </c>
      <c r="AC410" s="25">
        <v>0</v>
      </c>
      <c r="AD410" s="25">
        <v>0</v>
      </c>
      <c r="AE410" s="25">
        <v>0</v>
      </c>
      <c r="AF410" s="25">
        <v>0</v>
      </c>
      <c r="AG410" s="25">
        <v>0</v>
      </c>
      <c r="AH410" s="25">
        <v>0</v>
      </c>
      <c r="AI410" s="25">
        <v>0</v>
      </c>
      <c r="AJ410" s="25">
        <v>0</v>
      </c>
      <c r="AK410" s="25">
        <v>0</v>
      </c>
      <c r="AL410" s="25">
        <v>0</v>
      </c>
      <c r="AM410" s="25">
        <v>0</v>
      </c>
    </row>
    <row r="411" spans="1:39" ht="15" customHeight="1">
      <c r="A411" s="32" t="str">
        <f t="shared" si="17"/>
        <v>Essential (Original)--&gt; 132 KV ; CIRCUIT BREAKER</v>
      </c>
      <c r="B411" s="32" t="str">
        <f t="shared" si="18"/>
        <v>Essential (Original)</v>
      </c>
      <c r="C411" s="32" t="s">
        <v>2</v>
      </c>
      <c r="D411" s="384"/>
      <c r="F411" t="s">
        <v>352</v>
      </c>
      <c r="G411" s="21">
        <v>0</v>
      </c>
      <c r="H411" s="21">
        <v>0</v>
      </c>
      <c r="I411" s="21">
        <v>0</v>
      </c>
      <c r="J411" s="21">
        <v>0</v>
      </c>
      <c r="K411" s="21">
        <v>0</v>
      </c>
      <c r="L411" s="21">
        <v>0</v>
      </c>
      <c r="M411" s="21">
        <v>0</v>
      </c>
      <c r="N411" s="21">
        <v>0</v>
      </c>
      <c r="O411" s="21">
        <v>0</v>
      </c>
      <c r="P411" s="21">
        <v>0</v>
      </c>
      <c r="Q411" s="21">
        <v>0</v>
      </c>
      <c r="R411" s="23">
        <v>0</v>
      </c>
      <c r="S411" s="23">
        <v>0</v>
      </c>
      <c r="T411" s="23">
        <v>0</v>
      </c>
      <c r="U411" s="23">
        <v>0</v>
      </c>
      <c r="V411" s="23">
        <v>0</v>
      </c>
      <c r="W411" s="23">
        <v>0</v>
      </c>
      <c r="X411" s="23">
        <v>0</v>
      </c>
      <c r="Y411" s="23">
        <v>0</v>
      </c>
      <c r="Z411" s="23">
        <v>0</v>
      </c>
      <c r="AA411" s="23">
        <v>0</v>
      </c>
      <c r="AB411" s="23">
        <v>0</v>
      </c>
      <c r="AC411" s="25">
        <v>0</v>
      </c>
      <c r="AD411" s="25">
        <v>0</v>
      </c>
      <c r="AE411" s="25">
        <v>0</v>
      </c>
      <c r="AF411" s="25">
        <v>0</v>
      </c>
      <c r="AG411" s="25">
        <v>0</v>
      </c>
      <c r="AH411" s="25">
        <v>0</v>
      </c>
      <c r="AI411" s="25">
        <v>0</v>
      </c>
      <c r="AJ411" s="25">
        <v>0</v>
      </c>
      <c r="AK411" s="25">
        <v>0</v>
      </c>
      <c r="AL411" s="25">
        <v>0</v>
      </c>
      <c r="AM411" s="25">
        <v>0</v>
      </c>
    </row>
    <row r="412" spans="1:39" ht="15" customHeight="1">
      <c r="A412" s="32" t="str">
        <f t="shared" si="17"/>
        <v>Essential (Original)--&gt; 11 KV &amp; &lt; = 22 KV  ; FUSE</v>
      </c>
      <c r="B412" s="32" t="str">
        <f t="shared" si="18"/>
        <v>Essential (Original)</v>
      </c>
      <c r="C412" s="32" t="s">
        <v>2</v>
      </c>
      <c r="D412" s="384"/>
      <c r="F412" t="s">
        <v>353</v>
      </c>
      <c r="G412" s="21">
        <v>58.844372023902018</v>
      </c>
      <c r="H412" s="21">
        <v>2388.2782613517238</v>
      </c>
      <c r="I412" s="21">
        <v>4136.6048032380286</v>
      </c>
      <c r="J412" s="21">
        <v>421.58205304633077</v>
      </c>
      <c r="K412" s="21">
        <v>225.22390066577751</v>
      </c>
      <c r="L412" s="21">
        <v>37.160238005062496</v>
      </c>
      <c r="M412" s="21">
        <v>1517.5682051731512</v>
      </c>
      <c r="N412" s="21">
        <v>1755.7038413650337</v>
      </c>
      <c r="O412" s="21">
        <v>1772.4931886647798</v>
      </c>
      <c r="P412" s="21">
        <v>1558.7010302859292</v>
      </c>
      <c r="Q412" s="21">
        <v>1623.2429903289797</v>
      </c>
      <c r="R412" s="23">
        <v>10</v>
      </c>
      <c r="S412" s="23">
        <v>596</v>
      </c>
      <c r="T412" s="23">
        <v>1355</v>
      </c>
      <c r="U412" s="23">
        <v>124</v>
      </c>
      <c r="V412" s="23">
        <v>72.000000000000014</v>
      </c>
      <c r="W412" s="23">
        <v>11.774193548387096</v>
      </c>
      <c r="X412" s="23">
        <v>847.11504424778764</v>
      </c>
      <c r="Y412" s="23">
        <v>926.12389380530976</v>
      </c>
      <c r="Z412" s="23">
        <v>920.07079646017701</v>
      </c>
      <c r="AA412" s="23">
        <v>830.86725663716823</v>
      </c>
      <c r="AB412" s="23">
        <v>835.6460176991153</v>
      </c>
      <c r="AC412" s="25">
        <v>125</v>
      </c>
      <c r="AD412" s="25">
        <v>434</v>
      </c>
      <c r="AE412" s="25">
        <v>80</v>
      </c>
      <c r="AF412" s="25">
        <v>103.00000000000001</v>
      </c>
      <c r="AG412" s="25">
        <v>79</v>
      </c>
      <c r="AH412" s="25">
        <v>55.927419354838712</v>
      </c>
      <c r="AI412" s="25">
        <v>67.463709677419374</v>
      </c>
      <c r="AJ412" s="25">
        <v>67.463709677419374</v>
      </c>
      <c r="AK412" s="25">
        <v>67.463709677419374</v>
      </c>
      <c r="AL412" s="25">
        <v>67.463709677419374</v>
      </c>
      <c r="AM412" s="25">
        <v>67.463709677419374</v>
      </c>
    </row>
    <row r="413" spans="1:39" ht="15" customHeight="1">
      <c r="A413" s="32" t="str">
        <f t="shared" si="17"/>
        <v>Essential (Original)--&gt; 22 KV &amp; &lt; = 33 KV ; FUSE</v>
      </c>
      <c r="B413" s="32" t="str">
        <f t="shared" si="18"/>
        <v>Essential (Original)</v>
      </c>
      <c r="C413" s="32" t="s">
        <v>2</v>
      </c>
      <c r="D413" s="384"/>
      <c r="F413" t="s">
        <v>354</v>
      </c>
      <c r="G413" s="21">
        <v>0</v>
      </c>
      <c r="H413" s="21">
        <v>45.080755772159222</v>
      </c>
      <c r="I413" s="21">
        <v>328.18082387312768</v>
      </c>
      <c r="J413" s="21">
        <v>46.748009914411675</v>
      </c>
      <c r="K413" s="21">
        <v>50.831783136373396</v>
      </c>
      <c r="L413" s="21">
        <v>5.806287188291015</v>
      </c>
      <c r="M413" s="21">
        <v>342.50671297310703</v>
      </c>
      <c r="N413" s="21">
        <v>396.25260308585837</v>
      </c>
      <c r="O413" s="21">
        <v>400.04186549725932</v>
      </c>
      <c r="P413" s="21">
        <v>351.79016308536592</v>
      </c>
      <c r="Q413" s="21">
        <v>366.35692490063764</v>
      </c>
      <c r="R413" s="23">
        <v>0</v>
      </c>
      <c r="S413" s="23">
        <v>9.0000000000000018</v>
      </c>
      <c r="T413" s="23">
        <v>86</v>
      </c>
      <c r="U413" s="23">
        <v>11</v>
      </c>
      <c r="V413" s="23">
        <v>13.000000000000002</v>
      </c>
      <c r="W413" s="23">
        <v>1.471774193548387</v>
      </c>
      <c r="X413" s="23">
        <v>152.95132743362834</v>
      </c>
      <c r="Y413" s="23">
        <v>167.21681415929206</v>
      </c>
      <c r="Z413" s="23">
        <v>166.12389380530973</v>
      </c>
      <c r="AA413" s="23">
        <v>150.01769911504425</v>
      </c>
      <c r="AB413" s="23">
        <v>150.88053097345133</v>
      </c>
      <c r="AC413" s="25">
        <v>24</v>
      </c>
      <c r="AD413" s="25">
        <v>22</v>
      </c>
      <c r="AE413" s="25">
        <v>5</v>
      </c>
      <c r="AF413" s="25">
        <v>5</v>
      </c>
      <c r="AG413" s="25">
        <v>6</v>
      </c>
      <c r="AH413" s="25">
        <v>0</v>
      </c>
      <c r="AI413" s="25">
        <v>3</v>
      </c>
      <c r="AJ413" s="25">
        <v>3</v>
      </c>
      <c r="AK413" s="25">
        <v>3</v>
      </c>
      <c r="AL413" s="25">
        <v>3</v>
      </c>
      <c r="AM413" s="25">
        <v>3</v>
      </c>
    </row>
    <row r="414" spans="1:39" ht="15" customHeight="1">
      <c r="A414" s="32" t="str">
        <f t="shared" si="17"/>
        <v>Essential (Original)--&gt; 33 KV &amp; &lt; = 66 KV ; FUSE</v>
      </c>
      <c r="B414" s="32" t="str">
        <f t="shared" si="18"/>
        <v>Essential (Original)</v>
      </c>
      <c r="C414" s="32" t="s">
        <v>2</v>
      </c>
      <c r="D414" s="384"/>
      <c r="F414" t="s">
        <v>355</v>
      </c>
      <c r="G414" s="21">
        <v>0</v>
      </c>
      <c r="H414" s="21">
        <v>6.0107674362878951</v>
      </c>
      <c r="I414" s="21">
        <v>18.317069239430385</v>
      </c>
      <c r="J414" s="21">
        <v>20.399131599016002</v>
      </c>
      <c r="K414" s="21">
        <v>4.6921645972036963</v>
      </c>
      <c r="L414" s="21">
        <v>0</v>
      </c>
      <c r="M414" s="21">
        <v>31.616004274440641</v>
      </c>
      <c r="N414" s="21">
        <v>36.577163361771539</v>
      </c>
      <c r="O414" s="21">
        <v>36.926941430516244</v>
      </c>
      <c r="P414" s="21">
        <v>32.472938130956855</v>
      </c>
      <c r="Q414" s="21">
        <v>33.8175622985204</v>
      </c>
      <c r="R414" s="23">
        <v>0</v>
      </c>
      <c r="S414" s="23">
        <v>1</v>
      </c>
      <c r="T414" s="23">
        <v>4</v>
      </c>
      <c r="U414" s="23">
        <v>4</v>
      </c>
      <c r="V414" s="23">
        <v>1</v>
      </c>
      <c r="W414" s="23">
        <v>0</v>
      </c>
      <c r="X414" s="23">
        <v>11.765486725663715</v>
      </c>
      <c r="Y414" s="23">
        <v>12.862831858407082</v>
      </c>
      <c r="Z414" s="23">
        <v>12.778761061946902</v>
      </c>
      <c r="AA414" s="23">
        <v>11.539823008849558</v>
      </c>
      <c r="AB414" s="23">
        <v>11.606194690265488</v>
      </c>
      <c r="AC414" s="25">
        <v>4</v>
      </c>
      <c r="AD414" s="25">
        <v>2</v>
      </c>
      <c r="AE414" s="25">
        <v>2</v>
      </c>
      <c r="AF414" s="25">
        <v>2</v>
      </c>
      <c r="AG414" s="25">
        <v>3</v>
      </c>
      <c r="AH414" s="25">
        <v>0</v>
      </c>
      <c r="AI414" s="25">
        <v>1.5</v>
      </c>
      <c r="AJ414" s="25">
        <v>1.5</v>
      </c>
      <c r="AK414" s="25">
        <v>1.5</v>
      </c>
      <c r="AL414" s="25">
        <v>1.5</v>
      </c>
      <c r="AM414" s="25">
        <v>1.5</v>
      </c>
    </row>
    <row r="415" spans="1:39" ht="15" customHeight="1">
      <c r="A415" s="32" t="str">
        <f t="shared" si="17"/>
        <v>Essential (Original)--˂ = 11 KV ;  CIRCUIT BREAKER - INDOOR SWITCHBOARD HOUSED</v>
      </c>
      <c r="B415" s="32" t="str">
        <f t="shared" si="18"/>
        <v>Essential (Original)</v>
      </c>
      <c r="C415" s="32" t="s">
        <v>2</v>
      </c>
      <c r="D415" s="384"/>
      <c r="F415" t="s">
        <v>356</v>
      </c>
      <c r="G415" s="21">
        <v>4164.5442095704966</v>
      </c>
      <c r="H415" s="21">
        <v>6471.1297727526635</v>
      </c>
      <c r="I415" s="21">
        <v>2984.2273531988385</v>
      </c>
      <c r="J415" s="21">
        <v>4791.3527796627723</v>
      </c>
      <c r="K415" s="21">
        <v>4724.6410984186878</v>
      </c>
      <c r="L415" s="21">
        <v>18542.762361219087</v>
      </c>
      <c r="M415" s="21">
        <v>11147.874828441199</v>
      </c>
      <c r="N415" s="21">
        <v>13875.30534690533</v>
      </c>
      <c r="O415" s="21">
        <v>11704.217322925135</v>
      </c>
      <c r="P415" s="21">
        <v>6750.0425560488293</v>
      </c>
      <c r="Q415" s="21">
        <v>5971.5360870419818</v>
      </c>
      <c r="R415" s="23">
        <v>56</v>
      </c>
      <c r="S415" s="23">
        <v>31</v>
      </c>
      <c r="T415" s="23">
        <v>16</v>
      </c>
      <c r="U415" s="23">
        <v>13</v>
      </c>
      <c r="V415" s="23">
        <v>19</v>
      </c>
      <c r="W415" s="23">
        <v>128</v>
      </c>
      <c r="X415" s="23">
        <v>80</v>
      </c>
      <c r="Y415" s="23">
        <v>88</v>
      </c>
      <c r="Z415" s="23">
        <v>66</v>
      </c>
      <c r="AA415" s="23">
        <v>60</v>
      </c>
      <c r="AB415" s="23">
        <v>25</v>
      </c>
      <c r="AC415" s="25">
        <v>0</v>
      </c>
      <c r="AD415" s="25">
        <v>0</v>
      </c>
      <c r="AE415" s="25">
        <v>1</v>
      </c>
      <c r="AF415" s="25">
        <v>1</v>
      </c>
      <c r="AG415" s="25">
        <v>2</v>
      </c>
      <c r="AH415" s="25">
        <v>0</v>
      </c>
      <c r="AI415" s="25">
        <v>0</v>
      </c>
      <c r="AJ415" s="25">
        <v>0</v>
      </c>
      <c r="AK415" s="25">
        <v>0</v>
      </c>
      <c r="AL415" s="25">
        <v>0</v>
      </c>
      <c r="AM415" s="25">
        <v>0</v>
      </c>
    </row>
    <row r="416" spans="1:39" ht="15" customHeight="1">
      <c r="A416" s="32" t="str">
        <f t="shared" si="17"/>
        <v>Essential (Original)--&gt; 11 KV &amp; &lt; = 22 KV  ; CIRCUIT BREAKER - INDOOR SWITCHBOARD HOUSED</v>
      </c>
      <c r="B416" s="32" t="str">
        <f t="shared" si="18"/>
        <v>Essential (Original)</v>
      </c>
      <c r="C416" s="32" t="s">
        <v>2</v>
      </c>
      <c r="D416" s="384"/>
      <c r="F416" t="s">
        <v>357</v>
      </c>
      <c r="G416" s="21">
        <v>0</v>
      </c>
      <c r="H416" s="21">
        <v>0</v>
      </c>
      <c r="I416" s="21">
        <v>3538.0216751367211</v>
      </c>
      <c r="J416" s="21">
        <v>0</v>
      </c>
      <c r="K416" s="21">
        <v>0</v>
      </c>
      <c r="L416" s="21">
        <v>6763.5485661823723</v>
      </c>
      <c r="M416" s="21">
        <v>0</v>
      </c>
      <c r="N416" s="21">
        <v>476.63262642041207</v>
      </c>
      <c r="O416" s="21">
        <v>0</v>
      </c>
      <c r="P416" s="21">
        <v>246.57689702461474</v>
      </c>
      <c r="Q416" s="21">
        <v>0</v>
      </c>
      <c r="R416" s="23">
        <v>0</v>
      </c>
      <c r="S416" s="23">
        <v>0</v>
      </c>
      <c r="T416" s="23">
        <v>13</v>
      </c>
      <c r="U416" s="23">
        <v>0</v>
      </c>
      <c r="V416" s="23">
        <v>0</v>
      </c>
      <c r="W416" s="23">
        <v>32</v>
      </c>
      <c r="X416" s="23">
        <v>0</v>
      </c>
      <c r="Y416" s="23">
        <v>9</v>
      </c>
      <c r="Z416" s="23">
        <v>0</v>
      </c>
      <c r="AA416" s="23">
        <v>8</v>
      </c>
      <c r="AB416" s="23">
        <v>0</v>
      </c>
      <c r="AC416" s="25">
        <v>0</v>
      </c>
      <c r="AD416" s="25">
        <v>0</v>
      </c>
      <c r="AE416" s="25">
        <v>0</v>
      </c>
      <c r="AF416" s="25">
        <v>0</v>
      </c>
      <c r="AG416" s="25">
        <v>0</v>
      </c>
      <c r="AH416" s="25">
        <v>0</v>
      </c>
      <c r="AI416" s="25">
        <v>0</v>
      </c>
      <c r="AJ416" s="25">
        <v>0</v>
      </c>
      <c r="AK416" s="25">
        <v>0</v>
      </c>
      <c r="AL416" s="25">
        <v>0</v>
      </c>
      <c r="AM416" s="25">
        <v>0</v>
      </c>
    </row>
    <row r="417" spans="1:39" ht="15" customHeight="1">
      <c r="A417" s="32" t="str">
        <f t="shared" si="17"/>
        <v>Essential (Original)--&gt; 22 KV &amp; &lt; = 33 KV ; CIRCUIT BREAKER - INDOOR SWITCHBOARD HOUSED</v>
      </c>
      <c r="B417" s="32" t="str">
        <f t="shared" si="18"/>
        <v>Essential (Original)</v>
      </c>
      <c r="C417" s="32" t="s">
        <v>2</v>
      </c>
      <c r="D417" s="384"/>
      <c r="F417" t="s">
        <v>358</v>
      </c>
      <c r="G417" s="21">
        <v>0</v>
      </c>
      <c r="H417" s="21">
        <v>0</v>
      </c>
      <c r="I417" s="21">
        <v>3522.3667119723996</v>
      </c>
      <c r="J417" s="21">
        <v>0</v>
      </c>
      <c r="K417" s="21">
        <v>0</v>
      </c>
      <c r="L417" s="21">
        <v>2188.6539180455316</v>
      </c>
      <c r="M417" s="21">
        <v>977.00476024540831</v>
      </c>
      <c r="N417" s="21">
        <v>0</v>
      </c>
      <c r="O417" s="21">
        <v>0</v>
      </c>
      <c r="P417" s="21">
        <v>0</v>
      </c>
      <c r="Q417" s="21">
        <v>0</v>
      </c>
      <c r="R417" s="23">
        <v>0</v>
      </c>
      <c r="S417" s="23">
        <v>0</v>
      </c>
      <c r="T417" s="23">
        <v>10</v>
      </c>
      <c r="U417" s="23">
        <v>0</v>
      </c>
      <c r="V417" s="23">
        <v>0</v>
      </c>
      <c r="W417" s="23">
        <v>8</v>
      </c>
      <c r="X417" s="23">
        <v>9</v>
      </c>
      <c r="Y417" s="23">
        <v>0</v>
      </c>
      <c r="Z417" s="23">
        <v>0</v>
      </c>
      <c r="AA417" s="23">
        <v>0</v>
      </c>
      <c r="AB417" s="23">
        <v>0</v>
      </c>
      <c r="AC417" s="25">
        <v>0</v>
      </c>
      <c r="AD417" s="25">
        <v>0</v>
      </c>
      <c r="AE417" s="25">
        <v>0</v>
      </c>
      <c r="AF417" s="25">
        <v>0</v>
      </c>
      <c r="AG417" s="25">
        <v>0</v>
      </c>
      <c r="AH417" s="25">
        <v>0</v>
      </c>
      <c r="AI417" s="25">
        <v>0</v>
      </c>
      <c r="AJ417" s="25">
        <v>0</v>
      </c>
      <c r="AK417" s="25">
        <v>0</v>
      </c>
      <c r="AL417" s="25">
        <v>0</v>
      </c>
      <c r="AM417" s="25">
        <v>0</v>
      </c>
    </row>
    <row r="418" spans="1:39" ht="15" customHeight="1">
      <c r="A418" s="32" t="str">
        <f t="shared" si="17"/>
        <v>Essential (Original)--&gt; 33 KV &amp; &lt; = 66 KV ; CIRCUIT BREAKER - INDOOR SWITCHBOARD HOUSED</v>
      </c>
      <c r="B418" s="32" t="str">
        <f t="shared" si="18"/>
        <v>Essential (Original)</v>
      </c>
      <c r="C418" s="32" t="s">
        <v>2</v>
      </c>
      <c r="D418" s="384"/>
      <c r="F418" t="s">
        <v>359</v>
      </c>
      <c r="G418" s="21">
        <v>0</v>
      </c>
      <c r="H418" s="21">
        <v>0</v>
      </c>
      <c r="I418" s="21">
        <v>0</v>
      </c>
      <c r="J418" s="21">
        <v>0</v>
      </c>
      <c r="K418" s="21">
        <v>0</v>
      </c>
      <c r="L418" s="21">
        <v>0</v>
      </c>
      <c r="M418" s="21">
        <v>0</v>
      </c>
      <c r="N418" s="21">
        <v>0</v>
      </c>
      <c r="O418" s="21">
        <v>0</v>
      </c>
      <c r="P418" s="21">
        <v>0</v>
      </c>
      <c r="Q418" s="21">
        <v>0</v>
      </c>
      <c r="R418" s="23">
        <v>0</v>
      </c>
      <c r="S418" s="23">
        <v>0</v>
      </c>
      <c r="T418" s="23">
        <v>0</v>
      </c>
      <c r="U418" s="23">
        <v>0</v>
      </c>
      <c r="V418" s="23">
        <v>0</v>
      </c>
      <c r="W418" s="23">
        <v>0</v>
      </c>
      <c r="X418" s="23">
        <v>0</v>
      </c>
      <c r="Y418" s="23">
        <v>0</v>
      </c>
      <c r="Z418" s="23">
        <v>0</v>
      </c>
      <c r="AA418" s="23">
        <v>0</v>
      </c>
      <c r="AB418" s="23">
        <v>0</v>
      </c>
      <c r="AC418" s="25">
        <v>0</v>
      </c>
      <c r="AD418" s="25">
        <v>0</v>
      </c>
      <c r="AE418" s="25">
        <v>0</v>
      </c>
      <c r="AF418" s="25">
        <v>0</v>
      </c>
      <c r="AG418" s="25">
        <v>0</v>
      </c>
      <c r="AH418" s="25">
        <v>0</v>
      </c>
      <c r="AI418" s="25">
        <v>0</v>
      </c>
      <c r="AJ418" s="25">
        <v>0</v>
      </c>
      <c r="AK418" s="25">
        <v>0</v>
      </c>
      <c r="AL418" s="25">
        <v>0</v>
      </c>
      <c r="AM418" s="25">
        <v>0</v>
      </c>
    </row>
    <row r="419" spans="1:39" ht="45" customHeight="1">
      <c r="A419" s="32" t="str">
        <f t="shared" si="17"/>
        <v>Essential (Original)-PUBLIC LIGHTING BY: 
ASSET TYPE ; LIGHTING OBLIGATION-LUMINAIRES ;  MAJOR ROAD</v>
      </c>
      <c r="B419" s="32" t="str">
        <f t="shared" si="18"/>
        <v>Essential (Original)</v>
      </c>
      <c r="C419" s="32" t="s">
        <v>1135</v>
      </c>
      <c r="D419" s="384"/>
      <c r="E419" s="3" t="s">
        <v>547</v>
      </c>
      <c r="F419" t="s">
        <v>262</v>
      </c>
      <c r="G419" s="21">
        <v>188.62268043956865</v>
      </c>
      <c r="H419" s="21">
        <v>216.22493192682734</v>
      </c>
      <c r="I419" s="21">
        <v>209.26077218481504</v>
      </c>
      <c r="J419" s="21">
        <v>202.54358000574007</v>
      </c>
      <c r="K419" s="21">
        <v>154.66136844392921</v>
      </c>
      <c r="L419" s="21">
        <v>91.728457134396507</v>
      </c>
      <c r="M419" s="21">
        <v>111.75298412475085</v>
      </c>
      <c r="N419" s="21">
        <v>111.92818100937245</v>
      </c>
      <c r="O419" s="21">
        <v>113.08897817253747</v>
      </c>
      <c r="P419" s="21">
        <v>114.32902617494754</v>
      </c>
      <c r="Q419" s="21">
        <v>115.29992689668353</v>
      </c>
      <c r="R419" s="23">
        <v>823</v>
      </c>
      <c r="S419" s="23">
        <v>823</v>
      </c>
      <c r="T419" s="23">
        <v>966</v>
      </c>
      <c r="U419" s="23">
        <v>4085</v>
      </c>
      <c r="V419" s="23">
        <v>3030</v>
      </c>
      <c r="W419" s="23">
        <v>617</v>
      </c>
      <c r="X419" s="23">
        <v>707</v>
      </c>
      <c r="Y419" s="23">
        <v>719</v>
      </c>
      <c r="Z419" s="23">
        <v>731</v>
      </c>
      <c r="AA419" s="23">
        <v>743.50010000000009</v>
      </c>
      <c r="AB419" s="23">
        <v>755</v>
      </c>
      <c r="AC419" s="25">
        <v>823</v>
      </c>
      <c r="AD419" s="25">
        <v>823</v>
      </c>
      <c r="AE419" s="25">
        <v>865</v>
      </c>
      <c r="AF419" s="25">
        <v>661</v>
      </c>
      <c r="AG419" s="25">
        <v>579</v>
      </c>
      <c r="AH419" s="25">
        <v>617</v>
      </c>
      <c r="AI419" s="25">
        <v>707</v>
      </c>
      <c r="AJ419" s="25">
        <v>719</v>
      </c>
      <c r="AK419" s="25">
        <v>731</v>
      </c>
      <c r="AL419" s="25">
        <v>743.50010000000009</v>
      </c>
      <c r="AM419" s="25">
        <v>755</v>
      </c>
    </row>
    <row r="420" spans="1:39" ht="15" customHeight="1">
      <c r="A420" s="32" t="str">
        <f t="shared" si="17"/>
        <v>Essential (Original)--LUMINAIRES ;  MINOR ROAD</v>
      </c>
      <c r="B420" s="32" t="str">
        <f t="shared" si="18"/>
        <v>Essential (Original)</v>
      </c>
      <c r="C420" s="32" t="s">
        <v>1135</v>
      </c>
      <c r="D420" s="384"/>
      <c r="F420" t="s">
        <v>263</v>
      </c>
      <c r="G420" s="21">
        <v>684.84743229362698</v>
      </c>
      <c r="H420" s="21">
        <v>677.49445949138328</v>
      </c>
      <c r="I420" s="21">
        <v>651.09796550984993</v>
      </c>
      <c r="J420" s="21">
        <v>905.65017987050339</v>
      </c>
      <c r="K420" s="21">
        <v>884.92103324613447</v>
      </c>
      <c r="L420" s="21">
        <v>332.10344206550076</v>
      </c>
      <c r="M420" s="21">
        <v>337.33652103330564</v>
      </c>
      <c r="N420" s="21">
        <v>337.76852183470044</v>
      </c>
      <c r="O420" s="21">
        <v>341.31003419052143</v>
      </c>
      <c r="P420" s="21">
        <v>345.05258127990044</v>
      </c>
      <c r="Q420" s="21">
        <v>348.41377055619932</v>
      </c>
      <c r="R420" s="23">
        <v>3447</v>
      </c>
      <c r="S420" s="23">
        <v>3447</v>
      </c>
      <c r="T420" s="23">
        <v>5046</v>
      </c>
      <c r="U420" s="23">
        <v>27586</v>
      </c>
      <c r="V420" s="23">
        <v>23018</v>
      </c>
      <c r="W420" s="23">
        <v>2685</v>
      </c>
      <c r="X420" s="23">
        <v>2675</v>
      </c>
      <c r="Y420" s="23">
        <v>2720</v>
      </c>
      <c r="Z420" s="23">
        <v>2766</v>
      </c>
      <c r="AA420" s="23">
        <v>2813.2986000000001</v>
      </c>
      <c r="AB420" s="23">
        <v>2860</v>
      </c>
      <c r="AC420" s="25">
        <v>3447</v>
      </c>
      <c r="AD420" s="25">
        <v>3447</v>
      </c>
      <c r="AE420" s="25">
        <v>2648</v>
      </c>
      <c r="AF420" s="25">
        <v>2488</v>
      </c>
      <c r="AG420" s="25">
        <v>2136</v>
      </c>
      <c r="AH420" s="25">
        <v>2685</v>
      </c>
      <c r="AI420" s="25">
        <v>2675</v>
      </c>
      <c r="AJ420" s="25">
        <v>2720</v>
      </c>
      <c r="AK420" s="25">
        <v>2766</v>
      </c>
      <c r="AL420" s="25">
        <v>2813.2986000000001</v>
      </c>
      <c r="AM420" s="25">
        <v>2860</v>
      </c>
    </row>
    <row r="421" spans="1:39" ht="15" customHeight="1">
      <c r="A421" s="32" t="str">
        <f t="shared" si="17"/>
        <v>Essential (Original)--BRACKETS ; MAJOR ROAD</v>
      </c>
      <c r="B421" s="32" t="str">
        <f t="shared" si="18"/>
        <v>Essential (Original)</v>
      </c>
      <c r="C421" s="32" t="s">
        <v>1134</v>
      </c>
      <c r="D421" s="384"/>
      <c r="F421" t="s">
        <v>264</v>
      </c>
      <c r="G421" s="21">
        <v>0</v>
      </c>
      <c r="H421" s="21">
        <v>0</v>
      </c>
      <c r="I421" s="21">
        <v>0</v>
      </c>
      <c r="J421" s="21">
        <v>0</v>
      </c>
      <c r="K421" s="21">
        <v>0</v>
      </c>
      <c r="L421" s="21">
        <v>0</v>
      </c>
      <c r="M421" s="21">
        <v>0</v>
      </c>
      <c r="N421" s="21">
        <v>0</v>
      </c>
      <c r="O421" s="21">
        <v>0</v>
      </c>
      <c r="P421" s="21">
        <v>0</v>
      </c>
      <c r="Q421" s="21">
        <v>0</v>
      </c>
      <c r="R421" s="23">
        <v>0</v>
      </c>
      <c r="S421" s="23">
        <v>0</v>
      </c>
      <c r="T421" s="23">
        <v>0</v>
      </c>
      <c r="U421" s="23">
        <v>0</v>
      </c>
      <c r="V421" s="23">
        <v>0</v>
      </c>
      <c r="W421" s="23">
        <v>0</v>
      </c>
      <c r="X421" s="23">
        <v>0</v>
      </c>
      <c r="Y421" s="23">
        <v>0</v>
      </c>
      <c r="Z421" s="23">
        <v>0</v>
      </c>
      <c r="AA421" s="23">
        <v>0</v>
      </c>
      <c r="AB421" s="23">
        <v>0</v>
      </c>
      <c r="AC421" s="25">
        <v>0</v>
      </c>
      <c r="AD421" s="25">
        <v>0</v>
      </c>
      <c r="AE421" s="25">
        <v>0</v>
      </c>
      <c r="AF421" s="25">
        <v>0</v>
      </c>
      <c r="AG421" s="25">
        <v>0</v>
      </c>
      <c r="AH421" s="25">
        <v>0</v>
      </c>
      <c r="AI421" s="25">
        <v>0</v>
      </c>
      <c r="AJ421" s="25">
        <v>0</v>
      </c>
      <c r="AK421" s="25">
        <v>0</v>
      </c>
      <c r="AL421" s="25">
        <v>0</v>
      </c>
      <c r="AM421" s="25">
        <v>0</v>
      </c>
    </row>
    <row r="422" spans="1:39" ht="15" customHeight="1">
      <c r="A422" s="32" t="str">
        <f t="shared" si="17"/>
        <v>Essential (Original)--BRACKETS ; MINOR ROAD</v>
      </c>
      <c r="B422" s="32" t="str">
        <f t="shared" si="18"/>
        <v>Essential (Original)</v>
      </c>
      <c r="C422" s="32" t="s">
        <v>1134</v>
      </c>
      <c r="D422" s="384"/>
      <c r="F422" t="s">
        <v>265</v>
      </c>
      <c r="G422" s="21">
        <v>0</v>
      </c>
      <c r="H422" s="21">
        <v>0</v>
      </c>
      <c r="I422" s="21">
        <v>0</v>
      </c>
      <c r="J422" s="21">
        <v>0</v>
      </c>
      <c r="K422" s="21">
        <v>0</v>
      </c>
      <c r="L422" s="21">
        <v>0</v>
      </c>
      <c r="M422" s="21">
        <v>0</v>
      </c>
      <c r="N422" s="21">
        <v>0</v>
      </c>
      <c r="O422" s="21">
        <v>0</v>
      </c>
      <c r="P422" s="21">
        <v>0</v>
      </c>
      <c r="Q422" s="21">
        <v>0</v>
      </c>
      <c r="R422" s="23">
        <v>0</v>
      </c>
      <c r="S422" s="23">
        <v>0</v>
      </c>
      <c r="T422" s="23">
        <v>0</v>
      </c>
      <c r="U422" s="23">
        <v>0</v>
      </c>
      <c r="V422" s="23">
        <v>0</v>
      </c>
      <c r="W422" s="23">
        <v>0</v>
      </c>
      <c r="X422" s="23">
        <v>0</v>
      </c>
      <c r="Y422" s="23">
        <v>0</v>
      </c>
      <c r="Z422" s="23">
        <v>0</v>
      </c>
      <c r="AA422" s="23">
        <v>0</v>
      </c>
      <c r="AB422" s="23">
        <v>0</v>
      </c>
      <c r="AC422" s="25">
        <v>0</v>
      </c>
      <c r="AD422" s="25">
        <v>0</v>
      </c>
      <c r="AE422" s="25">
        <v>0</v>
      </c>
      <c r="AF422" s="25">
        <v>0</v>
      </c>
      <c r="AG422" s="25">
        <v>0</v>
      </c>
      <c r="AH422" s="25">
        <v>0</v>
      </c>
      <c r="AI422" s="25">
        <v>0</v>
      </c>
      <c r="AJ422" s="25">
        <v>0</v>
      </c>
      <c r="AK422" s="25">
        <v>0</v>
      </c>
      <c r="AL422" s="25">
        <v>0</v>
      </c>
      <c r="AM422" s="25">
        <v>0</v>
      </c>
    </row>
    <row r="423" spans="1:39" ht="15" customHeight="1">
      <c r="A423" s="32" t="str">
        <f t="shared" si="17"/>
        <v>Essential (Original)--LAMPS ; MAJOR ROAD</v>
      </c>
      <c r="B423" s="32" t="str">
        <f t="shared" si="18"/>
        <v>Essential (Original)</v>
      </c>
      <c r="C423" s="32" t="s">
        <v>1134</v>
      </c>
      <c r="D423" s="384"/>
      <c r="F423" t="s">
        <v>266</v>
      </c>
      <c r="G423" s="21">
        <v>0</v>
      </c>
      <c r="H423" s="21">
        <v>0</v>
      </c>
      <c r="I423" s="21">
        <v>0</v>
      </c>
      <c r="J423" s="21">
        <v>0</v>
      </c>
      <c r="K423" s="21">
        <v>0</v>
      </c>
      <c r="L423" s="21">
        <v>0</v>
      </c>
      <c r="M423" s="21">
        <v>0</v>
      </c>
      <c r="N423" s="21">
        <v>0</v>
      </c>
      <c r="O423" s="21">
        <v>0</v>
      </c>
      <c r="P423" s="21">
        <v>0</v>
      </c>
      <c r="Q423" s="21">
        <v>0</v>
      </c>
      <c r="R423" s="23">
        <v>0</v>
      </c>
      <c r="S423" s="23">
        <v>0</v>
      </c>
      <c r="T423" s="23">
        <v>0</v>
      </c>
      <c r="U423" s="23">
        <v>0</v>
      </c>
      <c r="V423" s="23">
        <v>0</v>
      </c>
      <c r="W423" s="23">
        <v>0</v>
      </c>
      <c r="X423" s="23">
        <v>0</v>
      </c>
      <c r="Y423" s="23">
        <v>0</v>
      </c>
      <c r="Z423" s="23">
        <v>0</v>
      </c>
      <c r="AA423" s="23">
        <v>0</v>
      </c>
      <c r="AB423" s="23">
        <v>0</v>
      </c>
      <c r="AC423" s="25">
        <v>0</v>
      </c>
      <c r="AD423" s="25">
        <v>0</v>
      </c>
      <c r="AE423" s="25">
        <v>0</v>
      </c>
      <c r="AF423" s="25">
        <v>0</v>
      </c>
      <c r="AG423" s="25">
        <v>0</v>
      </c>
      <c r="AH423" s="25">
        <v>0</v>
      </c>
      <c r="AI423" s="25">
        <v>0</v>
      </c>
      <c r="AJ423" s="25">
        <v>0</v>
      </c>
      <c r="AK423" s="25">
        <v>0</v>
      </c>
      <c r="AL423" s="25">
        <v>0</v>
      </c>
      <c r="AM423" s="25">
        <v>0</v>
      </c>
    </row>
    <row r="424" spans="1:39" ht="15" customHeight="1">
      <c r="A424" s="32" t="str">
        <f t="shared" si="17"/>
        <v>Essential (Original)--LAMPS ; MINOR ROAD</v>
      </c>
      <c r="B424" s="32" t="str">
        <f t="shared" si="18"/>
        <v>Essential (Original)</v>
      </c>
      <c r="C424" s="32" t="s">
        <v>1134</v>
      </c>
      <c r="D424" s="384"/>
      <c r="F424" t="s">
        <v>267</v>
      </c>
      <c r="G424" s="21">
        <v>0</v>
      </c>
      <c r="H424" s="21">
        <v>0</v>
      </c>
      <c r="I424" s="21">
        <v>0</v>
      </c>
      <c r="J424" s="21">
        <v>0</v>
      </c>
      <c r="K424" s="21">
        <v>0</v>
      </c>
      <c r="L424" s="21">
        <v>0</v>
      </c>
      <c r="M424" s="21">
        <v>0</v>
      </c>
      <c r="N424" s="21">
        <v>0</v>
      </c>
      <c r="O424" s="21">
        <v>0</v>
      </c>
      <c r="P424" s="21">
        <v>0</v>
      </c>
      <c r="Q424" s="21">
        <v>0</v>
      </c>
      <c r="R424" s="23">
        <v>0</v>
      </c>
      <c r="S424" s="23">
        <v>0</v>
      </c>
      <c r="T424" s="23">
        <v>0</v>
      </c>
      <c r="U424" s="23">
        <v>0</v>
      </c>
      <c r="V424" s="23">
        <v>0</v>
      </c>
      <c r="W424" s="23">
        <v>0</v>
      </c>
      <c r="X424" s="23">
        <v>0</v>
      </c>
      <c r="Y424" s="23">
        <v>0</v>
      </c>
      <c r="Z424" s="23">
        <v>0</v>
      </c>
      <c r="AA424" s="23">
        <v>0</v>
      </c>
      <c r="AB424" s="23">
        <v>0</v>
      </c>
      <c r="AC424" s="25">
        <v>0</v>
      </c>
      <c r="AD424" s="25">
        <v>0</v>
      </c>
      <c r="AE424" s="25">
        <v>0</v>
      </c>
      <c r="AF424" s="25">
        <v>0</v>
      </c>
      <c r="AG424" s="25">
        <v>0</v>
      </c>
      <c r="AH424" s="25">
        <v>0</v>
      </c>
      <c r="AI424" s="25">
        <v>0</v>
      </c>
      <c r="AJ424" s="25">
        <v>0</v>
      </c>
      <c r="AK424" s="25">
        <v>0</v>
      </c>
      <c r="AL424" s="25">
        <v>0</v>
      </c>
      <c r="AM424" s="25">
        <v>0</v>
      </c>
    </row>
    <row r="425" spans="1:39" ht="15" customHeight="1">
      <c r="A425" s="32" t="str">
        <f t="shared" si="17"/>
        <v>Essential (Original)--POLES / COLUMNS ; MAJOR ROAD</v>
      </c>
      <c r="B425" s="32" t="str">
        <f t="shared" si="18"/>
        <v>Essential (Original)</v>
      </c>
      <c r="C425" s="32" t="s">
        <v>1134</v>
      </c>
      <c r="D425" s="384"/>
      <c r="F425" t="s">
        <v>268</v>
      </c>
      <c r="G425" s="21">
        <v>128.64897870379986</v>
      </c>
      <c r="H425" s="21">
        <v>204.28907043929388</v>
      </c>
      <c r="I425" s="21">
        <v>171.11903243039532</v>
      </c>
      <c r="J425" s="21">
        <v>50.258075682339886</v>
      </c>
      <c r="K425" s="21">
        <v>79.225188211104737</v>
      </c>
      <c r="L425" s="21">
        <v>139.02708727665041</v>
      </c>
      <c r="M425" s="21">
        <v>146.62228648013954</v>
      </c>
      <c r="N425" s="21">
        <v>149.43038471993691</v>
      </c>
      <c r="O425" s="21">
        <v>153.57292009757811</v>
      </c>
      <c r="P425" s="21">
        <v>157.78016453132165</v>
      </c>
      <c r="Q425" s="21">
        <v>161.89660426104101</v>
      </c>
      <c r="R425" s="23">
        <v>43</v>
      </c>
      <c r="S425" s="23">
        <v>41</v>
      </c>
      <c r="T425" s="23">
        <v>52</v>
      </c>
      <c r="U425" s="23">
        <v>40</v>
      </c>
      <c r="V425" s="23">
        <v>75</v>
      </c>
      <c r="W425" s="23">
        <v>54</v>
      </c>
      <c r="X425" s="23">
        <v>56</v>
      </c>
      <c r="Y425" s="23">
        <v>58</v>
      </c>
      <c r="Z425" s="23">
        <v>60</v>
      </c>
      <c r="AA425" s="23">
        <v>62</v>
      </c>
      <c r="AB425" s="23">
        <v>64</v>
      </c>
      <c r="AC425" s="25">
        <v>43</v>
      </c>
      <c r="AD425" s="25">
        <v>41</v>
      </c>
      <c r="AE425" s="25">
        <v>52</v>
      </c>
      <c r="AF425" s="25">
        <v>40</v>
      </c>
      <c r="AG425" s="25">
        <v>75</v>
      </c>
      <c r="AH425" s="25">
        <v>54</v>
      </c>
      <c r="AI425" s="25">
        <v>56</v>
      </c>
      <c r="AJ425" s="25">
        <v>58</v>
      </c>
      <c r="AK425" s="25">
        <v>60</v>
      </c>
      <c r="AL425" s="25">
        <v>62</v>
      </c>
      <c r="AM425" s="25">
        <v>64</v>
      </c>
    </row>
    <row r="426" spans="1:39" ht="15" customHeight="1">
      <c r="A426" s="32" t="str">
        <f t="shared" si="17"/>
        <v>Essential (Original)--POLES / COLUMNS ; MINOR ROAD</v>
      </c>
      <c r="B426" s="32" t="str">
        <f t="shared" si="18"/>
        <v>Essential (Original)</v>
      </c>
      <c r="C426" s="32" t="s">
        <v>1134</v>
      </c>
      <c r="D426" s="384"/>
      <c r="F426" t="s">
        <v>269</v>
      </c>
      <c r="G426" s="21">
        <v>442.85872107953759</v>
      </c>
      <c r="H426" s="21">
        <v>1549.8969031997867</v>
      </c>
      <c r="I426" s="21">
        <v>531.31784908045961</v>
      </c>
      <c r="J426" s="21">
        <v>171.35727509379041</v>
      </c>
      <c r="K426" s="21">
        <v>225.65342091445851</v>
      </c>
      <c r="L426" s="21">
        <v>541.41837232176977</v>
      </c>
      <c r="M426" s="21">
        <v>562.95492051311726</v>
      </c>
      <c r="N426" s="21">
        <v>573.31281837537745</v>
      </c>
      <c r="O426" s="21">
        <v>588.67328251319009</v>
      </c>
      <c r="P426" s="21">
        <v>604.1587936374367</v>
      </c>
      <c r="Q426" s="21">
        <v>620.57368293463117</v>
      </c>
      <c r="R426" s="23">
        <v>189</v>
      </c>
      <c r="S426" s="23">
        <v>479</v>
      </c>
      <c r="T426" s="23">
        <v>193</v>
      </c>
      <c r="U426" s="23">
        <v>175</v>
      </c>
      <c r="V426" s="23">
        <v>234</v>
      </c>
      <c r="W426" s="23">
        <v>282</v>
      </c>
      <c r="X426" s="23">
        <v>292</v>
      </c>
      <c r="Y426" s="23">
        <v>302</v>
      </c>
      <c r="Z426" s="23">
        <v>312</v>
      </c>
      <c r="AA426" s="23">
        <v>322</v>
      </c>
      <c r="AB426" s="23">
        <v>333</v>
      </c>
      <c r="AC426" s="25">
        <v>189</v>
      </c>
      <c r="AD426" s="25">
        <v>479</v>
      </c>
      <c r="AE426" s="25">
        <v>193</v>
      </c>
      <c r="AF426" s="25">
        <v>175</v>
      </c>
      <c r="AG426" s="25">
        <v>234</v>
      </c>
      <c r="AH426" s="25">
        <v>282</v>
      </c>
      <c r="AI426" s="25">
        <v>292</v>
      </c>
      <c r="AJ426" s="25">
        <v>302</v>
      </c>
      <c r="AK426" s="25">
        <v>312</v>
      </c>
      <c r="AL426" s="25">
        <v>322</v>
      </c>
      <c r="AM426" s="25">
        <v>333</v>
      </c>
    </row>
    <row r="427" spans="1:39" ht="15" customHeight="1">
      <c r="A427" s="32" t="str">
        <f t="shared" si="17"/>
        <v>Essential (Original)--OTHER - PLEASE ADD A ROW IF NECESSARY AND NOMINATE THE CATEGORY</v>
      </c>
      <c r="B427" s="32" t="str">
        <f t="shared" si="18"/>
        <v>Essential (Original)</v>
      </c>
      <c r="C427" s="32" t="s">
        <v>1134</v>
      </c>
      <c r="D427" s="384"/>
      <c r="F427" t="s">
        <v>170</v>
      </c>
      <c r="G427" s="21">
        <v>0</v>
      </c>
      <c r="H427" s="21">
        <v>0</v>
      </c>
      <c r="I427" s="21">
        <v>0</v>
      </c>
      <c r="J427" s="21">
        <v>0</v>
      </c>
      <c r="K427" s="21">
        <v>0</v>
      </c>
      <c r="L427" s="21">
        <v>0</v>
      </c>
      <c r="M427" s="21">
        <v>0</v>
      </c>
      <c r="N427" s="21">
        <v>0</v>
      </c>
      <c r="O427" s="21">
        <v>0</v>
      </c>
      <c r="P427" s="21">
        <v>0</v>
      </c>
      <c r="Q427" s="21">
        <v>0</v>
      </c>
      <c r="R427" s="23">
        <v>0</v>
      </c>
      <c r="S427" s="23">
        <v>0</v>
      </c>
      <c r="T427" s="23">
        <v>0</v>
      </c>
      <c r="U427" s="23">
        <v>0</v>
      </c>
      <c r="V427" s="23">
        <v>0</v>
      </c>
      <c r="W427" s="23">
        <v>0</v>
      </c>
      <c r="X427" s="23">
        <v>0</v>
      </c>
      <c r="Y427" s="23">
        <v>0</v>
      </c>
      <c r="Z427" s="23">
        <v>0</v>
      </c>
      <c r="AA427" s="23">
        <v>0</v>
      </c>
      <c r="AB427" s="23">
        <v>0</v>
      </c>
      <c r="AC427" s="25">
        <v>0</v>
      </c>
      <c r="AD427" s="25">
        <v>0</v>
      </c>
      <c r="AE427" s="25">
        <v>0</v>
      </c>
      <c r="AF427" s="25">
        <v>0</v>
      </c>
      <c r="AG427" s="25">
        <v>0</v>
      </c>
      <c r="AH427" s="25">
        <v>0</v>
      </c>
      <c r="AI427" s="25">
        <v>0</v>
      </c>
      <c r="AJ427" s="25">
        <v>0</v>
      </c>
      <c r="AK427" s="25">
        <v>0</v>
      </c>
      <c r="AL427" s="25">
        <v>0</v>
      </c>
      <c r="AM427" s="25">
        <v>0</v>
      </c>
    </row>
    <row r="428" spans="1:39" ht="45" customHeight="1">
      <c r="A428" s="32" t="str">
        <f t="shared" si="17"/>
        <v>Essential (Original)-SCADA, NETWORK CONTROL AND PROTECTION SYSTEMS BY: 
FUNCTION-FIELD DEVICES</v>
      </c>
      <c r="B428" s="32" t="str">
        <f t="shared" si="18"/>
        <v>Essential (Original)</v>
      </c>
      <c r="C428" s="32" t="s">
        <v>659</v>
      </c>
      <c r="D428" s="384"/>
      <c r="E428" s="3" t="s">
        <v>548</v>
      </c>
      <c r="F428" t="s">
        <v>272</v>
      </c>
      <c r="G428" s="21">
        <v>3.358574017055021E-3</v>
      </c>
      <c r="H428" s="21">
        <v>1.8894441640052471</v>
      </c>
      <c r="I428" s="21">
        <v>9.0529542806270875</v>
      </c>
      <c r="J428" s="21">
        <v>1.7903594537180507</v>
      </c>
      <c r="K428" s="21">
        <v>0.69927526597356526</v>
      </c>
      <c r="L428" s="21">
        <v>0.4931940092947264</v>
      </c>
      <c r="M428" s="21">
        <v>5.0562442475998299</v>
      </c>
      <c r="N428" s="21">
        <v>4.2318511861933237</v>
      </c>
      <c r="O428" s="21">
        <v>2.7748529403210305</v>
      </c>
      <c r="P428" s="21">
        <v>1.9928992464496638</v>
      </c>
      <c r="Q428" s="21">
        <v>1.9059942911742083</v>
      </c>
      <c r="R428" s="85">
        <v>4</v>
      </c>
      <c r="S428" s="85">
        <v>11</v>
      </c>
      <c r="T428" s="85">
        <v>9</v>
      </c>
      <c r="U428" s="85">
        <v>8</v>
      </c>
      <c r="V428" s="85">
        <v>9</v>
      </c>
      <c r="W428" s="85">
        <v>9</v>
      </c>
      <c r="X428" s="85">
        <v>15</v>
      </c>
      <c r="Y428" s="85">
        <v>15</v>
      </c>
      <c r="Z428" s="85">
        <v>15</v>
      </c>
      <c r="AA428" s="85">
        <v>15</v>
      </c>
      <c r="AB428" s="85">
        <v>15</v>
      </c>
      <c r="AC428" s="86">
        <v>1</v>
      </c>
      <c r="AD428" s="86">
        <v>1</v>
      </c>
      <c r="AE428" s="86">
        <v>0</v>
      </c>
      <c r="AF428" s="86">
        <v>0</v>
      </c>
      <c r="AG428" s="86">
        <v>0</v>
      </c>
      <c r="AH428" s="86">
        <v>0</v>
      </c>
      <c r="AI428" s="86">
        <v>0</v>
      </c>
      <c r="AJ428" s="86">
        <v>0</v>
      </c>
      <c r="AK428" s="86">
        <v>0</v>
      </c>
      <c r="AL428" s="86">
        <v>0</v>
      </c>
      <c r="AM428" s="86">
        <v>0</v>
      </c>
    </row>
    <row r="429" spans="1:39" ht="15" customHeight="1">
      <c r="A429" s="32" t="str">
        <f t="shared" si="17"/>
        <v>Essential (Original)--LOCAL NETWORK WIRING ASSETS</v>
      </c>
      <c r="B429" s="32" t="str">
        <f t="shared" si="18"/>
        <v>Essential (Original)</v>
      </c>
      <c r="C429" s="32" t="s">
        <v>659</v>
      </c>
      <c r="D429" s="384"/>
      <c r="F429" t="s">
        <v>273</v>
      </c>
      <c r="G429" s="21">
        <v>0</v>
      </c>
      <c r="H429" s="21">
        <v>0</v>
      </c>
      <c r="I429" s="21">
        <v>0</v>
      </c>
      <c r="J429" s="21">
        <v>0</v>
      </c>
      <c r="K429" s="21">
        <v>0</v>
      </c>
      <c r="L429" s="21">
        <v>0</v>
      </c>
      <c r="M429" s="21">
        <v>0</v>
      </c>
      <c r="N429" s="21">
        <v>0</v>
      </c>
      <c r="O429" s="21">
        <v>0</v>
      </c>
      <c r="P429" s="21">
        <v>0</v>
      </c>
      <c r="Q429" s="21">
        <v>0</v>
      </c>
      <c r="R429" s="23">
        <v>0</v>
      </c>
      <c r="S429" s="23">
        <v>0</v>
      </c>
      <c r="T429" s="23">
        <v>0</v>
      </c>
      <c r="U429" s="23">
        <v>0</v>
      </c>
      <c r="V429" s="23">
        <v>0</v>
      </c>
      <c r="W429" s="23">
        <v>0</v>
      </c>
      <c r="X429" s="23">
        <v>0</v>
      </c>
      <c r="Y429" s="23">
        <v>0</v>
      </c>
      <c r="Z429" s="23">
        <v>0</v>
      </c>
      <c r="AA429" s="23">
        <v>0</v>
      </c>
      <c r="AB429" s="23">
        <v>0</v>
      </c>
      <c r="AC429" s="25">
        <v>0</v>
      </c>
      <c r="AD429" s="25">
        <v>0</v>
      </c>
      <c r="AE429" s="25">
        <v>0</v>
      </c>
      <c r="AF429" s="25">
        <v>0</v>
      </c>
      <c r="AG429" s="25">
        <v>0</v>
      </c>
      <c r="AH429" s="25">
        <v>0</v>
      </c>
      <c r="AI429" s="25">
        <v>0</v>
      </c>
      <c r="AJ429" s="25">
        <v>0</v>
      </c>
      <c r="AK429" s="25">
        <v>0</v>
      </c>
      <c r="AL429" s="25">
        <v>0</v>
      </c>
      <c r="AM429" s="25">
        <v>0</v>
      </c>
    </row>
    <row r="430" spans="1:39" ht="15" customHeight="1">
      <c r="A430" s="32" t="str">
        <f t="shared" si="17"/>
        <v>Essential (Original)--COMMUNICATIONS NETWORK ASSETS</v>
      </c>
      <c r="B430" s="32" t="str">
        <f t="shared" si="18"/>
        <v>Essential (Original)</v>
      </c>
      <c r="C430" s="32" t="s">
        <v>659</v>
      </c>
      <c r="D430" s="384"/>
      <c r="F430" t="s">
        <v>274</v>
      </c>
      <c r="G430" s="21">
        <v>0.31377414623245981</v>
      </c>
      <c r="H430" s="21">
        <v>3228.3241875053022</v>
      </c>
      <c r="I430" s="21">
        <v>5165.9565296281453</v>
      </c>
      <c r="J430" s="21">
        <v>4035.2097927599457</v>
      </c>
      <c r="K430" s="21">
        <v>2934.2289435516773</v>
      </c>
      <c r="L430" s="21">
        <v>1931.3806199987685</v>
      </c>
      <c r="M430" s="21">
        <v>7034.4492470307869</v>
      </c>
      <c r="N430" s="21">
        <v>5599.8111883009369</v>
      </c>
      <c r="O430" s="21">
        <v>6336.2656951054605</v>
      </c>
      <c r="P430" s="21">
        <v>4664.7792661647281</v>
      </c>
      <c r="Q430" s="21">
        <v>4723.8416645033731</v>
      </c>
      <c r="R430" s="85">
        <v>3</v>
      </c>
      <c r="S430" s="85">
        <v>3</v>
      </c>
      <c r="T430" s="85">
        <v>8</v>
      </c>
      <c r="U430" s="85">
        <v>37</v>
      </c>
      <c r="V430" s="85">
        <v>20</v>
      </c>
      <c r="W430" s="85">
        <v>45</v>
      </c>
      <c r="X430" s="85">
        <v>56</v>
      </c>
      <c r="Y430" s="85">
        <v>44</v>
      </c>
      <c r="Z430" s="85">
        <v>90</v>
      </c>
      <c r="AA430" s="85">
        <v>43</v>
      </c>
      <c r="AB430" s="85">
        <v>55</v>
      </c>
      <c r="AC430" s="86">
        <v>5</v>
      </c>
      <c r="AD430" s="86">
        <v>19</v>
      </c>
      <c r="AE430" s="86">
        <v>13</v>
      </c>
      <c r="AF430" s="86">
        <v>21</v>
      </c>
      <c r="AG430" s="86">
        <v>11</v>
      </c>
      <c r="AH430" s="86">
        <v>21</v>
      </c>
      <c r="AI430" s="86">
        <v>17</v>
      </c>
      <c r="AJ430" s="86">
        <v>15</v>
      </c>
      <c r="AK430" s="86">
        <v>14</v>
      </c>
      <c r="AL430" s="86">
        <v>12</v>
      </c>
      <c r="AM430" s="86">
        <v>10</v>
      </c>
    </row>
    <row r="431" spans="1:39" ht="15" customHeight="1">
      <c r="A431" s="32" t="str">
        <f t="shared" si="17"/>
        <v>Essential (Original)--MASTER STATION ASSETS</v>
      </c>
      <c r="B431" s="32" t="str">
        <f t="shared" si="18"/>
        <v>Essential (Original)</v>
      </c>
      <c r="C431" s="32" t="s">
        <v>659</v>
      </c>
      <c r="D431" s="384"/>
      <c r="F431" t="s">
        <v>275</v>
      </c>
      <c r="G431" s="21">
        <v>0</v>
      </c>
      <c r="H431" s="21">
        <v>0</v>
      </c>
      <c r="I431" s="21">
        <v>0</v>
      </c>
      <c r="J431" s="21">
        <v>0</v>
      </c>
      <c r="K431" s="21">
        <v>0</v>
      </c>
      <c r="L431" s="21">
        <v>0</v>
      </c>
      <c r="M431" s="21">
        <v>0</v>
      </c>
      <c r="N431" s="21">
        <v>0</v>
      </c>
      <c r="O431" s="21">
        <v>0</v>
      </c>
      <c r="P431" s="21">
        <v>0</v>
      </c>
      <c r="Q431" s="21">
        <v>0</v>
      </c>
      <c r="R431" s="23">
        <v>0</v>
      </c>
      <c r="S431" s="23">
        <v>0</v>
      </c>
      <c r="T431" s="23">
        <v>0</v>
      </c>
      <c r="U431" s="23">
        <v>0</v>
      </c>
      <c r="V431" s="23">
        <v>0</v>
      </c>
      <c r="W431" s="23">
        <v>0</v>
      </c>
      <c r="X431" s="23">
        <v>0</v>
      </c>
      <c r="Y431" s="23">
        <v>0</v>
      </c>
      <c r="Z431" s="23">
        <v>0</v>
      </c>
      <c r="AA431" s="23">
        <v>0</v>
      </c>
      <c r="AB431" s="23">
        <v>0</v>
      </c>
      <c r="AC431" s="25">
        <v>0</v>
      </c>
      <c r="AD431" s="25">
        <v>0</v>
      </c>
      <c r="AE431" s="25">
        <v>0</v>
      </c>
      <c r="AF431" s="25">
        <v>0</v>
      </c>
      <c r="AG431" s="25">
        <v>0</v>
      </c>
      <c r="AH431" s="25">
        <v>0</v>
      </c>
      <c r="AI431" s="25">
        <v>0</v>
      </c>
      <c r="AJ431" s="25">
        <v>0</v>
      </c>
      <c r="AK431" s="25">
        <v>0</v>
      </c>
      <c r="AL431" s="25">
        <v>0</v>
      </c>
      <c r="AM431" s="25">
        <v>0</v>
      </c>
    </row>
    <row r="432" spans="1:39" ht="15" customHeight="1">
      <c r="A432" s="32" t="str">
        <f t="shared" si="17"/>
        <v>Essential (Original)--SCADA, NETWORK CONTROL AND PROTECTION SYSTEMS</v>
      </c>
      <c r="B432" s="32" t="str">
        <f t="shared" si="18"/>
        <v>Essential (Original)</v>
      </c>
      <c r="C432" s="32" t="s">
        <v>659</v>
      </c>
      <c r="D432" s="384"/>
      <c r="F432" t="s">
        <v>360</v>
      </c>
      <c r="G432" s="21">
        <v>0</v>
      </c>
      <c r="H432" s="21">
        <v>0</v>
      </c>
      <c r="I432" s="21">
        <v>0</v>
      </c>
      <c r="J432" s="21">
        <v>0</v>
      </c>
      <c r="K432" s="21">
        <v>0</v>
      </c>
      <c r="L432" s="21">
        <v>0</v>
      </c>
      <c r="M432" s="21">
        <v>0</v>
      </c>
      <c r="N432" s="21">
        <v>0</v>
      </c>
      <c r="O432" s="21">
        <v>0</v>
      </c>
      <c r="P432" s="21">
        <v>0</v>
      </c>
      <c r="Q432" s="21">
        <v>0</v>
      </c>
      <c r="R432" s="23">
        <v>0</v>
      </c>
      <c r="S432" s="23">
        <v>0</v>
      </c>
      <c r="T432" s="23">
        <v>0</v>
      </c>
      <c r="U432" s="23">
        <v>0</v>
      </c>
      <c r="V432" s="23">
        <v>0</v>
      </c>
      <c r="W432" s="23">
        <v>0</v>
      </c>
      <c r="X432" s="23">
        <v>0</v>
      </c>
      <c r="Y432" s="23">
        <v>0</v>
      </c>
      <c r="Z432" s="23">
        <v>0</v>
      </c>
      <c r="AA432" s="23">
        <v>0</v>
      </c>
      <c r="AB432" s="23">
        <v>0</v>
      </c>
      <c r="AC432" s="25">
        <v>0</v>
      </c>
      <c r="AD432" s="25">
        <v>0</v>
      </c>
      <c r="AE432" s="25">
        <v>0</v>
      </c>
      <c r="AF432" s="25">
        <v>0</v>
      </c>
      <c r="AG432" s="25">
        <v>0</v>
      </c>
      <c r="AH432" s="25">
        <v>0</v>
      </c>
      <c r="AI432" s="25">
        <v>0</v>
      </c>
      <c r="AJ432" s="25">
        <v>0</v>
      </c>
      <c r="AK432" s="25">
        <v>0</v>
      </c>
      <c r="AL432" s="25">
        <v>0</v>
      </c>
      <c r="AM432" s="25">
        <v>0</v>
      </c>
    </row>
    <row r="433" spans="1:39" ht="30" customHeight="1">
      <c r="A433" s="32" t="str">
        <f t="shared" si="17"/>
        <v>Essential (Original)-OTHER BY: 
DNSP DEFINED-</v>
      </c>
      <c r="B433" s="32" t="str">
        <f t="shared" si="18"/>
        <v>Essential (Original)</v>
      </c>
      <c r="C433" s="32" t="s">
        <v>720</v>
      </c>
      <c r="D433" s="384"/>
      <c r="E433" s="3" t="s">
        <v>567</v>
      </c>
      <c r="G433" s="21"/>
      <c r="H433" s="21"/>
      <c r="I433" s="21"/>
      <c r="J433" s="21"/>
      <c r="K433" s="21"/>
      <c r="L433" s="21"/>
      <c r="M433" s="21"/>
      <c r="N433" s="21"/>
      <c r="O433" s="21"/>
      <c r="P433" s="21"/>
      <c r="Q433" s="21"/>
      <c r="R433" s="23"/>
      <c r="S433" s="23"/>
      <c r="T433" s="23"/>
      <c r="U433" s="23"/>
      <c r="V433" s="23"/>
      <c r="W433" s="23"/>
      <c r="X433" s="23"/>
      <c r="Y433" s="23"/>
      <c r="Z433" s="23"/>
      <c r="AA433" s="23"/>
      <c r="AB433" s="23"/>
      <c r="AC433" s="25"/>
      <c r="AD433" s="25"/>
      <c r="AE433" s="25"/>
      <c r="AF433" s="25"/>
      <c r="AG433" s="25"/>
      <c r="AH433" s="25"/>
      <c r="AI433" s="25"/>
      <c r="AJ433" s="25"/>
      <c r="AK433" s="25"/>
      <c r="AL433" s="25"/>
      <c r="AM433" s="25"/>
    </row>
    <row r="434" spans="1:39" ht="15" customHeight="1">
      <c r="A434" s="32" t="str">
        <f t="shared" si="17"/>
        <v>Essential (Original)--Orange North - TransGrid rebuild Orange 66kV busbar - REFURBISHMENT</v>
      </c>
      <c r="B434" s="32" t="str">
        <f t="shared" si="18"/>
        <v>Essential (Original)</v>
      </c>
      <c r="C434" s="32" t="s">
        <v>720</v>
      </c>
      <c r="D434" s="384"/>
      <c r="F434" t="s">
        <v>361</v>
      </c>
      <c r="G434" s="21">
        <v>0</v>
      </c>
      <c r="H434" s="21">
        <v>0</v>
      </c>
      <c r="I434" s="21">
        <v>0</v>
      </c>
      <c r="J434" s="21">
        <v>0</v>
      </c>
      <c r="K434" s="21">
        <v>0</v>
      </c>
      <c r="L434" s="21">
        <v>0</v>
      </c>
      <c r="M434" s="21">
        <v>1550.8399100887696</v>
      </c>
      <c r="N434" s="21">
        <v>1964.405</v>
      </c>
      <c r="O434" s="21">
        <v>2377.942</v>
      </c>
      <c r="P434" s="21">
        <v>0</v>
      </c>
      <c r="Q434" s="21">
        <v>0</v>
      </c>
      <c r="R434" s="23">
        <v>0</v>
      </c>
      <c r="S434" s="23">
        <v>0</v>
      </c>
      <c r="T434" s="23">
        <v>0</v>
      </c>
      <c r="U434" s="23">
        <v>0</v>
      </c>
      <c r="V434" s="23">
        <v>0</v>
      </c>
      <c r="W434" s="23">
        <v>0</v>
      </c>
      <c r="X434" s="23">
        <v>0.25</v>
      </c>
      <c r="Y434" s="23">
        <v>0.35</v>
      </c>
      <c r="Z434" s="23">
        <v>0.4</v>
      </c>
      <c r="AA434" s="23">
        <v>0</v>
      </c>
      <c r="AB434" s="23">
        <v>0</v>
      </c>
      <c r="AC434" s="25">
        <v>0</v>
      </c>
      <c r="AD434" s="25">
        <v>0</v>
      </c>
      <c r="AE434" s="25">
        <v>0</v>
      </c>
      <c r="AF434" s="25">
        <v>0</v>
      </c>
      <c r="AG434" s="25">
        <v>0</v>
      </c>
      <c r="AH434" s="25">
        <v>0</v>
      </c>
      <c r="AI434" s="25">
        <v>0</v>
      </c>
      <c r="AJ434" s="25">
        <v>0</v>
      </c>
      <c r="AK434" s="25">
        <v>0</v>
      </c>
      <c r="AL434" s="25">
        <v>0</v>
      </c>
      <c r="AM434" s="25">
        <v>0</v>
      </c>
    </row>
    <row r="435" spans="1:39" ht="15" customHeight="1">
      <c r="A435" s="32" t="str">
        <f t="shared" si="17"/>
        <v>Essential (Original)--Rectification of low clearance infringements on subtransmission feeders - REFURBISHMENT</v>
      </c>
      <c r="B435" s="32" t="str">
        <f t="shared" si="18"/>
        <v>Essential (Original)</v>
      </c>
      <c r="C435" s="32" t="s">
        <v>720</v>
      </c>
      <c r="D435" s="384"/>
      <c r="F435" t="s">
        <v>362</v>
      </c>
      <c r="G435" s="21">
        <v>0</v>
      </c>
      <c r="H435" s="21">
        <v>0</v>
      </c>
      <c r="I435" s="21">
        <v>0</v>
      </c>
      <c r="J435" s="21">
        <v>0</v>
      </c>
      <c r="K435" s="21">
        <v>0</v>
      </c>
      <c r="L435" s="21">
        <v>0</v>
      </c>
      <c r="M435" s="21">
        <v>2422.8060458318232</v>
      </c>
      <c r="N435" s="21">
        <v>2422.8060458318232</v>
      </c>
      <c r="O435" s="21">
        <v>5157.1620000000003</v>
      </c>
      <c r="P435" s="21">
        <v>5157.1620000000003</v>
      </c>
      <c r="Q435" s="21">
        <v>5218.6210000000001</v>
      </c>
      <c r="R435" s="23">
        <v>0</v>
      </c>
      <c r="S435" s="23">
        <v>0</v>
      </c>
      <c r="T435" s="23">
        <v>0</v>
      </c>
      <c r="U435" s="23">
        <v>0</v>
      </c>
      <c r="V435" s="23">
        <v>0</v>
      </c>
      <c r="W435" s="23">
        <v>0</v>
      </c>
      <c r="X435" s="23">
        <v>0.15</v>
      </c>
      <c r="Y435" s="23">
        <v>0.15</v>
      </c>
      <c r="Z435" s="23">
        <v>0.2</v>
      </c>
      <c r="AA435" s="23">
        <v>0.25</v>
      </c>
      <c r="AB435" s="23">
        <v>0.25</v>
      </c>
      <c r="AC435" s="25">
        <v>0</v>
      </c>
      <c r="AD435" s="25">
        <v>0</v>
      </c>
      <c r="AE435" s="25">
        <v>0</v>
      </c>
      <c r="AF435" s="25">
        <v>0</v>
      </c>
      <c r="AG435" s="25">
        <v>0</v>
      </c>
      <c r="AH435" s="25">
        <v>0</v>
      </c>
      <c r="AI435" s="25">
        <v>0</v>
      </c>
      <c r="AJ435" s="25">
        <v>0</v>
      </c>
      <c r="AK435" s="25">
        <v>0</v>
      </c>
      <c r="AL435" s="25">
        <v>0</v>
      </c>
      <c r="AM435" s="25">
        <v>0</v>
      </c>
    </row>
    <row r="436" spans="1:39" ht="15" customHeight="1">
      <c r="A436" s="32" t="str">
        <f t="shared" si="17"/>
        <v>Essential (Original)--Tamworth - TransGrid 132/66kV substation - relocate 66kV feeders - REFURBISHMENT</v>
      </c>
      <c r="B436" s="32" t="str">
        <f t="shared" si="18"/>
        <v>Essential (Original)</v>
      </c>
      <c r="C436" s="32" t="s">
        <v>720</v>
      </c>
      <c r="D436" s="384"/>
      <c r="F436" t="s">
        <v>363</v>
      </c>
      <c r="G436" s="21">
        <v>0</v>
      </c>
      <c r="H436" s="21">
        <v>0</v>
      </c>
      <c r="I436" s="21">
        <v>0</v>
      </c>
      <c r="J436" s="21">
        <v>0</v>
      </c>
      <c r="K436" s="21">
        <v>0</v>
      </c>
      <c r="L436" s="21">
        <v>0</v>
      </c>
      <c r="M436" s="21">
        <v>0</v>
      </c>
      <c r="N436" s="21">
        <v>1550.809</v>
      </c>
      <c r="O436" s="21">
        <v>0</v>
      </c>
      <c r="P436" s="21">
        <v>0</v>
      </c>
      <c r="Q436" s="21">
        <v>0</v>
      </c>
      <c r="R436" s="23">
        <v>0</v>
      </c>
      <c r="S436" s="23">
        <v>0</v>
      </c>
      <c r="T436" s="23">
        <v>0</v>
      </c>
      <c r="U436" s="23">
        <v>0</v>
      </c>
      <c r="V436" s="23">
        <v>0</v>
      </c>
      <c r="W436" s="23">
        <v>0</v>
      </c>
      <c r="X436" s="23">
        <v>0</v>
      </c>
      <c r="Y436" s="23">
        <v>1</v>
      </c>
      <c r="Z436" s="23">
        <v>0</v>
      </c>
      <c r="AA436" s="23">
        <v>0</v>
      </c>
      <c r="AB436" s="23">
        <v>0</v>
      </c>
      <c r="AC436" s="25">
        <v>0</v>
      </c>
      <c r="AD436" s="25">
        <v>0</v>
      </c>
      <c r="AE436" s="25">
        <v>0</v>
      </c>
      <c r="AF436" s="25">
        <v>0</v>
      </c>
      <c r="AG436" s="25">
        <v>0</v>
      </c>
      <c r="AH436" s="25">
        <v>0</v>
      </c>
      <c r="AI436" s="25">
        <v>0</v>
      </c>
      <c r="AJ436" s="25">
        <v>0</v>
      </c>
      <c r="AK436" s="25">
        <v>0</v>
      </c>
      <c r="AL436" s="25">
        <v>0</v>
      </c>
      <c r="AM436" s="25">
        <v>0</v>
      </c>
    </row>
    <row r="437" spans="1:39" ht="15" customHeight="1">
      <c r="A437" s="32" t="str">
        <f t="shared" si="17"/>
        <v>Essential (Original)--Terranora to QLD border - refurbish 110kV towers in line with Powerlink - REFURBISHMENT</v>
      </c>
      <c r="B437" s="32" t="str">
        <f t="shared" si="18"/>
        <v>Essential (Original)</v>
      </c>
      <c r="C437" s="32" t="s">
        <v>720</v>
      </c>
      <c r="D437" s="384"/>
      <c r="F437" t="s">
        <v>364</v>
      </c>
      <c r="G437" s="21">
        <v>0</v>
      </c>
      <c r="H437" s="21">
        <v>0</v>
      </c>
      <c r="I437" s="21">
        <v>0</v>
      </c>
      <c r="J437" s="21">
        <v>0</v>
      </c>
      <c r="K437" s="21">
        <v>0</v>
      </c>
      <c r="L437" s="21">
        <v>0</v>
      </c>
      <c r="M437" s="21">
        <v>0</v>
      </c>
      <c r="N437" s="21">
        <v>0</v>
      </c>
      <c r="O437" s="21">
        <v>0</v>
      </c>
      <c r="P437" s="21">
        <v>0</v>
      </c>
      <c r="Q437" s="21">
        <v>4135.5557250319689</v>
      </c>
      <c r="R437" s="23">
        <v>0</v>
      </c>
      <c r="S437" s="23">
        <v>0</v>
      </c>
      <c r="T437" s="23">
        <v>0</v>
      </c>
      <c r="U437" s="23">
        <v>0</v>
      </c>
      <c r="V437" s="23">
        <v>0</v>
      </c>
      <c r="W437" s="23">
        <v>0</v>
      </c>
      <c r="X437" s="23">
        <v>0</v>
      </c>
      <c r="Y437" s="23">
        <v>0</v>
      </c>
      <c r="Z437" s="23">
        <v>0</v>
      </c>
      <c r="AA437" s="23">
        <v>0</v>
      </c>
      <c r="AB437" s="23">
        <v>1</v>
      </c>
      <c r="AC437" s="25">
        <v>0</v>
      </c>
      <c r="AD437" s="25">
        <v>0</v>
      </c>
      <c r="AE437" s="25">
        <v>0</v>
      </c>
      <c r="AF437" s="25">
        <v>0</v>
      </c>
      <c r="AG437" s="25">
        <v>0</v>
      </c>
      <c r="AH437" s="25">
        <v>0</v>
      </c>
      <c r="AI437" s="25">
        <v>0</v>
      </c>
      <c r="AJ437" s="25">
        <v>0</v>
      </c>
      <c r="AK437" s="25">
        <v>0</v>
      </c>
      <c r="AL437" s="25">
        <v>0</v>
      </c>
      <c r="AM437" s="25">
        <v>0</v>
      </c>
    </row>
    <row r="438" spans="1:39" ht="15" customHeight="1">
      <c r="A438" s="32" t="str">
        <f t="shared" si="17"/>
        <v>Essential (Original)--Yarrandale to Gilgandra - rebuild existing 66kV feeder - REFURBISHMENT</v>
      </c>
      <c r="B438" s="32" t="str">
        <f t="shared" si="18"/>
        <v>Essential (Original)</v>
      </c>
      <c r="C438" s="32" t="s">
        <v>720</v>
      </c>
      <c r="D438" s="384"/>
      <c r="F438" t="s">
        <v>365</v>
      </c>
      <c r="G438" s="21">
        <v>0</v>
      </c>
      <c r="H438" s="21">
        <v>0</v>
      </c>
      <c r="I438" s="21">
        <v>0</v>
      </c>
      <c r="J438" s="21">
        <v>0</v>
      </c>
      <c r="K438" s="21">
        <v>0</v>
      </c>
      <c r="L438" s="21">
        <v>0</v>
      </c>
      <c r="M438" s="21">
        <v>0</v>
      </c>
      <c r="N438" s="21">
        <v>0</v>
      </c>
      <c r="O438" s="21">
        <v>516.92637990402125</v>
      </c>
      <c r="P438" s="21">
        <v>2274.6268057183033</v>
      </c>
      <c r="Q438" s="21">
        <v>0</v>
      </c>
      <c r="R438" s="23">
        <v>0</v>
      </c>
      <c r="S438" s="23">
        <v>0</v>
      </c>
      <c r="T438" s="23">
        <v>0</v>
      </c>
      <c r="U438" s="23">
        <v>0</v>
      </c>
      <c r="V438" s="23">
        <v>0</v>
      </c>
      <c r="W438" s="23">
        <v>0</v>
      </c>
      <c r="X438" s="23">
        <v>0</v>
      </c>
      <c r="Y438" s="23">
        <v>0</v>
      </c>
      <c r="Z438" s="23">
        <v>0.5</v>
      </c>
      <c r="AA438" s="23">
        <v>0.5</v>
      </c>
      <c r="AB438" s="23">
        <v>0</v>
      </c>
      <c r="AC438" s="25">
        <v>0</v>
      </c>
      <c r="AD438" s="25">
        <v>0</v>
      </c>
      <c r="AE438" s="25">
        <v>0</v>
      </c>
      <c r="AF438" s="25">
        <v>0</v>
      </c>
      <c r="AG438" s="25">
        <v>0</v>
      </c>
      <c r="AH438" s="25">
        <v>0</v>
      </c>
      <c r="AI438" s="25">
        <v>0</v>
      </c>
      <c r="AJ438" s="25">
        <v>0</v>
      </c>
      <c r="AK438" s="25">
        <v>0</v>
      </c>
      <c r="AL438" s="25">
        <v>0</v>
      </c>
      <c r="AM438" s="25">
        <v>0</v>
      </c>
    </row>
    <row r="439" spans="1:39" ht="15" customHeight="1">
      <c r="A439" s="32" t="str">
        <f t="shared" si="17"/>
        <v>Essential (Original)--Wagga Copeland St - TransGrid 132/66kV sub - relocate 66kV feeders - REFURBISHMENT</v>
      </c>
      <c r="B439" s="32" t="str">
        <f t="shared" si="18"/>
        <v>Essential (Original)</v>
      </c>
      <c r="C439" s="32" t="s">
        <v>720</v>
      </c>
      <c r="D439" s="384"/>
      <c r="F439" t="s">
        <v>366</v>
      </c>
      <c r="G439" s="21">
        <v>0</v>
      </c>
      <c r="H439" s="21">
        <v>0</v>
      </c>
      <c r="I439" s="21">
        <v>0</v>
      </c>
      <c r="J439" s="21">
        <v>0</v>
      </c>
      <c r="K439" s="21">
        <v>0</v>
      </c>
      <c r="L439" s="21">
        <v>0</v>
      </c>
      <c r="M439" s="21">
        <v>0</v>
      </c>
      <c r="N439" s="21">
        <v>0</v>
      </c>
      <c r="O439" s="21">
        <v>0</v>
      </c>
      <c r="P439" s="21">
        <v>2067.705519616085</v>
      </c>
      <c r="Q439" s="21">
        <v>0</v>
      </c>
      <c r="R439" s="23">
        <v>0</v>
      </c>
      <c r="S439" s="23">
        <v>0</v>
      </c>
      <c r="T439" s="23">
        <v>0</v>
      </c>
      <c r="U439" s="23">
        <v>0</v>
      </c>
      <c r="V439" s="23">
        <v>0</v>
      </c>
      <c r="W439" s="23">
        <v>0</v>
      </c>
      <c r="X439" s="23">
        <v>0</v>
      </c>
      <c r="Y439" s="23">
        <v>0</v>
      </c>
      <c r="Z439" s="23">
        <v>0</v>
      </c>
      <c r="AA439" s="23">
        <v>1</v>
      </c>
      <c r="AB439" s="23">
        <v>0</v>
      </c>
      <c r="AC439" s="25">
        <v>0</v>
      </c>
      <c r="AD439" s="25">
        <v>0</v>
      </c>
      <c r="AE439" s="25">
        <v>0</v>
      </c>
      <c r="AF439" s="25">
        <v>0</v>
      </c>
      <c r="AG439" s="25">
        <v>0</v>
      </c>
      <c r="AH439" s="25">
        <v>0</v>
      </c>
      <c r="AI439" s="25">
        <v>0</v>
      </c>
      <c r="AJ439" s="25">
        <v>0</v>
      </c>
      <c r="AK439" s="25">
        <v>0</v>
      </c>
      <c r="AL439" s="25">
        <v>0</v>
      </c>
      <c r="AM439" s="25">
        <v>0</v>
      </c>
    </row>
    <row r="440" spans="1:39" ht="15" customHeight="1">
      <c r="A440" s="32" t="str">
        <f t="shared" si="17"/>
        <v>Essential (Original)--Queanbeyan TG to Googong Town ZS Refurbish Line 975 - REFURBISHMENT</v>
      </c>
      <c r="B440" s="32" t="str">
        <f t="shared" si="18"/>
        <v>Essential (Original)</v>
      </c>
      <c r="C440" s="32" t="s">
        <v>720</v>
      </c>
      <c r="D440" s="384"/>
      <c r="F440" t="s">
        <v>367</v>
      </c>
      <c r="G440" s="21">
        <v>0</v>
      </c>
      <c r="H440" s="21">
        <v>0</v>
      </c>
      <c r="I440" s="21">
        <v>0</v>
      </c>
      <c r="J440" s="21">
        <v>0</v>
      </c>
      <c r="K440" s="21">
        <v>0</v>
      </c>
      <c r="L440" s="21">
        <v>0</v>
      </c>
      <c r="M440" s="21">
        <v>0</v>
      </c>
      <c r="N440" s="21">
        <v>0</v>
      </c>
      <c r="O440" s="21">
        <v>0</v>
      </c>
      <c r="P440" s="21">
        <v>0</v>
      </c>
      <c r="Q440" s="21">
        <v>930.54300000000001</v>
      </c>
      <c r="R440" s="23">
        <v>0</v>
      </c>
      <c r="S440" s="23">
        <v>0</v>
      </c>
      <c r="T440" s="23">
        <v>0</v>
      </c>
      <c r="U440" s="23">
        <v>0</v>
      </c>
      <c r="V440" s="23">
        <v>0</v>
      </c>
      <c r="W440" s="23">
        <v>0</v>
      </c>
      <c r="X440" s="23">
        <v>0</v>
      </c>
      <c r="Y440" s="23">
        <v>0</v>
      </c>
      <c r="Z440" s="23">
        <v>0</v>
      </c>
      <c r="AA440" s="23">
        <v>0</v>
      </c>
      <c r="AB440" s="23">
        <v>1</v>
      </c>
      <c r="AC440" s="25">
        <v>0</v>
      </c>
      <c r="AD440" s="25">
        <v>0</v>
      </c>
      <c r="AE440" s="25">
        <v>0</v>
      </c>
      <c r="AF440" s="25">
        <v>0</v>
      </c>
      <c r="AG440" s="25">
        <v>0</v>
      </c>
      <c r="AH440" s="25">
        <v>0</v>
      </c>
      <c r="AI440" s="25">
        <v>0</v>
      </c>
      <c r="AJ440" s="25">
        <v>0</v>
      </c>
      <c r="AK440" s="25">
        <v>0</v>
      </c>
      <c r="AL440" s="25">
        <v>0</v>
      </c>
      <c r="AM440" s="25">
        <v>0</v>
      </c>
    </row>
    <row r="441" spans="1:39" ht="15" customHeight="1">
      <c r="A441" s="32" t="str">
        <f t="shared" si="17"/>
        <v>Essential (Original)--Pole top refurbishment of Taree to Forster 66kV feeders - REFURBISHMENT</v>
      </c>
      <c r="B441" s="32" t="str">
        <f t="shared" si="18"/>
        <v>Essential (Original)</v>
      </c>
      <c r="C441" s="32" t="s">
        <v>720</v>
      </c>
      <c r="D441" s="384"/>
      <c r="F441" t="s">
        <v>368</v>
      </c>
      <c r="G441" s="21">
        <v>0</v>
      </c>
      <c r="H441" s="21">
        <v>0</v>
      </c>
      <c r="I441" s="21">
        <v>0</v>
      </c>
      <c r="J441" s="21">
        <v>0</v>
      </c>
      <c r="K441" s="21">
        <v>0</v>
      </c>
      <c r="L441" s="21">
        <v>0</v>
      </c>
      <c r="M441" s="21">
        <v>0</v>
      </c>
      <c r="N441" s="21">
        <v>0</v>
      </c>
      <c r="O441" s="21">
        <v>2067.7866498506396</v>
      </c>
      <c r="P441" s="21">
        <v>0</v>
      </c>
      <c r="Q441" s="21">
        <v>0</v>
      </c>
      <c r="R441" s="23">
        <v>0</v>
      </c>
      <c r="S441" s="23">
        <v>0</v>
      </c>
      <c r="T441" s="23">
        <v>0</v>
      </c>
      <c r="U441" s="23">
        <v>0</v>
      </c>
      <c r="V441" s="23">
        <v>0</v>
      </c>
      <c r="W441" s="23">
        <v>0</v>
      </c>
      <c r="X441" s="23">
        <v>0</v>
      </c>
      <c r="Y441" s="23">
        <v>0</v>
      </c>
      <c r="Z441" s="23">
        <v>1</v>
      </c>
      <c r="AA441" s="23">
        <v>0</v>
      </c>
      <c r="AB441" s="23">
        <v>0</v>
      </c>
      <c r="AC441" s="25">
        <v>0</v>
      </c>
      <c r="AD441" s="25">
        <v>0</v>
      </c>
      <c r="AE441" s="25">
        <v>0</v>
      </c>
      <c r="AF441" s="25">
        <v>0</v>
      </c>
      <c r="AG441" s="25">
        <v>0</v>
      </c>
      <c r="AH441" s="25">
        <v>0</v>
      </c>
      <c r="AI441" s="25">
        <v>0</v>
      </c>
      <c r="AJ441" s="25">
        <v>0</v>
      </c>
      <c r="AK441" s="25">
        <v>0</v>
      </c>
      <c r="AL441" s="25">
        <v>0</v>
      </c>
      <c r="AM441" s="25">
        <v>0</v>
      </c>
    </row>
    <row r="442" spans="1:39" ht="15" customHeight="1">
      <c r="A442" s="32" t="str">
        <f t="shared" si="17"/>
        <v>Essential (Original)--Pole top refurbishment of Dubbo to Nyngan 132kV feeder 943/1, 943/2 and 9GU - REFURBISHMENT</v>
      </c>
      <c r="B442" s="32" t="str">
        <f t="shared" si="18"/>
        <v>Essential (Original)</v>
      </c>
      <c r="C442" s="32" t="s">
        <v>720</v>
      </c>
      <c r="D442" s="384"/>
      <c r="F442" t="s">
        <v>369</v>
      </c>
      <c r="G442" s="21">
        <v>0</v>
      </c>
      <c r="H442" s="21">
        <v>0</v>
      </c>
      <c r="I442" s="21">
        <v>0</v>
      </c>
      <c r="J442" s="21">
        <v>0</v>
      </c>
      <c r="K442" s="21">
        <v>0</v>
      </c>
      <c r="L442" s="21">
        <v>0</v>
      </c>
      <c r="M442" s="21">
        <v>4135.5732997012792</v>
      </c>
      <c r="N442" s="21">
        <v>0</v>
      </c>
      <c r="O442" s="21">
        <v>0</v>
      </c>
      <c r="P442" s="21">
        <v>0</v>
      </c>
      <c r="Q442" s="21">
        <v>0</v>
      </c>
      <c r="R442" s="23">
        <v>0</v>
      </c>
      <c r="S442" s="23">
        <v>0</v>
      </c>
      <c r="T442" s="23">
        <v>0</v>
      </c>
      <c r="U442" s="23">
        <v>0</v>
      </c>
      <c r="V442" s="23">
        <v>0</v>
      </c>
      <c r="W442" s="23">
        <v>0</v>
      </c>
      <c r="X442" s="23">
        <v>1</v>
      </c>
      <c r="Y442" s="23">
        <v>0</v>
      </c>
      <c r="Z442" s="23">
        <v>0</v>
      </c>
      <c r="AA442" s="23">
        <v>0</v>
      </c>
      <c r="AB442" s="23">
        <v>0</v>
      </c>
      <c r="AC442" s="25">
        <v>0</v>
      </c>
      <c r="AD442" s="25">
        <v>0</v>
      </c>
      <c r="AE442" s="25">
        <v>0</v>
      </c>
      <c r="AF442" s="25">
        <v>0</v>
      </c>
      <c r="AG442" s="25">
        <v>0</v>
      </c>
      <c r="AH442" s="25">
        <v>0</v>
      </c>
      <c r="AI442" s="25">
        <v>0</v>
      </c>
      <c r="AJ442" s="25">
        <v>0</v>
      </c>
      <c r="AK442" s="25">
        <v>0</v>
      </c>
      <c r="AL442" s="25">
        <v>0</v>
      </c>
      <c r="AM442" s="25">
        <v>0</v>
      </c>
    </row>
    <row r="443" spans="1:39" ht="15" customHeight="1">
      <c r="A443" s="32" t="str">
        <f t="shared" si="17"/>
        <v>Essential (Original)--Gunnedah to Narrabri Tee via Boggabri - refurbish 66kV feeders - REFURBISHMENT</v>
      </c>
      <c r="B443" s="32" t="str">
        <f t="shared" si="18"/>
        <v>Essential (Original)</v>
      </c>
      <c r="C443" s="32" t="s">
        <v>720</v>
      </c>
      <c r="D443" s="384"/>
      <c r="F443" t="s">
        <v>370</v>
      </c>
      <c r="G443" s="21">
        <v>0</v>
      </c>
      <c r="H443" s="21">
        <v>0</v>
      </c>
      <c r="I443" s="21">
        <v>0</v>
      </c>
      <c r="J443" s="21">
        <v>0</v>
      </c>
      <c r="K443" s="21">
        <v>0</v>
      </c>
      <c r="L443" s="21">
        <v>0</v>
      </c>
      <c r="M443" s="21">
        <v>2067.7800000000002</v>
      </c>
      <c r="N443" s="21">
        <v>0</v>
      </c>
      <c r="O443" s="21">
        <v>0</v>
      </c>
      <c r="P443" s="21">
        <v>0</v>
      </c>
      <c r="Q443" s="21">
        <v>0</v>
      </c>
      <c r="R443" s="23">
        <v>0</v>
      </c>
      <c r="S443" s="23">
        <v>0</v>
      </c>
      <c r="T443" s="23">
        <v>0</v>
      </c>
      <c r="U443" s="23">
        <v>0</v>
      </c>
      <c r="V443" s="23">
        <v>0</v>
      </c>
      <c r="W443" s="23">
        <v>0</v>
      </c>
      <c r="X443" s="23">
        <v>1</v>
      </c>
      <c r="Y443" s="23">
        <v>0</v>
      </c>
      <c r="Z443" s="23">
        <v>0</v>
      </c>
      <c r="AA443" s="23">
        <v>0</v>
      </c>
      <c r="AB443" s="23">
        <v>0</v>
      </c>
      <c r="AC443" s="25">
        <v>0</v>
      </c>
      <c r="AD443" s="25">
        <v>0</v>
      </c>
      <c r="AE443" s="25">
        <v>0</v>
      </c>
      <c r="AF443" s="25">
        <v>0</v>
      </c>
      <c r="AG443" s="25">
        <v>0</v>
      </c>
      <c r="AH443" s="25">
        <v>0</v>
      </c>
      <c r="AI443" s="25">
        <v>0</v>
      </c>
      <c r="AJ443" s="25">
        <v>0</v>
      </c>
      <c r="AK443" s="25">
        <v>0</v>
      </c>
      <c r="AL443" s="25">
        <v>0</v>
      </c>
      <c r="AM443" s="25">
        <v>0</v>
      </c>
    </row>
    <row r="444" spans="1:39" ht="15" customHeight="1">
      <c r="A444" s="32" t="str">
        <f t="shared" si="17"/>
        <v>Essential (Original)--Taree - TransGrid 132/66/33kV substation - relocate 33kV feeders - REFURBISHMENT</v>
      </c>
      <c r="B444" s="32" t="str">
        <f t="shared" si="18"/>
        <v>Essential (Original)</v>
      </c>
      <c r="C444" s="32" t="s">
        <v>720</v>
      </c>
      <c r="D444" s="384"/>
      <c r="F444" t="s">
        <v>371</v>
      </c>
      <c r="G444" s="21">
        <v>0</v>
      </c>
      <c r="H444" s="21">
        <v>0</v>
      </c>
      <c r="I444" s="21">
        <v>0</v>
      </c>
      <c r="J444" s="21">
        <v>0</v>
      </c>
      <c r="K444" s="21">
        <v>0</v>
      </c>
      <c r="L444" s="21">
        <v>0</v>
      </c>
      <c r="M444" s="21">
        <v>0</v>
      </c>
      <c r="N444" s="21">
        <v>0</v>
      </c>
      <c r="O444" s="21">
        <v>1550.875</v>
      </c>
      <c r="P444" s="21">
        <v>0</v>
      </c>
      <c r="Q444" s="21">
        <v>0</v>
      </c>
      <c r="R444" s="23">
        <v>0</v>
      </c>
      <c r="S444" s="23">
        <v>0</v>
      </c>
      <c r="T444" s="23">
        <v>0</v>
      </c>
      <c r="U444" s="23">
        <v>0</v>
      </c>
      <c r="V444" s="23">
        <v>0</v>
      </c>
      <c r="W444" s="23">
        <v>0</v>
      </c>
      <c r="X444" s="23">
        <v>0</v>
      </c>
      <c r="Y444" s="23">
        <v>0</v>
      </c>
      <c r="Z444" s="23">
        <v>1</v>
      </c>
      <c r="AA444" s="23">
        <v>0</v>
      </c>
      <c r="AB444" s="23">
        <v>0</v>
      </c>
      <c r="AC444" s="25">
        <v>0</v>
      </c>
      <c r="AD444" s="25">
        <v>0</v>
      </c>
      <c r="AE444" s="25">
        <v>0</v>
      </c>
      <c r="AF444" s="25">
        <v>0</v>
      </c>
      <c r="AG444" s="25">
        <v>0</v>
      </c>
      <c r="AH444" s="25">
        <v>0</v>
      </c>
      <c r="AI444" s="25">
        <v>0</v>
      </c>
      <c r="AJ444" s="25">
        <v>0</v>
      </c>
      <c r="AK444" s="25">
        <v>0</v>
      </c>
      <c r="AL444" s="25">
        <v>0</v>
      </c>
      <c r="AM444" s="25">
        <v>0</v>
      </c>
    </row>
    <row r="445" spans="1:39" ht="15" customHeight="1">
      <c r="A445" s="32" t="str">
        <f t="shared" si="17"/>
        <v>Essential (Original)--Customer Metering and Load Control</v>
      </c>
      <c r="B445" s="32" t="str">
        <f t="shared" si="18"/>
        <v>Essential (Original)</v>
      </c>
      <c r="C445" s="32" t="s">
        <v>720</v>
      </c>
      <c r="D445" s="384"/>
      <c r="F445" t="s">
        <v>372</v>
      </c>
      <c r="G445" s="21">
        <v>2374.8579152961538</v>
      </c>
      <c r="H445" s="21">
        <v>7450.157236019636</v>
      </c>
      <c r="I445" s="21">
        <v>3560.4872120835694</v>
      </c>
      <c r="J445" s="21">
        <v>2307.2823046706735</v>
      </c>
      <c r="K445" s="21">
        <v>5590.6205825889037</v>
      </c>
      <c r="L445" s="21">
        <v>2265.1776486323752</v>
      </c>
      <c r="M445" s="21">
        <v>837.67761982591753</v>
      </c>
      <c r="N445" s="21">
        <v>978.84618926184112</v>
      </c>
      <c r="O445" s="21">
        <v>-1779.0801572652324</v>
      </c>
      <c r="P445" s="21">
        <v>761.53409906364095</v>
      </c>
      <c r="Q445" s="21">
        <v>858.86789758505574</v>
      </c>
      <c r="R445" s="23">
        <v>0</v>
      </c>
      <c r="S445" s="23">
        <v>0</v>
      </c>
      <c r="T445" s="23">
        <v>0</v>
      </c>
      <c r="U445" s="23">
        <v>0</v>
      </c>
      <c r="V445" s="23">
        <v>0</v>
      </c>
      <c r="W445" s="23">
        <v>0</v>
      </c>
      <c r="X445" s="23">
        <v>0</v>
      </c>
      <c r="Y445" s="23">
        <v>0</v>
      </c>
      <c r="Z445" s="23">
        <v>0</v>
      </c>
      <c r="AA445" s="23">
        <v>0</v>
      </c>
      <c r="AB445" s="23">
        <v>0</v>
      </c>
      <c r="AC445" s="25">
        <v>0</v>
      </c>
      <c r="AD445" s="25">
        <v>0</v>
      </c>
      <c r="AE445" s="25">
        <v>0</v>
      </c>
      <c r="AF445" s="25">
        <v>0</v>
      </c>
      <c r="AG445" s="25">
        <v>0</v>
      </c>
      <c r="AH445" s="25">
        <v>0</v>
      </c>
      <c r="AI445" s="25">
        <v>0</v>
      </c>
      <c r="AJ445" s="25">
        <v>0</v>
      </c>
      <c r="AK445" s="25">
        <v>0</v>
      </c>
      <c r="AL445" s="25">
        <v>0</v>
      </c>
      <c r="AM445" s="25">
        <v>0</v>
      </c>
    </row>
    <row r="446" spans="1:39" ht="15" customHeight="1">
      <c r="A446" s="32" t="str">
        <f t="shared" si="17"/>
        <v>Essential (Original)--Easements</v>
      </c>
      <c r="B446" s="32" t="str">
        <f t="shared" si="18"/>
        <v>Essential (Original)</v>
      </c>
      <c r="C446" s="32" t="s">
        <v>720</v>
      </c>
      <c r="D446" s="384"/>
      <c r="F446" t="s">
        <v>373</v>
      </c>
      <c r="G446" s="21">
        <v>4.2049791925536582</v>
      </c>
      <c r="H446" s="21">
        <v>0.83647008023216607</v>
      </c>
      <c r="I446" s="21">
        <v>145.91913392808243</v>
      </c>
      <c r="J446" s="21">
        <v>27.110231945931059</v>
      </c>
      <c r="K446" s="21">
        <v>-1.5184924405009832E-2</v>
      </c>
      <c r="L446" s="21">
        <v>10.499841181356679</v>
      </c>
      <c r="M446" s="21">
        <v>0</v>
      </c>
      <c r="N446" s="21">
        <v>0</v>
      </c>
      <c r="O446" s="21">
        <v>0</v>
      </c>
      <c r="P446" s="21">
        <v>0</v>
      </c>
      <c r="Q446" s="21">
        <v>0</v>
      </c>
      <c r="R446" s="23">
        <v>0</v>
      </c>
      <c r="S446" s="23">
        <v>0</v>
      </c>
      <c r="T446" s="23">
        <v>0</v>
      </c>
      <c r="U446" s="23">
        <v>0</v>
      </c>
      <c r="V446" s="23">
        <v>0</v>
      </c>
      <c r="W446" s="23">
        <v>0</v>
      </c>
      <c r="X446" s="23">
        <v>0</v>
      </c>
      <c r="Y446" s="23">
        <v>0</v>
      </c>
      <c r="Z446" s="23">
        <v>0</v>
      </c>
      <c r="AA446" s="23">
        <v>0</v>
      </c>
      <c r="AB446" s="23">
        <v>0</v>
      </c>
      <c r="AC446" s="25">
        <v>0</v>
      </c>
      <c r="AD446" s="25">
        <v>0</v>
      </c>
      <c r="AE446" s="25">
        <v>0</v>
      </c>
      <c r="AF446" s="25">
        <v>0</v>
      </c>
      <c r="AG446" s="25">
        <v>0</v>
      </c>
      <c r="AH446" s="25">
        <v>0</v>
      </c>
      <c r="AI446" s="25">
        <v>0</v>
      </c>
      <c r="AJ446" s="25">
        <v>0</v>
      </c>
      <c r="AK446" s="25">
        <v>0</v>
      </c>
      <c r="AL446" s="25">
        <v>0</v>
      </c>
      <c r="AM446" s="25">
        <v>0</v>
      </c>
    </row>
    <row r="447" spans="1:39" ht="15" customHeight="1">
      <c r="A447" s="32" t="str">
        <f t="shared" si="17"/>
        <v>Essential (Original)--Land (System)</v>
      </c>
      <c r="B447" s="32" t="str">
        <f t="shared" si="18"/>
        <v>Essential (Original)</v>
      </c>
      <c r="C447" s="32" t="s">
        <v>720</v>
      </c>
      <c r="D447" s="384"/>
      <c r="F447" t="s">
        <v>374</v>
      </c>
      <c r="G447" s="21">
        <v>227.59136178117978</v>
      </c>
      <c r="H447" s="21">
        <v>11.348267898160747</v>
      </c>
      <c r="I447" s="21">
        <v>3.4165778343615014</v>
      </c>
      <c r="J447" s="21">
        <v>203.92593116928376</v>
      </c>
      <c r="K447" s="21">
        <v>18.455412774229565</v>
      </c>
      <c r="L447" s="21">
        <v>23.483549968695328</v>
      </c>
      <c r="M447" s="21">
        <v>0</v>
      </c>
      <c r="N447" s="21">
        <v>0</v>
      </c>
      <c r="O447" s="21">
        <v>0</v>
      </c>
      <c r="P447" s="21">
        <v>0</v>
      </c>
      <c r="Q447" s="21">
        <v>0</v>
      </c>
      <c r="R447" s="23">
        <v>0</v>
      </c>
      <c r="S447" s="23">
        <v>0</v>
      </c>
      <c r="T447" s="23">
        <v>0</v>
      </c>
      <c r="U447" s="23">
        <v>0</v>
      </c>
      <c r="V447" s="23">
        <v>0</v>
      </c>
      <c r="W447" s="23">
        <v>0</v>
      </c>
      <c r="X447" s="23">
        <v>0</v>
      </c>
      <c r="Y447" s="23">
        <v>0</v>
      </c>
      <c r="Z447" s="23">
        <v>0</v>
      </c>
      <c r="AA447" s="23">
        <v>0</v>
      </c>
      <c r="AB447" s="23">
        <v>0</v>
      </c>
      <c r="AC447" s="25">
        <v>0</v>
      </c>
      <c r="AD447" s="25">
        <v>0</v>
      </c>
      <c r="AE447" s="25">
        <v>0</v>
      </c>
      <c r="AF447" s="25">
        <v>0</v>
      </c>
      <c r="AG447" s="25">
        <v>0</v>
      </c>
      <c r="AH447" s="25">
        <v>0</v>
      </c>
      <c r="AI447" s="25">
        <v>0</v>
      </c>
      <c r="AJ447" s="25">
        <v>0</v>
      </c>
      <c r="AK447" s="25">
        <v>0</v>
      </c>
      <c r="AL447" s="25">
        <v>0</v>
      </c>
      <c r="AM447" s="25">
        <v>0</v>
      </c>
    </row>
    <row r="448" spans="1:39" ht="15" customHeight="1">
      <c r="A448" s="32" t="str">
        <f t="shared" si="17"/>
        <v>Essential (Original)--S&amp;W Accrual and Other Adjustments</v>
      </c>
      <c r="B448" s="32" t="str">
        <f t="shared" si="18"/>
        <v>Essential (Original)</v>
      </c>
      <c r="C448" s="32" t="s">
        <v>720</v>
      </c>
      <c r="D448" s="384"/>
      <c r="F448" t="s">
        <v>375</v>
      </c>
      <c r="G448" s="21">
        <v>0</v>
      </c>
      <c r="H448" s="21">
        <v>0</v>
      </c>
      <c r="I448" s="21">
        <v>216.81094832653028</v>
      </c>
      <c r="J448" s="21">
        <v>210.08424787936829</v>
      </c>
      <c r="K448" s="21">
        <v>58.473749024570893</v>
      </c>
      <c r="L448" s="21">
        <v>69.084908012612459</v>
      </c>
      <c r="M448" s="21">
        <v>924.72650310326549</v>
      </c>
      <c r="N448" s="21">
        <v>214.73803440357062</v>
      </c>
      <c r="O448" s="21">
        <v>108.96398450021378</v>
      </c>
      <c r="P448" s="21">
        <v>0</v>
      </c>
      <c r="Q448" s="21">
        <v>111.85887524578456</v>
      </c>
      <c r="R448" s="23">
        <v>0</v>
      </c>
      <c r="S448" s="23">
        <v>0</v>
      </c>
      <c r="T448" s="23">
        <v>0</v>
      </c>
      <c r="U448" s="23">
        <v>0</v>
      </c>
      <c r="V448" s="23">
        <v>0</v>
      </c>
      <c r="W448" s="23">
        <v>0</v>
      </c>
      <c r="X448" s="23">
        <v>0</v>
      </c>
      <c r="Y448" s="23">
        <v>0</v>
      </c>
      <c r="Z448" s="23">
        <v>0</v>
      </c>
      <c r="AA448" s="23">
        <v>0</v>
      </c>
      <c r="AB448" s="23">
        <v>0</v>
      </c>
      <c r="AC448" s="25">
        <v>0</v>
      </c>
      <c r="AD448" s="25">
        <v>0</v>
      </c>
      <c r="AE448" s="25">
        <v>0</v>
      </c>
      <c r="AF448" s="25">
        <v>0</v>
      </c>
      <c r="AG448" s="25">
        <v>0</v>
      </c>
      <c r="AH448" s="25">
        <v>0</v>
      </c>
      <c r="AI448" s="25">
        <v>0</v>
      </c>
      <c r="AJ448" s="25">
        <v>0</v>
      </c>
      <c r="AK448" s="25">
        <v>0</v>
      </c>
      <c r="AL448" s="25">
        <v>0</v>
      </c>
      <c r="AM448" s="25">
        <v>0</v>
      </c>
    </row>
    <row r="449" spans="1:39" ht="15" customHeight="1">
      <c r="A449" s="32" t="str">
        <f t="shared" si="17"/>
        <v>Essential (Original)--Dist Lines &amp; Cables, Sub Trans Lines,LV Lines (bal. items) - REFURBISHMENT</v>
      </c>
      <c r="B449" s="32" t="str">
        <f t="shared" si="18"/>
        <v>Essential (Original)</v>
      </c>
      <c r="C449" s="32" t="s">
        <v>720</v>
      </c>
      <c r="D449" s="384"/>
      <c r="F449" t="s">
        <v>376</v>
      </c>
      <c r="G449" s="21">
        <v>0</v>
      </c>
      <c r="H449" s="21">
        <v>0</v>
      </c>
      <c r="I449" s="21">
        <v>0</v>
      </c>
      <c r="J449" s="21">
        <v>0</v>
      </c>
      <c r="K449" s="21">
        <v>0</v>
      </c>
      <c r="L449" s="21">
        <v>0</v>
      </c>
      <c r="M449" s="21">
        <v>2437.2978234221341</v>
      </c>
      <c r="N449" s="21">
        <v>4670.0667821405978</v>
      </c>
      <c r="O449" s="21">
        <v>8484.001690954432</v>
      </c>
      <c r="P449" s="21">
        <v>8915.848516566828</v>
      </c>
      <c r="Q449" s="21">
        <v>12401.897525827198</v>
      </c>
      <c r="R449" s="23">
        <v>0</v>
      </c>
      <c r="S449" s="23">
        <v>0</v>
      </c>
      <c r="T449" s="23">
        <v>0</v>
      </c>
      <c r="U449" s="23">
        <v>0</v>
      </c>
      <c r="V449" s="23">
        <v>0</v>
      </c>
      <c r="W449" s="23">
        <v>0</v>
      </c>
      <c r="X449" s="23">
        <v>0</v>
      </c>
      <c r="Y449" s="23">
        <v>0</v>
      </c>
      <c r="Z449" s="23">
        <v>0</v>
      </c>
      <c r="AA449" s="23">
        <v>0</v>
      </c>
      <c r="AB449" s="23">
        <v>0</v>
      </c>
      <c r="AC449" s="25">
        <v>0</v>
      </c>
      <c r="AD449" s="25">
        <v>0</v>
      </c>
      <c r="AE449" s="25">
        <v>0</v>
      </c>
      <c r="AF449" s="25">
        <v>0</v>
      </c>
      <c r="AG449" s="25">
        <v>0</v>
      </c>
      <c r="AH449" s="25">
        <v>0</v>
      </c>
      <c r="AI449" s="25">
        <v>0</v>
      </c>
      <c r="AJ449" s="25">
        <v>0</v>
      </c>
      <c r="AK449" s="25">
        <v>0</v>
      </c>
      <c r="AL449" s="25">
        <v>0</v>
      </c>
      <c r="AM449" s="25">
        <v>0</v>
      </c>
    </row>
    <row r="450" spans="1:39" ht="15" customHeight="1">
      <c r="A450" s="32" t="str">
        <f t="shared" si="17"/>
        <v>Essential (Original)--Subtransmission Lines (balancing Items) - - REFURBISHMENT</v>
      </c>
      <c r="B450" s="32" t="str">
        <f t="shared" si="18"/>
        <v>Essential (Original)</v>
      </c>
      <c r="C450" s="32" t="s">
        <v>720</v>
      </c>
      <c r="D450" s="384"/>
      <c r="F450" t="s">
        <v>377</v>
      </c>
      <c r="G450" s="21">
        <v>0</v>
      </c>
      <c r="H450" s="21">
        <v>0</v>
      </c>
      <c r="I450" s="21">
        <v>0</v>
      </c>
      <c r="J450" s="21">
        <v>0</v>
      </c>
      <c r="K450" s="21">
        <v>0</v>
      </c>
      <c r="L450" s="21">
        <v>0</v>
      </c>
      <c r="M450" s="21">
        <v>7203.015175685272</v>
      </c>
      <c r="N450" s="21">
        <v>7558.6433741408346</v>
      </c>
      <c r="O450" s="21">
        <v>7364.4594554561527</v>
      </c>
      <c r="P450" s="21">
        <v>13176.195803419241</v>
      </c>
      <c r="Q450" s="21">
        <v>10467.82677924243</v>
      </c>
      <c r="R450" s="23">
        <v>0</v>
      </c>
      <c r="S450" s="23">
        <v>0</v>
      </c>
      <c r="T450" s="23">
        <v>0</v>
      </c>
      <c r="U450" s="23">
        <v>0</v>
      </c>
      <c r="V450" s="23">
        <v>0</v>
      </c>
      <c r="W450" s="23">
        <v>0</v>
      </c>
      <c r="X450" s="23">
        <v>0</v>
      </c>
      <c r="Y450" s="23">
        <v>0</v>
      </c>
      <c r="Z450" s="23">
        <v>0</v>
      </c>
      <c r="AA450" s="23">
        <v>0</v>
      </c>
      <c r="AB450" s="23">
        <v>0</v>
      </c>
      <c r="AC450" s="25">
        <v>0</v>
      </c>
      <c r="AD450" s="25">
        <v>0</v>
      </c>
      <c r="AE450" s="25">
        <v>0</v>
      </c>
      <c r="AF450" s="25">
        <v>0</v>
      </c>
      <c r="AG450" s="25">
        <v>0</v>
      </c>
      <c r="AH450" s="25">
        <v>0</v>
      </c>
      <c r="AI450" s="25">
        <v>0</v>
      </c>
      <c r="AJ450" s="25">
        <v>0</v>
      </c>
      <c r="AK450" s="25">
        <v>0</v>
      </c>
      <c r="AL450" s="25">
        <v>0</v>
      </c>
      <c r="AM450" s="25">
        <v>0</v>
      </c>
    </row>
    <row r="451" spans="1:39" ht="60" customHeight="1">
      <c r="A451" s="32" t="str">
        <f t="shared" si="17"/>
        <v>Endeavour-POLES BY: 
HIGHEST OPERATING VOLTAGE ; MATERIAL TYPE;  STAKING (IF WOOD)-STAKING OF A WOODEN POLE</v>
      </c>
      <c r="B451" s="32" t="str">
        <f t="shared" si="18"/>
        <v>Endeavour</v>
      </c>
      <c r="C451" s="32" t="s">
        <v>1138</v>
      </c>
      <c r="D451" s="394" t="s">
        <v>575</v>
      </c>
      <c r="E451" s="3" t="s">
        <v>311</v>
      </c>
      <c r="F451" t="s">
        <v>117</v>
      </c>
      <c r="G451" s="21">
        <v>0</v>
      </c>
      <c r="H451" s="21">
        <v>0</v>
      </c>
      <c r="I451" s="21">
        <v>0</v>
      </c>
      <c r="J451" s="21">
        <v>0</v>
      </c>
      <c r="K451" s="21">
        <v>0</v>
      </c>
      <c r="L451" s="21">
        <v>0</v>
      </c>
      <c r="M451" s="21">
        <v>0</v>
      </c>
      <c r="N451" s="21">
        <v>0</v>
      </c>
      <c r="O451" s="21">
        <v>0</v>
      </c>
      <c r="P451" s="21">
        <v>0</v>
      </c>
      <c r="Q451" s="21">
        <v>0</v>
      </c>
      <c r="R451" s="23">
        <v>0</v>
      </c>
      <c r="S451" s="23">
        <v>0</v>
      </c>
      <c r="T451" s="23">
        <v>0</v>
      </c>
      <c r="U451" s="23">
        <v>0</v>
      </c>
      <c r="V451" s="23">
        <v>0</v>
      </c>
      <c r="W451" s="23">
        <v>0</v>
      </c>
      <c r="X451" s="23">
        <v>0</v>
      </c>
      <c r="Y451" s="23">
        <v>0</v>
      </c>
      <c r="Z451" s="23">
        <v>0</v>
      </c>
      <c r="AA451" s="23">
        <v>0</v>
      </c>
      <c r="AB451" s="23">
        <v>0</v>
      </c>
      <c r="AC451" s="25">
        <v>0</v>
      </c>
      <c r="AD451" s="25">
        <v>0</v>
      </c>
      <c r="AE451" s="25">
        <v>0</v>
      </c>
      <c r="AF451" s="25">
        <v>0</v>
      </c>
      <c r="AG451" s="25">
        <v>0</v>
      </c>
      <c r="AH451" s="25">
        <v>0</v>
      </c>
      <c r="AI451" s="25">
        <v>0</v>
      </c>
      <c r="AJ451" s="25">
        <v>0</v>
      </c>
      <c r="AK451" s="25">
        <v>0</v>
      </c>
      <c r="AL451" s="25">
        <v>0</v>
      </c>
      <c r="AM451" s="25">
        <v>0</v>
      </c>
    </row>
    <row r="452" spans="1:39" ht="15" customHeight="1">
      <c r="A452" s="32" t="str">
        <f t="shared" si="17"/>
        <v>Endeavour--˂ = 1 kV; WOOD</v>
      </c>
      <c r="B452" s="32" t="str">
        <f t="shared" si="18"/>
        <v>Endeavour</v>
      </c>
      <c r="C452" s="32" t="s">
        <v>1</v>
      </c>
      <c r="D452" s="395"/>
      <c r="F452" t="s">
        <v>119</v>
      </c>
      <c r="G452" s="21">
        <v>1158.7470000000001</v>
      </c>
      <c r="H452" s="21">
        <v>1248.02</v>
      </c>
      <c r="I452" s="21">
        <v>954.68</v>
      </c>
      <c r="J452" s="21">
        <v>1919.664</v>
      </c>
      <c r="K452" s="21">
        <v>2146.5920000000001</v>
      </c>
      <c r="L452" s="21">
        <v>1457.529</v>
      </c>
      <c r="M452" s="21">
        <v>1760.998</v>
      </c>
      <c r="N452" s="21">
        <v>1750.22</v>
      </c>
      <c r="O452" s="21">
        <v>1789.018</v>
      </c>
      <c r="P452" s="21">
        <v>1869.847</v>
      </c>
      <c r="Q452" s="21">
        <v>1896.79</v>
      </c>
      <c r="R452" s="23">
        <v>176</v>
      </c>
      <c r="S452" s="23">
        <v>184</v>
      </c>
      <c r="T452" s="23">
        <v>177</v>
      </c>
      <c r="U452" s="23">
        <v>225</v>
      </c>
      <c r="V452" s="23">
        <v>297</v>
      </c>
      <c r="W452" s="23">
        <v>208</v>
      </c>
      <c r="X452" s="23">
        <v>251</v>
      </c>
      <c r="Y452" s="23">
        <v>250</v>
      </c>
      <c r="Z452" s="23">
        <v>255</v>
      </c>
      <c r="AA452" s="23">
        <v>267</v>
      </c>
      <c r="AB452" s="23">
        <v>270</v>
      </c>
      <c r="AC452" s="25">
        <v>0</v>
      </c>
      <c r="AD452" s="25">
        <v>0</v>
      </c>
      <c r="AE452" s="25">
        <v>0</v>
      </c>
      <c r="AF452" s="25">
        <v>0</v>
      </c>
      <c r="AG452" s="25">
        <v>0</v>
      </c>
      <c r="AH452" s="25">
        <v>0</v>
      </c>
      <c r="AI452" s="25">
        <v>0</v>
      </c>
      <c r="AJ452" s="25">
        <v>0</v>
      </c>
      <c r="AK452" s="25">
        <v>0</v>
      </c>
      <c r="AL452" s="25">
        <v>0</v>
      </c>
      <c r="AM452" s="25">
        <v>0</v>
      </c>
    </row>
    <row r="453" spans="1:39" ht="15" customHeight="1">
      <c r="A453" s="32" t="str">
        <f t="shared" si="17"/>
        <v>Endeavour--&gt; 1 kV &amp; &lt; = 11 kV; WOOD</v>
      </c>
      <c r="B453" s="32" t="str">
        <f t="shared" si="18"/>
        <v>Endeavour</v>
      </c>
      <c r="C453" s="32" t="s">
        <v>1</v>
      </c>
      <c r="D453" s="395"/>
      <c r="F453" t="s">
        <v>121</v>
      </c>
      <c r="G453" s="21">
        <v>3170.163</v>
      </c>
      <c r="H453" s="21">
        <v>3978.3519999999999</v>
      </c>
      <c r="I453" s="21">
        <v>3803.6979999999999</v>
      </c>
      <c r="J453" s="21">
        <v>6226.2629999999999</v>
      </c>
      <c r="K453" s="21">
        <v>6240.6189999999997</v>
      </c>
      <c r="L453" s="21">
        <v>4595.4989999999998</v>
      </c>
      <c r="M453" s="21">
        <v>5552.3180000000002</v>
      </c>
      <c r="N453" s="21">
        <v>5518.3379999999997</v>
      </c>
      <c r="O453" s="21">
        <v>5640.6660000000002</v>
      </c>
      <c r="P453" s="21">
        <v>5895.5150000000003</v>
      </c>
      <c r="Q453" s="21">
        <v>5980.4650000000001</v>
      </c>
      <c r="R453" s="23">
        <v>353</v>
      </c>
      <c r="S453" s="23">
        <v>430</v>
      </c>
      <c r="T453" s="23">
        <v>517</v>
      </c>
      <c r="U453" s="23">
        <v>535</v>
      </c>
      <c r="V453" s="23">
        <v>633</v>
      </c>
      <c r="W453" s="23">
        <v>484</v>
      </c>
      <c r="X453" s="23">
        <v>585</v>
      </c>
      <c r="Y453" s="23">
        <v>582</v>
      </c>
      <c r="Z453" s="23">
        <v>594</v>
      </c>
      <c r="AA453" s="23">
        <v>621</v>
      </c>
      <c r="AB453" s="23">
        <v>630</v>
      </c>
      <c r="AC453" s="25">
        <v>7</v>
      </c>
      <c r="AD453" s="25">
        <v>4</v>
      </c>
      <c r="AE453" s="25">
        <v>34</v>
      </c>
      <c r="AF453" s="25">
        <v>24</v>
      </c>
      <c r="AG453" s="25">
        <v>3</v>
      </c>
      <c r="AH453" s="25">
        <v>0</v>
      </c>
      <c r="AI453" s="25">
        <v>0</v>
      </c>
      <c r="AJ453" s="25">
        <v>0</v>
      </c>
      <c r="AK453" s="25">
        <v>0</v>
      </c>
      <c r="AL453" s="25">
        <v>0</v>
      </c>
      <c r="AM453" s="25">
        <v>0</v>
      </c>
    </row>
    <row r="454" spans="1:39" ht="15" customHeight="1">
      <c r="A454" s="32" t="str">
        <f t="shared" ref="A454:A517" si="19">B454&amp;"-"&amp;E454&amp;"-"&amp;F454</f>
        <v>Endeavour--˃ 11 kV &amp; &lt; = 22 kV; WOOD</v>
      </c>
      <c r="B454" s="32" t="str">
        <f t="shared" ref="B454:B517" si="20">IF(D454&gt;0,D454,B453)</f>
        <v>Endeavour</v>
      </c>
      <c r="C454" s="32" t="s">
        <v>1</v>
      </c>
      <c r="D454" s="395"/>
      <c r="F454" t="s">
        <v>123</v>
      </c>
      <c r="G454" s="21">
        <v>108.994</v>
      </c>
      <c r="H454" s="21">
        <v>67.372</v>
      </c>
      <c r="I454" s="21">
        <v>44.646000000000001</v>
      </c>
      <c r="J454" s="21">
        <v>42.372999999999998</v>
      </c>
      <c r="K454" s="21">
        <v>95.721000000000004</v>
      </c>
      <c r="L454" s="21">
        <v>70.466999999999999</v>
      </c>
      <c r="M454" s="21">
        <v>85.138999999999996</v>
      </c>
      <c r="N454" s="21">
        <v>84.617999999999995</v>
      </c>
      <c r="O454" s="21">
        <v>86.494</v>
      </c>
      <c r="P454" s="21">
        <v>90.400999999999996</v>
      </c>
      <c r="Q454" s="21">
        <v>91.703999999999994</v>
      </c>
      <c r="R454" s="23">
        <v>10</v>
      </c>
      <c r="S454" s="23">
        <v>6</v>
      </c>
      <c r="T454" s="23">
        <v>5</v>
      </c>
      <c r="U454" s="23">
        <v>3</v>
      </c>
      <c r="V454" s="23">
        <v>8</v>
      </c>
      <c r="W454" s="23">
        <v>6</v>
      </c>
      <c r="X454" s="23">
        <v>8</v>
      </c>
      <c r="Y454" s="23">
        <v>8</v>
      </c>
      <c r="Z454" s="23">
        <v>8</v>
      </c>
      <c r="AA454" s="23">
        <v>8</v>
      </c>
      <c r="AB454" s="23">
        <v>8</v>
      </c>
      <c r="AC454" s="25">
        <v>0</v>
      </c>
      <c r="AD454" s="25">
        <v>0</v>
      </c>
      <c r="AE454" s="25">
        <v>0</v>
      </c>
      <c r="AF454" s="25">
        <v>0</v>
      </c>
      <c r="AG454" s="25">
        <v>0</v>
      </c>
      <c r="AH454" s="25">
        <v>0</v>
      </c>
      <c r="AI454" s="25">
        <v>0</v>
      </c>
      <c r="AJ454" s="25">
        <v>0</v>
      </c>
      <c r="AK454" s="25">
        <v>0</v>
      </c>
      <c r="AL454" s="25">
        <v>0</v>
      </c>
      <c r="AM454" s="25">
        <v>0</v>
      </c>
    </row>
    <row r="455" spans="1:39" ht="15" customHeight="1">
      <c r="A455" s="32" t="str">
        <f t="shared" si="19"/>
        <v>Endeavour--33kV Wood</v>
      </c>
      <c r="B455" s="32" t="str">
        <f t="shared" si="20"/>
        <v>Endeavour</v>
      </c>
      <c r="C455" s="32" t="s">
        <v>1</v>
      </c>
      <c r="D455" s="395"/>
      <c r="F455" t="s">
        <v>578</v>
      </c>
      <c r="G455" s="21">
        <v>1083.7329999999999</v>
      </c>
      <c r="H455" s="21">
        <v>730.005</v>
      </c>
      <c r="I455" s="21">
        <v>1297.6020000000001</v>
      </c>
      <c r="J455" s="21">
        <v>837.23599999999999</v>
      </c>
      <c r="K455" s="21">
        <v>1052.432</v>
      </c>
      <c r="L455" s="21">
        <v>981.34100000000001</v>
      </c>
      <c r="M455" s="21">
        <v>1185.664</v>
      </c>
      <c r="N455" s="21">
        <v>1178.4079999999999</v>
      </c>
      <c r="O455" s="21">
        <v>1204.53</v>
      </c>
      <c r="P455" s="21">
        <v>1258.952</v>
      </c>
      <c r="Q455" s="21">
        <v>1277.0920000000001</v>
      </c>
      <c r="R455" s="23">
        <v>52</v>
      </c>
      <c r="S455" s="23">
        <v>34</v>
      </c>
      <c r="T455" s="23">
        <v>76</v>
      </c>
      <c r="U455" s="23">
        <v>31</v>
      </c>
      <c r="V455" s="23">
        <v>46</v>
      </c>
      <c r="W455" s="23">
        <v>47</v>
      </c>
      <c r="X455" s="23">
        <v>57</v>
      </c>
      <c r="Y455" s="23">
        <v>56</v>
      </c>
      <c r="Z455" s="23">
        <v>58</v>
      </c>
      <c r="AA455" s="23">
        <v>60</v>
      </c>
      <c r="AB455" s="23">
        <v>61</v>
      </c>
      <c r="AC455" s="25">
        <v>0</v>
      </c>
      <c r="AD455" s="25">
        <v>0</v>
      </c>
      <c r="AE455" s="25">
        <v>0</v>
      </c>
      <c r="AF455" s="25">
        <v>0</v>
      </c>
      <c r="AG455" s="25">
        <v>0</v>
      </c>
      <c r="AH455" s="25">
        <v>0</v>
      </c>
      <c r="AI455" s="25">
        <v>0</v>
      </c>
      <c r="AJ455" s="25">
        <v>0</v>
      </c>
      <c r="AK455" s="25">
        <v>0</v>
      </c>
      <c r="AL455" s="25">
        <v>0</v>
      </c>
      <c r="AM455" s="25">
        <v>0</v>
      </c>
    </row>
    <row r="456" spans="1:39" ht="15" customHeight="1">
      <c r="A456" s="32" t="str">
        <f t="shared" si="19"/>
        <v>Endeavour--66kV Wood</v>
      </c>
      <c r="B456" s="32" t="str">
        <f t="shared" si="20"/>
        <v>Endeavour</v>
      </c>
      <c r="C456" s="32" t="s">
        <v>1</v>
      </c>
      <c r="D456" s="395"/>
      <c r="F456" t="s">
        <v>579</v>
      </c>
      <c r="G456" s="21">
        <v>51.442999999999998</v>
      </c>
      <c r="H456" s="21">
        <v>52.997</v>
      </c>
      <c r="I456" s="21">
        <v>84.287999999999997</v>
      </c>
      <c r="J456" s="21">
        <v>0</v>
      </c>
      <c r="K456" s="21">
        <v>28.236999999999998</v>
      </c>
      <c r="L456" s="21">
        <v>42.575000000000003</v>
      </c>
      <c r="M456" s="21">
        <v>51.439</v>
      </c>
      <c r="N456" s="21">
        <v>51.124000000000002</v>
      </c>
      <c r="O456" s="21">
        <v>52.258000000000003</v>
      </c>
      <c r="P456" s="21">
        <v>54.619</v>
      </c>
      <c r="Q456" s="21">
        <v>55.405999999999999</v>
      </c>
      <c r="R456" s="23">
        <v>2</v>
      </c>
      <c r="S456" s="23">
        <v>2</v>
      </c>
      <c r="T456" s="23">
        <v>4</v>
      </c>
      <c r="U456" s="23">
        <v>0</v>
      </c>
      <c r="V456" s="23">
        <v>1</v>
      </c>
      <c r="W456" s="23">
        <v>2</v>
      </c>
      <c r="X456" s="23">
        <v>2</v>
      </c>
      <c r="Y456" s="23">
        <v>2</v>
      </c>
      <c r="Z456" s="23">
        <v>2</v>
      </c>
      <c r="AA456" s="23">
        <v>2</v>
      </c>
      <c r="AB456" s="23">
        <v>2</v>
      </c>
      <c r="AC456" s="25">
        <v>0</v>
      </c>
      <c r="AD456" s="25">
        <v>0</v>
      </c>
      <c r="AE456" s="25">
        <v>0</v>
      </c>
      <c r="AF456" s="25">
        <v>0</v>
      </c>
      <c r="AG456" s="25">
        <v>0</v>
      </c>
      <c r="AH456" s="25">
        <v>0</v>
      </c>
      <c r="AI456" s="25">
        <v>0</v>
      </c>
      <c r="AJ456" s="25">
        <v>0</v>
      </c>
      <c r="AK456" s="25">
        <v>0</v>
      </c>
      <c r="AL456" s="25">
        <v>0</v>
      </c>
      <c r="AM456" s="25">
        <v>0</v>
      </c>
    </row>
    <row r="457" spans="1:39" ht="15" customHeight="1">
      <c r="A457" s="32" t="str">
        <f t="shared" si="19"/>
        <v>Endeavour--&gt; 22 kV &amp; &lt; = 66 kV; WOOD</v>
      </c>
      <c r="B457" s="32" t="str">
        <f t="shared" si="20"/>
        <v>Endeavour</v>
      </c>
      <c r="C457" s="32" t="s">
        <v>1</v>
      </c>
      <c r="D457" s="395"/>
      <c r="F457" t="s">
        <v>125</v>
      </c>
      <c r="G457" s="21">
        <v>0</v>
      </c>
      <c r="H457" s="21">
        <v>0</v>
      </c>
      <c r="I457" s="21">
        <v>0</v>
      </c>
      <c r="J457" s="21">
        <v>0</v>
      </c>
      <c r="K457" s="21">
        <v>0</v>
      </c>
      <c r="L457" s="21">
        <v>0</v>
      </c>
      <c r="M457" s="21">
        <v>0</v>
      </c>
      <c r="N457" s="21">
        <v>0</v>
      </c>
      <c r="O457" s="21">
        <v>0</v>
      </c>
      <c r="P457" s="21">
        <v>0</v>
      </c>
      <c r="Q457" s="21">
        <v>0</v>
      </c>
      <c r="R457" s="23">
        <v>0</v>
      </c>
      <c r="S457" s="23">
        <v>0</v>
      </c>
      <c r="T457" s="23">
        <v>0</v>
      </c>
      <c r="U457" s="23">
        <v>0</v>
      </c>
      <c r="V457" s="23">
        <v>0</v>
      </c>
      <c r="W457" s="23">
        <v>0</v>
      </c>
      <c r="X457" s="23">
        <v>0</v>
      </c>
      <c r="Y457" s="23">
        <v>0</v>
      </c>
      <c r="Z457" s="23">
        <v>0</v>
      </c>
      <c r="AA457" s="23">
        <v>0</v>
      </c>
      <c r="AB457" s="23">
        <v>0</v>
      </c>
      <c r="AC457" s="25">
        <v>0</v>
      </c>
      <c r="AD457" s="25">
        <v>0</v>
      </c>
      <c r="AE457" s="25">
        <v>0</v>
      </c>
      <c r="AF457" s="25">
        <v>0</v>
      </c>
      <c r="AG457" s="25">
        <v>0</v>
      </c>
      <c r="AH457" s="25">
        <v>0</v>
      </c>
      <c r="AI457" s="25">
        <v>0</v>
      </c>
      <c r="AJ457" s="25">
        <v>0</v>
      </c>
      <c r="AK457" s="25">
        <v>0</v>
      </c>
      <c r="AL457" s="25">
        <v>0</v>
      </c>
      <c r="AM457" s="25">
        <v>0</v>
      </c>
    </row>
    <row r="458" spans="1:39" ht="15" customHeight="1">
      <c r="A458" s="32" t="str">
        <f t="shared" si="19"/>
        <v>Endeavour--&gt; 66 kV &amp; &lt; = 132 kV; WOOD</v>
      </c>
      <c r="B458" s="32" t="str">
        <f t="shared" si="20"/>
        <v>Endeavour</v>
      </c>
      <c r="C458" s="32" t="s">
        <v>1</v>
      </c>
      <c r="D458" s="395"/>
      <c r="F458" t="s">
        <v>127</v>
      </c>
      <c r="G458" s="21">
        <v>61.935000000000002</v>
      </c>
      <c r="H458" s="21">
        <v>159.51599999999999</v>
      </c>
      <c r="I458" s="21">
        <v>279.06700000000001</v>
      </c>
      <c r="J458" s="21">
        <v>521.69500000000005</v>
      </c>
      <c r="K458" s="21">
        <v>33.996000000000002</v>
      </c>
      <c r="L458" s="21">
        <v>207.25899999999999</v>
      </c>
      <c r="M458" s="21">
        <v>250.411</v>
      </c>
      <c r="N458" s="21">
        <v>248.87899999999999</v>
      </c>
      <c r="O458" s="21">
        <v>254.39599999999999</v>
      </c>
      <c r="P458" s="21">
        <v>265.89</v>
      </c>
      <c r="Q458" s="21">
        <v>269.721</v>
      </c>
      <c r="R458" s="23">
        <v>2</v>
      </c>
      <c r="S458" s="23">
        <v>5</v>
      </c>
      <c r="T458" s="23">
        <v>11</v>
      </c>
      <c r="U458" s="23">
        <v>13</v>
      </c>
      <c r="V458" s="23">
        <v>1</v>
      </c>
      <c r="W458" s="23">
        <v>6</v>
      </c>
      <c r="X458" s="23">
        <v>8</v>
      </c>
      <c r="Y458" s="23">
        <v>8</v>
      </c>
      <c r="Z458" s="23">
        <v>8</v>
      </c>
      <c r="AA458" s="23">
        <v>8</v>
      </c>
      <c r="AB458" s="23">
        <v>8</v>
      </c>
      <c r="AC458" s="25">
        <v>0</v>
      </c>
      <c r="AD458" s="25">
        <v>0</v>
      </c>
      <c r="AE458" s="25">
        <v>0</v>
      </c>
      <c r="AF458" s="25">
        <v>0</v>
      </c>
      <c r="AG458" s="25">
        <v>0</v>
      </c>
      <c r="AH458" s="25">
        <v>0</v>
      </c>
      <c r="AI458" s="25">
        <v>0</v>
      </c>
      <c r="AJ458" s="25">
        <v>0</v>
      </c>
      <c r="AK458" s="25">
        <v>0</v>
      </c>
      <c r="AL458" s="25">
        <v>0</v>
      </c>
      <c r="AM458" s="25">
        <v>0</v>
      </c>
    </row>
    <row r="459" spans="1:39" ht="15" customHeight="1">
      <c r="A459" s="32" t="str">
        <f t="shared" si="19"/>
        <v>Endeavour--&gt; 132 kV; WOOD</v>
      </c>
      <c r="B459" s="32" t="str">
        <f t="shared" si="20"/>
        <v>Endeavour</v>
      </c>
      <c r="C459" s="32" t="s">
        <v>1</v>
      </c>
      <c r="D459" s="395"/>
      <c r="F459" t="s">
        <v>129</v>
      </c>
      <c r="G459" s="21">
        <v>0</v>
      </c>
      <c r="H459" s="21">
        <v>0</v>
      </c>
      <c r="I459" s="21">
        <v>0</v>
      </c>
      <c r="J459" s="21">
        <v>0</v>
      </c>
      <c r="K459" s="21">
        <v>0</v>
      </c>
      <c r="L459" s="21">
        <v>0</v>
      </c>
      <c r="M459" s="21">
        <v>0</v>
      </c>
      <c r="N459" s="21">
        <v>0</v>
      </c>
      <c r="O459" s="21">
        <v>0</v>
      </c>
      <c r="P459" s="21">
        <v>0</v>
      </c>
      <c r="Q459" s="21">
        <v>0</v>
      </c>
      <c r="R459" s="23">
        <v>0</v>
      </c>
      <c r="S459" s="23">
        <v>0</v>
      </c>
      <c r="T459" s="23">
        <v>0</v>
      </c>
      <c r="U459" s="23">
        <v>0</v>
      </c>
      <c r="V459" s="23">
        <v>0</v>
      </c>
      <c r="W459" s="23">
        <v>0</v>
      </c>
      <c r="X459" s="23">
        <v>0</v>
      </c>
      <c r="Y459" s="23">
        <v>0</v>
      </c>
      <c r="Z459" s="23">
        <v>0</v>
      </c>
      <c r="AA459" s="23">
        <v>0</v>
      </c>
      <c r="AB459" s="23">
        <v>0</v>
      </c>
      <c r="AC459" s="25">
        <v>0</v>
      </c>
      <c r="AD459" s="25">
        <v>0</v>
      </c>
      <c r="AE459" s="25">
        <v>0</v>
      </c>
      <c r="AF459" s="25">
        <v>0</v>
      </c>
      <c r="AG459" s="25">
        <v>0</v>
      </c>
      <c r="AH459" s="25">
        <v>0</v>
      </c>
      <c r="AI459" s="25">
        <v>0</v>
      </c>
      <c r="AJ459" s="25">
        <v>0</v>
      </c>
      <c r="AK459" s="25">
        <v>0</v>
      </c>
      <c r="AL459" s="25">
        <v>0</v>
      </c>
      <c r="AM459" s="25">
        <v>0</v>
      </c>
    </row>
    <row r="460" spans="1:39" ht="15" customHeight="1">
      <c r="A460" s="32" t="str">
        <f t="shared" si="19"/>
        <v>Endeavour--˂ = 1 kV; CONCRETE</v>
      </c>
      <c r="B460" s="32" t="str">
        <f t="shared" si="20"/>
        <v>Endeavour</v>
      </c>
      <c r="C460" s="32" t="s">
        <v>1</v>
      </c>
      <c r="D460" s="395"/>
      <c r="F460" t="s">
        <v>131</v>
      </c>
      <c r="G460" s="21">
        <v>512.62199999999996</v>
      </c>
      <c r="H460" s="21">
        <v>621.80899999999997</v>
      </c>
      <c r="I460" s="21">
        <v>345.45</v>
      </c>
      <c r="J460" s="21">
        <v>471.43900000000002</v>
      </c>
      <c r="K460" s="21">
        <v>417.52300000000002</v>
      </c>
      <c r="L460" s="21">
        <v>464.83499999999998</v>
      </c>
      <c r="M460" s="21">
        <v>561.61699999999996</v>
      </c>
      <c r="N460" s="21">
        <v>558.17999999999995</v>
      </c>
      <c r="O460" s="21">
        <v>570.55399999999997</v>
      </c>
      <c r="P460" s="21">
        <v>596.33199999999999</v>
      </c>
      <c r="Q460" s="21">
        <v>604.92399999999998</v>
      </c>
      <c r="R460" s="23">
        <v>62</v>
      </c>
      <c r="S460" s="23">
        <v>73</v>
      </c>
      <c r="T460" s="23">
        <v>51</v>
      </c>
      <c r="U460" s="23">
        <v>44</v>
      </c>
      <c r="V460" s="23">
        <v>46</v>
      </c>
      <c r="W460" s="23">
        <v>54</v>
      </c>
      <c r="X460" s="23">
        <v>65</v>
      </c>
      <c r="Y460" s="23">
        <v>65</v>
      </c>
      <c r="Z460" s="23">
        <v>66</v>
      </c>
      <c r="AA460" s="23">
        <v>69</v>
      </c>
      <c r="AB460" s="23">
        <v>70</v>
      </c>
      <c r="AC460" s="25">
        <v>0</v>
      </c>
      <c r="AD460" s="25">
        <v>0</v>
      </c>
      <c r="AE460" s="25">
        <v>0</v>
      </c>
      <c r="AF460" s="25">
        <v>0</v>
      </c>
      <c r="AG460" s="25">
        <v>0</v>
      </c>
      <c r="AH460" s="25">
        <v>0</v>
      </c>
      <c r="AI460" s="25">
        <v>0</v>
      </c>
      <c r="AJ460" s="25">
        <v>0</v>
      </c>
      <c r="AK460" s="25">
        <v>0</v>
      </c>
      <c r="AL460" s="25">
        <v>0</v>
      </c>
      <c r="AM460" s="25">
        <v>0</v>
      </c>
    </row>
    <row r="461" spans="1:39" ht="15" customHeight="1">
      <c r="A461" s="32" t="str">
        <f t="shared" si="19"/>
        <v>Endeavour--&gt; 1 kV &amp; &lt; = 11 kV; CONCRETE</v>
      </c>
      <c r="B461" s="32" t="str">
        <f t="shared" si="20"/>
        <v>Endeavour</v>
      </c>
      <c r="C461" s="32" t="s">
        <v>1</v>
      </c>
      <c r="D461" s="395"/>
      <c r="F461" t="s">
        <v>133</v>
      </c>
      <c r="G461" s="21">
        <v>4579.1170000000002</v>
      </c>
      <c r="H461" s="21">
        <v>3499.348</v>
      </c>
      <c r="I461" s="21">
        <v>1884.4929999999999</v>
      </c>
      <c r="J461" s="21">
        <v>2771.9929999999999</v>
      </c>
      <c r="K461" s="21">
        <v>3209.654</v>
      </c>
      <c r="L461" s="21">
        <v>3128.7890000000002</v>
      </c>
      <c r="M461" s="21">
        <v>3780.2280000000001</v>
      </c>
      <c r="N461" s="21">
        <v>3757.0929999999998</v>
      </c>
      <c r="O461" s="21">
        <v>3840.3780000000002</v>
      </c>
      <c r="P461" s="21">
        <v>4013.8890000000001</v>
      </c>
      <c r="Q461" s="21">
        <v>4071.7260000000001</v>
      </c>
      <c r="R461" s="23">
        <v>426</v>
      </c>
      <c r="S461" s="23">
        <v>316</v>
      </c>
      <c r="T461" s="23">
        <v>214</v>
      </c>
      <c r="U461" s="23">
        <v>199</v>
      </c>
      <c r="V461" s="23">
        <v>272</v>
      </c>
      <c r="W461" s="23">
        <v>280</v>
      </c>
      <c r="X461" s="23">
        <v>338</v>
      </c>
      <c r="Y461" s="23">
        <v>336</v>
      </c>
      <c r="Z461" s="23">
        <v>344</v>
      </c>
      <c r="AA461" s="23">
        <v>359</v>
      </c>
      <c r="AB461" s="23">
        <v>364</v>
      </c>
      <c r="AC461" s="25">
        <v>0</v>
      </c>
      <c r="AD461" s="25">
        <v>0</v>
      </c>
      <c r="AE461" s="25">
        <v>0</v>
      </c>
      <c r="AF461" s="25">
        <v>0</v>
      </c>
      <c r="AG461" s="25">
        <v>0</v>
      </c>
      <c r="AH461" s="25">
        <v>0</v>
      </c>
      <c r="AI461" s="25">
        <v>0</v>
      </c>
      <c r="AJ461" s="25">
        <v>0</v>
      </c>
      <c r="AK461" s="25">
        <v>0</v>
      </c>
      <c r="AL461" s="25">
        <v>0</v>
      </c>
      <c r="AM461" s="25">
        <v>0</v>
      </c>
    </row>
    <row r="462" spans="1:39" ht="15" customHeight="1">
      <c r="A462" s="32" t="str">
        <f t="shared" si="19"/>
        <v>Endeavour--˃ 11 kV &amp; &lt; = 22 kV; CONCRETE</v>
      </c>
      <c r="B462" s="32" t="str">
        <f t="shared" si="20"/>
        <v>Endeavour</v>
      </c>
      <c r="C462" s="32" t="s">
        <v>1</v>
      </c>
      <c r="D462" s="395"/>
      <c r="F462" t="s">
        <v>153</v>
      </c>
      <c r="G462" s="21">
        <v>78.798000000000002</v>
      </c>
      <c r="H462" s="21">
        <v>419.42500000000001</v>
      </c>
      <c r="I462" s="21">
        <v>0</v>
      </c>
      <c r="J462" s="21">
        <v>136.15100000000001</v>
      </c>
      <c r="K462" s="21">
        <v>418.1</v>
      </c>
      <c r="L462" s="21">
        <v>206.52600000000001</v>
      </c>
      <c r="M462" s="21">
        <v>249.52600000000001</v>
      </c>
      <c r="N462" s="21">
        <v>247.999</v>
      </c>
      <c r="O462" s="21">
        <v>253.49700000000001</v>
      </c>
      <c r="P462" s="21">
        <v>264.95</v>
      </c>
      <c r="Q462" s="21">
        <v>268.767</v>
      </c>
      <c r="R462" s="23">
        <v>6</v>
      </c>
      <c r="S462" s="23">
        <v>31</v>
      </c>
      <c r="T462" s="23">
        <v>0</v>
      </c>
      <c r="U462" s="23">
        <v>8</v>
      </c>
      <c r="V462" s="23">
        <v>29</v>
      </c>
      <c r="W462" s="23">
        <v>15</v>
      </c>
      <c r="X462" s="23">
        <v>18</v>
      </c>
      <c r="Y462" s="23">
        <v>17</v>
      </c>
      <c r="Z462" s="23">
        <v>18</v>
      </c>
      <c r="AA462" s="23">
        <v>19</v>
      </c>
      <c r="AB462" s="23">
        <v>19</v>
      </c>
      <c r="AC462" s="25">
        <v>0</v>
      </c>
      <c r="AD462" s="25">
        <v>0</v>
      </c>
      <c r="AE462" s="25">
        <v>0</v>
      </c>
      <c r="AF462" s="25">
        <v>0</v>
      </c>
      <c r="AG462" s="25">
        <v>0</v>
      </c>
      <c r="AH462" s="25">
        <v>0</v>
      </c>
      <c r="AI462" s="25">
        <v>0</v>
      </c>
      <c r="AJ462" s="25">
        <v>0</v>
      </c>
      <c r="AK462" s="25">
        <v>0</v>
      </c>
      <c r="AL462" s="25">
        <v>0</v>
      </c>
      <c r="AM462" s="25">
        <v>0</v>
      </c>
    </row>
    <row r="463" spans="1:39" ht="15" customHeight="1">
      <c r="A463" s="32" t="str">
        <f t="shared" si="19"/>
        <v>Endeavour--33kV Concrete</v>
      </c>
      <c r="B463" s="32" t="str">
        <f t="shared" si="20"/>
        <v>Endeavour</v>
      </c>
      <c r="C463" s="32" t="s">
        <v>1</v>
      </c>
      <c r="D463" s="395"/>
      <c r="F463" t="s">
        <v>580</v>
      </c>
      <c r="G463" s="21">
        <v>413.39699999999999</v>
      </c>
      <c r="H463" s="21">
        <v>479.12400000000002</v>
      </c>
      <c r="I463" s="21">
        <v>2899.8560000000002</v>
      </c>
      <c r="J463" s="21">
        <v>770.09100000000001</v>
      </c>
      <c r="K463" s="21">
        <v>28.364000000000001</v>
      </c>
      <c r="L463" s="21">
        <v>900.85299999999995</v>
      </c>
      <c r="M463" s="21">
        <v>1088.4169999999999</v>
      </c>
      <c r="N463" s="21">
        <v>1081.7560000000001</v>
      </c>
      <c r="O463" s="21">
        <v>1105.7360000000001</v>
      </c>
      <c r="P463" s="21">
        <v>1155.694</v>
      </c>
      <c r="Q463" s="21">
        <v>1172.347</v>
      </c>
      <c r="R463" s="23">
        <v>16</v>
      </c>
      <c r="S463" s="23">
        <v>18</v>
      </c>
      <c r="T463" s="23">
        <v>137</v>
      </c>
      <c r="U463" s="23">
        <v>23</v>
      </c>
      <c r="V463" s="23">
        <v>1</v>
      </c>
      <c r="W463" s="23">
        <v>38</v>
      </c>
      <c r="X463" s="23">
        <v>46</v>
      </c>
      <c r="Y463" s="23">
        <v>46</v>
      </c>
      <c r="Z463" s="23">
        <v>47</v>
      </c>
      <c r="AA463" s="23">
        <v>49</v>
      </c>
      <c r="AB463" s="23">
        <v>50</v>
      </c>
      <c r="AC463" s="25">
        <v>0</v>
      </c>
      <c r="AD463" s="25">
        <v>0</v>
      </c>
      <c r="AE463" s="25">
        <v>0</v>
      </c>
      <c r="AF463" s="25">
        <v>0</v>
      </c>
      <c r="AG463" s="25">
        <v>0</v>
      </c>
      <c r="AH463" s="25">
        <v>0</v>
      </c>
      <c r="AI463" s="25">
        <v>0</v>
      </c>
      <c r="AJ463" s="25">
        <v>0</v>
      </c>
      <c r="AK463" s="25">
        <v>0</v>
      </c>
      <c r="AL463" s="25">
        <v>0</v>
      </c>
      <c r="AM463" s="25">
        <v>0</v>
      </c>
    </row>
    <row r="464" spans="1:39" ht="15" customHeight="1">
      <c r="A464" s="32" t="str">
        <f t="shared" si="19"/>
        <v>Endeavour--66kV Concrete</v>
      </c>
      <c r="B464" s="32" t="str">
        <f t="shared" si="20"/>
        <v>Endeavour</v>
      </c>
      <c r="C464" s="32" t="s">
        <v>1</v>
      </c>
      <c r="D464" s="395"/>
      <c r="F464" t="s">
        <v>581</v>
      </c>
      <c r="G464" s="21">
        <v>185.29900000000001</v>
      </c>
      <c r="H464" s="21">
        <v>0</v>
      </c>
      <c r="I464" s="21">
        <v>430.10899999999998</v>
      </c>
      <c r="J464" s="21">
        <v>280.14699999999999</v>
      </c>
      <c r="K464" s="21">
        <v>67.805999999999997</v>
      </c>
      <c r="L464" s="21">
        <v>189.03899999999999</v>
      </c>
      <c r="M464" s="21">
        <v>228.398</v>
      </c>
      <c r="N464" s="21">
        <v>227</v>
      </c>
      <c r="O464" s="21">
        <v>232.03299999999999</v>
      </c>
      <c r="P464" s="21">
        <v>242.51599999999999</v>
      </c>
      <c r="Q464" s="21">
        <v>246.01</v>
      </c>
      <c r="R464" s="23">
        <v>6</v>
      </c>
      <c r="S464" s="23">
        <v>0</v>
      </c>
      <c r="T464" s="23">
        <v>17</v>
      </c>
      <c r="U464" s="23">
        <v>7</v>
      </c>
      <c r="V464" s="23">
        <v>2</v>
      </c>
      <c r="W464" s="23">
        <v>6</v>
      </c>
      <c r="X464" s="23">
        <v>8</v>
      </c>
      <c r="Y464" s="23">
        <v>8</v>
      </c>
      <c r="Z464" s="23">
        <v>8</v>
      </c>
      <c r="AA464" s="23">
        <v>8</v>
      </c>
      <c r="AB464" s="23">
        <v>8</v>
      </c>
      <c r="AC464" s="25">
        <v>0</v>
      </c>
      <c r="AD464" s="25">
        <v>0</v>
      </c>
      <c r="AE464" s="25">
        <v>0</v>
      </c>
      <c r="AF464" s="25">
        <v>0</v>
      </c>
      <c r="AG464" s="25">
        <v>0</v>
      </c>
      <c r="AH464" s="25">
        <v>0</v>
      </c>
      <c r="AI464" s="25">
        <v>0</v>
      </c>
      <c r="AJ464" s="25">
        <v>0</v>
      </c>
      <c r="AK464" s="25">
        <v>0</v>
      </c>
      <c r="AL464" s="25">
        <v>0</v>
      </c>
      <c r="AM464" s="25">
        <v>0</v>
      </c>
    </row>
    <row r="465" spans="1:39" ht="15" customHeight="1">
      <c r="A465" s="32" t="str">
        <f t="shared" si="19"/>
        <v>Endeavour--&gt; 22 kV &amp; &lt; = 66 kV; CONCRETE</v>
      </c>
      <c r="B465" s="32" t="str">
        <f t="shared" si="20"/>
        <v>Endeavour</v>
      </c>
      <c r="C465" s="32" t="s">
        <v>1</v>
      </c>
      <c r="D465" s="395"/>
      <c r="F465" t="s">
        <v>155</v>
      </c>
      <c r="G465" s="21">
        <v>0</v>
      </c>
      <c r="H465" s="21">
        <v>0</v>
      </c>
      <c r="I465" s="21">
        <v>0</v>
      </c>
      <c r="J465" s="21">
        <v>0</v>
      </c>
      <c r="K465" s="21">
        <v>0</v>
      </c>
      <c r="L465" s="21">
        <v>0</v>
      </c>
      <c r="M465" s="21">
        <v>0</v>
      </c>
      <c r="N465" s="21">
        <v>0</v>
      </c>
      <c r="O465" s="21">
        <v>0</v>
      </c>
      <c r="P465" s="21">
        <v>0</v>
      </c>
      <c r="Q465" s="21">
        <v>0</v>
      </c>
      <c r="R465" s="23">
        <v>0</v>
      </c>
      <c r="S465" s="23">
        <v>0</v>
      </c>
      <c r="T465" s="23">
        <v>0</v>
      </c>
      <c r="U465" s="23">
        <v>0</v>
      </c>
      <c r="V465" s="23">
        <v>0</v>
      </c>
      <c r="W465" s="23">
        <v>0</v>
      </c>
      <c r="X465" s="23">
        <v>0</v>
      </c>
      <c r="Y465" s="23">
        <v>0</v>
      </c>
      <c r="Z465" s="23">
        <v>0</v>
      </c>
      <c r="AA465" s="23">
        <v>0</v>
      </c>
      <c r="AB465" s="23">
        <v>0</v>
      </c>
      <c r="AC465" s="25">
        <v>0</v>
      </c>
      <c r="AD465" s="25">
        <v>0</v>
      </c>
      <c r="AE465" s="25">
        <v>0</v>
      </c>
      <c r="AF465" s="25">
        <v>0</v>
      </c>
      <c r="AG465" s="25">
        <v>0</v>
      </c>
      <c r="AH465" s="25">
        <v>0</v>
      </c>
      <c r="AI465" s="25">
        <v>0</v>
      </c>
      <c r="AJ465" s="25">
        <v>0</v>
      </c>
      <c r="AK465" s="25">
        <v>0</v>
      </c>
      <c r="AL465" s="25">
        <v>0</v>
      </c>
      <c r="AM465" s="25">
        <v>0</v>
      </c>
    </row>
    <row r="466" spans="1:39" ht="15" customHeight="1">
      <c r="A466" s="32" t="str">
        <f t="shared" si="19"/>
        <v>Endeavour--&gt; 66 kV &amp; &lt; = 132 kV; CONCRETE</v>
      </c>
      <c r="B466" s="32" t="str">
        <f t="shared" si="20"/>
        <v>Endeavour</v>
      </c>
      <c r="C466" s="32" t="s">
        <v>1</v>
      </c>
      <c r="D466" s="395"/>
      <c r="F466" t="s">
        <v>157</v>
      </c>
      <c r="G466" s="21">
        <v>493.87900000000002</v>
      </c>
      <c r="H466" s="21">
        <v>900.18799999999999</v>
      </c>
      <c r="I466" s="21">
        <v>1836.277</v>
      </c>
      <c r="J466" s="21">
        <v>0</v>
      </c>
      <c r="K466" s="21">
        <v>41.706000000000003</v>
      </c>
      <c r="L466" s="21">
        <v>642.07000000000005</v>
      </c>
      <c r="M466" s="21">
        <v>775.75400000000002</v>
      </c>
      <c r="N466" s="21">
        <v>771.00699999999995</v>
      </c>
      <c r="O466" s="21">
        <v>788.09799999999996</v>
      </c>
      <c r="P466" s="21">
        <v>823.70500000000004</v>
      </c>
      <c r="Q466" s="21">
        <v>835.57399999999996</v>
      </c>
      <c r="R466" s="23">
        <v>13</v>
      </c>
      <c r="S466" s="23">
        <v>23</v>
      </c>
      <c r="T466" s="23">
        <v>59</v>
      </c>
      <c r="U466" s="23">
        <v>0</v>
      </c>
      <c r="V466" s="23">
        <v>1</v>
      </c>
      <c r="W466" s="23">
        <v>19</v>
      </c>
      <c r="X466" s="23">
        <v>23</v>
      </c>
      <c r="Y466" s="23">
        <v>23</v>
      </c>
      <c r="Z466" s="23">
        <v>23</v>
      </c>
      <c r="AA466" s="23">
        <v>24</v>
      </c>
      <c r="AB466" s="23">
        <v>25</v>
      </c>
      <c r="AC466" s="25">
        <v>0</v>
      </c>
      <c r="AD466" s="25">
        <v>0</v>
      </c>
      <c r="AE466" s="25">
        <v>0</v>
      </c>
      <c r="AF466" s="25">
        <v>0</v>
      </c>
      <c r="AG466" s="25">
        <v>0</v>
      </c>
      <c r="AH466" s="25">
        <v>0</v>
      </c>
      <c r="AI466" s="25">
        <v>0</v>
      </c>
      <c r="AJ466" s="25">
        <v>0</v>
      </c>
      <c r="AK466" s="25">
        <v>0</v>
      </c>
      <c r="AL466" s="25">
        <v>0</v>
      </c>
      <c r="AM466" s="25">
        <v>0</v>
      </c>
    </row>
    <row r="467" spans="1:39" ht="15" customHeight="1">
      <c r="A467" s="32" t="str">
        <f t="shared" si="19"/>
        <v>Endeavour--&gt; 132 kV; CONCRETE</v>
      </c>
      <c r="B467" s="32" t="str">
        <f t="shared" si="20"/>
        <v>Endeavour</v>
      </c>
      <c r="C467" s="32" t="s">
        <v>1</v>
      </c>
      <c r="D467" s="395"/>
      <c r="F467" t="s">
        <v>159</v>
      </c>
      <c r="G467" s="21">
        <v>0</v>
      </c>
      <c r="H467" s="21">
        <v>0</v>
      </c>
      <c r="I467" s="21">
        <v>0</v>
      </c>
      <c r="J467" s="21">
        <v>0</v>
      </c>
      <c r="K467" s="21">
        <v>0</v>
      </c>
      <c r="L467" s="21">
        <v>0</v>
      </c>
      <c r="M467" s="21">
        <v>0</v>
      </c>
      <c r="N467" s="21">
        <v>0</v>
      </c>
      <c r="O467" s="21">
        <v>0</v>
      </c>
      <c r="P467" s="21">
        <v>0</v>
      </c>
      <c r="Q467" s="21">
        <v>0</v>
      </c>
      <c r="R467" s="23">
        <v>0</v>
      </c>
      <c r="S467" s="23">
        <v>0</v>
      </c>
      <c r="T467" s="23">
        <v>0</v>
      </c>
      <c r="U467" s="23">
        <v>0</v>
      </c>
      <c r="V467" s="23">
        <v>0</v>
      </c>
      <c r="W467" s="23">
        <v>0</v>
      </c>
      <c r="X467" s="23">
        <v>0</v>
      </c>
      <c r="Y467" s="23">
        <v>0</v>
      </c>
      <c r="Z467" s="23">
        <v>0</v>
      </c>
      <c r="AA467" s="23">
        <v>0</v>
      </c>
      <c r="AB467" s="23">
        <v>0</v>
      </c>
      <c r="AC467" s="25">
        <v>0</v>
      </c>
      <c r="AD467" s="25">
        <v>0</v>
      </c>
      <c r="AE467" s="25">
        <v>0</v>
      </c>
      <c r="AF467" s="25">
        <v>0</v>
      </c>
      <c r="AG467" s="25">
        <v>0</v>
      </c>
      <c r="AH467" s="25">
        <v>0</v>
      </c>
      <c r="AI467" s="25">
        <v>0</v>
      </c>
      <c r="AJ467" s="25">
        <v>0</v>
      </c>
      <c r="AK467" s="25">
        <v>0</v>
      </c>
      <c r="AL467" s="25">
        <v>0</v>
      </c>
      <c r="AM467" s="25">
        <v>0</v>
      </c>
    </row>
    <row r="468" spans="1:39" ht="15" customHeight="1">
      <c r="A468" s="32" t="str">
        <f t="shared" si="19"/>
        <v>Endeavour--˂ = 1 kV; STEEL</v>
      </c>
      <c r="B468" s="32" t="str">
        <f t="shared" si="20"/>
        <v>Endeavour</v>
      </c>
      <c r="C468" s="32" t="s">
        <v>1</v>
      </c>
      <c r="D468" s="395"/>
      <c r="F468" t="s">
        <v>161</v>
      </c>
      <c r="G468" s="21">
        <v>45.637999999999998</v>
      </c>
      <c r="H468" s="21">
        <v>31.344999999999999</v>
      </c>
      <c r="I468" s="21">
        <v>6.2309999999999999</v>
      </c>
      <c r="J468" s="21">
        <v>88.712000000000003</v>
      </c>
      <c r="K468" s="21">
        <v>108.551</v>
      </c>
      <c r="L468" s="21">
        <v>55.037999999999997</v>
      </c>
      <c r="M468" s="21">
        <v>66.497</v>
      </c>
      <c r="N468" s="21">
        <v>66.09</v>
      </c>
      <c r="O468" s="21">
        <v>67.555000000000007</v>
      </c>
      <c r="P468" s="21">
        <v>70.606999999999999</v>
      </c>
      <c r="Q468" s="21">
        <v>71.625</v>
      </c>
      <c r="R468" s="23">
        <v>6</v>
      </c>
      <c r="S468" s="23">
        <v>4</v>
      </c>
      <c r="T468" s="23">
        <v>1</v>
      </c>
      <c r="U468" s="23">
        <v>9</v>
      </c>
      <c r="V468" s="23">
        <v>13</v>
      </c>
      <c r="W468" s="23">
        <v>6</v>
      </c>
      <c r="X468" s="23">
        <v>8</v>
      </c>
      <c r="Y468" s="23">
        <v>8</v>
      </c>
      <c r="Z468" s="23">
        <v>8</v>
      </c>
      <c r="AA468" s="23">
        <v>8</v>
      </c>
      <c r="AB468" s="23">
        <v>8</v>
      </c>
      <c r="AC468" s="25">
        <v>0</v>
      </c>
      <c r="AD468" s="25">
        <v>0</v>
      </c>
      <c r="AE468" s="25">
        <v>0</v>
      </c>
      <c r="AF468" s="25">
        <v>0</v>
      </c>
      <c r="AG468" s="25">
        <v>0</v>
      </c>
      <c r="AH468" s="25">
        <v>0</v>
      </c>
      <c r="AI468" s="25">
        <v>0</v>
      </c>
      <c r="AJ468" s="25">
        <v>0</v>
      </c>
      <c r="AK468" s="25">
        <v>0</v>
      </c>
      <c r="AL468" s="25">
        <v>0</v>
      </c>
      <c r="AM468" s="25">
        <v>0</v>
      </c>
    </row>
    <row r="469" spans="1:39" ht="15" customHeight="1">
      <c r="A469" s="32" t="str">
        <f t="shared" si="19"/>
        <v>Endeavour--&gt; 1 kV &amp; &lt; = 11 kV; STEEL</v>
      </c>
      <c r="B469" s="32" t="str">
        <f t="shared" si="20"/>
        <v>Endeavour</v>
      </c>
      <c r="C469" s="32" t="s">
        <v>1</v>
      </c>
      <c r="D469" s="395"/>
      <c r="F469" t="s">
        <v>163</v>
      </c>
      <c r="G469" s="21">
        <v>208.876</v>
      </c>
      <c r="H469" s="21">
        <v>71.728999999999999</v>
      </c>
      <c r="I469" s="21">
        <v>16.297000000000001</v>
      </c>
      <c r="J469" s="21">
        <v>12.888999999999999</v>
      </c>
      <c r="K469" s="21">
        <v>65.515000000000001</v>
      </c>
      <c r="L469" s="21">
        <v>73.646000000000001</v>
      </c>
      <c r="M469" s="21">
        <v>88.978999999999999</v>
      </c>
      <c r="N469" s="21">
        <v>88.435000000000002</v>
      </c>
      <c r="O469" s="21">
        <v>90.394999999999996</v>
      </c>
      <c r="P469" s="21">
        <v>94.478999999999999</v>
      </c>
      <c r="Q469" s="21">
        <v>95.840999999999994</v>
      </c>
      <c r="R469" s="23">
        <v>21</v>
      </c>
      <c r="S469" s="23">
        <v>7</v>
      </c>
      <c r="T469" s="23">
        <v>2</v>
      </c>
      <c r="U469" s="23">
        <v>1</v>
      </c>
      <c r="V469" s="23">
        <v>6</v>
      </c>
      <c r="W469" s="23">
        <v>7</v>
      </c>
      <c r="X469" s="23">
        <v>9</v>
      </c>
      <c r="Y469" s="23">
        <v>9</v>
      </c>
      <c r="Z469" s="23">
        <v>9</v>
      </c>
      <c r="AA469" s="23">
        <v>9</v>
      </c>
      <c r="AB469" s="23">
        <v>9</v>
      </c>
      <c r="AC469" s="25">
        <v>0</v>
      </c>
      <c r="AD469" s="25">
        <v>0</v>
      </c>
      <c r="AE469" s="25">
        <v>0</v>
      </c>
      <c r="AF469" s="25">
        <v>0</v>
      </c>
      <c r="AG469" s="25">
        <v>0</v>
      </c>
      <c r="AH469" s="25">
        <v>0</v>
      </c>
      <c r="AI469" s="25">
        <v>0</v>
      </c>
      <c r="AJ469" s="25">
        <v>0</v>
      </c>
      <c r="AK469" s="25">
        <v>0</v>
      </c>
      <c r="AL469" s="25">
        <v>0</v>
      </c>
      <c r="AM469" s="25">
        <v>0</v>
      </c>
    </row>
    <row r="470" spans="1:39" ht="15" customHeight="1">
      <c r="A470" s="32" t="str">
        <f t="shared" si="19"/>
        <v>Endeavour--˃ 11 kV &amp; &lt; = 22 kV; STEEL</v>
      </c>
      <c r="B470" s="32" t="str">
        <f t="shared" si="20"/>
        <v>Endeavour</v>
      </c>
      <c r="C470" s="32" t="s">
        <v>1</v>
      </c>
      <c r="D470" s="395"/>
      <c r="F470" t="s">
        <v>165</v>
      </c>
      <c r="G470" s="21">
        <v>0</v>
      </c>
      <c r="H470" s="21">
        <v>75.414000000000001</v>
      </c>
      <c r="I470" s="21">
        <v>0</v>
      </c>
      <c r="J470" s="21">
        <v>0</v>
      </c>
      <c r="K470" s="21">
        <v>0</v>
      </c>
      <c r="L470" s="21">
        <v>14.798</v>
      </c>
      <c r="M470" s="21">
        <v>17.88</v>
      </c>
      <c r="N470" s="21">
        <v>17.77</v>
      </c>
      <c r="O470" s="21">
        <v>18.164000000000001</v>
      </c>
      <c r="P470" s="21">
        <v>18.984999999999999</v>
      </c>
      <c r="Q470" s="21">
        <v>19.257999999999999</v>
      </c>
      <c r="R470" s="23">
        <v>0</v>
      </c>
      <c r="S470" s="23">
        <v>6</v>
      </c>
      <c r="T470" s="23">
        <v>0</v>
      </c>
      <c r="U470" s="23">
        <v>0</v>
      </c>
      <c r="V470" s="23">
        <v>0</v>
      </c>
      <c r="W470" s="23">
        <v>1</v>
      </c>
      <c r="X470" s="23">
        <v>1</v>
      </c>
      <c r="Y470" s="23">
        <v>1</v>
      </c>
      <c r="Z470" s="23">
        <v>1</v>
      </c>
      <c r="AA470" s="23">
        <v>2</v>
      </c>
      <c r="AB470" s="23">
        <v>2</v>
      </c>
      <c r="AC470" s="25">
        <v>0</v>
      </c>
      <c r="AD470" s="25">
        <v>0</v>
      </c>
      <c r="AE470" s="25">
        <v>0</v>
      </c>
      <c r="AF470" s="25">
        <v>0</v>
      </c>
      <c r="AG470" s="25">
        <v>0</v>
      </c>
      <c r="AH470" s="25">
        <v>0</v>
      </c>
      <c r="AI470" s="25">
        <v>0</v>
      </c>
      <c r="AJ470" s="25">
        <v>0</v>
      </c>
      <c r="AK470" s="25">
        <v>0</v>
      </c>
      <c r="AL470" s="25">
        <v>0</v>
      </c>
      <c r="AM470" s="25">
        <v>0</v>
      </c>
    </row>
    <row r="471" spans="1:39" ht="15" customHeight="1">
      <c r="A471" s="32" t="str">
        <f t="shared" si="19"/>
        <v>Endeavour--33kV Steel</v>
      </c>
      <c r="B471" s="32" t="str">
        <f t="shared" si="20"/>
        <v>Endeavour</v>
      </c>
      <c r="C471" s="32" t="s">
        <v>1</v>
      </c>
      <c r="D471" s="395"/>
      <c r="F471" t="s">
        <v>583</v>
      </c>
      <c r="G471" s="21">
        <v>0</v>
      </c>
      <c r="H471" s="21">
        <v>0</v>
      </c>
      <c r="I471" s="21">
        <v>241.77199999999999</v>
      </c>
      <c r="J471" s="21">
        <v>254.96100000000001</v>
      </c>
      <c r="K471" s="21">
        <v>269.98099999999999</v>
      </c>
      <c r="L471" s="21">
        <v>150.45099999999999</v>
      </c>
      <c r="M471" s="21">
        <v>181.77699999999999</v>
      </c>
      <c r="N471" s="21">
        <v>180.66399999999999</v>
      </c>
      <c r="O471" s="21">
        <v>184.66900000000001</v>
      </c>
      <c r="P471" s="21">
        <v>193.01300000000001</v>
      </c>
      <c r="Q471" s="21">
        <v>195.79400000000001</v>
      </c>
      <c r="R471" s="23">
        <v>0</v>
      </c>
      <c r="S471" s="23">
        <v>0</v>
      </c>
      <c r="T471" s="23">
        <v>12</v>
      </c>
      <c r="U471" s="23">
        <v>8</v>
      </c>
      <c r="V471" s="23">
        <v>10</v>
      </c>
      <c r="W471" s="23">
        <v>6</v>
      </c>
      <c r="X471" s="23">
        <v>7</v>
      </c>
      <c r="Y471" s="23">
        <v>7</v>
      </c>
      <c r="Z471" s="23">
        <v>7</v>
      </c>
      <c r="AA471" s="23">
        <v>8</v>
      </c>
      <c r="AB471" s="23">
        <v>8</v>
      </c>
      <c r="AC471" s="25">
        <v>0</v>
      </c>
      <c r="AD471" s="25">
        <v>0</v>
      </c>
      <c r="AE471" s="25">
        <v>0</v>
      </c>
      <c r="AF471" s="25">
        <v>0</v>
      </c>
      <c r="AG471" s="25">
        <v>0</v>
      </c>
      <c r="AH471" s="25">
        <v>0</v>
      </c>
      <c r="AI471" s="25">
        <v>0</v>
      </c>
      <c r="AJ471" s="25">
        <v>0</v>
      </c>
      <c r="AK471" s="25">
        <v>0</v>
      </c>
      <c r="AL471" s="25">
        <v>0</v>
      </c>
      <c r="AM471" s="25">
        <v>0</v>
      </c>
    </row>
    <row r="472" spans="1:39" ht="15" customHeight="1">
      <c r="A472" s="32" t="str">
        <f t="shared" si="19"/>
        <v>Endeavour--66kV Steel</v>
      </c>
      <c r="B472" s="32" t="str">
        <f t="shared" si="20"/>
        <v>Endeavour</v>
      </c>
      <c r="C472" s="32" t="s">
        <v>1</v>
      </c>
      <c r="D472" s="395"/>
      <c r="F472" t="s">
        <v>584</v>
      </c>
      <c r="G472" s="21">
        <v>0</v>
      </c>
      <c r="H472" s="21">
        <v>0</v>
      </c>
      <c r="I472" s="21">
        <v>0</v>
      </c>
      <c r="J472" s="21">
        <v>0</v>
      </c>
      <c r="K472" s="21">
        <v>0</v>
      </c>
      <c r="L472" s="21">
        <v>0</v>
      </c>
      <c r="M472" s="21">
        <v>0</v>
      </c>
      <c r="N472" s="21">
        <v>0</v>
      </c>
      <c r="O472" s="21">
        <v>0</v>
      </c>
      <c r="P472" s="21">
        <v>0</v>
      </c>
      <c r="Q472" s="21">
        <v>0</v>
      </c>
      <c r="R472" s="23">
        <v>0</v>
      </c>
      <c r="S472" s="23">
        <v>0</v>
      </c>
      <c r="T472" s="23">
        <v>0</v>
      </c>
      <c r="U472" s="23">
        <v>0</v>
      </c>
      <c r="V472" s="23">
        <v>0</v>
      </c>
      <c r="W472" s="23">
        <v>0</v>
      </c>
      <c r="X472" s="23">
        <v>0</v>
      </c>
      <c r="Y472" s="23">
        <v>0</v>
      </c>
      <c r="Z472" s="23">
        <v>0</v>
      </c>
      <c r="AA472" s="23">
        <v>0</v>
      </c>
      <c r="AB472" s="23">
        <v>0</v>
      </c>
      <c r="AC472" s="25">
        <v>0</v>
      </c>
      <c r="AD472" s="25">
        <v>0</v>
      </c>
      <c r="AE472" s="25">
        <v>0</v>
      </c>
      <c r="AF472" s="25">
        <v>0</v>
      </c>
      <c r="AG472" s="25">
        <v>0</v>
      </c>
      <c r="AH472" s="25">
        <v>0</v>
      </c>
      <c r="AI472" s="25">
        <v>0</v>
      </c>
      <c r="AJ472" s="25">
        <v>0</v>
      </c>
      <c r="AK472" s="25">
        <v>0</v>
      </c>
      <c r="AL472" s="25">
        <v>0</v>
      </c>
      <c r="AM472" s="25">
        <v>0</v>
      </c>
    </row>
    <row r="473" spans="1:39" ht="15" customHeight="1">
      <c r="A473" s="32" t="str">
        <f t="shared" si="19"/>
        <v>Endeavour--&gt; 22 kV &amp; &lt; = 66 kV; STEEL</v>
      </c>
      <c r="B473" s="32" t="str">
        <f t="shared" si="20"/>
        <v>Endeavour</v>
      </c>
      <c r="C473" s="32" t="s">
        <v>1</v>
      </c>
      <c r="D473" s="395"/>
      <c r="F473" t="s">
        <v>166</v>
      </c>
      <c r="G473" s="21">
        <v>0</v>
      </c>
      <c r="H473" s="21">
        <v>0</v>
      </c>
      <c r="I473" s="21">
        <v>0</v>
      </c>
      <c r="J473" s="21">
        <v>0</v>
      </c>
      <c r="K473" s="21">
        <v>0</v>
      </c>
      <c r="L473" s="21">
        <v>0</v>
      </c>
      <c r="M473" s="21">
        <v>0</v>
      </c>
      <c r="N473" s="21">
        <v>0</v>
      </c>
      <c r="O473" s="21">
        <v>0</v>
      </c>
      <c r="P473" s="21">
        <v>0</v>
      </c>
      <c r="Q473" s="21">
        <v>0</v>
      </c>
      <c r="R473" s="23">
        <v>0</v>
      </c>
      <c r="S473" s="23">
        <v>0</v>
      </c>
      <c r="T473" s="23">
        <v>0</v>
      </c>
      <c r="U473" s="23">
        <v>0</v>
      </c>
      <c r="V473" s="23">
        <v>0</v>
      </c>
      <c r="W473" s="23">
        <v>0</v>
      </c>
      <c r="X473" s="23">
        <v>0</v>
      </c>
      <c r="Y473" s="23">
        <v>0</v>
      </c>
      <c r="Z473" s="23">
        <v>0</v>
      </c>
      <c r="AA473" s="23">
        <v>0</v>
      </c>
      <c r="AB473" s="23">
        <v>0</v>
      </c>
      <c r="AC473" s="25">
        <v>0</v>
      </c>
      <c r="AD473" s="25">
        <v>0</v>
      </c>
      <c r="AE473" s="25">
        <v>0</v>
      </c>
      <c r="AF473" s="25">
        <v>0</v>
      </c>
      <c r="AG473" s="25">
        <v>0</v>
      </c>
      <c r="AH473" s="25">
        <v>0</v>
      </c>
      <c r="AI473" s="25">
        <v>0</v>
      </c>
      <c r="AJ473" s="25">
        <v>0</v>
      </c>
      <c r="AK473" s="25">
        <v>0</v>
      </c>
      <c r="AL473" s="25">
        <v>0</v>
      </c>
      <c r="AM473" s="25">
        <v>0</v>
      </c>
    </row>
    <row r="474" spans="1:39" ht="15" customHeight="1">
      <c r="A474" s="32" t="str">
        <f t="shared" si="19"/>
        <v>Endeavour--&gt; 66 kV &amp; &lt; = 132 kV; STEEL</v>
      </c>
      <c r="B474" s="32" t="str">
        <f t="shared" si="20"/>
        <v>Endeavour</v>
      </c>
      <c r="C474" s="32" t="s">
        <v>1</v>
      </c>
      <c r="D474" s="395"/>
      <c r="F474" t="s">
        <v>167</v>
      </c>
      <c r="G474" s="21">
        <v>69.262</v>
      </c>
      <c r="H474" s="21">
        <v>0</v>
      </c>
      <c r="I474" s="21">
        <v>0</v>
      </c>
      <c r="J474" s="21">
        <v>0</v>
      </c>
      <c r="K474" s="21">
        <v>0</v>
      </c>
      <c r="L474" s="21">
        <v>13.590999999999999</v>
      </c>
      <c r="M474" s="21">
        <v>16.420999999999999</v>
      </c>
      <c r="N474" s="21">
        <v>16.32</v>
      </c>
      <c r="O474" s="21">
        <v>16.681999999999999</v>
      </c>
      <c r="P474" s="21">
        <v>17.436</v>
      </c>
      <c r="Q474" s="21">
        <v>17.687000000000001</v>
      </c>
      <c r="R474" s="23">
        <v>2</v>
      </c>
      <c r="S474" s="23">
        <v>0</v>
      </c>
      <c r="T474" s="23">
        <v>0</v>
      </c>
      <c r="U474" s="23">
        <v>0</v>
      </c>
      <c r="V474" s="23">
        <v>0</v>
      </c>
      <c r="W474" s="23">
        <v>0</v>
      </c>
      <c r="X474" s="23">
        <v>0</v>
      </c>
      <c r="Y474" s="23">
        <v>0</v>
      </c>
      <c r="Z474" s="23">
        <v>0</v>
      </c>
      <c r="AA474" s="23">
        <v>1</v>
      </c>
      <c r="AB474" s="23">
        <v>1</v>
      </c>
      <c r="AC474" s="25">
        <v>0</v>
      </c>
      <c r="AD474" s="25">
        <v>0</v>
      </c>
      <c r="AE474" s="25">
        <v>0</v>
      </c>
      <c r="AF474" s="25">
        <v>0</v>
      </c>
      <c r="AG474" s="25">
        <v>0</v>
      </c>
      <c r="AH474" s="25">
        <v>0</v>
      </c>
      <c r="AI474" s="25">
        <v>0</v>
      </c>
      <c r="AJ474" s="25">
        <v>0</v>
      </c>
      <c r="AK474" s="25">
        <v>0</v>
      </c>
      <c r="AL474" s="25">
        <v>0</v>
      </c>
      <c r="AM474" s="25">
        <v>0</v>
      </c>
    </row>
    <row r="475" spans="1:39" ht="15" customHeight="1">
      <c r="A475" s="32" t="str">
        <f t="shared" si="19"/>
        <v>Endeavour--&gt; 132 kV; STEEL</v>
      </c>
      <c r="B475" s="32" t="str">
        <f t="shared" si="20"/>
        <v>Endeavour</v>
      </c>
      <c r="C475" s="32" t="s">
        <v>1</v>
      </c>
      <c r="D475" s="395"/>
      <c r="F475" t="s">
        <v>168</v>
      </c>
      <c r="G475" s="21">
        <v>0</v>
      </c>
      <c r="H475" s="21">
        <v>0</v>
      </c>
      <c r="I475" s="21">
        <v>0</v>
      </c>
      <c r="J475" s="21">
        <v>0</v>
      </c>
      <c r="K475" s="21">
        <v>0</v>
      </c>
      <c r="L475" s="21">
        <v>0</v>
      </c>
      <c r="M475" s="21">
        <v>0</v>
      </c>
      <c r="N475" s="21">
        <v>0</v>
      </c>
      <c r="O475" s="21">
        <v>0</v>
      </c>
      <c r="P475" s="21">
        <v>0</v>
      </c>
      <c r="Q475" s="21">
        <v>0</v>
      </c>
      <c r="R475" s="23">
        <v>0</v>
      </c>
      <c r="S475" s="23">
        <v>0</v>
      </c>
      <c r="T475" s="23">
        <v>0</v>
      </c>
      <c r="U475" s="23">
        <v>0</v>
      </c>
      <c r="V475" s="23">
        <v>0</v>
      </c>
      <c r="W475" s="23">
        <v>0</v>
      </c>
      <c r="X475" s="23">
        <v>0</v>
      </c>
      <c r="Y475" s="23">
        <v>0</v>
      </c>
      <c r="Z475" s="23">
        <v>0</v>
      </c>
      <c r="AA475" s="23">
        <v>0</v>
      </c>
      <c r="AB475" s="23">
        <v>0</v>
      </c>
      <c r="AC475" s="25">
        <v>0</v>
      </c>
      <c r="AD475" s="25">
        <v>0</v>
      </c>
      <c r="AE475" s="25">
        <v>0</v>
      </c>
      <c r="AF475" s="25">
        <v>0</v>
      </c>
      <c r="AG475" s="25">
        <v>0</v>
      </c>
      <c r="AH475" s="25">
        <v>0</v>
      </c>
      <c r="AI475" s="25">
        <v>0</v>
      </c>
      <c r="AJ475" s="25">
        <v>0</v>
      </c>
      <c r="AK475" s="25">
        <v>0</v>
      </c>
      <c r="AL475" s="25">
        <v>0</v>
      </c>
      <c r="AM475" s="25">
        <v>0</v>
      </c>
    </row>
    <row r="476" spans="1:39" ht="15" customHeight="1">
      <c r="A476" s="32" t="str">
        <f t="shared" si="19"/>
        <v>Endeavour--OTHER - PLEASE ADD A ROW IF NECESSARY AND NOMINATE THE CATEGORY</v>
      </c>
      <c r="B476" s="32" t="str">
        <f t="shared" si="20"/>
        <v>Endeavour</v>
      </c>
      <c r="C476" s="32" t="s">
        <v>1</v>
      </c>
      <c r="D476" s="395"/>
      <c r="F476" t="s">
        <v>170</v>
      </c>
      <c r="G476" s="21">
        <v>0</v>
      </c>
      <c r="H476" s="21">
        <v>0</v>
      </c>
      <c r="I476" s="21">
        <v>0</v>
      </c>
      <c r="J476" s="21">
        <v>0</v>
      </c>
      <c r="K476" s="21">
        <v>0</v>
      </c>
      <c r="L476" s="21">
        <v>0</v>
      </c>
      <c r="M476" s="21">
        <v>0</v>
      </c>
      <c r="N476" s="21">
        <v>0</v>
      </c>
      <c r="O476" s="21">
        <v>0</v>
      </c>
      <c r="P476" s="21">
        <v>0</v>
      </c>
      <c r="Q476" s="21">
        <v>0</v>
      </c>
      <c r="R476" s="23">
        <v>0</v>
      </c>
      <c r="S476" s="23">
        <v>0</v>
      </c>
      <c r="T476" s="23">
        <v>0</v>
      </c>
      <c r="U476" s="23">
        <v>0</v>
      </c>
      <c r="V476" s="23">
        <v>0</v>
      </c>
      <c r="W476" s="23">
        <v>0</v>
      </c>
      <c r="X476" s="23">
        <v>0</v>
      </c>
      <c r="Y476" s="23">
        <v>0</v>
      </c>
      <c r="Z476" s="23">
        <v>0</v>
      </c>
      <c r="AA476" s="23">
        <v>0</v>
      </c>
      <c r="AB476" s="23">
        <v>0</v>
      </c>
      <c r="AC476" s="25">
        <v>0</v>
      </c>
      <c r="AD476" s="25">
        <v>0</v>
      </c>
      <c r="AE476" s="25">
        <v>0</v>
      </c>
      <c r="AF476" s="25">
        <v>0</v>
      </c>
      <c r="AG476" s="25">
        <v>0</v>
      </c>
      <c r="AH476" s="25">
        <v>0</v>
      </c>
      <c r="AI476" s="25">
        <v>0</v>
      </c>
      <c r="AJ476" s="25">
        <v>0</v>
      </c>
      <c r="AK476" s="25">
        <v>0</v>
      </c>
      <c r="AL476" s="25">
        <v>0</v>
      </c>
      <c r="AM476" s="25">
        <v>0</v>
      </c>
    </row>
    <row r="477" spans="1:39" ht="30" customHeight="1">
      <c r="A477" s="32" t="str">
        <f t="shared" si="19"/>
        <v>Endeavour-POLE TOP STRUCTURES BY: 
HIGHEST OPERATING VOLTAGE-˂ = 1 kV</v>
      </c>
      <c r="B477" s="32" t="str">
        <f t="shared" si="20"/>
        <v>Endeavour</v>
      </c>
      <c r="C477" s="32" t="s">
        <v>1131</v>
      </c>
      <c r="D477" s="395"/>
      <c r="E477" s="3" t="s">
        <v>660</v>
      </c>
      <c r="F477" t="s">
        <v>171</v>
      </c>
      <c r="G477" s="21">
        <v>0</v>
      </c>
      <c r="H477" s="21">
        <v>0</v>
      </c>
      <c r="I477" s="21">
        <v>0</v>
      </c>
      <c r="J477" s="21">
        <v>0</v>
      </c>
      <c r="K477" s="21">
        <v>0</v>
      </c>
      <c r="L477" s="21">
        <v>0</v>
      </c>
      <c r="M477" s="21">
        <v>0</v>
      </c>
      <c r="N477" s="21">
        <v>0</v>
      </c>
      <c r="O477" s="21">
        <v>0</v>
      </c>
      <c r="P477" s="21">
        <v>0</v>
      </c>
      <c r="Q477" s="21">
        <v>0</v>
      </c>
      <c r="R477" s="23">
        <v>0</v>
      </c>
      <c r="S477" s="23">
        <v>0</v>
      </c>
      <c r="T477" s="23">
        <v>0</v>
      </c>
      <c r="U477" s="23">
        <v>0</v>
      </c>
      <c r="V477" s="23">
        <v>0</v>
      </c>
      <c r="W477" s="23">
        <v>0</v>
      </c>
      <c r="X477" s="23">
        <v>0</v>
      </c>
      <c r="Y477" s="23">
        <v>0</v>
      </c>
      <c r="Z477" s="23">
        <v>0</v>
      </c>
      <c r="AA477" s="23">
        <v>0</v>
      </c>
      <c r="AB477" s="23">
        <v>0</v>
      </c>
      <c r="AC477" s="25">
        <v>0</v>
      </c>
      <c r="AD477" s="25">
        <v>0</v>
      </c>
      <c r="AE477" s="25">
        <v>0</v>
      </c>
      <c r="AF477" s="25">
        <v>0</v>
      </c>
      <c r="AG477" s="25">
        <v>0</v>
      </c>
      <c r="AH477" s="25">
        <v>0</v>
      </c>
      <c r="AI477" s="25">
        <v>0</v>
      </c>
      <c r="AJ477" s="25">
        <v>0</v>
      </c>
      <c r="AK477" s="25">
        <v>0</v>
      </c>
      <c r="AL477" s="25">
        <v>0</v>
      </c>
      <c r="AM477" s="25">
        <v>0</v>
      </c>
    </row>
    <row r="478" spans="1:39" ht="15" customHeight="1">
      <c r="A478" s="32" t="str">
        <f t="shared" si="19"/>
        <v>Endeavour--&gt; 1 kV &amp; &lt; = 11 kV</v>
      </c>
      <c r="B478" s="32" t="str">
        <f t="shared" si="20"/>
        <v>Endeavour</v>
      </c>
      <c r="C478" s="32" t="s">
        <v>1131</v>
      </c>
      <c r="D478" s="395"/>
      <c r="F478" t="s">
        <v>172</v>
      </c>
      <c r="G478" s="21">
        <v>0</v>
      </c>
      <c r="H478" s="21">
        <v>0</v>
      </c>
      <c r="I478" s="21">
        <v>0</v>
      </c>
      <c r="J478" s="21">
        <v>0</v>
      </c>
      <c r="K478" s="21">
        <v>0</v>
      </c>
      <c r="L478" s="21">
        <v>0</v>
      </c>
      <c r="M478" s="21">
        <v>0</v>
      </c>
      <c r="N478" s="21">
        <v>0</v>
      </c>
      <c r="O478" s="21">
        <v>0</v>
      </c>
      <c r="P478" s="21">
        <v>0</v>
      </c>
      <c r="Q478" s="21">
        <v>0</v>
      </c>
      <c r="R478" s="23">
        <v>0</v>
      </c>
      <c r="S478" s="23">
        <v>0</v>
      </c>
      <c r="T478" s="23">
        <v>0</v>
      </c>
      <c r="U478" s="23">
        <v>0</v>
      </c>
      <c r="V478" s="23">
        <v>0</v>
      </c>
      <c r="W478" s="23">
        <v>0</v>
      </c>
      <c r="X478" s="23">
        <v>0</v>
      </c>
      <c r="Y478" s="23">
        <v>0</v>
      </c>
      <c r="Z478" s="23">
        <v>0</v>
      </c>
      <c r="AA478" s="23">
        <v>0</v>
      </c>
      <c r="AB478" s="23">
        <v>0</v>
      </c>
      <c r="AC478" s="25">
        <v>0</v>
      </c>
      <c r="AD478" s="25">
        <v>0</v>
      </c>
      <c r="AE478" s="25">
        <v>0</v>
      </c>
      <c r="AF478" s="25">
        <v>0</v>
      </c>
      <c r="AG478" s="25">
        <v>0</v>
      </c>
      <c r="AH478" s="25">
        <v>0</v>
      </c>
      <c r="AI478" s="25">
        <v>0</v>
      </c>
      <c r="AJ478" s="25">
        <v>0</v>
      </c>
      <c r="AK478" s="25">
        <v>0</v>
      </c>
      <c r="AL478" s="25">
        <v>0</v>
      </c>
      <c r="AM478" s="25">
        <v>0</v>
      </c>
    </row>
    <row r="479" spans="1:39" ht="15" customHeight="1">
      <c r="A479" s="32" t="str">
        <f t="shared" si="19"/>
        <v>Endeavour--˃ 11 kV &amp; &lt; = 22 kV</v>
      </c>
      <c r="B479" s="32" t="str">
        <f t="shared" si="20"/>
        <v>Endeavour</v>
      </c>
      <c r="C479" s="32" t="s">
        <v>1131</v>
      </c>
      <c r="D479" s="395"/>
      <c r="F479" t="s">
        <v>173</v>
      </c>
      <c r="G479" s="21">
        <v>0</v>
      </c>
      <c r="H479" s="21">
        <v>0</v>
      </c>
      <c r="I479" s="21">
        <v>0</v>
      </c>
      <c r="J479" s="21">
        <v>0</v>
      </c>
      <c r="K479" s="21">
        <v>0</v>
      </c>
      <c r="L479" s="21">
        <v>0</v>
      </c>
      <c r="M479" s="21">
        <v>0</v>
      </c>
      <c r="N479" s="21">
        <v>0</v>
      </c>
      <c r="O479" s="21">
        <v>0</v>
      </c>
      <c r="P479" s="21">
        <v>0</v>
      </c>
      <c r="Q479" s="21">
        <v>0</v>
      </c>
      <c r="R479" s="23">
        <v>0</v>
      </c>
      <c r="S479" s="23">
        <v>0</v>
      </c>
      <c r="T479" s="23">
        <v>0</v>
      </c>
      <c r="U479" s="23">
        <v>0</v>
      </c>
      <c r="V479" s="23">
        <v>0</v>
      </c>
      <c r="W479" s="23">
        <v>0</v>
      </c>
      <c r="X479" s="23">
        <v>0</v>
      </c>
      <c r="Y479" s="23">
        <v>0</v>
      </c>
      <c r="Z479" s="23">
        <v>0</v>
      </c>
      <c r="AA479" s="23">
        <v>0</v>
      </c>
      <c r="AB479" s="23">
        <v>0</v>
      </c>
      <c r="AC479" s="25">
        <v>0</v>
      </c>
      <c r="AD479" s="25">
        <v>0</v>
      </c>
      <c r="AE479" s="25">
        <v>0</v>
      </c>
      <c r="AF479" s="25">
        <v>0</v>
      </c>
      <c r="AG479" s="25">
        <v>0</v>
      </c>
      <c r="AH479" s="25">
        <v>0</v>
      </c>
      <c r="AI479" s="25">
        <v>0</v>
      </c>
      <c r="AJ479" s="25">
        <v>0</v>
      </c>
      <c r="AK479" s="25">
        <v>0</v>
      </c>
      <c r="AL479" s="25">
        <v>0</v>
      </c>
      <c r="AM479" s="25">
        <v>0</v>
      </c>
    </row>
    <row r="480" spans="1:39" ht="15" customHeight="1">
      <c r="A480" s="32" t="str">
        <f t="shared" si="19"/>
        <v>Endeavour--&gt; 22 kV &amp; &lt; = 66 kV</v>
      </c>
      <c r="B480" s="32" t="str">
        <f t="shared" si="20"/>
        <v>Endeavour</v>
      </c>
      <c r="C480" s="32" t="s">
        <v>1131</v>
      </c>
      <c r="D480" s="395"/>
      <c r="F480" t="s">
        <v>174</v>
      </c>
      <c r="G480" s="21">
        <v>0</v>
      </c>
      <c r="H480" s="21">
        <v>0</v>
      </c>
      <c r="I480" s="21">
        <v>0</v>
      </c>
      <c r="J480" s="21">
        <v>0</v>
      </c>
      <c r="K480" s="21">
        <v>0</v>
      </c>
      <c r="L480" s="21">
        <v>0</v>
      </c>
      <c r="M480" s="21">
        <v>0</v>
      </c>
      <c r="N480" s="21">
        <v>0</v>
      </c>
      <c r="O480" s="21">
        <v>0</v>
      </c>
      <c r="P480" s="21">
        <v>0</v>
      </c>
      <c r="Q480" s="21">
        <v>0</v>
      </c>
      <c r="R480" s="23">
        <v>0</v>
      </c>
      <c r="S480" s="23">
        <v>0</v>
      </c>
      <c r="T480" s="23">
        <v>0</v>
      </c>
      <c r="U480" s="23">
        <v>0</v>
      </c>
      <c r="V480" s="23">
        <v>0</v>
      </c>
      <c r="W480" s="23">
        <v>0</v>
      </c>
      <c r="X480" s="23">
        <v>0</v>
      </c>
      <c r="Y480" s="23">
        <v>0</v>
      </c>
      <c r="Z480" s="23">
        <v>0</v>
      </c>
      <c r="AA480" s="23">
        <v>0</v>
      </c>
      <c r="AB480" s="23">
        <v>0</v>
      </c>
      <c r="AC480" s="25">
        <v>0</v>
      </c>
      <c r="AD480" s="25">
        <v>0</v>
      </c>
      <c r="AE480" s="25">
        <v>0</v>
      </c>
      <c r="AF480" s="25">
        <v>0</v>
      </c>
      <c r="AG480" s="25">
        <v>0</v>
      </c>
      <c r="AH480" s="25">
        <v>0</v>
      </c>
      <c r="AI480" s="25">
        <v>0</v>
      </c>
      <c r="AJ480" s="25">
        <v>0</v>
      </c>
      <c r="AK480" s="25">
        <v>0</v>
      </c>
      <c r="AL480" s="25">
        <v>0</v>
      </c>
      <c r="AM480" s="25">
        <v>0</v>
      </c>
    </row>
    <row r="481" spans="1:39" ht="15" customHeight="1">
      <c r="A481" s="32" t="str">
        <f t="shared" si="19"/>
        <v>Endeavour--&gt; 66 kV &amp; &lt; = 132 kV</v>
      </c>
      <c r="B481" s="32" t="str">
        <f t="shared" si="20"/>
        <v>Endeavour</v>
      </c>
      <c r="C481" s="32" t="s">
        <v>1131</v>
      </c>
      <c r="D481" s="395"/>
      <c r="F481" t="s">
        <v>175</v>
      </c>
      <c r="G481" s="21">
        <v>0</v>
      </c>
      <c r="H481" s="21">
        <v>0</v>
      </c>
      <c r="I481" s="21">
        <v>0</v>
      </c>
      <c r="J481" s="21">
        <v>0</v>
      </c>
      <c r="K481" s="21">
        <v>0</v>
      </c>
      <c r="L481" s="21">
        <v>0</v>
      </c>
      <c r="M481" s="21">
        <v>0</v>
      </c>
      <c r="N481" s="21">
        <v>0</v>
      </c>
      <c r="O481" s="21">
        <v>0</v>
      </c>
      <c r="P481" s="21">
        <v>0</v>
      </c>
      <c r="Q481" s="21">
        <v>0</v>
      </c>
      <c r="R481" s="23">
        <v>0</v>
      </c>
      <c r="S481" s="23">
        <v>0</v>
      </c>
      <c r="T481" s="23">
        <v>0</v>
      </c>
      <c r="U481" s="23">
        <v>0</v>
      </c>
      <c r="V481" s="23">
        <v>0</v>
      </c>
      <c r="W481" s="23">
        <v>0</v>
      </c>
      <c r="X481" s="23">
        <v>0</v>
      </c>
      <c r="Y481" s="23">
        <v>0</v>
      </c>
      <c r="Z481" s="23">
        <v>0</v>
      </c>
      <c r="AA481" s="23">
        <v>0</v>
      </c>
      <c r="AB481" s="23">
        <v>0</v>
      </c>
      <c r="AC481" s="25">
        <v>0</v>
      </c>
      <c r="AD481" s="25">
        <v>0</v>
      </c>
      <c r="AE481" s="25">
        <v>0</v>
      </c>
      <c r="AF481" s="25">
        <v>0</v>
      </c>
      <c r="AG481" s="25">
        <v>0</v>
      </c>
      <c r="AH481" s="25">
        <v>0</v>
      </c>
      <c r="AI481" s="25">
        <v>0</v>
      </c>
      <c r="AJ481" s="25">
        <v>0</v>
      </c>
      <c r="AK481" s="25">
        <v>0</v>
      </c>
      <c r="AL481" s="25">
        <v>0</v>
      </c>
      <c r="AM481" s="25">
        <v>0</v>
      </c>
    </row>
    <row r="482" spans="1:39" ht="15" customHeight="1">
      <c r="A482" s="32" t="str">
        <f t="shared" si="19"/>
        <v>Endeavour--&gt; 132 kV</v>
      </c>
      <c r="B482" s="32" t="str">
        <f t="shared" si="20"/>
        <v>Endeavour</v>
      </c>
      <c r="C482" s="32" t="s">
        <v>1131</v>
      </c>
      <c r="D482" s="395"/>
      <c r="F482" t="s">
        <v>176</v>
      </c>
      <c r="G482" s="21">
        <v>0</v>
      </c>
      <c r="H482" s="21">
        <v>0</v>
      </c>
      <c r="I482" s="21">
        <v>0</v>
      </c>
      <c r="J482" s="21">
        <v>0</v>
      </c>
      <c r="K482" s="21">
        <v>0</v>
      </c>
      <c r="L482" s="21">
        <v>0</v>
      </c>
      <c r="M482" s="21">
        <v>0</v>
      </c>
      <c r="N482" s="21">
        <v>0</v>
      </c>
      <c r="O482" s="21">
        <v>0</v>
      </c>
      <c r="P482" s="21">
        <v>0</v>
      </c>
      <c r="Q482" s="21">
        <v>0</v>
      </c>
      <c r="R482" s="23">
        <v>0</v>
      </c>
      <c r="S482" s="23">
        <v>0</v>
      </c>
      <c r="T482" s="23">
        <v>0</v>
      </c>
      <c r="U482" s="23">
        <v>0</v>
      </c>
      <c r="V482" s="23">
        <v>0</v>
      </c>
      <c r="W482" s="23">
        <v>0</v>
      </c>
      <c r="X482" s="23">
        <v>0</v>
      </c>
      <c r="Y482" s="23">
        <v>0</v>
      </c>
      <c r="Z482" s="23">
        <v>0</v>
      </c>
      <c r="AA482" s="23">
        <v>0</v>
      </c>
      <c r="AB482" s="23">
        <v>0</v>
      </c>
      <c r="AC482" s="25">
        <v>0</v>
      </c>
      <c r="AD482" s="25">
        <v>0</v>
      </c>
      <c r="AE482" s="25">
        <v>0</v>
      </c>
      <c r="AF482" s="25">
        <v>0</v>
      </c>
      <c r="AG482" s="25">
        <v>0</v>
      </c>
      <c r="AH482" s="25">
        <v>0</v>
      </c>
      <c r="AI482" s="25">
        <v>0</v>
      </c>
      <c r="AJ482" s="25">
        <v>0</v>
      </c>
      <c r="AK482" s="25">
        <v>0</v>
      </c>
      <c r="AL482" s="25">
        <v>0</v>
      </c>
      <c r="AM482" s="25">
        <v>0</v>
      </c>
    </row>
    <row r="483" spans="1:39" ht="15" customHeight="1">
      <c r="A483" s="32" t="str">
        <f t="shared" si="19"/>
        <v>Endeavour--OTHER - PLEASE ADD A ROW IF NECESSARY AND NOMINATE THE CATEGORY</v>
      </c>
      <c r="B483" s="32" t="str">
        <f t="shared" si="20"/>
        <v>Endeavour</v>
      </c>
      <c r="C483" s="32" t="s">
        <v>1131</v>
      </c>
      <c r="D483" s="395"/>
      <c r="F483" t="s">
        <v>170</v>
      </c>
      <c r="G483" s="21">
        <v>0</v>
      </c>
      <c r="H483" s="21">
        <v>0</v>
      </c>
      <c r="I483" s="21">
        <v>0</v>
      </c>
      <c r="J483" s="21">
        <v>0</v>
      </c>
      <c r="K483" s="21">
        <v>0</v>
      </c>
      <c r="L483" s="21">
        <v>0</v>
      </c>
      <c r="M483" s="21">
        <v>0</v>
      </c>
      <c r="N483" s="21">
        <v>0</v>
      </c>
      <c r="O483" s="21">
        <v>0</v>
      </c>
      <c r="P483" s="21">
        <v>0</v>
      </c>
      <c r="Q483" s="21">
        <v>0</v>
      </c>
      <c r="R483" s="23">
        <v>0</v>
      </c>
      <c r="S483" s="23">
        <v>0</v>
      </c>
      <c r="T483" s="23">
        <v>0</v>
      </c>
      <c r="U483" s="23">
        <v>0</v>
      </c>
      <c r="V483" s="23">
        <v>0</v>
      </c>
      <c r="W483" s="23">
        <v>0</v>
      </c>
      <c r="X483" s="23">
        <v>0</v>
      </c>
      <c r="Y483" s="23">
        <v>0</v>
      </c>
      <c r="Z483" s="23">
        <v>0</v>
      </c>
      <c r="AA483" s="23">
        <v>0</v>
      </c>
      <c r="AB483" s="23">
        <v>0</v>
      </c>
      <c r="AC483" s="25">
        <v>0</v>
      </c>
      <c r="AD483" s="25">
        <v>0</v>
      </c>
      <c r="AE483" s="25">
        <v>0</v>
      </c>
      <c r="AF483" s="25">
        <v>0</v>
      </c>
      <c r="AG483" s="25">
        <v>0</v>
      </c>
      <c r="AH483" s="25">
        <v>0</v>
      </c>
      <c r="AI483" s="25">
        <v>0</v>
      </c>
      <c r="AJ483" s="25">
        <v>0</v>
      </c>
      <c r="AK483" s="25">
        <v>0</v>
      </c>
      <c r="AL483" s="25">
        <v>0</v>
      </c>
      <c r="AM483" s="25">
        <v>0</v>
      </c>
    </row>
    <row r="484" spans="1:39" ht="45" customHeight="1">
      <c r="A484" s="32" t="str">
        <f t="shared" si="19"/>
        <v>Endeavour-OVERHEAD CONDUCTORS BY: 
HIGHEST OPERATING VOLTAGE; NUMBER OF PHASES (AT HV)-˂ = 1 kV</v>
      </c>
      <c r="B484" s="32" t="str">
        <f t="shared" si="20"/>
        <v>Endeavour</v>
      </c>
      <c r="C484" s="32" t="s">
        <v>1132</v>
      </c>
      <c r="D484" s="395"/>
      <c r="E484" s="3" t="s">
        <v>538</v>
      </c>
      <c r="F484" t="s">
        <v>171</v>
      </c>
      <c r="G484" s="21">
        <v>1300.7070000000001</v>
      </c>
      <c r="H484" s="21">
        <v>1661.904</v>
      </c>
      <c r="I484" s="21">
        <v>796.30100000000004</v>
      </c>
      <c r="J484" s="21">
        <v>1616.0530000000001</v>
      </c>
      <c r="K484" s="21">
        <v>2831.11</v>
      </c>
      <c r="L484" s="21">
        <v>2408.0639999999999</v>
      </c>
      <c r="M484" s="21">
        <v>2655.509</v>
      </c>
      <c r="N484" s="21">
        <v>2828.877</v>
      </c>
      <c r="O484" s="21">
        <v>2835.4609999999998</v>
      </c>
      <c r="P484" s="21">
        <v>2496.0509999999999</v>
      </c>
      <c r="Q484" s="21">
        <v>2248.8200000000002</v>
      </c>
      <c r="R484" s="23">
        <v>95.305685751913416</v>
      </c>
      <c r="S484" s="23">
        <v>52.685084681396724</v>
      </c>
      <c r="T484" s="23">
        <v>51.681739393989318</v>
      </c>
      <c r="U484" s="23">
        <v>54.977811882732688</v>
      </c>
      <c r="V484" s="23">
        <v>60.63578913034609</v>
      </c>
      <c r="W484" s="23">
        <v>92.520367153251328</v>
      </c>
      <c r="X484" s="23">
        <v>102.02746731092709</v>
      </c>
      <c r="Y484" s="23">
        <v>108.68843622758145</v>
      </c>
      <c r="Z484" s="23">
        <v>108.94140718224982</v>
      </c>
      <c r="AA484" s="23">
        <v>95.900932617655542</v>
      </c>
      <c r="AB484" s="23">
        <v>86.402051418418296</v>
      </c>
      <c r="AC484" s="25">
        <v>0</v>
      </c>
      <c r="AD484" s="25">
        <v>0</v>
      </c>
      <c r="AE484" s="25">
        <v>0</v>
      </c>
      <c r="AF484" s="25">
        <v>0</v>
      </c>
      <c r="AG484" s="25">
        <v>0</v>
      </c>
      <c r="AH484" s="25">
        <v>0</v>
      </c>
      <c r="AI484" s="25">
        <v>0</v>
      </c>
      <c r="AJ484" s="25">
        <v>0</v>
      </c>
      <c r="AK484" s="25">
        <v>0</v>
      </c>
      <c r="AL484" s="25">
        <v>0</v>
      </c>
      <c r="AM484" s="25">
        <v>0</v>
      </c>
    </row>
    <row r="485" spans="1:39" ht="15" customHeight="1">
      <c r="A485" s="32" t="str">
        <f t="shared" si="19"/>
        <v>Endeavour--11 &amp; 22kV</v>
      </c>
      <c r="B485" s="32" t="str">
        <f t="shared" si="20"/>
        <v>Endeavour</v>
      </c>
      <c r="C485" s="32" t="s">
        <v>1132</v>
      </c>
      <c r="D485" s="395"/>
      <c r="F485" t="s">
        <v>585</v>
      </c>
      <c r="G485" s="21">
        <v>5770.4340000000002</v>
      </c>
      <c r="H485" s="21">
        <v>7883.2150000000001</v>
      </c>
      <c r="I485" s="21">
        <v>3558.09</v>
      </c>
      <c r="J485" s="21">
        <v>7546.3289999999997</v>
      </c>
      <c r="K485" s="21">
        <v>12342.625</v>
      </c>
      <c r="L485" s="21">
        <v>10887.157999999999</v>
      </c>
      <c r="M485" s="21">
        <v>12005.888000000001</v>
      </c>
      <c r="N485" s="21">
        <v>12789.705</v>
      </c>
      <c r="O485" s="21">
        <v>12819.473</v>
      </c>
      <c r="P485" s="21">
        <v>11284.96</v>
      </c>
      <c r="Q485" s="21">
        <v>10167.197</v>
      </c>
      <c r="R485" s="23">
        <v>104.98589406555595</v>
      </c>
      <c r="S485" s="23">
        <v>62.053787700815256</v>
      </c>
      <c r="T485" s="23">
        <v>57.340317267832027</v>
      </c>
      <c r="U485" s="23">
        <v>63.745685283693668</v>
      </c>
      <c r="V485" s="23">
        <v>65.639167287693425</v>
      </c>
      <c r="W485" s="23">
        <v>103.81191188290347</v>
      </c>
      <c r="X485" s="23">
        <v>114.47929544609001</v>
      </c>
      <c r="Y485" s="23">
        <v>121.95319486420512</v>
      </c>
      <c r="Z485" s="23">
        <v>122.23703937610018</v>
      </c>
      <c r="AA485" s="23">
        <v>107.60505467841156</v>
      </c>
      <c r="AB485" s="23">
        <v>96.946893147253704</v>
      </c>
      <c r="AC485" s="25">
        <v>0</v>
      </c>
      <c r="AD485" s="25">
        <v>0</v>
      </c>
      <c r="AE485" s="25">
        <v>0</v>
      </c>
      <c r="AF485" s="25">
        <v>0</v>
      </c>
      <c r="AG485" s="25">
        <v>0</v>
      </c>
      <c r="AH485" s="25">
        <v>0</v>
      </c>
      <c r="AI485" s="25">
        <v>0</v>
      </c>
      <c r="AJ485" s="25">
        <v>0</v>
      </c>
      <c r="AK485" s="25">
        <v>0</v>
      </c>
      <c r="AL485" s="25">
        <v>0</v>
      </c>
      <c r="AM485" s="25">
        <v>0</v>
      </c>
    </row>
    <row r="486" spans="1:39" ht="15" customHeight="1">
      <c r="A486" s="32" t="str">
        <f t="shared" si="19"/>
        <v>Endeavour--&gt; 1 kV &amp; &lt; = 11 kV</v>
      </c>
      <c r="B486" s="32" t="str">
        <f t="shared" si="20"/>
        <v>Endeavour</v>
      </c>
      <c r="C486" s="32" t="s">
        <v>1132</v>
      </c>
      <c r="D486" s="395"/>
      <c r="F486" t="s">
        <v>172</v>
      </c>
      <c r="G486" s="21">
        <v>0</v>
      </c>
      <c r="H486" s="21">
        <v>0</v>
      </c>
      <c r="I486" s="21">
        <v>0</v>
      </c>
      <c r="J486" s="21">
        <v>0</v>
      </c>
      <c r="K486" s="21">
        <v>0</v>
      </c>
      <c r="L486" s="21">
        <v>0</v>
      </c>
      <c r="M486" s="21">
        <v>0</v>
      </c>
      <c r="N486" s="21">
        <v>0</v>
      </c>
      <c r="O486" s="21">
        <v>0</v>
      </c>
      <c r="P486" s="21">
        <v>0</v>
      </c>
      <c r="Q486" s="21">
        <v>0</v>
      </c>
      <c r="R486" s="23">
        <v>0</v>
      </c>
      <c r="S486" s="23">
        <v>0</v>
      </c>
      <c r="T486" s="23">
        <v>0</v>
      </c>
      <c r="U486" s="23">
        <v>0</v>
      </c>
      <c r="V486" s="23">
        <v>0</v>
      </c>
      <c r="W486" s="23">
        <v>0</v>
      </c>
      <c r="X486" s="23">
        <v>0</v>
      </c>
      <c r="Y486" s="23">
        <v>0</v>
      </c>
      <c r="Z486" s="23">
        <v>0</v>
      </c>
      <c r="AA486" s="23">
        <v>0</v>
      </c>
      <c r="AB486" s="23">
        <v>0</v>
      </c>
      <c r="AC486" s="25">
        <v>0</v>
      </c>
      <c r="AD486" s="25">
        <v>0</v>
      </c>
      <c r="AE486" s="25">
        <v>0</v>
      </c>
      <c r="AF486" s="25">
        <v>0</v>
      </c>
      <c r="AG486" s="25">
        <v>0</v>
      </c>
      <c r="AH486" s="25">
        <v>0</v>
      </c>
      <c r="AI486" s="25">
        <v>0</v>
      </c>
      <c r="AJ486" s="25">
        <v>0</v>
      </c>
      <c r="AK486" s="25">
        <v>0</v>
      </c>
      <c r="AL486" s="25">
        <v>0</v>
      </c>
      <c r="AM486" s="25">
        <v>0</v>
      </c>
    </row>
    <row r="487" spans="1:39" ht="15" customHeight="1">
      <c r="A487" s="32" t="str">
        <f t="shared" si="19"/>
        <v>Endeavour--˃ 11 kV &amp; &lt; = 22 kV  ; SWER</v>
      </c>
      <c r="B487" s="32" t="str">
        <f t="shared" si="20"/>
        <v>Endeavour</v>
      </c>
      <c r="C487" s="32" t="s">
        <v>1132</v>
      </c>
      <c r="D487" s="395"/>
      <c r="F487" t="s">
        <v>177</v>
      </c>
      <c r="G487" s="21">
        <v>0</v>
      </c>
      <c r="H487" s="21">
        <v>0</v>
      </c>
      <c r="I487" s="21">
        <v>0</v>
      </c>
      <c r="J487" s="21">
        <v>0</v>
      </c>
      <c r="K487" s="21">
        <v>0</v>
      </c>
      <c r="L487" s="21">
        <v>0</v>
      </c>
      <c r="M487" s="21">
        <v>0</v>
      </c>
      <c r="N487" s="21">
        <v>0</v>
      </c>
      <c r="O487" s="21">
        <v>0</v>
      </c>
      <c r="P487" s="21">
        <v>0</v>
      </c>
      <c r="Q487" s="21">
        <v>0</v>
      </c>
      <c r="R487" s="23">
        <v>0</v>
      </c>
      <c r="S487" s="23">
        <v>0</v>
      </c>
      <c r="T487" s="23">
        <v>0</v>
      </c>
      <c r="U487" s="23">
        <v>0</v>
      </c>
      <c r="V487" s="23">
        <v>0</v>
      </c>
      <c r="W487" s="23">
        <v>0</v>
      </c>
      <c r="X487" s="23">
        <v>0</v>
      </c>
      <c r="Y487" s="23">
        <v>0</v>
      </c>
      <c r="Z487" s="23">
        <v>0</v>
      </c>
      <c r="AA487" s="23">
        <v>0</v>
      </c>
      <c r="AB487" s="23">
        <v>0</v>
      </c>
      <c r="AC487" s="25">
        <v>0</v>
      </c>
      <c r="AD487" s="25">
        <v>0</v>
      </c>
      <c r="AE487" s="25">
        <v>0</v>
      </c>
      <c r="AF487" s="25">
        <v>0</v>
      </c>
      <c r="AG487" s="25">
        <v>0</v>
      </c>
      <c r="AH487" s="25">
        <v>0</v>
      </c>
      <c r="AI487" s="25">
        <v>0</v>
      </c>
      <c r="AJ487" s="25">
        <v>0</v>
      </c>
      <c r="AK487" s="25">
        <v>0</v>
      </c>
      <c r="AL487" s="25">
        <v>0</v>
      </c>
      <c r="AM487" s="25">
        <v>0</v>
      </c>
    </row>
    <row r="488" spans="1:39" ht="15" customHeight="1">
      <c r="A488" s="32" t="str">
        <f t="shared" si="19"/>
        <v>Endeavour--˃ 11 kV &amp; &lt; = 22 kV ; SINGLE-PHASE</v>
      </c>
      <c r="B488" s="32" t="str">
        <f t="shared" si="20"/>
        <v>Endeavour</v>
      </c>
      <c r="C488" s="32" t="s">
        <v>1132</v>
      </c>
      <c r="D488" s="395"/>
      <c r="F488" t="s">
        <v>178</v>
      </c>
      <c r="G488" s="21">
        <v>0</v>
      </c>
      <c r="H488" s="21">
        <v>0</v>
      </c>
      <c r="I488" s="21">
        <v>0</v>
      </c>
      <c r="J488" s="21">
        <v>0</v>
      </c>
      <c r="K488" s="21">
        <v>0</v>
      </c>
      <c r="L488" s="21">
        <v>0</v>
      </c>
      <c r="M488" s="21">
        <v>0</v>
      </c>
      <c r="N488" s="21">
        <v>0</v>
      </c>
      <c r="O488" s="21">
        <v>0</v>
      </c>
      <c r="P488" s="21">
        <v>0</v>
      </c>
      <c r="Q488" s="21">
        <v>0</v>
      </c>
      <c r="R488" s="23">
        <v>0</v>
      </c>
      <c r="S488" s="23">
        <v>0</v>
      </c>
      <c r="T488" s="23">
        <v>0</v>
      </c>
      <c r="U488" s="23">
        <v>0</v>
      </c>
      <c r="V488" s="23">
        <v>0</v>
      </c>
      <c r="W488" s="23">
        <v>0</v>
      </c>
      <c r="X488" s="23">
        <v>0</v>
      </c>
      <c r="Y488" s="23">
        <v>0</v>
      </c>
      <c r="Z488" s="23">
        <v>0</v>
      </c>
      <c r="AA488" s="23">
        <v>0</v>
      </c>
      <c r="AB488" s="23">
        <v>0</v>
      </c>
      <c r="AC488" s="25">
        <v>0</v>
      </c>
      <c r="AD488" s="25">
        <v>0</v>
      </c>
      <c r="AE488" s="25">
        <v>0</v>
      </c>
      <c r="AF488" s="25">
        <v>0</v>
      </c>
      <c r="AG488" s="25">
        <v>0</v>
      </c>
      <c r="AH488" s="25">
        <v>0</v>
      </c>
      <c r="AI488" s="25">
        <v>0</v>
      </c>
      <c r="AJ488" s="25">
        <v>0</v>
      </c>
      <c r="AK488" s="25">
        <v>0</v>
      </c>
      <c r="AL488" s="25">
        <v>0</v>
      </c>
      <c r="AM488" s="25">
        <v>0</v>
      </c>
    </row>
    <row r="489" spans="1:39" ht="15" customHeight="1">
      <c r="A489" s="32" t="str">
        <f t="shared" si="19"/>
        <v>Endeavour--˃ 11 kV &amp; &lt; = 22 kV ; MULTIPLE-PHASE</v>
      </c>
      <c r="B489" s="32" t="str">
        <f t="shared" si="20"/>
        <v>Endeavour</v>
      </c>
      <c r="C489" s="32" t="s">
        <v>1132</v>
      </c>
      <c r="D489" s="395"/>
      <c r="F489" t="s">
        <v>179</v>
      </c>
      <c r="G489" s="21">
        <v>0</v>
      </c>
      <c r="H489" s="21">
        <v>0</v>
      </c>
      <c r="I489" s="21">
        <v>0</v>
      </c>
      <c r="J489" s="21">
        <v>0</v>
      </c>
      <c r="K489" s="21">
        <v>0</v>
      </c>
      <c r="L489" s="21">
        <v>0</v>
      </c>
      <c r="M489" s="21">
        <v>0</v>
      </c>
      <c r="N489" s="21">
        <v>0</v>
      </c>
      <c r="O489" s="21">
        <v>0</v>
      </c>
      <c r="P489" s="21">
        <v>0</v>
      </c>
      <c r="Q489" s="21">
        <v>0</v>
      </c>
      <c r="R489" s="23">
        <v>0</v>
      </c>
      <c r="S489" s="23">
        <v>0</v>
      </c>
      <c r="T489" s="23">
        <v>0</v>
      </c>
      <c r="U489" s="23">
        <v>0</v>
      </c>
      <c r="V489" s="23">
        <v>0</v>
      </c>
      <c r="W489" s="23">
        <v>0</v>
      </c>
      <c r="X489" s="23">
        <v>0</v>
      </c>
      <c r="Y489" s="23">
        <v>0</v>
      </c>
      <c r="Z489" s="23">
        <v>0</v>
      </c>
      <c r="AA489" s="23">
        <v>0</v>
      </c>
      <c r="AB489" s="23">
        <v>0</v>
      </c>
      <c r="AC489" s="25">
        <v>0</v>
      </c>
      <c r="AD489" s="25">
        <v>0</v>
      </c>
      <c r="AE489" s="25">
        <v>0</v>
      </c>
      <c r="AF489" s="25">
        <v>0</v>
      </c>
      <c r="AG489" s="25">
        <v>0</v>
      </c>
      <c r="AH489" s="25">
        <v>0</v>
      </c>
      <c r="AI489" s="25">
        <v>0</v>
      </c>
      <c r="AJ489" s="25">
        <v>0</v>
      </c>
      <c r="AK489" s="25">
        <v>0</v>
      </c>
      <c r="AL489" s="25">
        <v>0</v>
      </c>
      <c r="AM489" s="25">
        <v>0</v>
      </c>
    </row>
    <row r="490" spans="1:39" ht="15" customHeight="1">
      <c r="A490" s="32" t="str">
        <f t="shared" si="19"/>
        <v>Endeavour--&gt; 22 kV &amp; &lt; = 66 kV</v>
      </c>
      <c r="B490" s="32" t="str">
        <f t="shared" si="20"/>
        <v>Endeavour</v>
      </c>
      <c r="C490" s="32" t="s">
        <v>1132</v>
      </c>
      <c r="D490" s="395"/>
      <c r="F490" t="s">
        <v>174</v>
      </c>
      <c r="G490" s="21">
        <v>0</v>
      </c>
      <c r="H490" s="21">
        <v>0</v>
      </c>
      <c r="I490" s="21">
        <v>0</v>
      </c>
      <c r="J490" s="21">
        <v>0</v>
      </c>
      <c r="K490" s="21">
        <v>0</v>
      </c>
      <c r="L490" s="21">
        <v>0</v>
      </c>
      <c r="M490" s="21">
        <v>0</v>
      </c>
      <c r="N490" s="21">
        <v>0</v>
      </c>
      <c r="O490" s="21">
        <v>0</v>
      </c>
      <c r="P490" s="21">
        <v>0</v>
      </c>
      <c r="Q490" s="21">
        <v>0</v>
      </c>
      <c r="R490" s="23">
        <v>0</v>
      </c>
      <c r="S490" s="23">
        <v>0</v>
      </c>
      <c r="T490" s="23">
        <v>0</v>
      </c>
      <c r="U490" s="23">
        <v>0</v>
      </c>
      <c r="V490" s="23">
        <v>0</v>
      </c>
      <c r="W490" s="23">
        <v>0</v>
      </c>
      <c r="X490" s="23">
        <v>0</v>
      </c>
      <c r="Y490" s="23">
        <v>0</v>
      </c>
      <c r="Z490" s="23">
        <v>0</v>
      </c>
      <c r="AA490" s="23">
        <v>0</v>
      </c>
      <c r="AB490" s="23">
        <v>0</v>
      </c>
      <c r="AC490" s="25">
        <v>0</v>
      </c>
      <c r="AD490" s="25">
        <v>0</v>
      </c>
      <c r="AE490" s="25">
        <v>0</v>
      </c>
      <c r="AF490" s="25">
        <v>0</v>
      </c>
      <c r="AG490" s="25">
        <v>0</v>
      </c>
      <c r="AH490" s="25">
        <v>0</v>
      </c>
      <c r="AI490" s="25">
        <v>0</v>
      </c>
      <c r="AJ490" s="25">
        <v>0</v>
      </c>
      <c r="AK490" s="25">
        <v>0</v>
      </c>
      <c r="AL490" s="25">
        <v>0</v>
      </c>
      <c r="AM490" s="25">
        <v>0</v>
      </c>
    </row>
    <row r="491" spans="1:39" ht="15" customHeight="1">
      <c r="A491" s="32" t="str">
        <f t="shared" si="19"/>
        <v>Endeavour--&gt; 66 kV &amp; &lt; = 132 kV</v>
      </c>
      <c r="B491" s="32" t="str">
        <f t="shared" si="20"/>
        <v>Endeavour</v>
      </c>
      <c r="C491" s="32" t="s">
        <v>1132</v>
      </c>
      <c r="D491" s="395"/>
      <c r="F491" t="s">
        <v>175</v>
      </c>
      <c r="G491" s="21">
        <v>0</v>
      </c>
      <c r="H491" s="21">
        <v>0</v>
      </c>
      <c r="I491" s="21">
        <v>0</v>
      </c>
      <c r="J491" s="21">
        <v>0</v>
      </c>
      <c r="K491" s="21">
        <v>0</v>
      </c>
      <c r="L491" s="21">
        <v>0</v>
      </c>
      <c r="M491" s="21">
        <v>0</v>
      </c>
      <c r="N491" s="21">
        <v>0</v>
      </c>
      <c r="O491" s="21">
        <v>0</v>
      </c>
      <c r="P491" s="21">
        <v>0</v>
      </c>
      <c r="Q491" s="21">
        <v>0</v>
      </c>
      <c r="R491" s="23">
        <v>0</v>
      </c>
      <c r="S491" s="23">
        <v>0</v>
      </c>
      <c r="T491" s="23">
        <v>0</v>
      </c>
      <c r="U491" s="23">
        <v>0</v>
      </c>
      <c r="V491" s="23">
        <v>0</v>
      </c>
      <c r="W491" s="23">
        <v>0</v>
      </c>
      <c r="X491" s="23">
        <v>0</v>
      </c>
      <c r="Y491" s="23">
        <v>0</v>
      </c>
      <c r="Z491" s="23">
        <v>0</v>
      </c>
      <c r="AA491" s="23">
        <v>0</v>
      </c>
      <c r="AB491" s="23">
        <v>0</v>
      </c>
      <c r="AC491" s="25">
        <v>0</v>
      </c>
      <c r="AD491" s="25">
        <v>0</v>
      </c>
      <c r="AE491" s="25">
        <v>0</v>
      </c>
      <c r="AF491" s="25">
        <v>0</v>
      </c>
      <c r="AG491" s="25">
        <v>0</v>
      </c>
      <c r="AH491" s="25">
        <v>0</v>
      </c>
      <c r="AI491" s="25">
        <v>0</v>
      </c>
      <c r="AJ491" s="25">
        <v>0</v>
      </c>
      <c r="AK491" s="25">
        <v>0</v>
      </c>
      <c r="AL491" s="25">
        <v>0</v>
      </c>
      <c r="AM491" s="25">
        <v>0</v>
      </c>
    </row>
    <row r="492" spans="1:39" ht="15" customHeight="1">
      <c r="A492" s="32" t="str">
        <f t="shared" si="19"/>
        <v>Endeavour--&gt; 132 kV</v>
      </c>
      <c r="B492" s="32" t="str">
        <f t="shared" si="20"/>
        <v>Endeavour</v>
      </c>
      <c r="C492" s="32" t="s">
        <v>1132</v>
      </c>
      <c r="D492" s="395"/>
      <c r="F492" t="s">
        <v>176</v>
      </c>
      <c r="G492" s="21">
        <v>0</v>
      </c>
      <c r="H492" s="21">
        <v>0</v>
      </c>
      <c r="I492" s="21">
        <v>0</v>
      </c>
      <c r="J492" s="21">
        <v>0</v>
      </c>
      <c r="K492" s="21">
        <v>0</v>
      </c>
      <c r="L492" s="21">
        <v>0</v>
      </c>
      <c r="M492" s="21">
        <v>0</v>
      </c>
      <c r="N492" s="21">
        <v>0</v>
      </c>
      <c r="O492" s="21">
        <v>0</v>
      </c>
      <c r="P492" s="21">
        <v>0</v>
      </c>
      <c r="Q492" s="21">
        <v>0</v>
      </c>
      <c r="R492" s="23">
        <v>0</v>
      </c>
      <c r="S492" s="23">
        <v>0</v>
      </c>
      <c r="T492" s="23">
        <v>0</v>
      </c>
      <c r="U492" s="23">
        <v>0</v>
      </c>
      <c r="V492" s="23">
        <v>0</v>
      </c>
      <c r="W492" s="23">
        <v>0</v>
      </c>
      <c r="X492" s="23">
        <v>0</v>
      </c>
      <c r="Y492" s="23">
        <v>0</v>
      </c>
      <c r="Z492" s="23">
        <v>0</v>
      </c>
      <c r="AA492" s="23">
        <v>0</v>
      </c>
      <c r="AB492" s="23">
        <v>0</v>
      </c>
      <c r="AC492" s="25">
        <v>0</v>
      </c>
      <c r="AD492" s="25">
        <v>0</v>
      </c>
      <c r="AE492" s="25">
        <v>0</v>
      </c>
      <c r="AF492" s="25">
        <v>0</v>
      </c>
      <c r="AG492" s="25">
        <v>0</v>
      </c>
      <c r="AH492" s="25">
        <v>0</v>
      </c>
      <c r="AI492" s="25">
        <v>0</v>
      </c>
      <c r="AJ492" s="25">
        <v>0</v>
      </c>
      <c r="AK492" s="25">
        <v>0</v>
      </c>
      <c r="AL492" s="25">
        <v>0</v>
      </c>
      <c r="AM492" s="25">
        <v>0</v>
      </c>
    </row>
    <row r="493" spans="1:39" ht="15" customHeight="1">
      <c r="A493" s="32" t="str">
        <f t="shared" si="19"/>
        <v>Endeavour--33kV</v>
      </c>
      <c r="B493" s="32" t="str">
        <f t="shared" si="20"/>
        <v>Endeavour</v>
      </c>
      <c r="C493" s="32" t="s">
        <v>1132</v>
      </c>
      <c r="D493" s="395"/>
      <c r="F493" t="s">
        <v>586</v>
      </c>
      <c r="G493" s="21">
        <v>2419.8629999999998</v>
      </c>
      <c r="H493" s="21">
        <v>3156.57</v>
      </c>
      <c r="I493" s="21">
        <v>3791.0410000000002</v>
      </c>
      <c r="J493" s="21">
        <v>5508.8680000000004</v>
      </c>
      <c r="K493" s="21">
        <v>4420.59</v>
      </c>
      <c r="L493" s="21">
        <v>5662.6639999999998</v>
      </c>
      <c r="M493" s="21">
        <v>6244.5410000000002</v>
      </c>
      <c r="N493" s="21">
        <v>6652.223</v>
      </c>
      <c r="O493" s="21">
        <v>6667.7060000000001</v>
      </c>
      <c r="P493" s="21">
        <v>5869.57</v>
      </c>
      <c r="Q493" s="21">
        <v>5288.1949999999997</v>
      </c>
      <c r="R493" s="23">
        <v>9.7836480417912988</v>
      </c>
      <c r="S493" s="23">
        <v>5.5216372591277825</v>
      </c>
      <c r="T493" s="23">
        <v>13.576542717448962</v>
      </c>
      <c r="U493" s="23">
        <v>10.341058183879893</v>
      </c>
      <c r="V493" s="23">
        <v>5.2242424518586024</v>
      </c>
      <c r="W493" s="23">
        <v>13.04296168018538</v>
      </c>
      <c r="X493" s="23">
        <v>14.383215149357785</v>
      </c>
      <c r="Y493" s="23">
        <v>15.322238253199581</v>
      </c>
      <c r="Z493" s="23">
        <v>15.35790056809803</v>
      </c>
      <c r="AA493" s="23">
        <v>13.519533349389276</v>
      </c>
      <c r="AB493" s="23">
        <v>12.180438539258803</v>
      </c>
      <c r="AC493" s="25">
        <v>0</v>
      </c>
      <c r="AD493" s="25">
        <v>0</v>
      </c>
      <c r="AE493" s="25">
        <v>0</v>
      </c>
      <c r="AF493" s="25">
        <v>0</v>
      </c>
      <c r="AG493" s="25">
        <v>0</v>
      </c>
      <c r="AH493" s="25">
        <v>0</v>
      </c>
      <c r="AI493" s="25">
        <v>0</v>
      </c>
      <c r="AJ493" s="25">
        <v>0</v>
      </c>
      <c r="AK493" s="25">
        <v>0</v>
      </c>
      <c r="AL493" s="25">
        <v>0</v>
      </c>
      <c r="AM493" s="25">
        <v>0</v>
      </c>
    </row>
    <row r="494" spans="1:39" ht="15" customHeight="1">
      <c r="A494" s="32" t="str">
        <f t="shared" si="19"/>
        <v>Endeavour--66kV</v>
      </c>
      <c r="B494" s="32" t="str">
        <f t="shared" si="20"/>
        <v>Endeavour</v>
      </c>
      <c r="C494" s="32" t="s">
        <v>1132</v>
      </c>
      <c r="D494" s="395"/>
      <c r="F494" t="s">
        <v>587</v>
      </c>
      <c r="G494" s="21">
        <v>221.20500000000001</v>
      </c>
      <c r="H494" s="21">
        <v>692.47299999999996</v>
      </c>
      <c r="I494" s="21">
        <v>568.79100000000005</v>
      </c>
      <c r="J494" s="21">
        <v>521.33100000000002</v>
      </c>
      <c r="K494" s="21">
        <v>670.08799999999997</v>
      </c>
      <c r="L494" s="21">
        <v>784.649</v>
      </c>
      <c r="M494" s="21">
        <v>865.27800000000002</v>
      </c>
      <c r="N494" s="21">
        <v>921.76800000000003</v>
      </c>
      <c r="O494" s="21">
        <v>923.91300000000001</v>
      </c>
      <c r="P494" s="21">
        <v>813.31899999999996</v>
      </c>
      <c r="Q494" s="21">
        <v>732.76099999999997</v>
      </c>
      <c r="R494" s="23">
        <v>0.80490858749073912</v>
      </c>
      <c r="S494" s="23">
        <v>1.0901782114383456</v>
      </c>
      <c r="T494" s="23">
        <v>1.8332681278733893</v>
      </c>
      <c r="U494" s="23">
        <v>0.88076214324182744</v>
      </c>
      <c r="V494" s="23">
        <v>0.71271784315832365</v>
      </c>
      <c r="W494" s="23">
        <v>1.5616866813006467</v>
      </c>
      <c r="X494" s="23">
        <v>1.7221606628774893</v>
      </c>
      <c r="Y494" s="23">
        <v>1.8345937061280222</v>
      </c>
      <c r="Z494" s="23">
        <v>1.8388636996744931</v>
      </c>
      <c r="AA494" s="23">
        <v>1.6187485393916357</v>
      </c>
      <c r="AB494" s="23">
        <v>1.4584132887593686</v>
      </c>
      <c r="AC494" s="25">
        <v>0</v>
      </c>
      <c r="AD494" s="25">
        <v>0</v>
      </c>
      <c r="AE494" s="25">
        <v>0</v>
      </c>
      <c r="AF494" s="25">
        <v>0</v>
      </c>
      <c r="AG494" s="25">
        <v>0</v>
      </c>
      <c r="AH494" s="25">
        <v>0</v>
      </c>
      <c r="AI494" s="25">
        <v>0</v>
      </c>
      <c r="AJ494" s="25">
        <v>0</v>
      </c>
      <c r="AK494" s="25">
        <v>0</v>
      </c>
      <c r="AL494" s="25">
        <v>0</v>
      </c>
      <c r="AM494" s="25">
        <v>0</v>
      </c>
    </row>
    <row r="495" spans="1:39" ht="15" customHeight="1">
      <c r="A495" s="32" t="str">
        <f t="shared" si="19"/>
        <v>Endeavour--132kV Pole Line</v>
      </c>
      <c r="B495" s="32" t="str">
        <f t="shared" si="20"/>
        <v>Endeavour</v>
      </c>
      <c r="C495" s="32" t="s">
        <v>1132</v>
      </c>
      <c r="D495" s="395"/>
      <c r="F495" t="s">
        <v>588</v>
      </c>
      <c r="G495" s="21">
        <v>819.85</v>
      </c>
      <c r="H495" s="21">
        <v>1371.9159999999999</v>
      </c>
      <c r="I495" s="21">
        <v>8068.8819999999996</v>
      </c>
      <c r="J495" s="21">
        <v>6319.99</v>
      </c>
      <c r="K495" s="21">
        <v>2473.15</v>
      </c>
      <c r="L495" s="21">
        <v>5591.3130000000001</v>
      </c>
      <c r="M495" s="21">
        <v>6165.8590000000004</v>
      </c>
      <c r="N495" s="21">
        <v>6568.4030000000002</v>
      </c>
      <c r="O495" s="21">
        <v>6583.6909999999998</v>
      </c>
      <c r="P495" s="21">
        <v>5795.6120000000001</v>
      </c>
      <c r="Q495" s="21">
        <v>5221.5630000000001</v>
      </c>
      <c r="R495" s="23">
        <v>1.4916149962967671</v>
      </c>
      <c r="S495" s="23">
        <v>1.0799218266121049</v>
      </c>
      <c r="T495" s="23">
        <v>13.003389422722796</v>
      </c>
      <c r="U495" s="23">
        <v>5.3386500003196211</v>
      </c>
      <c r="V495" s="23">
        <v>1.315242757413899</v>
      </c>
      <c r="W495" s="23">
        <v>6.5230228191553081</v>
      </c>
      <c r="X495" s="23">
        <v>7.1933080026305536</v>
      </c>
      <c r="Y495" s="23">
        <v>7.6629305687521336</v>
      </c>
      <c r="Z495" s="23">
        <v>7.6807659423099581</v>
      </c>
      <c r="AA495" s="23">
        <v>6.7613649955263861</v>
      </c>
      <c r="AB495" s="23">
        <v>6.0916592785523438</v>
      </c>
      <c r="AC495" s="25">
        <v>0</v>
      </c>
      <c r="AD495" s="25">
        <v>0</v>
      </c>
      <c r="AE495" s="25">
        <v>0</v>
      </c>
      <c r="AF495" s="25">
        <v>0</v>
      </c>
      <c r="AG495" s="25">
        <v>0</v>
      </c>
      <c r="AH495" s="25">
        <v>0</v>
      </c>
      <c r="AI495" s="25">
        <v>0</v>
      </c>
      <c r="AJ495" s="25">
        <v>0</v>
      </c>
      <c r="AK495" s="25">
        <v>0</v>
      </c>
      <c r="AL495" s="25">
        <v>0</v>
      </c>
      <c r="AM495" s="25">
        <v>0</v>
      </c>
    </row>
    <row r="496" spans="1:39" ht="15" customHeight="1">
      <c r="A496" s="32" t="str">
        <f t="shared" si="19"/>
        <v>Endeavour--132kV Tower Lines</v>
      </c>
      <c r="B496" s="32" t="str">
        <f t="shared" si="20"/>
        <v>Endeavour</v>
      </c>
      <c r="C496" s="32" t="s">
        <v>1132</v>
      </c>
      <c r="D496" s="395"/>
      <c r="F496" t="s">
        <v>589</v>
      </c>
      <c r="G496" s="21">
        <v>0</v>
      </c>
      <c r="H496" s="21">
        <v>0</v>
      </c>
      <c r="I496" s="21">
        <v>0</v>
      </c>
      <c r="J496" s="21">
        <v>0</v>
      </c>
      <c r="K496" s="21">
        <v>0</v>
      </c>
      <c r="L496" s="21">
        <v>0</v>
      </c>
      <c r="M496" s="21">
        <v>0</v>
      </c>
      <c r="N496" s="21">
        <v>0</v>
      </c>
      <c r="O496" s="21">
        <v>0</v>
      </c>
      <c r="P496" s="21">
        <v>0</v>
      </c>
      <c r="Q496" s="21">
        <v>0</v>
      </c>
      <c r="R496" s="23">
        <v>0</v>
      </c>
      <c r="S496" s="23">
        <v>0</v>
      </c>
      <c r="T496" s="23">
        <v>0</v>
      </c>
      <c r="U496" s="23">
        <v>0</v>
      </c>
      <c r="V496" s="23">
        <v>0</v>
      </c>
      <c r="W496" s="23">
        <v>0</v>
      </c>
      <c r="X496" s="23">
        <v>0</v>
      </c>
      <c r="Y496" s="23">
        <v>0</v>
      </c>
      <c r="Z496" s="23">
        <v>0</v>
      </c>
      <c r="AA496" s="23">
        <v>0</v>
      </c>
      <c r="AB496" s="23">
        <v>0</v>
      </c>
      <c r="AC496" s="25">
        <v>0</v>
      </c>
      <c r="AD496" s="25">
        <v>0</v>
      </c>
      <c r="AE496" s="25">
        <v>0</v>
      </c>
      <c r="AF496" s="25">
        <v>0</v>
      </c>
      <c r="AG496" s="25">
        <v>0</v>
      </c>
      <c r="AH496" s="25">
        <v>0</v>
      </c>
      <c r="AI496" s="25">
        <v>0</v>
      </c>
      <c r="AJ496" s="25">
        <v>0</v>
      </c>
      <c r="AK496" s="25">
        <v>0</v>
      </c>
      <c r="AL496" s="25">
        <v>0</v>
      </c>
      <c r="AM496" s="25">
        <v>0</v>
      </c>
    </row>
    <row r="497" spans="1:39" ht="30" customHeight="1">
      <c r="A497" s="32" t="str">
        <f t="shared" si="19"/>
        <v>Endeavour-UNDERGROUND CABLES BY: 
HIGHEST OPERATING VOLTAGE-˂ = 1 kV</v>
      </c>
      <c r="B497" s="32" t="str">
        <f t="shared" si="20"/>
        <v>Endeavour</v>
      </c>
      <c r="C497" s="32" t="s">
        <v>1133</v>
      </c>
      <c r="D497" s="395"/>
      <c r="E497" s="3" t="s">
        <v>539</v>
      </c>
      <c r="F497" t="s">
        <v>171</v>
      </c>
      <c r="G497" s="21">
        <v>1926.7539999999999</v>
      </c>
      <c r="H497" s="21">
        <v>3029.8809999999999</v>
      </c>
      <c r="I497" s="21">
        <v>2617.4169999999999</v>
      </c>
      <c r="J497" s="21">
        <v>1969.1130000000001</v>
      </c>
      <c r="K497" s="21">
        <v>2410.6610000000001</v>
      </c>
      <c r="L497" s="21">
        <v>6597.076</v>
      </c>
      <c r="M497" s="21">
        <v>5836.134</v>
      </c>
      <c r="N497" s="21">
        <v>6633.9610000000002</v>
      </c>
      <c r="O497" s="21">
        <v>3376.364</v>
      </c>
      <c r="P497" s="21">
        <v>5276.6289999999999</v>
      </c>
      <c r="Q497" s="21">
        <v>5225.7290000000003</v>
      </c>
      <c r="R497" s="23">
        <v>47.500434714405976</v>
      </c>
      <c r="S497" s="23">
        <v>53.483093552570288</v>
      </c>
      <c r="T497" s="23">
        <v>79.271321360407327</v>
      </c>
      <c r="U497" s="23">
        <v>82.21217881019659</v>
      </c>
      <c r="V497" s="23">
        <v>117.9697487442466</v>
      </c>
      <c r="W497" s="23">
        <v>209.95542176409694</v>
      </c>
      <c r="X497" s="23">
        <v>185.73804206523613</v>
      </c>
      <c r="Y497" s="23">
        <v>211.12932185253203</v>
      </c>
      <c r="Z497" s="23">
        <v>107.45456534182573</v>
      </c>
      <c r="AA497" s="23">
        <v>167.93150663973768</v>
      </c>
      <c r="AB497" s="23">
        <v>166.31158856925791</v>
      </c>
      <c r="AC497" s="25">
        <v>0</v>
      </c>
      <c r="AD497" s="25">
        <v>0</v>
      </c>
      <c r="AE497" s="25">
        <v>0</v>
      </c>
      <c r="AF497" s="25">
        <v>0</v>
      </c>
      <c r="AG497" s="25">
        <v>0</v>
      </c>
      <c r="AH497" s="25">
        <v>0</v>
      </c>
      <c r="AI497" s="25">
        <v>0</v>
      </c>
      <c r="AJ497" s="25">
        <v>0</v>
      </c>
      <c r="AK497" s="25">
        <v>0</v>
      </c>
      <c r="AL497" s="25">
        <v>0</v>
      </c>
      <c r="AM497" s="25">
        <v>0</v>
      </c>
    </row>
    <row r="498" spans="1:39" ht="15" customHeight="1">
      <c r="A498" s="32" t="str">
        <f t="shared" si="19"/>
        <v>Endeavour--&gt; 1 kV &amp; &lt; = 11 kV</v>
      </c>
      <c r="B498" s="32" t="str">
        <f t="shared" si="20"/>
        <v>Endeavour</v>
      </c>
      <c r="C498" s="32" t="s">
        <v>1133</v>
      </c>
      <c r="D498" s="395"/>
      <c r="F498" t="s">
        <v>172</v>
      </c>
      <c r="G498" s="21">
        <v>2018.3409999999999</v>
      </c>
      <c r="H498" s="21">
        <v>3651.0929999999998</v>
      </c>
      <c r="I498" s="21">
        <v>2483.1909999999998</v>
      </c>
      <c r="J498" s="21">
        <v>1851.931</v>
      </c>
      <c r="K498" s="21">
        <v>1709.828</v>
      </c>
      <c r="L498" s="21">
        <v>6464.9340000000002</v>
      </c>
      <c r="M498" s="21">
        <v>5719.2340000000004</v>
      </c>
      <c r="N498" s="21">
        <v>6501.08</v>
      </c>
      <c r="O498" s="21">
        <v>3308.7339999999999</v>
      </c>
      <c r="P498" s="21">
        <v>5170.9359999999997</v>
      </c>
      <c r="Q498" s="21">
        <v>5121.0550000000003</v>
      </c>
      <c r="R498" s="23">
        <v>32.400795506633067</v>
      </c>
      <c r="S498" s="23">
        <v>41.966585374173661</v>
      </c>
      <c r="T498" s="23">
        <v>48.971473882281877</v>
      </c>
      <c r="U498" s="23">
        <v>50.347759022094451</v>
      </c>
      <c r="V498" s="23">
        <v>54.484948409434367</v>
      </c>
      <c r="W498" s="23">
        <v>125.92330565414171</v>
      </c>
      <c r="X498" s="23">
        <v>111.39863903520356</v>
      </c>
      <c r="Y498" s="23">
        <v>126.62736644190991</v>
      </c>
      <c r="Z498" s="23">
        <v>64.447176270946457</v>
      </c>
      <c r="AA498" s="23">
        <v>100.71895387067511</v>
      </c>
      <c r="AB498" s="23">
        <v>99.747388399253794</v>
      </c>
      <c r="AC498" s="25">
        <v>0</v>
      </c>
      <c r="AD498" s="25">
        <v>0</v>
      </c>
      <c r="AE498" s="25">
        <v>0</v>
      </c>
      <c r="AF498" s="25">
        <v>0</v>
      </c>
      <c r="AG498" s="25">
        <v>0</v>
      </c>
      <c r="AH498" s="25">
        <v>0</v>
      </c>
      <c r="AI498" s="25">
        <v>0</v>
      </c>
      <c r="AJ498" s="25">
        <v>0</v>
      </c>
      <c r="AK498" s="25">
        <v>0</v>
      </c>
      <c r="AL498" s="25">
        <v>0</v>
      </c>
      <c r="AM498" s="25">
        <v>0</v>
      </c>
    </row>
    <row r="499" spans="1:39" ht="15" customHeight="1">
      <c r="A499" s="32" t="str">
        <f t="shared" si="19"/>
        <v>Endeavour--&gt; 11 kV &amp; &lt; = 22 kV</v>
      </c>
      <c r="B499" s="32" t="str">
        <f t="shared" si="20"/>
        <v>Endeavour</v>
      </c>
      <c r="C499" s="32" t="s">
        <v>1133</v>
      </c>
      <c r="D499" s="395"/>
      <c r="F499" t="s">
        <v>181</v>
      </c>
      <c r="G499" s="21">
        <v>155.23400000000001</v>
      </c>
      <c r="H499" s="21">
        <v>409.65800000000002</v>
      </c>
      <c r="I499" s="21">
        <v>375.661</v>
      </c>
      <c r="J499" s="21">
        <v>104.837</v>
      </c>
      <c r="K499" s="21">
        <v>150.79499999999999</v>
      </c>
      <c r="L499" s="21">
        <v>660.15</v>
      </c>
      <c r="M499" s="21">
        <v>584.005</v>
      </c>
      <c r="N499" s="21">
        <v>663.84199999999998</v>
      </c>
      <c r="O499" s="21">
        <v>337.863</v>
      </c>
      <c r="P499" s="21">
        <v>528.01700000000005</v>
      </c>
      <c r="Q499" s="21">
        <v>522.92399999999998</v>
      </c>
      <c r="R499" s="23">
        <v>2.4920038150617061</v>
      </c>
      <c r="S499" s="23">
        <v>4.7087090388089115</v>
      </c>
      <c r="T499" s="23">
        <v>7.4084763943529479</v>
      </c>
      <c r="U499" s="23">
        <v>2.8501628156855072</v>
      </c>
      <c r="V499" s="23">
        <v>4.805204042933588</v>
      </c>
      <c r="W499" s="23">
        <v>12.28736165422929</v>
      </c>
      <c r="X499" s="23">
        <v>10.870071735362435</v>
      </c>
      <c r="Y499" s="23">
        <v>12.35606259470198</v>
      </c>
      <c r="Z499" s="23">
        <v>6.2886354382242793</v>
      </c>
      <c r="AA499" s="23">
        <v>9.8279679461696023</v>
      </c>
      <c r="AB499" s="23">
        <v>9.733164396849638</v>
      </c>
      <c r="AC499" s="25">
        <v>0</v>
      </c>
      <c r="AD499" s="25">
        <v>0</v>
      </c>
      <c r="AE499" s="25">
        <v>0</v>
      </c>
      <c r="AF499" s="25">
        <v>0</v>
      </c>
      <c r="AG499" s="25">
        <v>0</v>
      </c>
      <c r="AH499" s="25">
        <v>0</v>
      </c>
      <c r="AI499" s="25">
        <v>0</v>
      </c>
      <c r="AJ499" s="25">
        <v>0</v>
      </c>
      <c r="AK499" s="25">
        <v>0</v>
      </c>
      <c r="AL499" s="25">
        <v>0</v>
      </c>
      <c r="AM499" s="25">
        <v>0</v>
      </c>
    </row>
    <row r="500" spans="1:39" ht="15" customHeight="1">
      <c r="A500" s="32" t="str">
        <f t="shared" si="19"/>
        <v>Endeavour--&gt; 22 kV &amp; &lt; = 33 kV</v>
      </c>
      <c r="B500" s="32" t="str">
        <f t="shared" si="20"/>
        <v>Endeavour</v>
      </c>
      <c r="C500" s="32" t="s">
        <v>1133</v>
      </c>
      <c r="D500" s="395"/>
      <c r="F500" t="s">
        <v>182</v>
      </c>
      <c r="G500" s="21">
        <v>189.63300000000001</v>
      </c>
      <c r="H500" s="21">
        <v>1273.357</v>
      </c>
      <c r="I500" s="21">
        <v>502.09300000000002</v>
      </c>
      <c r="J500" s="21">
        <v>29.497</v>
      </c>
      <c r="K500" s="21">
        <v>491.88400000000001</v>
      </c>
      <c r="L500" s="21">
        <v>1372.229</v>
      </c>
      <c r="M500" s="21">
        <v>1213.9490000000001</v>
      </c>
      <c r="N500" s="21">
        <v>1379.9010000000001</v>
      </c>
      <c r="O500" s="21">
        <v>702.303</v>
      </c>
      <c r="P500" s="21">
        <v>1097.569</v>
      </c>
      <c r="Q500" s="21">
        <v>1086.981</v>
      </c>
      <c r="R500" s="23">
        <v>0.46750303444698704</v>
      </c>
      <c r="S500" s="23">
        <v>2.2477153147823938</v>
      </c>
      <c r="T500" s="23">
        <v>1.5206423223267138</v>
      </c>
      <c r="U500" s="23">
        <v>0.1231510631133438</v>
      </c>
      <c r="V500" s="23">
        <v>2.407115990889908</v>
      </c>
      <c r="W500" s="23">
        <v>3.7340900920591205</v>
      </c>
      <c r="X500" s="23">
        <v>3.3033801974094086</v>
      </c>
      <c r="Y500" s="23">
        <v>3.7549680891713728</v>
      </c>
      <c r="Z500" s="23">
        <v>1.9110962909081919</v>
      </c>
      <c r="AA500" s="23">
        <v>2.9866881732283801</v>
      </c>
      <c r="AB500" s="23">
        <v>2.9578776763805181</v>
      </c>
      <c r="AC500" s="25">
        <v>0</v>
      </c>
      <c r="AD500" s="25">
        <v>0</v>
      </c>
      <c r="AE500" s="25">
        <v>0</v>
      </c>
      <c r="AF500" s="25">
        <v>0</v>
      </c>
      <c r="AG500" s="25">
        <v>0</v>
      </c>
      <c r="AH500" s="25">
        <v>0</v>
      </c>
      <c r="AI500" s="25">
        <v>0</v>
      </c>
      <c r="AJ500" s="25">
        <v>0</v>
      </c>
      <c r="AK500" s="25">
        <v>0</v>
      </c>
      <c r="AL500" s="25">
        <v>0</v>
      </c>
      <c r="AM500" s="25">
        <v>0</v>
      </c>
    </row>
    <row r="501" spans="1:39" ht="15" customHeight="1">
      <c r="A501" s="32" t="str">
        <f t="shared" si="19"/>
        <v>Endeavour--&gt; 33 kV &amp; &lt; = 66 kV</v>
      </c>
      <c r="B501" s="32" t="str">
        <f t="shared" si="20"/>
        <v>Endeavour</v>
      </c>
      <c r="C501" s="32" t="s">
        <v>1133</v>
      </c>
      <c r="D501" s="395"/>
      <c r="F501" t="s">
        <v>183</v>
      </c>
      <c r="G501" s="21">
        <v>27.414999999999999</v>
      </c>
      <c r="H501" s="21">
        <v>61.218000000000004</v>
      </c>
      <c r="I501" s="21">
        <v>104.774</v>
      </c>
      <c r="J501" s="21">
        <v>76.590999999999994</v>
      </c>
      <c r="K501" s="21">
        <v>1146.316</v>
      </c>
      <c r="L501" s="21">
        <v>781.63599999999997</v>
      </c>
      <c r="M501" s="21">
        <v>691.47799999999995</v>
      </c>
      <c r="N501" s="21">
        <v>786.00599999999997</v>
      </c>
      <c r="O501" s="21">
        <v>400.03899999999999</v>
      </c>
      <c r="P501" s="21">
        <v>625.18600000000004</v>
      </c>
      <c r="Q501" s="21">
        <v>619.15499999999997</v>
      </c>
      <c r="R501" s="23">
        <v>4.980124612170856E-2</v>
      </c>
      <c r="S501" s="23">
        <v>7.9624406936276634E-2</v>
      </c>
      <c r="T501" s="23">
        <v>0.23381361670120995</v>
      </c>
      <c r="U501" s="23">
        <v>0.2356223592358285</v>
      </c>
      <c r="V501" s="23">
        <v>4.1334585191527973</v>
      </c>
      <c r="W501" s="23">
        <v>2.6116725096539164</v>
      </c>
      <c r="X501" s="23">
        <v>2.3104282536878564</v>
      </c>
      <c r="Y501" s="23">
        <v>2.626274859830378</v>
      </c>
      <c r="Z501" s="23">
        <v>1.3366462841591948</v>
      </c>
      <c r="AA501" s="23">
        <v>2.0889296199673848</v>
      </c>
      <c r="AB501" s="23">
        <v>2.0687791734725227</v>
      </c>
      <c r="AC501" s="25">
        <v>0</v>
      </c>
      <c r="AD501" s="25">
        <v>0</v>
      </c>
      <c r="AE501" s="25">
        <v>0</v>
      </c>
      <c r="AF501" s="25">
        <v>0</v>
      </c>
      <c r="AG501" s="25">
        <v>0</v>
      </c>
      <c r="AH501" s="25">
        <v>0</v>
      </c>
      <c r="AI501" s="25">
        <v>0</v>
      </c>
      <c r="AJ501" s="25">
        <v>0</v>
      </c>
      <c r="AK501" s="25">
        <v>0</v>
      </c>
      <c r="AL501" s="25">
        <v>0</v>
      </c>
      <c r="AM501" s="25">
        <v>0</v>
      </c>
    </row>
    <row r="502" spans="1:39" ht="15" customHeight="1">
      <c r="A502" s="32" t="str">
        <f t="shared" si="19"/>
        <v>Endeavour--&gt; 66 kV &amp; &lt; = 132 kV</v>
      </c>
      <c r="B502" s="32" t="str">
        <f t="shared" si="20"/>
        <v>Endeavour</v>
      </c>
      <c r="C502" s="32" t="s">
        <v>1133</v>
      </c>
      <c r="D502" s="395"/>
      <c r="F502" t="s">
        <v>175</v>
      </c>
      <c r="G502" s="21">
        <v>1321.4590000000001</v>
      </c>
      <c r="H502" s="21">
        <v>0</v>
      </c>
      <c r="I502" s="21">
        <v>763.29700000000003</v>
      </c>
      <c r="J502" s="21">
        <v>1928.912</v>
      </c>
      <c r="K502" s="21">
        <v>1587.365</v>
      </c>
      <c r="L502" s="21">
        <v>3091.0970000000002</v>
      </c>
      <c r="M502" s="21">
        <v>2734.5540000000001</v>
      </c>
      <c r="N502" s="21">
        <v>3108.38</v>
      </c>
      <c r="O502" s="21">
        <v>1582.0150000000001</v>
      </c>
      <c r="P502" s="21">
        <v>2472.395</v>
      </c>
      <c r="Q502" s="21">
        <v>2448.5450000000001</v>
      </c>
      <c r="R502" s="23">
        <v>2.17187055719518</v>
      </c>
      <c r="S502" s="23">
        <v>0</v>
      </c>
      <c r="T502" s="23">
        <v>1.5411532277839353</v>
      </c>
      <c r="U502" s="23">
        <v>5.3689191119359441</v>
      </c>
      <c r="V502" s="23">
        <v>5.1786932166832651</v>
      </c>
      <c r="W502" s="23">
        <v>7.8701588527647601</v>
      </c>
      <c r="X502" s="23">
        <v>6.9623726968925643</v>
      </c>
      <c r="Y502" s="23">
        <v>7.914162385017617</v>
      </c>
      <c r="Z502" s="23">
        <v>4.0279240783081978</v>
      </c>
      <c r="AA502" s="23">
        <v>6.2948964238886909</v>
      </c>
      <c r="AB502" s="23">
        <v>6.2341739503463565</v>
      </c>
      <c r="AC502" s="25">
        <v>0</v>
      </c>
      <c r="AD502" s="25">
        <v>0</v>
      </c>
      <c r="AE502" s="25">
        <v>0</v>
      </c>
      <c r="AF502" s="25">
        <v>0</v>
      </c>
      <c r="AG502" s="25">
        <v>0</v>
      </c>
      <c r="AH502" s="25">
        <v>0</v>
      </c>
      <c r="AI502" s="25">
        <v>0</v>
      </c>
      <c r="AJ502" s="25">
        <v>0</v>
      </c>
      <c r="AK502" s="25">
        <v>0</v>
      </c>
      <c r="AL502" s="25">
        <v>0</v>
      </c>
      <c r="AM502" s="25">
        <v>0</v>
      </c>
    </row>
    <row r="503" spans="1:39" ht="15" customHeight="1">
      <c r="A503" s="32" t="str">
        <f t="shared" si="19"/>
        <v>Endeavour--&gt;  132 kV</v>
      </c>
      <c r="B503" s="32" t="str">
        <f t="shared" si="20"/>
        <v>Endeavour</v>
      </c>
      <c r="C503" s="32" t="s">
        <v>1133</v>
      </c>
      <c r="D503" s="395"/>
      <c r="F503" t="s">
        <v>184</v>
      </c>
      <c r="G503" s="21">
        <v>0</v>
      </c>
      <c r="H503" s="21">
        <v>0</v>
      </c>
      <c r="I503" s="21">
        <v>0</v>
      </c>
      <c r="J503" s="21">
        <v>0</v>
      </c>
      <c r="K503" s="21">
        <v>0</v>
      </c>
      <c r="L503" s="21">
        <v>0</v>
      </c>
      <c r="M503" s="21">
        <v>0</v>
      </c>
      <c r="N503" s="21">
        <v>0</v>
      </c>
      <c r="O503" s="21">
        <v>0</v>
      </c>
      <c r="P503" s="21">
        <v>0</v>
      </c>
      <c r="Q503" s="21">
        <v>0</v>
      </c>
      <c r="R503" s="23">
        <v>0</v>
      </c>
      <c r="S503" s="23">
        <v>0</v>
      </c>
      <c r="T503" s="23">
        <v>0</v>
      </c>
      <c r="U503" s="23">
        <v>0</v>
      </c>
      <c r="V503" s="23">
        <v>0</v>
      </c>
      <c r="W503" s="23">
        <v>0</v>
      </c>
      <c r="X503" s="23">
        <v>0</v>
      </c>
      <c r="Y503" s="23">
        <v>0</v>
      </c>
      <c r="Z503" s="23">
        <v>0</v>
      </c>
      <c r="AA503" s="23">
        <v>0</v>
      </c>
      <c r="AB503" s="23">
        <v>0</v>
      </c>
      <c r="AC503" s="25">
        <v>0</v>
      </c>
      <c r="AD503" s="25">
        <v>0</v>
      </c>
      <c r="AE503" s="25">
        <v>0</v>
      </c>
      <c r="AF503" s="25">
        <v>0</v>
      </c>
      <c r="AG503" s="25">
        <v>0</v>
      </c>
      <c r="AH503" s="25">
        <v>0</v>
      </c>
      <c r="AI503" s="25">
        <v>0</v>
      </c>
      <c r="AJ503" s="25">
        <v>0</v>
      </c>
      <c r="AK503" s="25">
        <v>0</v>
      </c>
      <c r="AL503" s="25">
        <v>0</v>
      </c>
      <c r="AM503" s="25">
        <v>0</v>
      </c>
    </row>
    <row r="504" spans="1:39" ht="15" customHeight="1">
      <c r="A504" s="32" t="str">
        <f t="shared" si="19"/>
        <v>Endeavour--OTHER - PLEASE ADD A ROW IF NECESSARY AND NOMINATE THE CATEGORY</v>
      </c>
      <c r="B504" s="32" t="str">
        <f t="shared" si="20"/>
        <v>Endeavour</v>
      </c>
      <c r="C504" s="32" t="s">
        <v>1133</v>
      </c>
      <c r="D504" s="395"/>
      <c r="F504" t="s">
        <v>170</v>
      </c>
      <c r="G504" s="21">
        <v>0</v>
      </c>
      <c r="H504" s="21">
        <v>0</v>
      </c>
      <c r="I504" s="21">
        <v>0</v>
      </c>
      <c r="J504" s="21">
        <v>0</v>
      </c>
      <c r="K504" s="21">
        <v>0</v>
      </c>
      <c r="L504" s="21">
        <v>0</v>
      </c>
      <c r="M504" s="21">
        <v>0</v>
      </c>
      <c r="N504" s="21">
        <v>0</v>
      </c>
      <c r="O504" s="21">
        <v>0</v>
      </c>
      <c r="P504" s="21">
        <v>0</v>
      </c>
      <c r="Q504" s="21">
        <v>0</v>
      </c>
      <c r="R504" s="23">
        <v>0</v>
      </c>
      <c r="S504" s="23">
        <v>0</v>
      </c>
      <c r="T504" s="23">
        <v>0</v>
      </c>
      <c r="U504" s="23">
        <v>0</v>
      </c>
      <c r="V504" s="23">
        <v>0</v>
      </c>
      <c r="W504" s="23">
        <v>0</v>
      </c>
      <c r="X504" s="23">
        <v>0</v>
      </c>
      <c r="Y504" s="23">
        <v>0</v>
      </c>
      <c r="Z504" s="23">
        <v>0</v>
      </c>
      <c r="AA504" s="23">
        <v>0</v>
      </c>
      <c r="AB504" s="23">
        <v>0</v>
      </c>
      <c r="AC504" s="25">
        <v>0</v>
      </c>
      <c r="AD504" s="25">
        <v>0</v>
      </c>
      <c r="AE504" s="25">
        <v>0</v>
      </c>
      <c r="AF504" s="25">
        <v>0</v>
      </c>
      <c r="AG504" s="25">
        <v>0</v>
      </c>
      <c r="AH504" s="25">
        <v>0</v>
      </c>
      <c r="AI504" s="25">
        <v>0</v>
      </c>
      <c r="AJ504" s="25">
        <v>0</v>
      </c>
      <c r="AK504" s="25">
        <v>0</v>
      </c>
      <c r="AL504" s="25">
        <v>0</v>
      </c>
      <c r="AM504" s="25">
        <v>0</v>
      </c>
    </row>
    <row r="505" spans="1:39" ht="60" customHeight="1">
      <c r="A505" s="32" t="str">
        <f t="shared" si="19"/>
        <v xml:space="preserve">Endeavour-SERVICE LINES BY: 
CONNECTION VOLTAGE; CUSTOMER TYPE; CONNECTION COMPLEXITY -˂ = 11 kV ; RESIDENTIAL ; SIMPLE TYPE </v>
      </c>
      <c r="B505" s="32" t="str">
        <f t="shared" si="20"/>
        <v>Endeavour</v>
      </c>
      <c r="C505" s="32" t="s">
        <v>719</v>
      </c>
      <c r="D505" s="395"/>
      <c r="E505" s="3" t="s">
        <v>541</v>
      </c>
      <c r="F505" t="s">
        <v>186</v>
      </c>
      <c r="G505" s="21">
        <v>0</v>
      </c>
      <c r="H505" s="21">
        <v>0</v>
      </c>
      <c r="I505" s="21">
        <v>0</v>
      </c>
      <c r="J505" s="21">
        <v>0</v>
      </c>
      <c r="K505" s="21">
        <v>0</v>
      </c>
      <c r="L505" s="21">
        <v>0</v>
      </c>
      <c r="M505" s="21">
        <v>0</v>
      </c>
      <c r="N505" s="21">
        <v>0</v>
      </c>
      <c r="O505" s="21">
        <v>0</v>
      </c>
      <c r="P505" s="21">
        <v>0</v>
      </c>
      <c r="Q505" s="21">
        <v>0</v>
      </c>
      <c r="R505" s="23">
        <v>0</v>
      </c>
      <c r="S505" s="23">
        <v>0</v>
      </c>
      <c r="T505" s="23">
        <v>0</v>
      </c>
      <c r="U505" s="23">
        <v>0</v>
      </c>
      <c r="V505" s="23">
        <v>0</v>
      </c>
      <c r="W505" s="23">
        <v>0</v>
      </c>
      <c r="X505" s="23">
        <v>0</v>
      </c>
      <c r="Y505" s="23">
        <v>0</v>
      </c>
      <c r="Z505" s="23">
        <v>0</v>
      </c>
      <c r="AA505" s="23">
        <v>0</v>
      </c>
      <c r="AB505" s="23">
        <v>0</v>
      </c>
      <c r="AC505" s="25">
        <v>0</v>
      </c>
      <c r="AD505" s="25">
        <v>0</v>
      </c>
      <c r="AE505" s="25">
        <v>0</v>
      </c>
      <c r="AF505" s="25">
        <v>0</v>
      </c>
      <c r="AG505" s="25">
        <v>0</v>
      </c>
      <c r="AH505" s="25">
        <v>0</v>
      </c>
      <c r="AI505" s="25">
        <v>0</v>
      </c>
      <c r="AJ505" s="25">
        <v>0</v>
      </c>
      <c r="AK505" s="25">
        <v>0</v>
      </c>
      <c r="AL505" s="25">
        <v>0</v>
      </c>
      <c r="AM505" s="25">
        <v>0</v>
      </c>
    </row>
    <row r="506" spans="1:39" ht="15" customHeight="1">
      <c r="A506" s="32" t="str">
        <f t="shared" si="19"/>
        <v xml:space="preserve">Endeavour--˂ = 11 kV ; COMMERCIAL &amp; INDUSTRIAL ; SIMPLE TYPE </v>
      </c>
      <c r="B506" s="32" t="str">
        <f t="shared" si="20"/>
        <v>Endeavour</v>
      </c>
      <c r="C506" s="32" t="s">
        <v>719</v>
      </c>
      <c r="D506" s="395"/>
      <c r="F506" t="s">
        <v>187</v>
      </c>
      <c r="G506" s="21">
        <v>0</v>
      </c>
      <c r="H506" s="21">
        <v>0</v>
      </c>
      <c r="I506" s="21">
        <v>0</v>
      </c>
      <c r="J506" s="21">
        <v>0</v>
      </c>
      <c r="K506" s="21">
        <v>0</v>
      </c>
      <c r="L506" s="21">
        <v>0</v>
      </c>
      <c r="M506" s="21">
        <v>0</v>
      </c>
      <c r="N506" s="21">
        <v>0</v>
      </c>
      <c r="O506" s="21">
        <v>0</v>
      </c>
      <c r="P506" s="21">
        <v>0</v>
      </c>
      <c r="Q506" s="21">
        <v>0</v>
      </c>
      <c r="R506" s="23">
        <v>0</v>
      </c>
      <c r="S506" s="23">
        <v>0</v>
      </c>
      <c r="T506" s="23">
        <v>0</v>
      </c>
      <c r="U506" s="23">
        <v>0</v>
      </c>
      <c r="V506" s="23">
        <v>0</v>
      </c>
      <c r="W506" s="23">
        <v>0</v>
      </c>
      <c r="X506" s="23">
        <v>0</v>
      </c>
      <c r="Y506" s="23">
        <v>0</v>
      </c>
      <c r="Z506" s="23">
        <v>0</v>
      </c>
      <c r="AA506" s="23">
        <v>0</v>
      </c>
      <c r="AB506" s="23">
        <v>0</v>
      </c>
      <c r="AC506" s="25">
        <v>0</v>
      </c>
      <c r="AD506" s="25">
        <v>0</v>
      </c>
      <c r="AE506" s="25">
        <v>0</v>
      </c>
      <c r="AF506" s="25">
        <v>0</v>
      </c>
      <c r="AG506" s="25">
        <v>0</v>
      </c>
      <c r="AH506" s="25">
        <v>0</v>
      </c>
      <c r="AI506" s="25">
        <v>0</v>
      </c>
      <c r="AJ506" s="25">
        <v>0</v>
      </c>
      <c r="AK506" s="25">
        <v>0</v>
      </c>
      <c r="AL506" s="25">
        <v>0</v>
      </c>
      <c r="AM506" s="25">
        <v>0</v>
      </c>
    </row>
    <row r="507" spans="1:39" ht="15" customHeight="1">
      <c r="A507" s="32" t="str">
        <f t="shared" si="19"/>
        <v xml:space="preserve">Endeavour--˂ = 11 kV ; RESIDENTIAL ; COMPLEX TYPE </v>
      </c>
      <c r="B507" s="32" t="str">
        <f t="shared" si="20"/>
        <v>Endeavour</v>
      </c>
      <c r="C507" s="32" t="s">
        <v>719</v>
      </c>
      <c r="D507" s="395"/>
      <c r="F507" t="s">
        <v>188</v>
      </c>
      <c r="G507" s="21">
        <v>0</v>
      </c>
      <c r="H507" s="21">
        <v>0</v>
      </c>
      <c r="I507" s="21">
        <v>0</v>
      </c>
      <c r="J507" s="21">
        <v>0</v>
      </c>
      <c r="K507" s="21">
        <v>0</v>
      </c>
      <c r="L507" s="21">
        <v>0</v>
      </c>
      <c r="M507" s="21">
        <v>0</v>
      </c>
      <c r="N507" s="21">
        <v>0</v>
      </c>
      <c r="O507" s="21">
        <v>0</v>
      </c>
      <c r="P507" s="21">
        <v>0</v>
      </c>
      <c r="Q507" s="21">
        <v>0</v>
      </c>
      <c r="R507" s="23">
        <v>0</v>
      </c>
      <c r="S507" s="23">
        <v>0</v>
      </c>
      <c r="T507" s="23">
        <v>0</v>
      </c>
      <c r="U507" s="23">
        <v>0</v>
      </c>
      <c r="V507" s="23">
        <v>0</v>
      </c>
      <c r="W507" s="23">
        <v>0</v>
      </c>
      <c r="X507" s="23">
        <v>0</v>
      </c>
      <c r="Y507" s="23">
        <v>0</v>
      </c>
      <c r="Z507" s="23">
        <v>0</v>
      </c>
      <c r="AA507" s="23">
        <v>0</v>
      </c>
      <c r="AB507" s="23">
        <v>0</v>
      </c>
      <c r="AC507" s="25">
        <v>0</v>
      </c>
      <c r="AD507" s="25">
        <v>0</v>
      </c>
      <c r="AE507" s="25">
        <v>0</v>
      </c>
      <c r="AF507" s="25">
        <v>0</v>
      </c>
      <c r="AG507" s="25">
        <v>0</v>
      </c>
      <c r="AH507" s="25">
        <v>0</v>
      </c>
      <c r="AI507" s="25">
        <v>0</v>
      </c>
      <c r="AJ507" s="25">
        <v>0</v>
      </c>
      <c r="AK507" s="25">
        <v>0</v>
      </c>
      <c r="AL507" s="25">
        <v>0</v>
      </c>
      <c r="AM507" s="25">
        <v>0</v>
      </c>
    </row>
    <row r="508" spans="1:39" ht="15" customHeight="1">
      <c r="A508" s="32" t="str">
        <f t="shared" si="19"/>
        <v xml:space="preserve">Endeavour--˂ = 11 kV ; COMMERCIAL &amp; INDUSTRIAL ; COMPLEX TYPE </v>
      </c>
      <c r="B508" s="32" t="str">
        <f t="shared" si="20"/>
        <v>Endeavour</v>
      </c>
      <c r="C508" s="32" t="s">
        <v>719</v>
      </c>
      <c r="D508" s="395"/>
      <c r="F508" t="s">
        <v>189</v>
      </c>
      <c r="G508" s="21">
        <v>0</v>
      </c>
      <c r="H508" s="21">
        <v>0</v>
      </c>
      <c r="I508" s="21">
        <v>0</v>
      </c>
      <c r="J508" s="21">
        <v>0</v>
      </c>
      <c r="K508" s="21">
        <v>0</v>
      </c>
      <c r="L508" s="21">
        <v>0</v>
      </c>
      <c r="M508" s="21">
        <v>0</v>
      </c>
      <c r="N508" s="21">
        <v>0</v>
      </c>
      <c r="O508" s="21">
        <v>0</v>
      </c>
      <c r="P508" s="21">
        <v>0</v>
      </c>
      <c r="Q508" s="21">
        <v>0</v>
      </c>
      <c r="R508" s="23">
        <v>0</v>
      </c>
      <c r="S508" s="23">
        <v>0</v>
      </c>
      <c r="T508" s="23">
        <v>0</v>
      </c>
      <c r="U508" s="23">
        <v>0</v>
      </c>
      <c r="V508" s="23">
        <v>0</v>
      </c>
      <c r="W508" s="23">
        <v>0</v>
      </c>
      <c r="X508" s="23">
        <v>0</v>
      </c>
      <c r="Y508" s="23">
        <v>0</v>
      </c>
      <c r="Z508" s="23">
        <v>0</v>
      </c>
      <c r="AA508" s="23">
        <v>0</v>
      </c>
      <c r="AB508" s="23">
        <v>0</v>
      </c>
      <c r="AC508" s="25">
        <v>0</v>
      </c>
      <c r="AD508" s="25">
        <v>0</v>
      </c>
      <c r="AE508" s="25">
        <v>0</v>
      </c>
      <c r="AF508" s="25">
        <v>0</v>
      </c>
      <c r="AG508" s="25">
        <v>0</v>
      </c>
      <c r="AH508" s="25">
        <v>0</v>
      </c>
      <c r="AI508" s="25">
        <v>0</v>
      </c>
      <c r="AJ508" s="25">
        <v>0</v>
      </c>
      <c r="AK508" s="25">
        <v>0</v>
      </c>
      <c r="AL508" s="25">
        <v>0</v>
      </c>
      <c r="AM508" s="25">
        <v>0</v>
      </c>
    </row>
    <row r="509" spans="1:39" ht="15" customHeight="1">
      <c r="A509" s="32" t="str">
        <f t="shared" si="19"/>
        <v xml:space="preserve">Endeavour--˂ = 11 kV ; SUBDIVISION ; COMPLEX TYPE </v>
      </c>
      <c r="B509" s="32" t="str">
        <f t="shared" si="20"/>
        <v>Endeavour</v>
      </c>
      <c r="C509" s="32" t="s">
        <v>719</v>
      </c>
      <c r="D509" s="395"/>
      <c r="F509" t="s">
        <v>190</v>
      </c>
      <c r="G509" s="21">
        <v>0</v>
      </c>
      <c r="H509" s="21">
        <v>0</v>
      </c>
      <c r="I509" s="21">
        <v>0</v>
      </c>
      <c r="J509" s="21">
        <v>0</v>
      </c>
      <c r="K509" s="21">
        <v>0</v>
      </c>
      <c r="L509" s="21">
        <v>0</v>
      </c>
      <c r="M509" s="21">
        <v>0</v>
      </c>
      <c r="N509" s="21">
        <v>0</v>
      </c>
      <c r="O509" s="21">
        <v>0</v>
      </c>
      <c r="P509" s="21">
        <v>0</v>
      </c>
      <c r="Q509" s="21">
        <v>0</v>
      </c>
      <c r="R509" s="23">
        <v>0</v>
      </c>
      <c r="S509" s="23">
        <v>0</v>
      </c>
      <c r="T509" s="23">
        <v>0</v>
      </c>
      <c r="U509" s="23">
        <v>0</v>
      </c>
      <c r="V509" s="23">
        <v>0</v>
      </c>
      <c r="W509" s="23">
        <v>0</v>
      </c>
      <c r="X509" s="23">
        <v>0</v>
      </c>
      <c r="Y509" s="23">
        <v>0</v>
      </c>
      <c r="Z509" s="23">
        <v>0</v>
      </c>
      <c r="AA509" s="23">
        <v>0</v>
      </c>
      <c r="AB509" s="23">
        <v>0</v>
      </c>
      <c r="AC509" s="25">
        <v>0</v>
      </c>
      <c r="AD509" s="25">
        <v>0</v>
      </c>
      <c r="AE509" s="25">
        <v>0</v>
      </c>
      <c r="AF509" s="25">
        <v>0</v>
      </c>
      <c r="AG509" s="25">
        <v>0</v>
      </c>
      <c r="AH509" s="25">
        <v>0</v>
      </c>
      <c r="AI509" s="25">
        <v>0</v>
      </c>
      <c r="AJ509" s="25">
        <v>0</v>
      </c>
      <c r="AK509" s="25">
        <v>0</v>
      </c>
      <c r="AL509" s="25">
        <v>0</v>
      </c>
      <c r="AM509" s="25">
        <v>0</v>
      </c>
    </row>
    <row r="510" spans="1:39" ht="15" customHeight="1">
      <c r="A510" s="32" t="str">
        <f t="shared" si="19"/>
        <v xml:space="preserve">Endeavour--&gt; 11 kV  &amp; &lt; = 22 kV ; COMMERCIAL &amp; INDUSTRIAL  </v>
      </c>
      <c r="B510" s="32" t="str">
        <f t="shared" si="20"/>
        <v>Endeavour</v>
      </c>
      <c r="C510" s="32" t="s">
        <v>719</v>
      </c>
      <c r="D510" s="395"/>
      <c r="F510" t="s">
        <v>191</v>
      </c>
      <c r="G510" s="21">
        <v>0</v>
      </c>
      <c r="H510" s="21">
        <v>0</v>
      </c>
      <c r="I510" s="21">
        <v>0</v>
      </c>
      <c r="J510" s="21">
        <v>0</v>
      </c>
      <c r="K510" s="21">
        <v>0</v>
      </c>
      <c r="L510" s="21">
        <v>0</v>
      </c>
      <c r="M510" s="21">
        <v>0</v>
      </c>
      <c r="N510" s="21">
        <v>0</v>
      </c>
      <c r="O510" s="21">
        <v>0</v>
      </c>
      <c r="P510" s="21">
        <v>0</v>
      </c>
      <c r="Q510" s="21">
        <v>0</v>
      </c>
      <c r="R510" s="23">
        <v>0</v>
      </c>
      <c r="S510" s="23">
        <v>0</v>
      </c>
      <c r="T510" s="23">
        <v>0</v>
      </c>
      <c r="U510" s="23">
        <v>0</v>
      </c>
      <c r="V510" s="23">
        <v>0</v>
      </c>
      <c r="W510" s="23">
        <v>0</v>
      </c>
      <c r="X510" s="23">
        <v>0</v>
      </c>
      <c r="Y510" s="23">
        <v>0</v>
      </c>
      <c r="Z510" s="23">
        <v>0</v>
      </c>
      <c r="AA510" s="23">
        <v>0</v>
      </c>
      <c r="AB510" s="23">
        <v>0</v>
      </c>
      <c r="AC510" s="25">
        <v>0</v>
      </c>
      <c r="AD510" s="25">
        <v>0</v>
      </c>
      <c r="AE510" s="25">
        <v>0</v>
      </c>
      <c r="AF510" s="25">
        <v>0</v>
      </c>
      <c r="AG510" s="25">
        <v>0</v>
      </c>
      <c r="AH510" s="25">
        <v>0</v>
      </c>
      <c r="AI510" s="25">
        <v>0</v>
      </c>
      <c r="AJ510" s="25">
        <v>0</v>
      </c>
      <c r="AK510" s="25">
        <v>0</v>
      </c>
      <c r="AL510" s="25">
        <v>0</v>
      </c>
      <c r="AM510" s="25">
        <v>0</v>
      </c>
    </row>
    <row r="511" spans="1:39" ht="15" customHeight="1">
      <c r="A511" s="32" t="str">
        <f t="shared" si="19"/>
        <v xml:space="preserve">Endeavour--&gt; 11 kV  &amp; &lt; = 22 kV ; SUBDIVISION  </v>
      </c>
      <c r="B511" s="32" t="str">
        <f t="shared" si="20"/>
        <v>Endeavour</v>
      </c>
      <c r="C511" s="32" t="s">
        <v>719</v>
      </c>
      <c r="D511" s="395"/>
      <c r="F511" t="s">
        <v>192</v>
      </c>
      <c r="G511" s="21">
        <v>0</v>
      </c>
      <c r="H511" s="21">
        <v>0</v>
      </c>
      <c r="I511" s="21">
        <v>0</v>
      </c>
      <c r="J511" s="21">
        <v>0</v>
      </c>
      <c r="K511" s="21">
        <v>0</v>
      </c>
      <c r="L511" s="21">
        <v>0</v>
      </c>
      <c r="M511" s="21">
        <v>0</v>
      </c>
      <c r="N511" s="21">
        <v>0</v>
      </c>
      <c r="O511" s="21">
        <v>0</v>
      </c>
      <c r="P511" s="21">
        <v>0</v>
      </c>
      <c r="Q511" s="21">
        <v>0</v>
      </c>
      <c r="R511" s="23">
        <v>0</v>
      </c>
      <c r="S511" s="23">
        <v>0</v>
      </c>
      <c r="T511" s="23">
        <v>0</v>
      </c>
      <c r="U511" s="23">
        <v>0</v>
      </c>
      <c r="V511" s="23">
        <v>0</v>
      </c>
      <c r="W511" s="23">
        <v>0</v>
      </c>
      <c r="X511" s="23">
        <v>0</v>
      </c>
      <c r="Y511" s="23">
        <v>0</v>
      </c>
      <c r="Z511" s="23">
        <v>0</v>
      </c>
      <c r="AA511" s="23">
        <v>0</v>
      </c>
      <c r="AB511" s="23">
        <v>0</v>
      </c>
      <c r="AC511" s="25">
        <v>0</v>
      </c>
      <c r="AD511" s="25">
        <v>0</v>
      </c>
      <c r="AE511" s="25">
        <v>0</v>
      </c>
      <c r="AF511" s="25">
        <v>0</v>
      </c>
      <c r="AG511" s="25">
        <v>0</v>
      </c>
      <c r="AH511" s="25">
        <v>0</v>
      </c>
      <c r="AI511" s="25">
        <v>0</v>
      </c>
      <c r="AJ511" s="25">
        <v>0</v>
      </c>
      <c r="AK511" s="25">
        <v>0</v>
      </c>
      <c r="AL511" s="25">
        <v>0</v>
      </c>
      <c r="AM511" s="25">
        <v>0</v>
      </c>
    </row>
    <row r="512" spans="1:39" ht="15" customHeight="1">
      <c r="A512" s="32" t="str">
        <f t="shared" si="19"/>
        <v xml:space="preserve">Endeavour--&gt; 22 kV &amp; &lt; = 33 kV ; COMMERCIAL &amp; INDUSTRIAL  </v>
      </c>
      <c r="B512" s="32" t="str">
        <f t="shared" si="20"/>
        <v>Endeavour</v>
      </c>
      <c r="C512" s="32" t="s">
        <v>719</v>
      </c>
      <c r="D512" s="395"/>
      <c r="F512" t="s">
        <v>193</v>
      </c>
      <c r="G512" s="21">
        <v>0</v>
      </c>
      <c r="H512" s="21">
        <v>0</v>
      </c>
      <c r="I512" s="21">
        <v>0</v>
      </c>
      <c r="J512" s="21">
        <v>0</v>
      </c>
      <c r="K512" s="21">
        <v>0</v>
      </c>
      <c r="L512" s="21">
        <v>0</v>
      </c>
      <c r="M512" s="21">
        <v>0</v>
      </c>
      <c r="N512" s="21">
        <v>0</v>
      </c>
      <c r="O512" s="21">
        <v>0</v>
      </c>
      <c r="P512" s="21">
        <v>0</v>
      </c>
      <c r="Q512" s="21">
        <v>0</v>
      </c>
      <c r="R512" s="23">
        <v>0</v>
      </c>
      <c r="S512" s="23">
        <v>0</v>
      </c>
      <c r="T512" s="23">
        <v>0</v>
      </c>
      <c r="U512" s="23">
        <v>0</v>
      </c>
      <c r="V512" s="23">
        <v>0</v>
      </c>
      <c r="W512" s="23">
        <v>0</v>
      </c>
      <c r="X512" s="23">
        <v>0</v>
      </c>
      <c r="Y512" s="23">
        <v>0</v>
      </c>
      <c r="Z512" s="23">
        <v>0</v>
      </c>
      <c r="AA512" s="23">
        <v>0</v>
      </c>
      <c r="AB512" s="23">
        <v>0</v>
      </c>
      <c r="AC512" s="25">
        <v>0</v>
      </c>
      <c r="AD512" s="25">
        <v>0</v>
      </c>
      <c r="AE512" s="25">
        <v>0</v>
      </c>
      <c r="AF512" s="25">
        <v>0</v>
      </c>
      <c r="AG512" s="25">
        <v>0</v>
      </c>
      <c r="AH512" s="25">
        <v>0</v>
      </c>
      <c r="AI512" s="25">
        <v>0</v>
      </c>
      <c r="AJ512" s="25">
        <v>0</v>
      </c>
      <c r="AK512" s="25">
        <v>0</v>
      </c>
      <c r="AL512" s="25">
        <v>0</v>
      </c>
      <c r="AM512" s="25">
        <v>0</v>
      </c>
    </row>
    <row r="513" spans="1:39" ht="15" customHeight="1">
      <c r="A513" s="32" t="str">
        <f t="shared" si="19"/>
        <v xml:space="preserve">Endeavour--&gt; 22 kV &amp; &lt; = 33 kV ; SUBDIVISION  </v>
      </c>
      <c r="B513" s="32" t="str">
        <f t="shared" si="20"/>
        <v>Endeavour</v>
      </c>
      <c r="C513" s="32" t="s">
        <v>719</v>
      </c>
      <c r="D513" s="395"/>
      <c r="F513" t="s">
        <v>194</v>
      </c>
      <c r="G513" s="21">
        <v>0</v>
      </c>
      <c r="H513" s="21">
        <v>0</v>
      </c>
      <c r="I513" s="21">
        <v>0</v>
      </c>
      <c r="J513" s="21">
        <v>0</v>
      </c>
      <c r="K513" s="21">
        <v>0</v>
      </c>
      <c r="L513" s="21">
        <v>0</v>
      </c>
      <c r="M513" s="21">
        <v>0</v>
      </c>
      <c r="N513" s="21">
        <v>0</v>
      </c>
      <c r="O513" s="21">
        <v>0</v>
      </c>
      <c r="P513" s="21">
        <v>0</v>
      </c>
      <c r="Q513" s="21">
        <v>0</v>
      </c>
      <c r="R513" s="23">
        <v>0</v>
      </c>
      <c r="S513" s="23">
        <v>0</v>
      </c>
      <c r="T513" s="23">
        <v>0</v>
      </c>
      <c r="U513" s="23">
        <v>0</v>
      </c>
      <c r="V513" s="23">
        <v>0</v>
      </c>
      <c r="W513" s="23">
        <v>0</v>
      </c>
      <c r="X513" s="23">
        <v>0</v>
      </c>
      <c r="Y513" s="23">
        <v>0</v>
      </c>
      <c r="Z513" s="23">
        <v>0</v>
      </c>
      <c r="AA513" s="23">
        <v>0</v>
      </c>
      <c r="AB513" s="23">
        <v>0</v>
      </c>
      <c r="AC513" s="25">
        <v>0</v>
      </c>
      <c r="AD513" s="25">
        <v>0</v>
      </c>
      <c r="AE513" s="25">
        <v>0</v>
      </c>
      <c r="AF513" s="25">
        <v>0</v>
      </c>
      <c r="AG513" s="25">
        <v>0</v>
      </c>
      <c r="AH513" s="25">
        <v>0</v>
      </c>
      <c r="AI513" s="25">
        <v>0</v>
      </c>
      <c r="AJ513" s="25">
        <v>0</v>
      </c>
      <c r="AK513" s="25">
        <v>0</v>
      </c>
      <c r="AL513" s="25">
        <v>0</v>
      </c>
      <c r="AM513" s="25">
        <v>0</v>
      </c>
    </row>
    <row r="514" spans="1:39" ht="15" customHeight="1">
      <c r="A514" s="32" t="str">
        <f t="shared" si="19"/>
        <v xml:space="preserve">Endeavour--&gt; 33 kV &amp; &lt; = 66 kV ; COMMERCIAL &amp; INDUSTRIAL  </v>
      </c>
      <c r="B514" s="32" t="str">
        <f t="shared" si="20"/>
        <v>Endeavour</v>
      </c>
      <c r="C514" s="32" t="s">
        <v>719</v>
      </c>
      <c r="D514" s="395"/>
      <c r="F514" t="s">
        <v>195</v>
      </c>
      <c r="G514" s="21">
        <v>0</v>
      </c>
      <c r="H514" s="21">
        <v>0</v>
      </c>
      <c r="I514" s="21">
        <v>0</v>
      </c>
      <c r="J514" s="21">
        <v>0</v>
      </c>
      <c r="K514" s="21">
        <v>0</v>
      </c>
      <c r="L514" s="21">
        <v>0</v>
      </c>
      <c r="M514" s="21">
        <v>0</v>
      </c>
      <c r="N514" s="21">
        <v>0</v>
      </c>
      <c r="O514" s="21">
        <v>0</v>
      </c>
      <c r="P514" s="21">
        <v>0</v>
      </c>
      <c r="Q514" s="21">
        <v>0</v>
      </c>
      <c r="R514" s="23">
        <v>0</v>
      </c>
      <c r="S514" s="23">
        <v>0</v>
      </c>
      <c r="T514" s="23">
        <v>0</v>
      </c>
      <c r="U514" s="23">
        <v>0</v>
      </c>
      <c r="V514" s="23">
        <v>0</v>
      </c>
      <c r="W514" s="23">
        <v>0</v>
      </c>
      <c r="X514" s="23">
        <v>0</v>
      </c>
      <c r="Y514" s="23">
        <v>0</v>
      </c>
      <c r="Z514" s="23">
        <v>0</v>
      </c>
      <c r="AA514" s="23">
        <v>0</v>
      </c>
      <c r="AB514" s="23">
        <v>0</v>
      </c>
      <c r="AC514" s="25">
        <v>0</v>
      </c>
      <c r="AD514" s="25">
        <v>0</v>
      </c>
      <c r="AE514" s="25">
        <v>0</v>
      </c>
      <c r="AF514" s="25">
        <v>0</v>
      </c>
      <c r="AG514" s="25">
        <v>0</v>
      </c>
      <c r="AH514" s="25">
        <v>0</v>
      </c>
      <c r="AI514" s="25">
        <v>0</v>
      </c>
      <c r="AJ514" s="25">
        <v>0</v>
      </c>
      <c r="AK514" s="25">
        <v>0</v>
      </c>
      <c r="AL514" s="25">
        <v>0</v>
      </c>
      <c r="AM514" s="25">
        <v>0</v>
      </c>
    </row>
    <row r="515" spans="1:39" ht="15" customHeight="1">
      <c r="A515" s="32" t="str">
        <f t="shared" si="19"/>
        <v xml:space="preserve">Endeavour--&gt; 33 kV &amp; &lt; = 66 kV ; SUBDIVISION  </v>
      </c>
      <c r="B515" s="32" t="str">
        <f t="shared" si="20"/>
        <v>Endeavour</v>
      </c>
      <c r="C515" s="32" t="s">
        <v>719</v>
      </c>
      <c r="D515" s="395"/>
      <c r="F515" t="s">
        <v>196</v>
      </c>
      <c r="G515" s="21">
        <v>0</v>
      </c>
      <c r="H515" s="21">
        <v>0</v>
      </c>
      <c r="I515" s="21">
        <v>0</v>
      </c>
      <c r="J515" s="21">
        <v>0</v>
      </c>
      <c r="K515" s="21">
        <v>0</v>
      </c>
      <c r="L515" s="21">
        <v>0</v>
      </c>
      <c r="M515" s="21">
        <v>0</v>
      </c>
      <c r="N515" s="21">
        <v>0</v>
      </c>
      <c r="O515" s="21">
        <v>0</v>
      </c>
      <c r="P515" s="21">
        <v>0</v>
      </c>
      <c r="Q515" s="21">
        <v>0</v>
      </c>
      <c r="R515" s="23">
        <v>0</v>
      </c>
      <c r="S515" s="23">
        <v>0</v>
      </c>
      <c r="T515" s="23">
        <v>0</v>
      </c>
      <c r="U515" s="23">
        <v>0</v>
      </c>
      <c r="V515" s="23">
        <v>0</v>
      </c>
      <c r="W515" s="23">
        <v>0</v>
      </c>
      <c r="X515" s="23">
        <v>0</v>
      </c>
      <c r="Y515" s="23">
        <v>0</v>
      </c>
      <c r="Z515" s="23">
        <v>0</v>
      </c>
      <c r="AA515" s="23">
        <v>0</v>
      </c>
      <c r="AB515" s="23">
        <v>0</v>
      </c>
      <c r="AC515" s="25">
        <v>0</v>
      </c>
      <c r="AD515" s="25">
        <v>0</v>
      </c>
      <c r="AE515" s="25">
        <v>0</v>
      </c>
      <c r="AF515" s="25">
        <v>0</v>
      </c>
      <c r="AG515" s="25">
        <v>0</v>
      </c>
      <c r="AH515" s="25">
        <v>0</v>
      </c>
      <c r="AI515" s="25">
        <v>0</v>
      </c>
      <c r="AJ515" s="25">
        <v>0</v>
      </c>
      <c r="AK515" s="25">
        <v>0</v>
      </c>
      <c r="AL515" s="25">
        <v>0</v>
      </c>
      <c r="AM515" s="25">
        <v>0</v>
      </c>
    </row>
    <row r="516" spans="1:39" ht="15" customHeight="1">
      <c r="A516" s="32" t="str">
        <f t="shared" si="19"/>
        <v xml:space="preserve">Endeavour--&gt; 66 kV &amp; &lt; = 132 kV ; COMMERCIAL &amp; INDUSTRIAL  </v>
      </c>
      <c r="B516" s="32" t="str">
        <f t="shared" si="20"/>
        <v>Endeavour</v>
      </c>
      <c r="C516" s="32" t="s">
        <v>719</v>
      </c>
      <c r="D516" s="395"/>
      <c r="F516" t="s">
        <v>197</v>
      </c>
      <c r="G516" s="21">
        <v>0</v>
      </c>
      <c r="H516" s="21">
        <v>0</v>
      </c>
      <c r="I516" s="21">
        <v>0</v>
      </c>
      <c r="J516" s="21">
        <v>0</v>
      </c>
      <c r="K516" s="21">
        <v>0</v>
      </c>
      <c r="L516" s="21">
        <v>0</v>
      </c>
      <c r="M516" s="21">
        <v>0</v>
      </c>
      <c r="N516" s="21">
        <v>0</v>
      </c>
      <c r="O516" s="21">
        <v>0</v>
      </c>
      <c r="P516" s="21">
        <v>0</v>
      </c>
      <c r="Q516" s="21">
        <v>0</v>
      </c>
      <c r="R516" s="23">
        <v>0</v>
      </c>
      <c r="S516" s="23">
        <v>0</v>
      </c>
      <c r="T516" s="23">
        <v>0</v>
      </c>
      <c r="U516" s="23">
        <v>0</v>
      </c>
      <c r="V516" s="23">
        <v>0</v>
      </c>
      <c r="W516" s="23">
        <v>0</v>
      </c>
      <c r="X516" s="23">
        <v>0</v>
      </c>
      <c r="Y516" s="23">
        <v>0</v>
      </c>
      <c r="Z516" s="23">
        <v>0</v>
      </c>
      <c r="AA516" s="23">
        <v>0</v>
      </c>
      <c r="AB516" s="23">
        <v>0</v>
      </c>
      <c r="AC516" s="25">
        <v>0</v>
      </c>
      <c r="AD516" s="25">
        <v>0</v>
      </c>
      <c r="AE516" s="25">
        <v>0</v>
      </c>
      <c r="AF516" s="25">
        <v>0</v>
      </c>
      <c r="AG516" s="25">
        <v>0</v>
      </c>
      <c r="AH516" s="25">
        <v>0</v>
      </c>
      <c r="AI516" s="25">
        <v>0</v>
      </c>
      <c r="AJ516" s="25">
        <v>0</v>
      </c>
      <c r="AK516" s="25">
        <v>0</v>
      </c>
      <c r="AL516" s="25">
        <v>0</v>
      </c>
      <c r="AM516" s="25">
        <v>0</v>
      </c>
    </row>
    <row r="517" spans="1:39" ht="15" customHeight="1">
      <c r="A517" s="32" t="str">
        <f t="shared" si="19"/>
        <v xml:space="preserve">Endeavour--&gt; 66 kV &amp; &lt; = 132 kV ; SUBDIVISION  </v>
      </c>
      <c r="B517" s="32" t="str">
        <f t="shared" si="20"/>
        <v>Endeavour</v>
      </c>
      <c r="C517" s="32" t="s">
        <v>719</v>
      </c>
      <c r="D517" s="395"/>
      <c r="F517" t="s">
        <v>198</v>
      </c>
      <c r="G517" s="21">
        <v>0</v>
      </c>
      <c r="H517" s="21">
        <v>0</v>
      </c>
      <c r="I517" s="21">
        <v>0</v>
      </c>
      <c r="J517" s="21">
        <v>0</v>
      </c>
      <c r="K517" s="21">
        <v>0</v>
      </c>
      <c r="L517" s="21">
        <v>0</v>
      </c>
      <c r="M517" s="21">
        <v>0</v>
      </c>
      <c r="N517" s="21">
        <v>0</v>
      </c>
      <c r="O517" s="21">
        <v>0</v>
      </c>
      <c r="P517" s="21">
        <v>0</v>
      </c>
      <c r="Q517" s="21">
        <v>0</v>
      </c>
      <c r="R517" s="23">
        <v>0</v>
      </c>
      <c r="S517" s="23">
        <v>0</v>
      </c>
      <c r="T517" s="23">
        <v>0</v>
      </c>
      <c r="U517" s="23">
        <v>0</v>
      </c>
      <c r="V517" s="23">
        <v>0</v>
      </c>
      <c r="W517" s="23">
        <v>0</v>
      </c>
      <c r="X517" s="23">
        <v>0</v>
      </c>
      <c r="Y517" s="23">
        <v>0</v>
      </c>
      <c r="Z517" s="23">
        <v>0</v>
      </c>
      <c r="AA517" s="23">
        <v>0</v>
      </c>
      <c r="AB517" s="23">
        <v>0</v>
      </c>
      <c r="AC517" s="25">
        <v>0</v>
      </c>
      <c r="AD517" s="25">
        <v>0</v>
      </c>
      <c r="AE517" s="25">
        <v>0</v>
      </c>
      <c r="AF517" s="25">
        <v>0</v>
      </c>
      <c r="AG517" s="25">
        <v>0</v>
      </c>
      <c r="AH517" s="25">
        <v>0</v>
      </c>
      <c r="AI517" s="25">
        <v>0</v>
      </c>
      <c r="AJ517" s="25">
        <v>0</v>
      </c>
      <c r="AK517" s="25">
        <v>0</v>
      </c>
      <c r="AL517" s="25">
        <v>0</v>
      </c>
      <c r="AM517" s="25">
        <v>0</v>
      </c>
    </row>
    <row r="518" spans="1:39" ht="15" customHeight="1">
      <c r="A518" s="32" t="str">
        <f t="shared" ref="A518:A581" si="21">B518&amp;"-"&amp;E518&amp;"-"&amp;F518</f>
        <v xml:space="preserve">Endeavour--&gt; 132 kV ; COMMERCIAL &amp; INDUSTRIAL  </v>
      </c>
      <c r="B518" s="32" t="str">
        <f t="shared" ref="B518:B581" si="22">IF(D518&gt;0,D518,B517)</f>
        <v>Endeavour</v>
      </c>
      <c r="C518" s="32" t="s">
        <v>719</v>
      </c>
      <c r="D518" s="395"/>
      <c r="F518" t="s">
        <v>199</v>
      </c>
      <c r="G518" s="21">
        <v>0</v>
      </c>
      <c r="H518" s="21">
        <v>0</v>
      </c>
      <c r="I518" s="21">
        <v>0</v>
      </c>
      <c r="J518" s="21">
        <v>0</v>
      </c>
      <c r="K518" s="21">
        <v>0</v>
      </c>
      <c r="L518" s="21">
        <v>0</v>
      </c>
      <c r="M518" s="21">
        <v>0</v>
      </c>
      <c r="N518" s="21">
        <v>0</v>
      </c>
      <c r="O518" s="21">
        <v>0</v>
      </c>
      <c r="P518" s="21">
        <v>0</v>
      </c>
      <c r="Q518" s="21">
        <v>0</v>
      </c>
      <c r="R518" s="23">
        <v>0</v>
      </c>
      <c r="S518" s="23">
        <v>0</v>
      </c>
      <c r="T518" s="23">
        <v>0</v>
      </c>
      <c r="U518" s="23">
        <v>0</v>
      </c>
      <c r="V518" s="23">
        <v>0</v>
      </c>
      <c r="W518" s="23">
        <v>0</v>
      </c>
      <c r="X518" s="23">
        <v>0</v>
      </c>
      <c r="Y518" s="23">
        <v>0</v>
      </c>
      <c r="Z518" s="23">
        <v>0</v>
      </c>
      <c r="AA518" s="23">
        <v>0</v>
      </c>
      <c r="AB518" s="23">
        <v>0</v>
      </c>
      <c r="AC518" s="25">
        <v>0</v>
      </c>
      <c r="AD518" s="25">
        <v>0</v>
      </c>
      <c r="AE518" s="25">
        <v>0</v>
      </c>
      <c r="AF518" s="25">
        <v>0</v>
      </c>
      <c r="AG518" s="25">
        <v>0</v>
      </c>
      <c r="AH518" s="25">
        <v>0</v>
      </c>
      <c r="AI518" s="25">
        <v>0</v>
      </c>
      <c r="AJ518" s="25">
        <v>0</v>
      </c>
      <c r="AK518" s="25">
        <v>0</v>
      </c>
      <c r="AL518" s="25">
        <v>0</v>
      </c>
      <c r="AM518" s="25">
        <v>0</v>
      </c>
    </row>
    <row r="519" spans="1:39" ht="15" customHeight="1">
      <c r="A519" s="32" t="str">
        <f t="shared" si="21"/>
        <v xml:space="preserve">Endeavour--&gt; 132 kV ; SUBDIVISION  </v>
      </c>
      <c r="B519" s="32" t="str">
        <f t="shared" si="22"/>
        <v>Endeavour</v>
      </c>
      <c r="C519" s="32" t="s">
        <v>719</v>
      </c>
      <c r="D519" s="395"/>
      <c r="F519" t="s">
        <v>200</v>
      </c>
      <c r="G519" s="21">
        <v>0</v>
      </c>
      <c r="H519" s="21">
        <v>0</v>
      </c>
      <c r="I519" s="21">
        <v>0</v>
      </c>
      <c r="J519" s="21">
        <v>0</v>
      </c>
      <c r="K519" s="21">
        <v>0</v>
      </c>
      <c r="L519" s="21">
        <v>0</v>
      </c>
      <c r="M519" s="21">
        <v>0</v>
      </c>
      <c r="N519" s="21">
        <v>0</v>
      </c>
      <c r="O519" s="21">
        <v>0</v>
      </c>
      <c r="P519" s="21">
        <v>0</v>
      </c>
      <c r="Q519" s="21">
        <v>0</v>
      </c>
      <c r="R519" s="23">
        <v>0</v>
      </c>
      <c r="S519" s="23">
        <v>0</v>
      </c>
      <c r="T519" s="23">
        <v>0</v>
      </c>
      <c r="U519" s="23">
        <v>0</v>
      </c>
      <c r="V519" s="23">
        <v>0</v>
      </c>
      <c r="W519" s="23">
        <v>0</v>
      </c>
      <c r="X519" s="23">
        <v>0</v>
      </c>
      <c r="Y519" s="23">
        <v>0</v>
      </c>
      <c r="Z519" s="23">
        <v>0</v>
      </c>
      <c r="AA519" s="23">
        <v>0</v>
      </c>
      <c r="AB519" s="23">
        <v>0</v>
      </c>
      <c r="AC519" s="25">
        <v>0</v>
      </c>
      <c r="AD519" s="25">
        <v>0</v>
      </c>
      <c r="AE519" s="25">
        <v>0</v>
      </c>
      <c r="AF519" s="25">
        <v>0</v>
      </c>
      <c r="AG519" s="25">
        <v>0</v>
      </c>
      <c r="AH519" s="25">
        <v>0</v>
      </c>
      <c r="AI519" s="25">
        <v>0</v>
      </c>
      <c r="AJ519" s="25">
        <v>0</v>
      </c>
      <c r="AK519" s="25">
        <v>0</v>
      </c>
      <c r="AL519" s="25">
        <v>0</v>
      </c>
      <c r="AM519" s="25">
        <v>0</v>
      </c>
    </row>
    <row r="520" spans="1:39" ht="15" customHeight="1">
      <c r="A520" s="32" t="str">
        <f t="shared" si="21"/>
        <v>Endeavour--LV OH</v>
      </c>
      <c r="B520" s="32" t="str">
        <f t="shared" si="22"/>
        <v>Endeavour</v>
      </c>
      <c r="C520" s="32" t="s">
        <v>719</v>
      </c>
      <c r="D520" s="395"/>
      <c r="F520" t="s">
        <v>590</v>
      </c>
      <c r="G520" s="21">
        <v>0</v>
      </c>
      <c r="H520" s="21">
        <v>0</v>
      </c>
      <c r="I520" s="21">
        <v>0.47899999999999998</v>
      </c>
      <c r="J520" s="21">
        <v>1246.441</v>
      </c>
      <c r="K520" s="21">
        <v>5013.0910000000003</v>
      </c>
      <c r="L520" s="21">
        <v>15200.599999999999</v>
      </c>
      <c r="M520" s="21">
        <v>9892.6830000000009</v>
      </c>
      <c r="N520" s="21">
        <v>9753.5119999999988</v>
      </c>
      <c r="O520" s="21">
        <v>14649.852999999999</v>
      </c>
      <c r="P520" s="21">
        <v>14649.852999999999</v>
      </c>
      <c r="Q520" s="21">
        <v>14649.852999999999</v>
      </c>
      <c r="R520" s="23">
        <v>0</v>
      </c>
      <c r="S520" s="23">
        <v>0</v>
      </c>
      <c r="T520" s="23">
        <v>0</v>
      </c>
      <c r="U520" s="23">
        <v>5000</v>
      </c>
      <c r="V520" s="23">
        <v>10000</v>
      </c>
      <c r="W520" s="23">
        <v>10000</v>
      </c>
      <c r="X520" s="23">
        <v>12450</v>
      </c>
      <c r="Y520" s="23">
        <v>12450</v>
      </c>
      <c r="Z520" s="23">
        <v>18700</v>
      </c>
      <c r="AA520" s="23">
        <v>18700</v>
      </c>
      <c r="AB520" s="23">
        <v>18700</v>
      </c>
      <c r="AC520" s="25">
        <v>0</v>
      </c>
      <c r="AD520" s="25">
        <v>0</v>
      </c>
      <c r="AE520" s="25">
        <v>0</v>
      </c>
      <c r="AF520" s="25">
        <v>0</v>
      </c>
      <c r="AG520" s="25">
        <v>0</v>
      </c>
      <c r="AH520" s="25">
        <v>0</v>
      </c>
      <c r="AI520" s="25">
        <v>0</v>
      </c>
      <c r="AJ520" s="25">
        <v>0</v>
      </c>
      <c r="AK520" s="25">
        <v>0</v>
      </c>
      <c r="AL520" s="25">
        <v>0</v>
      </c>
      <c r="AM520" s="25">
        <v>0</v>
      </c>
    </row>
    <row r="521" spans="1:39" ht="15" customHeight="1">
      <c r="A521" s="32" t="str">
        <f t="shared" si="21"/>
        <v>Endeavour--LV UG</v>
      </c>
      <c r="B521" s="32" t="str">
        <f t="shared" si="22"/>
        <v>Endeavour</v>
      </c>
      <c r="C521" s="32" t="s">
        <v>719</v>
      </c>
      <c r="D521" s="395"/>
      <c r="F521" t="s">
        <v>591</v>
      </c>
      <c r="G521" s="21">
        <v>0</v>
      </c>
      <c r="H521" s="21">
        <v>0</v>
      </c>
      <c r="I521" s="21">
        <v>0</v>
      </c>
      <c r="J521" s="21">
        <v>0</v>
      </c>
      <c r="K521" s="21">
        <v>0</v>
      </c>
      <c r="L521" s="21">
        <v>0</v>
      </c>
      <c r="M521" s="21">
        <v>0</v>
      </c>
      <c r="N521" s="21">
        <v>0</v>
      </c>
      <c r="O521" s="21">
        <v>0</v>
      </c>
      <c r="P521" s="21">
        <v>0</v>
      </c>
      <c r="Q521" s="21">
        <v>0</v>
      </c>
      <c r="R521" s="23">
        <v>0</v>
      </c>
      <c r="S521" s="23">
        <v>0</v>
      </c>
      <c r="T521" s="23">
        <v>0</v>
      </c>
      <c r="U521" s="23">
        <v>0</v>
      </c>
      <c r="V521" s="23">
        <v>0</v>
      </c>
      <c r="W521" s="23">
        <v>0</v>
      </c>
      <c r="X521" s="23">
        <v>0</v>
      </c>
      <c r="Y521" s="23">
        <v>0</v>
      </c>
      <c r="Z521" s="23">
        <v>0</v>
      </c>
      <c r="AA521" s="23">
        <v>0</v>
      </c>
      <c r="AB521" s="23">
        <v>0</v>
      </c>
      <c r="AC521" s="25">
        <v>0</v>
      </c>
      <c r="AD521" s="25">
        <v>0</v>
      </c>
      <c r="AE521" s="25">
        <v>0</v>
      </c>
      <c r="AF521" s="25">
        <v>0</v>
      </c>
      <c r="AG521" s="25">
        <v>0</v>
      </c>
      <c r="AH521" s="25">
        <v>0</v>
      </c>
      <c r="AI521" s="25">
        <v>0</v>
      </c>
      <c r="AJ521" s="25">
        <v>0</v>
      </c>
      <c r="AK521" s="25">
        <v>0</v>
      </c>
      <c r="AL521" s="25">
        <v>0</v>
      </c>
      <c r="AM521" s="25">
        <v>0</v>
      </c>
    </row>
    <row r="522" spans="1:39" ht="75" customHeight="1">
      <c r="A522" s="32" t="str">
        <f t="shared" si="21"/>
        <v>Endeavour-TRANSFORMERS BY: 
MOUNTING TYPE; HIGHEST OPERATING VOLTAGE ; AMPERE RATING; NUMBER OF PHASES (AT LV)-POLE MOUNTED ; &lt; = 22kV ;  &lt; = 60 kVA ; SINGLE PHASE</v>
      </c>
      <c r="B522" s="32" t="str">
        <f t="shared" si="22"/>
        <v>Endeavour</v>
      </c>
      <c r="C522" s="32" t="s">
        <v>4</v>
      </c>
      <c r="D522" s="395"/>
      <c r="E522" s="3" t="s">
        <v>544</v>
      </c>
      <c r="F522" t="s">
        <v>203</v>
      </c>
      <c r="G522" s="21">
        <v>104.276</v>
      </c>
      <c r="H522" s="21">
        <v>60.607999999999997</v>
      </c>
      <c r="I522" s="21">
        <v>37.174999999999997</v>
      </c>
      <c r="J522" s="21">
        <v>15.157999999999999</v>
      </c>
      <c r="K522" s="21">
        <v>85.891999999999996</v>
      </c>
      <c r="L522" s="21">
        <v>47.127000000000002</v>
      </c>
      <c r="M522" s="21">
        <v>52.639000000000003</v>
      </c>
      <c r="N522" s="21">
        <v>50.34</v>
      </c>
      <c r="O522" s="21">
        <v>73.47</v>
      </c>
      <c r="P522" s="21">
        <v>73.47</v>
      </c>
      <c r="Q522" s="21">
        <v>75.432000000000002</v>
      </c>
      <c r="R522" s="23">
        <v>29</v>
      </c>
      <c r="S522" s="23">
        <v>18</v>
      </c>
      <c r="T522" s="23">
        <v>10</v>
      </c>
      <c r="U522" s="23">
        <v>3</v>
      </c>
      <c r="V522" s="23">
        <v>15</v>
      </c>
      <c r="W522" s="23">
        <v>12</v>
      </c>
      <c r="X522" s="23">
        <v>13</v>
      </c>
      <c r="Y522" s="23">
        <v>12</v>
      </c>
      <c r="Z522" s="23">
        <v>18</v>
      </c>
      <c r="AA522" s="23">
        <v>18</v>
      </c>
      <c r="AB522" s="23">
        <v>19</v>
      </c>
      <c r="AC522" s="25">
        <v>0</v>
      </c>
      <c r="AD522" s="25">
        <v>1</v>
      </c>
      <c r="AE522" s="25">
        <v>0</v>
      </c>
      <c r="AF522" s="25">
        <v>0</v>
      </c>
      <c r="AG522" s="25">
        <v>0</v>
      </c>
      <c r="AH522" s="25">
        <v>0</v>
      </c>
      <c r="AI522" s="25">
        <v>0</v>
      </c>
      <c r="AJ522" s="25">
        <v>0</v>
      </c>
      <c r="AK522" s="25">
        <v>0</v>
      </c>
      <c r="AL522" s="25">
        <v>0</v>
      </c>
      <c r="AM522" s="25">
        <v>0</v>
      </c>
    </row>
    <row r="523" spans="1:39" ht="15" customHeight="1">
      <c r="A523" s="32" t="str">
        <f t="shared" si="21"/>
        <v>Endeavour--POLE MOUNTED ; &lt; = 22kV ;  &gt; 60 kVA AND &lt; = 600 kVA ; SINGLE PHASE</v>
      </c>
      <c r="B523" s="32" t="str">
        <f t="shared" si="22"/>
        <v>Endeavour</v>
      </c>
      <c r="C523" s="32" t="s">
        <v>4</v>
      </c>
      <c r="D523" s="395"/>
      <c r="F523" t="s">
        <v>204</v>
      </c>
      <c r="G523" s="21">
        <v>0</v>
      </c>
      <c r="H523" s="21">
        <v>0</v>
      </c>
      <c r="I523" s="21">
        <v>0</v>
      </c>
      <c r="J523" s="21">
        <v>0</v>
      </c>
      <c r="K523" s="21">
        <v>0</v>
      </c>
      <c r="L523" s="21">
        <v>0</v>
      </c>
      <c r="M523" s="21">
        <v>0</v>
      </c>
      <c r="N523" s="21">
        <v>0</v>
      </c>
      <c r="O523" s="21">
        <v>0</v>
      </c>
      <c r="P523" s="21">
        <v>0</v>
      </c>
      <c r="Q523" s="21">
        <v>0</v>
      </c>
      <c r="R523" s="23">
        <v>0</v>
      </c>
      <c r="S523" s="23">
        <v>0</v>
      </c>
      <c r="T523" s="23">
        <v>0</v>
      </c>
      <c r="U523" s="23">
        <v>0</v>
      </c>
      <c r="V523" s="23">
        <v>0</v>
      </c>
      <c r="W523" s="23">
        <v>0</v>
      </c>
      <c r="X523" s="23">
        <v>0</v>
      </c>
      <c r="Y523" s="23">
        <v>0</v>
      </c>
      <c r="Z523" s="23">
        <v>0</v>
      </c>
      <c r="AA523" s="23">
        <v>0</v>
      </c>
      <c r="AB523" s="23">
        <v>0</v>
      </c>
      <c r="AC523" s="25">
        <v>0</v>
      </c>
      <c r="AD523" s="25">
        <v>0</v>
      </c>
      <c r="AE523" s="25">
        <v>0</v>
      </c>
      <c r="AF523" s="25">
        <v>0</v>
      </c>
      <c r="AG523" s="25">
        <v>0</v>
      </c>
      <c r="AH523" s="25">
        <v>0</v>
      </c>
      <c r="AI523" s="25">
        <v>0</v>
      </c>
      <c r="AJ523" s="25">
        <v>0</v>
      </c>
      <c r="AK523" s="25">
        <v>0</v>
      </c>
      <c r="AL523" s="25">
        <v>0</v>
      </c>
      <c r="AM523" s="25">
        <v>0</v>
      </c>
    </row>
    <row r="524" spans="1:39" ht="15" customHeight="1">
      <c r="A524" s="32" t="str">
        <f t="shared" si="21"/>
        <v>Endeavour--POLE MOUNTED ; &lt; = 22kV ;  &gt; 600 kVA ; SINGLE PHASE</v>
      </c>
      <c r="B524" s="32" t="str">
        <f t="shared" si="22"/>
        <v>Endeavour</v>
      </c>
      <c r="C524" s="32" t="s">
        <v>4</v>
      </c>
      <c r="D524" s="395"/>
      <c r="F524" t="s">
        <v>205</v>
      </c>
      <c r="G524" s="21">
        <v>0</v>
      </c>
      <c r="H524" s="21">
        <v>0</v>
      </c>
      <c r="I524" s="21">
        <v>0</v>
      </c>
      <c r="J524" s="21">
        <v>0</v>
      </c>
      <c r="K524" s="21">
        <v>0</v>
      </c>
      <c r="L524" s="21">
        <v>0</v>
      </c>
      <c r="M524" s="21">
        <v>0</v>
      </c>
      <c r="N524" s="21">
        <v>0</v>
      </c>
      <c r="O524" s="21">
        <v>0</v>
      </c>
      <c r="P524" s="21">
        <v>0</v>
      </c>
      <c r="Q524" s="21">
        <v>0</v>
      </c>
      <c r="R524" s="23">
        <v>0</v>
      </c>
      <c r="S524" s="23">
        <v>0</v>
      </c>
      <c r="T524" s="23">
        <v>0</v>
      </c>
      <c r="U524" s="23">
        <v>0</v>
      </c>
      <c r="V524" s="23">
        <v>0</v>
      </c>
      <c r="W524" s="23">
        <v>0</v>
      </c>
      <c r="X524" s="23">
        <v>0</v>
      </c>
      <c r="Y524" s="23">
        <v>0</v>
      </c>
      <c r="Z524" s="23">
        <v>0</v>
      </c>
      <c r="AA524" s="23">
        <v>0</v>
      </c>
      <c r="AB524" s="23">
        <v>0</v>
      </c>
      <c r="AC524" s="25">
        <v>0</v>
      </c>
      <c r="AD524" s="25">
        <v>0</v>
      </c>
      <c r="AE524" s="25">
        <v>0</v>
      </c>
      <c r="AF524" s="25">
        <v>0</v>
      </c>
      <c r="AG524" s="25">
        <v>0</v>
      </c>
      <c r="AH524" s="25">
        <v>0</v>
      </c>
      <c r="AI524" s="25">
        <v>0</v>
      </c>
      <c r="AJ524" s="25">
        <v>0</v>
      </c>
      <c r="AK524" s="25">
        <v>0</v>
      </c>
      <c r="AL524" s="25">
        <v>0</v>
      </c>
      <c r="AM524" s="25">
        <v>0</v>
      </c>
    </row>
    <row r="525" spans="1:39" ht="15" customHeight="1">
      <c r="A525" s="32" t="str">
        <f t="shared" si="21"/>
        <v>Endeavour--POLE MOUNTED ; &lt; = 22kV ;  &lt; = 60 kVA  ; MULTIPLE PHASE</v>
      </c>
      <c r="B525" s="32" t="str">
        <f t="shared" si="22"/>
        <v>Endeavour</v>
      </c>
      <c r="C525" s="32" t="s">
        <v>4</v>
      </c>
      <c r="D525" s="395"/>
      <c r="F525" t="s">
        <v>206</v>
      </c>
      <c r="G525" s="21">
        <v>45.698999999999998</v>
      </c>
      <c r="H525" s="21">
        <v>128.37899999999999</v>
      </c>
      <c r="I525" s="21">
        <v>141.738</v>
      </c>
      <c r="J525" s="21">
        <v>184.62100000000001</v>
      </c>
      <c r="K525" s="21">
        <v>72.774000000000001</v>
      </c>
      <c r="L525" s="21">
        <v>89.120999999999995</v>
      </c>
      <c r="M525" s="21">
        <v>99.545000000000002</v>
      </c>
      <c r="N525" s="21">
        <v>95.197000000000003</v>
      </c>
      <c r="O525" s="21">
        <v>138.93799999999999</v>
      </c>
      <c r="P525" s="21">
        <v>138.93799999999999</v>
      </c>
      <c r="Q525" s="21">
        <v>142.65</v>
      </c>
      <c r="R525" s="23">
        <v>8</v>
      </c>
      <c r="S525" s="23">
        <v>24</v>
      </c>
      <c r="T525" s="23">
        <v>24</v>
      </c>
      <c r="U525" s="23">
        <v>23</v>
      </c>
      <c r="V525" s="23">
        <v>8</v>
      </c>
      <c r="W525" s="23">
        <v>14</v>
      </c>
      <c r="X525" s="23">
        <v>15</v>
      </c>
      <c r="Y525" s="23">
        <v>14</v>
      </c>
      <c r="Z525" s="23">
        <v>21</v>
      </c>
      <c r="AA525" s="23">
        <v>21</v>
      </c>
      <c r="AB525" s="23">
        <v>22</v>
      </c>
      <c r="AC525" s="25">
        <v>2</v>
      </c>
      <c r="AD525" s="25">
        <v>1</v>
      </c>
      <c r="AE525" s="25">
        <v>2</v>
      </c>
      <c r="AF525" s="25">
        <v>2</v>
      </c>
      <c r="AG525" s="25">
        <v>0</v>
      </c>
      <c r="AH525" s="25">
        <v>0</v>
      </c>
      <c r="AI525" s="25">
        <v>0</v>
      </c>
      <c r="AJ525" s="25">
        <v>0</v>
      </c>
      <c r="AK525" s="25">
        <v>0</v>
      </c>
      <c r="AL525" s="25">
        <v>0</v>
      </c>
      <c r="AM525" s="25">
        <v>0</v>
      </c>
    </row>
    <row r="526" spans="1:39" ht="15" customHeight="1">
      <c r="A526" s="32" t="str">
        <f t="shared" si="21"/>
        <v>Endeavour--POLE MOUNTED ; &lt; = 22kV ;  &gt; 60 kVA AND &lt; = 600 kVA  ; MULTIPLE PHASE</v>
      </c>
      <c r="B526" s="32" t="str">
        <f t="shared" si="22"/>
        <v>Endeavour</v>
      </c>
      <c r="C526" s="32" t="s">
        <v>4</v>
      </c>
      <c r="D526" s="395"/>
      <c r="F526" t="s">
        <v>207</v>
      </c>
      <c r="G526" s="21">
        <v>1742.277</v>
      </c>
      <c r="H526" s="21">
        <v>1507.9069999999999</v>
      </c>
      <c r="I526" s="21">
        <v>1050.742</v>
      </c>
      <c r="J526" s="21">
        <v>983.01400000000001</v>
      </c>
      <c r="K526" s="21">
        <v>1408.2909999999999</v>
      </c>
      <c r="L526" s="21">
        <v>1040.4929999999999</v>
      </c>
      <c r="M526" s="21">
        <v>1162.1849999999999</v>
      </c>
      <c r="N526" s="21">
        <v>1111.4259999999999</v>
      </c>
      <c r="O526" s="21">
        <v>1622.107</v>
      </c>
      <c r="P526" s="21">
        <v>1622.107</v>
      </c>
      <c r="Q526" s="21">
        <v>1665.4369999999999</v>
      </c>
      <c r="R526" s="23">
        <v>132</v>
      </c>
      <c r="S526" s="23">
        <v>122</v>
      </c>
      <c r="T526" s="23">
        <v>77</v>
      </c>
      <c r="U526" s="23">
        <v>53</v>
      </c>
      <c r="V526" s="23">
        <v>67</v>
      </c>
      <c r="W526" s="23">
        <v>70</v>
      </c>
      <c r="X526" s="23">
        <v>78</v>
      </c>
      <c r="Y526" s="23">
        <v>75</v>
      </c>
      <c r="Z526" s="23">
        <v>109</v>
      </c>
      <c r="AA526" s="23">
        <v>109</v>
      </c>
      <c r="AB526" s="23">
        <v>112</v>
      </c>
      <c r="AC526" s="25">
        <v>7</v>
      </c>
      <c r="AD526" s="25">
        <v>5</v>
      </c>
      <c r="AE526" s="25">
        <v>18</v>
      </c>
      <c r="AF526" s="25">
        <v>39</v>
      </c>
      <c r="AG526" s="25">
        <v>17</v>
      </c>
      <c r="AH526" s="25">
        <v>0</v>
      </c>
      <c r="AI526" s="25">
        <v>0</v>
      </c>
      <c r="AJ526" s="25">
        <v>0</v>
      </c>
      <c r="AK526" s="25">
        <v>0</v>
      </c>
      <c r="AL526" s="25">
        <v>0</v>
      </c>
      <c r="AM526" s="25">
        <v>0</v>
      </c>
    </row>
    <row r="527" spans="1:39" ht="15" customHeight="1">
      <c r="A527" s="32" t="str">
        <f t="shared" si="21"/>
        <v>Endeavour--POLE MOUNTED ; &lt; = 22kV ;  &gt; 600 kVA  ; MULTIPLE PHASE</v>
      </c>
      <c r="B527" s="32" t="str">
        <f t="shared" si="22"/>
        <v>Endeavour</v>
      </c>
      <c r="C527" s="32" t="s">
        <v>4</v>
      </c>
      <c r="D527" s="395"/>
      <c r="F527" t="s">
        <v>208</v>
      </c>
      <c r="G527" s="21">
        <v>0</v>
      </c>
      <c r="H527" s="21">
        <v>0</v>
      </c>
      <c r="I527" s="21">
        <v>0</v>
      </c>
      <c r="J527" s="21">
        <v>0</v>
      </c>
      <c r="K527" s="21">
        <v>0</v>
      </c>
      <c r="L527" s="21">
        <v>0</v>
      </c>
      <c r="M527" s="21">
        <v>0</v>
      </c>
      <c r="N527" s="21">
        <v>0</v>
      </c>
      <c r="O527" s="21">
        <v>0</v>
      </c>
      <c r="P527" s="21">
        <v>0</v>
      </c>
      <c r="Q527" s="21">
        <v>0</v>
      </c>
      <c r="R527" s="23">
        <v>0</v>
      </c>
      <c r="S527" s="23">
        <v>0</v>
      </c>
      <c r="T527" s="23">
        <v>0</v>
      </c>
      <c r="U527" s="23">
        <v>0</v>
      </c>
      <c r="V527" s="23">
        <v>0</v>
      </c>
      <c r="W527" s="23">
        <v>0</v>
      </c>
      <c r="X527" s="23">
        <v>0</v>
      </c>
      <c r="Y527" s="23">
        <v>0</v>
      </c>
      <c r="Z527" s="23">
        <v>0</v>
      </c>
      <c r="AA527" s="23">
        <v>0</v>
      </c>
      <c r="AB527" s="23">
        <v>0</v>
      </c>
      <c r="AC527" s="25">
        <v>0</v>
      </c>
      <c r="AD527" s="25">
        <v>0</v>
      </c>
      <c r="AE527" s="25">
        <v>0</v>
      </c>
      <c r="AF527" s="25">
        <v>0</v>
      </c>
      <c r="AG527" s="25">
        <v>0</v>
      </c>
      <c r="AH527" s="25">
        <v>0</v>
      </c>
      <c r="AI527" s="25">
        <v>0</v>
      </c>
      <c r="AJ527" s="25">
        <v>0</v>
      </c>
      <c r="AK527" s="25">
        <v>0</v>
      </c>
      <c r="AL527" s="25">
        <v>0</v>
      </c>
      <c r="AM527" s="25">
        <v>0</v>
      </c>
    </row>
    <row r="528" spans="1:39" ht="15" customHeight="1">
      <c r="A528" s="32" t="str">
        <f t="shared" si="21"/>
        <v xml:space="preserve">Endeavour--POLE MOUNTED ; &gt; 22 kV ;  &lt; = 60 kVA </v>
      </c>
      <c r="B528" s="32" t="str">
        <f t="shared" si="22"/>
        <v>Endeavour</v>
      </c>
      <c r="C528" s="32" t="s">
        <v>4</v>
      </c>
      <c r="D528" s="395"/>
      <c r="F528" t="s">
        <v>209</v>
      </c>
      <c r="G528" s="21">
        <v>0</v>
      </c>
      <c r="H528" s="21">
        <v>0</v>
      </c>
      <c r="I528" s="21">
        <v>0</v>
      </c>
      <c r="J528" s="21">
        <v>0</v>
      </c>
      <c r="K528" s="21">
        <v>0</v>
      </c>
      <c r="L528" s="21">
        <v>0</v>
      </c>
      <c r="M528" s="21">
        <v>0</v>
      </c>
      <c r="N528" s="21">
        <v>0</v>
      </c>
      <c r="O528" s="21">
        <v>0</v>
      </c>
      <c r="P528" s="21">
        <v>0</v>
      </c>
      <c r="Q528" s="21">
        <v>0</v>
      </c>
      <c r="R528" s="23">
        <v>0</v>
      </c>
      <c r="S528" s="23">
        <v>0</v>
      </c>
      <c r="T528" s="23">
        <v>0</v>
      </c>
      <c r="U528" s="23">
        <v>0</v>
      </c>
      <c r="V528" s="23">
        <v>0</v>
      </c>
      <c r="W528" s="23">
        <v>0</v>
      </c>
      <c r="X528" s="23">
        <v>0</v>
      </c>
      <c r="Y528" s="23">
        <v>0</v>
      </c>
      <c r="Z528" s="23">
        <v>0</v>
      </c>
      <c r="AA528" s="23">
        <v>0</v>
      </c>
      <c r="AB528" s="23">
        <v>0</v>
      </c>
      <c r="AC528" s="25">
        <v>0</v>
      </c>
      <c r="AD528" s="25">
        <v>0</v>
      </c>
      <c r="AE528" s="25">
        <v>0</v>
      </c>
      <c r="AF528" s="25">
        <v>0</v>
      </c>
      <c r="AG528" s="25">
        <v>0</v>
      </c>
      <c r="AH528" s="25">
        <v>0</v>
      </c>
      <c r="AI528" s="25">
        <v>0</v>
      </c>
      <c r="AJ528" s="25">
        <v>0</v>
      </c>
      <c r="AK528" s="25">
        <v>0</v>
      </c>
      <c r="AL528" s="25">
        <v>0</v>
      </c>
      <c r="AM528" s="25">
        <v>0</v>
      </c>
    </row>
    <row r="529" spans="1:39" ht="15" customHeight="1">
      <c r="A529" s="32" t="str">
        <f t="shared" si="21"/>
        <v xml:space="preserve">Endeavour--POLE MOUNTED ; &gt; 22 kV ;  &gt; 60 kVA AND &lt; = 600 kVA </v>
      </c>
      <c r="B529" s="32" t="str">
        <f t="shared" si="22"/>
        <v>Endeavour</v>
      </c>
      <c r="C529" s="32" t="s">
        <v>4</v>
      </c>
      <c r="D529" s="395"/>
      <c r="F529" t="s">
        <v>210</v>
      </c>
      <c r="G529" s="21">
        <v>0</v>
      </c>
      <c r="H529" s="21">
        <v>0</v>
      </c>
      <c r="I529" s="21">
        <v>0</v>
      </c>
      <c r="J529" s="21">
        <v>0</v>
      </c>
      <c r="K529" s="21">
        <v>0</v>
      </c>
      <c r="L529" s="21">
        <v>0</v>
      </c>
      <c r="M529" s="21">
        <v>0</v>
      </c>
      <c r="N529" s="21">
        <v>0</v>
      </c>
      <c r="O529" s="21">
        <v>0</v>
      </c>
      <c r="P529" s="21">
        <v>0</v>
      </c>
      <c r="Q529" s="21">
        <v>0</v>
      </c>
      <c r="R529" s="23">
        <v>0</v>
      </c>
      <c r="S529" s="23">
        <v>0</v>
      </c>
      <c r="T529" s="23">
        <v>0</v>
      </c>
      <c r="U529" s="23">
        <v>0</v>
      </c>
      <c r="V529" s="23">
        <v>0</v>
      </c>
      <c r="W529" s="23">
        <v>0</v>
      </c>
      <c r="X529" s="23">
        <v>0</v>
      </c>
      <c r="Y529" s="23">
        <v>0</v>
      </c>
      <c r="Z529" s="23">
        <v>0</v>
      </c>
      <c r="AA529" s="23">
        <v>0</v>
      </c>
      <c r="AB529" s="23">
        <v>0</v>
      </c>
      <c r="AC529" s="25">
        <v>0</v>
      </c>
      <c r="AD529" s="25">
        <v>0</v>
      </c>
      <c r="AE529" s="25">
        <v>0</v>
      </c>
      <c r="AF529" s="25">
        <v>0</v>
      </c>
      <c r="AG529" s="25">
        <v>0</v>
      </c>
      <c r="AH529" s="25">
        <v>0</v>
      </c>
      <c r="AI529" s="25">
        <v>0</v>
      </c>
      <c r="AJ529" s="25">
        <v>0</v>
      </c>
      <c r="AK529" s="25">
        <v>0</v>
      </c>
      <c r="AL529" s="25">
        <v>0</v>
      </c>
      <c r="AM529" s="25">
        <v>0</v>
      </c>
    </row>
    <row r="530" spans="1:39" ht="15" customHeight="1">
      <c r="A530" s="32" t="str">
        <f t="shared" si="21"/>
        <v>Endeavour--POLE MOUNTED ; &gt; 22 kV ;  &gt; 600 kVA</v>
      </c>
      <c r="B530" s="32" t="str">
        <f t="shared" si="22"/>
        <v>Endeavour</v>
      </c>
      <c r="C530" s="32" t="s">
        <v>4</v>
      </c>
      <c r="D530" s="395"/>
      <c r="F530" t="s">
        <v>211</v>
      </c>
      <c r="G530" s="21">
        <v>0</v>
      </c>
      <c r="H530" s="21">
        <v>0</v>
      </c>
      <c r="I530" s="21">
        <v>0</v>
      </c>
      <c r="J530" s="21">
        <v>0</v>
      </c>
      <c r="K530" s="21">
        <v>0</v>
      </c>
      <c r="L530" s="21">
        <v>0</v>
      </c>
      <c r="M530" s="21">
        <v>0</v>
      </c>
      <c r="N530" s="21">
        <v>0</v>
      </c>
      <c r="O530" s="21">
        <v>0</v>
      </c>
      <c r="P530" s="21">
        <v>0</v>
      </c>
      <c r="Q530" s="21">
        <v>0</v>
      </c>
      <c r="R530" s="23">
        <v>0</v>
      </c>
      <c r="S530" s="23">
        <v>0</v>
      </c>
      <c r="T530" s="23">
        <v>0</v>
      </c>
      <c r="U530" s="23">
        <v>0</v>
      </c>
      <c r="V530" s="23">
        <v>0</v>
      </c>
      <c r="W530" s="23">
        <v>0</v>
      </c>
      <c r="X530" s="23">
        <v>0</v>
      </c>
      <c r="Y530" s="23">
        <v>0</v>
      </c>
      <c r="Z530" s="23">
        <v>0</v>
      </c>
      <c r="AA530" s="23">
        <v>0</v>
      </c>
      <c r="AB530" s="23">
        <v>0</v>
      </c>
      <c r="AC530" s="25">
        <v>0</v>
      </c>
      <c r="AD530" s="25">
        <v>0</v>
      </c>
      <c r="AE530" s="25">
        <v>0</v>
      </c>
      <c r="AF530" s="25">
        <v>0</v>
      </c>
      <c r="AG530" s="25">
        <v>0</v>
      </c>
      <c r="AH530" s="25">
        <v>0</v>
      </c>
      <c r="AI530" s="25">
        <v>0</v>
      </c>
      <c r="AJ530" s="25">
        <v>0</v>
      </c>
      <c r="AK530" s="25">
        <v>0</v>
      </c>
      <c r="AL530" s="25">
        <v>0</v>
      </c>
      <c r="AM530" s="25">
        <v>0</v>
      </c>
    </row>
    <row r="531" spans="1:39" ht="15" customHeight="1">
      <c r="A531" s="32" t="str">
        <f t="shared" si="21"/>
        <v xml:space="preserve">Endeavour--POLE MOUNTED ; &gt; 22 kV ;  &lt; = 60 kVA </v>
      </c>
      <c r="B531" s="32" t="str">
        <f t="shared" si="22"/>
        <v>Endeavour</v>
      </c>
      <c r="C531" s="32" t="s">
        <v>4</v>
      </c>
      <c r="D531" s="395"/>
      <c r="F531" t="s">
        <v>209</v>
      </c>
      <c r="G531" s="21">
        <v>0</v>
      </c>
      <c r="H531" s="21">
        <v>0</v>
      </c>
      <c r="I531" s="21">
        <v>0</v>
      </c>
      <c r="J531" s="21">
        <v>0</v>
      </c>
      <c r="K531" s="21">
        <v>0</v>
      </c>
      <c r="L531" s="21">
        <v>0</v>
      </c>
      <c r="M531" s="21">
        <v>0</v>
      </c>
      <c r="N531" s="21">
        <v>0</v>
      </c>
      <c r="O531" s="21">
        <v>0</v>
      </c>
      <c r="P531" s="21">
        <v>0</v>
      </c>
      <c r="Q531" s="21">
        <v>0</v>
      </c>
      <c r="R531" s="23">
        <v>0</v>
      </c>
      <c r="S531" s="23">
        <v>0</v>
      </c>
      <c r="T531" s="23">
        <v>0</v>
      </c>
      <c r="U531" s="23">
        <v>0</v>
      </c>
      <c r="V531" s="23">
        <v>0</v>
      </c>
      <c r="W531" s="23">
        <v>0</v>
      </c>
      <c r="X531" s="23">
        <v>0</v>
      </c>
      <c r="Y531" s="23">
        <v>0</v>
      </c>
      <c r="Z531" s="23">
        <v>0</v>
      </c>
      <c r="AA531" s="23">
        <v>0</v>
      </c>
      <c r="AB531" s="23">
        <v>0</v>
      </c>
      <c r="AC531" s="25">
        <v>0</v>
      </c>
      <c r="AD531" s="25">
        <v>0</v>
      </c>
      <c r="AE531" s="25">
        <v>0</v>
      </c>
      <c r="AF531" s="25">
        <v>0</v>
      </c>
      <c r="AG531" s="25">
        <v>0</v>
      </c>
      <c r="AH531" s="25">
        <v>0</v>
      </c>
      <c r="AI531" s="25">
        <v>0</v>
      </c>
      <c r="AJ531" s="25">
        <v>0</v>
      </c>
      <c r="AK531" s="25">
        <v>0</v>
      </c>
      <c r="AL531" s="25">
        <v>0</v>
      </c>
      <c r="AM531" s="25">
        <v>0</v>
      </c>
    </row>
    <row r="532" spans="1:39" ht="15" customHeight="1">
      <c r="A532" s="32" t="str">
        <f t="shared" si="21"/>
        <v>Endeavour--POLE MOUNTED ; &gt; 22 kV ;  &gt; 60 kVA AND &lt; = 600 kVA</v>
      </c>
      <c r="B532" s="32" t="str">
        <f t="shared" si="22"/>
        <v>Endeavour</v>
      </c>
      <c r="C532" s="32" t="s">
        <v>4</v>
      </c>
      <c r="D532" s="395"/>
      <c r="F532" t="s">
        <v>212</v>
      </c>
      <c r="G532" s="21">
        <v>0</v>
      </c>
      <c r="H532" s="21">
        <v>0</v>
      </c>
      <c r="I532" s="21">
        <v>0</v>
      </c>
      <c r="J532" s="21">
        <v>0</v>
      </c>
      <c r="K532" s="21">
        <v>0</v>
      </c>
      <c r="L532" s="21">
        <v>0</v>
      </c>
      <c r="M532" s="21">
        <v>0</v>
      </c>
      <c r="N532" s="21">
        <v>0</v>
      </c>
      <c r="O532" s="21">
        <v>0</v>
      </c>
      <c r="P532" s="21">
        <v>0</v>
      </c>
      <c r="Q532" s="21">
        <v>0</v>
      </c>
      <c r="R532" s="23">
        <v>0</v>
      </c>
      <c r="S532" s="23">
        <v>0</v>
      </c>
      <c r="T532" s="23">
        <v>0</v>
      </c>
      <c r="U532" s="23">
        <v>0</v>
      </c>
      <c r="V532" s="23">
        <v>0</v>
      </c>
      <c r="W532" s="23">
        <v>0</v>
      </c>
      <c r="X532" s="23">
        <v>0</v>
      </c>
      <c r="Y532" s="23">
        <v>0</v>
      </c>
      <c r="Z532" s="23">
        <v>0</v>
      </c>
      <c r="AA532" s="23">
        <v>0</v>
      </c>
      <c r="AB532" s="23">
        <v>0</v>
      </c>
      <c r="AC532" s="25">
        <v>0</v>
      </c>
      <c r="AD532" s="25">
        <v>0</v>
      </c>
      <c r="AE532" s="25">
        <v>0</v>
      </c>
      <c r="AF532" s="25">
        <v>0</v>
      </c>
      <c r="AG532" s="25">
        <v>0</v>
      </c>
      <c r="AH532" s="25">
        <v>0</v>
      </c>
      <c r="AI532" s="25">
        <v>0</v>
      </c>
      <c r="AJ532" s="25">
        <v>0</v>
      </c>
      <c r="AK532" s="25">
        <v>0</v>
      </c>
      <c r="AL532" s="25">
        <v>0</v>
      </c>
      <c r="AM532" s="25">
        <v>0</v>
      </c>
    </row>
    <row r="533" spans="1:39" ht="15" customHeight="1">
      <c r="A533" s="32" t="str">
        <f t="shared" si="21"/>
        <v>Endeavour--POLE MOUNTED ; &gt; 22 kV ;  &gt;  600 kVA</v>
      </c>
      <c r="B533" s="32" t="str">
        <f t="shared" si="22"/>
        <v>Endeavour</v>
      </c>
      <c r="C533" s="32" t="s">
        <v>4</v>
      </c>
      <c r="D533" s="395"/>
      <c r="F533" t="s">
        <v>213</v>
      </c>
      <c r="G533" s="21">
        <v>0</v>
      </c>
      <c r="H533" s="21">
        <v>0</v>
      </c>
      <c r="I533" s="21">
        <v>0</v>
      </c>
      <c r="J533" s="21">
        <v>0</v>
      </c>
      <c r="K533" s="21">
        <v>0</v>
      </c>
      <c r="L533" s="21">
        <v>0</v>
      </c>
      <c r="M533" s="21">
        <v>0</v>
      </c>
      <c r="N533" s="21">
        <v>0</v>
      </c>
      <c r="O533" s="21">
        <v>0</v>
      </c>
      <c r="P533" s="21">
        <v>0</v>
      </c>
      <c r="Q533" s="21">
        <v>0</v>
      </c>
      <c r="R533" s="23">
        <v>0</v>
      </c>
      <c r="S533" s="23">
        <v>0</v>
      </c>
      <c r="T533" s="23">
        <v>0</v>
      </c>
      <c r="U533" s="23">
        <v>0</v>
      </c>
      <c r="V533" s="23">
        <v>0</v>
      </c>
      <c r="W533" s="23">
        <v>0</v>
      </c>
      <c r="X533" s="23">
        <v>0</v>
      </c>
      <c r="Y533" s="23">
        <v>0</v>
      </c>
      <c r="Z533" s="23">
        <v>0</v>
      </c>
      <c r="AA533" s="23">
        <v>0</v>
      </c>
      <c r="AB533" s="23">
        <v>0</v>
      </c>
      <c r="AC533" s="25">
        <v>0</v>
      </c>
      <c r="AD533" s="25">
        <v>0</v>
      </c>
      <c r="AE533" s="25">
        <v>0</v>
      </c>
      <c r="AF533" s="25">
        <v>0</v>
      </c>
      <c r="AG533" s="25">
        <v>0</v>
      </c>
      <c r="AH533" s="25">
        <v>0</v>
      </c>
      <c r="AI533" s="25">
        <v>0</v>
      </c>
      <c r="AJ533" s="25">
        <v>0</v>
      </c>
      <c r="AK533" s="25">
        <v>0</v>
      </c>
      <c r="AL533" s="25">
        <v>0</v>
      </c>
      <c r="AM533" s="25">
        <v>0</v>
      </c>
    </row>
    <row r="534" spans="1:39" ht="15" customHeight="1">
      <c r="A534" s="32" t="str">
        <f t="shared" si="21"/>
        <v>Endeavour--KIOSK MOUNTED ; &lt; = 22kV ;  &lt; = 60 kVA ; SINGLE PHASE</v>
      </c>
      <c r="B534" s="32" t="str">
        <f t="shared" si="22"/>
        <v>Endeavour</v>
      </c>
      <c r="C534" s="32" t="s">
        <v>4</v>
      </c>
      <c r="D534" s="395"/>
      <c r="F534" t="s">
        <v>214</v>
      </c>
      <c r="G534" s="21">
        <v>0</v>
      </c>
      <c r="H534" s="21">
        <v>0</v>
      </c>
      <c r="I534" s="21">
        <v>0</v>
      </c>
      <c r="J534" s="21">
        <v>0</v>
      </c>
      <c r="K534" s="21">
        <v>0</v>
      </c>
      <c r="L534" s="21">
        <v>0</v>
      </c>
      <c r="M534" s="21">
        <v>0</v>
      </c>
      <c r="N534" s="21">
        <v>0</v>
      </c>
      <c r="O534" s="21">
        <v>0</v>
      </c>
      <c r="P534" s="21">
        <v>0</v>
      </c>
      <c r="Q534" s="21">
        <v>0</v>
      </c>
      <c r="R534" s="23">
        <v>0</v>
      </c>
      <c r="S534" s="23">
        <v>0</v>
      </c>
      <c r="T534" s="23">
        <v>0</v>
      </c>
      <c r="U534" s="23">
        <v>0</v>
      </c>
      <c r="V534" s="23">
        <v>0</v>
      </c>
      <c r="W534" s="23">
        <v>0</v>
      </c>
      <c r="X534" s="23">
        <v>0</v>
      </c>
      <c r="Y534" s="23">
        <v>0</v>
      </c>
      <c r="Z534" s="23">
        <v>0</v>
      </c>
      <c r="AA534" s="23">
        <v>0</v>
      </c>
      <c r="AB534" s="23">
        <v>0</v>
      </c>
      <c r="AC534" s="25">
        <v>0</v>
      </c>
      <c r="AD534" s="25">
        <v>0</v>
      </c>
      <c r="AE534" s="25">
        <v>0</v>
      </c>
      <c r="AF534" s="25">
        <v>0</v>
      </c>
      <c r="AG534" s="25">
        <v>0</v>
      </c>
      <c r="AH534" s="25">
        <v>0</v>
      </c>
      <c r="AI534" s="25">
        <v>0</v>
      </c>
      <c r="AJ534" s="25">
        <v>0</v>
      </c>
      <c r="AK534" s="25">
        <v>0</v>
      </c>
      <c r="AL534" s="25">
        <v>0</v>
      </c>
      <c r="AM534" s="25">
        <v>0</v>
      </c>
    </row>
    <row r="535" spans="1:39" ht="15" customHeight="1">
      <c r="A535" s="32" t="str">
        <f t="shared" si="21"/>
        <v>Endeavour--KIOSK MOUNTED ; &lt; = 22kV ;  &gt; 60 kVA AND &lt; = 600 kVA ; SINGLE PHASE</v>
      </c>
      <c r="B535" s="32" t="str">
        <f t="shared" si="22"/>
        <v>Endeavour</v>
      </c>
      <c r="C535" s="32" t="s">
        <v>4</v>
      </c>
      <c r="D535" s="395"/>
      <c r="F535" t="s">
        <v>215</v>
      </c>
      <c r="G535" s="21">
        <v>0</v>
      </c>
      <c r="H535" s="21">
        <v>0</v>
      </c>
      <c r="I535" s="21">
        <v>0</v>
      </c>
      <c r="J535" s="21">
        <v>0</v>
      </c>
      <c r="K535" s="21">
        <v>0</v>
      </c>
      <c r="L535" s="21">
        <v>0</v>
      </c>
      <c r="M535" s="21">
        <v>0</v>
      </c>
      <c r="N535" s="21">
        <v>0</v>
      </c>
      <c r="O535" s="21">
        <v>0</v>
      </c>
      <c r="P535" s="21">
        <v>0</v>
      </c>
      <c r="Q535" s="21">
        <v>0</v>
      </c>
      <c r="R535" s="23">
        <v>0</v>
      </c>
      <c r="S535" s="23">
        <v>0</v>
      </c>
      <c r="T535" s="23">
        <v>0</v>
      </c>
      <c r="U535" s="23">
        <v>0</v>
      </c>
      <c r="V535" s="23">
        <v>0</v>
      </c>
      <c r="W535" s="23">
        <v>0</v>
      </c>
      <c r="X535" s="23">
        <v>0</v>
      </c>
      <c r="Y535" s="23">
        <v>0</v>
      </c>
      <c r="Z535" s="23">
        <v>0</v>
      </c>
      <c r="AA535" s="23">
        <v>0</v>
      </c>
      <c r="AB535" s="23">
        <v>0</v>
      </c>
      <c r="AC535" s="25">
        <v>0</v>
      </c>
      <c r="AD535" s="25">
        <v>0</v>
      </c>
      <c r="AE535" s="25">
        <v>0</v>
      </c>
      <c r="AF535" s="25">
        <v>0</v>
      </c>
      <c r="AG535" s="25">
        <v>0</v>
      </c>
      <c r="AH535" s="25">
        <v>0</v>
      </c>
      <c r="AI535" s="25">
        <v>0</v>
      </c>
      <c r="AJ535" s="25">
        <v>0</v>
      </c>
      <c r="AK535" s="25">
        <v>0</v>
      </c>
      <c r="AL535" s="25">
        <v>0</v>
      </c>
      <c r="AM535" s="25">
        <v>0</v>
      </c>
    </row>
    <row r="536" spans="1:39" ht="15" customHeight="1">
      <c r="A536" s="32" t="str">
        <f t="shared" si="21"/>
        <v>Endeavour--KIOSK MOUNTED ; &lt; = 22kV ;  &gt; 600 kVA ; SINGLE PHASE</v>
      </c>
      <c r="B536" s="32" t="str">
        <f t="shared" si="22"/>
        <v>Endeavour</v>
      </c>
      <c r="C536" s="32" t="s">
        <v>4</v>
      </c>
      <c r="D536" s="395"/>
      <c r="F536" t="s">
        <v>216</v>
      </c>
      <c r="G536" s="21">
        <v>0</v>
      </c>
      <c r="H536" s="21">
        <v>0</v>
      </c>
      <c r="I536" s="21">
        <v>0</v>
      </c>
      <c r="J536" s="21">
        <v>0</v>
      </c>
      <c r="K536" s="21">
        <v>0</v>
      </c>
      <c r="L536" s="21">
        <v>0</v>
      </c>
      <c r="M536" s="21">
        <v>0</v>
      </c>
      <c r="N536" s="21">
        <v>0</v>
      </c>
      <c r="O536" s="21">
        <v>0</v>
      </c>
      <c r="P536" s="21">
        <v>0</v>
      </c>
      <c r="Q536" s="21">
        <v>0</v>
      </c>
      <c r="R536" s="23">
        <v>0</v>
      </c>
      <c r="S536" s="23">
        <v>0</v>
      </c>
      <c r="T536" s="23">
        <v>0</v>
      </c>
      <c r="U536" s="23">
        <v>0</v>
      </c>
      <c r="V536" s="23">
        <v>0</v>
      </c>
      <c r="W536" s="23">
        <v>0</v>
      </c>
      <c r="X536" s="23">
        <v>0</v>
      </c>
      <c r="Y536" s="23">
        <v>0</v>
      </c>
      <c r="Z536" s="23">
        <v>0</v>
      </c>
      <c r="AA536" s="23">
        <v>0</v>
      </c>
      <c r="AB536" s="23">
        <v>0</v>
      </c>
      <c r="AC536" s="25">
        <v>0</v>
      </c>
      <c r="AD536" s="25">
        <v>0</v>
      </c>
      <c r="AE536" s="25">
        <v>0</v>
      </c>
      <c r="AF536" s="25">
        <v>0</v>
      </c>
      <c r="AG536" s="25">
        <v>0</v>
      </c>
      <c r="AH536" s="25">
        <v>0</v>
      </c>
      <c r="AI536" s="25">
        <v>0</v>
      </c>
      <c r="AJ536" s="25">
        <v>0</v>
      </c>
      <c r="AK536" s="25">
        <v>0</v>
      </c>
      <c r="AL536" s="25">
        <v>0</v>
      </c>
      <c r="AM536" s="25">
        <v>0</v>
      </c>
    </row>
    <row r="537" spans="1:39" ht="15" customHeight="1">
      <c r="A537" s="32" t="str">
        <f t="shared" si="21"/>
        <v>Endeavour--KIOSK MOUNTED ; &lt; = 22kV ;  &lt; = 60 kVA  ; MULTIPLE PHASE</v>
      </c>
      <c r="B537" s="32" t="str">
        <f t="shared" si="22"/>
        <v>Endeavour</v>
      </c>
      <c r="C537" s="32" t="s">
        <v>4</v>
      </c>
      <c r="D537" s="395"/>
      <c r="F537" t="s">
        <v>217</v>
      </c>
      <c r="G537" s="21">
        <v>0</v>
      </c>
      <c r="H537" s="21">
        <v>0</v>
      </c>
      <c r="I537" s="21">
        <v>0</v>
      </c>
      <c r="J537" s="21">
        <v>0</v>
      </c>
      <c r="K537" s="21">
        <v>0</v>
      </c>
      <c r="L537" s="21">
        <v>0</v>
      </c>
      <c r="M537" s="21">
        <v>0</v>
      </c>
      <c r="N537" s="21">
        <v>0</v>
      </c>
      <c r="O537" s="21">
        <v>0</v>
      </c>
      <c r="P537" s="21">
        <v>0</v>
      </c>
      <c r="Q537" s="21">
        <v>0</v>
      </c>
      <c r="R537" s="23">
        <v>0</v>
      </c>
      <c r="S537" s="23">
        <v>0</v>
      </c>
      <c r="T537" s="23">
        <v>0</v>
      </c>
      <c r="U537" s="23">
        <v>0</v>
      </c>
      <c r="V537" s="23">
        <v>0</v>
      </c>
      <c r="W537" s="23">
        <v>0</v>
      </c>
      <c r="X537" s="23">
        <v>0</v>
      </c>
      <c r="Y537" s="23">
        <v>0</v>
      </c>
      <c r="Z537" s="23">
        <v>0</v>
      </c>
      <c r="AA537" s="23">
        <v>0</v>
      </c>
      <c r="AB537" s="23">
        <v>0</v>
      </c>
      <c r="AC537" s="25">
        <v>0</v>
      </c>
      <c r="AD537" s="25">
        <v>0</v>
      </c>
      <c r="AE537" s="25">
        <v>0</v>
      </c>
      <c r="AF537" s="25">
        <v>0</v>
      </c>
      <c r="AG537" s="25">
        <v>0</v>
      </c>
      <c r="AH537" s="25">
        <v>0</v>
      </c>
      <c r="AI537" s="25">
        <v>0</v>
      </c>
      <c r="AJ537" s="25">
        <v>0</v>
      </c>
      <c r="AK537" s="25">
        <v>0</v>
      </c>
      <c r="AL537" s="25">
        <v>0</v>
      </c>
      <c r="AM537" s="25">
        <v>0</v>
      </c>
    </row>
    <row r="538" spans="1:39" ht="15" customHeight="1">
      <c r="A538" s="32" t="str">
        <f t="shared" si="21"/>
        <v>Endeavour--KIOSK MOUNTED ; &lt; = 22kV ;  &gt; 60 kVA AND &lt; = 600 kVA  ; MULTIPLE PHASE</v>
      </c>
      <c r="B538" s="32" t="str">
        <f t="shared" si="22"/>
        <v>Endeavour</v>
      </c>
      <c r="C538" s="32" t="s">
        <v>4</v>
      </c>
      <c r="D538" s="395"/>
      <c r="F538" t="s">
        <v>218</v>
      </c>
      <c r="G538" s="21">
        <v>3944.5340000000001</v>
      </c>
      <c r="H538" s="21">
        <v>5094.8220000000001</v>
      </c>
      <c r="I538" s="21">
        <v>4687.4690000000001</v>
      </c>
      <c r="J538" s="21">
        <v>4905.7740000000003</v>
      </c>
      <c r="K538" s="21">
        <v>5415.1689999999999</v>
      </c>
      <c r="L538" s="21">
        <v>3738.893</v>
      </c>
      <c r="M538" s="21">
        <v>4176.1790000000001</v>
      </c>
      <c r="N538" s="21">
        <v>3993.7840000000001</v>
      </c>
      <c r="O538" s="21">
        <v>5828.8559999999998</v>
      </c>
      <c r="P538" s="21">
        <v>5828.8559999999998</v>
      </c>
      <c r="Q538" s="21">
        <v>5984.5590000000002</v>
      </c>
      <c r="R538" s="23">
        <v>87</v>
      </c>
      <c r="S538" s="23">
        <v>120</v>
      </c>
      <c r="T538" s="23">
        <v>100</v>
      </c>
      <c r="U538" s="23">
        <v>77</v>
      </c>
      <c r="V538" s="23">
        <v>75</v>
      </c>
      <c r="W538" s="23">
        <v>71</v>
      </c>
      <c r="X538" s="23">
        <v>80</v>
      </c>
      <c r="Y538" s="23">
        <v>76</v>
      </c>
      <c r="Z538" s="23">
        <v>111</v>
      </c>
      <c r="AA538" s="23">
        <v>111</v>
      </c>
      <c r="AB538" s="23">
        <v>114</v>
      </c>
      <c r="AC538" s="25">
        <v>0</v>
      </c>
      <c r="AD538" s="25">
        <v>2</v>
      </c>
      <c r="AE538" s="25">
        <v>18</v>
      </c>
      <c r="AF538" s="25">
        <v>49</v>
      </c>
      <c r="AG538" s="25">
        <v>11</v>
      </c>
      <c r="AH538" s="25">
        <v>0</v>
      </c>
      <c r="AI538" s="25">
        <v>0</v>
      </c>
      <c r="AJ538" s="25">
        <v>0</v>
      </c>
      <c r="AK538" s="25">
        <v>0</v>
      </c>
      <c r="AL538" s="25">
        <v>0</v>
      </c>
      <c r="AM538" s="25">
        <v>0</v>
      </c>
    </row>
    <row r="539" spans="1:39" ht="15" customHeight="1">
      <c r="A539" s="32" t="str">
        <f t="shared" si="21"/>
        <v>Endeavour--KIOSK MOUNTED ; &lt; = 22kV ;  &gt; 600 kVA  ; MULTIPLE PHASE</v>
      </c>
      <c r="B539" s="32" t="str">
        <f t="shared" si="22"/>
        <v>Endeavour</v>
      </c>
      <c r="C539" s="32" t="s">
        <v>4</v>
      </c>
      <c r="D539" s="395"/>
      <c r="F539" t="s">
        <v>219</v>
      </c>
      <c r="G539" s="21">
        <v>2633.2049999999999</v>
      </c>
      <c r="H539" s="21">
        <v>1399.502</v>
      </c>
      <c r="I539" s="21">
        <v>1618.7049999999999</v>
      </c>
      <c r="J539" s="21">
        <v>1500.0809999999999</v>
      </c>
      <c r="K539" s="21">
        <v>2039.998</v>
      </c>
      <c r="L539" s="21">
        <v>1429.0719999999999</v>
      </c>
      <c r="M539" s="21">
        <v>1596.211</v>
      </c>
      <c r="N539" s="21">
        <v>1526.4960000000001</v>
      </c>
      <c r="O539" s="21">
        <v>2227.8939999999998</v>
      </c>
      <c r="P539" s="21">
        <v>2227.8939999999998</v>
      </c>
      <c r="Q539" s="21">
        <v>2287.4059999999999</v>
      </c>
      <c r="R539" s="23">
        <v>37</v>
      </c>
      <c r="S539" s="23">
        <v>21</v>
      </c>
      <c r="T539" s="23">
        <v>22</v>
      </c>
      <c r="U539" s="23">
        <v>15</v>
      </c>
      <c r="V539" s="23">
        <v>18</v>
      </c>
      <c r="W539" s="23">
        <v>18</v>
      </c>
      <c r="X539" s="23">
        <v>20</v>
      </c>
      <c r="Y539" s="23">
        <v>19</v>
      </c>
      <c r="Z539" s="23">
        <v>27</v>
      </c>
      <c r="AA539" s="23">
        <v>27</v>
      </c>
      <c r="AB539" s="23">
        <v>28</v>
      </c>
      <c r="AC539" s="25">
        <v>0</v>
      </c>
      <c r="AD539" s="25">
        <v>0</v>
      </c>
      <c r="AE539" s="25">
        <v>2</v>
      </c>
      <c r="AF539" s="25">
        <v>7</v>
      </c>
      <c r="AG539" s="25">
        <v>1</v>
      </c>
      <c r="AH539" s="25">
        <v>0</v>
      </c>
      <c r="AI539" s="25">
        <v>0</v>
      </c>
      <c r="AJ539" s="25">
        <v>0</v>
      </c>
      <c r="AK539" s="25">
        <v>0</v>
      </c>
      <c r="AL539" s="25">
        <v>0</v>
      </c>
      <c r="AM539" s="25">
        <v>0</v>
      </c>
    </row>
    <row r="540" spans="1:39" ht="15" customHeight="1">
      <c r="A540" s="32" t="str">
        <f t="shared" si="21"/>
        <v xml:space="preserve">Endeavour--KIOSK MOUNTED ; &gt; 22 kV ;  &lt; = 60 kVA </v>
      </c>
      <c r="B540" s="32" t="str">
        <f t="shared" si="22"/>
        <v>Endeavour</v>
      </c>
      <c r="C540" s="32" t="s">
        <v>4</v>
      </c>
      <c r="D540" s="395"/>
      <c r="F540" t="s">
        <v>220</v>
      </c>
      <c r="G540" s="21">
        <v>0</v>
      </c>
      <c r="H540" s="21">
        <v>0</v>
      </c>
      <c r="I540" s="21">
        <v>0</v>
      </c>
      <c r="J540" s="21">
        <v>0</v>
      </c>
      <c r="K540" s="21">
        <v>0</v>
      </c>
      <c r="L540" s="21">
        <v>0</v>
      </c>
      <c r="M540" s="21">
        <v>0</v>
      </c>
      <c r="N540" s="21">
        <v>0</v>
      </c>
      <c r="O540" s="21">
        <v>0</v>
      </c>
      <c r="P540" s="21">
        <v>0</v>
      </c>
      <c r="Q540" s="21">
        <v>0</v>
      </c>
      <c r="R540" s="23">
        <v>0</v>
      </c>
      <c r="S540" s="23">
        <v>0</v>
      </c>
      <c r="T540" s="23">
        <v>0</v>
      </c>
      <c r="U540" s="23">
        <v>0</v>
      </c>
      <c r="V540" s="23">
        <v>0</v>
      </c>
      <c r="W540" s="23">
        <v>0</v>
      </c>
      <c r="X540" s="23">
        <v>0</v>
      </c>
      <c r="Y540" s="23">
        <v>0</v>
      </c>
      <c r="Z540" s="23">
        <v>0</v>
      </c>
      <c r="AA540" s="23">
        <v>0</v>
      </c>
      <c r="AB540" s="23">
        <v>0</v>
      </c>
      <c r="AC540" s="25">
        <v>0</v>
      </c>
      <c r="AD540" s="25">
        <v>0</v>
      </c>
      <c r="AE540" s="25">
        <v>0</v>
      </c>
      <c r="AF540" s="25">
        <v>0</v>
      </c>
      <c r="AG540" s="25">
        <v>0</v>
      </c>
      <c r="AH540" s="25">
        <v>0</v>
      </c>
      <c r="AI540" s="25">
        <v>0</v>
      </c>
      <c r="AJ540" s="25">
        <v>0</v>
      </c>
      <c r="AK540" s="25">
        <v>0</v>
      </c>
      <c r="AL540" s="25">
        <v>0</v>
      </c>
      <c r="AM540" s="25">
        <v>0</v>
      </c>
    </row>
    <row r="541" spans="1:39" ht="15" customHeight="1">
      <c r="A541" s="32" t="str">
        <f t="shared" si="21"/>
        <v xml:space="preserve">Endeavour--KIOSK MOUNTED ; &gt; 22 kV ;  &gt; 60 kVA AND &lt; = 600 kVA </v>
      </c>
      <c r="B541" s="32" t="str">
        <f t="shared" si="22"/>
        <v>Endeavour</v>
      </c>
      <c r="C541" s="32" t="s">
        <v>4</v>
      </c>
      <c r="D541" s="395"/>
      <c r="F541" t="s">
        <v>221</v>
      </c>
      <c r="G541" s="21">
        <v>0</v>
      </c>
      <c r="H541" s="21">
        <v>0</v>
      </c>
      <c r="I541" s="21">
        <v>0</v>
      </c>
      <c r="J541" s="21">
        <v>0</v>
      </c>
      <c r="K541" s="21">
        <v>0</v>
      </c>
      <c r="L541" s="21">
        <v>0</v>
      </c>
      <c r="M541" s="21">
        <v>0</v>
      </c>
      <c r="N541" s="21">
        <v>0</v>
      </c>
      <c r="O541" s="21">
        <v>0</v>
      </c>
      <c r="P541" s="21">
        <v>0</v>
      </c>
      <c r="Q541" s="21">
        <v>0</v>
      </c>
      <c r="R541" s="23">
        <v>0</v>
      </c>
      <c r="S541" s="23">
        <v>0</v>
      </c>
      <c r="T541" s="23">
        <v>0</v>
      </c>
      <c r="U541" s="23">
        <v>0</v>
      </c>
      <c r="V541" s="23">
        <v>0</v>
      </c>
      <c r="W541" s="23">
        <v>0</v>
      </c>
      <c r="X541" s="23">
        <v>0</v>
      </c>
      <c r="Y541" s="23">
        <v>0</v>
      </c>
      <c r="Z541" s="23">
        <v>0</v>
      </c>
      <c r="AA541" s="23">
        <v>0</v>
      </c>
      <c r="AB541" s="23">
        <v>0</v>
      </c>
      <c r="AC541" s="25">
        <v>0</v>
      </c>
      <c r="AD541" s="25">
        <v>0</v>
      </c>
      <c r="AE541" s="25">
        <v>0</v>
      </c>
      <c r="AF541" s="25">
        <v>0</v>
      </c>
      <c r="AG541" s="25">
        <v>0</v>
      </c>
      <c r="AH541" s="25">
        <v>0</v>
      </c>
      <c r="AI541" s="25">
        <v>0</v>
      </c>
      <c r="AJ541" s="25">
        <v>0</v>
      </c>
      <c r="AK541" s="25">
        <v>0</v>
      </c>
      <c r="AL541" s="25">
        <v>0</v>
      </c>
      <c r="AM541" s="25">
        <v>0</v>
      </c>
    </row>
    <row r="542" spans="1:39" ht="15" customHeight="1">
      <c r="A542" s="32" t="str">
        <f t="shared" si="21"/>
        <v>Endeavour--KIOSK MOUNTED ; &gt; 22 kV ;  &gt; 600 kVA</v>
      </c>
      <c r="B542" s="32" t="str">
        <f t="shared" si="22"/>
        <v>Endeavour</v>
      </c>
      <c r="C542" s="32" t="s">
        <v>4</v>
      </c>
      <c r="D542" s="395"/>
      <c r="F542" t="s">
        <v>222</v>
      </c>
      <c r="G542" s="21">
        <v>0</v>
      </c>
      <c r="H542" s="21">
        <v>0</v>
      </c>
      <c r="I542" s="21">
        <v>0</v>
      </c>
      <c r="J542" s="21">
        <v>0</v>
      </c>
      <c r="K542" s="21">
        <v>0</v>
      </c>
      <c r="L542" s="21">
        <v>0</v>
      </c>
      <c r="M542" s="21">
        <v>0</v>
      </c>
      <c r="N542" s="21">
        <v>0</v>
      </c>
      <c r="O542" s="21">
        <v>0</v>
      </c>
      <c r="P542" s="21">
        <v>0</v>
      </c>
      <c r="Q542" s="21">
        <v>0</v>
      </c>
      <c r="R542" s="23">
        <v>0</v>
      </c>
      <c r="S542" s="23">
        <v>0</v>
      </c>
      <c r="T542" s="23">
        <v>0</v>
      </c>
      <c r="U542" s="23">
        <v>0</v>
      </c>
      <c r="V542" s="23">
        <v>0</v>
      </c>
      <c r="W542" s="23">
        <v>0</v>
      </c>
      <c r="X542" s="23">
        <v>0</v>
      </c>
      <c r="Y542" s="23">
        <v>0</v>
      </c>
      <c r="Z542" s="23">
        <v>0</v>
      </c>
      <c r="AA542" s="23">
        <v>0</v>
      </c>
      <c r="AB542" s="23">
        <v>0</v>
      </c>
      <c r="AC542" s="25">
        <v>0</v>
      </c>
      <c r="AD542" s="25">
        <v>0</v>
      </c>
      <c r="AE542" s="25">
        <v>0</v>
      </c>
      <c r="AF542" s="25">
        <v>0</v>
      </c>
      <c r="AG542" s="25">
        <v>0</v>
      </c>
      <c r="AH542" s="25">
        <v>0</v>
      </c>
      <c r="AI542" s="25">
        <v>0</v>
      </c>
      <c r="AJ542" s="25">
        <v>0</v>
      </c>
      <c r="AK542" s="25">
        <v>0</v>
      </c>
      <c r="AL542" s="25">
        <v>0</v>
      </c>
      <c r="AM542" s="25">
        <v>0</v>
      </c>
    </row>
    <row r="543" spans="1:39" ht="15" customHeight="1">
      <c r="A543" s="32" t="str">
        <f t="shared" si="21"/>
        <v xml:space="preserve">Endeavour--KIOSK MOUNTED ; &gt; 22 kV ;  &lt; = 60 kVA </v>
      </c>
      <c r="B543" s="32" t="str">
        <f t="shared" si="22"/>
        <v>Endeavour</v>
      </c>
      <c r="C543" s="32" t="s">
        <v>4</v>
      </c>
      <c r="D543" s="395"/>
      <c r="F543" t="s">
        <v>220</v>
      </c>
      <c r="G543" s="21">
        <v>0</v>
      </c>
      <c r="H543" s="21">
        <v>0</v>
      </c>
      <c r="I543" s="21">
        <v>0</v>
      </c>
      <c r="J543" s="21">
        <v>0</v>
      </c>
      <c r="K543" s="21">
        <v>0</v>
      </c>
      <c r="L543" s="21">
        <v>0</v>
      </c>
      <c r="M543" s="21">
        <v>0</v>
      </c>
      <c r="N543" s="21">
        <v>0</v>
      </c>
      <c r="O543" s="21">
        <v>0</v>
      </c>
      <c r="P543" s="21">
        <v>0</v>
      </c>
      <c r="Q543" s="21">
        <v>0</v>
      </c>
      <c r="R543" s="23">
        <v>0</v>
      </c>
      <c r="S543" s="23">
        <v>0</v>
      </c>
      <c r="T543" s="23">
        <v>0</v>
      </c>
      <c r="U543" s="23">
        <v>0</v>
      </c>
      <c r="V543" s="23">
        <v>0</v>
      </c>
      <c r="W543" s="23">
        <v>0</v>
      </c>
      <c r="X543" s="23">
        <v>0</v>
      </c>
      <c r="Y543" s="23">
        <v>0</v>
      </c>
      <c r="Z543" s="23">
        <v>0</v>
      </c>
      <c r="AA543" s="23">
        <v>0</v>
      </c>
      <c r="AB543" s="23">
        <v>0</v>
      </c>
      <c r="AC543" s="25">
        <v>0</v>
      </c>
      <c r="AD543" s="25">
        <v>0</v>
      </c>
      <c r="AE543" s="25">
        <v>0</v>
      </c>
      <c r="AF543" s="25">
        <v>0</v>
      </c>
      <c r="AG543" s="25">
        <v>0</v>
      </c>
      <c r="AH543" s="25">
        <v>0</v>
      </c>
      <c r="AI543" s="25">
        <v>0</v>
      </c>
      <c r="AJ543" s="25">
        <v>0</v>
      </c>
      <c r="AK543" s="25">
        <v>0</v>
      </c>
      <c r="AL543" s="25">
        <v>0</v>
      </c>
      <c r="AM543" s="25">
        <v>0</v>
      </c>
    </row>
    <row r="544" spans="1:39" ht="15" customHeight="1">
      <c r="A544" s="32" t="str">
        <f t="shared" si="21"/>
        <v>Endeavour--KIOSK MOUNTED ; &gt; 22 kV ;  &gt; 60 kVA AND &lt; = 600 kVA</v>
      </c>
      <c r="B544" s="32" t="str">
        <f t="shared" si="22"/>
        <v>Endeavour</v>
      </c>
      <c r="C544" s="32" t="s">
        <v>4</v>
      </c>
      <c r="D544" s="395"/>
      <c r="F544" t="s">
        <v>223</v>
      </c>
      <c r="G544" s="21">
        <v>0</v>
      </c>
      <c r="H544" s="21">
        <v>0</v>
      </c>
      <c r="I544" s="21">
        <v>0</v>
      </c>
      <c r="J544" s="21">
        <v>0</v>
      </c>
      <c r="K544" s="21">
        <v>0</v>
      </c>
      <c r="L544" s="21">
        <v>0</v>
      </c>
      <c r="M544" s="21">
        <v>0</v>
      </c>
      <c r="N544" s="21">
        <v>0</v>
      </c>
      <c r="O544" s="21">
        <v>0</v>
      </c>
      <c r="P544" s="21">
        <v>0</v>
      </c>
      <c r="Q544" s="21">
        <v>0</v>
      </c>
      <c r="R544" s="23">
        <v>0</v>
      </c>
      <c r="S544" s="23">
        <v>0</v>
      </c>
      <c r="T544" s="23">
        <v>0</v>
      </c>
      <c r="U544" s="23">
        <v>0</v>
      </c>
      <c r="V544" s="23">
        <v>0</v>
      </c>
      <c r="W544" s="23">
        <v>0</v>
      </c>
      <c r="X544" s="23">
        <v>0</v>
      </c>
      <c r="Y544" s="23">
        <v>0</v>
      </c>
      <c r="Z544" s="23">
        <v>0</v>
      </c>
      <c r="AA544" s="23">
        <v>0</v>
      </c>
      <c r="AB544" s="23">
        <v>0</v>
      </c>
      <c r="AC544" s="25">
        <v>0</v>
      </c>
      <c r="AD544" s="25">
        <v>0</v>
      </c>
      <c r="AE544" s="25">
        <v>0</v>
      </c>
      <c r="AF544" s="25">
        <v>0</v>
      </c>
      <c r="AG544" s="25">
        <v>0</v>
      </c>
      <c r="AH544" s="25">
        <v>0</v>
      </c>
      <c r="AI544" s="25">
        <v>0</v>
      </c>
      <c r="AJ544" s="25">
        <v>0</v>
      </c>
      <c r="AK544" s="25">
        <v>0</v>
      </c>
      <c r="AL544" s="25">
        <v>0</v>
      </c>
      <c r="AM544" s="25">
        <v>0</v>
      </c>
    </row>
    <row r="545" spans="1:39" ht="15" customHeight="1">
      <c r="A545" s="32" t="str">
        <f t="shared" si="21"/>
        <v>Endeavour--KIOSK MOUNTED ; &gt; 22 kV ;  &gt;  600 kVA</v>
      </c>
      <c r="B545" s="32" t="str">
        <f t="shared" si="22"/>
        <v>Endeavour</v>
      </c>
      <c r="C545" s="32" t="s">
        <v>4</v>
      </c>
      <c r="D545" s="395"/>
      <c r="F545" t="s">
        <v>224</v>
      </c>
      <c r="G545" s="21">
        <v>0</v>
      </c>
      <c r="H545" s="21">
        <v>0</v>
      </c>
      <c r="I545" s="21">
        <v>0</v>
      </c>
      <c r="J545" s="21">
        <v>0</v>
      </c>
      <c r="K545" s="21">
        <v>0</v>
      </c>
      <c r="L545" s="21">
        <v>0</v>
      </c>
      <c r="M545" s="21">
        <v>0</v>
      </c>
      <c r="N545" s="21">
        <v>0</v>
      </c>
      <c r="O545" s="21">
        <v>0</v>
      </c>
      <c r="P545" s="21">
        <v>0</v>
      </c>
      <c r="Q545" s="21">
        <v>0</v>
      </c>
      <c r="R545" s="23">
        <v>0</v>
      </c>
      <c r="S545" s="23">
        <v>0</v>
      </c>
      <c r="T545" s="23">
        <v>0</v>
      </c>
      <c r="U545" s="23">
        <v>0</v>
      </c>
      <c r="V545" s="23">
        <v>0</v>
      </c>
      <c r="W545" s="23">
        <v>0</v>
      </c>
      <c r="X545" s="23">
        <v>0</v>
      </c>
      <c r="Y545" s="23">
        <v>0</v>
      </c>
      <c r="Z545" s="23">
        <v>0</v>
      </c>
      <c r="AA545" s="23">
        <v>0</v>
      </c>
      <c r="AB545" s="23">
        <v>0</v>
      </c>
      <c r="AC545" s="25">
        <v>0</v>
      </c>
      <c r="AD545" s="25">
        <v>0</v>
      </c>
      <c r="AE545" s="25">
        <v>0</v>
      </c>
      <c r="AF545" s="25">
        <v>0</v>
      </c>
      <c r="AG545" s="25">
        <v>0</v>
      </c>
      <c r="AH545" s="25">
        <v>0</v>
      </c>
      <c r="AI545" s="25">
        <v>0</v>
      </c>
      <c r="AJ545" s="25">
        <v>0</v>
      </c>
      <c r="AK545" s="25">
        <v>0</v>
      </c>
      <c r="AL545" s="25">
        <v>0</v>
      </c>
      <c r="AM545" s="25">
        <v>0</v>
      </c>
    </row>
    <row r="546" spans="1:39" ht="15" customHeight="1">
      <c r="A546" s="32" t="str">
        <f t="shared" si="21"/>
        <v>Endeavour--GROUND OUTDOOR / INDOOR CHAMBER MOUNTED ; ˂ 22 kV ;  &lt; = 60 kVA ; SINGLE PHASE</v>
      </c>
      <c r="B546" s="32" t="str">
        <f t="shared" si="22"/>
        <v>Endeavour</v>
      </c>
      <c r="C546" s="32" t="s">
        <v>4</v>
      </c>
      <c r="D546" s="395"/>
      <c r="F546" t="s">
        <v>225</v>
      </c>
      <c r="G546" s="21">
        <v>0</v>
      </c>
      <c r="H546" s="21">
        <v>0</v>
      </c>
      <c r="I546" s="21">
        <v>0</v>
      </c>
      <c r="J546" s="21">
        <v>0</v>
      </c>
      <c r="K546" s="21">
        <v>0</v>
      </c>
      <c r="L546" s="21">
        <v>0</v>
      </c>
      <c r="M546" s="21">
        <v>0</v>
      </c>
      <c r="N546" s="21">
        <v>0</v>
      </c>
      <c r="O546" s="21">
        <v>0</v>
      </c>
      <c r="P546" s="21">
        <v>0</v>
      </c>
      <c r="Q546" s="21">
        <v>0</v>
      </c>
      <c r="R546" s="23">
        <v>0</v>
      </c>
      <c r="S546" s="23">
        <v>0</v>
      </c>
      <c r="T546" s="23">
        <v>0</v>
      </c>
      <c r="U546" s="23">
        <v>0</v>
      </c>
      <c r="V546" s="23">
        <v>0</v>
      </c>
      <c r="W546" s="23">
        <v>0</v>
      </c>
      <c r="X546" s="23">
        <v>0</v>
      </c>
      <c r="Y546" s="23">
        <v>0</v>
      </c>
      <c r="Z546" s="23">
        <v>0</v>
      </c>
      <c r="AA546" s="23">
        <v>0</v>
      </c>
      <c r="AB546" s="23">
        <v>0</v>
      </c>
      <c r="AC546" s="25">
        <v>0</v>
      </c>
      <c r="AD546" s="25">
        <v>0</v>
      </c>
      <c r="AE546" s="25">
        <v>0</v>
      </c>
      <c r="AF546" s="25">
        <v>0</v>
      </c>
      <c r="AG546" s="25">
        <v>0</v>
      </c>
      <c r="AH546" s="25">
        <v>0</v>
      </c>
      <c r="AI546" s="25">
        <v>0</v>
      </c>
      <c r="AJ546" s="25">
        <v>0</v>
      </c>
      <c r="AK546" s="25">
        <v>0</v>
      </c>
      <c r="AL546" s="25">
        <v>0</v>
      </c>
      <c r="AM546" s="25">
        <v>0</v>
      </c>
    </row>
    <row r="547" spans="1:39" ht="15" customHeight="1">
      <c r="A547" s="32" t="str">
        <f t="shared" si="21"/>
        <v>Endeavour--GROUND OUTDOOR / INDOOR CHAMBER MOUNTED ; ˂  22 kV ;  &gt; 60 kVA  AND &lt; = 600 kVA ; SINGLE PHASE</v>
      </c>
      <c r="B547" s="32" t="str">
        <f t="shared" si="22"/>
        <v>Endeavour</v>
      </c>
      <c r="C547" s="32" t="s">
        <v>4</v>
      </c>
      <c r="D547" s="395"/>
      <c r="F547" t="s">
        <v>226</v>
      </c>
      <c r="G547" s="21">
        <v>0</v>
      </c>
      <c r="H547" s="21">
        <v>0</v>
      </c>
      <c r="I547" s="21">
        <v>0</v>
      </c>
      <c r="J547" s="21">
        <v>0</v>
      </c>
      <c r="K547" s="21">
        <v>0</v>
      </c>
      <c r="L547" s="21">
        <v>0</v>
      </c>
      <c r="M547" s="21">
        <v>0</v>
      </c>
      <c r="N547" s="21">
        <v>0</v>
      </c>
      <c r="O547" s="21">
        <v>0</v>
      </c>
      <c r="P547" s="21">
        <v>0</v>
      </c>
      <c r="Q547" s="21">
        <v>0</v>
      </c>
      <c r="R547" s="23">
        <v>0</v>
      </c>
      <c r="S547" s="23">
        <v>0</v>
      </c>
      <c r="T547" s="23">
        <v>0</v>
      </c>
      <c r="U547" s="23">
        <v>0</v>
      </c>
      <c r="V547" s="23">
        <v>0</v>
      </c>
      <c r="W547" s="23">
        <v>0</v>
      </c>
      <c r="X547" s="23">
        <v>0</v>
      </c>
      <c r="Y547" s="23">
        <v>0</v>
      </c>
      <c r="Z547" s="23">
        <v>0</v>
      </c>
      <c r="AA547" s="23">
        <v>0</v>
      </c>
      <c r="AB547" s="23">
        <v>0</v>
      </c>
      <c r="AC547" s="25">
        <v>0</v>
      </c>
      <c r="AD547" s="25">
        <v>0</v>
      </c>
      <c r="AE547" s="25">
        <v>0</v>
      </c>
      <c r="AF547" s="25">
        <v>0</v>
      </c>
      <c r="AG547" s="25">
        <v>0</v>
      </c>
      <c r="AH547" s="25">
        <v>0</v>
      </c>
      <c r="AI547" s="25">
        <v>0</v>
      </c>
      <c r="AJ547" s="25">
        <v>0</v>
      </c>
      <c r="AK547" s="25">
        <v>0</v>
      </c>
      <c r="AL547" s="25">
        <v>0</v>
      </c>
      <c r="AM547" s="25">
        <v>0</v>
      </c>
    </row>
    <row r="548" spans="1:39" ht="15" customHeight="1">
      <c r="A548" s="32" t="str">
        <f t="shared" si="21"/>
        <v>Endeavour--GROUND OUTDOOR / INDOOR CHAMBER MOUNTED ; ˂  22 kV ;  &gt;  600 kVA ; SINGLE PHASE</v>
      </c>
      <c r="B548" s="32" t="str">
        <f t="shared" si="22"/>
        <v>Endeavour</v>
      </c>
      <c r="C548" s="32" t="s">
        <v>4</v>
      </c>
      <c r="D548" s="395"/>
      <c r="F548" t="s">
        <v>227</v>
      </c>
      <c r="G548" s="21">
        <v>0</v>
      </c>
      <c r="H548" s="21">
        <v>0</v>
      </c>
      <c r="I548" s="21">
        <v>0</v>
      </c>
      <c r="J548" s="21">
        <v>0</v>
      </c>
      <c r="K548" s="21">
        <v>0</v>
      </c>
      <c r="L548" s="21">
        <v>0</v>
      </c>
      <c r="M548" s="21">
        <v>0</v>
      </c>
      <c r="N548" s="21">
        <v>0</v>
      </c>
      <c r="O548" s="21">
        <v>0</v>
      </c>
      <c r="P548" s="21">
        <v>0</v>
      </c>
      <c r="Q548" s="21">
        <v>0</v>
      </c>
      <c r="R548" s="23">
        <v>0</v>
      </c>
      <c r="S548" s="23">
        <v>0</v>
      </c>
      <c r="T548" s="23">
        <v>0</v>
      </c>
      <c r="U548" s="23">
        <v>0</v>
      </c>
      <c r="V548" s="23">
        <v>0</v>
      </c>
      <c r="W548" s="23">
        <v>0</v>
      </c>
      <c r="X548" s="23">
        <v>0</v>
      </c>
      <c r="Y548" s="23">
        <v>0</v>
      </c>
      <c r="Z548" s="23">
        <v>0</v>
      </c>
      <c r="AA548" s="23">
        <v>0</v>
      </c>
      <c r="AB548" s="23">
        <v>0</v>
      </c>
      <c r="AC548" s="25">
        <v>0</v>
      </c>
      <c r="AD548" s="25">
        <v>0</v>
      </c>
      <c r="AE548" s="25">
        <v>0</v>
      </c>
      <c r="AF548" s="25">
        <v>0</v>
      </c>
      <c r="AG548" s="25">
        <v>0</v>
      </c>
      <c r="AH548" s="25">
        <v>0</v>
      </c>
      <c r="AI548" s="25">
        <v>0</v>
      </c>
      <c r="AJ548" s="25">
        <v>0</v>
      </c>
      <c r="AK548" s="25">
        <v>0</v>
      </c>
      <c r="AL548" s="25">
        <v>0</v>
      </c>
      <c r="AM548" s="25">
        <v>0</v>
      </c>
    </row>
    <row r="549" spans="1:39" ht="15" customHeight="1">
      <c r="A549" s="32" t="str">
        <f t="shared" si="21"/>
        <v>Endeavour--GROUND OUTDOOR / INDOOR CHAMBER MOUNTED ; ˂  22 kV ;  &lt; = 60 kVA ; MULTIPLE PHASE</v>
      </c>
      <c r="B549" s="32" t="str">
        <f t="shared" si="22"/>
        <v>Endeavour</v>
      </c>
      <c r="C549" s="32" t="s">
        <v>4</v>
      </c>
      <c r="D549" s="395"/>
      <c r="F549" t="s">
        <v>228</v>
      </c>
      <c r="G549" s="21">
        <v>0</v>
      </c>
      <c r="H549" s="21">
        <v>0</v>
      </c>
      <c r="I549" s="21">
        <v>0</v>
      </c>
      <c r="J549" s="21">
        <v>0</v>
      </c>
      <c r="K549" s="21">
        <v>0</v>
      </c>
      <c r="L549" s="21">
        <v>0</v>
      </c>
      <c r="M549" s="21">
        <v>0</v>
      </c>
      <c r="N549" s="21">
        <v>0</v>
      </c>
      <c r="O549" s="21">
        <v>0</v>
      </c>
      <c r="P549" s="21">
        <v>0</v>
      </c>
      <c r="Q549" s="21">
        <v>0</v>
      </c>
      <c r="R549" s="23">
        <v>0</v>
      </c>
      <c r="S549" s="23">
        <v>0</v>
      </c>
      <c r="T549" s="23">
        <v>0</v>
      </c>
      <c r="U549" s="23">
        <v>0</v>
      </c>
      <c r="V549" s="23">
        <v>0</v>
      </c>
      <c r="W549" s="23">
        <v>0</v>
      </c>
      <c r="X549" s="23">
        <v>0</v>
      </c>
      <c r="Y549" s="23">
        <v>0</v>
      </c>
      <c r="Z549" s="23">
        <v>0</v>
      </c>
      <c r="AA549" s="23">
        <v>0</v>
      </c>
      <c r="AB549" s="23">
        <v>0</v>
      </c>
      <c r="AC549" s="25">
        <v>0</v>
      </c>
      <c r="AD549" s="25">
        <v>0</v>
      </c>
      <c r="AE549" s="25">
        <v>0</v>
      </c>
      <c r="AF549" s="25">
        <v>0</v>
      </c>
      <c r="AG549" s="25">
        <v>0</v>
      </c>
      <c r="AH549" s="25">
        <v>0</v>
      </c>
      <c r="AI549" s="25">
        <v>0</v>
      </c>
      <c r="AJ549" s="25">
        <v>0</v>
      </c>
      <c r="AK549" s="25">
        <v>0</v>
      </c>
      <c r="AL549" s="25">
        <v>0</v>
      </c>
      <c r="AM549" s="25">
        <v>0</v>
      </c>
    </row>
    <row r="550" spans="1:39" ht="15" customHeight="1">
      <c r="A550" s="32" t="str">
        <f t="shared" si="21"/>
        <v>Endeavour--GROUND OUTDOOR / INDOOR CHAMBER MOUNTED ; ˂  22 kV ;  &gt; 60 kVA  AND &lt; = 600 kVA ; MULTIPLE PHASE</v>
      </c>
      <c r="B550" s="32" t="str">
        <f t="shared" si="22"/>
        <v>Endeavour</v>
      </c>
      <c r="C550" s="32" t="s">
        <v>4</v>
      </c>
      <c r="D550" s="395"/>
      <c r="F550" t="s">
        <v>229</v>
      </c>
      <c r="G550" s="21">
        <v>101.52800000000001</v>
      </c>
      <c r="H550" s="21">
        <v>95.072999999999993</v>
      </c>
      <c r="I550" s="21">
        <v>69.977000000000004</v>
      </c>
      <c r="J550" s="21">
        <v>95.111999999999995</v>
      </c>
      <c r="K550" s="21">
        <v>53.893999999999998</v>
      </c>
      <c r="L550" s="21">
        <v>64.614000000000004</v>
      </c>
      <c r="M550" s="21">
        <v>72.171000000000006</v>
      </c>
      <c r="N550" s="21">
        <v>69.019000000000005</v>
      </c>
      <c r="O550" s="21">
        <v>100.732</v>
      </c>
      <c r="P550" s="21">
        <v>100.732</v>
      </c>
      <c r="Q550" s="21">
        <v>103.423</v>
      </c>
      <c r="R550" s="23">
        <v>3</v>
      </c>
      <c r="S550" s="23">
        <v>3</v>
      </c>
      <c r="T550" s="23">
        <v>2</v>
      </c>
      <c r="U550" s="23">
        <v>2</v>
      </c>
      <c r="V550" s="23">
        <v>1</v>
      </c>
      <c r="W550" s="23">
        <v>2</v>
      </c>
      <c r="X550" s="23">
        <v>2</v>
      </c>
      <c r="Y550" s="23">
        <v>2</v>
      </c>
      <c r="Z550" s="23">
        <v>3</v>
      </c>
      <c r="AA550" s="23">
        <v>3</v>
      </c>
      <c r="AB550" s="23">
        <v>3</v>
      </c>
      <c r="AC550" s="25">
        <v>0</v>
      </c>
      <c r="AD550" s="25">
        <v>0</v>
      </c>
      <c r="AE550" s="25">
        <v>0</v>
      </c>
      <c r="AF550" s="25">
        <v>0</v>
      </c>
      <c r="AG550" s="25">
        <v>0</v>
      </c>
      <c r="AH550" s="25">
        <v>0</v>
      </c>
      <c r="AI550" s="25">
        <v>0</v>
      </c>
      <c r="AJ550" s="25">
        <v>0</v>
      </c>
      <c r="AK550" s="25">
        <v>0</v>
      </c>
      <c r="AL550" s="25">
        <v>0</v>
      </c>
      <c r="AM550" s="25">
        <v>0</v>
      </c>
    </row>
    <row r="551" spans="1:39" ht="15" customHeight="1">
      <c r="A551" s="32" t="str">
        <f t="shared" si="21"/>
        <v>Endeavour--GROUND OUTDOOR / INDOOR CHAMBER MOUNTED ; ˂  22 kV ;  &gt;  600 kVA ; MULTIPLE PHASE</v>
      </c>
      <c r="B551" s="32" t="str">
        <f t="shared" si="22"/>
        <v>Endeavour</v>
      </c>
      <c r="C551" s="32" t="s">
        <v>4</v>
      </c>
      <c r="D551" s="395"/>
      <c r="F551" t="s">
        <v>230</v>
      </c>
      <c r="G551" s="21">
        <v>239.822</v>
      </c>
      <c r="H551" s="21">
        <v>224.57400000000001</v>
      </c>
      <c r="I551" s="21">
        <v>206.619</v>
      </c>
      <c r="J551" s="21">
        <v>168.5</v>
      </c>
      <c r="K551" s="21">
        <v>127.304</v>
      </c>
      <c r="L551" s="21">
        <v>150.31899999999999</v>
      </c>
      <c r="M551" s="21">
        <v>167.899</v>
      </c>
      <c r="N551" s="21">
        <v>160.566</v>
      </c>
      <c r="O551" s="21">
        <v>234.34399999999999</v>
      </c>
      <c r="P551" s="21">
        <v>234.34399999999999</v>
      </c>
      <c r="Q551" s="21">
        <v>240.60400000000001</v>
      </c>
      <c r="R551" s="23">
        <v>6</v>
      </c>
      <c r="S551" s="23">
        <v>6</v>
      </c>
      <c r="T551" s="23">
        <v>5</v>
      </c>
      <c r="U551" s="23">
        <v>3</v>
      </c>
      <c r="V551" s="23">
        <v>2</v>
      </c>
      <c r="W551" s="23">
        <v>3</v>
      </c>
      <c r="X551" s="23">
        <v>4</v>
      </c>
      <c r="Y551" s="23">
        <v>4</v>
      </c>
      <c r="Z551" s="23">
        <v>5</v>
      </c>
      <c r="AA551" s="23">
        <v>5</v>
      </c>
      <c r="AB551" s="23">
        <v>5</v>
      </c>
      <c r="AC551" s="25">
        <v>0</v>
      </c>
      <c r="AD551" s="25">
        <v>0</v>
      </c>
      <c r="AE551" s="25">
        <v>2</v>
      </c>
      <c r="AF551" s="25">
        <v>0</v>
      </c>
      <c r="AG551" s="25">
        <v>0</v>
      </c>
      <c r="AH551" s="25">
        <v>0</v>
      </c>
      <c r="AI551" s="25">
        <v>0</v>
      </c>
      <c r="AJ551" s="25">
        <v>0</v>
      </c>
      <c r="AK551" s="25">
        <v>0</v>
      </c>
      <c r="AL551" s="25">
        <v>0</v>
      </c>
      <c r="AM551" s="25">
        <v>0</v>
      </c>
    </row>
    <row r="552" spans="1:39" ht="15" customHeight="1">
      <c r="A552" s="32" t="str">
        <f t="shared" si="21"/>
        <v>Endeavour--GROUND OUTDOOR / INDOOR CHAMBER MOUNTED ; &gt; = 22 kV &amp; &lt; = 33 kV ;  &lt; = 15 MVA</v>
      </c>
      <c r="B552" s="32" t="str">
        <f t="shared" si="22"/>
        <v>Endeavour</v>
      </c>
      <c r="C552" s="32" t="s">
        <v>4</v>
      </c>
      <c r="D552" s="395"/>
      <c r="F552" t="s">
        <v>231</v>
      </c>
      <c r="G552" s="21">
        <v>0</v>
      </c>
      <c r="H552" s="21">
        <v>1248.162</v>
      </c>
      <c r="I552" s="21">
        <v>0</v>
      </c>
      <c r="J552" s="21">
        <v>0</v>
      </c>
      <c r="K552" s="21">
        <v>0</v>
      </c>
      <c r="L552" s="21">
        <v>327.53500000000003</v>
      </c>
      <c r="M552" s="21">
        <v>149.624</v>
      </c>
      <c r="N552" s="21">
        <v>157.39699999999999</v>
      </c>
      <c r="O552" s="21">
        <v>171.46700000000001</v>
      </c>
      <c r="P552" s="21">
        <v>211.53800000000001</v>
      </c>
      <c r="Q552" s="21">
        <v>239.76900000000001</v>
      </c>
      <c r="R552" s="23">
        <v>0</v>
      </c>
      <c r="S552" s="23">
        <v>1</v>
      </c>
      <c r="T552" s="23">
        <v>0</v>
      </c>
      <c r="U552" s="23">
        <v>0</v>
      </c>
      <c r="V552" s="23">
        <v>0</v>
      </c>
      <c r="W552" s="23">
        <v>0</v>
      </c>
      <c r="X552" s="23">
        <v>0</v>
      </c>
      <c r="Y552" s="23">
        <v>0</v>
      </c>
      <c r="Z552" s="23">
        <v>0</v>
      </c>
      <c r="AA552" s="23">
        <v>0</v>
      </c>
      <c r="AB552" s="23">
        <v>0</v>
      </c>
      <c r="AC552" s="25">
        <v>1</v>
      </c>
      <c r="AD552" s="25">
        <v>0</v>
      </c>
      <c r="AE552" s="25">
        <v>1</v>
      </c>
      <c r="AF552" s="25">
        <v>0</v>
      </c>
      <c r="AG552" s="25">
        <v>0</v>
      </c>
      <c r="AH552" s="25">
        <v>0</v>
      </c>
      <c r="AI552" s="25">
        <v>0</v>
      </c>
      <c r="AJ552" s="25">
        <v>0</v>
      </c>
      <c r="AK552" s="25">
        <v>0</v>
      </c>
      <c r="AL552" s="25">
        <v>0</v>
      </c>
      <c r="AM552" s="25">
        <v>0</v>
      </c>
    </row>
    <row r="553" spans="1:39" ht="15" customHeight="1">
      <c r="A553" s="32" t="str">
        <f t="shared" si="21"/>
        <v>Endeavour--GROUND OUTDOOR / INDOOR CHAMBER MOUNTED ; &gt; = 22 kV &amp; &lt; = 33 kV ;  &gt; 15 MVA AND &lt; = 40 MVA</v>
      </c>
      <c r="B553" s="32" t="str">
        <f t="shared" si="22"/>
        <v>Endeavour</v>
      </c>
      <c r="C553" s="32" t="s">
        <v>4</v>
      </c>
      <c r="D553" s="395"/>
      <c r="F553" t="s">
        <v>232</v>
      </c>
      <c r="G553" s="21">
        <v>5880.5969999999998</v>
      </c>
      <c r="H553" s="21">
        <v>1726.837</v>
      </c>
      <c r="I553" s="21">
        <v>2607.5569999999998</v>
      </c>
      <c r="J553" s="21">
        <v>1757.992</v>
      </c>
      <c r="K553" s="21">
        <v>4663.7460000000001</v>
      </c>
      <c r="L553" s="21">
        <v>4365.7110000000002</v>
      </c>
      <c r="M553" s="21">
        <v>1994.3309999999999</v>
      </c>
      <c r="N553" s="21">
        <v>2097.9389999999999</v>
      </c>
      <c r="O553" s="21">
        <v>2285.4760000000001</v>
      </c>
      <c r="P553" s="21">
        <v>2819.5889999999999</v>
      </c>
      <c r="Q553" s="21">
        <v>3195.8780000000002</v>
      </c>
      <c r="R553" s="23">
        <v>6</v>
      </c>
      <c r="S553" s="23">
        <v>1</v>
      </c>
      <c r="T553" s="23">
        <v>2</v>
      </c>
      <c r="U553" s="23">
        <v>1</v>
      </c>
      <c r="V553" s="23">
        <v>2</v>
      </c>
      <c r="W553" s="23">
        <v>3</v>
      </c>
      <c r="X553" s="23">
        <v>1</v>
      </c>
      <c r="Y553" s="23">
        <v>2</v>
      </c>
      <c r="Z553" s="23">
        <v>2</v>
      </c>
      <c r="AA553" s="23">
        <v>2</v>
      </c>
      <c r="AB553" s="23">
        <v>2</v>
      </c>
      <c r="AC553" s="25">
        <v>0</v>
      </c>
      <c r="AD553" s="25">
        <v>0</v>
      </c>
      <c r="AE553" s="25">
        <v>0</v>
      </c>
      <c r="AF553" s="25">
        <v>2</v>
      </c>
      <c r="AG553" s="25">
        <v>0</v>
      </c>
      <c r="AH553" s="25">
        <v>0</v>
      </c>
      <c r="AI553" s="25">
        <v>0</v>
      </c>
      <c r="AJ553" s="25">
        <v>0</v>
      </c>
      <c r="AK553" s="25">
        <v>0</v>
      </c>
      <c r="AL553" s="25">
        <v>0</v>
      </c>
      <c r="AM553" s="25">
        <v>0</v>
      </c>
    </row>
    <row r="554" spans="1:39" ht="15" customHeight="1">
      <c r="A554" s="32" t="str">
        <f t="shared" si="21"/>
        <v>Endeavour--GROUND OUTDOOR / INDOOR CHAMBER MOUNTED ; &gt; = 22 kV &amp; &lt; = 33 kV ;  &gt; 40 MVA</v>
      </c>
      <c r="B554" s="32" t="str">
        <f t="shared" si="22"/>
        <v>Endeavour</v>
      </c>
      <c r="C554" s="32" t="s">
        <v>4</v>
      </c>
      <c r="D554" s="395"/>
      <c r="F554" t="s">
        <v>233</v>
      </c>
      <c r="G554" s="21">
        <v>0</v>
      </c>
      <c r="H554" s="21">
        <v>0</v>
      </c>
      <c r="I554" s="21">
        <v>0</v>
      </c>
      <c r="J554" s="21">
        <v>0</v>
      </c>
      <c r="K554" s="21">
        <v>0</v>
      </c>
      <c r="L554" s="21">
        <v>0</v>
      </c>
      <c r="M554" s="21">
        <v>0</v>
      </c>
      <c r="N554" s="21">
        <v>0</v>
      </c>
      <c r="O554" s="21">
        <v>0</v>
      </c>
      <c r="P554" s="21">
        <v>0</v>
      </c>
      <c r="Q554" s="21">
        <v>0</v>
      </c>
      <c r="R554" s="23">
        <v>0</v>
      </c>
      <c r="S554" s="23">
        <v>0</v>
      </c>
      <c r="T554" s="23">
        <v>0</v>
      </c>
      <c r="U554" s="23">
        <v>0</v>
      </c>
      <c r="V554" s="23">
        <v>0</v>
      </c>
      <c r="W554" s="23">
        <v>0</v>
      </c>
      <c r="X554" s="23">
        <v>0</v>
      </c>
      <c r="Y554" s="23">
        <v>0</v>
      </c>
      <c r="Z554" s="23">
        <v>0</v>
      </c>
      <c r="AA554" s="23">
        <v>0</v>
      </c>
      <c r="AB554" s="23">
        <v>0</v>
      </c>
      <c r="AC554" s="25">
        <v>0</v>
      </c>
      <c r="AD554" s="25">
        <v>0</v>
      </c>
      <c r="AE554" s="25">
        <v>0</v>
      </c>
      <c r="AF554" s="25">
        <v>0</v>
      </c>
      <c r="AG554" s="25">
        <v>0</v>
      </c>
      <c r="AH554" s="25">
        <v>0</v>
      </c>
      <c r="AI554" s="25">
        <v>0</v>
      </c>
      <c r="AJ554" s="25">
        <v>0</v>
      </c>
      <c r="AK554" s="25">
        <v>0</v>
      </c>
      <c r="AL554" s="25">
        <v>0</v>
      </c>
      <c r="AM554" s="25">
        <v>0</v>
      </c>
    </row>
    <row r="555" spans="1:39" ht="15" customHeight="1">
      <c r="A555" s="32" t="str">
        <f t="shared" si="21"/>
        <v>Endeavour--GROUND OUTDOOR / INDOOR CHAMBER MOUNTED ; &gt; 33 kV &amp; &lt; = 66 kV ;  &lt; = 15 MVA</v>
      </c>
      <c r="B555" s="32" t="str">
        <f t="shared" si="22"/>
        <v>Endeavour</v>
      </c>
      <c r="C555" s="32" t="s">
        <v>4</v>
      </c>
      <c r="D555" s="395"/>
      <c r="F555" t="s">
        <v>234</v>
      </c>
      <c r="G555" s="21">
        <v>0</v>
      </c>
      <c r="H555" s="21">
        <v>0</v>
      </c>
      <c r="I555" s="21">
        <v>0</v>
      </c>
      <c r="J555" s="21">
        <v>0</v>
      </c>
      <c r="K555" s="21">
        <v>0</v>
      </c>
      <c r="L555" s="21">
        <v>0</v>
      </c>
      <c r="M555" s="21">
        <v>0</v>
      </c>
      <c r="N555" s="21">
        <v>0</v>
      </c>
      <c r="O555" s="21">
        <v>0</v>
      </c>
      <c r="P555" s="21">
        <v>0</v>
      </c>
      <c r="Q555" s="21">
        <v>0</v>
      </c>
      <c r="R555" s="23">
        <v>0</v>
      </c>
      <c r="S555" s="23">
        <v>0</v>
      </c>
      <c r="T555" s="23">
        <v>0</v>
      </c>
      <c r="U555" s="23">
        <v>0</v>
      </c>
      <c r="V555" s="23">
        <v>0</v>
      </c>
      <c r="W555" s="23">
        <v>0</v>
      </c>
      <c r="X555" s="23">
        <v>0</v>
      </c>
      <c r="Y555" s="23">
        <v>0</v>
      </c>
      <c r="Z555" s="23">
        <v>0</v>
      </c>
      <c r="AA555" s="23">
        <v>0</v>
      </c>
      <c r="AB555" s="23">
        <v>0</v>
      </c>
      <c r="AC555" s="25">
        <v>0</v>
      </c>
      <c r="AD555" s="25">
        <v>0</v>
      </c>
      <c r="AE555" s="25">
        <v>0</v>
      </c>
      <c r="AF555" s="25">
        <v>0</v>
      </c>
      <c r="AG555" s="25">
        <v>0</v>
      </c>
      <c r="AH555" s="25">
        <v>0</v>
      </c>
      <c r="AI555" s="25">
        <v>0</v>
      </c>
      <c r="AJ555" s="25">
        <v>0</v>
      </c>
      <c r="AK555" s="25">
        <v>0</v>
      </c>
      <c r="AL555" s="25">
        <v>0</v>
      </c>
      <c r="AM555" s="25">
        <v>0</v>
      </c>
    </row>
    <row r="556" spans="1:39" ht="15" customHeight="1">
      <c r="A556" s="32" t="str">
        <f t="shared" si="21"/>
        <v>Endeavour--GROUND OUTDOOR / INDOOR CHAMBER MOUNTED ; &gt; 33 kV &amp; &lt; = 66 kV ;  &gt; 15 MVA AND &lt; = 40 MVA</v>
      </c>
      <c r="B556" s="32" t="str">
        <f t="shared" si="22"/>
        <v>Endeavour</v>
      </c>
      <c r="C556" s="32" t="s">
        <v>4</v>
      </c>
      <c r="D556" s="395"/>
      <c r="F556" t="s">
        <v>235</v>
      </c>
      <c r="G556" s="21">
        <v>0</v>
      </c>
      <c r="H556" s="21">
        <v>2015.4280000000001</v>
      </c>
      <c r="I556" s="21">
        <v>0</v>
      </c>
      <c r="J556" s="21">
        <v>0</v>
      </c>
      <c r="K556" s="21">
        <v>0</v>
      </c>
      <c r="L556" s="21">
        <v>528.87699999999995</v>
      </c>
      <c r="M556" s="21">
        <v>241.6</v>
      </c>
      <c r="N556" s="21">
        <v>254.15100000000001</v>
      </c>
      <c r="O556" s="21">
        <v>276.87</v>
      </c>
      <c r="P556" s="21">
        <v>341.57400000000001</v>
      </c>
      <c r="Q556" s="21">
        <v>387.15899999999999</v>
      </c>
      <c r="R556" s="23">
        <v>0</v>
      </c>
      <c r="S556" s="23">
        <v>1</v>
      </c>
      <c r="T556" s="23">
        <v>0</v>
      </c>
      <c r="U556" s="23">
        <v>0</v>
      </c>
      <c r="V556" s="23">
        <v>0</v>
      </c>
      <c r="W556" s="23">
        <v>0</v>
      </c>
      <c r="X556" s="23">
        <v>0</v>
      </c>
      <c r="Y556" s="23">
        <v>0</v>
      </c>
      <c r="Z556" s="23">
        <v>0</v>
      </c>
      <c r="AA556" s="23">
        <v>0</v>
      </c>
      <c r="AB556" s="23">
        <v>0</v>
      </c>
      <c r="AC556" s="25">
        <v>0</v>
      </c>
      <c r="AD556" s="25">
        <v>0</v>
      </c>
      <c r="AE556" s="25">
        <v>0</v>
      </c>
      <c r="AF556" s="25">
        <v>0</v>
      </c>
      <c r="AG556" s="25">
        <v>0</v>
      </c>
      <c r="AH556" s="25">
        <v>0</v>
      </c>
      <c r="AI556" s="25">
        <v>0</v>
      </c>
      <c r="AJ556" s="25">
        <v>0</v>
      </c>
      <c r="AK556" s="25">
        <v>0</v>
      </c>
      <c r="AL556" s="25">
        <v>0</v>
      </c>
      <c r="AM556" s="25">
        <v>0</v>
      </c>
    </row>
    <row r="557" spans="1:39" ht="15" customHeight="1">
      <c r="A557" s="32" t="str">
        <f t="shared" si="21"/>
        <v>Endeavour--GROUND OUTDOOR / INDOOR CHAMBER MOUNTED ; &gt; 33 kV &amp; &lt; = 66 kV ;  &gt; 40 MVA</v>
      </c>
      <c r="B557" s="32" t="str">
        <f t="shared" si="22"/>
        <v>Endeavour</v>
      </c>
      <c r="C557" s="32" t="s">
        <v>4</v>
      </c>
      <c r="D557" s="395"/>
      <c r="F557" t="s">
        <v>236</v>
      </c>
      <c r="G557" s="21">
        <v>0</v>
      </c>
      <c r="H557" s="21">
        <v>0</v>
      </c>
      <c r="I557" s="21">
        <v>0</v>
      </c>
      <c r="J557" s="21">
        <v>0</v>
      </c>
      <c r="K557" s="21">
        <v>0</v>
      </c>
      <c r="L557" s="21">
        <v>0</v>
      </c>
      <c r="M557" s="21">
        <v>0</v>
      </c>
      <c r="N557" s="21">
        <v>0</v>
      </c>
      <c r="O557" s="21">
        <v>0</v>
      </c>
      <c r="P557" s="21">
        <v>0</v>
      </c>
      <c r="Q557" s="21">
        <v>0</v>
      </c>
      <c r="R557" s="23">
        <v>0</v>
      </c>
      <c r="S557" s="23">
        <v>0</v>
      </c>
      <c r="T557" s="23">
        <v>0</v>
      </c>
      <c r="U557" s="23">
        <v>0</v>
      </c>
      <c r="V557" s="23">
        <v>0</v>
      </c>
      <c r="W557" s="23">
        <v>0</v>
      </c>
      <c r="X557" s="23">
        <v>0</v>
      </c>
      <c r="Y557" s="23">
        <v>0</v>
      </c>
      <c r="Z557" s="23">
        <v>0</v>
      </c>
      <c r="AA557" s="23">
        <v>0</v>
      </c>
      <c r="AB557" s="23">
        <v>0</v>
      </c>
      <c r="AC557" s="25">
        <v>0</v>
      </c>
      <c r="AD557" s="25">
        <v>0</v>
      </c>
      <c r="AE557" s="25">
        <v>0</v>
      </c>
      <c r="AF557" s="25">
        <v>0</v>
      </c>
      <c r="AG557" s="25">
        <v>0</v>
      </c>
      <c r="AH557" s="25">
        <v>0</v>
      </c>
      <c r="AI557" s="25">
        <v>0</v>
      </c>
      <c r="AJ557" s="25">
        <v>0</v>
      </c>
      <c r="AK557" s="25">
        <v>0</v>
      </c>
      <c r="AL557" s="25">
        <v>0</v>
      </c>
      <c r="AM557" s="25">
        <v>0</v>
      </c>
    </row>
    <row r="558" spans="1:39" ht="15" customHeight="1">
      <c r="A558" s="32" t="str">
        <f t="shared" si="21"/>
        <v>Endeavour--GROUND OUTDOOR / INDOOR CHAMBER MOUNTED ; &gt; 66 kV &amp; &lt; = 132 kV ;  &lt; = 100 MVA</v>
      </c>
      <c r="B558" s="32" t="str">
        <f t="shared" si="22"/>
        <v>Endeavour</v>
      </c>
      <c r="C558" s="32" t="s">
        <v>4</v>
      </c>
      <c r="D558" s="395"/>
      <c r="F558" t="s">
        <v>237</v>
      </c>
      <c r="G558" s="21">
        <v>4522.973</v>
      </c>
      <c r="H558" s="21">
        <v>0</v>
      </c>
      <c r="I558" s="21">
        <v>3008.3449999999998</v>
      </c>
      <c r="J558" s="21">
        <v>4056.4</v>
      </c>
      <c r="K558" s="21">
        <v>0</v>
      </c>
      <c r="L558" s="21">
        <v>3040.78</v>
      </c>
      <c r="M558" s="21">
        <v>1389.08</v>
      </c>
      <c r="N558" s="21">
        <v>1461.2449999999999</v>
      </c>
      <c r="O558" s="21">
        <v>1591.867</v>
      </c>
      <c r="P558" s="21">
        <v>1963.884</v>
      </c>
      <c r="Q558" s="21">
        <v>2225.9740000000002</v>
      </c>
      <c r="R558" s="23">
        <v>2</v>
      </c>
      <c r="S558" s="23">
        <v>0</v>
      </c>
      <c r="T558" s="23">
        <v>1</v>
      </c>
      <c r="U558" s="23">
        <v>1</v>
      </c>
      <c r="V558" s="23">
        <v>0</v>
      </c>
      <c r="W558" s="23">
        <v>1</v>
      </c>
      <c r="X558" s="23">
        <v>0</v>
      </c>
      <c r="Y558" s="23">
        <v>1</v>
      </c>
      <c r="Z558" s="23">
        <v>1</v>
      </c>
      <c r="AA558" s="23">
        <v>1</v>
      </c>
      <c r="AB558" s="23">
        <v>1</v>
      </c>
      <c r="AC558" s="25">
        <v>0</v>
      </c>
      <c r="AD558" s="25">
        <v>0</v>
      </c>
      <c r="AE558" s="25">
        <v>0</v>
      </c>
      <c r="AF558" s="25">
        <v>1</v>
      </c>
      <c r="AG558" s="25">
        <v>0</v>
      </c>
      <c r="AH558" s="25">
        <v>0</v>
      </c>
      <c r="AI558" s="25">
        <v>0</v>
      </c>
      <c r="AJ558" s="25">
        <v>0</v>
      </c>
      <c r="AK558" s="25">
        <v>0</v>
      </c>
      <c r="AL558" s="25">
        <v>0</v>
      </c>
      <c r="AM558" s="25">
        <v>0</v>
      </c>
    </row>
    <row r="559" spans="1:39" ht="15" customHeight="1">
      <c r="A559" s="32" t="str">
        <f t="shared" si="21"/>
        <v>Endeavour--GROUND OUTDOOR / INDOOR CHAMBER MOUNTED ; &gt; 66 kV &amp; &lt; = 132 kV ;  &gt; 100 MVA</v>
      </c>
      <c r="B559" s="32" t="str">
        <f t="shared" si="22"/>
        <v>Endeavour</v>
      </c>
      <c r="C559" s="32" t="s">
        <v>4</v>
      </c>
      <c r="D559" s="395"/>
      <c r="F559" t="s">
        <v>238</v>
      </c>
      <c r="G559" s="21">
        <v>0</v>
      </c>
      <c r="H559" s="21">
        <v>0</v>
      </c>
      <c r="I559" s="21">
        <v>0</v>
      </c>
      <c r="J559" s="21">
        <v>0</v>
      </c>
      <c r="K559" s="21">
        <v>0</v>
      </c>
      <c r="L559" s="21">
        <v>0</v>
      </c>
      <c r="M559" s="21">
        <v>0</v>
      </c>
      <c r="N559" s="21">
        <v>0</v>
      </c>
      <c r="O559" s="21">
        <v>0</v>
      </c>
      <c r="P559" s="21">
        <v>0</v>
      </c>
      <c r="Q559" s="21">
        <v>0</v>
      </c>
      <c r="R559" s="23">
        <v>0</v>
      </c>
      <c r="S559" s="23">
        <v>0</v>
      </c>
      <c r="T559" s="23">
        <v>0</v>
      </c>
      <c r="U559" s="23">
        <v>0</v>
      </c>
      <c r="V559" s="23">
        <v>0</v>
      </c>
      <c r="W559" s="23">
        <v>0</v>
      </c>
      <c r="X559" s="23">
        <v>0</v>
      </c>
      <c r="Y559" s="23">
        <v>0</v>
      </c>
      <c r="Z559" s="23">
        <v>0</v>
      </c>
      <c r="AA559" s="23">
        <v>0</v>
      </c>
      <c r="AB559" s="23">
        <v>0</v>
      </c>
      <c r="AC559" s="25">
        <v>0</v>
      </c>
      <c r="AD559" s="25">
        <v>0</v>
      </c>
      <c r="AE559" s="25">
        <v>0</v>
      </c>
      <c r="AF559" s="25">
        <v>0</v>
      </c>
      <c r="AG559" s="25">
        <v>0</v>
      </c>
      <c r="AH559" s="25">
        <v>0</v>
      </c>
      <c r="AI559" s="25">
        <v>0</v>
      </c>
      <c r="AJ559" s="25">
        <v>0</v>
      </c>
      <c r="AK559" s="25">
        <v>0</v>
      </c>
      <c r="AL559" s="25">
        <v>0</v>
      </c>
      <c r="AM559" s="25">
        <v>0</v>
      </c>
    </row>
    <row r="560" spans="1:39" ht="15" customHeight="1">
      <c r="A560" s="32" t="str">
        <f t="shared" si="21"/>
        <v>Endeavour--GROUND OUTDOOR / INDOOR CHAMBER MOUNTED ; &gt; 132 kV ;  &lt; = 100 MVA</v>
      </c>
      <c r="B560" s="32" t="str">
        <f t="shared" si="22"/>
        <v>Endeavour</v>
      </c>
      <c r="C560" s="32" t="s">
        <v>4</v>
      </c>
      <c r="D560" s="395"/>
      <c r="F560" t="s">
        <v>239</v>
      </c>
      <c r="G560" s="21">
        <v>0</v>
      </c>
      <c r="H560" s="21">
        <v>0</v>
      </c>
      <c r="I560" s="21">
        <v>0</v>
      </c>
      <c r="J560" s="21">
        <v>0</v>
      </c>
      <c r="K560" s="21">
        <v>0</v>
      </c>
      <c r="L560" s="21">
        <v>0</v>
      </c>
      <c r="M560" s="21">
        <v>0</v>
      </c>
      <c r="N560" s="21">
        <v>0</v>
      </c>
      <c r="O560" s="21">
        <v>0</v>
      </c>
      <c r="P560" s="21">
        <v>0</v>
      </c>
      <c r="Q560" s="21">
        <v>0</v>
      </c>
      <c r="R560" s="23">
        <v>0</v>
      </c>
      <c r="S560" s="23">
        <v>0</v>
      </c>
      <c r="T560" s="23">
        <v>0</v>
      </c>
      <c r="U560" s="23">
        <v>0</v>
      </c>
      <c r="V560" s="23">
        <v>0</v>
      </c>
      <c r="W560" s="23">
        <v>0</v>
      </c>
      <c r="X560" s="23">
        <v>0</v>
      </c>
      <c r="Y560" s="23">
        <v>0</v>
      </c>
      <c r="Z560" s="23">
        <v>0</v>
      </c>
      <c r="AA560" s="23">
        <v>0</v>
      </c>
      <c r="AB560" s="23">
        <v>0</v>
      </c>
      <c r="AC560" s="25">
        <v>0</v>
      </c>
      <c r="AD560" s="25">
        <v>0</v>
      </c>
      <c r="AE560" s="25">
        <v>0</v>
      </c>
      <c r="AF560" s="25">
        <v>0</v>
      </c>
      <c r="AG560" s="25">
        <v>0</v>
      </c>
      <c r="AH560" s="25">
        <v>0</v>
      </c>
      <c r="AI560" s="25">
        <v>0</v>
      </c>
      <c r="AJ560" s="25">
        <v>0</v>
      </c>
      <c r="AK560" s="25">
        <v>0</v>
      </c>
      <c r="AL560" s="25">
        <v>0</v>
      </c>
      <c r="AM560" s="25">
        <v>0</v>
      </c>
    </row>
    <row r="561" spans="1:39" ht="15" customHeight="1">
      <c r="A561" s="32" t="str">
        <f t="shared" si="21"/>
        <v>Endeavour--GROUND OUTDOOR / INDOOR CHAMBER MOUNTED ; &gt; 132 kV ;  &gt; 100 MVA</v>
      </c>
      <c r="B561" s="32" t="str">
        <f t="shared" si="22"/>
        <v>Endeavour</v>
      </c>
      <c r="C561" s="32" t="s">
        <v>4</v>
      </c>
      <c r="D561" s="395"/>
      <c r="F561" t="s">
        <v>240</v>
      </c>
      <c r="G561" s="21">
        <v>0</v>
      </c>
      <c r="H561" s="21">
        <v>0</v>
      </c>
      <c r="I561" s="21">
        <v>0</v>
      </c>
      <c r="J561" s="21">
        <v>0</v>
      </c>
      <c r="K561" s="21">
        <v>0</v>
      </c>
      <c r="L561" s="21">
        <v>0</v>
      </c>
      <c r="M561" s="21">
        <v>0</v>
      </c>
      <c r="N561" s="21">
        <v>0</v>
      </c>
      <c r="O561" s="21">
        <v>0</v>
      </c>
      <c r="P561" s="21">
        <v>0</v>
      </c>
      <c r="Q561" s="21">
        <v>0</v>
      </c>
      <c r="R561" s="23">
        <v>0</v>
      </c>
      <c r="S561" s="23">
        <v>0</v>
      </c>
      <c r="T561" s="23">
        <v>0</v>
      </c>
      <c r="U561" s="23">
        <v>0</v>
      </c>
      <c r="V561" s="23">
        <v>0</v>
      </c>
      <c r="W561" s="23">
        <v>0</v>
      </c>
      <c r="X561" s="23">
        <v>0</v>
      </c>
      <c r="Y561" s="23">
        <v>0</v>
      </c>
      <c r="Z561" s="23">
        <v>0</v>
      </c>
      <c r="AA561" s="23">
        <v>0</v>
      </c>
      <c r="AB561" s="23">
        <v>0</v>
      </c>
      <c r="AC561" s="25">
        <v>0</v>
      </c>
      <c r="AD561" s="25">
        <v>0</v>
      </c>
      <c r="AE561" s="25">
        <v>0</v>
      </c>
      <c r="AF561" s="25">
        <v>0</v>
      </c>
      <c r="AG561" s="25">
        <v>0</v>
      </c>
      <c r="AH561" s="25">
        <v>0</v>
      </c>
      <c r="AI561" s="25">
        <v>0</v>
      </c>
      <c r="AJ561" s="25">
        <v>0</v>
      </c>
      <c r="AK561" s="25">
        <v>0</v>
      </c>
      <c r="AL561" s="25">
        <v>0</v>
      </c>
      <c r="AM561" s="25">
        <v>0</v>
      </c>
    </row>
    <row r="562" spans="1:39" ht="15" customHeight="1">
      <c r="A562" s="32" t="str">
        <f t="shared" si="21"/>
        <v>Endeavour--OTHER - PLEASE ADD A ROW IF NECESSARY AND NOMINATE THE CATEGORY</v>
      </c>
      <c r="B562" s="32" t="str">
        <f t="shared" si="22"/>
        <v>Endeavour</v>
      </c>
      <c r="C562" s="32" t="s">
        <v>4</v>
      </c>
      <c r="D562" s="395"/>
      <c r="F562" t="s">
        <v>170</v>
      </c>
      <c r="G562" s="21">
        <v>0</v>
      </c>
      <c r="H562" s="21">
        <v>0</v>
      </c>
      <c r="I562" s="21">
        <v>0</v>
      </c>
      <c r="J562" s="21">
        <v>0</v>
      </c>
      <c r="K562" s="21">
        <v>0</v>
      </c>
      <c r="L562" s="21">
        <v>0</v>
      </c>
      <c r="M562" s="21">
        <v>0</v>
      </c>
      <c r="N562" s="21">
        <v>0</v>
      </c>
      <c r="O562" s="21">
        <v>0</v>
      </c>
      <c r="P562" s="21">
        <v>0</v>
      </c>
      <c r="Q562" s="21">
        <v>0</v>
      </c>
      <c r="R562" s="23">
        <v>0</v>
      </c>
      <c r="S562" s="23">
        <v>0</v>
      </c>
      <c r="T562" s="23">
        <v>0</v>
      </c>
      <c r="U562" s="23">
        <v>0</v>
      </c>
      <c r="V562" s="23">
        <v>0</v>
      </c>
      <c r="W562" s="23">
        <v>0</v>
      </c>
      <c r="X562" s="23">
        <v>0</v>
      </c>
      <c r="Y562" s="23">
        <v>0</v>
      </c>
      <c r="Z562" s="23">
        <v>0</v>
      </c>
      <c r="AA562" s="23">
        <v>0</v>
      </c>
      <c r="AB562" s="23">
        <v>0</v>
      </c>
      <c r="AC562" s="25">
        <v>0</v>
      </c>
      <c r="AD562" s="25">
        <v>0</v>
      </c>
      <c r="AE562" s="25">
        <v>0</v>
      </c>
      <c r="AF562" s="25">
        <v>0</v>
      </c>
      <c r="AG562" s="25">
        <v>0</v>
      </c>
      <c r="AH562" s="25">
        <v>0</v>
      </c>
      <c r="AI562" s="25">
        <v>0</v>
      </c>
      <c r="AJ562" s="25">
        <v>0</v>
      </c>
      <c r="AK562" s="25">
        <v>0</v>
      </c>
      <c r="AL562" s="25">
        <v>0</v>
      </c>
      <c r="AM562" s="25">
        <v>0</v>
      </c>
    </row>
    <row r="563" spans="1:39" ht="45" customHeight="1">
      <c r="A563" s="32" t="str">
        <f t="shared" si="21"/>
        <v>Endeavour-SWITCHGEAR BY: 
HIGHEST OPERATING VOLTAGE ; SWITCH FUNCTION-˂ = 11 kV ;  FUSE</v>
      </c>
      <c r="B563" s="32" t="str">
        <f t="shared" si="22"/>
        <v>Endeavour</v>
      </c>
      <c r="C563" s="32" t="s">
        <v>2</v>
      </c>
      <c r="D563" s="395"/>
      <c r="E563" s="3" t="s">
        <v>545</v>
      </c>
      <c r="F563" t="s">
        <v>246</v>
      </c>
      <c r="G563" s="21">
        <v>12.571999999999999</v>
      </c>
      <c r="H563" s="21">
        <v>8.5350000000000001</v>
      </c>
      <c r="I563" s="21">
        <v>22.834</v>
      </c>
      <c r="J563" s="21">
        <v>21.172000000000001</v>
      </c>
      <c r="K563" s="21">
        <v>48.548000000000002</v>
      </c>
      <c r="L563" s="21">
        <v>49.87</v>
      </c>
      <c r="M563" s="21">
        <v>50.192</v>
      </c>
      <c r="N563" s="21">
        <v>55.093000000000004</v>
      </c>
      <c r="O563" s="21">
        <v>51.677999999999997</v>
      </c>
      <c r="P563" s="21">
        <v>40.695</v>
      </c>
      <c r="Q563" s="21">
        <v>24.315999999999999</v>
      </c>
      <c r="R563" s="23">
        <v>15</v>
      </c>
      <c r="S563" s="23">
        <v>22</v>
      </c>
      <c r="T563" s="23">
        <v>21</v>
      </c>
      <c r="U563" s="23">
        <v>38</v>
      </c>
      <c r="V563" s="23">
        <v>49</v>
      </c>
      <c r="W563" s="23">
        <v>64</v>
      </c>
      <c r="X563" s="23">
        <v>64</v>
      </c>
      <c r="Y563" s="23">
        <v>70</v>
      </c>
      <c r="Z563" s="23">
        <v>66</v>
      </c>
      <c r="AA563" s="23">
        <v>52</v>
      </c>
      <c r="AB563" s="23">
        <v>31</v>
      </c>
      <c r="AC563" s="25">
        <v>0</v>
      </c>
      <c r="AD563" s="25">
        <v>0</v>
      </c>
      <c r="AE563" s="25">
        <v>0</v>
      </c>
      <c r="AF563" s="25">
        <v>0</v>
      </c>
      <c r="AG563" s="25">
        <v>0</v>
      </c>
      <c r="AH563" s="25">
        <v>0</v>
      </c>
      <c r="AI563" s="25">
        <v>0</v>
      </c>
      <c r="AJ563" s="25">
        <v>0</v>
      </c>
      <c r="AK563" s="25">
        <v>0</v>
      </c>
      <c r="AL563" s="25">
        <v>0</v>
      </c>
      <c r="AM563" s="25">
        <v>0</v>
      </c>
    </row>
    <row r="564" spans="1:39" ht="15" customHeight="1">
      <c r="A564" s="32" t="str">
        <f t="shared" si="21"/>
        <v>Endeavour--˂ = 11 kV  ; SWITCH</v>
      </c>
      <c r="B564" s="32" t="str">
        <f t="shared" si="22"/>
        <v>Endeavour</v>
      </c>
      <c r="C564" s="32" t="s">
        <v>2</v>
      </c>
      <c r="D564" s="395"/>
      <c r="F564" t="s">
        <v>247</v>
      </c>
      <c r="G564" s="21">
        <v>0</v>
      </c>
      <c r="H564" s="21">
        <v>0</v>
      </c>
      <c r="I564" s="21">
        <v>0</v>
      </c>
      <c r="J564" s="21">
        <v>0</v>
      </c>
      <c r="K564" s="21">
        <v>0</v>
      </c>
      <c r="L564" s="21">
        <v>0</v>
      </c>
      <c r="M564" s="21">
        <v>0</v>
      </c>
      <c r="N564" s="21">
        <v>0</v>
      </c>
      <c r="O564" s="21">
        <v>0</v>
      </c>
      <c r="P564" s="21">
        <v>0</v>
      </c>
      <c r="Q564" s="21">
        <v>0</v>
      </c>
      <c r="R564" s="23">
        <v>0</v>
      </c>
      <c r="S564" s="23">
        <v>0</v>
      </c>
      <c r="T564" s="23">
        <v>0</v>
      </c>
      <c r="U564" s="23">
        <v>0</v>
      </c>
      <c r="V564" s="23">
        <v>0</v>
      </c>
      <c r="W564" s="23">
        <v>0</v>
      </c>
      <c r="X564" s="23">
        <v>0</v>
      </c>
      <c r="Y564" s="23">
        <v>0</v>
      </c>
      <c r="Z564" s="23">
        <v>0</v>
      </c>
      <c r="AA564" s="23">
        <v>0</v>
      </c>
      <c r="AB564" s="23">
        <v>0</v>
      </c>
      <c r="AC564" s="25">
        <v>268</v>
      </c>
      <c r="AD564" s="25">
        <v>320</v>
      </c>
      <c r="AE564" s="25">
        <v>321</v>
      </c>
      <c r="AF564" s="25">
        <v>363</v>
      </c>
      <c r="AG564" s="25">
        <v>438</v>
      </c>
      <c r="AH564" s="25">
        <v>0</v>
      </c>
      <c r="AI564" s="25">
        <v>0</v>
      </c>
      <c r="AJ564" s="25">
        <v>0</v>
      </c>
      <c r="AK564" s="25">
        <v>0</v>
      </c>
      <c r="AL564" s="25">
        <v>0</v>
      </c>
      <c r="AM564" s="25">
        <v>0</v>
      </c>
    </row>
    <row r="565" spans="1:39" ht="15" customHeight="1">
      <c r="A565" s="32" t="str">
        <f t="shared" si="21"/>
        <v>Endeavour--˂ = 11 kV ;  CIRCUIT BREAKER</v>
      </c>
      <c r="B565" s="32" t="str">
        <f t="shared" si="22"/>
        <v>Endeavour</v>
      </c>
      <c r="C565" s="32" t="s">
        <v>2</v>
      </c>
      <c r="D565" s="395"/>
      <c r="F565" t="s">
        <v>248</v>
      </c>
      <c r="G565" s="21">
        <v>1084.2929999999999</v>
      </c>
      <c r="H565" s="21">
        <v>720.149</v>
      </c>
      <c r="I565" s="21">
        <v>3486.2959999999998</v>
      </c>
      <c r="J565" s="21">
        <v>3698.17</v>
      </c>
      <c r="K565" s="21">
        <v>445.85399999999998</v>
      </c>
      <c r="L565" s="21">
        <v>4139.6109999999999</v>
      </c>
      <c r="M565" s="21">
        <v>4166.3360000000002</v>
      </c>
      <c r="N565" s="21">
        <v>4573.1080000000002</v>
      </c>
      <c r="O565" s="21">
        <v>4289.674</v>
      </c>
      <c r="P565" s="21">
        <v>3377.9989999999998</v>
      </c>
      <c r="Q565" s="21">
        <v>2018.395</v>
      </c>
      <c r="R565" s="23">
        <v>23</v>
      </c>
      <c r="S565" s="23">
        <v>33</v>
      </c>
      <c r="T565" s="23">
        <v>57</v>
      </c>
      <c r="U565" s="23">
        <v>118</v>
      </c>
      <c r="V565" s="23">
        <v>8</v>
      </c>
      <c r="W565" s="23">
        <v>105</v>
      </c>
      <c r="X565" s="23">
        <v>106</v>
      </c>
      <c r="Y565" s="23">
        <v>116</v>
      </c>
      <c r="Z565" s="23">
        <v>109</v>
      </c>
      <c r="AA565" s="23">
        <v>86</v>
      </c>
      <c r="AB565" s="23">
        <v>51</v>
      </c>
      <c r="AC565" s="25">
        <v>12</v>
      </c>
      <c r="AD565" s="25">
        <v>5</v>
      </c>
      <c r="AE565" s="25">
        <v>8</v>
      </c>
      <c r="AF565" s="25">
        <v>12</v>
      </c>
      <c r="AG565" s="25">
        <v>10</v>
      </c>
      <c r="AH565" s="25">
        <v>0</v>
      </c>
      <c r="AI565" s="25">
        <v>0</v>
      </c>
      <c r="AJ565" s="25">
        <v>0</v>
      </c>
      <c r="AK565" s="25">
        <v>0</v>
      </c>
      <c r="AL565" s="25">
        <v>0</v>
      </c>
      <c r="AM565" s="25">
        <v>0</v>
      </c>
    </row>
    <row r="566" spans="1:39" ht="15" customHeight="1">
      <c r="A566" s="32" t="str">
        <f t="shared" si="21"/>
        <v>Endeavour--&gt; 11 kV &amp; &lt; = 22 kV  ; SWITCH</v>
      </c>
      <c r="B566" s="32" t="str">
        <f t="shared" si="22"/>
        <v>Endeavour</v>
      </c>
      <c r="C566" s="32" t="s">
        <v>2</v>
      </c>
      <c r="D566" s="395"/>
      <c r="F566" t="s">
        <v>249</v>
      </c>
      <c r="G566" s="21">
        <v>0</v>
      </c>
      <c r="H566" s="21">
        <v>0</v>
      </c>
      <c r="I566" s="21">
        <v>0</v>
      </c>
      <c r="J566" s="21">
        <v>0</v>
      </c>
      <c r="K566" s="21">
        <v>0</v>
      </c>
      <c r="L566" s="21">
        <v>0</v>
      </c>
      <c r="M566" s="21">
        <v>0</v>
      </c>
      <c r="N566" s="21">
        <v>0</v>
      </c>
      <c r="O566" s="21">
        <v>0</v>
      </c>
      <c r="P566" s="21">
        <v>0</v>
      </c>
      <c r="Q566" s="21">
        <v>0</v>
      </c>
      <c r="R566" s="23">
        <v>0</v>
      </c>
      <c r="S566" s="23">
        <v>0</v>
      </c>
      <c r="T566" s="23">
        <v>0</v>
      </c>
      <c r="U566" s="23">
        <v>0</v>
      </c>
      <c r="V566" s="23">
        <v>0</v>
      </c>
      <c r="W566" s="23">
        <v>0</v>
      </c>
      <c r="X566" s="23">
        <v>0</v>
      </c>
      <c r="Y566" s="23">
        <v>0</v>
      </c>
      <c r="Z566" s="23">
        <v>0</v>
      </c>
      <c r="AA566" s="23">
        <v>0</v>
      </c>
      <c r="AB566" s="23">
        <v>0</v>
      </c>
      <c r="AC566" s="25">
        <v>0</v>
      </c>
      <c r="AD566" s="25">
        <v>0</v>
      </c>
      <c r="AE566" s="25">
        <v>0</v>
      </c>
      <c r="AF566" s="25">
        <v>0</v>
      </c>
      <c r="AG566" s="25">
        <v>0</v>
      </c>
      <c r="AH566" s="25">
        <v>0</v>
      </c>
      <c r="AI566" s="25">
        <v>0</v>
      </c>
      <c r="AJ566" s="25">
        <v>0</v>
      </c>
      <c r="AK566" s="25">
        <v>0</v>
      </c>
      <c r="AL566" s="25">
        <v>0</v>
      </c>
      <c r="AM566" s="25">
        <v>0</v>
      </c>
    </row>
    <row r="567" spans="1:39" ht="15" customHeight="1">
      <c r="A567" s="32" t="str">
        <f t="shared" si="21"/>
        <v>Endeavour--&gt; 11 kV &amp; &lt; = 22 kV  ; CIRCUIT BREAKER</v>
      </c>
      <c r="B567" s="32" t="str">
        <f t="shared" si="22"/>
        <v>Endeavour</v>
      </c>
      <c r="C567" s="32" t="s">
        <v>2</v>
      </c>
      <c r="D567" s="395"/>
      <c r="F567" t="s">
        <v>250</v>
      </c>
      <c r="G567" s="21">
        <v>47.143000000000001</v>
      </c>
      <c r="H567" s="21">
        <v>130.93600000000001</v>
      </c>
      <c r="I567" s="21">
        <v>61.162999999999997</v>
      </c>
      <c r="J567" s="21">
        <v>0</v>
      </c>
      <c r="K567" s="21">
        <v>0</v>
      </c>
      <c r="L567" s="21">
        <v>104.97</v>
      </c>
      <c r="M567" s="21">
        <v>105.648</v>
      </c>
      <c r="N567" s="21">
        <v>115.96299999999999</v>
      </c>
      <c r="O567" s="21">
        <v>108.776</v>
      </c>
      <c r="P567" s="21">
        <v>85.658000000000001</v>
      </c>
      <c r="Q567" s="21">
        <v>51.182000000000002</v>
      </c>
      <c r="R567" s="23">
        <v>1</v>
      </c>
      <c r="S567" s="23">
        <v>6</v>
      </c>
      <c r="T567" s="23">
        <v>1</v>
      </c>
      <c r="U567" s="23">
        <v>0</v>
      </c>
      <c r="V567" s="23">
        <v>0</v>
      </c>
      <c r="W567" s="23">
        <v>4</v>
      </c>
      <c r="X567" s="23">
        <v>4</v>
      </c>
      <c r="Y567" s="23">
        <v>4</v>
      </c>
      <c r="Z567" s="23">
        <v>4</v>
      </c>
      <c r="AA567" s="23">
        <v>3</v>
      </c>
      <c r="AB567" s="23">
        <v>2</v>
      </c>
      <c r="AC567" s="25">
        <v>0</v>
      </c>
      <c r="AD567" s="25">
        <v>0</v>
      </c>
      <c r="AE567" s="25">
        <v>0</v>
      </c>
      <c r="AF567" s="25">
        <v>1</v>
      </c>
      <c r="AG567" s="25">
        <v>1</v>
      </c>
      <c r="AH567" s="25">
        <v>0</v>
      </c>
      <c r="AI567" s="25">
        <v>0</v>
      </c>
      <c r="AJ567" s="25">
        <v>0</v>
      </c>
      <c r="AK567" s="25">
        <v>0</v>
      </c>
      <c r="AL567" s="25">
        <v>0</v>
      </c>
      <c r="AM567" s="25">
        <v>0</v>
      </c>
    </row>
    <row r="568" spans="1:39" ht="15" customHeight="1">
      <c r="A568" s="32" t="str">
        <f t="shared" si="21"/>
        <v>Endeavour--&gt; 22 kV &amp; &lt; = 33 kV ; SWITCH</v>
      </c>
      <c r="B568" s="32" t="str">
        <f t="shared" si="22"/>
        <v>Endeavour</v>
      </c>
      <c r="C568" s="32" t="s">
        <v>2</v>
      </c>
      <c r="D568" s="395"/>
      <c r="F568" t="s">
        <v>251</v>
      </c>
      <c r="G568" s="21">
        <v>0</v>
      </c>
      <c r="H568" s="21">
        <v>0</v>
      </c>
      <c r="I568" s="21">
        <v>0</v>
      </c>
      <c r="J568" s="21">
        <v>0</v>
      </c>
      <c r="K568" s="21">
        <v>0</v>
      </c>
      <c r="L568" s="21">
        <v>0</v>
      </c>
      <c r="M568" s="21">
        <v>0</v>
      </c>
      <c r="N568" s="21">
        <v>0</v>
      </c>
      <c r="O568" s="21">
        <v>0</v>
      </c>
      <c r="P568" s="21">
        <v>0</v>
      </c>
      <c r="Q568" s="21">
        <v>0</v>
      </c>
      <c r="R568" s="23">
        <v>0</v>
      </c>
      <c r="S568" s="23">
        <v>0</v>
      </c>
      <c r="T568" s="23">
        <v>0</v>
      </c>
      <c r="U568" s="23">
        <v>0</v>
      </c>
      <c r="V568" s="23">
        <v>0</v>
      </c>
      <c r="W568" s="23">
        <v>0</v>
      </c>
      <c r="X568" s="23">
        <v>0</v>
      </c>
      <c r="Y568" s="23">
        <v>0</v>
      </c>
      <c r="Z568" s="23">
        <v>0</v>
      </c>
      <c r="AA568" s="23">
        <v>0</v>
      </c>
      <c r="AB568" s="23">
        <v>0</v>
      </c>
      <c r="AC568" s="25">
        <v>0</v>
      </c>
      <c r="AD568" s="25">
        <v>0</v>
      </c>
      <c r="AE568" s="25">
        <v>0</v>
      </c>
      <c r="AF568" s="25">
        <v>0</v>
      </c>
      <c r="AG568" s="25">
        <v>0</v>
      </c>
      <c r="AH568" s="25">
        <v>0</v>
      </c>
      <c r="AI568" s="25">
        <v>0</v>
      </c>
      <c r="AJ568" s="25">
        <v>0</v>
      </c>
      <c r="AK568" s="25">
        <v>0</v>
      </c>
      <c r="AL568" s="25">
        <v>0</v>
      </c>
      <c r="AM568" s="25">
        <v>0</v>
      </c>
    </row>
    <row r="569" spans="1:39" ht="15" customHeight="1">
      <c r="A569" s="32" t="str">
        <f t="shared" si="21"/>
        <v>Endeavour--&gt; 22 kV &amp; &lt; = 33 kV ; CIRCUIT BREAKER</v>
      </c>
      <c r="B569" s="32" t="str">
        <f t="shared" si="22"/>
        <v>Endeavour</v>
      </c>
      <c r="C569" s="32" t="s">
        <v>2</v>
      </c>
      <c r="D569" s="395"/>
      <c r="F569" t="s">
        <v>252</v>
      </c>
      <c r="G569" s="21">
        <v>743.81399999999996</v>
      </c>
      <c r="H569" s="21">
        <v>527.94799999999998</v>
      </c>
      <c r="I569" s="21">
        <v>1286.69</v>
      </c>
      <c r="J569" s="21">
        <v>1252.6880000000001</v>
      </c>
      <c r="K569" s="21">
        <v>293.10700000000003</v>
      </c>
      <c r="L569" s="21">
        <v>1800.787</v>
      </c>
      <c r="M569" s="21">
        <v>1812.412</v>
      </c>
      <c r="N569" s="21">
        <v>1989.364</v>
      </c>
      <c r="O569" s="21">
        <v>1866.066</v>
      </c>
      <c r="P569" s="21">
        <v>1469.4749999999999</v>
      </c>
      <c r="Q569" s="21">
        <v>878.029</v>
      </c>
      <c r="R569" s="23">
        <v>15</v>
      </c>
      <c r="S569" s="23">
        <v>23</v>
      </c>
      <c r="T569" s="23">
        <v>20</v>
      </c>
      <c r="U569" s="23">
        <v>38</v>
      </c>
      <c r="V569" s="23">
        <v>5</v>
      </c>
      <c r="W569" s="23">
        <v>44</v>
      </c>
      <c r="X569" s="23">
        <v>45</v>
      </c>
      <c r="Y569" s="23">
        <v>49</v>
      </c>
      <c r="Z569" s="23">
        <v>46</v>
      </c>
      <c r="AA569" s="23">
        <v>36</v>
      </c>
      <c r="AB569" s="23">
        <v>22</v>
      </c>
      <c r="AC569" s="25">
        <v>18</v>
      </c>
      <c r="AD569" s="25">
        <v>26</v>
      </c>
      <c r="AE569" s="25">
        <v>17</v>
      </c>
      <c r="AF569" s="25">
        <v>18</v>
      </c>
      <c r="AG569" s="25">
        <v>18</v>
      </c>
      <c r="AH569" s="25">
        <v>0</v>
      </c>
      <c r="AI569" s="25">
        <v>0</v>
      </c>
      <c r="AJ569" s="25">
        <v>0</v>
      </c>
      <c r="AK569" s="25">
        <v>0</v>
      </c>
      <c r="AL569" s="25">
        <v>0</v>
      </c>
      <c r="AM569" s="25">
        <v>0</v>
      </c>
    </row>
    <row r="570" spans="1:39" ht="15" customHeight="1">
      <c r="A570" s="32" t="str">
        <f t="shared" si="21"/>
        <v>Endeavour--&gt; 33 kV &amp; &lt; = 66 kV ; SWITCH</v>
      </c>
      <c r="B570" s="32" t="str">
        <f t="shared" si="22"/>
        <v>Endeavour</v>
      </c>
      <c r="C570" s="32" t="s">
        <v>2</v>
      </c>
      <c r="D570" s="395"/>
      <c r="F570" t="s">
        <v>253</v>
      </c>
      <c r="G570" s="21">
        <v>0</v>
      </c>
      <c r="H570" s="21">
        <v>0</v>
      </c>
      <c r="I570" s="21">
        <v>0</v>
      </c>
      <c r="J570" s="21">
        <v>0</v>
      </c>
      <c r="K570" s="21">
        <v>0</v>
      </c>
      <c r="L570" s="21">
        <v>0</v>
      </c>
      <c r="M570" s="21">
        <v>0</v>
      </c>
      <c r="N570" s="21">
        <v>0</v>
      </c>
      <c r="O570" s="21">
        <v>0</v>
      </c>
      <c r="P570" s="21">
        <v>0</v>
      </c>
      <c r="Q570" s="21">
        <v>0</v>
      </c>
      <c r="R570" s="23">
        <v>0</v>
      </c>
      <c r="S570" s="23">
        <v>0</v>
      </c>
      <c r="T570" s="23">
        <v>0</v>
      </c>
      <c r="U570" s="23">
        <v>0</v>
      </c>
      <c r="V570" s="23">
        <v>0</v>
      </c>
      <c r="W570" s="23">
        <v>0</v>
      </c>
      <c r="X570" s="23">
        <v>0</v>
      </c>
      <c r="Y570" s="23">
        <v>0</v>
      </c>
      <c r="Z570" s="23">
        <v>0</v>
      </c>
      <c r="AA570" s="23">
        <v>0</v>
      </c>
      <c r="AB570" s="23">
        <v>0</v>
      </c>
      <c r="AC570" s="25">
        <v>0</v>
      </c>
      <c r="AD570" s="25">
        <v>0</v>
      </c>
      <c r="AE570" s="25">
        <v>0</v>
      </c>
      <c r="AF570" s="25">
        <v>0</v>
      </c>
      <c r="AG570" s="25">
        <v>0</v>
      </c>
      <c r="AH570" s="25">
        <v>0</v>
      </c>
      <c r="AI570" s="25">
        <v>0</v>
      </c>
      <c r="AJ570" s="25">
        <v>0</v>
      </c>
      <c r="AK570" s="25">
        <v>0</v>
      </c>
      <c r="AL570" s="25">
        <v>0</v>
      </c>
      <c r="AM570" s="25">
        <v>0</v>
      </c>
    </row>
    <row r="571" spans="1:39" ht="15" customHeight="1">
      <c r="A571" s="32" t="str">
        <f t="shared" si="21"/>
        <v>Endeavour--&gt; 33 kV &amp; &lt; = 66 kV ; CIRCUIT BREAKER</v>
      </c>
      <c r="B571" s="32" t="str">
        <f t="shared" si="22"/>
        <v>Endeavour</v>
      </c>
      <c r="C571" s="32" t="s">
        <v>2</v>
      </c>
      <c r="D571" s="395"/>
      <c r="F571" t="s">
        <v>254</v>
      </c>
      <c r="G571" s="21">
        <v>484.00299999999999</v>
      </c>
      <c r="H571" s="21">
        <v>24.893999999999998</v>
      </c>
      <c r="I571" s="21">
        <v>697.71199999999999</v>
      </c>
      <c r="J571" s="21">
        <v>250.25899999999999</v>
      </c>
      <c r="K571" s="21">
        <v>0</v>
      </c>
      <c r="L571" s="21">
        <v>639.21799999999996</v>
      </c>
      <c r="M571" s="21">
        <v>643.34400000000005</v>
      </c>
      <c r="N571" s="21">
        <v>706.15599999999995</v>
      </c>
      <c r="O571" s="21">
        <v>662.39</v>
      </c>
      <c r="P571" s="21">
        <v>521.61400000000003</v>
      </c>
      <c r="Q571" s="21">
        <v>311.67</v>
      </c>
      <c r="R571" s="23">
        <v>9</v>
      </c>
      <c r="S571" s="23">
        <v>1</v>
      </c>
      <c r="T571" s="23">
        <v>10</v>
      </c>
      <c r="U571" s="23">
        <v>7</v>
      </c>
      <c r="V571" s="23">
        <v>0</v>
      </c>
      <c r="W571" s="23">
        <v>12</v>
      </c>
      <c r="X571" s="23">
        <v>12</v>
      </c>
      <c r="Y571" s="23">
        <v>13</v>
      </c>
      <c r="Z571" s="23">
        <v>12</v>
      </c>
      <c r="AA571" s="23">
        <v>10</v>
      </c>
      <c r="AB571" s="23">
        <v>6</v>
      </c>
      <c r="AC571" s="25">
        <v>0</v>
      </c>
      <c r="AD571" s="25">
        <v>5</v>
      </c>
      <c r="AE571" s="25">
        <v>5</v>
      </c>
      <c r="AF571" s="25">
        <v>8</v>
      </c>
      <c r="AG571" s="25">
        <v>4</v>
      </c>
      <c r="AH571" s="25">
        <v>0</v>
      </c>
      <c r="AI571" s="25">
        <v>0</v>
      </c>
      <c r="AJ571" s="25">
        <v>0</v>
      </c>
      <c r="AK571" s="25">
        <v>0</v>
      </c>
      <c r="AL571" s="25">
        <v>0</v>
      </c>
      <c r="AM571" s="25">
        <v>0</v>
      </c>
    </row>
    <row r="572" spans="1:39" ht="15" customHeight="1">
      <c r="A572" s="32" t="str">
        <f t="shared" si="21"/>
        <v>Endeavour--&gt; 66 kV &amp; &lt; = 132 kV ; SWITCH</v>
      </c>
      <c r="B572" s="32" t="str">
        <f t="shared" si="22"/>
        <v>Endeavour</v>
      </c>
      <c r="C572" s="32" t="s">
        <v>2</v>
      </c>
      <c r="D572" s="395"/>
      <c r="F572" t="s">
        <v>255</v>
      </c>
      <c r="G572" s="21">
        <v>0</v>
      </c>
      <c r="H572" s="21">
        <v>0</v>
      </c>
      <c r="I572" s="21">
        <v>0</v>
      </c>
      <c r="J572" s="21">
        <v>0</v>
      </c>
      <c r="K572" s="21">
        <v>0</v>
      </c>
      <c r="L572" s="21">
        <v>0</v>
      </c>
      <c r="M572" s="21">
        <v>0</v>
      </c>
      <c r="N572" s="21">
        <v>0</v>
      </c>
      <c r="O572" s="21">
        <v>0</v>
      </c>
      <c r="P572" s="21">
        <v>0</v>
      </c>
      <c r="Q572" s="21">
        <v>0</v>
      </c>
      <c r="R572" s="23">
        <v>0</v>
      </c>
      <c r="S572" s="23">
        <v>0</v>
      </c>
      <c r="T572" s="23">
        <v>0</v>
      </c>
      <c r="U572" s="23">
        <v>0</v>
      </c>
      <c r="V572" s="23">
        <v>0</v>
      </c>
      <c r="W572" s="23">
        <v>0</v>
      </c>
      <c r="X572" s="23">
        <v>0</v>
      </c>
      <c r="Y572" s="23">
        <v>0</v>
      </c>
      <c r="Z572" s="23">
        <v>0</v>
      </c>
      <c r="AA572" s="23">
        <v>0</v>
      </c>
      <c r="AB572" s="23">
        <v>0</v>
      </c>
      <c r="AC572" s="25">
        <v>0</v>
      </c>
      <c r="AD572" s="25">
        <v>0</v>
      </c>
      <c r="AE572" s="25">
        <v>0</v>
      </c>
      <c r="AF572" s="25">
        <v>0</v>
      </c>
      <c r="AG572" s="25">
        <v>0</v>
      </c>
      <c r="AH572" s="25">
        <v>0</v>
      </c>
      <c r="AI572" s="25">
        <v>0</v>
      </c>
      <c r="AJ572" s="25">
        <v>0</v>
      </c>
      <c r="AK572" s="25">
        <v>0</v>
      </c>
      <c r="AL572" s="25">
        <v>0</v>
      </c>
      <c r="AM572" s="25">
        <v>0</v>
      </c>
    </row>
    <row r="573" spans="1:39" ht="15" customHeight="1">
      <c r="A573" s="32" t="str">
        <f t="shared" si="21"/>
        <v>Endeavour--&gt; 66 kV &amp; &lt; = 132 kV  ; CIRCUIT BREAKER</v>
      </c>
      <c r="B573" s="32" t="str">
        <f t="shared" si="22"/>
        <v>Endeavour</v>
      </c>
      <c r="C573" s="32" t="s">
        <v>2</v>
      </c>
      <c r="D573" s="395"/>
      <c r="F573" t="s">
        <v>256</v>
      </c>
      <c r="G573" s="21">
        <v>698.41700000000003</v>
      </c>
      <c r="H573" s="21">
        <v>387.959</v>
      </c>
      <c r="I573" s="21">
        <v>724.89599999999996</v>
      </c>
      <c r="J573" s="21">
        <v>1021.466</v>
      </c>
      <c r="K573" s="21">
        <v>165.131</v>
      </c>
      <c r="L573" s="21">
        <v>1315.35</v>
      </c>
      <c r="M573" s="21">
        <v>1323.8409999999999</v>
      </c>
      <c r="N573" s="21">
        <v>1453.0920000000001</v>
      </c>
      <c r="O573" s="21">
        <v>1363.0319999999999</v>
      </c>
      <c r="P573" s="21">
        <v>1073.3499999999999</v>
      </c>
      <c r="Q573" s="21">
        <v>641.33900000000006</v>
      </c>
      <c r="R573" s="23">
        <v>10</v>
      </c>
      <c r="S573" s="23">
        <v>12</v>
      </c>
      <c r="T573" s="23">
        <v>8</v>
      </c>
      <c r="U573" s="23">
        <v>22</v>
      </c>
      <c r="V573" s="23">
        <v>2</v>
      </c>
      <c r="W573" s="23">
        <v>24</v>
      </c>
      <c r="X573" s="23">
        <v>24</v>
      </c>
      <c r="Y573" s="23">
        <v>26</v>
      </c>
      <c r="Z573" s="23">
        <v>25</v>
      </c>
      <c r="AA573" s="23">
        <v>19</v>
      </c>
      <c r="AB573" s="23">
        <v>12</v>
      </c>
      <c r="AC573" s="25">
        <v>1</v>
      </c>
      <c r="AD573" s="25">
        <v>2</v>
      </c>
      <c r="AE573" s="25">
        <v>1</v>
      </c>
      <c r="AF573" s="25">
        <v>3</v>
      </c>
      <c r="AG573" s="25">
        <v>2</v>
      </c>
      <c r="AH573" s="25">
        <v>0</v>
      </c>
      <c r="AI573" s="25">
        <v>0</v>
      </c>
      <c r="AJ573" s="25">
        <v>0</v>
      </c>
      <c r="AK573" s="25">
        <v>0</v>
      </c>
      <c r="AL573" s="25">
        <v>0</v>
      </c>
      <c r="AM573" s="25">
        <v>0</v>
      </c>
    </row>
    <row r="574" spans="1:39" ht="15" customHeight="1">
      <c r="A574" s="32" t="str">
        <f t="shared" si="21"/>
        <v>Endeavour--&gt; 132 kV ; SWITCH</v>
      </c>
      <c r="B574" s="32" t="str">
        <f t="shared" si="22"/>
        <v>Endeavour</v>
      </c>
      <c r="C574" s="32" t="s">
        <v>2</v>
      </c>
      <c r="D574" s="395"/>
      <c r="F574" t="s">
        <v>257</v>
      </c>
      <c r="G574" s="21">
        <v>0</v>
      </c>
      <c r="H574" s="21">
        <v>0</v>
      </c>
      <c r="I574" s="21">
        <v>0</v>
      </c>
      <c r="J574" s="21">
        <v>0</v>
      </c>
      <c r="K574" s="21">
        <v>0</v>
      </c>
      <c r="L574" s="21">
        <v>0</v>
      </c>
      <c r="M574" s="21">
        <v>0</v>
      </c>
      <c r="N574" s="21">
        <v>0</v>
      </c>
      <c r="O574" s="21">
        <v>0</v>
      </c>
      <c r="P574" s="21">
        <v>0</v>
      </c>
      <c r="Q574" s="21">
        <v>0</v>
      </c>
      <c r="R574" s="23">
        <v>0</v>
      </c>
      <c r="S574" s="23">
        <v>0</v>
      </c>
      <c r="T574" s="23">
        <v>0</v>
      </c>
      <c r="U574" s="23">
        <v>0</v>
      </c>
      <c r="V574" s="23">
        <v>0</v>
      </c>
      <c r="W574" s="23">
        <v>0</v>
      </c>
      <c r="X574" s="23">
        <v>0</v>
      </c>
      <c r="Y574" s="23">
        <v>0</v>
      </c>
      <c r="Z574" s="23">
        <v>0</v>
      </c>
      <c r="AA574" s="23">
        <v>0</v>
      </c>
      <c r="AB574" s="23">
        <v>0</v>
      </c>
      <c r="AC574" s="25">
        <v>0</v>
      </c>
      <c r="AD574" s="25">
        <v>0</v>
      </c>
      <c r="AE574" s="25">
        <v>0</v>
      </c>
      <c r="AF574" s="25">
        <v>0</v>
      </c>
      <c r="AG574" s="25">
        <v>0</v>
      </c>
      <c r="AH574" s="25">
        <v>0</v>
      </c>
      <c r="AI574" s="25">
        <v>0</v>
      </c>
      <c r="AJ574" s="25">
        <v>0</v>
      </c>
      <c r="AK574" s="25">
        <v>0</v>
      </c>
      <c r="AL574" s="25">
        <v>0</v>
      </c>
      <c r="AM574" s="25">
        <v>0</v>
      </c>
    </row>
    <row r="575" spans="1:39" ht="15" customHeight="1">
      <c r="A575" s="32" t="str">
        <f t="shared" si="21"/>
        <v>Endeavour--&gt; 132 kV ; CIRCUIT BREAKER</v>
      </c>
      <c r="B575" s="32" t="str">
        <f t="shared" si="22"/>
        <v>Endeavour</v>
      </c>
      <c r="C575" s="32" t="s">
        <v>2</v>
      </c>
      <c r="D575" s="395"/>
      <c r="F575" t="s">
        <v>258</v>
      </c>
      <c r="G575" s="21">
        <v>0</v>
      </c>
      <c r="H575" s="21">
        <v>0</v>
      </c>
      <c r="I575" s="21">
        <v>0</v>
      </c>
      <c r="J575" s="21">
        <v>0</v>
      </c>
      <c r="K575" s="21">
        <v>0</v>
      </c>
      <c r="L575" s="21">
        <v>0</v>
      </c>
      <c r="M575" s="21">
        <v>0</v>
      </c>
      <c r="N575" s="21">
        <v>0</v>
      </c>
      <c r="O575" s="21">
        <v>0</v>
      </c>
      <c r="P575" s="21">
        <v>0</v>
      </c>
      <c r="Q575" s="21">
        <v>0</v>
      </c>
      <c r="R575" s="23">
        <v>0</v>
      </c>
      <c r="S575" s="23">
        <v>0</v>
      </c>
      <c r="T575" s="23">
        <v>0</v>
      </c>
      <c r="U575" s="23">
        <v>0</v>
      </c>
      <c r="V575" s="23">
        <v>0</v>
      </c>
      <c r="W575" s="23">
        <v>0</v>
      </c>
      <c r="X575" s="23">
        <v>0</v>
      </c>
      <c r="Y575" s="23">
        <v>0</v>
      </c>
      <c r="Z575" s="23">
        <v>0</v>
      </c>
      <c r="AA575" s="23">
        <v>0</v>
      </c>
      <c r="AB575" s="23">
        <v>0</v>
      </c>
      <c r="AC575" s="25">
        <v>0</v>
      </c>
      <c r="AD575" s="25">
        <v>0</v>
      </c>
      <c r="AE575" s="25">
        <v>0</v>
      </c>
      <c r="AF575" s="25">
        <v>0</v>
      </c>
      <c r="AG575" s="25">
        <v>0</v>
      </c>
      <c r="AH575" s="25">
        <v>0</v>
      </c>
      <c r="AI575" s="25">
        <v>0</v>
      </c>
      <c r="AJ575" s="25">
        <v>0</v>
      </c>
      <c r="AK575" s="25">
        <v>0</v>
      </c>
      <c r="AL575" s="25">
        <v>0</v>
      </c>
      <c r="AM575" s="25">
        <v>0</v>
      </c>
    </row>
    <row r="576" spans="1:39" ht="15" customHeight="1">
      <c r="A576" s="32" t="str">
        <f t="shared" si="21"/>
        <v>Endeavour--Dist USL</v>
      </c>
      <c r="B576" s="32" t="str">
        <f t="shared" si="22"/>
        <v>Endeavour</v>
      </c>
      <c r="C576" s="32" t="s">
        <v>2</v>
      </c>
      <c r="D576" s="395"/>
      <c r="F576" t="s">
        <v>592</v>
      </c>
      <c r="G576" s="21">
        <v>55.872999999999998</v>
      </c>
      <c r="H576" s="21">
        <v>26.510999999999999</v>
      </c>
      <c r="I576" s="21">
        <v>65.241</v>
      </c>
      <c r="J576" s="21">
        <v>39.93</v>
      </c>
      <c r="K576" s="21">
        <v>64.400999999999996</v>
      </c>
      <c r="L576" s="21">
        <v>110.548</v>
      </c>
      <c r="M576" s="21">
        <v>111.262</v>
      </c>
      <c r="N576" s="21">
        <v>122.125</v>
      </c>
      <c r="O576" s="21">
        <v>114.556</v>
      </c>
      <c r="P576" s="21">
        <v>90.21</v>
      </c>
      <c r="Q576" s="21">
        <v>53.901000000000003</v>
      </c>
      <c r="R576" s="23">
        <v>80</v>
      </c>
      <c r="S576" s="23">
        <v>82</v>
      </c>
      <c r="T576" s="23">
        <v>72</v>
      </c>
      <c r="U576" s="23">
        <v>86</v>
      </c>
      <c r="V576" s="23">
        <v>78</v>
      </c>
      <c r="W576" s="23">
        <v>175</v>
      </c>
      <c r="X576" s="23">
        <v>176</v>
      </c>
      <c r="Y576" s="23">
        <v>193</v>
      </c>
      <c r="Z576" s="23">
        <v>181</v>
      </c>
      <c r="AA576" s="23">
        <v>142</v>
      </c>
      <c r="AB576" s="23">
        <v>85</v>
      </c>
      <c r="AC576" s="25">
        <v>0</v>
      </c>
      <c r="AD576" s="25">
        <v>0</v>
      </c>
      <c r="AE576" s="25">
        <v>0</v>
      </c>
      <c r="AF576" s="25">
        <v>0</v>
      </c>
      <c r="AG576" s="25">
        <v>0</v>
      </c>
      <c r="AH576" s="25">
        <v>0</v>
      </c>
      <c r="AI576" s="25">
        <v>0</v>
      </c>
      <c r="AJ576" s="25">
        <v>0</v>
      </c>
      <c r="AK576" s="25">
        <v>0</v>
      </c>
      <c r="AL576" s="25">
        <v>0</v>
      </c>
      <c r="AM576" s="25">
        <v>0</v>
      </c>
    </row>
    <row r="577" spans="1:39" ht="15" customHeight="1">
      <c r="A577" s="32" t="str">
        <f t="shared" si="21"/>
        <v>Endeavour--Dist ABS</v>
      </c>
      <c r="B577" s="32" t="str">
        <f t="shared" si="22"/>
        <v>Endeavour</v>
      </c>
      <c r="C577" s="32" t="s">
        <v>2</v>
      </c>
      <c r="D577" s="395"/>
      <c r="F577" t="s">
        <v>593</v>
      </c>
      <c r="G577" s="21">
        <v>787.81399999999996</v>
      </c>
      <c r="H577" s="21">
        <v>240.535</v>
      </c>
      <c r="I577" s="21">
        <v>483.86799999999999</v>
      </c>
      <c r="J577" s="21">
        <v>245.15199999999999</v>
      </c>
      <c r="K577" s="21">
        <v>678.68799999999999</v>
      </c>
      <c r="L577" s="21">
        <v>1068.848</v>
      </c>
      <c r="M577" s="21">
        <v>1075.748</v>
      </c>
      <c r="N577" s="21">
        <v>1180.777</v>
      </c>
      <c r="O577" s="21">
        <v>1107.5940000000001</v>
      </c>
      <c r="P577" s="21">
        <v>872.2</v>
      </c>
      <c r="Q577" s="21">
        <v>521.15</v>
      </c>
      <c r="R577" s="23">
        <v>188</v>
      </c>
      <c r="S577" s="23">
        <v>124</v>
      </c>
      <c r="T577" s="23">
        <v>89</v>
      </c>
      <c r="U577" s="23">
        <v>88</v>
      </c>
      <c r="V577" s="23">
        <v>137</v>
      </c>
      <c r="W577" s="23">
        <v>275</v>
      </c>
      <c r="X577" s="23">
        <v>276</v>
      </c>
      <c r="Y577" s="23">
        <v>303</v>
      </c>
      <c r="Z577" s="23">
        <v>285</v>
      </c>
      <c r="AA577" s="23">
        <v>224</v>
      </c>
      <c r="AB577" s="23">
        <v>134</v>
      </c>
      <c r="AC577" s="25">
        <v>0</v>
      </c>
      <c r="AD577" s="25">
        <v>0</v>
      </c>
      <c r="AE577" s="25">
        <v>0</v>
      </c>
      <c r="AF577" s="25">
        <v>0</v>
      </c>
      <c r="AG577" s="25">
        <v>0</v>
      </c>
      <c r="AH577" s="25">
        <v>0</v>
      </c>
      <c r="AI577" s="25">
        <v>0</v>
      </c>
      <c r="AJ577" s="25">
        <v>0</v>
      </c>
      <c r="AK577" s="25">
        <v>0</v>
      </c>
      <c r="AL577" s="25">
        <v>0</v>
      </c>
      <c r="AM577" s="25">
        <v>0</v>
      </c>
    </row>
    <row r="578" spans="1:39" ht="15" customHeight="1">
      <c r="A578" s="32" t="str">
        <f t="shared" si="21"/>
        <v>Endeavour--Dist LBS</v>
      </c>
      <c r="B578" s="32" t="str">
        <f t="shared" si="22"/>
        <v>Endeavour</v>
      </c>
      <c r="C578" s="32" t="s">
        <v>2</v>
      </c>
      <c r="D578" s="395"/>
      <c r="F578" t="s">
        <v>594</v>
      </c>
      <c r="G578" s="21">
        <v>541.27300000000002</v>
      </c>
      <c r="H578" s="21">
        <v>889.07299999999998</v>
      </c>
      <c r="I578" s="21">
        <v>1970.81</v>
      </c>
      <c r="J578" s="21">
        <v>1590.2360000000001</v>
      </c>
      <c r="K578" s="21">
        <v>2105.4189999999999</v>
      </c>
      <c r="L578" s="21">
        <v>3113.808</v>
      </c>
      <c r="M578" s="21">
        <v>3133.9110000000001</v>
      </c>
      <c r="N578" s="21">
        <v>3439.884</v>
      </c>
      <c r="O578" s="21">
        <v>3226.6849999999999</v>
      </c>
      <c r="P578" s="21">
        <v>2540.9250000000002</v>
      </c>
      <c r="Q578" s="21">
        <v>1518.2329999999999</v>
      </c>
      <c r="R578" s="23">
        <v>31</v>
      </c>
      <c r="S578" s="23">
        <v>110</v>
      </c>
      <c r="T578" s="23">
        <v>87</v>
      </c>
      <c r="U578" s="23">
        <v>137</v>
      </c>
      <c r="V578" s="23">
        <v>102</v>
      </c>
      <c r="W578" s="23">
        <v>205</v>
      </c>
      <c r="X578" s="23">
        <v>206</v>
      </c>
      <c r="Y578" s="23">
        <v>226</v>
      </c>
      <c r="Z578" s="23">
        <v>212</v>
      </c>
      <c r="AA578" s="23">
        <v>167</v>
      </c>
      <c r="AB578" s="23">
        <v>100</v>
      </c>
      <c r="AC578" s="25">
        <v>0</v>
      </c>
      <c r="AD578" s="25">
        <v>0</v>
      </c>
      <c r="AE578" s="25">
        <v>0</v>
      </c>
      <c r="AF578" s="25">
        <v>0</v>
      </c>
      <c r="AG578" s="25">
        <v>0</v>
      </c>
      <c r="AH578" s="25">
        <v>0</v>
      </c>
      <c r="AI578" s="25">
        <v>0</v>
      </c>
      <c r="AJ578" s="25">
        <v>0</v>
      </c>
      <c r="AK578" s="25">
        <v>0</v>
      </c>
      <c r="AL578" s="25">
        <v>0</v>
      </c>
      <c r="AM578" s="25">
        <v>0</v>
      </c>
    </row>
    <row r="579" spans="1:39" ht="15" customHeight="1">
      <c r="A579" s="32" t="str">
        <f t="shared" si="21"/>
        <v>Endeavour--Dist SEC</v>
      </c>
      <c r="B579" s="32" t="str">
        <f t="shared" si="22"/>
        <v>Endeavour</v>
      </c>
      <c r="C579" s="32" t="s">
        <v>2</v>
      </c>
      <c r="D579" s="395"/>
      <c r="F579" t="s">
        <v>595</v>
      </c>
      <c r="G579" s="21">
        <v>4.1909999999999998</v>
      </c>
      <c r="H579" s="21">
        <v>3.88</v>
      </c>
      <c r="I579" s="21">
        <v>5.4370000000000003</v>
      </c>
      <c r="J579" s="21">
        <v>8.3569999999999993</v>
      </c>
      <c r="K579" s="21">
        <v>4.9539999999999997</v>
      </c>
      <c r="L579" s="21">
        <v>11.766999999999999</v>
      </c>
      <c r="M579" s="21">
        <v>11.843</v>
      </c>
      <c r="N579" s="21">
        <v>12.999000000000001</v>
      </c>
      <c r="O579" s="21">
        <v>12.193</v>
      </c>
      <c r="P579" s="21">
        <v>9.6020000000000003</v>
      </c>
      <c r="Q579" s="21">
        <v>5.7370000000000001</v>
      </c>
      <c r="R579" s="23">
        <v>1</v>
      </c>
      <c r="S579" s="23">
        <v>2</v>
      </c>
      <c r="T579" s="23">
        <v>1</v>
      </c>
      <c r="U579" s="23">
        <v>3</v>
      </c>
      <c r="V579" s="23">
        <v>1</v>
      </c>
      <c r="W579" s="23">
        <v>4</v>
      </c>
      <c r="X579" s="23">
        <v>4</v>
      </c>
      <c r="Y579" s="23">
        <v>4</v>
      </c>
      <c r="Z579" s="23">
        <v>4</v>
      </c>
      <c r="AA579" s="23">
        <v>3</v>
      </c>
      <c r="AB579" s="23">
        <v>2</v>
      </c>
      <c r="AC579" s="25">
        <v>0</v>
      </c>
      <c r="AD579" s="25">
        <v>0</v>
      </c>
      <c r="AE579" s="25">
        <v>0</v>
      </c>
      <c r="AF579" s="25">
        <v>0</v>
      </c>
      <c r="AG579" s="25">
        <v>0</v>
      </c>
      <c r="AH579" s="25">
        <v>0</v>
      </c>
      <c r="AI579" s="25">
        <v>0</v>
      </c>
      <c r="AJ579" s="25">
        <v>0</v>
      </c>
      <c r="AK579" s="25">
        <v>0</v>
      </c>
      <c r="AL579" s="25">
        <v>0</v>
      </c>
      <c r="AM579" s="25">
        <v>0</v>
      </c>
    </row>
    <row r="580" spans="1:39" ht="15" customHeight="1">
      <c r="A580" s="32" t="str">
        <f t="shared" si="21"/>
        <v>Endeavour--Dist REC</v>
      </c>
      <c r="B580" s="32" t="str">
        <f t="shared" si="22"/>
        <v>Endeavour</v>
      </c>
      <c r="C580" s="32" t="s">
        <v>2</v>
      </c>
      <c r="D580" s="395"/>
      <c r="F580" t="s">
        <v>596</v>
      </c>
      <c r="G580" s="21">
        <v>122.223</v>
      </c>
      <c r="H580" s="21">
        <v>64.66</v>
      </c>
      <c r="I580" s="21">
        <v>90.611999999999995</v>
      </c>
      <c r="J580" s="21">
        <v>92.86</v>
      </c>
      <c r="K580" s="21">
        <v>82.564999999999998</v>
      </c>
      <c r="L580" s="21">
        <v>198.72399999999999</v>
      </c>
      <c r="M580" s="21">
        <v>200.00700000000001</v>
      </c>
      <c r="N580" s="21">
        <v>219.535</v>
      </c>
      <c r="O580" s="21">
        <v>205.928</v>
      </c>
      <c r="P580" s="21">
        <v>162.16300000000001</v>
      </c>
      <c r="Q580" s="21">
        <v>96.894000000000005</v>
      </c>
      <c r="R580" s="23">
        <v>7</v>
      </c>
      <c r="S580" s="23">
        <v>8</v>
      </c>
      <c r="T580" s="23">
        <v>4</v>
      </c>
      <c r="U580" s="23">
        <v>8</v>
      </c>
      <c r="V580" s="23">
        <v>4</v>
      </c>
      <c r="W580" s="23">
        <v>14</v>
      </c>
      <c r="X580" s="23">
        <v>14</v>
      </c>
      <c r="Y580" s="23">
        <v>15</v>
      </c>
      <c r="Z580" s="23">
        <v>14</v>
      </c>
      <c r="AA580" s="23">
        <v>11</v>
      </c>
      <c r="AB580" s="23">
        <v>7</v>
      </c>
      <c r="AC580" s="25">
        <v>0</v>
      </c>
      <c r="AD580" s="25">
        <v>0</v>
      </c>
      <c r="AE580" s="25">
        <v>0</v>
      </c>
      <c r="AF580" s="25">
        <v>0</v>
      </c>
      <c r="AG580" s="25">
        <v>0</v>
      </c>
      <c r="AH580" s="25">
        <v>0</v>
      </c>
      <c r="AI580" s="25">
        <v>0</v>
      </c>
      <c r="AJ580" s="25">
        <v>0</v>
      </c>
      <c r="AK580" s="25">
        <v>0</v>
      </c>
      <c r="AL580" s="25">
        <v>0</v>
      </c>
      <c r="AM580" s="25">
        <v>0</v>
      </c>
    </row>
    <row r="581" spans="1:39" ht="15" customHeight="1">
      <c r="A581" s="32" t="str">
        <f t="shared" si="21"/>
        <v>Endeavour--Transmission ABS</v>
      </c>
      <c r="B581" s="32" t="str">
        <f t="shared" si="22"/>
        <v>Endeavour</v>
      </c>
      <c r="C581" s="32" t="s">
        <v>2</v>
      </c>
      <c r="D581" s="395"/>
      <c r="F581" t="s">
        <v>597</v>
      </c>
      <c r="G581" s="21">
        <v>7.1980000000000004</v>
      </c>
      <c r="H581" s="21">
        <v>16.66</v>
      </c>
      <c r="I581" s="21">
        <v>28.015000000000001</v>
      </c>
      <c r="J581" s="21">
        <v>28.71</v>
      </c>
      <c r="K581" s="21">
        <v>8.5090000000000003</v>
      </c>
      <c r="L581" s="21">
        <v>39.090000000000003</v>
      </c>
      <c r="M581" s="21">
        <v>39.343000000000004</v>
      </c>
      <c r="N581" s="21">
        <v>43.183999999999997</v>
      </c>
      <c r="O581" s="21">
        <v>40.506999999999998</v>
      </c>
      <c r="P581" s="21">
        <v>31.898</v>
      </c>
      <c r="Q581" s="21">
        <v>19.059999999999999</v>
      </c>
      <c r="R581" s="23">
        <v>1</v>
      </c>
      <c r="S581" s="23">
        <v>5</v>
      </c>
      <c r="T581" s="23">
        <v>3</v>
      </c>
      <c r="U581" s="23">
        <v>6</v>
      </c>
      <c r="V581" s="23">
        <v>1</v>
      </c>
      <c r="W581" s="23">
        <v>7</v>
      </c>
      <c r="X581" s="23">
        <v>7</v>
      </c>
      <c r="Y581" s="23">
        <v>8</v>
      </c>
      <c r="Z581" s="23">
        <v>7</v>
      </c>
      <c r="AA581" s="23">
        <v>6</v>
      </c>
      <c r="AB581" s="23">
        <v>3</v>
      </c>
      <c r="AC581" s="25">
        <v>0</v>
      </c>
      <c r="AD581" s="25">
        <v>0</v>
      </c>
      <c r="AE581" s="25">
        <v>0</v>
      </c>
      <c r="AF581" s="25">
        <v>0</v>
      </c>
      <c r="AG581" s="25">
        <v>0</v>
      </c>
      <c r="AH581" s="25">
        <v>0</v>
      </c>
      <c r="AI581" s="25">
        <v>0</v>
      </c>
      <c r="AJ581" s="25">
        <v>0</v>
      </c>
      <c r="AK581" s="25">
        <v>0</v>
      </c>
      <c r="AL581" s="25">
        <v>0</v>
      </c>
      <c r="AM581" s="25">
        <v>0</v>
      </c>
    </row>
    <row r="582" spans="1:39" ht="15" customHeight="1">
      <c r="A582" s="32" t="str">
        <f t="shared" ref="A582:A645" si="23">B582&amp;"-"&amp;E582&amp;"-"&amp;F582</f>
        <v>Endeavour--Transmission USL</v>
      </c>
      <c r="B582" s="32" t="str">
        <f t="shared" ref="B582:B645" si="24">IF(D582&gt;0,D582,B581)</f>
        <v>Endeavour</v>
      </c>
      <c r="C582" s="32" t="s">
        <v>2</v>
      </c>
      <c r="D582" s="395"/>
      <c r="F582" t="s">
        <v>598</v>
      </c>
      <c r="G582" s="21">
        <v>0</v>
      </c>
      <c r="H582" s="21">
        <v>0</v>
      </c>
      <c r="I582" s="21">
        <v>0</v>
      </c>
      <c r="J582" s="21">
        <v>0</v>
      </c>
      <c r="K582" s="21">
        <v>0</v>
      </c>
      <c r="L582" s="21">
        <v>0</v>
      </c>
      <c r="M582" s="21">
        <v>0</v>
      </c>
      <c r="N582" s="21">
        <v>0</v>
      </c>
      <c r="O582" s="21">
        <v>0</v>
      </c>
      <c r="P582" s="21">
        <v>0</v>
      </c>
      <c r="Q582" s="21">
        <v>0</v>
      </c>
      <c r="R582" s="23">
        <v>0</v>
      </c>
      <c r="S582" s="23">
        <v>0</v>
      </c>
      <c r="T582" s="23">
        <v>0</v>
      </c>
      <c r="U582" s="23">
        <v>0</v>
      </c>
      <c r="V582" s="23">
        <v>0</v>
      </c>
      <c r="W582" s="23">
        <v>0</v>
      </c>
      <c r="X582" s="23">
        <v>0</v>
      </c>
      <c r="Y582" s="23">
        <v>0</v>
      </c>
      <c r="Z582" s="23">
        <v>0</v>
      </c>
      <c r="AA582" s="23">
        <v>0</v>
      </c>
      <c r="AB582" s="23">
        <v>0</v>
      </c>
      <c r="AC582" s="25">
        <v>0</v>
      </c>
      <c r="AD582" s="25">
        <v>0</v>
      </c>
      <c r="AE582" s="25">
        <v>0</v>
      </c>
      <c r="AF582" s="25">
        <v>0</v>
      </c>
      <c r="AG582" s="25">
        <v>0</v>
      </c>
      <c r="AH582" s="25">
        <v>0</v>
      </c>
      <c r="AI582" s="25">
        <v>0</v>
      </c>
      <c r="AJ582" s="25">
        <v>0</v>
      </c>
      <c r="AK582" s="25">
        <v>0</v>
      </c>
      <c r="AL582" s="25">
        <v>0</v>
      </c>
      <c r="AM582" s="25">
        <v>0</v>
      </c>
    </row>
    <row r="583" spans="1:39" ht="15" customHeight="1">
      <c r="A583" s="32" t="str">
        <f t="shared" si="23"/>
        <v>Endeavour--Transmission DOF</v>
      </c>
      <c r="B583" s="32" t="str">
        <f t="shared" si="24"/>
        <v>Endeavour</v>
      </c>
      <c r="C583" s="32" t="s">
        <v>2</v>
      </c>
      <c r="D583" s="395"/>
      <c r="F583" t="s">
        <v>599</v>
      </c>
      <c r="G583" s="21">
        <v>0</v>
      </c>
      <c r="H583" s="21">
        <v>0</v>
      </c>
      <c r="I583" s="21">
        <v>0</v>
      </c>
      <c r="J583" s="21">
        <v>0</v>
      </c>
      <c r="K583" s="21">
        <v>0</v>
      </c>
      <c r="L583" s="21">
        <v>0</v>
      </c>
      <c r="M583" s="21">
        <v>0</v>
      </c>
      <c r="N583" s="21">
        <v>0</v>
      </c>
      <c r="O583" s="21">
        <v>0</v>
      </c>
      <c r="P583" s="21">
        <v>0</v>
      </c>
      <c r="Q583" s="21">
        <v>0</v>
      </c>
      <c r="R583" s="23">
        <v>0</v>
      </c>
      <c r="S583" s="23">
        <v>0</v>
      </c>
      <c r="T583" s="23">
        <v>0</v>
      </c>
      <c r="U583" s="23">
        <v>0</v>
      </c>
      <c r="V583" s="23">
        <v>0</v>
      </c>
      <c r="W583" s="23">
        <v>0</v>
      </c>
      <c r="X583" s="23">
        <v>0</v>
      </c>
      <c r="Y583" s="23">
        <v>0</v>
      </c>
      <c r="Z583" s="23">
        <v>0</v>
      </c>
      <c r="AA583" s="23">
        <v>0</v>
      </c>
      <c r="AB583" s="23">
        <v>0</v>
      </c>
      <c r="AC583" s="25">
        <v>0</v>
      </c>
      <c r="AD583" s="25">
        <v>0</v>
      </c>
      <c r="AE583" s="25">
        <v>0</v>
      </c>
      <c r="AF583" s="25">
        <v>0</v>
      </c>
      <c r="AG583" s="25">
        <v>0</v>
      </c>
      <c r="AH583" s="25">
        <v>0</v>
      </c>
      <c r="AI583" s="25">
        <v>0</v>
      </c>
      <c r="AJ583" s="25">
        <v>0</v>
      </c>
      <c r="AK583" s="25">
        <v>0</v>
      </c>
      <c r="AL583" s="25">
        <v>0</v>
      </c>
      <c r="AM583" s="25">
        <v>0</v>
      </c>
    </row>
    <row r="584" spans="1:39" ht="15" customHeight="1">
      <c r="A584" s="32" t="str">
        <f t="shared" si="23"/>
        <v>Endeavour--LV Links</v>
      </c>
      <c r="B584" s="32" t="str">
        <f t="shared" si="24"/>
        <v>Endeavour</v>
      </c>
      <c r="C584" s="32" t="s">
        <v>2</v>
      </c>
      <c r="D584" s="395"/>
      <c r="F584" t="s">
        <v>600</v>
      </c>
      <c r="G584" s="21">
        <v>75.429000000000002</v>
      </c>
      <c r="H584" s="21">
        <v>40.088999999999999</v>
      </c>
      <c r="I584" s="21">
        <v>108.73399999999999</v>
      </c>
      <c r="J584" s="21">
        <v>64.305999999999997</v>
      </c>
      <c r="K584" s="21">
        <v>142.83799999999999</v>
      </c>
      <c r="L584" s="21">
        <v>189.28</v>
      </c>
      <c r="M584" s="21">
        <v>190.50200000000001</v>
      </c>
      <c r="N584" s="21">
        <v>209.102</v>
      </c>
      <c r="O584" s="21">
        <v>196.142</v>
      </c>
      <c r="P584" s="21">
        <v>154.45599999999999</v>
      </c>
      <c r="Q584" s="21">
        <v>92.289000000000001</v>
      </c>
      <c r="R584" s="23">
        <v>216</v>
      </c>
      <c r="S584" s="23">
        <v>248</v>
      </c>
      <c r="T584" s="23">
        <v>240</v>
      </c>
      <c r="U584" s="23">
        <v>277</v>
      </c>
      <c r="V584" s="23">
        <v>346</v>
      </c>
      <c r="W584" s="23">
        <v>582</v>
      </c>
      <c r="X584" s="23">
        <v>586</v>
      </c>
      <c r="Y584" s="23">
        <v>643</v>
      </c>
      <c r="Z584" s="23">
        <v>603</v>
      </c>
      <c r="AA584" s="23">
        <v>475</v>
      </c>
      <c r="AB584" s="23">
        <v>284</v>
      </c>
      <c r="AC584" s="25">
        <v>0</v>
      </c>
      <c r="AD584" s="25">
        <v>0</v>
      </c>
      <c r="AE584" s="25">
        <v>0</v>
      </c>
      <c r="AF584" s="25">
        <v>0</v>
      </c>
      <c r="AG584" s="25">
        <v>0</v>
      </c>
      <c r="AH584" s="25">
        <v>0</v>
      </c>
      <c r="AI584" s="25">
        <v>0</v>
      </c>
      <c r="AJ584" s="25">
        <v>0</v>
      </c>
      <c r="AK584" s="25">
        <v>0</v>
      </c>
      <c r="AL584" s="25">
        <v>0</v>
      </c>
      <c r="AM584" s="25">
        <v>0</v>
      </c>
    </row>
    <row r="585" spans="1:39" ht="45" customHeight="1">
      <c r="A585" s="32" t="str">
        <f t="shared" si="23"/>
        <v>Endeavour-PUBLIC LIGHTING BY: 
ASSET TYPE ; LIGHTING OBLIGATION-LUMINAIRES ;  MAJOR ROAD</v>
      </c>
      <c r="B585" s="32" t="str">
        <f t="shared" si="24"/>
        <v>Endeavour</v>
      </c>
      <c r="C585" s="32" t="s">
        <v>1135</v>
      </c>
      <c r="D585" s="395"/>
      <c r="E585" s="3" t="s">
        <v>547</v>
      </c>
      <c r="F585" t="s">
        <v>262</v>
      </c>
      <c r="G585" s="21">
        <v>0</v>
      </c>
      <c r="H585" s="21">
        <v>0</v>
      </c>
      <c r="I585" s="21">
        <v>0</v>
      </c>
      <c r="J585" s="21">
        <v>0</v>
      </c>
      <c r="K585" s="21">
        <v>0</v>
      </c>
      <c r="L585" s="21">
        <v>0</v>
      </c>
      <c r="M585" s="21">
        <v>0</v>
      </c>
      <c r="N585" s="21">
        <v>0</v>
      </c>
      <c r="O585" s="21">
        <v>0</v>
      </c>
      <c r="P585" s="21">
        <v>0</v>
      </c>
      <c r="Q585" s="21">
        <v>0</v>
      </c>
      <c r="R585" s="23">
        <v>0</v>
      </c>
      <c r="S585" s="23">
        <v>0</v>
      </c>
      <c r="T585" s="23">
        <v>0</v>
      </c>
      <c r="U585" s="23">
        <v>0</v>
      </c>
      <c r="V585" s="23">
        <v>0</v>
      </c>
      <c r="W585" s="23">
        <v>0</v>
      </c>
      <c r="X585" s="23">
        <v>0</v>
      </c>
      <c r="Y585" s="23">
        <v>0</v>
      </c>
      <c r="Z585" s="23">
        <v>0</v>
      </c>
      <c r="AA585" s="23">
        <v>0</v>
      </c>
      <c r="AB585" s="23">
        <v>0</v>
      </c>
      <c r="AC585" s="25">
        <v>0</v>
      </c>
      <c r="AD585" s="25">
        <v>0</v>
      </c>
      <c r="AE585" s="25">
        <v>0</v>
      </c>
      <c r="AF585" s="25">
        <v>0</v>
      </c>
      <c r="AG585" s="25">
        <v>0</v>
      </c>
      <c r="AH585" s="25">
        <v>0</v>
      </c>
      <c r="AI585" s="25">
        <v>0</v>
      </c>
      <c r="AJ585" s="25">
        <v>0</v>
      </c>
      <c r="AK585" s="25">
        <v>0</v>
      </c>
      <c r="AL585" s="25">
        <v>0</v>
      </c>
      <c r="AM585" s="25">
        <v>0</v>
      </c>
    </row>
    <row r="586" spans="1:39" ht="15" customHeight="1">
      <c r="A586" s="32" t="str">
        <f t="shared" si="23"/>
        <v>Endeavour--LUMINAIRES ;  MINOR ROAD</v>
      </c>
      <c r="B586" s="32" t="str">
        <f t="shared" si="24"/>
        <v>Endeavour</v>
      </c>
      <c r="C586" s="32" t="s">
        <v>1135</v>
      </c>
      <c r="D586" s="395"/>
      <c r="F586" t="s">
        <v>263</v>
      </c>
      <c r="G586" s="21">
        <v>0</v>
      </c>
      <c r="H586" s="21">
        <v>0</v>
      </c>
      <c r="I586" s="21">
        <v>0</v>
      </c>
      <c r="J586" s="21">
        <v>0</v>
      </c>
      <c r="K586" s="21">
        <v>0</v>
      </c>
      <c r="L586" s="21">
        <v>0</v>
      </c>
      <c r="M586" s="21">
        <v>0</v>
      </c>
      <c r="N586" s="21">
        <v>0</v>
      </c>
      <c r="O586" s="21">
        <v>0</v>
      </c>
      <c r="P586" s="21">
        <v>0</v>
      </c>
      <c r="Q586" s="21">
        <v>0</v>
      </c>
      <c r="R586" s="23">
        <v>0</v>
      </c>
      <c r="S586" s="23">
        <v>0</v>
      </c>
      <c r="T586" s="23">
        <v>0</v>
      </c>
      <c r="U586" s="23">
        <v>0</v>
      </c>
      <c r="V586" s="23">
        <v>0</v>
      </c>
      <c r="W586" s="23">
        <v>0</v>
      </c>
      <c r="X586" s="23">
        <v>0</v>
      </c>
      <c r="Y586" s="23">
        <v>0</v>
      </c>
      <c r="Z586" s="23">
        <v>0</v>
      </c>
      <c r="AA586" s="23">
        <v>0</v>
      </c>
      <c r="AB586" s="23">
        <v>0</v>
      </c>
      <c r="AC586" s="25">
        <v>0</v>
      </c>
      <c r="AD586" s="25">
        <v>0</v>
      </c>
      <c r="AE586" s="25">
        <v>0</v>
      </c>
      <c r="AF586" s="25">
        <v>0</v>
      </c>
      <c r="AG586" s="25">
        <v>0</v>
      </c>
      <c r="AH586" s="25">
        <v>0</v>
      </c>
      <c r="AI586" s="25">
        <v>0</v>
      </c>
      <c r="AJ586" s="25">
        <v>0</v>
      </c>
      <c r="AK586" s="25">
        <v>0</v>
      </c>
      <c r="AL586" s="25">
        <v>0</v>
      </c>
      <c r="AM586" s="25">
        <v>0</v>
      </c>
    </row>
    <row r="587" spans="1:39" ht="15" customHeight="1">
      <c r="A587" s="32" t="str">
        <f t="shared" si="23"/>
        <v>Endeavour--BRACKETS ; MAJOR ROAD</v>
      </c>
      <c r="B587" s="32" t="str">
        <f t="shared" si="24"/>
        <v>Endeavour</v>
      </c>
      <c r="C587" s="32" t="s">
        <v>1134</v>
      </c>
      <c r="D587" s="395"/>
      <c r="F587" t="s">
        <v>264</v>
      </c>
      <c r="G587" s="21">
        <v>0</v>
      </c>
      <c r="H587" s="21">
        <v>0</v>
      </c>
      <c r="I587" s="21">
        <v>0</v>
      </c>
      <c r="J587" s="21">
        <v>0</v>
      </c>
      <c r="K587" s="21">
        <v>0</v>
      </c>
      <c r="L587" s="21">
        <v>0</v>
      </c>
      <c r="M587" s="21">
        <v>0</v>
      </c>
      <c r="N587" s="21">
        <v>0</v>
      </c>
      <c r="O587" s="21">
        <v>0</v>
      </c>
      <c r="P587" s="21">
        <v>0</v>
      </c>
      <c r="Q587" s="21">
        <v>0</v>
      </c>
      <c r="R587" s="23">
        <v>0</v>
      </c>
      <c r="S587" s="23">
        <v>0</v>
      </c>
      <c r="T587" s="23">
        <v>0</v>
      </c>
      <c r="U587" s="23">
        <v>0</v>
      </c>
      <c r="V587" s="23">
        <v>0</v>
      </c>
      <c r="W587" s="23">
        <v>0</v>
      </c>
      <c r="X587" s="23">
        <v>0</v>
      </c>
      <c r="Y587" s="23">
        <v>0</v>
      </c>
      <c r="Z587" s="23">
        <v>0</v>
      </c>
      <c r="AA587" s="23">
        <v>0</v>
      </c>
      <c r="AB587" s="23">
        <v>0</v>
      </c>
      <c r="AC587" s="25">
        <v>0</v>
      </c>
      <c r="AD587" s="25">
        <v>0</v>
      </c>
      <c r="AE587" s="25">
        <v>0</v>
      </c>
      <c r="AF587" s="25">
        <v>0</v>
      </c>
      <c r="AG587" s="25">
        <v>0</v>
      </c>
      <c r="AH587" s="25">
        <v>0</v>
      </c>
      <c r="AI587" s="25">
        <v>0</v>
      </c>
      <c r="AJ587" s="25">
        <v>0</v>
      </c>
      <c r="AK587" s="25">
        <v>0</v>
      </c>
      <c r="AL587" s="25">
        <v>0</v>
      </c>
      <c r="AM587" s="25">
        <v>0</v>
      </c>
    </row>
    <row r="588" spans="1:39" ht="15" customHeight="1">
      <c r="A588" s="32" t="str">
        <f t="shared" si="23"/>
        <v>Endeavour--BRACKETS ; MINOR ROAD</v>
      </c>
      <c r="B588" s="32" t="str">
        <f t="shared" si="24"/>
        <v>Endeavour</v>
      </c>
      <c r="C588" s="32" t="s">
        <v>1134</v>
      </c>
      <c r="D588" s="395"/>
      <c r="F588" t="s">
        <v>265</v>
      </c>
      <c r="G588" s="21">
        <v>0</v>
      </c>
      <c r="H588" s="21">
        <v>0</v>
      </c>
      <c r="I588" s="21">
        <v>0</v>
      </c>
      <c r="J588" s="21">
        <v>0</v>
      </c>
      <c r="K588" s="21">
        <v>0</v>
      </c>
      <c r="L588" s="21">
        <v>0</v>
      </c>
      <c r="M588" s="21">
        <v>0</v>
      </c>
      <c r="N588" s="21">
        <v>0</v>
      </c>
      <c r="O588" s="21">
        <v>0</v>
      </c>
      <c r="P588" s="21">
        <v>0</v>
      </c>
      <c r="Q588" s="21">
        <v>0</v>
      </c>
      <c r="R588" s="23">
        <v>0</v>
      </c>
      <c r="S588" s="23">
        <v>0</v>
      </c>
      <c r="T588" s="23">
        <v>0</v>
      </c>
      <c r="U588" s="23">
        <v>0</v>
      </c>
      <c r="V588" s="23">
        <v>0</v>
      </c>
      <c r="W588" s="23">
        <v>0</v>
      </c>
      <c r="X588" s="23">
        <v>0</v>
      </c>
      <c r="Y588" s="23">
        <v>0</v>
      </c>
      <c r="Z588" s="23">
        <v>0</v>
      </c>
      <c r="AA588" s="23">
        <v>0</v>
      </c>
      <c r="AB588" s="23">
        <v>0</v>
      </c>
      <c r="AC588" s="25">
        <v>0</v>
      </c>
      <c r="AD588" s="25">
        <v>0</v>
      </c>
      <c r="AE588" s="25">
        <v>0</v>
      </c>
      <c r="AF588" s="25">
        <v>0</v>
      </c>
      <c r="AG588" s="25">
        <v>0</v>
      </c>
      <c r="AH588" s="25">
        <v>0</v>
      </c>
      <c r="AI588" s="25">
        <v>0</v>
      </c>
      <c r="AJ588" s="25">
        <v>0</v>
      </c>
      <c r="AK588" s="25">
        <v>0</v>
      </c>
      <c r="AL588" s="25">
        <v>0</v>
      </c>
      <c r="AM588" s="25">
        <v>0</v>
      </c>
    </row>
    <row r="589" spans="1:39" ht="15" customHeight="1">
      <c r="A589" s="32" t="str">
        <f t="shared" si="23"/>
        <v>Endeavour--LAMPS ; MAJOR ROAD</v>
      </c>
      <c r="B589" s="32" t="str">
        <f t="shared" si="24"/>
        <v>Endeavour</v>
      </c>
      <c r="C589" s="32" t="s">
        <v>1134</v>
      </c>
      <c r="D589" s="395"/>
      <c r="F589" t="s">
        <v>266</v>
      </c>
      <c r="G589" s="21">
        <v>0</v>
      </c>
      <c r="H589" s="21">
        <v>0</v>
      </c>
      <c r="I589" s="21">
        <v>0</v>
      </c>
      <c r="J589" s="21">
        <v>0</v>
      </c>
      <c r="K589" s="21">
        <v>0</v>
      </c>
      <c r="L589" s="21">
        <v>0</v>
      </c>
      <c r="M589" s="21">
        <v>0</v>
      </c>
      <c r="N589" s="21">
        <v>0</v>
      </c>
      <c r="O589" s="21">
        <v>0</v>
      </c>
      <c r="P589" s="21">
        <v>0</v>
      </c>
      <c r="Q589" s="21">
        <v>0</v>
      </c>
      <c r="R589" s="23">
        <v>0</v>
      </c>
      <c r="S589" s="23">
        <v>0</v>
      </c>
      <c r="T589" s="23">
        <v>0</v>
      </c>
      <c r="U589" s="23">
        <v>0</v>
      </c>
      <c r="V589" s="23">
        <v>0</v>
      </c>
      <c r="W589" s="23">
        <v>0</v>
      </c>
      <c r="X589" s="23">
        <v>0</v>
      </c>
      <c r="Y589" s="23">
        <v>0</v>
      </c>
      <c r="Z589" s="23">
        <v>0</v>
      </c>
      <c r="AA589" s="23">
        <v>0</v>
      </c>
      <c r="AB589" s="23">
        <v>0</v>
      </c>
      <c r="AC589" s="25">
        <v>0</v>
      </c>
      <c r="AD589" s="25">
        <v>0</v>
      </c>
      <c r="AE589" s="25">
        <v>0</v>
      </c>
      <c r="AF589" s="25">
        <v>0</v>
      </c>
      <c r="AG589" s="25">
        <v>0</v>
      </c>
      <c r="AH589" s="25">
        <v>0</v>
      </c>
      <c r="AI589" s="25">
        <v>0</v>
      </c>
      <c r="AJ589" s="25">
        <v>0</v>
      </c>
      <c r="AK589" s="25">
        <v>0</v>
      </c>
      <c r="AL589" s="25">
        <v>0</v>
      </c>
      <c r="AM589" s="25">
        <v>0</v>
      </c>
    </row>
    <row r="590" spans="1:39" ht="15" customHeight="1">
      <c r="A590" s="32" t="str">
        <f t="shared" si="23"/>
        <v>Endeavour--LAMPS ; MINOR ROAD</v>
      </c>
      <c r="B590" s="32" t="str">
        <f t="shared" si="24"/>
        <v>Endeavour</v>
      </c>
      <c r="C590" s="32" t="s">
        <v>1134</v>
      </c>
      <c r="D590" s="395"/>
      <c r="F590" t="s">
        <v>267</v>
      </c>
      <c r="G590" s="21">
        <v>0</v>
      </c>
      <c r="H590" s="21">
        <v>0</v>
      </c>
      <c r="I590" s="21">
        <v>0</v>
      </c>
      <c r="J590" s="21">
        <v>0</v>
      </c>
      <c r="K590" s="21">
        <v>0</v>
      </c>
      <c r="L590" s="21">
        <v>0</v>
      </c>
      <c r="M590" s="21">
        <v>0</v>
      </c>
      <c r="N590" s="21">
        <v>0</v>
      </c>
      <c r="O590" s="21">
        <v>0</v>
      </c>
      <c r="P590" s="21">
        <v>0</v>
      </c>
      <c r="Q590" s="21">
        <v>0</v>
      </c>
      <c r="R590" s="23">
        <v>0</v>
      </c>
      <c r="S590" s="23">
        <v>0</v>
      </c>
      <c r="T590" s="23">
        <v>0</v>
      </c>
      <c r="U590" s="23">
        <v>0</v>
      </c>
      <c r="V590" s="23">
        <v>0</v>
      </c>
      <c r="W590" s="23">
        <v>0</v>
      </c>
      <c r="X590" s="23">
        <v>0</v>
      </c>
      <c r="Y590" s="23">
        <v>0</v>
      </c>
      <c r="Z590" s="23">
        <v>0</v>
      </c>
      <c r="AA590" s="23">
        <v>0</v>
      </c>
      <c r="AB590" s="23">
        <v>0</v>
      </c>
      <c r="AC590" s="25">
        <v>0</v>
      </c>
      <c r="AD590" s="25">
        <v>0</v>
      </c>
      <c r="AE590" s="25">
        <v>0</v>
      </c>
      <c r="AF590" s="25">
        <v>0</v>
      </c>
      <c r="AG590" s="25">
        <v>0</v>
      </c>
      <c r="AH590" s="25">
        <v>0</v>
      </c>
      <c r="AI590" s="25">
        <v>0</v>
      </c>
      <c r="AJ590" s="25">
        <v>0</v>
      </c>
      <c r="AK590" s="25">
        <v>0</v>
      </c>
      <c r="AL590" s="25">
        <v>0</v>
      </c>
      <c r="AM590" s="25">
        <v>0</v>
      </c>
    </row>
    <row r="591" spans="1:39" ht="15" customHeight="1">
      <c r="A591" s="32" t="str">
        <f t="shared" si="23"/>
        <v>Endeavour--POLES / COLUMNS ; MAJOR ROAD</v>
      </c>
      <c r="B591" s="32" t="str">
        <f t="shared" si="24"/>
        <v>Endeavour</v>
      </c>
      <c r="C591" s="32" t="s">
        <v>1134</v>
      </c>
      <c r="D591" s="395"/>
      <c r="F591" t="s">
        <v>268</v>
      </c>
      <c r="G591" s="21">
        <v>0</v>
      </c>
      <c r="H591" s="21">
        <v>0</v>
      </c>
      <c r="I591" s="21">
        <v>0</v>
      </c>
      <c r="J591" s="21">
        <v>0</v>
      </c>
      <c r="K591" s="21">
        <v>0</v>
      </c>
      <c r="L591" s="21">
        <v>0</v>
      </c>
      <c r="M591" s="21">
        <v>0</v>
      </c>
      <c r="N591" s="21">
        <v>0</v>
      </c>
      <c r="O591" s="21">
        <v>0</v>
      </c>
      <c r="P591" s="21">
        <v>0</v>
      </c>
      <c r="Q591" s="21">
        <v>0</v>
      </c>
      <c r="R591" s="23">
        <v>0</v>
      </c>
      <c r="S591" s="23">
        <v>0</v>
      </c>
      <c r="T591" s="23">
        <v>0</v>
      </c>
      <c r="U591" s="23">
        <v>0</v>
      </c>
      <c r="V591" s="23">
        <v>0</v>
      </c>
      <c r="W591" s="23">
        <v>0</v>
      </c>
      <c r="X591" s="23">
        <v>0</v>
      </c>
      <c r="Y591" s="23">
        <v>0</v>
      </c>
      <c r="Z591" s="23">
        <v>0</v>
      </c>
      <c r="AA591" s="23">
        <v>0</v>
      </c>
      <c r="AB591" s="23">
        <v>0</v>
      </c>
      <c r="AC591" s="25">
        <v>0</v>
      </c>
      <c r="AD591" s="25">
        <v>0</v>
      </c>
      <c r="AE591" s="25">
        <v>0</v>
      </c>
      <c r="AF591" s="25">
        <v>0</v>
      </c>
      <c r="AG591" s="25">
        <v>0</v>
      </c>
      <c r="AH591" s="25">
        <v>0</v>
      </c>
      <c r="AI591" s="25">
        <v>0</v>
      </c>
      <c r="AJ591" s="25">
        <v>0</v>
      </c>
      <c r="AK591" s="25">
        <v>0</v>
      </c>
      <c r="AL591" s="25">
        <v>0</v>
      </c>
      <c r="AM591" s="25">
        <v>0</v>
      </c>
    </row>
    <row r="592" spans="1:39" ht="15" customHeight="1">
      <c r="A592" s="32" t="str">
        <f t="shared" si="23"/>
        <v>Endeavour--POLES / COLUMNS ; MINOR ROAD</v>
      </c>
      <c r="B592" s="32" t="str">
        <f t="shared" si="24"/>
        <v>Endeavour</v>
      </c>
      <c r="C592" s="32" t="s">
        <v>1134</v>
      </c>
      <c r="D592" s="395"/>
      <c r="F592" t="s">
        <v>269</v>
      </c>
      <c r="G592" s="21">
        <v>0</v>
      </c>
      <c r="H592" s="21">
        <v>0</v>
      </c>
      <c r="I592" s="21">
        <v>0</v>
      </c>
      <c r="J592" s="21">
        <v>0</v>
      </c>
      <c r="K592" s="21">
        <v>0</v>
      </c>
      <c r="L592" s="21">
        <v>0</v>
      </c>
      <c r="M592" s="21">
        <v>0</v>
      </c>
      <c r="N592" s="21">
        <v>0</v>
      </c>
      <c r="O592" s="21">
        <v>0</v>
      </c>
      <c r="P592" s="21">
        <v>0</v>
      </c>
      <c r="Q592" s="21">
        <v>0</v>
      </c>
      <c r="R592" s="23">
        <v>0</v>
      </c>
      <c r="S592" s="23">
        <v>0</v>
      </c>
      <c r="T592" s="23">
        <v>0</v>
      </c>
      <c r="U592" s="23">
        <v>0</v>
      </c>
      <c r="V592" s="23">
        <v>0</v>
      </c>
      <c r="W592" s="23">
        <v>0</v>
      </c>
      <c r="X592" s="23">
        <v>0</v>
      </c>
      <c r="Y592" s="23">
        <v>0</v>
      </c>
      <c r="Z592" s="23">
        <v>0</v>
      </c>
      <c r="AA592" s="23">
        <v>0</v>
      </c>
      <c r="AB592" s="23">
        <v>0</v>
      </c>
      <c r="AC592" s="25">
        <v>0</v>
      </c>
      <c r="AD592" s="25">
        <v>0</v>
      </c>
      <c r="AE592" s="25">
        <v>0</v>
      </c>
      <c r="AF592" s="25">
        <v>0</v>
      </c>
      <c r="AG592" s="25">
        <v>0</v>
      </c>
      <c r="AH592" s="25">
        <v>0</v>
      </c>
      <c r="AI592" s="25">
        <v>0</v>
      </c>
      <c r="AJ592" s="25">
        <v>0</v>
      </c>
      <c r="AK592" s="25">
        <v>0</v>
      </c>
      <c r="AL592" s="25">
        <v>0</v>
      </c>
      <c r="AM592" s="25">
        <v>0</v>
      </c>
    </row>
    <row r="593" spans="1:39" ht="15" customHeight="1">
      <c r="A593" s="32" t="str">
        <f t="shared" si="23"/>
        <v>Endeavour--Streetlights</v>
      </c>
      <c r="B593" s="32" t="str">
        <f t="shared" si="24"/>
        <v>Endeavour</v>
      </c>
      <c r="C593" s="32" t="s">
        <v>1135</v>
      </c>
      <c r="D593" s="395"/>
      <c r="F593" t="s">
        <v>601</v>
      </c>
      <c r="G593" s="21">
        <v>4058.7710000000002</v>
      </c>
      <c r="H593" s="21">
        <v>3920.3960000000002</v>
      </c>
      <c r="I593" s="21">
        <v>4334.3710000000001</v>
      </c>
      <c r="J593" s="21">
        <v>5526.9709999999995</v>
      </c>
      <c r="K593" s="21">
        <v>5710.1949999999997</v>
      </c>
      <c r="L593" s="21">
        <v>3954.0909999999999</v>
      </c>
      <c r="M593" s="21">
        <v>6258.5780000000004</v>
      </c>
      <c r="N593" s="21">
        <v>5960.9759999999997</v>
      </c>
      <c r="O593" s="21">
        <v>5960.9759999999997</v>
      </c>
      <c r="P593" s="21">
        <v>5960.9759999999997</v>
      </c>
      <c r="Q593" s="21">
        <v>5960.9759999999997</v>
      </c>
      <c r="R593" s="23">
        <v>821</v>
      </c>
      <c r="S593" s="23">
        <v>513</v>
      </c>
      <c r="T593" s="23">
        <v>840</v>
      </c>
      <c r="U593" s="23">
        <v>798</v>
      </c>
      <c r="V593" s="23">
        <v>808</v>
      </c>
      <c r="W593" s="23">
        <v>635</v>
      </c>
      <c r="X593" s="23">
        <v>1005</v>
      </c>
      <c r="Y593" s="23">
        <v>957</v>
      </c>
      <c r="Z593" s="23">
        <v>957</v>
      </c>
      <c r="AA593" s="23">
        <v>957</v>
      </c>
      <c r="AB593" s="23">
        <v>957</v>
      </c>
      <c r="AC593" s="25">
        <v>0</v>
      </c>
      <c r="AD593" s="25">
        <v>0</v>
      </c>
      <c r="AE593" s="25">
        <v>0</v>
      </c>
      <c r="AF593" s="25">
        <v>0</v>
      </c>
      <c r="AG593" s="25">
        <v>0</v>
      </c>
      <c r="AH593" s="25">
        <v>0</v>
      </c>
      <c r="AI593" s="25">
        <v>0</v>
      </c>
      <c r="AJ593" s="25">
        <v>0</v>
      </c>
      <c r="AK593" s="25">
        <v>0</v>
      </c>
      <c r="AL593" s="25">
        <v>0</v>
      </c>
      <c r="AM593" s="25">
        <v>0</v>
      </c>
    </row>
    <row r="594" spans="1:39" ht="45" customHeight="1">
      <c r="A594" s="32" t="str">
        <f t="shared" si="23"/>
        <v>Endeavour-SCADA, NETWORK CONTROL AND PROTECTION SYSTEMS BY: 
FUNCTION-FIELD DEVICES</v>
      </c>
      <c r="B594" s="32" t="str">
        <f t="shared" si="24"/>
        <v>Endeavour</v>
      </c>
      <c r="C594" s="32" t="s">
        <v>659</v>
      </c>
      <c r="D594" s="395"/>
      <c r="E594" s="3" t="s">
        <v>548</v>
      </c>
      <c r="F594" t="s">
        <v>272</v>
      </c>
      <c r="G594" s="21">
        <v>0</v>
      </c>
      <c r="H594" s="21">
        <v>0</v>
      </c>
      <c r="I594" s="21">
        <v>0</v>
      </c>
      <c r="J594" s="21">
        <v>0</v>
      </c>
      <c r="K594" s="21">
        <v>0</v>
      </c>
      <c r="L594" s="21">
        <v>0</v>
      </c>
      <c r="M594" s="21">
        <v>0</v>
      </c>
      <c r="N594" s="21">
        <v>0</v>
      </c>
      <c r="O594" s="21">
        <v>0</v>
      </c>
      <c r="P594" s="21">
        <v>0</v>
      </c>
      <c r="Q594" s="21">
        <v>0</v>
      </c>
      <c r="R594" s="23">
        <v>0</v>
      </c>
      <c r="S594" s="23">
        <v>0</v>
      </c>
      <c r="T594" s="23">
        <v>0</v>
      </c>
      <c r="U594" s="23">
        <v>0</v>
      </c>
      <c r="V594" s="23">
        <v>0</v>
      </c>
      <c r="W594" s="23">
        <v>0</v>
      </c>
      <c r="X594" s="23">
        <v>0</v>
      </c>
      <c r="Y594" s="23">
        <v>0</v>
      </c>
      <c r="Z594" s="23">
        <v>0</v>
      </c>
      <c r="AA594" s="23">
        <v>0</v>
      </c>
      <c r="AB594" s="23">
        <v>0</v>
      </c>
      <c r="AC594" s="25">
        <v>0</v>
      </c>
      <c r="AD594" s="25">
        <v>0</v>
      </c>
      <c r="AE594" s="25">
        <v>0</v>
      </c>
      <c r="AF594" s="25">
        <v>0</v>
      </c>
      <c r="AG594" s="25">
        <v>0</v>
      </c>
      <c r="AH594" s="25">
        <v>0</v>
      </c>
      <c r="AI594" s="25">
        <v>0</v>
      </c>
      <c r="AJ594" s="25">
        <v>0</v>
      </c>
      <c r="AK594" s="25">
        <v>0</v>
      </c>
      <c r="AL594" s="25">
        <v>0</v>
      </c>
      <c r="AM594" s="25">
        <v>0</v>
      </c>
    </row>
    <row r="595" spans="1:39" ht="15" customHeight="1">
      <c r="A595" s="32" t="str">
        <f t="shared" si="23"/>
        <v>Endeavour--LOCAL NETWORK WIRING ASSETS</v>
      </c>
      <c r="B595" s="32" t="str">
        <f t="shared" si="24"/>
        <v>Endeavour</v>
      </c>
      <c r="C595" s="32" t="s">
        <v>659</v>
      </c>
      <c r="D595" s="395"/>
      <c r="F595" t="s">
        <v>273</v>
      </c>
      <c r="G595" s="21">
        <v>0</v>
      </c>
      <c r="H595" s="21">
        <v>0</v>
      </c>
      <c r="I595" s="21">
        <v>0</v>
      </c>
      <c r="J595" s="21">
        <v>0</v>
      </c>
      <c r="K595" s="21">
        <v>0</v>
      </c>
      <c r="L595" s="21">
        <v>0</v>
      </c>
      <c r="M595" s="21">
        <v>0</v>
      </c>
      <c r="N595" s="21">
        <v>0</v>
      </c>
      <c r="O595" s="21">
        <v>0</v>
      </c>
      <c r="P595" s="21">
        <v>0</v>
      </c>
      <c r="Q595" s="21">
        <v>0</v>
      </c>
      <c r="R595" s="23">
        <v>0</v>
      </c>
      <c r="S595" s="23">
        <v>0</v>
      </c>
      <c r="T595" s="23">
        <v>0</v>
      </c>
      <c r="U595" s="23">
        <v>0</v>
      </c>
      <c r="V595" s="23">
        <v>0</v>
      </c>
      <c r="W595" s="23">
        <v>0</v>
      </c>
      <c r="X595" s="23">
        <v>0</v>
      </c>
      <c r="Y595" s="23">
        <v>0</v>
      </c>
      <c r="Z595" s="23">
        <v>0</v>
      </c>
      <c r="AA595" s="23">
        <v>0</v>
      </c>
      <c r="AB595" s="23">
        <v>0</v>
      </c>
      <c r="AC595" s="25">
        <v>0</v>
      </c>
      <c r="AD595" s="25">
        <v>0</v>
      </c>
      <c r="AE595" s="25">
        <v>0</v>
      </c>
      <c r="AF595" s="25">
        <v>0</v>
      </c>
      <c r="AG595" s="25">
        <v>0</v>
      </c>
      <c r="AH595" s="25">
        <v>0</v>
      </c>
      <c r="AI595" s="25">
        <v>0</v>
      </c>
      <c r="AJ595" s="25">
        <v>0</v>
      </c>
      <c r="AK595" s="25">
        <v>0</v>
      </c>
      <c r="AL595" s="25">
        <v>0</v>
      </c>
      <c r="AM595" s="25">
        <v>0</v>
      </c>
    </row>
    <row r="596" spans="1:39" ht="15" customHeight="1">
      <c r="A596" s="32" t="str">
        <f t="shared" si="23"/>
        <v>Endeavour--COMMUNICATIONS NETWORK ASSETS</v>
      </c>
      <c r="B596" s="32" t="str">
        <f t="shared" si="24"/>
        <v>Endeavour</v>
      </c>
      <c r="C596" s="32" t="s">
        <v>659</v>
      </c>
      <c r="D596" s="395"/>
      <c r="F596" t="s">
        <v>274</v>
      </c>
      <c r="G596" s="21">
        <v>0</v>
      </c>
      <c r="H596" s="21">
        <v>0</v>
      </c>
      <c r="I596" s="21">
        <v>0</v>
      </c>
      <c r="J596" s="21">
        <v>0</v>
      </c>
      <c r="K596" s="21">
        <v>0</v>
      </c>
      <c r="L596" s="21">
        <v>0</v>
      </c>
      <c r="M596" s="21">
        <v>0</v>
      </c>
      <c r="N596" s="21">
        <v>0</v>
      </c>
      <c r="O596" s="21">
        <v>0</v>
      </c>
      <c r="P596" s="21">
        <v>0</v>
      </c>
      <c r="Q596" s="21">
        <v>0</v>
      </c>
      <c r="R596" s="23">
        <v>0</v>
      </c>
      <c r="S596" s="23">
        <v>0</v>
      </c>
      <c r="T596" s="23">
        <v>0</v>
      </c>
      <c r="U596" s="23">
        <v>0</v>
      </c>
      <c r="V596" s="23">
        <v>0</v>
      </c>
      <c r="W596" s="23">
        <v>0</v>
      </c>
      <c r="X596" s="23">
        <v>0</v>
      </c>
      <c r="Y596" s="23">
        <v>0</v>
      </c>
      <c r="Z596" s="23">
        <v>0</v>
      </c>
      <c r="AA596" s="23">
        <v>0</v>
      </c>
      <c r="AB596" s="23">
        <v>0</v>
      </c>
      <c r="AC596" s="25">
        <v>0</v>
      </c>
      <c r="AD596" s="25">
        <v>0</v>
      </c>
      <c r="AE596" s="25">
        <v>0</v>
      </c>
      <c r="AF596" s="25">
        <v>0</v>
      </c>
      <c r="AG596" s="25">
        <v>0</v>
      </c>
      <c r="AH596" s="25">
        <v>0</v>
      </c>
      <c r="AI596" s="25">
        <v>0</v>
      </c>
      <c r="AJ596" s="25">
        <v>0</v>
      </c>
      <c r="AK596" s="25">
        <v>0</v>
      </c>
      <c r="AL596" s="25">
        <v>0</v>
      </c>
      <c r="AM596" s="25">
        <v>0</v>
      </c>
    </row>
    <row r="597" spans="1:39" ht="15" customHeight="1">
      <c r="A597" s="32" t="str">
        <f t="shared" si="23"/>
        <v>Endeavour--MASTER STATION ASSETS</v>
      </c>
      <c r="B597" s="32" t="str">
        <f t="shared" si="24"/>
        <v>Endeavour</v>
      </c>
      <c r="C597" s="32" t="s">
        <v>659</v>
      </c>
      <c r="D597" s="395"/>
      <c r="F597" t="s">
        <v>275</v>
      </c>
      <c r="G597" s="21">
        <v>0</v>
      </c>
      <c r="H597" s="21">
        <v>0</v>
      </c>
      <c r="I597" s="21">
        <v>0</v>
      </c>
      <c r="J597" s="21">
        <v>0</v>
      </c>
      <c r="K597" s="21">
        <v>0</v>
      </c>
      <c r="L597" s="21">
        <v>0</v>
      </c>
      <c r="M597" s="21">
        <v>0</v>
      </c>
      <c r="N597" s="21">
        <v>0</v>
      </c>
      <c r="O597" s="21">
        <v>0</v>
      </c>
      <c r="P597" s="21">
        <v>0</v>
      </c>
      <c r="Q597" s="21">
        <v>0</v>
      </c>
      <c r="R597" s="23">
        <v>0</v>
      </c>
      <c r="S597" s="23">
        <v>0</v>
      </c>
      <c r="T597" s="23">
        <v>0</v>
      </c>
      <c r="U597" s="23">
        <v>0</v>
      </c>
      <c r="V597" s="23">
        <v>0</v>
      </c>
      <c r="W597" s="23">
        <v>0</v>
      </c>
      <c r="X597" s="23">
        <v>0</v>
      </c>
      <c r="Y597" s="23">
        <v>0</v>
      </c>
      <c r="Z597" s="23">
        <v>0</v>
      </c>
      <c r="AA597" s="23">
        <v>0</v>
      </c>
      <c r="AB597" s="23">
        <v>0</v>
      </c>
      <c r="AC597" s="25">
        <v>0</v>
      </c>
      <c r="AD597" s="25">
        <v>0</v>
      </c>
      <c r="AE597" s="25">
        <v>0</v>
      </c>
      <c r="AF597" s="25">
        <v>0</v>
      </c>
      <c r="AG597" s="25">
        <v>0</v>
      </c>
      <c r="AH597" s="25">
        <v>0</v>
      </c>
      <c r="AI597" s="25">
        <v>0</v>
      </c>
      <c r="AJ597" s="25">
        <v>0</v>
      </c>
      <c r="AK597" s="25">
        <v>0</v>
      </c>
      <c r="AL597" s="25">
        <v>0</v>
      </c>
      <c r="AM597" s="25">
        <v>0</v>
      </c>
    </row>
    <row r="598" spans="1:39" ht="15" customHeight="1">
      <c r="A598" s="32" t="str">
        <f t="shared" si="23"/>
        <v>Endeavour--SCADA Sub sites</v>
      </c>
      <c r="B598" s="32" t="str">
        <f t="shared" si="24"/>
        <v>Endeavour</v>
      </c>
      <c r="C598" s="32" t="s">
        <v>659</v>
      </c>
      <c r="D598" s="395"/>
      <c r="F598" t="s">
        <v>602</v>
      </c>
      <c r="G598" s="21">
        <v>4400.1440000000002</v>
      </c>
      <c r="H598" s="21">
        <v>3913.9389999999999</v>
      </c>
      <c r="I598" s="21">
        <v>2697.11</v>
      </c>
      <c r="J598" s="21">
        <v>4260.1719999999996</v>
      </c>
      <c r="K598" s="21">
        <v>3384.7379999999998</v>
      </c>
      <c r="L598" s="21">
        <v>7214.3469999999998</v>
      </c>
      <c r="M598" s="21">
        <v>5852.5060000000003</v>
      </c>
      <c r="N598" s="21">
        <v>8643.7669999999998</v>
      </c>
      <c r="O598" s="21">
        <v>8347.5419999999995</v>
      </c>
      <c r="P598" s="21">
        <v>8595.7710000000006</v>
      </c>
      <c r="Q598" s="21">
        <v>8397.0380000000005</v>
      </c>
      <c r="R598" s="23">
        <v>4</v>
      </c>
      <c r="S598" s="23">
        <v>3</v>
      </c>
      <c r="T598" s="23">
        <v>2</v>
      </c>
      <c r="U598" s="23">
        <v>6</v>
      </c>
      <c r="V598" s="23">
        <v>1</v>
      </c>
      <c r="W598" s="23">
        <v>6</v>
      </c>
      <c r="X598" s="23">
        <v>5</v>
      </c>
      <c r="Y598" s="23">
        <v>7</v>
      </c>
      <c r="Z598" s="23">
        <v>7</v>
      </c>
      <c r="AA598" s="23">
        <v>7</v>
      </c>
      <c r="AB598" s="23">
        <v>7</v>
      </c>
      <c r="AC598" s="25">
        <v>0</v>
      </c>
      <c r="AD598" s="25">
        <v>0</v>
      </c>
      <c r="AE598" s="25">
        <v>0</v>
      </c>
      <c r="AF598" s="25">
        <v>0</v>
      </c>
      <c r="AG598" s="25">
        <v>0</v>
      </c>
      <c r="AH598" s="25">
        <v>0</v>
      </c>
      <c r="AI598" s="25">
        <v>0</v>
      </c>
      <c r="AJ598" s="25">
        <v>0</v>
      </c>
      <c r="AK598" s="25">
        <v>0</v>
      </c>
      <c r="AL598" s="25">
        <v>0</v>
      </c>
      <c r="AM598" s="25">
        <v>0</v>
      </c>
    </row>
    <row r="599" spans="1:39" ht="15" customHeight="1">
      <c r="A599" s="32" t="str">
        <f t="shared" si="23"/>
        <v>Endeavour--Microwave Towers</v>
      </c>
      <c r="B599" s="32" t="str">
        <f t="shared" si="24"/>
        <v>Endeavour</v>
      </c>
      <c r="C599" s="32" t="s">
        <v>659</v>
      </c>
      <c r="D599" s="395"/>
      <c r="F599" t="s">
        <v>603</v>
      </c>
      <c r="G599" s="21">
        <v>166.40700000000001</v>
      </c>
      <c r="H599" s="21">
        <v>0</v>
      </c>
      <c r="I599" s="21">
        <v>0</v>
      </c>
      <c r="J599" s="21">
        <v>0</v>
      </c>
      <c r="K599" s="21">
        <v>0</v>
      </c>
      <c r="L599" s="21">
        <v>64.349999999999994</v>
      </c>
      <c r="M599" s="21">
        <v>52.203000000000003</v>
      </c>
      <c r="N599" s="21">
        <v>77.099999999999994</v>
      </c>
      <c r="O599" s="21">
        <v>74.457999999999998</v>
      </c>
      <c r="P599" s="21">
        <v>76.671999999999997</v>
      </c>
      <c r="Q599" s="21">
        <v>74.899000000000001</v>
      </c>
      <c r="R599" s="23">
        <v>1</v>
      </c>
      <c r="S599" s="23">
        <v>0</v>
      </c>
      <c r="T599" s="23">
        <v>0</v>
      </c>
      <c r="U599" s="23">
        <v>0</v>
      </c>
      <c r="V599" s="23">
        <v>0</v>
      </c>
      <c r="W599" s="23">
        <v>0</v>
      </c>
      <c r="X599" s="23">
        <v>0</v>
      </c>
      <c r="Y599" s="23">
        <v>0</v>
      </c>
      <c r="Z599" s="23">
        <v>0</v>
      </c>
      <c r="AA599" s="23">
        <v>0</v>
      </c>
      <c r="AB599" s="23">
        <v>0</v>
      </c>
      <c r="AC599" s="25">
        <v>0</v>
      </c>
      <c r="AD599" s="25">
        <v>0</v>
      </c>
      <c r="AE599" s="25">
        <v>0</v>
      </c>
      <c r="AF599" s="25">
        <v>0</v>
      </c>
      <c r="AG599" s="25">
        <v>0</v>
      </c>
      <c r="AH599" s="25">
        <v>0</v>
      </c>
      <c r="AI599" s="25">
        <v>0</v>
      </c>
      <c r="AJ599" s="25">
        <v>0</v>
      </c>
      <c r="AK599" s="25">
        <v>0</v>
      </c>
      <c r="AL599" s="25">
        <v>0</v>
      </c>
      <c r="AM599" s="25">
        <v>0</v>
      </c>
    </row>
    <row r="600" spans="1:39" ht="15" customHeight="1">
      <c r="A600" s="32" t="str">
        <f t="shared" si="23"/>
        <v>Endeavour--Microwave Civil Works</v>
      </c>
      <c r="B600" s="32" t="str">
        <f t="shared" si="24"/>
        <v>Endeavour</v>
      </c>
      <c r="C600" s="32" t="s">
        <v>659</v>
      </c>
      <c r="D600" s="395"/>
      <c r="F600" t="s">
        <v>604</v>
      </c>
      <c r="G600" s="21">
        <v>166.40700000000001</v>
      </c>
      <c r="H600" s="21">
        <v>0</v>
      </c>
      <c r="I600" s="21">
        <v>0</v>
      </c>
      <c r="J600" s="21">
        <v>0</v>
      </c>
      <c r="K600" s="21">
        <v>0</v>
      </c>
      <c r="L600" s="21">
        <v>64.349999999999994</v>
      </c>
      <c r="M600" s="21">
        <v>52.203000000000003</v>
      </c>
      <c r="N600" s="21">
        <v>77.099999999999994</v>
      </c>
      <c r="O600" s="21">
        <v>74.457999999999998</v>
      </c>
      <c r="P600" s="21">
        <v>76.671999999999997</v>
      </c>
      <c r="Q600" s="21">
        <v>74.899000000000001</v>
      </c>
      <c r="R600" s="23">
        <v>1</v>
      </c>
      <c r="S600" s="23">
        <v>0</v>
      </c>
      <c r="T600" s="23">
        <v>0</v>
      </c>
      <c r="U600" s="23">
        <v>0</v>
      </c>
      <c r="V600" s="23">
        <v>0</v>
      </c>
      <c r="W600" s="23">
        <v>0</v>
      </c>
      <c r="X600" s="23">
        <v>0</v>
      </c>
      <c r="Y600" s="23">
        <v>0</v>
      </c>
      <c r="Z600" s="23">
        <v>0</v>
      </c>
      <c r="AA600" s="23">
        <v>0</v>
      </c>
      <c r="AB600" s="23">
        <v>0</v>
      </c>
      <c r="AC600" s="25">
        <v>0</v>
      </c>
      <c r="AD600" s="25">
        <v>0</v>
      </c>
      <c r="AE600" s="25">
        <v>0</v>
      </c>
      <c r="AF600" s="25">
        <v>0</v>
      </c>
      <c r="AG600" s="25">
        <v>0</v>
      </c>
      <c r="AH600" s="25">
        <v>0</v>
      </c>
      <c r="AI600" s="25">
        <v>0</v>
      </c>
      <c r="AJ600" s="25">
        <v>0</v>
      </c>
      <c r="AK600" s="25">
        <v>0</v>
      </c>
      <c r="AL600" s="25">
        <v>0</v>
      </c>
      <c r="AM600" s="25">
        <v>0</v>
      </c>
    </row>
    <row r="601" spans="1:39" ht="15" customHeight="1">
      <c r="A601" s="32" t="str">
        <f t="shared" si="23"/>
        <v>Endeavour--Microwave Equipment</v>
      </c>
      <c r="B601" s="32" t="str">
        <f t="shared" si="24"/>
        <v>Endeavour</v>
      </c>
      <c r="C601" s="32" t="s">
        <v>659</v>
      </c>
      <c r="D601" s="395"/>
      <c r="F601" t="s">
        <v>605</v>
      </c>
      <c r="G601" s="21">
        <v>665.62699999999995</v>
      </c>
      <c r="H601" s="21">
        <v>789.43600000000004</v>
      </c>
      <c r="I601" s="21">
        <v>408.00200000000001</v>
      </c>
      <c r="J601" s="21">
        <v>214.81800000000001</v>
      </c>
      <c r="K601" s="21">
        <v>1024.0450000000001</v>
      </c>
      <c r="L601" s="21">
        <v>1199.521</v>
      </c>
      <c r="M601" s="21">
        <v>973.08900000000006</v>
      </c>
      <c r="N601" s="21">
        <v>1437.1890000000001</v>
      </c>
      <c r="O601" s="21">
        <v>1387.9359999999999</v>
      </c>
      <c r="P601" s="21">
        <v>1429.2080000000001</v>
      </c>
      <c r="Q601" s="21">
        <v>1396.165</v>
      </c>
      <c r="R601" s="23">
        <v>2</v>
      </c>
      <c r="S601" s="23">
        <v>2</v>
      </c>
      <c r="T601" s="23">
        <v>1</v>
      </c>
      <c r="U601" s="23">
        <v>1</v>
      </c>
      <c r="V601" s="23">
        <v>1</v>
      </c>
      <c r="W601" s="23">
        <v>3</v>
      </c>
      <c r="X601" s="23">
        <v>2</v>
      </c>
      <c r="Y601" s="23">
        <v>3</v>
      </c>
      <c r="Z601" s="23">
        <v>3</v>
      </c>
      <c r="AA601" s="23">
        <v>3</v>
      </c>
      <c r="AB601" s="23">
        <v>3</v>
      </c>
      <c r="AC601" s="25">
        <v>0</v>
      </c>
      <c r="AD601" s="25">
        <v>0</v>
      </c>
      <c r="AE601" s="25">
        <v>0</v>
      </c>
      <c r="AF601" s="25">
        <v>0</v>
      </c>
      <c r="AG601" s="25">
        <v>0</v>
      </c>
      <c r="AH601" s="25">
        <v>0</v>
      </c>
      <c r="AI601" s="25">
        <v>0</v>
      </c>
      <c r="AJ601" s="25">
        <v>0</v>
      </c>
      <c r="AK601" s="25">
        <v>0</v>
      </c>
      <c r="AL601" s="25">
        <v>0</v>
      </c>
      <c r="AM601" s="25">
        <v>0</v>
      </c>
    </row>
    <row r="602" spans="1:39" ht="15" customHeight="1">
      <c r="A602" s="32" t="str">
        <f t="shared" si="23"/>
        <v>Endeavour--Reclosers</v>
      </c>
      <c r="B602" s="32" t="str">
        <f t="shared" si="24"/>
        <v>Endeavour</v>
      </c>
      <c r="C602" s="32" t="s">
        <v>659</v>
      </c>
      <c r="D602" s="395"/>
      <c r="F602" t="s">
        <v>606</v>
      </c>
      <c r="G602" s="21">
        <v>166.40700000000001</v>
      </c>
      <c r="H602" s="21">
        <v>19.736000000000001</v>
      </c>
      <c r="I602" s="21">
        <v>285.60199999999998</v>
      </c>
      <c r="J602" s="21">
        <v>139.631</v>
      </c>
      <c r="K602" s="21">
        <v>409.61799999999999</v>
      </c>
      <c r="L602" s="21">
        <v>394.82</v>
      </c>
      <c r="M602" s="21">
        <v>320.29000000000002</v>
      </c>
      <c r="N602" s="21">
        <v>473.048</v>
      </c>
      <c r="O602" s="21">
        <v>456.83600000000001</v>
      </c>
      <c r="P602" s="21">
        <v>470.42099999999999</v>
      </c>
      <c r="Q602" s="21">
        <v>459.54500000000002</v>
      </c>
      <c r="R602" s="23">
        <v>10</v>
      </c>
      <c r="S602" s="23">
        <v>1</v>
      </c>
      <c r="T602" s="23">
        <v>14</v>
      </c>
      <c r="U602" s="23">
        <v>13</v>
      </c>
      <c r="V602" s="23">
        <v>8</v>
      </c>
      <c r="W602" s="23">
        <v>18</v>
      </c>
      <c r="X602" s="23">
        <v>14</v>
      </c>
      <c r="Y602" s="23">
        <v>21</v>
      </c>
      <c r="Z602" s="23">
        <v>21</v>
      </c>
      <c r="AA602" s="23">
        <v>21</v>
      </c>
      <c r="AB602" s="23">
        <v>21</v>
      </c>
      <c r="AC602" s="25">
        <v>0</v>
      </c>
      <c r="AD602" s="25">
        <v>0</v>
      </c>
      <c r="AE602" s="25">
        <v>0</v>
      </c>
      <c r="AF602" s="25">
        <v>0</v>
      </c>
      <c r="AG602" s="25">
        <v>0</v>
      </c>
      <c r="AH602" s="25">
        <v>0</v>
      </c>
      <c r="AI602" s="25">
        <v>0</v>
      </c>
      <c r="AJ602" s="25">
        <v>0</v>
      </c>
      <c r="AK602" s="25">
        <v>0</v>
      </c>
      <c r="AL602" s="25">
        <v>0</v>
      </c>
      <c r="AM602" s="25">
        <v>0</v>
      </c>
    </row>
    <row r="603" spans="1:39" ht="15" customHeight="1">
      <c r="A603" s="32" t="str">
        <f t="shared" si="23"/>
        <v>Endeavour--Repeaters</v>
      </c>
      <c r="B603" s="32" t="str">
        <f t="shared" si="24"/>
        <v>Endeavour</v>
      </c>
      <c r="C603" s="32" t="s">
        <v>659</v>
      </c>
      <c r="D603" s="395"/>
      <c r="F603" t="s">
        <v>607</v>
      </c>
      <c r="G603" s="21">
        <v>100.194</v>
      </c>
      <c r="H603" s="21">
        <v>59.414999999999999</v>
      </c>
      <c r="I603" s="21">
        <v>61.414999999999999</v>
      </c>
      <c r="J603" s="21">
        <v>0</v>
      </c>
      <c r="K603" s="21">
        <v>154.14599999999999</v>
      </c>
      <c r="L603" s="21">
        <v>145.07900000000001</v>
      </c>
      <c r="M603" s="21">
        <v>117.693</v>
      </c>
      <c r="N603" s="21">
        <v>173.82499999999999</v>
      </c>
      <c r="O603" s="21">
        <v>167.86799999999999</v>
      </c>
      <c r="P603" s="21">
        <v>172.85900000000001</v>
      </c>
      <c r="Q603" s="21">
        <v>168.863</v>
      </c>
      <c r="R603" s="23">
        <v>2</v>
      </c>
      <c r="S603" s="23">
        <v>1</v>
      </c>
      <c r="T603" s="23">
        <v>1</v>
      </c>
      <c r="U603" s="23">
        <v>0</v>
      </c>
      <c r="V603" s="23">
        <v>1</v>
      </c>
      <c r="W603" s="23">
        <v>2</v>
      </c>
      <c r="X603" s="23">
        <v>2</v>
      </c>
      <c r="Y603" s="23">
        <v>2</v>
      </c>
      <c r="Z603" s="23">
        <v>2</v>
      </c>
      <c r="AA603" s="23">
        <v>2</v>
      </c>
      <c r="AB603" s="23">
        <v>2</v>
      </c>
      <c r="AC603" s="25">
        <v>0</v>
      </c>
      <c r="AD603" s="25">
        <v>0</v>
      </c>
      <c r="AE603" s="25">
        <v>0</v>
      </c>
      <c r="AF603" s="25">
        <v>0</v>
      </c>
      <c r="AG603" s="25">
        <v>0</v>
      </c>
      <c r="AH603" s="25">
        <v>0</v>
      </c>
      <c r="AI603" s="25">
        <v>0</v>
      </c>
      <c r="AJ603" s="25">
        <v>0</v>
      </c>
      <c r="AK603" s="25">
        <v>0</v>
      </c>
      <c r="AL603" s="25">
        <v>0</v>
      </c>
      <c r="AM603" s="25">
        <v>0</v>
      </c>
    </row>
    <row r="604" spans="1:39" ht="15" customHeight="1">
      <c r="A604" s="32" t="str">
        <f t="shared" si="23"/>
        <v>Endeavour--GRN Radios</v>
      </c>
      <c r="B604" s="32" t="str">
        <f t="shared" si="24"/>
        <v>Endeavour</v>
      </c>
      <c r="C604" s="32" t="s">
        <v>659</v>
      </c>
      <c r="D604" s="395"/>
      <c r="F604" t="s">
        <v>608</v>
      </c>
      <c r="G604" s="21">
        <v>184.97399999999999</v>
      </c>
      <c r="H604" s="21">
        <v>119.66200000000001</v>
      </c>
      <c r="I604" s="21">
        <v>391.68200000000002</v>
      </c>
      <c r="J604" s="21">
        <v>86.831999999999994</v>
      </c>
      <c r="K604" s="21">
        <v>0</v>
      </c>
      <c r="L604" s="21">
        <v>302.84500000000003</v>
      </c>
      <c r="M604" s="21">
        <v>245.678</v>
      </c>
      <c r="N604" s="21">
        <v>362.85</v>
      </c>
      <c r="O604" s="21">
        <v>350.41500000000002</v>
      </c>
      <c r="P604" s="21">
        <v>360.83499999999998</v>
      </c>
      <c r="Q604" s="21">
        <v>352.49299999999999</v>
      </c>
      <c r="R604" s="23">
        <v>22</v>
      </c>
      <c r="S604" s="23">
        <v>12</v>
      </c>
      <c r="T604" s="23">
        <v>38</v>
      </c>
      <c r="U604" s="23">
        <v>16</v>
      </c>
      <c r="V604" s="23">
        <v>0</v>
      </c>
      <c r="W604" s="23">
        <v>34</v>
      </c>
      <c r="X604" s="23">
        <v>28</v>
      </c>
      <c r="Y604" s="23">
        <v>41</v>
      </c>
      <c r="Z604" s="23">
        <v>39</v>
      </c>
      <c r="AA604" s="23">
        <v>41</v>
      </c>
      <c r="AB604" s="23">
        <v>40</v>
      </c>
      <c r="AC604" s="25">
        <v>0</v>
      </c>
      <c r="AD604" s="25">
        <v>0</v>
      </c>
      <c r="AE604" s="25">
        <v>0</v>
      </c>
      <c r="AF604" s="25">
        <v>0</v>
      </c>
      <c r="AG604" s="25">
        <v>0</v>
      </c>
      <c r="AH604" s="25">
        <v>0</v>
      </c>
      <c r="AI604" s="25">
        <v>0</v>
      </c>
      <c r="AJ604" s="25">
        <v>0</v>
      </c>
      <c r="AK604" s="25">
        <v>0</v>
      </c>
      <c r="AL604" s="25">
        <v>0</v>
      </c>
      <c r="AM604" s="25">
        <v>0</v>
      </c>
    </row>
    <row r="605" spans="1:39" ht="15" customHeight="1">
      <c r="A605" s="32" t="str">
        <f t="shared" si="23"/>
        <v>Endeavour--Towers</v>
      </c>
      <c r="B605" s="32" t="str">
        <f t="shared" si="24"/>
        <v>Endeavour</v>
      </c>
      <c r="C605" s="32" t="s">
        <v>659</v>
      </c>
      <c r="D605" s="395"/>
      <c r="F605" t="s">
        <v>609</v>
      </c>
      <c r="G605" s="21">
        <v>0</v>
      </c>
      <c r="H605" s="21">
        <v>0</v>
      </c>
      <c r="I605" s="21">
        <v>0</v>
      </c>
      <c r="J605" s="21">
        <v>0</v>
      </c>
      <c r="K605" s="21">
        <v>0</v>
      </c>
      <c r="L605" s="21">
        <v>0</v>
      </c>
      <c r="M605" s="21">
        <v>0</v>
      </c>
      <c r="N605" s="21">
        <v>0</v>
      </c>
      <c r="O605" s="21">
        <v>0</v>
      </c>
      <c r="P605" s="21">
        <v>0</v>
      </c>
      <c r="Q605" s="21">
        <v>0</v>
      </c>
      <c r="R605" s="23">
        <v>0</v>
      </c>
      <c r="S605" s="23">
        <v>0</v>
      </c>
      <c r="T605" s="23">
        <v>0</v>
      </c>
      <c r="U605" s="23">
        <v>0</v>
      </c>
      <c r="V605" s="23">
        <v>0</v>
      </c>
      <c r="W605" s="23">
        <v>0</v>
      </c>
      <c r="X605" s="23">
        <v>0</v>
      </c>
      <c r="Y605" s="23">
        <v>0</v>
      </c>
      <c r="Z605" s="23">
        <v>0</v>
      </c>
      <c r="AA605" s="23">
        <v>0</v>
      </c>
      <c r="AB605" s="23">
        <v>0</v>
      </c>
      <c r="AC605" s="25">
        <v>0</v>
      </c>
      <c r="AD605" s="25">
        <v>0</v>
      </c>
      <c r="AE605" s="25">
        <v>0</v>
      </c>
      <c r="AF605" s="25">
        <v>0</v>
      </c>
      <c r="AG605" s="25">
        <v>0</v>
      </c>
      <c r="AH605" s="25">
        <v>0</v>
      </c>
      <c r="AI605" s="25">
        <v>0</v>
      </c>
      <c r="AJ605" s="25">
        <v>0</v>
      </c>
      <c r="AK605" s="25">
        <v>0</v>
      </c>
      <c r="AL605" s="25">
        <v>0</v>
      </c>
      <c r="AM605" s="25">
        <v>0</v>
      </c>
    </row>
    <row r="606" spans="1:39" ht="15" customHeight="1">
      <c r="A606" s="32" t="str">
        <f t="shared" si="23"/>
        <v>Endeavour--Substation Establishment: Major Indoor</v>
      </c>
      <c r="B606" s="32" t="str">
        <f t="shared" si="24"/>
        <v>Endeavour</v>
      </c>
      <c r="C606" s="32" t="s">
        <v>720</v>
      </c>
      <c r="D606" s="395"/>
      <c r="F606" t="s">
        <v>610</v>
      </c>
      <c r="G606" s="21">
        <v>0</v>
      </c>
      <c r="H606" s="21">
        <v>0</v>
      </c>
      <c r="I606" s="21">
        <v>0</v>
      </c>
      <c r="J606" s="21">
        <v>0</v>
      </c>
      <c r="K606" s="21">
        <v>0</v>
      </c>
      <c r="L606" s="21">
        <v>0</v>
      </c>
      <c r="M606" s="21">
        <v>0</v>
      </c>
      <c r="N606" s="21">
        <v>0</v>
      </c>
      <c r="O606" s="21">
        <v>0</v>
      </c>
      <c r="P606" s="21">
        <v>0</v>
      </c>
      <c r="Q606" s="21">
        <v>0</v>
      </c>
      <c r="R606" s="23">
        <v>0</v>
      </c>
      <c r="S606" s="23">
        <v>0</v>
      </c>
      <c r="T606" s="23">
        <v>0</v>
      </c>
      <c r="U606" s="23">
        <v>0</v>
      </c>
      <c r="V606" s="23">
        <v>0</v>
      </c>
      <c r="W606" s="23">
        <v>0</v>
      </c>
      <c r="X606" s="23">
        <v>0</v>
      </c>
      <c r="Y606" s="23">
        <v>0</v>
      </c>
      <c r="Z606" s="23">
        <v>0</v>
      </c>
      <c r="AA606" s="23">
        <v>0</v>
      </c>
      <c r="AB606" s="23">
        <v>0</v>
      </c>
      <c r="AC606" s="25">
        <v>0</v>
      </c>
      <c r="AD606" s="25">
        <v>0</v>
      </c>
      <c r="AE606" s="25">
        <v>0</v>
      </c>
      <c r="AF606" s="25">
        <v>0</v>
      </c>
      <c r="AG606" s="25">
        <v>0</v>
      </c>
      <c r="AH606" s="25">
        <v>0</v>
      </c>
      <c r="AI606" s="25">
        <v>0</v>
      </c>
      <c r="AJ606" s="25">
        <v>0</v>
      </c>
      <c r="AK606" s="25">
        <v>0</v>
      </c>
      <c r="AL606" s="25">
        <v>0</v>
      </c>
      <c r="AM606" s="25">
        <v>0</v>
      </c>
    </row>
    <row r="607" spans="1:39" ht="15" customHeight="1">
      <c r="A607" s="32" t="str">
        <f t="shared" si="23"/>
        <v>Endeavour--Substation Establishment: Major Outdoor</v>
      </c>
      <c r="B607" s="32" t="str">
        <f t="shared" si="24"/>
        <v>Endeavour</v>
      </c>
      <c r="C607" s="32" t="s">
        <v>720</v>
      </c>
      <c r="D607" s="395"/>
      <c r="F607" t="s">
        <v>611</v>
      </c>
      <c r="G607" s="21">
        <v>0</v>
      </c>
      <c r="H607" s="21">
        <v>0</v>
      </c>
      <c r="I607" s="21">
        <v>0</v>
      </c>
      <c r="J607" s="21">
        <v>0</v>
      </c>
      <c r="K607" s="21">
        <v>0</v>
      </c>
      <c r="L607" s="21">
        <v>0</v>
      </c>
      <c r="M607" s="21">
        <v>0</v>
      </c>
      <c r="N607" s="21">
        <v>0</v>
      </c>
      <c r="O607" s="21">
        <v>0</v>
      </c>
      <c r="P607" s="21">
        <v>0</v>
      </c>
      <c r="Q607" s="21">
        <v>0</v>
      </c>
      <c r="R607" s="23">
        <v>0</v>
      </c>
      <c r="S607" s="23">
        <v>0</v>
      </c>
      <c r="T607" s="23">
        <v>1</v>
      </c>
      <c r="U607" s="23">
        <v>0</v>
      </c>
      <c r="V607" s="23">
        <v>0</v>
      </c>
      <c r="W607" s="23">
        <v>6</v>
      </c>
      <c r="X607" s="23">
        <v>0</v>
      </c>
      <c r="Y607" s="23">
        <v>2</v>
      </c>
      <c r="Z607" s="23">
        <v>4</v>
      </c>
      <c r="AA607" s="23">
        <v>0</v>
      </c>
      <c r="AB607" s="23">
        <v>0</v>
      </c>
      <c r="AC607" s="25">
        <v>0</v>
      </c>
      <c r="AD607" s="25">
        <v>0</v>
      </c>
      <c r="AE607" s="25">
        <v>0</v>
      </c>
      <c r="AF607" s="25">
        <v>0</v>
      </c>
      <c r="AG607" s="25">
        <v>0</v>
      </c>
      <c r="AH607" s="25">
        <v>0</v>
      </c>
      <c r="AI607" s="25">
        <v>0</v>
      </c>
      <c r="AJ607" s="25">
        <v>0</v>
      </c>
      <c r="AK607" s="25">
        <v>0</v>
      </c>
      <c r="AL607" s="25">
        <v>0</v>
      </c>
      <c r="AM607" s="25">
        <v>0</v>
      </c>
    </row>
    <row r="608" spans="1:39" ht="15" customHeight="1">
      <c r="A608" s="32" t="str">
        <f t="shared" si="23"/>
        <v>Endeavour--Substation Establishment: Medium Indoor</v>
      </c>
      <c r="B608" s="32" t="str">
        <f t="shared" si="24"/>
        <v>Endeavour</v>
      </c>
      <c r="C608" s="32" t="s">
        <v>720</v>
      </c>
      <c r="D608" s="395"/>
      <c r="F608" t="s">
        <v>612</v>
      </c>
      <c r="G608" s="21">
        <v>0</v>
      </c>
      <c r="H608" s="21">
        <v>0</v>
      </c>
      <c r="I608" s="21">
        <v>0</v>
      </c>
      <c r="J608" s="21">
        <v>0</v>
      </c>
      <c r="K608" s="21">
        <v>0</v>
      </c>
      <c r="L608" s="21">
        <v>0</v>
      </c>
      <c r="M608" s="21">
        <v>0</v>
      </c>
      <c r="N608" s="21">
        <v>0</v>
      </c>
      <c r="O608" s="21">
        <v>0</v>
      </c>
      <c r="P608" s="21">
        <v>0</v>
      </c>
      <c r="Q608" s="21">
        <v>0</v>
      </c>
      <c r="R608" s="23">
        <v>0</v>
      </c>
      <c r="S608" s="23">
        <v>0</v>
      </c>
      <c r="T608" s="23">
        <v>0</v>
      </c>
      <c r="U608" s="23">
        <v>0</v>
      </c>
      <c r="V608" s="23">
        <v>0</v>
      </c>
      <c r="W608" s="23">
        <v>1</v>
      </c>
      <c r="X608" s="23">
        <v>0</v>
      </c>
      <c r="Y608" s="23">
        <v>0</v>
      </c>
      <c r="Z608" s="23">
        <v>0</v>
      </c>
      <c r="AA608" s="23">
        <v>0</v>
      </c>
      <c r="AB608" s="23">
        <v>0</v>
      </c>
      <c r="AC608" s="25">
        <v>0</v>
      </c>
      <c r="AD608" s="25">
        <v>0</v>
      </c>
      <c r="AE608" s="25">
        <v>0</v>
      </c>
      <c r="AF608" s="25">
        <v>0</v>
      </c>
      <c r="AG608" s="25">
        <v>0</v>
      </c>
      <c r="AH608" s="25">
        <v>0</v>
      </c>
      <c r="AI608" s="25">
        <v>0</v>
      </c>
      <c r="AJ608" s="25">
        <v>0</v>
      </c>
      <c r="AK608" s="25">
        <v>0</v>
      </c>
      <c r="AL608" s="25">
        <v>0</v>
      </c>
      <c r="AM608" s="25">
        <v>0</v>
      </c>
    </row>
    <row r="609" spans="1:39" ht="15" customHeight="1">
      <c r="A609" s="32" t="str">
        <f t="shared" si="23"/>
        <v>Endeavour--Substation Establishment: Medium Outdoor</v>
      </c>
      <c r="B609" s="32" t="str">
        <f t="shared" si="24"/>
        <v>Endeavour</v>
      </c>
      <c r="C609" s="32" t="s">
        <v>720</v>
      </c>
      <c r="D609" s="395"/>
      <c r="F609" t="s">
        <v>613</v>
      </c>
      <c r="G609" s="21">
        <v>0</v>
      </c>
      <c r="H609" s="21">
        <v>0</v>
      </c>
      <c r="I609" s="21">
        <v>0</v>
      </c>
      <c r="J609" s="21">
        <v>0</v>
      </c>
      <c r="K609" s="21">
        <v>0</v>
      </c>
      <c r="L609" s="21">
        <v>0</v>
      </c>
      <c r="M609" s="21">
        <v>0</v>
      </c>
      <c r="N609" s="21">
        <v>0</v>
      </c>
      <c r="O609" s="21">
        <v>0</v>
      </c>
      <c r="P609" s="21">
        <v>0</v>
      </c>
      <c r="Q609" s="21">
        <v>0</v>
      </c>
      <c r="R609" s="23">
        <v>0</v>
      </c>
      <c r="S609" s="23">
        <v>0</v>
      </c>
      <c r="T609" s="23">
        <v>0</v>
      </c>
      <c r="U609" s="23">
        <v>1</v>
      </c>
      <c r="V609" s="23">
        <v>0</v>
      </c>
      <c r="W609" s="23">
        <v>2</v>
      </c>
      <c r="X609" s="23">
        <v>0</v>
      </c>
      <c r="Y609" s="23">
        <v>0</v>
      </c>
      <c r="Z609" s="23">
        <v>0</v>
      </c>
      <c r="AA609" s="23">
        <v>0</v>
      </c>
      <c r="AB609" s="23">
        <v>0</v>
      </c>
      <c r="AC609" s="25">
        <v>0</v>
      </c>
      <c r="AD609" s="25">
        <v>0</v>
      </c>
      <c r="AE609" s="25">
        <v>0</v>
      </c>
      <c r="AF609" s="25">
        <v>0</v>
      </c>
      <c r="AG609" s="25">
        <v>0</v>
      </c>
      <c r="AH609" s="25">
        <v>0</v>
      </c>
      <c r="AI609" s="25">
        <v>0</v>
      </c>
      <c r="AJ609" s="25">
        <v>0</v>
      </c>
      <c r="AK609" s="25">
        <v>0</v>
      </c>
      <c r="AL609" s="25">
        <v>0</v>
      </c>
      <c r="AM609" s="25">
        <v>0</v>
      </c>
    </row>
    <row r="610" spans="1:39" ht="15" customHeight="1">
      <c r="A610" s="32" t="str">
        <f t="shared" si="23"/>
        <v>Endeavour--Substation Establishment: Small Indoor</v>
      </c>
      <c r="B610" s="32" t="str">
        <f t="shared" si="24"/>
        <v>Endeavour</v>
      </c>
      <c r="C610" s="32" t="s">
        <v>720</v>
      </c>
      <c r="D610" s="395"/>
      <c r="F610" t="s">
        <v>614</v>
      </c>
      <c r="G610" s="21">
        <v>0</v>
      </c>
      <c r="H610" s="21">
        <v>0</v>
      </c>
      <c r="I610" s="21">
        <v>0</v>
      </c>
      <c r="J610" s="21">
        <v>0</v>
      </c>
      <c r="K610" s="21">
        <v>0</v>
      </c>
      <c r="L610" s="21">
        <v>0</v>
      </c>
      <c r="M610" s="21">
        <v>0</v>
      </c>
      <c r="N610" s="21">
        <v>0</v>
      </c>
      <c r="O610" s="21">
        <v>0</v>
      </c>
      <c r="P610" s="21">
        <v>0</v>
      </c>
      <c r="Q610" s="21">
        <v>0</v>
      </c>
      <c r="R610" s="23">
        <v>0</v>
      </c>
      <c r="S610" s="23">
        <v>0</v>
      </c>
      <c r="T610" s="23">
        <v>0</v>
      </c>
      <c r="U610" s="23">
        <v>0</v>
      </c>
      <c r="V610" s="23">
        <v>0</v>
      </c>
      <c r="W610" s="23">
        <v>0</v>
      </c>
      <c r="X610" s="23">
        <v>1</v>
      </c>
      <c r="Y610" s="23">
        <v>0</v>
      </c>
      <c r="Z610" s="23">
        <v>0</v>
      </c>
      <c r="AA610" s="23">
        <v>0</v>
      </c>
      <c r="AB610" s="23">
        <v>0</v>
      </c>
      <c r="AC610" s="25">
        <v>0</v>
      </c>
      <c r="AD610" s="25">
        <v>0</v>
      </c>
      <c r="AE610" s="25">
        <v>0</v>
      </c>
      <c r="AF610" s="25">
        <v>0</v>
      </c>
      <c r="AG610" s="25">
        <v>0</v>
      </c>
      <c r="AH610" s="25">
        <v>0</v>
      </c>
      <c r="AI610" s="25">
        <v>0</v>
      </c>
      <c r="AJ610" s="25">
        <v>0</v>
      </c>
      <c r="AK610" s="25">
        <v>0</v>
      </c>
      <c r="AL610" s="25">
        <v>0</v>
      </c>
      <c r="AM610" s="25">
        <v>0</v>
      </c>
    </row>
    <row r="611" spans="1:39" ht="15" customHeight="1">
      <c r="A611" s="32" t="str">
        <f t="shared" si="23"/>
        <v>Endeavour--Substation Establishment: Small Outdoor</v>
      </c>
      <c r="B611" s="32" t="str">
        <f t="shared" si="24"/>
        <v>Endeavour</v>
      </c>
      <c r="C611" s="32" t="s">
        <v>720</v>
      </c>
      <c r="D611" s="395"/>
      <c r="F611" t="s">
        <v>615</v>
      </c>
      <c r="G611" s="21">
        <v>0</v>
      </c>
      <c r="H611" s="21">
        <v>0</v>
      </c>
      <c r="I611" s="21">
        <v>0</v>
      </c>
      <c r="J611" s="21">
        <v>0</v>
      </c>
      <c r="K611" s="21">
        <v>0</v>
      </c>
      <c r="L611" s="21">
        <v>0</v>
      </c>
      <c r="M611" s="21">
        <v>0</v>
      </c>
      <c r="N611" s="21">
        <v>0</v>
      </c>
      <c r="O611" s="21">
        <v>0</v>
      </c>
      <c r="P611" s="21">
        <v>0</v>
      </c>
      <c r="Q611" s="21">
        <v>0</v>
      </c>
      <c r="R611" s="23">
        <v>0</v>
      </c>
      <c r="S611" s="23">
        <v>0</v>
      </c>
      <c r="T611" s="23">
        <v>0</v>
      </c>
      <c r="U611" s="23">
        <v>0</v>
      </c>
      <c r="V611" s="23">
        <v>0</v>
      </c>
      <c r="W611" s="23">
        <v>2</v>
      </c>
      <c r="X611" s="23">
        <v>1</v>
      </c>
      <c r="Y611" s="23">
        <v>0</v>
      </c>
      <c r="Z611" s="23">
        <v>0</v>
      </c>
      <c r="AA611" s="23">
        <v>0</v>
      </c>
      <c r="AB611" s="23">
        <v>0</v>
      </c>
      <c r="AC611" s="25">
        <v>0</v>
      </c>
      <c r="AD611" s="25">
        <v>0</v>
      </c>
      <c r="AE611" s="25">
        <v>0</v>
      </c>
      <c r="AF611" s="25">
        <v>0</v>
      </c>
      <c r="AG611" s="25">
        <v>0</v>
      </c>
      <c r="AH611" s="25">
        <v>0</v>
      </c>
      <c r="AI611" s="25">
        <v>0</v>
      </c>
      <c r="AJ611" s="25">
        <v>0</v>
      </c>
      <c r="AK611" s="25">
        <v>0</v>
      </c>
      <c r="AL611" s="25">
        <v>0</v>
      </c>
      <c r="AM611" s="25">
        <v>0</v>
      </c>
    </row>
    <row r="612" spans="1:39" ht="15" customHeight="1">
      <c r="A612" s="32" t="str">
        <f t="shared" si="23"/>
        <v>Endeavour--Substation Establishment: Type A</v>
      </c>
      <c r="B612" s="32" t="str">
        <f t="shared" si="24"/>
        <v>Endeavour</v>
      </c>
      <c r="C612" s="32" t="s">
        <v>720</v>
      </c>
      <c r="D612" s="395"/>
      <c r="F612" t="s">
        <v>616</v>
      </c>
      <c r="G612" s="21">
        <v>0</v>
      </c>
      <c r="H612" s="21">
        <v>0</v>
      </c>
      <c r="I612" s="21">
        <v>0</v>
      </c>
      <c r="J612" s="21">
        <v>0</v>
      </c>
      <c r="K612" s="21">
        <v>0</v>
      </c>
      <c r="L612" s="21">
        <v>0</v>
      </c>
      <c r="M612" s="21">
        <v>0</v>
      </c>
      <c r="N612" s="21">
        <v>0</v>
      </c>
      <c r="O612" s="21">
        <v>0</v>
      </c>
      <c r="P612" s="21">
        <v>0</v>
      </c>
      <c r="Q612" s="21">
        <v>0</v>
      </c>
      <c r="R612" s="23">
        <v>0</v>
      </c>
      <c r="S612" s="23">
        <v>0</v>
      </c>
      <c r="T612" s="23">
        <v>0</v>
      </c>
      <c r="U612" s="23">
        <v>0</v>
      </c>
      <c r="V612" s="23">
        <v>0</v>
      </c>
      <c r="W612" s="23">
        <v>0</v>
      </c>
      <c r="X612" s="23">
        <v>0</v>
      </c>
      <c r="Y612" s="23">
        <v>0</v>
      </c>
      <c r="Z612" s="23">
        <v>0</v>
      </c>
      <c r="AA612" s="23">
        <v>0</v>
      </c>
      <c r="AB612" s="23">
        <v>0</v>
      </c>
      <c r="AC612" s="25">
        <v>0</v>
      </c>
      <c r="AD612" s="25">
        <v>0</v>
      </c>
      <c r="AE612" s="25">
        <v>0</v>
      </c>
      <c r="AF612" s="25">
        <v>0</v>
      </c>
      <c r="AG612" s="25">
        <v>0</v>
      </c>
      <c r="AH612" s="25">
        <v>0</v>
      </c>
      <c r="AI612" s="25">
        <v>0</v>
      </c>
      <c r="AJ612" s="25">
        <v>0</v>
      </c>
      <c r="AK612" s="25">
        <v>0</v>
      </c>
      <c r="AL612" s="25">
        <v>0</v>
      </c>
      <c r="AM612" s="25">
        <v>0</v>
      </c>
    </row>
    <row r="613" spans="1:39" ht="15" customHeight="1">
      <c r="A613" s="32" t="str">
        <f t="shared" si="23"/>
        <v>Endeavour--Substation Establishment: Type B</v>
      </c>
      <c r="B613" s="32" t="str">
        <f t="shared" si="24"/>
        <v>Endeavour</v>
      </c>
      <c r="C613" s="32" t="s">
        <v>720</v>
      </c>
      <c r="D613" s="395"/>
      <c r="F613" t="s">
        <v>617</v>
      </c>
      <c r="G613" s="21">
        <v>0</v>
      </c>
      <c r="H613" s="21">
        <v>0</v>
      </c>
      <c r="I613" s="21">
        <v>0</v>
      </c>
      <c r="J613" s="21">
        <v>0</v>
      </c>
      <c r="K613" s="21">
        <v>0</v>
      </c>
      <c r="L613" s="21">
        <v>0</v>
      </c>
      <c r="M613" s="21">
        <v>0</v>
      </c>
      <c r="N613" s="21">
        <v>0</v>
      </c>
      <c r="O613" s="21">
        <v>0</v>
      </c>
      <c r="P613" s="21">
        <v>0</v>
      </c>
      <c r="Q613" s="21">
        <v>0</v>
      </c>
      <c r="R613" s="23">
        <v>1</v>
      </c>
      <c r="S613" s="23">
        <v>0</v>
      </c>
      <c r="T613" s="23">
        <v>0</v>
      </c>
      <c r="U613" s="23">
        <v>0</v>
      </c>
      <c r="V613" s="23">
        <v>0</v>
      </c>
      <c r="W613" s="23">
        <v>0</v>
      </c>
      <c r="X613" s="23">
        <v>1</v>
      </c>
      <c r="Y613" s="23">
        <v>0</v>
      </c>
      <c r="Z613" s="23">
        <v>0</v>
      </c>
      <c r="AA613" s="23">
        <v>0</v>
      </c>
      <c r="AB613" s="23">
        <v>0</v>
      </c>
      <c r="AC613" s="25">
        <v>0</v>
      </c>
      <c r="AD613" s="25">
        <v>0</v>
      </c>
      <c r="AE613" s="25">
        <v>0</v>
      </c>
      <c r="AF613" s="25">
        <v>0</v>
      </c>
      <c r="AG613" s="25">
        <v>0</v>
      </c>
      <c r="AH613" s="25">
        <v>0</v>
      </c>
      <c r="AI613" s="25">
        <v>0</v>
      </c>
      <c r="AJ613" s="25">
        <v>0</v>
      </c>
      <c r="AK613" s="25">
        <v>0</v>
      </c>
      <c r="AL613" s="25">
        <v>0</v>
      </c>
      <c r="AM613" s="25">
        <v>0</v>
      </c>
    </row>
    <row r="614" spans="1:39" ht="15" customHeight="1">
      <c r="A614" s="32" t="str">
        <f t="shared" si="23"/>
        <v>Endeavour--Substation Miscellaneous Total Expenditure</v>
      </c>
      <c r="B614" s="32" t="str">
        <f t="shared" si="24"/>
        <v>Endeavour</v>
      </c>
      <c r="C614" s="32" t="s">
        <v>720</v>
      </c>
      <c r="D614" s="395"/>
      <c r="F614" t="s">
        <v>618</v>
      </c>
      <c r="G614" s="21">
        <v>12406.715</v>
      </c>
      <c r="H614" s="21">
        <v>8248.8009999999995</v>
      </c>
      <c r="I614" s="21">
        <v>8792.4709999999995</v>
      </c>
      <c r="J614" s="21">
        <v>13654.882</v>
      </c>
      <c r="K614" s="21">
        <v>12526.906000000001</v>
      </c>
      <c r="L614" s="21">
        <v>18464.111000000001</v>
      </c>
      <c r="M614" s="21">
        <v>15613.826999999999</v>
      </c>
      <c r="N614" s="21">
        <v>14482.39</v>
      </c>
      <c r="O614" s="21">
        <v>11964.878000000001</v>
      </c>
      <c r="P614" s="21">
        <v>10693.659</v>
      </c>
      <c r="Q614" s="21">
        <v>9564.8780000000006</v>
      </c>
      <c r="R614" s="23">
        <v>0</v>
      </c>
      <c r="S614" s="23">
        <v>0</v>
      </c>
      <c r="T614" s="23">
        <v>0</v>
      </c>
      <c r="U614" s="23">
        <v>0</v>
      </c>
      <c r="V614" s="23">
        <v>0</v>
      </c>
      <c r="W614" s="23">
        <v>0</v>
      </c>
      <c r="X614" s="23">
        <v>0</v>
      </c>
      <c r="Y614" s="23">
        <v>0</v>
      </c>
      <c r="Z614" s="23">
        <v>0</v>
      </c>
      <c r="AA614" s="23">
        <v>0</v>
      </c>
      <c r="AB614" s="23">
        <v>0</v>
      </c>
      <c r="AC614" s="25">
        <v>0</v>
      </c>
      <c r="AD614" s="25">
        <v>0</v>
      </c>
      <c r="AE614" s="25">
        <v>0</v>
      </c>
      <c r="AF614" s="25">
        <v>0</v>
      </c>
      <c r="AG614" s="25">
        <v>0</v>
      </c>
      <c r="AH614" s="25">
        <v>0</v>
      </c>
      <c r="AI614" s="25">
        <v>0</v>
      </c>
      <c r="AJ614" s="25">
        <v>0</v>
      </c>
      <c r="AK614" s="25">
        <v>0</v>
      </c>
      <c r="AL614" s="25">
        <v>0</v>
      </c>
      <c r="AM614" s="25">
        <v>0</v>
      </c>
    </row>
    <row r="615" spans="1:39" ht="15" customHeight="1">
      <c r="A615" s="32" t="str">
        <f t="shared" si="23"/>
        <v>Endeavour--Substation Major Projects Total Expenditure</v>
      </c>
      <c r="B615" s="32" t="str">
        <f t="shared" si="24"/>
        <v>Endeavour</v>
      </c>
      <c r="C615" s="32" t="s">
        <v>720</v>
      </c>
      <c r="D615" s="395"/>
      <c r="F615" t="s">
        <v>619</v>
      </c>
      <c r="G615" s="21">
        <v>23627.817859999999</v>
      </c>
      <c r="H615" s="21">
        <v>33014.79075</v>
      </c>
      <c r="I615" s="21">
        <v>36016.068760000002</v>
      </c>
      <c r="J615" s="21">
        <v>67216.074900000007</v>
      </c>
      <c r="K615" s="21">
        <v>66437.558250000002</v>
      </c>
      <c r="L615" s="21">
        <v>50048.047980000003</v>
      </c>
      <c r="M615" s="21">
        <v>23871.651089999999</v>
      </c>
      <c r="N615" s="21">
        <v>8269.3678049999999</v>
      </c>
      <c r="O615" s="21">
        <v>4176.7229269999998</v>
      </c>
      <c r="P615" s="21">
        <v>0</v>
      </c>
      <c r="Q615" s="21">
        <v>0</v>
      </c>
      <c r="R615" s="23">
        <v>0</v>
      </c>
      <c r="S615" s="23">
        <v>0</v>
      </c>
      <c r="T615" s="23">
        <v>0</v>
      </c>
      <c r="U615" s="23">
        <v>0</v>
      </c>
      <c r="V615" s="23">
        <v>0</v>
      </c>
      <c r="W615" s="23">
        <v>0</v>
      </c>
      <c r="X615" s="23">
        <v>0</v>
      </c>
      <c r="Y615" s="23">
        <v>0</v>
      </c>
      <c r="Z615" s="23">
        <v>0</v>
      </c>
      <c r="AA615" s="23">
        <v>0</v>
      </c>
      <c r="AB615" s="23">
        <v>0</v>
      </c>
      <c r="AC615" s="25">
        <v>0</v>
      </c>
      <c r="AD615" s="25">
        <v>0</v>
      </c>
      <c r="AE615" s="25">
        <v>0</v>
      </c>
      <c r="AF615" s="25">
        <v>0</v>
      </c>
      <c r="AG615" s="25">
        <v>0</v>
      </c>
      <c r="AH615" s="25">
        <v>0</v>
      </c>
      <c r="AI615" s="25">
        <v>0</v>
      </c>
      <c r="AJ615" s="25">
        <v>0</v>
      </c>
      <c r="AK615" s="25">
        <v>0</v>
      </c>
      <c r="AL615" s="25">
        <v>0</v>
      </c>
      <c r="AM615" s="25">
        <v>0</v>
      </c>
    </row>
    <row r="616" spans="1:39" ht="15" customHeight="1">
      <c r="A616" s="32" t="str">
        <f t="shared" si="23"/>
        <v>Endeavour--Pilot Cables</v>
      </c>
      <c r="B616" s="32" t="str">
        <f t="shared" si="24"/>
        <v>Endeavour</v>
      </c>
      <c r="C616" s="32" t="s">
        <v>720</v>
      </c>
      <c r="D616" s="395"/>
      <c r="F616" t="s">
        <v>620</v>
      </c>
      <c r="G616" s="21">
        <v>0</v>
      </c>
      <c r="H616" s="21">
        <v>0</v>
      </c>
      <c r="I616" s="21">
        <v>0</v>
      </c>
      <c r="J616" s="21">
        <v>0</v>
      </c>
      <c r="K616" s="21">
        <v>0</v>
      </c>
      <c r="L616" s="21">
        <v>19785</v>
      </c>
      <c r="M616" s="21">
        <v>16546.341</v>
      </c>
      <c r="N616" s="21">
        <v>15800</v>
      </c>
      <c r="O616" s="21">
        <v>7536.585</v>
      </c>
      <c r="P616" s="21">
        <v>10287.805</v>
      </c>
      <c r="Q616" s="21">
        <v>6204.8779999999997</v>
      </c>
      <c r="R616" s="23">
        <v>0.6163520559617397</v>
      </c>
      <c r="S616" s="23">
        <v>4.4598082616884129</v>
      </c>
      <c r="T616" s="23">
        <v>13.661020301643733</v>
      </c>
      <c r="U616" s="23">
        <v>57.266913061297217</v>
      </c>
      <c r="V616" s="23">
        <v>28.983027377460321</v>
      </c>
      <c r="W616" s="23">
        <v>182</v>
      </c>
      <c r="X616" s="23">
        <v>152</v>
      </c>
      <c r="Y616" s="23">
        <v>145</v>
      </c>
      <c r="Z616" s="23">
        <v>69</v>
      </c>
      <c r="AA616" s="23">
        <v>95</v>
      </c>
      <c r="AB616" s="23">
        <v>57</v>
      </c>
      <c r="AC616" s="25">
        <v>0</v>
      </c>
      <c r="AD616" s="25">
        <v>0</v>
      </c>
      <c r="AE616" s="25">
        <v>0</v>
      </c>
      <c r="AF616" s="25">
        <v>0</v>
      </c>
      <c r="AG616" s="25">
        <v>0</v>
      </c>
      <c r="AH616" s="25">
        <v>0</v>
      </c>
      <c r="AI616" s="25">
        <v>0</v>
      </c>
      <c r="AJ616" s="25">
        <v>0</v>
      </c>
      <c r="AK616" s="25">
        <v>0</v>
      </c>
      <c r="AL616" s="25">
        <v>0</v>
      </c>
      <c r="AM616" s="25">
        <v>0</v>
      </c>
    </row>
    <row r="617" spans="1:39" ht="15" customHeight="1">
      <c r="A617" s="32" t="str">
        <f t="shared" si="23"/>
        <v>Endeavour--11 - Chamber type (with LV CB) 1 Transformer Substn</v>
      </c>
      <c r="B617" s="32" t="str">
        <f t="shared" si="24"/>
        <v>Endeavour</v>
      </c>
      <c r="C617" s="32" t="s">
        <v>720</v>
      </c>
      <c r="D617" s="395"/>
      <c r="F617" t="s">
        <v>621</v>
      </c>
      <c r="G617" s="21">
        <v>64.433000000000007</v>
      </c>
      <c r="H617" s="21">
        <v>43.378</v>
      </c>
      <c r="I617" s="21">
        <v>18.89</v>
      </c>
      <c r="J617" s="21">
        <v>40.826000000000001</v>
      </c>
      <c r="K617" s="21">
        <v>90.741</v>
      </c>
      <c r="L617" s="21">
        <v>170.24700000000001</v>
      </c>
      <c r="M617" s="21">
        <v>125.72499999999999</v>
      </c>
      <c r="N617" s="21">
        <v>112.99299999999999</v>
      </c>
      <c r="O617" s="21">
        <v>91.192999999999998</v>
      </c>
      <c r="P617" s="21">
        <v>75.135999999999996</v>
      </c>
      <c r="Q617" s="21">
        <v>75.135999999999996</v>
      </c>
      <c r="R617" s="23">
        <v>2</v>
      </c>
      <c r="S617" s="23">
        <v>2</v>
      </c>
      <c r="T617" s="23">
        <v>1</v>
      </c>
      <c r="U617" s="23">
        <v>2</v>
      </c>
      <c r="V617" s="23">
        <v>4</v>
      </c>
      <c r="W617" s="23">
        <v>7</v>
      </c>
      <c r="X617" s="23">
        <v>5</v>
      </c>
      <c r="Y617" s="23">
        <v>5</v>
      </c>
      <c r="Z617" s="23">
        <v>4</v>
      </c>
      <c r="AA617" s="23">
        <v>3</v>
      </c>
      <c r="AB617" s="23">
        <v>3</v>
      </c>
      <c r="AC617" s="25">
        <v>0</v>
      </c>
      <c r="AD617" s="25">
        <v>0</v>
      </c>
      <c r="AE617" s="25">
        <v>0</v>
      </c>
      <c r="AF617" s="25">
        <v>0</v>
      </c>
      <c r="AG617" s="25">
        <v>0</v>
      </c>
      <c r="AH617" s="25">
        <v>0</v>
      </c>
      <c r="AI617" s="25">
        <v>0</v>
      </c>
      <c r="AJ617" s="25">
        <v>0</v>
      </c>
      <c r="AK617" s="25">
        <v>0</v>
      </c>
      <c r="AL617" s="25">
        <v>0</v>
      </c>
      <c r="AM617" s="25">
        <v>0</v>
      </c>
    </row>
    <row r="618" spans="1:39" ht="15" customHeight="1">
      <c r="A618" s="32" t="str">
        <f t="shared" si="23"/>
        <v>Endeavour--11 - Chamber type (with LV CB) 2 Transformer Substn</v>
      </c>
      <c r="B618" s="32" t="str">
        <f t="shared" si="24"/>
        <v>Endeavour</v>
      </c>
      <c r="C618" s="32" t="s">
        <v>720</v>
      </c>
      <c r="D618" s="395"/>
      <c r="F618" t="s">
        <v>622</v>
      </c>
      <c r="G618" s="21">
        <v>59.277999999999999</v>
      </c>
      <c r="H618" s="21">
        <v>39.908000000000001</v>
      </c>
      <c r="I618" s="21">
        <v>0</v>
      </c>
      <c r="J618" s="21">
        <v>37.56</v>
      </c>
      <c r="K618" s="21">
        <v>0</v>
      </c>
      <c r="L618" s="21">
        <v>90.141000000000005</v>
      </c>
      <c r="M618" s="21">
        <v>66.567999999999998</v>
      </c>
      <c r="N618" s="21">
        <v>59.826999999999998</v>
      </c>
      <c r="O618" s="21">
        <v>48.283999999999999</v>
      </c>
      <c r="P618" s="21">
        <v>39.783000000000001</v>
      </c>
      <c r="Q618" s="21">
        <v>39.783000000000001</v>
      </c>
      <c r="R618" s="23">
        <v>1</v>
      </c>
      <c r="S618" s="23">
        <v>1</v>
      </c>
      <c r="T618" s="23">
        <v>0</v>
      </c>
      <c r="U618" s="23">
        <v>1</v>
      </c>
      <c r="V618" s="23">
        <v>0</v>
      </c>
      <c r="W618" s="23">
        <v>2</v>
      </c>
      <c r="X618" s="23">
        <v>1</v>
      </c>
      <c r="Y618" s="23">
        <v>1</v>
      </c>
      <c r="Z618" s="23">
        <v>1</v>
      </c>
      <c r="AA618" s="23">
        <v>1</v>
      </c>
      <c r="AB618" s="23">
        <v>1</v>
      </c>
      <c r="AC618" s="25">
        <v>0</v>
      </c>
      <c r="AD618" s="25">
        <v>0</v>
      </c>
      <c r="AE618" s="25">
        <v>0</v>
      </c>
      <c r="AF618" s="25">
        <v>0</v>
      </c>
      <c r="AG618" s="25">
        <v>0</v>
      </c>
      <c r="AH618" s="25">
        <v>0</v>
      </c>
      <c r="AI618" s="25">
        <v>0</v>
      </c>
      <c r="AJ618" s="25">
        <v>0</v>
      </c>
      <c r="AK618" s="25">
        <v>0</v>
      </c>
      <c r="AL618" s="25">
        <v>0</v>
      </c>
      <c r="AM618" s="25">
        <v>0</v>
      </c>
    </row>
    <row r="619" spans="1:39" ht="15" customHeight="1">
      <c r="A619" s="32" t="str">
        <f t="shared" si="23"/>
        <v>Endeavour--11 - Chamber type (with LV CB) 3 Transformer Substn</v>
      </c>
      <c r="B619" s="32" t="str">
        <f t="shared" si="24"/>
        <v>Endeavour</v>
      </c>
      <c r="C619" s="32" t="s">
        <v>720</v>
      </c>
      <c r="D619" s="395"/>
      <c r="F619" t="s">
        <v>623</v>
      </c>
      <c r="G619" s="21">
        <v>0</v>
      </c>
      <c r="H619" s="21">
        <v>0</v>
      </c>
      <c r="I619" s="21">
        <v>0</v>
      </c>
      <c r="J619" s="21">
        <v>0</v>
      </c>
      <c r="K619" s="21">
        <v>0</v>
      </c>
      <c r="L619" s="21">
        <v>0</v>
      </c>
      <c r="M619" s="21">
        <v>0</v>
      </c>
      <c r="N619" s="21">
        <v>0</v>
      </c>
      <c r="O619" s="21">
        <v>0</v>
      </c>
      <c r="P619" s="21">
        <v>0</v>
      </c>
      <c r="Q619" s="21">
        <v>0</v>
      </c>
      <c r="R619" s="23">
        <v>0</v>
      </c>
      <c r="S619" s="23">
        <v>0</v>
      </c>
      <c r="T619" s="23">
        <v>0</v>
      </c>
      <c r="U619" s="23">
        <v>0</v>
      </c>
      <c r="V619" s="23">
        <v>0</v>
      </c>
      <c r="W619" s="23">
        <v>0</v>
      </c>
      <c r="X619" s="23">
        <v>0</v>
      </c>
      <c r="Y619" s="23">
        <v>0</v>
      </c>
      <c r="Z619" s="23">
        <v>0</v>
      </c>
      <c r="AA619" s="23">
        <v>0</v>
      </c>
      <c r="AB619" s="23">
        <v>0</v>
      </c>
      <c r="AC619" s="25">
        <v>0</v>
      </c>
      <c r="AD619" s="25">
        <v>0</v>
      </c>
      <c r="AE619" s="25">
        <v>0</v>
      </c>
      <c r="AF619" s="25">
        <v>0</v>
      </c>
      <c r="AG619" s="25">
        <v>0</v>
      </c>
      <c r="AH619" s="25">
        <v>0</v>
      </c>
      <c r="AI619" s="25">
        <v>0</v>
      </c>
      <c r="AJ619" s="25">
        <v>0</v>
      </c>
      <c r="AK619" s="25">
        <v>0</v>
      </c>
      <c r="AL619" s="25">
        <v>0</v>
      </c>
      <c r="AM619" s="25">
        <v>0</v>
      </c>
    </row>
    <row r="620" spans="1:39" ht="15" customHeight="1">
      <c r="A620" s="32" t="str">
        <f t="shared" si="23"/>
        <v>Endeavour--11 - Chamber type (with LV CB) 4 Transformer Substn</v>
      </c>
      <c r="B620" s="32" t="str">
        <f t="shared" si="24"/>
        <v>Endeavour</v>
      </c>
      <c r="C620" s="32" t="s">
        <v>720</v>
      </c>
      <c r="D620" s="395"/>
      <c r="F620" t="s">
        <v>624</v>
      </c>
      <c r="G620" s="21">
        <v>0</v>
      </c>
      <c r="H620" s="21">
        <v>0</v>
      </c>
      <c r="I620" s="21">
        <v>64.822000000000003</v>
      </c>
      <c r="J620" s="21">
        <v>0</v>
      </c>
      <c r="K620" s="21">
        <v>0</v>
      </c>
      <c r="L620" s="21">
        <v>42.73</v>
      </c>
      <c r="M620" s="21">
        <v>31.556000000000001</v>
      </c>
      <c r="N620" s="21">
        <v>28.36</v>
      </c>
      <c r="O620" s="21">
        <v>22.888000000000002</v>
      </c>
      <c r="P620" s="21">
        <v>18.858000000000001</v>
      </c>
      <c r="Q620" s="21">
        <v>18.858000000000001</v>
      </c>
      <c r="R620" s="23">
        <v>0</v>
      </c>
      <c r="S620" s="23">
        <v>0</v>
      </c>
      <c r="T620" s="23">
        <v>1</v>
      </c>
      <c r="U620" s="23">
        <v>0</v>
      </c>
      <c r="V620" s="23">
        <v>0</v>
      </c>
      <c r="W620" s="23">
        <v>1</v>
      </c>
      <c r="X620" s="23">
        <v>0</v>
      </c>
      <c r="Y620" s="23">
        <v>0</v>
      </c>
      <c r="Z620" s="23">
        <v>0</v>
      </c>
      <c r="AA620" s="23">
        <v>0</v>
      </c>
      <c r="AB620" s="23">
        <v>0</v>
      </c>
      <c r="AC620" s="25">
        <v>0</v>
      </c>
      <c r="AD620" s="25">
        <v>0</v>
      </c>
      <c r="AE620" s="25">
        <v>0</v>
      </c>
      <c r="AF620" s="25">
        <v>0</v>
      </c>
      <c r="AG620" s="25">
        <v>0</v>
      </c>
      <c r="AH620" s="25">
        <v>0</v>
      </c>
      <c r="AI620" s="25">
        <v>0</v>
      </c>
      <c r="AJ620" s="25">
        <v>0</v>
      </c>
      <c r="AK620" s="25">
        <v>0</v>
      </c>
      <c r="AL620" s="25">
        <v>0</v>
      </c>
      <c r="AM620" s="25">
        <v>0</v>
      </c>
    </row>
    <row r="621" spans="1:39" ht="15" customHeight="1">
      <c r="A621" s="32" t="str">
        <f t="shared" si="23"/>
        <v>Endeavour--11 - Chamber type (with LV CB) 5 Transformer Substn</v>
      </c>
      <c r="B621" s="32" t="str">
        <f t="shared" si="24"/>
        <v>Endeavour</v>
      </c>
      <c r="C621" s="32" t="s">
        <v>720</v>
      </c>
      <c r="D621" s="395"/>
      <c r="F621" t="s">
        <v>625</v>
      </c>
      <c r="G621" s="21">
        <v>0</v>
      </c>
      <c r="H621" s="21">
        <v>0</v>
      </c>
      <c r="I621" s="21">
        <v>0</v>
      </c>
      <c r="J621" s="21">
        <v>0</v>
      </c>
      <c r="K621" s="21">
        <v>0</v>
      </c>
      <c r="L621" s="21">
        <v>0</v>
      </c>
      <c r="M621" s="21">
        <v>0</v>
      </c>
      <c r="N621" s="21">
        <v>0</v>
      </c>
      <c r="O621" s="21">
        <v>0</v>
      </c>
      <c r="P621" s="21">
        <v>0</v>
      </c>
      <c r="Q621" s="21">
        <v>0</v>
      </c>
      <c r="R621" s="23">
        <v>0</v>
      </c>
      <c r="S621" s="23">
        <v>0</v>
      </c>
      <c r="T621" s="23">
        <v>0</v>
      </c>
      <c r="U621" s="23">
        <v>0</v>
      </c>
      <c r="V621" s="23">
        <v>0</v>
      </c>
      <c r="W621" s="23">
        <v>0</v>
      </c>
      <c r="X621" s="23">
        <v>0</v>
      </c>
      <c r="Y621" s="23">
        <v>0</v>
      </c>
      <c r="Z621" s="23">
        <v>0</v>
      </c>
      <c r="AA621" s="23">
        <v>0</v>
      </c>
      <c r="AB621" s="23">
        <v>0</v>
      </c>
      <c r="AC621" s="25">
        <v>0</v>
      </c>
      <c r="AD621" s="25">
        <v>0</v>
      </c>
      <c r="AE621" s="25">
        <v>0</v>
      </c>
      <c r="AF621" s="25">
        <v>0</v>
      </c>
      <c r="AG621" s="25">
        <v>0</v>
      </c>
      <c r="AH621" s="25">
        <v>0</v>
      </c>
      <c r="AI621" s="25">
        <v>0</v>
      </c>
      <c r="AJ621" s="25">
        <v>0</v>
      </c>
      <c r="AK621" s="25">
        <v>0</v>
      </c>
      <c r="AL621" s="25">
        <v>0</v>
      </c>
      <c r="AM621" s="25">
        <v>0</v>
      </c>
    </row>
    <row r="622" spans="1:39" ht="15" customHeight="1">
      <c r="A622" s="32" t="str">
        <f t="shared" si="23"/>
        <v>Endeavour--11 - Chamber type (with LV CB) 6 Transformer Substn</v>
      </c>
      <c r="B622" s="32" t="str">
        <f t="shared" si="24"/>
        <v>Endeavour</v>
      </c>
      <c r="C622" s="32" t="s">
        <v>720</v>
      </c>
      <c r="D622" s="395"/>
      <c r="F622" t="s">
        <v>626</v>
      </c>
      <c r="G622" s="21">
        <v>0</v>
      </c>
      <c r="H622" s="21">
        <v>0</v>
      </c>
      <c r="I622" s="21">
        <v>0</v>
      </c>
      <c r="J622" s="21">
        <v>0</v>
      </c>
      <c r="K622" s="21">
        <v>0</v>
      </c>
      <c r="L622" s="21">
        <v>0</v>
      </c>
      <c r="M622" s="21">
        <v>0</v>
      </c>
      <c r="N622" s="21">
        <v>0</v>
      </c>
      <c r="O622" s="21">
        <v>0</v>
      </c>
      <c r="P622" s="21">
        <v>0</v>
      </c>
      <c r="Q622" s="21">
        <v>0</v>
      </c>
      <c r="R622" s="23">
        <v>0</v>
      </c>
      <c r="S622" s="23">
        <v>0</v>
      </c>
      <c r="T622" s="23">
        <v>0</v>
      </c>
      <c r="U622" s="23">
        <v>0</v>
      </c>
      <c r="V622" s="23">
        <v>0</v>
      </c>
      <c r="W622" s="23">
        <v>0</v>
      </c>
      <c r="X622" s="23">
        <v>0</v>
      </c>
      <c r="Y622" s="23">
        <v>0</v>
      </c>
      <c r="Z622" s="23">
        <v>0</v>
      </c>
      <c r="AA622" s="23">
        <v>0</v>
      </c>
      <c r="AB622" s="23">
        <v>0</v>
      </c>
      <c r="AC622" s="25">
        <v>0</v>
      </c>
      <c r="AD622" s="25">
        <v>0</v>
      </c>
      <c r="AE622" s="25">
        <v>0</v>
      </c>
      <c r="AF622" s="25">
        <v>0</v>
      </c>
      <c r="AG622" s="25">
        <v>0</v>
      </c>
      <c r="AH622" s="25">
        <v>0</v>
      </c>
      <c r="AI622" s="25">
        <v>0</v>
      </c>
      <c r="AJ622" s="25">
        <v>0</v>
      </c>
      <c r="AK622" s="25">
        <v>0</v>
      </c>
      <c r="AL622" s="25">
        <v>0</v>
      </c>
      <c r="AM622" s="25">
        <v>0</v>
      </c>
    </row>
    <row r="623" spans="1:39" ht="15" customHeight="1">
      <c r="A623" s="32" t="str">
        <f t="shared" si="23"/>
        <v>Endeavour--11 - Chamber type (with LV CB) 7 Transformer Substn</v>
      </c>
      <c r="B623" s="32" t="str">
        <f t="shared" si="24"/>
        <v>Endeavour</v>
      </c>
      <c r="C623" s="32" t="s">
        <v>720</v>
      </c>
      <c r="D623" s="395"/>
      <c r="F623" t="s">
        <v>627</v>
      </c>
      <c r="G623" s="21">
        <v>0</v>
      </c>
      <c r="H623" s="21">
        <v>0</v>
      </c>
      <c r="I623" s="21">
        <v>0</v>
      </c>
      <c r="J623" s="21">
        <v>0</v>
      </c>
      <c r="K623" s="21">
        <v>0</v>
      </c>
      <c r="L623" s="21">
        <v>0</v>
      </c>
      <c r="M623" s="21">
        <v>0</v>
      </c>
      <c r="N623" s="21">
        <v>0</v>
      </c>
      <c r="O623" s="21">
        <v>0</v>
      </c>
      <c r="P623" s="21">
        <v>0</v>
      </c>
      <c r="Q623" s="21">
        <v>0</v>
      </c>
      <c r="R623" s="23">
        <v>0</v>
      </c>
      <c r="S623" s="23">
        <v>0</v>
      </c>
      <c r="T623" s="23">
        <v>0</v>
      </c>
      <c r="U623" s="23">
        <v>0</v>
      </c>
      <c r="V623" s="23">
        <v>0</v>
      </c>
      <c r="W623" s="23">
        <v>0</v>
      </c>
      <c r="X623" s="23">
        <v>0</v>
      </c>
      <c r="Y623" s="23">
        <v>0</v>
      </c>
      <c r="Z623" s="23">
        <v>0</v>
      </c>
      <c r="AA623" s="23">
        <v>0</v>
      </c>
      <c r="AB623" s="23">
        <v>0</v>
      </c>
      <c r="AC623" s="25">
        <v>0</v>
      </c>
      <c r="AD623" s="25">
        <v>0</v>
      </c>
      <c r="AE623" s="25">
        <v>0</v>
      </c>
      <c r="AF623" s="25">
        <v>0</v>
      </c>
      <c r="AG623" s="25">
        <v>0</v>
      </c>
      <c r="AH623" s="25">
        <v>0</v>
      </c>
      <c r="AI623" s="25">
        <v>0</v>
      </c>
      <c r="AJ623" s="25">
        <v>0</v>
      </c>
      <c r="AK623" s="25">
        <v>0</v>
      </c>
      <c r="AL623" s="25">
        <v>0</v>
      </c>
      <c r="AM623" s="25">
        <v>0</v>
      </c>
    </row>
    <row r="624" spans="1:39" ht="15" customHeight="1">
      <c r="A624" s="32" t="str">
        <f t="shared" si="23"/>
        <v>Endeavour--11/22 - 1 phase All sizes Substn</v>
      </c>
      <c r="B624" s="32" t="str">
        <f t="shared" si="24"/>
        <v>Endeavour</v>
      </c>
      <c r="C624" s="32" t="s">
        <v>720</v>
      </c>
      <c r="D624" s="395"/>
      <c r="F624" t="s">
        <v>628</v>
      </c>
      <c r="G624" s="21">
        <v>0</v>
      </c>
      <c r="H624" s="21">
        <v>0</v>
      </c>
      <c r="I624" s="21">
        <v>3.0219999999999998</v>
      </c>
      <c r="J624" s="21">
        <v>6.532</v>
      </c>
      <c r="K624" s="21">
        <v>7.2590000000000003</v>
      </c>
      <c r="L624" s="21">
        <v>11.083</v>
      </c>
      <c r="M624" s="21">
        <v>8.1850000000000005</v>
      </c>
      <c r="N624" s="21">
        <v>7.3559999999999999</v>
      </c>
      <c r="O624" s="21">
        <v>5.9370000000000003</v>
      </c>
      <c r="P624" s="21">
        <v>4.8920000000000003</v>
      </c>
      <c r="Q624" s="21">
        <v>4.8920000000000003</v>
      </c>
      <c r="R624" s="23">
        <v>0</v>
      </c>
      <c r="S624" s="23">
        <v>0</v>
      </c>
      <c r="T624" s="23">
        <v>1</v>
      </c>
      <c r="U624" s="23">
        <v>2</v>
      </c>
      <c r="V624" s="23">
        <v>2</v>
      </c>
      <c r="W624" s="23">
        <v>3</v>
      </c>
      <c r="X624" s="23">
        <v>2</v>
      </c>
      <c r="Y624" s="23">
        <v>2</v>
      </c>
      <c r="Z624" s="23">
        <v>2</v>
      </c>
      <c r="AA624" s="23">
        <v>1</v>
      </c>
      <c r="AB624" s="23">
        <v>1</v>
      </c>
      <c r="AC624" s="25">
        <v>0</v>
      </c>
      <c r="AD624" s="25">
        <v>0</v>
      </c>
      <c r="AE624" s="25">
        <v>0</v>
      </c>
      <c r="AF624" s="25">
        <v>0</v>
      </c>
      <c r="AG624" s="25">
        <v>0</v>
      </c>
      <c r="AH624" s="25">
        <v>0</v>
      </c>
      <c r="AI624" s="25">
        <v>0</v>
      </c>
      <c r="AJ624" s="25">
        <v>0</v>
      </c>
      <c r="AK624" s="25">
        <v>0</v>
      </c>
      <c r="AL624" s="25">
        <v>0</v>
      </c>
      <c r="AM624" s="25">
        <v>0</v>
      </c>
    </row>
    <row r="625" spans="1:39" ht="15" customHeight="1">
      <c r="A625" s="32" t="str">
        <f t="shared" si="23"/>
        <v>Endeavour--11/22 - 3 phase &lt;64kVA Substn</v>
      </c>
      <c r="B625" s="32" t="str">
        <f t="shared" si="24"/>
        <v>Endeavour</v>
      </c>
      <c r="C625" s="32" t="s">
        <v>720</v>
      </c>
      <c r="D625" s="395"/>
      <c r="F625" t="s">
        <v>629</v>
      </c>
      <c r="G625" s="21">
        <v>85.051000000000002</v>
      </c>
      <c r="H625" s="21">
        <v>104.107</v>
      </c>
      <c r="I625" s="21">
        <v>54.402999999999999</v>
      </c>
      <c r="J625" s="21">
        <v>107.78</v>
      </c>
      <c r="K625" s="21">
        <v>59.889000000000003</v>
      </c>
      <c r="L625" s="21">
        <v>271.07799999999997</v>
      </c>
      <c r="M625" s="21">
        <v>200.18799999999999</v>
      </c>
      <c r="N625" s="21">
        <v>179.91499999999999</v>
      </c>
      <c r="O625" s="21">
        <v>145.20400000000001</v>
      </c>
      <c r="P625" s="21">
        <v>119.637</v>
      </c>
      <c r="Q625" s="21">
        <v>119.637</v>
      </c>
      <c r="R625" s="23">
        <v>11</v>
      </c>
      <c r="S625" s="23">
        <v>20</v>
      </c>
      <c r="T625" s="23">
        <v>12</v>
      </c>
      <c r="U625" s="23">
        <v>22</v>
      </c>
      <c r="V625" s="23">
        <v>11</v>
      </c>
      <c r="W625" s="23">
        <v>50</v>
      </c>
      <c r="X625" s="23">
        <v>37</v>
      </c>
      <c r="Y625" s="23">
        <v>33</v>
      </c>
      <c r="Z625" s="23">
        <v>27</v>
      </c>
      <c r="AA625" s="23">
        <v>22</v>
      </c>
      <c r="AB625" s="23">
        <v>22</v>
      </c>
      <c r="AC625" s="25">
        <v>0</v>
      </c>
      <c r="AD625" s="25">
        <v>0</v>
      </c>
      <c r="AE625" s="25">
        <v>0</v>
      </c>
      <c r="AF625" s="25">
        <v>0</v>
      </c>
      <c r="AG625" s="25">
        <v>0</v>
      </c>
      <c r="AH625" s="25">
        <v>0</v>
      </c>
      <c r="AI625" s="25">
        <v>0</v>
      </c>
      <c r="AJ625" s="25">
        <v>0</v>
      </c>
      <c r="AK625" s="25">
        <v>0</v>
      </c>
      <c r="AL625" s="25">
        <v>0</v>
      </c>
      <c r="AM625" s="25">
        <v>0</v>
      </c>
    </row>
    <row r="626" spans="1:39" ht="15" customHeight="1">
      <c r="A626" s="32" t="str">
        <f t="shared" si="23"/>
        <v>Endeavour--11/22 - 3 phase &gt;=64kVA Substn</v>
      </c>
      <c r="B626" s="32" t="str">
        <f t="shared" si="24"/>
        <v>Endeavour</v>
      </c>
      <c r="C626" s="32" t="s">
        <v>720</v>
      </c>
      <c r="D626" s="395"/>
      <c r="F626" t="s">
        <v>630</v>
      </c>
      <c r="G626" s="21">
        <v>387.40899999999999</v>
      </c>
      <c r="H626" s="21">
        <v>266.25</v>
      </c>
      <c r="I626" s="21">
        <v>189.297</v>
      </c>
      <c r="J626" s="21">
        <v>245.47</v>
      </c>
      <c r="K626" s="21">
        <v>176.18100000000001</v>
      </c>
      <c r="L626" s="21">
        <v>833.61300000000006</v>
      </c>
      <c r="M626" s="21">
        <v>615.61300000000006</v>
      </c>
      <c r="N626" s="21">
        <v>553.27</v>
      </c>
      <c r="O626" s="21">
        <v>446.52699999999999</v>
      </c>
      <c r="P626" s="21">
        <v>367.90600000000001</v>
      </c>
      <c r="Q626" s="21">
        <v>367.90600000000001</v>
      </c>
      <c r="R626" s="23">
        <v>48</v>
      </c>
      <c r="S626" s="23">
        <v>49</v>
      </c>
      <c r="T626" s="23">
        <v>40</v>
      </c>
      <c r="U626" s="23">
        <v>48</v>
      </c>
      <c r="V626" s="23">
        <v>31</v>
      </c>
      <c r="W626" s="23">
        <v>142</v>
      </c>
      <c r="X626" s="23">
        <v>105</v>
      </c>
      <c r="Y626" s="23">
        <v>95</v>
      </c>
      <c r="Z626" s="23">
        <v>76</v>
      </c>
      <c r="AA626" s="23">
        <v>63</v>
      </c>
      <c r="AB626" s="23">
        <v>63</v>
      </c>
      <c r="AC626" s="25">
        <v>0</v>
      </c>
      <c r="AD626" s="25">
        <v>0</v>
      </c>
      <c r="AE626" s="25">
        <v>0</v>
      </c>
      <c r="AF626" s="25">
        <v>0</v>
      </c>
      <c r="AG626" s="25">
        <v>0</v>
      </c>
      <c r="AH626" s="25">
        <v>0</v>
      </c>
      <c r="AI626" s="25">
        <v>0</v>
      </c>
      <c r="AJ626" s="25">
        <v>0</v>
      </c>
      <c r="AK626" s="25">
        <v>0</v>
      </c>
      <c r="AL626" s="25">
        <v>0</v>
      </c>
      <c r="AM626" s="25">
        <v>0</v>
      </c>
    </row>
    <row r="627" spans="1:39" ht="15" customHeight="1">
      <c r="A627" s="32" t="str">
        <f t="shared" si="23"/>
        <v>Endeavour--11/22 - kiosk and pad mount &lt;=500kVA Substn</v>
      </c>
      <c r="B627" s="32" t="str">
        <f t="shared" si="24"/>
        <v>Endeavour</v>
      </c>
      <c r="C627" s="32" t="s">
        <v>720</v>
      </c>
      <c r="D627" s="395"/>
      <c r="F627" t="s">
        <v>631</v>
      </c>
      <c r="G627" s="21">
        <v>1082.4680000000001</v>
      </c>
      <c r="H627" s="21">
        <v>1080.1130000000001</v>
      </c>
      <c r="I627" s="21">
        <v>1201.3969999999999</v>
      </c>
      <c r="J627" s="21">
        <v>979.81700000000001</v>
      </c>
      <c r="K627" s="21">
        <v>1225.0029999999999</v>
      </c>
      <c r="L627" s="21">
        <v>3670.884</v>
      </c>
      <c r="M627" s="21">
        <v>2710.9029999999998</v>
      </c>
      <c r="N627" s="21">
        <v>2436.3710000000001</v>
      </c>
      <c r="O627" s="21">
        <v>1966.318</v>
      </c>
      <c r="P627" s="21">
        <v>1620.104</v>
      </c>
      <c r="Q627" s="21">
        <v>1620.104</v>
      </c>
      <c r="R627" s="23">
        <v>56</v>
      </c>
      <c r="S627" s="23">
        <v>83</v>
      </c>
      <c r="T627" s="23">
        <v>106</v>
      </c>
      <c r="U627" s="23">
        <v>80</v>
      </c>
      <c r="V627" s="23">
        <v>90</v>
      </c>
      <c r="W627" s="23">
        <v>274</v>
      </c>
      <c r="X627" s="23">
        <v>202</v>
      </c>
      <c r="Y627" s="23">
        <v>182</v>
      </c>
      <c r="Z627" s="23">
        <v>147</v>
      </c>
      <c r="AA627" s="23">
        <v>121</v>
      </c>
      <c r="AB627" s="23">
        <v>121</v>
      </c>
      <c r="AC627" s="25">
        <v>0</v>
      </c>
      <c r="AD627" s="25">
        <v>0</v>
      </c>
      <c r="AE627" s="25">
        <v>0</v>
      </c>
      <c r="AF627" s="25">
        <v>0</v>
      </c>
      <c r="AG627" s="25">
        <v>0</v>
      </c>
      <c r="AH627" s="25">
        <v>0</v>
      </c>
      <c r="AI627" s="25">
        <v>0</v>
      </c>
      <c r="AJ627" s="25">
        <v>0</v>
      </c>
      <c r="AK627" s="25">
        <v>0</v>
      </c>
      <c r="AL627" s="25">
        <v>0</v>
      </c>
      <c r="AM627" s="25">
        <v>0</v>
      </c>
    </row>
    <row r="628" spans="1:39" ht="15" customHeight="1">
      <c r="A628" s="32" t="str">
        <f t="shared" si="23"/>
        <v>Endeavour--11/22 - kiosk and pad mount &gt;500kVA Substn</v>
      </c>
      <c r="B628" s="32" t="str">
        <f t="shared" si="24"/>
        <v>Endeavour</v>
      </c>
      <c r="C628" s="32" t="s">
        <v>720</v>
      </c>
      <c r="D628" s="395"/>
      <c r="F628" t="s">
        <v>632</v>
      </c>
      <c r="G628" s="21">
        <v>549.101</v>
      </c>
      <c r="H628" s="21">
        <v>289.30900000000003</v>
      </c>
      <c r="I628" s="21">
        <v>377.95699999999999</v>
      </c>
      <c r="J628" s="21">
        <v>347.92099999999999</v>
      </c>
      <c r="K628" s="21">
        <v>336.21899999999999</v>
      </c>
      <c r="L628" s="21">
        <v>1252.7909999999999</v>
      </c>
      <c r="M628" s="21">
        <v>925.17100000000005</v>
      </c>
      <c r="N628" s="21">
        <v>831.47900000000004</v>
      </c>
      <c r="O628" s="21">
        <v>671.06100000000004</v>
      </c>
      <c r="P628" s="21">
        <v>552.90599999999995</v>
      </c>
      <c r="Q628" s="21">
        <v>552.90599999999995</v>
      </c>
      <c r="R628" s="23">
        <v>23</v>
      </c>
      <c r="S628" s="23">
        <v>18</v>
      </c>
      <c r="T628" s="23">
        <v>27</v>
      </c>
      <c r="U628" s="23">
        <v>23</v>
      </c>
      <c r="V628" s="23">
        <v>20</v>
      </c>
      <c r="W628" s="23">
        <v>73</v>
      </c>
      <c r="X628" s="23">
        <v>54</v>
      </c>
      <c r="Y628" s="23">
        <v>49</v>
      </c>
      <c r="Z628" s="23">
        <v>39</v>
      </c>
      <c r="AA628" s="23">
        <v>32</v>
      </c>
      <c r="AB628" s="23">
        <v>32</v>
      </c>
      <c r="AC628" s="25">
        <v>0</v>
      </c>
      <c r="AD628" s="25">
        <v>0</v>
      </c>
      <c r="AE628" s="25">
        <v>0</v>
      </c>
      <c r="AF628" s="25">
        <v>0</v>
      </c>
      <c r="AG628" s="25">
        <v>0</v>
      </c>
      <c r="AH628" s="25">
        <v>0</v>
      </c>
      <c r="AI628" s="25">
        <v>0</v>
      </c>
      <c r="AJ628" s="25">
        <v>0</v>
      </c>
      <c r="AK628" s="25">
        <v>0</v>
      </c>
      <c r="AL628" s="25">
        <v>0</v>
      </c>
      <c r="AM628" s="25">
        <v>0</v>
      </c>
    </row>
    <row r="629" spans="1:39" ht="15" customHeight="1">
      <c r="A629" s="32" t="str">
        <f t="shared" si="23"/>
        <v>Endeavour--11/22 Switching Station</v>
      </c>
      <c r="B629" s="32" t="str">
        <f t="shared" si="24"/>
        <v>Endeavour</v>
      </c>
      <c r="C629" s="32" t="s">
        <v>720</v>
      </c>
      <c r="D629" s="395"/>
      <c r="F629" t="s">
        <v>633</v>
      </c>
      <c r="G629" s="21">
        <v>23.06</v>
      </c>
      <c r="H629" s="21">
        <v>23.286999999999999</v>
      </c>
      <c r="I629" s="21">
        <v>20.282</v>
      </c>
      <c r="J629" s="21">
        <v>43.834000000000003</v>
      </c>
      <c r="K629" s="21">
        <v>56.832000000000001</v>
      </c>
      <c r="L629" s="21">
        <v>110.279</v>
      </c>
      <c r="M629" s="21">
        <v>81.44</v>
      </c>
      <c r="N629" s="21">
        <v>73.191999999999993</v>
      </c>
      <c r="O629" s="21">
        <v>59.070999999999998</v>
      </c>
      <c r="P629" s="21">
        <v>48.67</v>
      </c>
      <c r="Q629" s="21">
        <v>48.67</v>
      </c>
      <c r="R629" s="23">
        <v>2</v>
      </c>
      <c r="S629" s="23">
        <v>3</v>
      </c>
      <c r="T629" s="23">
        <v>3</v>
      </c>
      <c r="U629" s="23">
        <v>6</v>
      </c>
      <c r="V629" s="23">
        <v>7</v>
      </c>
      <c r="W629" s="23">
        <v>14</v>
      </c>
      <c r="X629" s="23">
        <v>10</v>
      </c>
      <c r="Y629" s="23">
        <v>9</v>
      </c>
      <c r="Z629" s="23">
        <v>7</v>
      </c>
      <c r="AA629" s="23">
        <v>6</v>
      </c>
      <c r="AB629" s="23">
        <v>6</v>
      </c>
      <c r="AC629" s="25">
        <v>0</v>
      </c>
      <c r="AD629" s="25">
        <v>0</v>
      </c>
      <c r="AE629" s="25">
        <v>0</v>
      </c>
      <c r="AF629" s="25">
        <v>0</v>
      </c>
      <c r="AG629" s="25">
        <v>0</v>
      </c>
      <c r="AH629" s="25">
        <v>0</v>
      </c>
      <c r="AI629" s="25">
        <v>0</v>
      </c>
      <c r="AJ629" s="25">
        <v>0</v>
      </c>
      <c r="AK629" s="25">
        <v>0</v>
      </c>
      <c r="AL629" s="25">
        <v>0</v>
      </c>
      <c r="AM629" s="25">
        <v>0</v>
      </c>
    </row>
    <row r="630" spans="1:39" ht="15" customHeight="1">
      <c r="A630" s="32" t="str">
        <f t="shared" si="23"/>
        <v>Endeavour--12.7 SWER All sizes Substn</v>
      </c>
      <c r="B630" s="32" t="str">
        <f t="shared" si="24"/>
        <v>Endeavour</v>
      </c>
      <c r="C630" s="32" t="s">
        <v>720</v>
      </c>
      <c r="D630" s="395"/>
      <c r="F630" t="s">
        <v>634</v>
      </c>
      <c r="G630" s="21">
        <v>0</v>
      </c>
      <c r="H630" s="21">
        <v>0</v>
      </c>
      <c r="I630" s="21">
        <v>0</v>
      </c>
      <c r="J630" s="21">
        <v>3.0510000000000002</v>
      </c>
      <c r="K630" s="21">
        <v>0</v>
      </c>
      <c r="L630" s="21">
        <v>2.0110000000000001</v>
      </c>
      <c r="M630" s="21">
        <v>1.4850000000000001</v>
      </c>
      <c r="N630" s="21">
        <v>1.335</v>
      </c>
      <c r="O630" s="21">
        <v>1.077</v>
      </c>
      <c r="P630" s="21">
        <v>0.88800000000000001</v>
      </c>
      <c r="Q630" s="21">
        <v>0.88800000000000001</v>
      </c>
      <c r="R630" s="23">
        <v>0</v>
      </c>
      <c r="S630" s="23">
        <v>0</v>
      </c>
      <c r="T630" s="23">
        <v>0</v>
      </c>
      <c r="U630" s="23">
        <v>1</v>
      </c>
      <c r="V630" s="23">
        <v>0</v>
      </c>
      <c r="W630" s="23">
        <v>1</v>
      </c>
      <c r="X630" s="23">
        <v>0</v>
      </c>
      <c r="Y630" s="23">
        <v>0</v>
      </c>
      <c r="Z630" s="23">
        <v>0</v>
      </c>
      <c r="AA630" s="23">
        <v>0</v>
      </c>
      <c r="AB630" s="23">
        <v>0</v>
      </c>
      <c r="AC630" s="25">
        <v>0</v>
      </c>
      <c r="AD630" s="25">
        <v>0</v>
      </c>
      <c r="AE630" s="25">
        <v>0</v>
      </c>
      <c r="AF630" s="25">
        <v>0</v>
      </c>
      <c r="AG630" s="25">
        <v>0</v>
      </c>
      <c r="AH630" s="25">
        <v>0</v>
      </c>
      <c r="AI630" s="25">
        <v>0</v>
      </c>
      <c r="AJ630" s="25">
        <v>0</v>
      </c>
      <c r="AK630" s="25">
        <v>0</v>
      </c>
      <c r="AL630" s="25">
        <v>0</v>
      </c>
      <c r="AM630" s="25">
        <v>0</v>
      </c>
    </row>
    <row r="631" spans="1:39" ht="15" customHeight="1">
      <c r="A631" s="32" t="str">
        <f t="shared" si="23"/>
        <v>Endeavour--33 - 3 phase &lt;64kVA Substn</v>
      </c>
      <c r="B631" s="32" t="str">
        <f t="shared" si="24"/>
        <v>Endeavour</v>
      </c>
      <c r="C631" s="32" t="s">
        <v>720</v>
      </c>
      <c r="D631" s="395"/>
      <c r="F631" t="s">
        <v>635</v>
      </c>
      <c r="G631" s="21">
        <v>0</v>
      </c>
      <c r="H631" s="21">
        <v>0</v>
      </c>
      <c r="I631" s="21">
        <v>0</v>
      </c>
      <c r="J631" s="21">
        <v>0</v>
      </c>
      <c r="K631" s="21">
        <v>0</v>
      </c>
      <c r="L631" s="21">
        <v>0</v>
      </c>
      <c r="M631" s="21">
        <v>0</v>
      </c>
      <c r="N631" s="21">
        <v>0</v>
      </c>
      <c r="O631" s="21">
        <v>0</v>
      </c>
      <c r="P631" s="21">
        <v>0</v>
      </c>
      <c r="Q631" s="21">
        <v>0</v>
      </c>
      <c r="R631" s="23">
        <v>0</v>
      </c>
      <c r="S631" s="23">
        <v>0</v>
      </c>
      <c r="T631" s="23">
        <v>0</v>
      </c>
      <c r="U631" s="23">
        <v>0</v>
      </c>
      <c r="V631" s="23">
        <v>0</v>
      </c>
      <c r="W631" s="23">
        <v>0</v>
      </c>
      <c r="X631" s="23">
        <v>0</v>
      </c>
      <c r="Y631" s="23">
        <v>0</v>
      </c>
      <c r="Z631" s="23">
        <v>0</v>
      </c>
      <c r="AA631" s="23">
        <v>0</v>
      </c>
      <c r="AB631" s="23">
        <v>0</v>
      </c>
      <c r="AC631" s="25">
        <v>0</v>
      </c>
      <c r="AD631" s="25">
        <v>0</v>
      </c>
      <c r="AE631" s="25">
        <v>0</v>
      </c>
      <c r="AF631" s="25">
        <v>0</v>
      </c>
      <c r="AG631" s="25">
        <v>0</v>
      </c>
      <c r="AH631" s="25">
        <v>0</v>
      </c>
      <c r="AI631" s="25">
        <v>0</v>
      </c>
      <c r="AJ631" s="25">
        <v>0</v>
      </c>
      <c r="AK631" s="25">
        <v>0</v>
      </c>
      <c r="AL631" s="25">
        <v>0</v>
      </c>
      <c r="AM631" s="25">
        <v>0</v>
      </c>
    </row>
    <row r="632" spans="1:39" ht="15" customHeight="1">
      <c r="A632" s="32" t="str">
        <f t="shared" si="23"/>
        <v>Endeavour--33 - 3 phase &gt;=64kVA Substn</v>
      </c>
      <c r="B632" s="32" t="str">
        <f t="shared" si="24"/>
        <v>Endeavour</v>
      </c>
      <c r="C632" s="32" t="s">
        <v>720</v>
      </c>
      <c r="D632" s="395"/>
      <c r="F632" t="s">
        <v>636</v>
      </c>
      <c r="G632" s="21">
        <v>0</v>
      </c>
      <c r="H632" s="21">
        <v>0</v>
      </c>
      <c r="I632" s="21">
        <v>0</v>
      </c>
      <c r="J632" s="21">
        <v>0</v>
      </c>
      <c r="K632" s="21">
        <v>0</v>
      </c>
      <c r="L632" s="21">
        <v>0</v>
      </c>
      <c r="M632" s="21">
        <v>0</v>
      </c>
      <c r="N632" s="21">
        <v>0</v>
      </c>
      <c r="O632" s="21">
        <v>0</v>
      </c>
      <c r="P632" s="21">
        <v>0</v>
      </c>
      <c r="Q632" s="21">
        <v>0</v>
      </c>
      <c r="R632" s="23">
        <v>0</v>
      </c>
      <c r="S632" s="23">
        <v>0</v>
      </c>
      <c r="T632" s="23">
        <v>0</v>
      </c>
      <c r="U632" s="23">
        <v>0</v>
      </c>
      <c r="V632" s="23">
        <v>0</v>
      </c>
      <c r="W632" s="23">
        <v>0</v>
      </c>
      <c r="X632" s="23">
        <v>0</v>
      </c>
      <c r="Y632" s="23">
        <v>0</v>
      </c>
      <c r="Z632" s="23">
        <v>0</v>
      </c>
      <c r="AA632" s="23">
        <v>0</v>
      </c>
      <c r="AB632" s="23">
        <v>0</v>
      </c>
      <c r="AC632" s="25">
        <v>0</v>
      </c>
      <c r="AD632" s="25">
        <v>0</v>
      </c>
      <c r="AE632" s="25">
        <v>0</v>
      </c>
      <c r="AF632" s="25">
        <v>0</v>
      </c>
      <c r="AG632" s="25">
        <v>0</v>
      </c>
      <c r="AH632" s="25">
        <v>0</v>
      </c>
      <c r="AI632" s="25">
        <v>0</v>
      </c>
      <c r="AJ632" s="25">
        <v>0</v>
      </c>
      <c r="AK632" s="25">
        <v>0</v>
      </c>
      <c r="AL632" s="25">
        <v>0</v>
      </c>
      <c r="AM632" s="25">
        <v>0</v>
      </c>
    </row>
    <row r="633" spans="1:39" ht="15" customHeight="1">
      <c r="A633" s="32" t="str">
        <f t="shared" si="23"/>
        <v>Endeavour--Cap Bank 11</v>
      </c>
      <c r="B633" s="32" t="str">
        <f t="shared" si="24"/>
        <v>Endeavour</v>
      </c>
      <c r="C633" s="32" t="s">
        <v>720</v>
      </c>
      <c r="D633" s="395"/>
      <c r="F633" t="s">
        <v>637</v>
      </c>
      <c r="G633" s="21">
        <v>0</v>
      </c>
      <c r="H633" s="21">
        <v>0</v>
      </c>
      <c r="I633" s="21">
        <v>0</v>
      </c>
      <c r="J633" s="21">
        <v>0</v>
      </c>
      <c r="K633" s="21">
        <v>0</v>
      </c>
      <c r="L633" s="21">
        <v>0</v>
      </c>
      <c r="M633" s="21">
        <v>0</v>
      </c>
      <c r="N633" s="21">
        <v>0</v>
      </c>
      <c r="O633" s="21">
        <v>0</v>
      </c>
      <c r="P633" s="21">
        <v>0</v>
      </c>
      <c r="Q633" s="21">
        <v>0</v>
      </c>
      <c r="R633" s="23">
        <v>0</v>
      </c>
      <c r="S633" s="23">
        <v>0</v>
      </c>
      <c r="T633" s="23">
        <v>0</v>
      </c>
      <c r="U633" s="23">
        <v>0</v>
      </c>
      <c r="V633" s="23">
        <v>0</v>
      </c>
      <c r="W633" s="23">
        <v>0</v>
      </c>
      <c r="X633" s="23">
        <v>0</v>
      </c>
      <c r="Y633" s="23">
        <v>0</v>
      </c>
      <c r="Z633" s="23">
        <v>0</v>
      </c>
      <c r="AA633" s="23">
        <v>0</v>
      </c>
      <c r="AB633" s="23">
        <v>0</v>
      </c>
      <c r="AC633" s="25">
        <v>0</v>
      </c>
      <c r="AD633" s="25">
        <v>0</v>
      </c>
      <c r="AE633" s="25">
        <v>0</v>
      </c>
      <c r="AF633" s="25">
        <v>0</v>
      </c>
      <c r="AG633" s="25">
        <v>0</v>
      </c>
      <c r="AH633" s="25">
        <v>0</v>
      </c>
      <c r="AI633" s="25">
        <v>0</v>
      </c>
      <c r="AJ633" s="25">
        <v>0</v>
      </c>
      <c r="AK633" s="25">
        <v>0</v>
      </c>
      <c r="AL633" s="25">
        <v>0</v>
      </c>
      <c r="AM633" s="25">
        <v>0</v>
      </c>
    </row>
    <row r="634" spans="1:39" ht="15" customHeight="1">
      <c r="A634" s="32" t="str">
        <f t="shared" si="23"/>
        <v>Endeavour--Cap Bank 22</v>
      </c>
      <c r="B634" s="32" t="str">
        <f t="shared" si="24"/>
        <v>Endeavour</v>
      </c>
      <c r="C634" s="32" t="s">
        <v>720</v>
      </c>
      <c r="D634" s="395"/>
      <c r="F634" t="s">
        <v>638</v>
      </c>
      <c r="G634" s="21">
        <v>0</v>
      </c>
      <c r="H634" s="21">
        <v>0</v>
      </c>
      <c r="I634" s="21">
        <v>0</v>
      </c>
      <c r="J634" s="21">
        <v>0</v>
      </c>
      <c r="K634" s="21">
        <v>0</v>
      </c>
      <c r="L634" s="21">
        <v>0</v>
      </c>
      <c r="M634" s="21">
        <v>0</v>
      </c>
      <c r="N634" s="21">
        <v>0</v>
      </c>
      <c r="O634" s="21">
        <v>0</v>
      </c>
      <c r="P634" s="21">
        <v>0</v>
      </c>
      <c r="Q634" s="21">
        <v>0</v>
      </c>
      <c r="R634" s="23">
        <v>0</v>
      </c>
      <c r="S634" s="23">
        <v>0</v>
      </c>
      <c r="T634" s="23">
        <v>0</v>
      </c>
      <c r="U634" s="23">
        <v>0</v>
      </c>
      <c r="V634" s="23">
        <v>0</v>
      </c>
      <c r="W634" s="23">
        <v>0</v>
      </c>
      <c r="X634" s="23">
        <v>0</v>
      </c>
      <c r="Y634" s="23">
        <v>0</v>
      </c>
      <c r="Z634" s="23">
        <v>0</v>
      </c>
      <c r="AA634" s="23">
        <v>0</v>
      </c>
      <c r="AB634" s="23">
        <v>0</v>
      </c>
      <c r="AC634" s="25">
        <v>0</v>
      </c>
      <c r="AD634" s="25">
        <v>0</v>
      </c>
      <c r="AE634" s="25">
        <v>0</v>
      </c>
      <c r="AF634" s="25">
        <v>0</v>
      </c>
      <c r="AG634" s="25">
        <v>0</v>
      </c>
      <c r="AH634" s="25">
        <v>0</v>
      </c>
      <c r="AI634" s="25">
        <v>0</v>
      </c>
      <c r="AJ634" s="25">
        <v>0</v>
      </c>
      <c r="AK634" s="25">
        <v>0</v>
      </c>
      <c r="AL634" s="25">
        <v>0</v>
      </c>
      <c r="AM634" s="25">
        <v>0</v>
      </c>
    </row>
    <row r="635" spans="1:39" ht="15" customHeight="1">
      <c r="A635" s="32" t="str">
        <f t="shared" si="23"/>
        <v>Endeavour--Cap Bank 33</v>
      </c>
      <c r="B635" s="32" t="str">
        <f t="shared" si="24"/>
        <v>Endeavour</v>
      </c>
      <c r="C635" s="32" t="s">
        <v>720</v>
      </c>
      <c r="D635" s="395"/>
      <c r="F635" t="s">
        <v>639</v>
      </c>
      <c r="G635" s="21">
        <v>0</v>
      </c>
      <c r="H635" s="21">
        <v>0</v>
      </c>
      <c r="I635" s="21">
        <v>0</v>
      </c>
      <c r="J635" s="21">
        <v>0</v>
      </c>
      <c r="K635" s="21">
        <v>0</v>
      </c>
      <c r="L635" s="21">
        <v>0</v>
      </c>
      <c r="M635" s="21">
        <v>0</v>
      </c>
      <c r="N635" s="21">
        <v>0</v>
      </c>
      <c r="O635" s="21">
        <v>0</v>
      </c>
      <c r="P635" s="21">
        <v>0</v>
      </c>
      <c r="Q635" s="21">
        <v>0</v>
      </c>
      <c r="R635" s="23">
        <v>0</v>
      </c>
      <c r="S635" s="23">
        <v>0</v>
      </c>
      <c r="T635" s="23">
        <v>1</v>
      </c>
      <c r="U635" s="23">
        <v>0</v>
      </c>
      <c r="V635" s="23">
        <v>0</v>
      </c>
      <c r="W635" s="23">
        <v>0</v>
      </c>
      <c r="X635" s="23">
        <v>1</v>
      </c>
      <c r="Y635" s="23">
        <v>1</v>
      </c>
      <c r="Z635" s="23">
        <v>1</v>
      </c>
      <c r="AA635" s="23">
        <v>1</v>
      </c>
      <c r="AB635" s="23">
        <v>0</v>
      </c>
      <c r="AC635" s="25">
        <v>0</v>
      </c>
      <c r="AD635" s="25">
        <v>0</v>
      </c>
      <c r="AE635" s="25">
        <v>0</v>
      </c>
      <c r="AF635" s="25">
        <v>0</v>
      </c>
      <c r="AG635" s="25">
        <v>0</v>
      </c>
      <c r="AH635" s="25">
        <v>0</v>
      </c>
      <c r="AI635" s="25">
        <v>0</v>
      </c>
      <c r="AJ635" s="25">
        <v>0</v>
      </c>
      <c r="AK635" s="25">
        <v>0</v>
      </c>
      <c r="AL635" s="25">
        <v>0</v>
      </c>
      <c r="AM635" s="25">
        <v>0</v>
      </c>
    </row>
    <row r="636" spans="1:39" ht="15" customHeight="1">
      <c r="A636" s="32" t="str">
        <f t="shared" si="23"/>
        <v>Endeavour--Cap Bank 66</v>
      </c>
      <c r="B636" s="32" t="str">
        <f t="shared" si="24"/>
        <v>Endeavour</v>
      </c>
      <c r="C636" s="32" t="s">
        <v>720</v>
      </c>
      <c r="D636" s="395"/>
      <c r="F636" t="s">
        <v>640</v>
      </c>
      <c r="G636" s="21">
        <v>0</v>
      </c>
      <c r="H636" s="21">
        <v>0</v>
      </c>
      <c r="I636" s="21">
        <v>0</v>
      </c>
      <c r="J636" s="21">
        <v>0</v>
      </c>
      <c r="K636" s="21">
        <v>0</v>
      </c>
      <c r="L636" s="21">
        <v>0</v>
      </c>
      <c r="M636" s="21">
        <v>0</v>
      </c>
      <c r="N636" s="21">
        <v>0</v>
      </c>
      <c r="O636" s="21">
        <v>0</v>
      </c>
      <c r="P636" s="21">
        <v>0</v>
      </c>
      <c r="Q636" s="21">
        <v>0</v>
      </c>
      <c r="R636" s="23">
        <v>0</v>
      </c>
      <c r="S636" s="23">
        <v>0</v>
      </c>
      <c r="T636" s="23">
        <v>0</v>
      </c>
      <c r="U636" s="23">
        <v>0</v>
      </c>
      <c r="V636" s="23">
        <v>0</v>
      </c>
      <c r="W636" s="23">
        <v>0</v>
      </c>
      <c r="X636" s="23">
        <v>0</v>
      </c>
      <c r="Y636" s="23">
        <v>0</v>
      </c>
      <c r="Z636" s="23">
        <v>0</v>
      </c>
      <c r="AA636" s="23">
        <v>0</v>
      </c>
      <c r="AB636" s="23">
        <v>0</v>
      </c>
      <c r="AC636" s="25">
        <v>0</v>
      </c>
      <c r="AD636" s="25">
        <v>0</v>
      </c>
      <c r="AE636" s="25">
        <v>0</v>
      </c>
      <c r="AF636" s="25">
        <v>0</v>
      </c>
      <c r="AG636" s="25">
        <v>0</v>
      </c>
      <c r="AH636" s="25">
        <v>0</v>
      </c>
      <c r="AI636" s="25">
        <v>0</v>
      </c>
      <c r="AJ636" s="25">
        <v>0</v>
      </c>
      <c r="AK636" s="25">
        <v>0</v>
      </c>
      <c r="AL636" s="25">
        <v>0</v>
      </c>
      <c r="AM636" s="25">
        <v>0</v>
      </c>
    </row>
    <row r="637" spans="1:39" ht="30" customHeight="1">
      <c r="A637" s="32" t="str">
        <f t="shared" si="23"/>
        <v>Endeavour-OTHER BY: 
DNSP DEFINED-Cap Bank 132</v>
      </c>
      <c r="B637" s="32" t="str">
        <f t="shared" si="24"/>
        <v>Endeavour</v>
      </c>
      <c r="C637" s="32" t="s">
        <v>720</v>
      </c>
      <c r="D637" s="395"/>
      <c r="E637" s="3" t="s">
        <v>567</v>
      </c>
      <c r="F637" t="s">
        <v>641</v>
      </c>
      <c r="G637" s="21">
        <v>0</v>
      </c>
      <c r="H637" s="21">
        <v>0</v>
      </c>
      <c r="I637" s="21">
        <v>0</v>
      </c>
      <c r="J637" s="21">
        <v>0</v>
      </c>
      <c r="K637" s="21">
        <v>0</v>
      </c>
      <c r="L637" s="21">
        <v>0</v>
      </c>
      <c r="M637" s="21">
        <v>0</v>
      </c>
      <c r="N637" s="21">
        <v>0</v>
      </c>
      <c r="O637" s="21">
        <v>0</v>
      </c>
      <c r="P637" s="21">
        <v>0</v>
      </c>
      <c r="Q637" s="21">
        <v>0</v>
      </c>
      <c r="R637" s="23">
        <v>0</v>
      </c>
      <c r="S637" s="23">
        <v>0</v>
      </c>
      <c r="T637" s="23">
        <v>0</v>
      </c>
      <c r="U637" s="23">
        <v>0</v>
      </c>
      <c r="V637" s="23">
        <v>0</v>
      </c>
      <c r="W637" s="23">
        <v>0</v>
      </c>
      <c r="X637" s="23">
        <v>0</v>
      </c>
      <c r="Y637" s="23">
        <v>0</v>
      </c>
      <c r="Z637" s="23">
        <v>0</v>
      </c>
      <c r="AA637" s="23">
        <v>0</v>
      </c>
      <c r="AB637" s="23">
        <v>0</v>
      </c>
      <c r="AC637" s="25">
        <v>0</v>
      </c>
      <c r="AD637" s="25">
        <v>0</v>
      </c>
      <c r="AE637" s="25">
        <v>0</v>
      </c>
      <c r="AF637" s="25">
        <v>0</v>
      </c>
      <c r="AG637" s="25">
        <v>0</v>
      </c>
      <c r="AH637" s="25">
        <v>0</v>
      </c>
      <c r="AI637" s="25">
        <v>0</v>
      </c>
      <c r="AJ637" s="25">
        <v>0</v>
      </c>
      <c r="AK637" s="25">
        <v>0</v>
      </c>
      <c r="AL637" s="25">
        <v>0</v>
      </c>
      <c r="AM637" s="25">
        <v>0</v>
      </c>
    </row>
    <row r="638" spans="1:39" ht="60" customHeight="1">
      <c r="A638" s="32" t="str">
        <f t="shared" si="23"/>
        <v>Ausgrid-POLES BY: 
HIGHEST OPERATING VOLTAGE ; MATERIAL TYPE;  STAKING (IF WOOD)-STAKING OF A WOODEN POLE</v>
      </c>
      <c r="B638" s="32" t="str">
        <f t="shared" si="24"/>
        <v>Ausgrid</v>
      </c>
      <c r="C638" s="32" t="s">
        <v>1138</v>
      </c>
      <c r="D638" s="396" t="s">
        <v>574</v>
      </c>
      <c r="E638" s="3" t="s">
        <v>311</v>
      </c>
      <c r="F638" s="1" t="s">
        <v>117</v>
      </c>
      <c r="G638" s="21">
        <v>1794</v>
      </c>
      <c r="H638" s="21">
        <v>3673</v>
      </c>
      <c r="I638" s="21">
        <v>5063</v>
      </c>
      <c r="J638" s="21">
        <v>4743</v>
      </c>
      <c r="K638" s="21">
        <v>4460</v>
      </c>
      <c r="L638" s="21">
        <v>3052</v>
      </c>
      <c r="M638" s="21">
        <v>2389</v>
      </c>
      <c r="N638" s="21">
        <v>2597</v>
      </c>
      <c r="O638" s="21">
        <v>2738</v>
      </c>
      <c r="P638" s="21">
        <v>2898</v>
      </c>
      <c r="Q638" s="21">
        <v>3056</v>
      </c>
      <c r="R638" s="23">
        <v>3108</v>
      </c>
      <c r="S638" s="23">
        <v>4656</v>
      </c>
      <c r="T638" s="23">
        <v>2887</v>
      </c>
      <c r="U638" s="23">
        <v>3272</v>
      </c>
      <c r="V638" s="23">
        <v>2333</v>
      </c>
      <c r="W638" s="23">
        <v>1333</v>
      </c>
      <c r="X638" s="23">
        <v>2704</v>
      </c>
      <c r="Y638" s="23">
        <v>2820</v>
      </c>
      <c r="Z638" s="23">
        <v>2841</v>
      </c>
      <c r="AA638" s="23">
        <v>2875</v>
      </c>
      <c r="AB638" s="23">
        <v>2902</v>
      </c>
      <c r="AC638" s="25">
        <v>0</v>
      </c>
      <c r="AD638" s="25">
        <v>0</v>
      </c>
      <c r="AE638" s="25">
        <v>0</v>
      </c>
      <c r="AF638" s="25">
        <v>0</v>
      </c>
      <c r="AG638" s="25">
        <v>0</v>
      </c>
      <c r="AH638" s="25">
        <v>0</v>
      </c>
      <c r="AI638" s="25">
        <v>0</v>
      </c>
      <c r="AJ638" s="25">
        <v>0</v>
      </c>
      <c r="AK638" s="25">
        <v>0</v>
      </c>
      <c r="AL638" s="25">
        <v>0</v>
      </c>
      <c r="AM638" s="25">
        <v>0</v>
      </c>
    </row>
    <row r="639" spans="1:39" ht="15" customHeight="1">
      <c r="A639" s="32" t="str">
        <f t="shared" si="23"/>
        <v>Ausgrid--˂ = 1 kV; WOOD</v>
      </c>
      <c r="B639" s="32" t="str">
        <f t="shared" si="24"/>
        <v>Ausgrid</v>
      </c>
      <c r="C639" s="32" t="s">
        <v>1</v>
      </c>
      <c r="D639" s="397"/>
      <c r="F639" s="1" t="s">
        <v>119</v>
      </c>
      <c r="G639" s="21">
        <v>17130</v>
      </c>
      <c r="H639" s="21">
        <v>24131</v>
      </c>
      <c r="I639" s="21">
        <v>21647</v>
      </c>
      <c r="J639" s="21">
        <v>22085</v>
      </c>
      <c r="K639" s="21">
        <v>22196</v>
      </c>
      <c r="L639" s="21">
        <v>15624</v>
      </c>
      <c r="M639" s="21">
        <v>33213</v>
      </c>
      <c r="N639" s="21">
        <v>36821</v>
      </c>
      <c r="O639" s="21">
        <v>39066</v>
      </c>
      <c r="P639" s="21">
        <v>41734</v>
      </c>
      <c r="Q639" s="21">
        <v>54625</v>
      </c>
      <c r="R639" s="23">
        <v>885</v>
      </c>
      <c r="S639" s="23">
        <v>2076</v>
      </c>
      <c r="T639" s="23">
        <v>2114</v>
      </c>
      <c r="U639" s="23">
        <v>2165</v>
      </c>
      <c r="V639" s="23">
        <v>1724</v>
      </c>
      <c r="W639" s="23">
        <v>1126</v>
      </c>
      <c r="X639" s="23">
        <v>2967</v>
      </c>
      <c r="Y639" s="23">
        <v>3197</v>
      </c>
      <c r="Z639" s="23">
        <v>3299</v>
      </c>
      <c r="AA639" s="23">
        <v>3429</v>
      </c>
      <c r="AB639" s="23">
        <v>4367</v>
      </c>
      <c r="AC639" s="25">
        <v>3</v>
      </c>
      <c r="AD639" s="25">
        <v>5</v>
      </c>
      <c r="AE639" s="25">
        <v>8</v>
      </c>
      <c r="AF639" s="25">
        <v>5</v>
      </c>
      <c r="AG639" s="25">
        <v>5</v>
      </c>
      <c r="AH639" s="25">
        <v>2</v>
      </c>
      <c r="AI639" s="25">
        <v>0</v>
      </c>
      <c r="AJ639" s="25">
        <v>0</v>
      </c>
      <c r="AK639" s="25">
        <v>0</v>
      </c>
      <c r="AL639" s="25">
        <v>0</v>
      </c>
      <c r="AM639" s="25">
        <v>0</v>
      </c>
    </row>
    <row r="640" spans="1:39" ht="15" customHeight="1">
      <c r="A640" s="32" t="str">
        <f t="shared" si="23"/>
        <v>Ausgrid--&gt; 1 kV &amp; &lt; = 11 kV; WOOD</v>
      </c>
      <c r="B640" s="32" t="str">
        <f t="shared" si="24"/>
        <v>Ausgrid</v>
      </c>
      <c r="C640" s="32" t="s">
        <v>1</v>
      </c>
      <c r="D640" s="397"/>
      <c r="F640" s="1" t="s">
        <v>121</v>
      </c>
      <c r="G640" s="21">
        <v>16131</v>
      </c>
      <c r="H640" s="21">
        <v>17680</v>
      </c>
      <c r="I640" s="21">
        <v>15961</v>
      </c>
      <c r="J640" s="21">
        <v>15217</v>
      </c>
      <c r="K640" s="21">
        <v>16539</v>
      </c>
      <c r="L640" s="21">
        <v>8822</v>
      </c>
      <c r="M640" s="21">
        <v>18754</v>
      </c>
      <c r="N640" s="21">
        <v>20791</v>
      </c>
      <c r="O640" s="21">
        <v>22059</v>
      </c>
      <c r="P640" s="21">
        <v>23565</v>
      </c>
      <c r="Q640" s="21">
        <v>30844</v>
      </c>
      <c r="R640" s="23">
        <v>833</v>
      </c>
      <c r="S640" s="23">
        <v>1521</v>
      </c>
      <c r="T640" s="23">
        <v>1558</v>
      </c>
      <c r="U640" s="23">
        <v>1492</v>
      </c>
      <c r="V640" s="23">
        <v>1285</v>
      </c>
      <c r="W640" s="23">
        <v>636</v>
      </c>
      <c r="X640" s="23">
        <v>1675</v>
      </c>
      <c r="Y640" s="23">
        <v>1805</v>
      </c>
      <c r="Z640" s="23">
        <v>1863</v>
      </c>
      <c r="AA640" s="23">
        <v>1936</v>
      </c>
      <c r="AB640" s="23">
        <v>2466</v>
      </c>
      <c r="AC640" s="25">
        <v>3</v>
      </c>
      <c r="AD640" s="25">
        <v>7</v>
      </c>
      <c r="AE640" s="25">
        <v>2</v>
      </c>
      <c r="AF640" s="25">
        <v>3</v>
      </c>
      <c r="AG640" s="25">
        <v>3</v>
      </c>
      <c r="AH640" s="25">
        <v>2</v>
      </c>
      <c r="AI640" s="25">
        <v>0</v>
      </c>
      <c r="AJ640" s="25">
        <v>0</v>
      </c>
      <c r="AK640" s="25">
        <v>0</v>
      </c>
      <c r="AL640" s="25">
        <v>0</v>
      </c>
      <c r="AM640" s="25">
        <v>0</v>
      </c>
    </row>
    <row r="641" spans="1:39" ht="15" customHeight="1">
      <c r="A641" s="32" t="str">
        <f t="shared" si="23"/>
        <v>Ausgrid--˃ 11 kV &amp; &lt; = 22 kV; WOOD</v>
      </c>
      <c r="B641" s="32" t="str">
        <f t="shared" si="24"/>
        <v>Ausgrid</v>
      </c>
      <c r="C641" s="32" t="s">
        <v>1</v>
      </c>
      <c r="D641" s="397"/>
      <c r="F641" s="1" t="s">
        <v>123</v>
      </c>
      <c r="G641" s="21">
        <v>173</v>
      </c>
      <c r="H641" s="21">
        <v>7</v>
      </c>
      <c r="I641" s="21">
        <v>0</v>
      </c>
      <c r="J641" s="21">
        <v>0</v>
      </c>
      <c r="K641" s="21">
        <v>38</v>
      </c>
      <c r="L641" s="21">
        <v>0</v>
      </c>
      <c r="M641" s="21">
        <v>0</v>
      </c>
      <c r="N641" s="21">
        <v>0</v>
      </c>
      <c r="O641" s="21">
        <v>0</v>
      </c>
      <c r="P641" s="21">
        <v>0</v>
      </c>
      <c r="Q641" s="21">
        <v>0</v>
      </c>
      <c r="R641" s="23">
        <v>9</v>
      </c>
      <c r="S641" s="23">
        <v>1</v>
      </c>
      <c r="T641" s="23">
        <v>0</v>
      </c>
      <c r="U641" s="23">
        <v>0</v>
      </c>
      <c r="V641" s="23">
        <v>3</v>
      </c>
      <c r="W641" s="23">
        <v>0</v>
      </c>
      <c r="X641" s="23">
        <v>0</v>
      </c>
      <c r="Y641" s="23">
        <v>0</v>
      </c>
      <c r="Z641" s="23">
        <v>0</v>
      </c>
      <c r="AA641" s="23">
        <v>0</v>
      </c>
      <c r="AB641" s="23">
        <v>0</v>
      </c>
      <c r="AC641" s="25">
        <v>0</v>
      </c>
      <c r="AD641" s="25">
        <v>0</v>
      </c>
      <c r="AE641" s="25">
        <v>0</v>
      </c>
      <c r="AF641" s="25">
        <v>0</v>
      </c>
      <c r="AG641" s="25">
        <v>0</v>
      </c>
      <c r="AH641" s="25">
        <v>0</v>
      </c>
      <c r="AI641" s="25">
        <v>0</v>
      </c>
      <c r="AJ641" s="25">
        <v>0</v>
      </c>
      <c r="AK641" s="25">
        <v>0</v>
      </c>
      <c r="AL641" s="25">
        <v>0</v>
      </c>
      <c r="AM641" s="25">
        <v>0</v>
      </c>
    </row>
    <row r="642" spans="1:39" ht="15" customHeight="1">
      <c r="A642" s="32" t="str">
        <f t="shared" si="23"/>
        <v>Ausgrid--&gt; 22 kV &amp; &lt; = 66 kV; WOOD</v>
      </c>
      <c r="B642" s="32" t="str">
        <f t="shared" si="24"/>
        <v>Ausgrid</v>
      </c>
      <c r="C642" s="32" t="s">
        <v>1</v>
      </c>
      <c r="D642" s="397"/>
      <c r="F642" s="1" t="s">
        <v>125</v>
      </c>
      <c r="G642" s="21">
        <v>1720</v>
      </c>
      <c r="H642" s="21">
        <v>1267</v>
      </c>
      <c r="I642" s="21">
        <v>1501</v>
      </c>
      <c r="J642" s="21">
        <v>2215</v>
      </c>
      <c r="K642" s="21">
        <v>4666</v>
      </c>
      <c r="L642" s="21">
        <v>2846</v>
      </c>
      <c r="M642" s="21">
        <v>5252</v>
      </c>
      <c r="N642" s="21">
        <v>5723</v>
      </c>
      <c r="O642" s="21">
        <v>6032</v>
      </c>
      <c r="P642" s="21">
        <v>6355</v>
      </c>
      <c r="Q642" s="21">
        <v>6691</v>
      </c>
      <c r="R642" s="23">
        <v>41</v>
      </c>
      <c r="S642" s="23">
        <v>63</v>
      </c>
      <c r="T642" s="23">
        <v>51</v>
      </c>
      <c r="U642" s="23">
        <v>87</v>
      </c>
      <c r="V642" s="23">
        <v>165</v>
      </c>
      <c r="W642" s="23">
        <v>92</v>
      </c>
      <c r="X642" s="23">
        <v>191</v>
      </c>
      <c r="Y642" s="23">
        <v>201</v>
      </c>
      <c r="Z642" s="23">
        <v>206</v>
      </c>
      <c r="AA642" s="23">
        <v>210</v>
      </c>
      <c r="AB642" s="23">
        <v>214</v>
      </c>
      <c r="AC642" s="25">
        <v>2</v>
      </c>
      <c r="AD642" s="25">
        <v>2</v>
      </c>
      <c r="AE642" s="25">
        <v>4</v>
      </c>
      <c r="AF642" s="25">
        <v>1</v>
      </c>
      <c r="AG642" s="25">
        <v>0</v>
      </c>
      <c r="AH642" s="25">
        <v>0</v>
      </c>
      <c r="AI642" s="25">
        <v>0</v>
      </c>
      <c r="AJ642" s="25">
        <v>0</v>
      </c>
      <c r="AK642" s="25">
        <v>0</v>
      </c>
      <c r="AL642" s="25">
        <v>0</v>
      </c>
      <c r="AM642" s="25">
        <v>0</v>
      </c>
    </row>
    <row r="643" spans="1:39" ht="15" customHeight="1">
      <c r="A643" s="32" t="str">
        <f t="shared" si="23"/>
        <v>Ausgrid--&gt; 66 kV &amp; &lt; = 132 kV; WOOD</v>
      </c>
      <c r="B643" s="32" t="str">
        <f t="shared" si="24"/>
        <v>Ausgrid</v>
      </c>
      <c r="C643" s="32" t="s">
        <v>1</v>
      </c>
      <c r="D643" s="397"/>
      <c r="F643" s="1" t="s">
        <v>127</v>
      </c>
      <c r="G643" s="21">
        <v>152</v>
      </c>
      <c r="H643" s="21">
        <v>172</v>
      </c>
      <c r="I643" s="21">
        <v>113</v>
      </c>
      <c r="J643" s="21">
        <v>169</v>
      </c>
      <c r="K643" s="21">
        <v>362</v>
      </c>
      <c r="L643" s="21">
        <v>33</v>
      </c>
      <c r="M643" s="21">
        <v>61</v>
      </c>
      <c r="N643" s="21">
        <v>67</v>
      </c>
      <c r="O643" s="21">
        <v>70</v>
      </c>
      <c r="P643" s="21">
        <v>74</v>
      </c>
      <c r="Q643" s="21">
        <v>78</v>
      </c>
      <c r="R643" s="23">
        <v>4</v>
      </c>
      <c r="S643" s="23">
        <v>9</v>
      </c>
      <c r="T643" s="23">
        <v>4</v>
      </c>
      <c r="U643" s="23">
        <v>7</v>
      </c>
      <c r="V643" s="23">
        <v>13</v>
      </c>
      <c r="W643" s="23">
        <v>1</v>
      </c>
      <c r="X643" s="23">
        <v>2</v>
      </c>
      <c r="Y643" s="23">
        <v>2</v>
      </c>
      <c r="Z643" s="23">
        <v>2</v>
      </c>
      <c r="AA643" s="23">
        <v>2</v>
      </c>
      <c r="AB643" s="23">
        <v>2</v>
      </c>
      <c r="AC643" s="25">
        <v>0</v>
      </c>
      <c r="AD643" s="25">
        <v>0</v>
      </c>
      <c r="AE643" s="25">
        <v>0</v>
      </c>
      <c r="AF643" s="25">
        <v>0</v>
      </c>
      <c r="AG643" s="25">
        <v>0</v>
      </c>
      <c r="AH643" s="25">
        <v>0</v>
      </c>
      <c r="AI643" s="25">
        <v>0</v>
      </c>
      <c r="AJ643" s="25">
        <v>0</v>
      </c>
      <c r="AK643" s="25">
        <v>0</v>
      </c>
      <c r="AL643" s="25">
        <v>0</v>
      </c>
      <c r="AM643" s="25">
        <v>0</v>
      </c>
    </row>
    <row r="644" spans="1:39" ht="15" customHeight="1">
      <c r="A644" s="32" t="str">
        <f t="shared" si="23"/>
        <v>Ausgrid--&gt; 132 kV; WOOD</v>
      </c>
      <c r="B644" s="32" t="str">
        <f t="shared" si="24"/>
        <v>Ausgrid</v>
      </c>
      <c r="C644" s="32" t="s">
        <v>1</v>
      </c>
      <c r="D644" s="397"/>
      <c r="F644" s="1" t="s">
        <v>129</v>
      </c>
      <c r="G644" s="21">
        <v>0</v>
      </c>
      <c r="H644" s="21">
        <v>0</v>
      </c>
      <c r="I644" s="21">
        <v>0</v>
      </c>
      <c r="J644" s="21">
        <v>0</v>
      </c>
      <c r="K644" s="21">
        <v>0</v>
      </c>
      <c r="L644" s="21">
        <v>0</v>
      </c>
      <c r="M644" s="21">
        <v>0</v>
      </c>
      <c r="N644" s="21">
        <v>0</v>
      </c>
      <c r="O644" s="21">
        <v>0</v>
      </c>
      <c r="P644" s="21">
        <v>0</v>
      </c>
      <c r="Q644" s="21">
        <v>0</v>
      </c>
      <c r="R644" s="23">
        <v>0</v>
      </c>
      <c r="S644" s="23">
        <v>0</v>
      </c>
      <c r="T644" s="23">
        <v>0</v>
      </c>
      <c r="U644" s="23">
        <v>0</v>
      </c>
      <c r="V644" s="23">
        <v>0</v>
      </c>
      <c r="W644" s="23">
        <v>0</v>
      </c>
      <c r="X644" s="23">
        <v>0</v>
      </c>
      <c r="Y644" s="23">
        <v>0</v>
      </c>
      <c r="Z644" s="23">
        <v>0</v>
      </c>
      <c r="AA644" s="23">
        <v>0</v>
      </c>
      <c r="AB644" s="23">
        <v>0</v>
      </c>
      <c r="AC644" s="25">
        <v>0</v>
      </c>
      <c r="AD644" s="25">
        <v>0</v>
      </c>
      <c r="AE644" s="25">
        <v>0</v>
      </c>
      <c r="AF644" s="25">
        <v>0</v>
      </c>
      <c r="AG644" s="25">
        <v>0</v>
      </c>
      <c r="AH644" s="25">
        <v>0</v>
      </c>
      <c r="AI644" s="25">
        <v>0</v>
      </c>
      <c r="AJ644" s="25">
        <v>0</v>
      </c>
      <c r="AK644" s="25">
        <v>0</v>
      </c>
      <c r="AL644" s="25">
        <v>0</v>
      </c>
      <c r="AM644" s="25">
        <v>0</v>
      </c>
    </row>
    <row r="645" spans="1:39" ht="15" customHeight="1">
      <c r="A645" s="32" t="str">
        <f t="shared" si="23"/>
        <v>Ausgrid--˂ = 1 kV; CONCRETE</v>
      </c>
      <c r="B645" s="32" t="str">
        <f t="shared" si="24"/>
        <v>Ausgrid</v>
      </c>
      <c r="C645" s="32" t="s">
        <v>1</v>
      </c>
      <c r="D645" s="397"/>
      <c r="F645" s="1" t="s">
        <v>131</v>
      </c>
      <c r="G645" s="21">
        <v>11</v>
      </c>
      <c r="H645" s="21">
        <v>163</v>
      </c>
      <c r="I645" s="21">
        <v>113</v>
      </c>
      <c r="J645" s="21">
        <v>132</v>
      </c>
      <c r="K645" s="21">
        <v>83</v>
      </c>
      <c r="L645" s="21">
        <v>65</v>
      </c>
      <c r="M645" s="21">
        <v>138</v>
      </c>
      <c r="N645" s="21">
        <v>153</v>
      </c>
      <c r="O645" s="21">
        <v>162</v>
      </c>
      <c r="P645" s="21">
        <v>173</v>
      </c>
      <c r="Q645" s="21">
        <v>227</v>
      </c>
      <c r="R645" s="23">
        <v>1</v>
      </c>
      <c r="S645" s="23">
        <v>14</v>
      </c>
      <c r="T645" s="23">
        <v>11</v>
      </c>
      <c r="U645" s="23">
        <v>13</v>
      </c>
      <c r="V645" s="23">
        <v>6</v>
      </c>
      <c r="W645" s="23">
        <v>5</v>
      </c>
      <c r="X645" s="23">
        <v>12</v>
      </c>
      <c r="Y645" s="23">
        <v>13</v>
      </c>
      <c r="Z645" s="23">
        <v>14</v>
      </c>
      <c r="AA645" s="23">
        <v>14</v>
      </c>
      <c r="AB645" s="23">
        <v>18</v>
      </c>
      <c r="AC645" s="25">
        <v>0</v>
      </c>
      <c r="AD645" s="25">
        <v>0</v>
      </c>
      <c r="AE645" s="25">
        <v>0</v>
      </c>
      <c r="AF645" s="25">
        <v>0</v>
      </c>
      <c r="AG645" s="25">
        <v>0</v>
      </c>
      <c r="AH645" s="25">
        <v>0</v>
      </c>
      <c r="AI645" s="25">
        <v>0</v>
      </c>
      <c r="AJ645" s="25">
        <v>0</v>
      </c>
      <c r="AK645" s="25">
        <v>0</v>
      </c>
      <c r="AL645" s="25">
        <v>0</v>
      </c>
      <c r="AM645" s="25">
        <v>0</v>
      </c>
    </row>
    <row r="646" spans="1:39" ht="15" customHeight="1">
      <c r="A646" s="32" t="str">
        <f t="shared" ref="A646:A709" si="25">B646&amp;"-"&amp;E646&amp;"-"&amp;F646</f>
        <v>Ausgrid--&gt; 1 kV &amp; &lt; = 11 kV; CONCRETE</v>
      </c>
      <c r="B646" s="32" t="str">
        <f t="shared" ref="B646:B709" si="26">IF(D646&gt;0,D646,B645)</f>
        <v>Ausgrid</v>
      </c>
      <c r="C646" s="32" t="s">
        <v>1</v>
      </c>
      <c r="D646" s="397"/>
      <c r="F646" s="1" t="s">
        <v>133</v>
      </c>
      <c r="G646" s="21">
        <v>11</v>
      </c>
      <c r="H646" s="21">
        <v>52</v>
      </c>
      <c r="I646" s="21">
        <v>68</v>
      </c>
      <c r="J646" s="21">
        <v>90</v>
      </c>
      <c r="K646" s="21">
        <v>64</v>
      </c>
      <c r="L646" s="21">
        <v>56</v>
      </c>
      <c r="M646" s="21">
        <v>118</v>
      </c>
      <c r="N646" s="21">
        <v>131</v>
      </c>
      <c r="O646" s="21">
        <v>139</v>
      </c>
      <c r="P646" s="21">
        <v>149</v>
      </c>
      <c r="Q646" s="21">
        <v>194</v>
      </c>
      <c r="R646" s="23">
        <v>1</v>
      </c>
      <c r="S646" s="23">
        <v>4</v>
      </c>
      <c r="T646" s="23">
        <v>7</v>
      </c>
      <c r="U646" s="23">
        <v>9</v>
      </c>
      <c r="V646" s="23">
        <v>5</v>
      </c>
      <c r="W646" s="23">
        <v>4</v>
      </c>
      <c r="X646" s="23">
        <v>11</v>
      </c>
      <c r="Y646" s="23">
        <v>11</v>
      </c>
      <c r="Z646" s="23">
        <v>12</v>
      </c>
      <c r="AA646" s="23">
        <v>12</v>
      </c>
      <c r="AB646" s="23">
        <v>16</v>
      </c>
      <c r="AC646" s="25">
        <v>0</v>
      </c>
      <c r="AD646" s="25">
        <v>0</v>
      </c>
      <c r="AE646" s="25">
        <v>0</v>
      </c>
      <c r="AF646" s="25">
        <v>0</v>
      </c>
      <c r="AG646" s="25">
        <v>0</v>
      </c>
      <c r="AH646" s="25">
        <v>0</v>
      </c>
      <c r="AI646" s="25">
        <v>0</v>
      </c>
      <c r="AJ646" s="25">
        <v>0</v>
      </c>
      <c r="AK646" s="25">
        <v>0</v>
      </c>
      <c r="AL646" s="25">
        <v>0</v>
      </c>
      <c r="AM646" s="25">
        <v>0</v>
      </c>
    </row>
    <row r="647" spans="1:39" ht="15" customHeight="1">
      <c r="A647" s="32" t="str">
        <f t="shared" si="25"/>
        <v>Ausgrid--˃ 11 kV &amp; &lt; = 22 kV; CONCRETE</v>
      </c>
      <c r="B647" s="32" t="str">
        <f t="shared" si="26"/>
        <v>Ausgrid</v>
      </c>
      <c r="C647" s="32" t="s">
        <v>1</v>
      </c>
      <c r="D647" s="397"/>
      <c r="F647" s="1" t="s">
        <v>153</v>
      </c>
      <c r="G647" s="21">
        <v>0</v>
      </c>
      <c r="H647" s="21">
        <v>0</v>
      </c>
      <c r="I647" s="21">
        <v>0</v>
      </c>
      <c r="J647" s="21">
        <v>0</v>
      </c>
      <c r="K647" s="21">
        <v>0</v>
      </c>
      <c r="L647" s="21">
        <v>0</v>
      </c>
      <c r="M647" s="21">
        <v>0</v>
      </c>
      <c r="N647" s="21">
        <v>0</v>
      </c>
      <c r="O647" s="21">
        <v>0</v>
      </c>
      <c r="P647" s="21">
        <v>0</v>
      </c>
      <c r="Q647" s="21">
        <v>0</v>
      </c>
      <c r="R647" s="23">
        <v>0</v>
      </c>
      <c r="S647" s="23">
        <v>0</v>
      </c>
      <c r="T647" s="23">
        <v>0</v>
      </c>
      <c r="U647" s="23">
        <v>0</v>
      </c>
      <c r="V647" s="23">
        <v>0</v>
      </c>
      <c r="W647" s="23">
        <v>0</v>
      </c>
      <c r="X647" s="23">
        <v>0</v>
      </c>
      <c r="Y647" s="23">
        <v>0</v>
      </c>
      <c r="Z647" s="23">
        <v>0</v>
      </c>
      <c r="AA647" s="23">
        <v>0</v>
      </c>
      <c r="AB647" s="23">
        <v>0</v>
      </c>
      <c r="AC647" s="25">
        <v>0</v>
      </c>
      <c r="AD647" s="25">
        <v>0</v>
      </c>
      <c r="AE647" s="25">
        <v>0</v>
      </c>
      <c r="AF647" s="25">
        <v>0</v>
      </c>
      <c r="AG647" s="25">
        <v>0</v>
      </c>
      <c r="AH647" s="25">
        <v>0</v>
      </c>
      <c r="AI647" s="25">
        <v>0</v>
      </c>
      <c r="AJ647" s="25">
        <v>0</v>
      </c>
      <c r="AK647" s="25">
        <v>0</v>
      </c>
      <c r="AL647" s="25">
        <v>0</v>
      </c>
      <c r="AM647" s="25">
        <v>0</v>
      </c>
    </row>
    <row r="648" spans="1:39" ht="15" customHeight="1">
      <c r="A648" s="32" t="str">
        <f t="shared" si="25"/>
        <v>Ausgrid--&gt; 22 kV &amp; &lt; = 66 kV; CONCRETE</v>
      </c>
      <c r="B648" s="32" t="str">
        <f t="shared" si="26"/>
        <v>Ausgrid</v>
      </c>
      <c r="C648" s="32" t="s">
        <v>1</v>
      </c>
      <c r="D648" s="397"/>
      <c r="F648" s="1" t="s">
        <v>155</v>
      </c>
      <c r="G648" s="21">
        <v>4811</v>
      </c>
      <c r="H648" s="21">
        <v>3477</v>
      </c>
      <c r="I648" s="21">
        <v>3558</v>
      </c>
      <c r="J648" s="21">
        <v>4109</v>
      </c>
      <c r="K648" s="21">
        <v>2277</v>
      </c>
      <c r="L648" s="21">
        <v>2488</v>
      </c>
      <c r="M648" s="21">
        <v>1169</v>
      </c>
      <c r="N648" s="21">
        <v>417</v>
      </c>
      <c r="O648" s="21">
        <v>138</v>
      </c>
      <c r="P648" s="21">
        <v>74</v>
      </c>
      <c r="Q648" s="21">
        <v>78</v>
      </c>
      <c r="R648" s="23">
        <v>29</v>
      </c>
      <c r="S648" s="23">
        <v>60</v>
      </c>
      <c r="T648" s="23">
        <v>60</v>
      </c>
      <c r="U648" s="23">
        <v>61</v>
      </c>
      <c r="V648" s="23">
        <v>41</v>
      </c>
      <c r="W648" s="23">
        <v>2</v>
      </c>
      <c r="X648" s="23">
        <v>7</v>
      </c>
      <c r="Y648" s="23">
        <v>4</v>
      </c>
      <c r="Z648" s="23">
        <v>2</v>
      </c>
      <c r="AA648" s="23">
        <v>2</v>
      </c>
      <c r="AB648" s="23">
        <v>2</v>
      </c>
      <c r="AC648" s="25">
        <v>0</v>
      </c>
      <c r="AD648" s="25">
        <v>0</v>
      </c>
      <c r="AE648" s="25">
        <v>0</v>
      </c>
      <c r="AF648" s="25">
        <v>0</v>
      </c>
      <c r="AG648" s="25">
        <v>0</v>
      </c>
      <c r="AH648" s="25">
        <v>0</v>
      </c>
      <c r="AI648" s="25">
        <v>0</v>
      </c>
      <c r="AJ648" s="25">
        <v>0</v>
      </c>
      <c r="AK648" s="25">
        <v>0</v>
      </c>
      <c r="AL648" s="25">
        <v>0</v>
      </c>
      <c r="AM648" s="25">
        <v>0</v>
      </c>
    </row>
    <row r="649" spans="1:39" ht="15" customHeight="1">
      <c r="A649" s="32" t="str">
        <f t="shared" si="25"/>
        <v>Ausgrid--&gt; 66 kV &amp; &lt; = 132 kV; CONCRETE</v>
      </c>
      <c r="B649" s="32" t="str">
        <f t="shared" si="26"/>
        <v>Ausgrid</v>
      </c>
      <c r="C649" s="32" t="s">
        <v>1</v>
      </c>
      <c r="D649" s="397"/>
      <c r="F649" s="1" t="s">
        <v>157</v>
      </c>
      <c r="G649" s="21">
        <v>846</v>
      </c>
      <c r="H649" s="21">
        <v>1464</v>
      </c>
      <c r="I649" s="21">
        <v>1434</v>
      </c>
      <c r="J649" s="21">
        <v>1741</v>
      </c>
      <c r="K649" s="21">
        <v>657</v>
      </c>
      <c r="L649" s="21">
        <v>397</v>
      </c>
      <c r="M649" s="21">
        <v>733</v>
      </c>
      <c r="N649" s="21">
        <v>799</v>
      </c>
      <c r="O649" s="21">
        <v>842</v>
      </c>
      <c r="P649" s="21">
        <v>887</v>
      </c>
      <c r="Q649" s="21">
        <v>934</v>
      </c>
      <c r="R649" s="23">
        <v>20</v>
      </c>
      <c r="S649" s="23">
        <v>73</v>
      </c>
      <c r="T649" s="23">
        <v>49</v>
      </c>
      <c r="U649" s="23">
        <v>69</v>
      </c>
      <c r="V649" s="23">
        <v>23</v>
      </c>
      <c r="W649" s="23">
        <v>13</v>
      </c>
      <c r="X649" s="23">
        <v>27</v>
      </c>
      <c r="Y649" s="23">
        <v>28</v>
      </c>
      <c r="Z649" s="23">
        <v>29</v>
      </c>
      <c r="AA649" s="23">
        <v>29</v>
      </c>
      <c r="AB649" s="23">
        <v>30</v>
      </c>
      <c r="AC649" s="25">
        <v>0</v>
      </c>
      <c r="AD649" s="25">
        <v>0</v>
      </c>
      <c r="AE649" s="25">
        <v>0</v>
      </c>
      <c r="AF649" s="25">
        <v>0</v>
      </c>
      <c r="AG649" s="25">
        <v>0</v>
      </c>
      <c r="AH649" s="25">
        <v>0</v>
      </c>
      <c r="AI649" s="25">
        <v>0</v>
      </c>
      <c r="AJ649" s="25">
        <v>0</v>
      </c>
      <c r="AK649" s="25">
        <v>0</v>
      </c>
      <c r="AL649" s="25">
        <v>0</v>
      </c>
      <c r="AM649" s="25">
        <v>0</v>
      </c>
    </row>
    <row r="650" spans="1:39" ht="15" customHeight="1">
      <c r="A650" s="32" t="str">
        <f t="shared" si="25"/>
        <v>Ausgrid--&gt; 132 kV; CONCRETE</v>
      </c>
      <c r="B650" s="32" t="str">
        <f t="shared" si="26"/>
        <v>Ausgrid</v>
      </c>
      <c r="C650" s="32" t="s">
        <v>1</v>
      </c>
      <c r="D650" s="397"/>
      <c r="F650" s="1" t="s">
        <v>159</v>
      </c>
      <c r="G650" s="21">
        <v>89</v>
      </c>
      <c r="H650" s="21">
        <v>299</v>
      </c>
      <c r="I650" s="21">
        <v>2023</v>
      </c>
      <c r="J650" s="21">
        <v>1857</v>
      </c>
      <c r="K650" s="21">
        <v>995</v>
      </c>
      <c r="L650" s="21">
        <v>1119</v>
      </c>
      <c r="M650" s="21">
        <v>2393</v>
      </c>
      <c r="N650" s="21">
        <v>40</v>
      </c>
      <c r="O650" s="21">
        <v>0</v>
      </c>
      <c r="P650" s="21">
        <v>0</v>
      </c>
      <c r="Q650" s="21">
        <v>0</v>
      </c>
      <c r="R650" s="23">
        <v>0</v>
      </c>
      <c r="S650" s="23">
        <v>0</v>
      </c>
      <c r="T650" s="23">
        <v>0</v>
      </c>
      <c r="U650" s="23">
        <v>1</v>
      </c>
      <c r="V650" s="23">
        <v>3</v>
      </c>
      <c r="W650" s="23">
        <v>0</v>
      </c>
      <c r="X650" s="23">
        <v>0</v>
      </c>
      <c r="Y650" s="23">
        <v>2</v>
      </c>
      <c r="Z650" s="23">
        <v>0</v>
      </c>
      <c r="AA650" s="23">
        <v>0</v>
      </c>
      <c r="AB650" s="23">
        <v>0</v>
      </c>
      <c r="AC650" s="25">
        <v>0</v>
      </c>
      <c r="AD650" s="25">
        <v>0</v>
      </c>
      <c r="AE650" s="25">
        <v>0</v>
      </c>
      <c r="AF650" s="25">
        <v>0</v>
      </c>
      <c r="AG650" s="25">
        <v>0</v>
      </c>
      <c r="AH650" s="25">
        <v>0</v>
      </c>
      <c r="AI650" s="25">
        <v>0</v>
      </c>
      <c r="AJ650" s="25">
        <v>0</v>
      </c>
      <c r="AK650" s="25">
        <v>0</v>
      </c>
      <c r="AL650" s="25">
        <v>0</v>
      </c>
      <c r="AM650" s="25">
        <v>0</v>
      </c>
    </row>
    <row r="651" spans="1:39" ht="15" customHeight="1">
      <c r="A651" s="32" t="str">
        <f t="shared" si="25"/>
        <v>Ausgrid--˂ = 1 kV; STEEL</v>
      </c>
      <c r="B651" s="32" t="str">
        <f t="shared" si="26"/>
        <v>Ausgrid</v>
      </c>
      <c r="C651" s="32" t="s">
        <v>1</v>
      </c>
      <c r="D651" s="397"/>
      <c r="F651" s="1" t="s">
        <v>161</v>
      </c>
      <c r="G651" s="21">
        <v>391</v>
      </c>
      <c r="H651" s="21">
        <v>510</v>
      </c>
      <c r="I651" s="21">
        <v>525</v>
      </c>
      <c r="J651" s="21">
        <v>539</v>
      </c>
      <c r="K651" s="21">
        <v>460</v>
      </c>
      <c r="L651" s="21">
        <v>630</v>
      </c>
      <c r="M651" s="21">
        <v>1340</v>
      </c>
      <c r="N651" s="21">
        <v>1485</v>
      </c>
      <c r="O651" s="21">
        <v>1576</v>
      </c>
      <c r="P651" s="21">
        <v>1683</v>
      </c>
      <c r="Q651" s="21">
        <v>2203</v>
      </c>
      <c r="R651" s="23">
        <v>20</v>
      </c>
      <c r="S651" s="23">
        <v>44</v>
      </c>
      <c r="T651" s="23">
        <v>51</v>
      </c>
      <c r="U651" s="23">
        <v>53</v>
      </c>
      <c r="V651" s="23">
        <v>36</v>
      </c>
      <c r="W651" s="23">
        <v>45</v>
      </c>
      <c r="X651" s="23">
        <v>120</v>
      </c>
      <c r="Y651" s="23">
        <v>129</v>
      </c>
      <c r="Z651" s="23">
        <v>133</v>
      </c>
      <c r="AA651" s="23">
        <v>138</v>
      </c>
      <c r="AB651" s="23">
        <v>176</v>
      </c>
      <c r="AC651" s="25">
        <v>3</v>
      </c>
      <c r="AD651" s="25">
        <v>3</v>
      </c>
      <c r="AE651" s="25">
        <v>2</v>
      </c>
      <c r="AF651" s="25">
        <v>3</v>
      </c>
      <c r="AG651" s="25">
        <v>1</v>
      </c>
      <c r="AH651" s="25">
        <v>0</v>
      </c>
      <c r="AI651" s="25">
        <v>0</v>
      </c>
      <c r="AJ651" s="25">
        <v>0</v>
      </c>
      <c r="AK651" s="25">
        <v>0</v>
      </c>
      <c r="AL651" s="25">
        <v>0</v>
      </c>
      <c r="AM651" s="25">
        <v>0</v>
      </c>
    </row>
    <row r="652" spans="1:39" ht="15" customHeight="1">
      <c r="A652" s="32" t="str">
        <f t="shared" si="25"/>
        <v>Ausgrid--&gt; 1 kV &amp; &lt; = 11 kV; STEEL</v>
      </c>
      <c r="B652" s="32" t="str">
        <f t="shared" si="26"/>
        <v>Ausgrid</v>
      </c>
      <c r="C652" s="32" t="s">
        <v>1</v>
      </c>
      <c r="D652" s="397"/>
      <c r="F652" s="1" t="s">
        <v>163</v>
      </c>
      <c r="G652" s="21">
        <v>0</v>
      </c>
      <c r="H652" s="21">
        <v>0</v>
      </c>
      <c r="I652" s="21">
        <v>0</v>
      </c>
      <c r="J652" s="21">
        <v>42</v>
      </c>
      <c r="K652" s="21">
        <v>0</v>
      </c>
      <c r="L652" s="21">
        <v>9</v>
      </c>
      <c r="M652" s="21">
        <v>20</v>
      </c>
      <c r="N652" s="21">
        <v>22</v>
      </c>
      <c r="O652" s="21">
        <v>23</v>
      </c>
      <c r="P652" s="21">
        <v>25</v>
      </c>
      <c r="Q652" s="21">
        <v>32</v>
      </c>
      <c r="R652" s="23">
        <v>0</v>
      </c>
      <c r="S652" s="23">
        <v>0</v>
      </c>
      <c r="T652" s="23">
        <v>0</v>
      </c>
      <c r="U652" s="23">
        <v>4</v>
      </c>
      <c r="V652" s="23">
        <v>0</v>
      </c>
      <c r="W652" s="23">
        <v>1</v>
      </c>
      <c r="X652" s="23">
        <v>2</v>
      </c>
      <c r="Y652" s="23">
        <v>2</v>
      </c>
      <c r="Z652" s="23">
        <v>2</v>
      </c>
      <c r="AA652" s="23">
        <v>2</v>
      </c>
      <c r="AB652" s="23">
        <v>3</v>
      </c>
      <c r="AC652" s="25">
        <v>0</v>
      </c>
      <c r="AD652" s="25">
        <v>0</v>
      </c>
      <c r="AE652" s="25">
        <v>0</v>
      </c>
      <c r="AF652" s="25">
        <v>0</v>
      </c>
      <c r="AG652" s="25">
        <v>0</v>
      </c>
      <c r="AH652" s="25">
        <v>0</v>
      </c>
      <c r="AI652" s="25">
        <v>0</v>
      </c>
      <c r="AJ652" s="25">
        <v>0</v>
      </c>
      <c r="AK652" s="25">
        <v>0</v>
      </c>
      <c r="AL652" s="25">
        <v>0</v>
      </c>
      <c r="AM652" s="25">
        <v>0</v>
      </c>
    </row>
    <row r="653" spans="1:39" ht="15" customHeight="1">
      <c r="A653" s="32" t="str">
        <f t="shared" si="25"/>
        <v>Ausgrid--˃ 11 kV &amp; &lt; = 22 kV; STEEL</v>
      </c>
      <c r="B653" s="32" t="str">
        <f t="shared" si="26"/>
        <v>Ausgrid</v>
      </c>
      <c r="C653" s="32" t="s">
        <v>1</v>
      </c>
      <c r="D653" s="397"/>
      <c r="F653" s="1" t="s">
        <v>165</v>
      </c>
      <c r="G653" s="21">
        <v>0</v>
      </c>
      <c r="H653" s="21">
        <v>0</v>
      </c>
      <c r="I653" s="21">
        <v>0</v>
      </c>
      <c r="J653" s="21">
        <v>0</v>
      </c>
      <c r="K653" s="21">
        <v>6</v>
      </c>
      <c r="L653" s="21">
        <v>0</v>
      </c>
      <c r="M653" s="21">
        <v>0</v>
      </c>
      <c r="N653" s="21">
        <v>0</v>
      </c>
      <c r="O653" s="21">
        <v>0</v>
      </c>
      <c r="P653" s="21">
        <v>0</v>
      </c>
      <c r="Q653" s="21">
        <v>0</v>
      </c>
      <c r="R653" s="23">
        <v>0</v>
      </c>
      <c r="S653" s="23">
        <v>0</v>
      </c>
      <c r="T653" s="23">
        <v>0</v>
      </c>
      <c r="U653" s="23">
        <v>0</v>
      </c>
      <c r="V653" s="23">
        <v>0</v>
      </c>
      <c r="W653" s="23">
        <v>0</v>
      </c>
      <c r="X653" s="23">
        <v>0</v>
      </c>
      <c r="Y653" s="23">
        <v>0</v>
      </c>
      <c r="Z653" s="23">
        <v>0</v>
      </c>
      <c r="AA653" s="23">
        <v>0</v>
      </c>
      <c r="AB653" s="23">
        <v>0</v>
      </c>
      <c r="AC653" s="25">
        <v>0</v>
      </c>
      <c r="AD653" s="25">
        <v>0</v>
      </c>
      <c r="AE653" s="25">
        <v>0</v>
      </c>
      <c r="AF653" s="25">
        <v>0</v>
      </c>
      <c r="AG653" s="25">
        <v>0</v>
      </c>
      <c r="AH653" s="25">
        <v>0</v>
      </c>
      <c r="AI653" s="25">
        <v>0</v>
      </c>
      <c r="AJ653" s="25">
        <v>0</v>
      </c>
      <c r="AK653" s="25">
        <v>0</v>
      </c>
      <c r="AL653" s="25">
        <v>0</v>
      </c>
      <c r="AM653" s="25">
        <v>0</v>
      </c>
    </row>
    <row r="654" spans="1:39" ht="15" customHeight="1">
      <c r="A654" s="32" t="str">
        <f t="shared" si="25"/>
        <v>Ausgrid--&gt; 22 kV &amp; &lt; = 66 kV; STEEL</v>
      </c>
      <c r="B654" s="32" t="str">
        <f t="shared" si="26"/>
        <v>Ausgrid</v>
      </c>
      <c r="C654" s="32" t="s">
        <v>1</v>
      </c>
      <c r="D654" s="397"/>
      <c r="F654" s="1" t="s">
        <v>166</v>
      </c>
      <c r="G654" s="21">
        <v>5</v>
      </c>
      <c r="H654" s="21">
        <v>18</v>
      </c>
      <c r="I654" s="21">
        <v>507</v>
      </c>
      <c r="J654" s="21">
        <v>193</v>
      </c>
      <c r="K654" s="21">
        <v>45</v>
      </c>
      <c r="L654" s="21">
        <v>33</v>
      </c>
      <c r="M654" s="21">
        <v>61</v>
      </c>
      <c r="N654" s="21">
        <v>67</v>
      </c>
      <c r="O654" s="21">
        <v>70</v>
      </c>
      <c r="P654" s="21">
        <v>74</v>
      </c>
      <c r="Q654" s="21">
        <v>78</v>
      </c>
      <c r="R654" s="23">
        <v>0</v>
      </c>
      <c r="S654" s="23">
        <v>1</v>
      </c>
      <c r="T654" s="23">
        <v>17</v>
      </c>
      <c r="U654" s="23">
        <v>8</v>
      </c>
      <c r="V654" s="23">
        <v>2</v>
      </c>
      <c r="W654" s="23">
        <v>1</v>
      </c>
      <c r="X654" s="23">
        <v>2</v>
      </c>
      <c r="Y654" s="23">
        <v>2</v>
      </c>
      <c r="Z654" s="23">
        <v>2</v>
      </c>
      <c r="AA654" s="23">
        <v>2</v>
      </c>
      <c r="AB654" s="23">
        <v>2</v>
      </c>
      <c r="AC654" s="25">
        <v>0</v>
      </c>
      <c r="AD654" s="25">
        <v>0</v>
      </c>
      <c r="AE654" s="25">
        <v>0</v>
      </c>
      <c r="AF654" s="25">
        <v>0</v>
      </c>
      <c r="AG654" s="25">
        <v>0</v>
      </c>
      <c r="AH654" s="25">
        <v>0</v>
      </c>
      <c r="AI654" s="25">
        <v>0</v>
      </c>
      <c r="AJ654" s="25">
        <v>0</v>
      </c>
      <c r="AK654" s="25">
        <v>0</v>
      </c>
      <c r="AL654" s="25">
        <v>0</v>
      </c>
      <c r="AM654" s="25">
        <v>0</v>
      </c>
    </row>
    <row r="655" spans="1:39" ht="15" customHeight="1">
      <c r="A655" s="32" t="str">
        <f t="shared" si="25"/>
        <v>Ausgrid--&gt; 66 kV &amp; &lt; = 132 kV; STEEL</v>
      </c>
      <c r="B655" s="32" t="str">
        <f t="shared" si="26"/>
        <v>Ausgrid</v>
      </c>
      <c r="C655" s="32" t="s">
        <v>1</v>
      </c>
      <c r="D655" s="397"/>
      <c r="F655" s="1" t="s">
        <v>167</v>
      </c>
      <c r="G655" s="21">
        <v>32</v>
      </c>
      <c r="H655" s="21">
        <v>49</v>
      </c>
      <c r="I655" s="21">
        <v>46</v>
      </c>
      <c r="J655" s="21">
        <v>64</v>
      </c>
      <c r="K655" s="21">
        <v>0</v>
      </c>
      <c r="L655" s="21">
        <v>132</v>
      </c>
      <c r="M655" s="21">
        <v>244</v>
      </c>
      <c r="N655" s="21">
        <v>266</v>
      </c>
      <c r="O655" s="21">
        <v>281</v>
      </c>
      <c r="P655" s="21">
        <v>296</v>
      </c>
      <c r="Q655" s="21">
        <v>311</v>
      </c>
      <c r="R655" s="23">
        <v>1</v>
      </c>
      <c r="S655" s="23">
        <v>2</v>
      </c>
      <c r="T655" s="23">
        <v>2</v>
      </c>
      <c r="U655" s="23">
        <v>3</v>
      </c>
      <c r="V655" s="23">
        <v>0</v>
      </c>
      <c r="W655" s="23">
        <v>4</v>
      </c>
      <c r="X655" s="23">
        <v>9</v>
      </c>
      <c r="Y655" s="23">
        <v>9</v>
      </c>
      <c r="Z655" s="23">
        <v>10</v>
      </c>
      <c r="AA655" s="23">
        <v>10</v>
      </c>
      <c r="AB655" s="23">
        <v>10</v>
      </c>
      <c r="AC655" s="25">
        <v>0</v>
      </c>
      <c r="AD655" s="25">
        <v>0</v>
      </c>
      <c r="AE655" s="25">
        <v>0</v>
      </c>
      <c r="AF655" s="25">
        <v>0</v>
      </c>
      <c r="AG655" s="25">
        <v>0</v>
      </c>
      <c r="AH655" s="25">
        <v>0</v>
      </c>
      <c r="AI655" s="25">
        <v>0</v>
      </c>
      <c r="AJ655" s="25">
        <v>0</v>
      </c>
      <c r="AK655" s="25">
        <v>0</v>
      </c>
      <c r="AL655" s="25">
        <v>0</v>
      </c>
      <c r="AM655" s="25">
        <v>0</v>
      </c>
    </row>
    <row r="656" spans="1:39" ht="15" customHeight="1">
      <c r="A656" s="32" t="str">
        <f t="shared" si="25"/>
        <v>Ausgrid--&gt; 132 kV; STEEL</v>
      </c>
      <c r="B656" s="32" t="str">
        <f t="shared" si="26"/>
        <v>Ausgrid</v>
      </c>
      <c r="C656" s="32" t="s">
        <v>1</v>
      </c>
      <c r="D656" s="397"/>
      <c r="F656" s="1" t="s">
        <v>168</v>
      </c>
      <c r="G656" s="21">
        <v>0</v>
      </c>
      <c r="H656" s="21">
        <v>0</v>
      </c>
      <c r="I656" s="21">
        <v>0</v>
      </c>
      <c r="J656" s="21">
        <v>0</v>
      </c>
      <c r="K656" s="21">
        <v>0</v>
      </c>
      <c r="L656" s="21">
        <v>0</v>
      </c>
      <c r="M656" s="21">
        <v>0</v>
      </c>
      <c r="N656" s="21">
        <v>0</v>
      </c>
      <c r="O656" s="21">
        <v>0</v>
      </c>
      <c r="P656" s="21">
        <v>0</v>
      </c>
      <c r="Q656" s="21">
        <v>0</v>
      </c>
      <c r="R656" s="23">
        <v>0</v>
      </c>
      <c r="S656" s="23">
        <v>0</v>
      </c>
      <c r="T656" s="23">
        <v>0</v>
      </c>
      <c r="U656" s="23">
        <v>0</v>
      </c>
      <c r="V656" s="23">
        <v>0</v>
      </c>
      <c r="W656" s="23">
        <v>0</v>
      </c>
      <c r="X656" s="23">
        <v>0</v>
      </c>
      <c r="Y656" s="23">
        <v>0</v>
      </c>
      <c r="Z656" s="23">
        <v>0</v>
      </c>
      <c r="AA656" s="23">
        <v>0</v>
      </c>
      <c r="AB656" s="23">
        <v>0</v>
      </c>
      <c r="AC656" s="25">
        <v>0</v>
      </c>
      <c r="AD656" s="25">
        <v>0</v>
      </c>
      <c r="AE656" s="25">
        <v>0</v>
      </c>
      <c r="AF656" s="25">
        <v>0</v>
      </c>
      <c r="AG656" s="25">
        <v>0</v>
      </c>
      <c r="AH656" s="25">
        <v>0</v>
      </c>
      <c r="AI656" s="25">
        <v>0</v>
      </c>
      <c r="AJ656" s="25">
        <v>0</v>
      </c>
      <c r="AK656" s="25">
        <v>0</v>
      </c>
      <c r="AL656" s="25">
        <v>0</v>
      </c>
      <c r="AM656" s="25">
        <v>0</v>
      </c>
    </row>
    <row r="657" spans="1:39" ht="15" customHeight="1">
      <c r="A657" s="32" t="str">
        <f t="shared" si="25"/>
        <v>Ausgrid--OTHER - PLEASE ADD A ROW IF NECESSARY AND NOMINATE THE CATEGORY</v>
      </c>
      <c r="B657" s="32" t="str">
        <f t="shared" si="26"/>
        <v>Ausgrid</v>
      </c>
      <c r="C657" s="32" t="s">
        <v>1</v>
      </c>
      <c r="D657" s="397"/>
      <c r="F657" s="1" t="s">
        <v>170</v>
      </c>
      <c r="G657" s="21"/>
      <c r="H657" s="21"/>
      <c r="I657" s="21"/>
      <c r="J657" s="21"/>
      <c r="K657" s="21"/>
      <c r="L657" s="21"/>
      <c r="M657" s="21"/>
      <c r="N657" s="21"/>
      <c r="O657" s="21"/>
      <c r="P657" s="21"/>
      <c r="Q657" s="21"/>
      <c r="R657" s="23"/>
      <c r="S657" s="23"/>
      <c r="T657" s="23"/>
      <c r="U657" s="23"/>
      <c r="V657" s="23"/>
      <c r="W657" s="23"/>
      <c r="X657" s="23"/>
      <c r="Y657" s="23"/>
      <c r="Z657" s="23"/>
      <c r="AA657" s="23"/>
      <c r="AB657" s="23"/>
      <c r="AC657" s="25"/>
      <c r="AD657" s="25"/>
      <c r="AE657" s="25"/>
      <c r="AF657" s="25"/>
      <c r="AG657" s="25"/>
      <c r="AH657" s="25"/>
      <c r="AI657" s="25"/>
      <c r="AJ657" s="25"/>
      <c r="AK657" s="25"/>
      <c r="AL657" s="25"/>
      <c r="AM657" s="25"/>
    </row>
    <row r="658" spans="1:39" ht="30" customHeight="1">
      <c r="A658" s="32" t="str">
        <f t="shared" si="25"/>
        <v>Ausgrid-POLE TOP STRUCTURES BY: 
HIGHEST OPERATING VOLTAGE-˂ = 1 kV</v>
      </c>
      <c r="B658" s="32" t="str">
        <f t="shared" si="26"/>
        <v>Ausgrid</v>
      </c>
      <c r="C658" s="32" t="s">
        <v>1131</v>
      </c>
      <c r="D658" s="397"/>
      <c r="E658" s="3" t="s">
        <v>660</v>
      </c>
      <c r="F658" s="1" t="s">
        <v>171</v>
      </c>
      <c r="G658" s="21">
        <v>0</v>
      </c>
      <c r="H658" s="21">
        <v>0</v>
      </c>
      <c r="I658" s="21">
        <v>0</v>
      </c>
      <c r="J658" s="21">
        <v>0</v>
      </c>
      <c r="K658" s="21">
        <v>0</v>
      </c>
      <c r="L658" s="21">
        <v>0</v>
      </c>
      <c r="M658" s="21">
        <v>207</v>
      </c>
      <c r="N658" s="21">
        <v>213</v>
      </c>
      <c r="O658" s="21">
        <v>219</v>
      </c>
      <c r="P658" s="21">
        <v>226</v>
      </c>
      <c r="Q658" s="21">
        <v>233</v>
      </c>
      <c r="R658" s="23">
        <v>0</v>
      </c>
      <c r="S658" s="23">
        <v>0</v>
      </c>
      <c r="T658" s="23">
        <v>0</v>
      </c>
      <c r="U658" s="23">
        <v>0</v>
      </c>
      <c r="V658" s="23">
        <v>0</v>
      </c>
      <c r="W658" s="23">
        <v>0</v>
      </c>
      <c r="X658" s="23">
        <v>36</v>
      </c>
      <c r="Y658" s="23">
        <v>36</v>
      </c>
      <c r="Z658" s="23">
        <v>36</v>
      </c>
      <c r="AA658" s="23">
        <v>36</v>
      </c>
      <c r="AB658" s="23">
        <v>36</v>
      </c>
      <c r="AC658" s="25">
        <v>81</v>
      </c>
      <c r="AD658" s="25">
        <v>49</v>
      </c>
      <c r="AE658" s="25">
        <v>68</v>
      </c>
      <c r="AF658" s="25">
        <v>84</v>
      </c>
      <c r="AG658" s="25">
        <v>69</v>
      </c>
      <c r="AH658" s="25">
        <v>42</v>
      </c>
      <c r="AI658" s="25">
        <v>0</v>
      </c>
      <c r="AJ658" s="25">
        <v>0</v>
      </c>
      <c r="AK658" s="25">
        <v>0</v>
      </c>
      <c r="AL658" s="25">
        <v>0</v>
      </c>
      <c r="AM658" s="25">
        <v>0</v>
      </c>
    </row>
    <row r="659" spans="1:39" ht="15" customHeight="1">
      <c r="A659" s="32" t="str">
        <f t="shared" si="25"/>
        <v>Ausgrid--&gt; 1 kV &amp; &lt; = 11 kV</v>
      </c>
      <c r="B659" s="32" t="str">
        <f t="shared" si="26"/>
        <v>Ausgrid</v>
      </c>
      <c r="C659" s="32" t="s">
        <v>1131</v>
      </c>
      <c r="D659" s="397"/>
      <c r="F659" s="1" t="s">
        <v>172</v>
      </c>
      <c r="G659" s="21">
        <v>0</v>
      </c>
      <c r="H659" s="21">
        <v>0</v>
      </c>
      <c r="I659" s="21">
        <v>0</v>
      </c>
      <c r="J659" s="21">
        <v>0</v>
      </c>
      <c r="K659" s="21">
        <v>0</v>
      </c>
      <c r="L659" s="21">
        <v>0</v>
      </c>
      <c r="M659" s="21">
        <v>8698</v>
      </c>
      <c r="N659" s="21">
        <v>14127</v>
      </c>
      <c r="O659" s="21">
        <v>10341</v>
      </c>
      <c r="P659" s="21">
        <v>13792</v>
      </c>
      <c r="Q659" s="21">
        <v>10456</v>
      </c>
      <c r="R659" s="23">
        <v>0</v>
      </c>
      <c r="S659" s="23">
        <v>0</v>
      </c>
      <c r="T659" s="23">
        <v>0</v>
      </c>
      <c r="U659" s="23">
        <v>0</v>
      </c>
      <c r="V659" s="23">
        <v>0</v>
      </c>
      <c r="W659" s="23">
        <v>0</v>
      </c>
      <c r="X659" s="23">
        <v>248</v>
      </c>
      <c r="Y659" s="23">
        <v>262</v>
      </c>
      <c r="Z659" s="23">
        <v>271</v>
      </c>
      <c r="AA659" s="23">
        <v>282</v>
      </c>
      <c r="AB659" s="23">
        <v>280</v>
      </c>
      <c r="AC659" s="25">
        <v>99</v>
      </c>
      <c r="AD659" s="25">
        <v>35</v>
      </c>
      <c r="AE659" s="25">
        <v>45</v>
      </c>
      <c r="AF659" s="25">
        <v>49</v>
      </c>
      <c r="AG659" s="25">
        <v>60</v>
      </c>
      <c r="AH659" s="25">
        <v>33</v>
      </c>
      <c r="AI659" s="25">
        <v>0</v>
      </c>
      <c r="AJ659" s="25">
        <v>0</v>
      </c>
      <c r="AK659" s="25">
        <v>0</v>
      </c>
      <c r="AL659" s="25">
        <v>0</v>
      </c>
      <c r="AM659" s="25">
        <v>0</v>
      </c>
    </row>
    <row r="660" spans="1:39" ht="15" customHeight="1">
      <c r="A660" s="32" t="str">
        <f t="shared" si="25"/>
        <v>Ausgrid--˃ 11 kV &amp; &lt; = 22 kV</v>
      </c>
      <c r="B660" s="32" t="str">
        <f t="shared" si="26"/>
        <v>Ausgrid</v>
      </c>
      <c r="C660" s="32" t="s">
        <v>1131</v>
      </c>
      <c r="D660" s="397"/>
      <c r="F660" s="1" t="s">
        <v>173</v>
      </c>
      <c r="G660" s="21">
        <v>0</v>
      </c>
      <c r="H660" s="21">
        <v>0</v>
      </c>
      <c r="I660" s="21">
        <v>0</v>
      </c>
      <c r="J660" s="21">
        <v>0</v>
      </c>
      <c r="K660" s="21">
        <v>0</v>
      </c>
      <c r="L660" s="21">
        <v>0</v>
      </c>
      <c r="M660" s="21">
        <v>0</v>
      </c>
      <c r="N660" s="21">
        <v>0</v>
      </c>
      <c r="O660" s="21">
        <v>0</v>
      </c>
      <c r="P660" s="21">
        <v>0</v>
      </c>
      <c r="Q660" s="21">
        <v>0</v>
      </c>
      <c r="R660" s="23">
        <v>0</v>
      </c>
      <c r="S660" s="23">
        <v>0</v>
      </c>
      <c r="T660" s="23">
        <v>0</v>
      </c>
      <c r="U660" s="23">
        <v>0</v>
      </c>
      <c r="V660" s="23">
        <v>0</v>
      </c>
      <c r="W660" s="23">
        <v>0</v>
      </c>
      <c r="X660" s="23">
        <v>0</v>
      </c>
      <c r="Y660" s="23">
        <v>0</v>
      </c>
      <c r="Z660" s="23">
        <v>0</v>
      </c>
      <c r="AA660" s="23">
        <v>0</v>
      </c>
      <c r="AB660" s="23">
        <v>0</v>
      </c>
      <c r="AC660" s="25">
        <v>0</v>
      </c>
      <c r="AD660" s="25">
        <v>0</v>
      </c>
      <c r="AE660" s="25">
        <v>0</v>
      </c>
      <c r="AF660" s="25">
        <v>0</v>
      </c>
      <c r="AG660" s="25">
        <v>0</v>
      </c>
      <c r="AH660" s="25">
        <v>1</v>
      </c>
      <c r="AI660" s="25">
        <v>0</v>
      </c>
      <c r="AJ660" s="25">
        <v>0</v>
      </c>
      <c r="AK660" s="25">
        <v>0</v>
      </c>
      <c r="AL660" s="25">
        <v>0</v>
      </c>
      <c r="AM660" s="25">
        <v>0</v>
      </c>
    </row>
    <row r="661" spans="1:39" ht="15" customHeight="1">
      <c r="A661" s="32" t="str">
        <f t="shared" si="25"/>
        <v>Ausgrid--&gt; 22 kV &amp; &lt; = 66 kV</v>
      </c>
      <c r="B661" s="32" t="str">
        <f t="shared" si="26"/>
        <v>Ausgrid</v>
      </c>
      <c r="C661" s="32" t="s">
        <v>1131</v>
      </c>
      <c r="D661" s="397"/>
      <c r="F661" s="1" t="s">
        <v>174</v>
      </c>
      <c r="G661" s="21">
        <v>0</v>
      </c>
      <c r="H661" s="21">
        <v>0</v>
      </c>
      <c r="I661" s="21">
        <v>0</v>
      </c>
      <c r="J661" s="21">
        <v>0</v>
      </c>
      <c r="K661" s="21">
        <v>0</v>
      </c>
      <c r="L661" s="21">
        <v>0</v>
      </c>
      <c r="M661" s="21">
        <v>116</v>
      </c>
      <c r="N661" s="21">
        <v>119</v>
      </c>
      <c r="O661" s="21">
        <v>122</v>
      </c>
      <c r="P661" s="21">
        <v>126</v>
      </c>
      <c r="Q661" s="21">
        <v>130</v>
      </c>
      <c r="R661" s="23">
        <v>0</v>
      </c>
      <c r="S661" s="23">
        <v>0</v>
      </c>
      <c r="T661" s="23">
        <v>0</v>
      </c>
      <c r="U661" s="23">
        <v>0</v>
      </c>
      <c r="V661" s="23">
        <v>0</v>
      </c>
      <c r="W661" s="23">
        <v>0</v>
      </c>
      <c r="X661" s="23">
        <v>20</v>
      </c>
      <c r="Y661" s="23">
        <v>20</v>
      </c>
      <c r="Z661" s="23">
        <v>20</v>
      </c>
      <c r="AA661" s="23">
        <v>20</v>
      </c>
      <c r="AB661" s="23">
        <v>20</v>
      </c>
      <c r="AC661" s="25">
        <v>12</v>
      </c>
      <c r="AD661" s="25">
        <v>15</v>
      </c>
      <c r="AE661" s="25">
        <v>15</v>
      </c>
      <c r="AF661" s="25">
        <v>16</v>
      </c>
      <c r="AG661" s="25">
        <v>22</v>
      </c>
      <c r="AH661" s="25">
        <v>18</v>
      </c>
      <c r="AI661" s="25">
        <v>0</v>
      </c>
      <c r="AJ661" s="25">
        <v>0</v>
      </c>
      <c r="AK661" s="25">
        <v>0</v>
      </c>
      <c r="AL661" s="25">
        <v>0</v>
      </c>
      <c r="AM661" s="25">
        <v>0</v>
      </c>
    </row>
    <row r="662" spans="1:39" ht="15" customHeight="1">
      <c r="A662" s="32" t="str">
        <f t="shared" si="25"/>
        <v>Ausgrid--&gt; 66 kV &amp; &lt; = 132 kV</v>
      </c>
      <c r="B662" s="32" t="str">
        <f t="shared" si="26"/>
        <v>Ausgrid</v>
      </c>
      <c r="C662" s="32" t="s">
        <v>1131</v>
      </c>
      <c r="D662" s="397"/>
      <c r="F662" s="1" t="s">
        <v>175</v>
      </c>
      <c r="G662" s="21">
        <v>0</v>
      </c>
      <c r="H662" s="21">
        <v>0</v>
      </c>
      <c r="I662" s="21">
        <v>0</v>
      </c>
      <c r="J662" s="21">
        <v>0</v>
      </c>
      <c r="K662" s="21">
        <v>0</v>
      </c>
      <c r="L662" s="21">
        <v>0</v>
      </c>
      <c r="M662" s="21">
        <v>0</v>
      </c>
      <c r="N662" s="21">
        <v>862</v>
      </c>
      <c r="O662" s="21">
        <v>727</v>
      </c>
      <c r="P662" s="21">
        <v>0</v>
      </c>
      <c r="Q662" s="21">
        <v>94</v>
      </c>
      <c r="R662" s="23">
        <v>0</v>
      </c>
      <c r="S662" s="23">
        <v>0</v>
      </c>
      <c r="T662" s="23">
        <v>0</v>
      </c>
      <c r="U662" s="23">
        <v>0</v>
      </c>
      <c r="V662" s="23">
        <v>0</v>
      </c>
      <c r="W662" s="23">
        <v>0</v>
      </c>
      <c r="X662" s="23">
        <v>0</v>
      </c>
      <c r="Y662" s="23">
        <v>50</v>
      </c>
      <c r="Z662" s="23">
        <v>41</v>
      </c>
      <c r="AA662" s="23">
        <v>0</v>
      </c>
      <c r="AB662" s="23">
        <v>5</v>
      </c>
      <c r="AC662" s="25">
        <v>0</v>
      </c>
      <c r="AD662" s="25">
        <v>1</v>
      </c>
      <c r="AE662" s="25">
        <v>1</v>
      </c>
      <c r="AF662" s="25">
        <v>4</v>
      </c>
      <c r="AG662" s="25">
        <v>2</v>
      </c>
      <c r="AH662" s="25">
        <v>1</v>
      </c>
      <c r="AI662" s="25">
        <v>0</v>
      </c>
      <c r="AJ662" s="25">
        <v>0</v>
      </c>
      <c r="AK662" s="25">
        <v>0</v>
      </c>
      <c r="AL662" s="25">
        <v>0</v>
      </c>
      <c r="AM662" s="25">
        <v>0</v>
      </c>
    </row>
    <row r="663" spans="1:39" ht="15" customHeight="1">
      <c r="A663" s="32" t="str">
        <f t="shared" si="25"/>
        <v>Ausgrid--&gt; 132 kV</v>
      </c>
      <c r="B663" s="32" t="str">
        <f t="shared" si="26"/>
        <v>Ausgrid</v>
      </c>
      <c r="C663" s="32" t="s">
        <v>1131</v>
      </c>
      <c r="D663" s="397"/>
      <c r="F663" s="1" t="s">
        <v>176</v>
      </c>
      <c r="G663" s="21">
        <v>0</v>
      </c>
      <c r="H663" s="21">
        <v>0</v>
      </c>
      <c r="I663" s="21">
        <v>0</v>
      </c>
      <c r="J663" s="21">
        <v>0</v>
      </c>
      <c r="K663" s="21">
        <v>0</v>
      </c>
      <c r="L663" s="21">
        <v>0</v>
      </c>
      <c r="M663" s="21">
        <v>0</v>
      </c>
      <c r="N663" s="21">
        <v>0</v>
      </c>
      <c r="O663" s="21">
        <v>0</v>
      </c>
      <c r="P663" s="21">
        <v>0</v>
      </c>
      <c r="Q663" s="21">
        <v>0</v>
      </c>
      <c r="R663" s="23">
        <v>0</v>
      </c>
      <c r="S663" s="23">
        <v>0</v>
      </c>
      <c r="T663" s="23">
        <v>0</v>
      </c>
      <c r="U663" s="23">
        <v>0</v>
      </c>
      <c r="V663" s="23">
        <v>0</v>
      </c>
      <c r="W663" s="23">
        <v>0</v>
      </c>
      <c r="X663" s="23">
        <v>0</v>
      </c>
      <c r="Y663" s="23">
        <v>0</v>
      </c>
      <c r="Z663" s="23">
        <v>0</v>
      </c>
      <c r="AA663" s="23">
        <v>0</v>
      </c>
      <c r="AB663" s="23">
        <v>0</v>
      </c>
      <c r="AC663" s="25">
        <v>0</v>
      </c>
      <c r="AD663" s="25">
        <v>0</v>
      </c>
      <c r="AE663" s="25">
        <v>0</v>
      </c>
      <c r="AF663" s="25">
        <v>0</v>
      </c>
      <c r="AG663" s="25">
        <v>0</v>
      </c>
      <c r="AH663" s="25">
        <v>0</v>
      </c>
      <c r="AI663" s="25">
        <v>0</v>
      </c>
      <c r="AJ663" s="25">
        <v>0</v>
      </c>
      <c r="AK663" s="25">
        <v>0</v>
      </c>
      <c r="AL663" s="25">
        <v>0</v>
      </c>
      <c r="AM663" s="25">
        <v>0</v>
      </c>
    </row>
    <row r="664" spans="1:39" ht="15" customHeight="1">
      <c r="A664" s="32" t="str">
        <f t="shared" si="25"/>
        <v>Ausgrid--OTHER - PLEASE ADD A ROW IF NECESSARY AND NOMINATE THE CATEGORY</v>
      </c>
      <c r="B664" s="32" t="str">
        <f t="shared" si="26"/>
        <v>Ausgrid</v>
      </c>
      <c r="C664" s="32" t="s">
        <v>1131</v>
      </c>
      <c r="D664" s="397"/>
      <c r="F664" s="1" t="s">
        <v>170</v>
      </c>
      <c r="G664" s="21"/>
      <c r="H664" s="21"/>
      <c r="I664" s="21"/>
      <c r="J664" s="21"/>
      <c r="K664" s="21"/>
      <c r="L664" s="21"/>
      <c r="M664" s="21"/>
      <c r="N664" s="21"/>
      <c r="O664" s="21"/>
      <c r="P664" s="21"/>
      <c r="Q664" s="21"/>
      <c r="R664" s="23"/>
      <c r="S664" s="23"/>
      <c r="T664" s="23"/>
      <c r="U664" s="23"/>
      <c r="V664" s="23"/>
      <c r="W664" s="23"/>
      <c r="X664" s="23"/>
      <c r="Y664" s="23"/>
      <c r="Z664" s="23"/>
      <c r="AA664" s="23"/>
      <c r="AB664" s="23"/>
      <c r="AC664" s="25"/>
      <c r="AD664" s="25"/>
      <c r="AE664" s="25"/>
      <c r="AF664" s="25"/>
      <c r="AG664" s="25"/>
      <c r="AH664" s="25"/>
      <c r="AI664" s="25"/>
      <c r="AJ664" s="25"/>
      <c r="AK664" s="25"/>
      <c r="AL664" s="25"/>
      <c r="AM664" s="25"/>
    </row>
    <row r="665" spans="1:39" ht="45" customHeight="1">
      <c r="A665" s="32" t="str">
        <f t="shared" si="25"/>
        <v>Ausgrid-OVERHEAD CONDUCTORS BY: 
HIGHEST OPERATING VOLTAGE; NUMBER OF PHASES (AT HV)-˂ = 1 kV</v>
      </c>
      <c r="B665" s="32" t="str">
        <f t="shared" si="26"/>
        <v>Ausgrid</v>
      </c>
      <c r="C665" s="32" t="s">
        <v>1132</v>
      </c>
      <c r="D665" s="397"/>
      <c r="E665" s="3" t="s">
        <v>538</v>
      </c>
      <c r="F665" s="1" t="s">
        <v>171</v>
      </c>
      <c r="G665" s="21">
        <v>9680</v>
      </c>
      <c r="H665" s="21">
        <v>7767</v>
      </c>
      <c r="I665" s="21">
        <v>10989</v>
      </c>
      <c r="J665" s="21">
        <v>17679</v>
      </c>
      <c r="K665" s="21">
        <v>13292</v>
      </c>
      <c r="L665" s="21">
        <v>5534</v>
      </c>
      <c r="M665" s="21">
        <v>6837</v>
      </c>
      <c r="N665" s="21">
        <v>7033</v>
      </c>
      <c r="O665" s="21">
        <v>7221</v>
      </c>
      <c r="P665" s="21">
        <v>7414</v>
      </c>
      <c r="Q665" s="21">
        <v>7770</v>
      </c>
      <c r="R665" s="23">
        <v>12</v>
      </c>
      <c r="S665" s="23">
        <v>64</v>
      </c>
      <c r="T665" s="23">
        <v>123</v>
      </c>
      <c r="U665" s="23">
        <v>194</v>
      </c>
      <c r="V665" s="23">
        <v>163</v>
      </c>
      <c r="W665" s="23">
        <v>97</v>
      </c>
      <c r="X665" s="23">
        <v>590</v>
      </c>
      <c r="Y665" s="23">
        <v>590</v>
      </c>
      <c r="Z665" s="23">
        <v>590</v>
      </c>
      <c r="AA665" s="23">
        <v>590</v>
      </c>
      <c r="AB665" s="23">
        <v>600</v>
      </c>
      <c r="AC665" s="25">
        <v>291</v>
      </c>
      <c r="AD665" s="25">
        <v>403</v>
      </c>
      <c r="AE665" s="25">
        <v>325</v>
      </c>
      <c r="AF665" s="25">
        <v>249</v>
      </c>
      <c r="AG665" s="25">
        <v>224</v>
      </c>
      <c r="AH665" s="25">
        <v>117</v>
      </c>
      <c r="AI665" s="25">
        <v>0</v>
      </c>
      <c r="AJ665" s="25">
        <v>0</v>
      </c>
      <c r="AK665" s="25">
        <v>0</v>
      </c>
      <c r="AL665" s="25">
        <v>0</v>
      </c>
      <c r="AM665" s="25">
        <v>0</v>
      </c>
    </row>
    <row r="666" spans="1:39" ht="15" customHeight="1">
      <c r="A666" s="32" t="str">
        <f t="shared" si="25"/>
        <v>Ausgrid--&gt; 1 kV &amp; &lt; = 11 kV</v>
      </c>
      <c r="B666" s="32" t="str">
        <f t="shared" si="26"/>
        <v>Ausgrid</v>
      </c>
      <c r="C666" s="32" t="s">
        <v>1132</v>
      </c>
      <c r="D666" s="397"/>
      <c r="F666" s="1" t="s">
        <v>172</v>
      </c>
      <c r="G666" s="21">
        <v>13178</v>
      </c>
      <c r="H666" s="21">
        <v>6456</v>
      </c>
      <c r="I666" s="21">
        <v>8529</v>
      </c>
      <c r="J666" s="21">
        <v>12905</v>
      </c>
      <c r="K666" s="21">
        <v>17044</v>
      </c>
      <c r="L666" s="21">
        <v>10722</v>
      </c>
      <c r="M666" s="21">
        <v>16156</v>
      </c>
      <c r="N666" s="21">
        <v>15895</v>
      </c>
      <c r="O666" s="21">
        <v>15261</v>
      </c>
      <c r="P666" s="21">
        <v>12998</v>
      </c>
      <c r="Q666" s="21">
        <v>12205</v>
      </c>
      <c r="R666" s="23">
        <v>14</v>
      </c>
      <c r="S666" s="23">
        <v>64</v>
      </c>
      <c r="T666" s="23">
        <v>81</v>
      </c>
      <c r="U666" s="23">
        <v>2295</v>
      </c>
      <c r="V666" s="23">
        <v>3027</v>
      </c>
      <c r="W666" s="23">
        <v>1621</v>
      </c>
      <c r="X666" s="23">
        <v>497</v>
      </c>
      <c r="Y666" s="23">
        <v>485</v>
      </c>
      <c r="Z666" s="23">
        <v>423</v>
      </c>
      <c r="AA666" s="23">
        <v>277</v>
      </c>
      <c r="AB666" s="23">
        <v>210</v>
      </c>
      <c r="AC666" s="25">
        <v>175</v>
      </c>
      <c r="AD666" s="25">
        <v>116</v>
      </c>
      <c r="AE666" s="25">
        <v>99</v>
      </c>
      <c r="AF666" s="25">
        <v>106</v>
      </c>
      <c r="AG666" s="25">
        <v>95</v>
      </c>
      <c r="AH666" s="25">
        <v>67</v>
      </c>
      <c r="AI666" s="25">
        <v>0</v>
      </c>
      <c r="AJ666" s="25">
        <v>0</v>
      </c>
      <c r="AK666" s="25">
        <v>0</v>
      </c>
      <c r="AL666" s="25">
        <v>0</v>
      </c>
      <c r="AM666" s="25">
        <v>0</v>
      </c>
    </row>
    <row r="667" spans="1:39" ht="15" customHeight="1">
      <c r="A667" s="32" t="str">
        <f t="shared" si="25"/>
        <v>Ausgrid--˃ 11 kV &amp; &lt; = 22 kV  ; SWER</v>
      </c>
      <c r="B667" s="32" t="str">
        <f t="shared" si="26"/>
        <v>Ausgrid</v>
      </c>
      <c r="C667" s="32" t="s">
        <v>1132</v>
      </c>
      <c r="D667" s="397"/>
      <c r="F667" s="1" t="s">
        <v>177</v>
      </c>
      <c r="G667" s="21">
        <v>0</v>
      </c>
      <c r="H667" s="21">
        <v>0</v>
      </c>
      <c r="I667" s="21">
        <v>0</v>
      </c>
      <c r="J667" s="21">
        <v>0</v>
      </c>
      <c r="K667" s="21">
        <v>0</v>
      </c>
      <c r="L667" s="21">
        <v>0</v>
      </c>
      <c r="M667" s="21">
        <v>0</v>
      </c>
      <c r="N667" s="21">
        <v>0</v>
      </c>
      <c r="O667" s="21">
        <v>0</v>
      </c>
      <c r="P667" s="21">
        <v>0</v>
      </c>
      <c r="Q667" s="21">
        <v>0</v>
      </c>
      <c r="R667" s="23">
        <v>0</v>
      </c>
      <c r="S667" s="23">
        <v>0</v>
      </c>
      <c r="T667" s="23">
        <v>0</v>
      </c>
      <c r="U667" s="23">
        <v>0</v>
      </c>
      <c r="V667" s="23">
        <v>0</v>
      </c>
      <c r="W667" s="23">
        <v>0</v>
      </c>
      <c r="X667" s="23">
        <v>0</v>
      </c>
      <c r="Y667" s="23">
        <v>0</v>
      </c>
      <c r="Z667" s="23">
        <v>0</v>
      </c>
      <c r="AA667" s="23">
        <v>0</v>
      </c>
      <c r="AB667" s="23">
        <v>0</v>
      </c>
      <c r="AC667" s="25">
        <v>0</v>
      </c>
      <c r="AD667" s="25">
        <v>0</v>
      </c>
      <c r="AE667" s="25">
        <v>0</v>
      </c>
      <c r="AF667" s="25">
        <v>0</v>
      </c>
      <c r="AG667" s="25">
        <v>0</v>
      </c>
      <c r="AH667" s="25">
        <v>0</v>
      </c>
      <c r="AI667" s="25">
        <v>0</v>
      </c>
      <c r="AJ667" s="25">
        <v>0</v>
      </c>
      <c r="AK667" s="25">
        <v>0</v>
      </c>
      <c r="AL667" s="25">
        <v>0</v>
      </c>
      <c r="AM667" s="25">
        <v>0</v>
      </c>
    </row>
    <row r="668" spans="1:39" ht="15" customHeight="1">
      <c r="A668" s="32" t="str">
        <f t="shared" si="25"/>
        <v>Ausgrid--˃ 11 kV &amp; &lt; = 22 kV ; SINGLE-PHASE</v>
      </c>
      <c r="B668" s="32" t="str">
        <f t="shared" si="26"/>
        <v>Ausgrid</v>
      </c>
      <c r="C668" s="32" t="s">
        <v>1132</v>
      </c>
      <c r="D668" s="397"/>
      <c r="F668" s="1" t="s">
        <v>178</v>
      </c>
      <c r="G668" s="21">
        <v>0</v>
      </c>
      <c r="H668" s="21">
        <v>0</v>
      </c>
      <c r="I668" s="21">
        <v>0</v>
      </c>
      <c r="J668" s="21">
        <v>0</v>
      </c>
      <c r="K668" s="21">
        <v>0</v>
      </c>
      <c r="L668" s="21">
        <v>0</v>
      </c>
      <c r="M668" s="21">
        <v>0</v>
      </c>
      <c r="N668" s="21">
        <v>0</v>
      </c>
      <c r="O668" s="21">
        <v>0</v>
      </c>
      <c r="P668" s="21">
        <v>0</v>
      </c>
      <c r="Q668" s="21">
        <v>0</v>
      </c>
      <c r="R668" s="23">
        <v>0</v>
      </c>
      <c r="S668" s="23">
        <v>0</v>
      </c>
      <c r="T668" s="23">
        <v>0</v>
      </c>
      <c r="U668" s="23">
        <v>0</v>
      </c>
      <c r="V668" s="23">
        <v>0</v>
      </c>
      <c r="W668" s="23">
        <v>0</v>
      </c>
      <c r="X668" s="23">
        <v>0</v>
      </c>
      <c r="Y668" s="23">
        <v>0</v>
      </c>
      <c r="Z668" s="23">
        <v>0</v>
      </c>
      <c r="AA668" s="23">
        <v>0</v>
      </c>
      <c r="AB668" s="23">
        <v>0</v>
      </c>
      <c r="AC668" s="25">
        <v>0</v>
      </c>
      <c r="AD668" s="25">
        <v>0</v>
      </c>
      <c r="AE668" s="25">
        <v>0</v>
      </c>
      <c r="AF668" s="25">
        <v>0</v>
      </c>
      <c r="AG668" s="25">
        <v>0</v>
      </c>
      <c r="AH668" s="25">
        <v>0</v>
      </c>
      <c r="AI668" s="25">
        <v>0</v>
      </c>
      <c r="AJ668" s="25">
        <v>0</v>
      </c>
      <c r="AK668" s="25">
        <v>0</v>
      </c>
      <c r="AL668" s="25">
        <v>0</v>
      </c>
      <c r="AM668" s="25">
        <v>0</v>
      </c>
    </row>
    <row r="669" spans="1:39" ht="15" customHeight="1">
      <c r="A669" s="32" t="str">
        <f t="shared" si="25"/>
        <v>Ausgrid--˃ 11 kV &amp; &lt; = 22 kV ; MULTIPLE-PHASE</v>
      </c>
      <c r="B669" s="32" t="str">
        <f t="shared" si="26"/>
        <v>Ausgrid</v>
      </c>
      <c r="C669" s="32" t="s">
        <v>1132</v>
      </c>
      <c r="D669" s="397"/>
      <c r="F669" s="1" t="s">
        <v>179</v>
      </c>
      <c r="G669" s="21">
        <v>0</v>
      </c>
      <c r="H669" s="21">
        <v>0</v>
      </c>
      <c r="I669" s="21">
        <v>0</v>
      </c>
      <c r="J669" s="21">
        <v>0</v>
      </c>
      <c r="K669" s="21">
        <v>0</v>
      </c>
      <c r="L669" s="21">
        <v>0</v>
      </c>
      <c r="M669" s="21">
        <v>0</v>
      </c>
      <c r="N669" s="21">
        <v>0</v>
      </c>
      <c r="O669" s="21">
        <v>0</v>
      </c>
      <c r="P669" s="21">
        <v>0</v>
      </c>
      <c r="Q669" s="21">
        <v>0</v>
      </c>
      <c r="R669" s="23">
        <v>0</v>
      </c>
      <c r="S669" s="23">
        <v>0</v>
      </c>
      <c r="T669" s="23">
        <v>0</v>
      </c>
      <c r="U669" s="23">
        <v>0</v>
      </c>
      <c r="V669" s="23">
        <v>0</v>
      </c>
      <c r="W669" s="23">
        <v>0</v>
      </c>
      <c r="X669" s="23">
        <v>0</v>
      </c>
      <c r="Y669" s="23">
        <v>0</v>
      </c>
      <c r="Z669" s="23">
        <v>0</v>
      </c>
      <c r="AA669" s="23">
        <v>0</v>
      </c>
      <c r="AB669" s="23">
        <v>0</v>
      </c>
      <c r="AC669" s="25">
        <v>0</v>
      </c>
      <c r="AD669" s="25">
        <v>1</v>
      </c>
      <c r="AE669" s="25">
        <v>0</v>
      </c>
      <c r="AF669" s="25">
        <v>0</v>
      </c>
      <c r="AG669" s="25">
        <v>0</v>
      </c>
      <c r="AH669" s="25">
        <v>0</v>
      </c>
      <c r="AI669" s="25">
        <v>0</v>
      </c>
      <c r="AJ669" s="25">
        <v>0</v>
      </c>
      <c r="AK669" s="25">
        <v>0</v>
      </c>
      <c r="AL669" s="25">
        <v>0</v>
      </c>
      <c r="AM669" s="25">
        <v>0</v>
      </c>
    </row>
    <row r="670" spans="1:39" ht="15" customHeight="1">
      <c r="A670" s="32" t="str">
        <f t="shared" si="25"/>
        <v>Ausgrid--&gt; 22 kV &amp; &lt; = 66 kV</v>
      </c>
      <c r="B670" s="32" t="str">
        <f t="shared" si="26"/>
        <v>Ausgrid</v>
      </c>
      <c r="C670" s="32" t="s">
        <v>1132</v>
      </c>
      <c r="D670" s="397"/>
      <c r="F670" s="1" t="s">
        <v>174</v>
      </c>
      <c r="G670" s="21">
        <v>1695</v>
      </c>
      <c r="H670" s="21">
        <v>1830</v>
      </c>
      <c r="I670" s="21">
        <v>1992</v>
      </c>
      <c r="J670" s="21">
        <v>764</v>
      </c>
      <c r="K670" s="21">
        <v>1656</v>
      </c>
      <c r="L670" s="21">
        <v>490</v>
      </c>
      <c r="M670" s="21">
        <v>4818</v>
      </c>
      <c r="N670" s="21">
        <v>6061</v>
      </c>
      <c r="O670" s="21">
        <v>7264</v>
      </c>
      <c r="P670" s="21">
        <v>7252</v>
      </c>
      <c r="Q670" s="21">
        <v>7666</v>
      </c>
      <c r="R670" s="23">
        <v>2</v>
      </c>
      <c r="S670" s="23">
        <v>32</v>
      </c>
      <c r="T670" s="23">
        <v>27</v>
      </c>
      <c r="U670" s="23">
        <v>17</v>
      </c>
      <c r="V670" s="23">
        <v>98</v>
      </c>
      <c r="W670" s="23">
        <v>27</v>
      </c>
      <c r="X670" s="23">
        <v>50</v>
      </c>
      <c r="Y670" s="23">
        <v>71</v>
      </c>
      <c r="Z670" s="23">
        <v>69</v>
      </c>
      <c r="AA670" s="23">
        <v>62</v>
      </c>
      <c r="AB670" s="23">
        <v>60</v>
      </c>
      <c r="AC670" s="25">
        <v>6</v>
      </c>
      <c r="AD670" s="25">
        <v>8</v>
      </c>
      <c r="AE670" s="25">
        <v>15</v>
      </c>
      <c r="AF670" s="25">
        <v>12</v>
      </c>
      <c r="AG670" s="25">
        <v>19</v>
      </c>
      <c r="AH670" s="25">
        <v>9</v>
      </c>
      <c r="AI670" s="25">
        <v>0</v>
      </c>
      <c r="AJ670" s="25">
        <v>0</v>
      </c>
      <c r="AK670" s="25">
        <v>0</v>
      </c>
      <c r="AL670" s="25">
        <v>0</v>
      </c>
      <c r="AM670" s="25">
        <v>0</v>
      </c>
    </row>
    <row r="671" spans="1:39" ht="15" customHeight="1">
      <c r="A671" s="32" t="str">
        <f t="shared" si="25"/>
        <v>Ausgrid--&gt; 66 kV &amp; &lt; = 132 kV</v>
      </c>
      <c r="B671" s="32" t="str">
        <f t="shared" si="26"/>
        <v>Ausgrid</v>
      </c>
      <c r="C671" s="32" t="s">
        <v>1132</v>
      </c>
      <c r="D671" s="397"/>
      <c r="F671" s="1" t="s">
        <v>175</v>
      </c>
      <c r="G671" s="21">
        <v>2686</v>
      </c>
      <c r="H671" s="21">
        <v>1963</v>
      </c>
      <c r="I671" s="21">
        <v>2122</v>
      </c>
      <c r="J671" s="21">
        <v>1342</v>
      </c>
      <c r="K671" s="21">
        <v>1568</v>
      </c>
      <c r="L671" s="21">
        <v>2160</v>
      </c>
      <c r="M671" s="21">
        <v>3692</v>
      </c>
      <c r="N671" s="21">
        <v>5686</v>
      </c>
      <c r="O671" s="21">
        <v>6865</v>
      </c>
      <c r="P671" s="21">
        <v>7640</v>
      </c>
      <c r="Q671" s="21">
        <v>8855</v>
      </c>
      <c r="R671" s="23">
        <v>9</v>
      </c>
      <c r="S671" s="23">
        <v>1</v>
      </c>
      <c r="T671" s="23">
        <v>0</v>
      </c>
      <c r="U671" s="23">
        <v>7</v>
      </c>
      <c r="V671" s="23">
        <v>10</v>
      </c>
      <c r="W671" s="23">
        <v>8</v>
      </c>
      <c r="X671" s="23">
        <v>172</v>
      </c>
      <c r="Y671" s="23">
        <v>240</v>
      </c>
      <c r="Z671" s="23">
        <v>170</v>
      </c>
      <c r="AA671" s="23">
        <v>171</v>
      </c>
      <c r="AB671" s="23">
        <v>172</v>
      </c>
      <c r="AC671" s="25">
        <v>3</v>
      </c>
      <c r="AD671" s="25">
        <v>2</v>
      </c>
      <c r="AE671" s="25">
        <v>1</v>
      </c>
      <c r="AF671" s="25">
        <v>3</v>
      </c>
      <c r="AG671" s="25">
        <v>2</v>
      </c>
      <c r="AH671" s="25">
        <v>7</v>
      </c>
      <c r="AI671" s="25">
        <v>0</v>
      </c>
      <c r="AJ671" s="25">
        <v>0</v>
      </c>
      <c r="AK671" s="25">
        <v>0</v>
      </c>
      <c r="AL671" s="25">
        <v>0</v>
      </c>
      <c r="AM671" s="25">
        <v>0</v>
      </c>
    </row>
    <row r="672" spans="1:39" ht="15" customHeight="1">
      <c r="A672" s="32" t="str">
        <f t="shared" si="25"/>
        <v>Ausgrid--&gt; 132 kV</v>
      </c>
      <c r="B672" s="32" t="str">
        <f t="shared" si="26"/>
        <v>Ausgrid</v>
      </c>
      <c r="C672" s="32" t="s">
        <v>1132</v>
      </c>
      <c r="D672" s="397"/>
      <c r="F672" s="1" t="s">
        <v>176</v>
      </c>
      <c r="G672" s="21">
        <v>0</v>
      </c>
      <c r="H672" s="21">
        <v>0</v>
      </c>
      <c r="I672" s="21">
        <v>0</v>
      </c>
      <c r="J672" s="21">
        <v>0</v>
      </c>
      <c r="K672" s="21">
        <v>0</v>
      </c>
      <c r="L672" s="21">
        <v>0</v>
      </c>
      <c r="M672" s="21">
        <v>0</v>
      </c>
      <c r="N672" s="21">
        <v>0</v>
      </c>
      <c r="O672" s="21">
        <v>0</v>
      </c>
      <c r="P672" s="21">
        <v>0</v>
      </c>
      <c r="Q672" s="21">
        <v>0</v>
      </c>
      <c r="R672" s="23">
        <v>0</v>
      </c>
      <c r="S672" s="23">
        <v>0</v>
      </c>
      <c r="T672" s="23">
        <v>0</v>
      </c>
      <c r="U672" s="23">
        <v>0</v>
      </c>
      <c r="V672" s="23">
        <v>0</v>
      </c>
      <c r="W672" s="23">
        <v>0</v>
      </c>
      <c r="X672" s="23">
        <v>0</v>
      </c>
      <c r="Y672" s="23">
        <v>0</v>
      </c>
      <c r="Z672" s="23">
        <v>0</v>
      </c>
      <c r="AA672" s="23">
        <v>0</v>
      </c>
      <c r="AB672" s="23">
        <v>0</v>
      </c>
      <c r="AC672" s="25">
        <v>0</v>
      </c>
      <c r="AD672" s="25">
        <v>0</v>
      </c>
      <c r="AE672" s="25">
        <v>0</v>
      </c>
      <c r="AF672" s="25">
        <v>0</v>
      </c>
      <c r="AG672" s="25">
        <v>0</v>
      </c>
      <c r="AH672" s="25">
        <v>0</v>
      </c>
      <c r="AI672" s="25">
        <v>0</v>
      </c>
      <c r="AJ672" s="25">
        <v>0</v>
      </c>
      <c r="AK672" s="25">
        <v>0</v>
      </c>
      <c r="AL672" s="25">
        <v>0</v>
      </c>
      <c r="AM672" s="25">
        <v>0</v>
      </c>
    </row>
    <row r="673" spans="1:39" ht="15" customHeight="1">
      <c r="A673" s="32" t="str">
        <f t="shared" si="25"/>
        <v>Ausgrid--OTHER - PLEASE ADD A ROW IF NECESSARY AND NOMINATE THE CATEGORY</v>
      </c>
      <c r="B673" s="32" t="str">
        <f t="shared" si="26"/>
        <v>Ausgrid</v>
      </c>
      <c r="C673" s="32" t="s">
        <v>1132</v>
      </c>
      <c r="D673" s="397"/>
      <c r="F673" s="1" t="s">
        <v>170</v>
      </c>
      <c r="G673" s="21"/>
      <c r="H673" s="21"/>
      <c r="I673" s="21"/>
      <c r="J673" s="21"/>
      <c r="K673" s="21"/>
      <c r="L673" s="21"/>
      <c r="M673" s="21"/>
      <c r="N673" s="21"/>
      <c r="O673" s="21"/>
      <c r="P673" s="21"/>
      <c r="Q673" s="21"/>
      <c r="R673" s="23"/>
      <c r="S673" s="23"/>
      <c r="T673" s="23"/>
      <c r="U673" s="23"/>
      <c r="V673" s="23"/>
      <c r="W673" s="23"/>
      <c r="X673" s="23"/>
      <c r="Y673" s="23"/>
      <c r="Z673" s="23"/>
      <c r="AA673" s="23"/>
      <c r="AB673" s="23"/>
      <c r="AC673" s="25"/>
      <c r="AD673" s="25"/>
      <c r="AE673" s="25"/>
      <c r="AF673" s="25"/>
      <c r="AG673" s="25"/>
      <c r="AH673" s="25"/>
      <c r="AI673" s="25"/>
      <c r="AJ673" s="25"/>
      <c r="AK673" s="25"/>
      <c r="AL673" s="25"/>
      <c r="AM673" s="25"/>
    </row>
    <row r="674" spans="1:39" ht="30" customHeight="1">
      <c r="A674" s="32" t="str">
        <f t="shared" si="25"/>
        <v>Ausgrid-UNDERGROUND CABLES BY: 
HIGHEST OPERATING VOLTAGE-˂ = 1 kV</v>
      </c>
      <c r="B674" s="32" t="str">
        <f t="shared" si="26"/>
        <v>Ausgrid</v>
      </c>
      <c r="C674" s="32" t="s">
        <v>1133</v>
      </c>
      <c r="D674" s="397"/>
      <c r="E674" s="3" t="s">
        <v>539</v>
      </c>
      <c r="F674" s="1" t="s">
        <v>171</v>
      </c>
      <c r="G674" s="21">
        <v>1250</v>
      </c>
      <c r="H674" s="21">
        <v>6513</v>
      </c>
      <c r="I674" s="21">
        <v>17899</v>
      </c>
      <c r="J674" s="21">
        <v>30093</v>
      </c>
      <c r="K674" s="21">
        <v>24961</v>
      </c>
      <c r="L674" s="21">
        <v>11407</v>
      </c>
      <c r="M674" s="21">
        <v>27101</v>
      </c>
      <c r="N674" s="21">
        <v>28437</v>
      </c>
      <c r="O674" s="21">
        <v>30450</v>
      </c>
      <c r="P674" s="21">
        <v>32225</v>
      </c>
      <c r="Q674" s="21">
        <v>34367</v>
      </c>
      <c r="R674" s="23">
        <v>1</v>
      </c>
      <c r="S674" s="23">
        <v>32</v>
      </c>
      <c r="T674" s="23">
        <v>12</v>
      </c>
      <c r="U674" s="23">
        <v>53</v>
      </c>
      <c r="V674" s="23">
        <v>55</v>
      </c>
      <c r="W674" s="23">
        <v>26</v>
      </c>
      <c r="X674" s="23">
        <v>167</v>
      </c>
      <c r="Y674" s="23">
        <v>168</v>
      </c>
      <c r="Z674" s="23">
        <v>198</v>
      </c>
      <c r="AA674" s="23">
        <v>204</v>
      </c>
      <c r="AB674" s="23">
        <v>234</v>
      </c>
      <c r="AC674" s="25">
        <v>421</v>
      </c>
      <c r="AD674" s="25">
        <v>538</v>
      </c>
      <c r="AE674" s="25">
        <v>559</v>
      </c>
      <c r="AF674" s="25">
        <v>677</v>
      </c>
      <c r="AG674" s="25">
        <v>541</v>
      </c>
      <c r="AH674" s="25">
        <v>302</v>
      </c>
      <c r="AI674" s="25">
        <v>0</v>
      </c>
      <c r="AJ674" s="25">
        <v>0</v>
      </c>
      <c r="AK674" s="25">
        <v>0</v>
      </c>
      <c r="AL674" s="25">
        <v>0</v>
      </c>
      <c r="AM674" s="25">
        <v>0</v>
      </c>
    </row>
    <row r="675" spans="1:39" ht="15" customHeight="1">
      <c r="A675" s="32" t="str">
        <f t="shared" si="25"/>
        <v>Ausgrid--&gt; 1 kV &amp; &lt; = 11 kV</v>
      </c>
      <c r="B675" s="32" t="str">
        <f t="shared" si="26"/>
        <v>Ausgrid</v>
      </c>
      <c r="C675" s="32" t="s">
        <v>1133</v>
      </c>
      <c r="D675" s="397"/>
      <c r="F675" s="1" t="s">
        <v>172</v>
      </c>
      <c r="G675" s="21">
        <v>8898</v>
      </c>
      <c r="H675" s="21">
        <v>18103</v>
      </c>
      <c r="I675" s="21">
        <v>28566</v>
      </c>
      <c r="J675" s="21">
        <v>29990</v>
      </c>
      <c r="K675" s="21">
        <v>19140</v>
      </c>
      <c r="L675" s="21">
        <v>13513</v>
      </c>
      <c r="M675" s="21">
        <v>26315</v>
      </c>
      <c r="N675" s="21">
        <v>30654</v>
      </c>
      <c r="O675" s="21">
        <v>55591</v>
      </c>
      <c r="P675" s="21">
        <v>23037</v>
      </c>
      <c r="Q675" s="21">
        <v>40037</v>
      </c>
      <c r="R675" s="23">
        <v>3</v>
      </c>
      <c r="S675" s="23">
        <v>14</v>
      </c>
      <c r="T675" s="23">
        <v>35</v>
      </c>
      <c r="U675" s="23">
        <v>277</v>
      </c>
      <c r="V675" s="23">
        <v>18</v>
      </c>
      <c r="W675" s="23">
        <v>47</v>
      </c>
      <c r="X675" s="23">
        <v>84</v>
      </c>
      <c r="Y675" s="23">
        <v>133</v>
      </c>
      <c r="Z675" s="23">
        <v>162</v>
      </c>
      <c r="AA675" s="23">
        <v>109</v>
      </c>
      <c r="AB675" s="23">
        <v>132</v>
      </c>
      <c r="AC675" s="25">
        <v>270</v>
      </c>
      <c r="AD675" s="25">
        <v>272</v>
      </c>
      <c r="AE675" s="25">
        <v>260</v>
      </c>
      <c r="AF675" s="25">
        <v>305</v>
      </c>
      <c r="AG675" s="25">
        <v>355</v>
      </c>
      <c r="AH675" s="25">
        <v>174</v>
      </c>
      <c r="AI675" s="25">
        <v>0</v>
      </c>
      <c r="AJ675" s="25">
        <v>0</v>
      </c>
      <c r="AK675" s="25">
        <v>0</v>
      </c>
      <c r="AL675" s="25">
        <v>0</v>
      </c>
      <c r="AM675" s="25">
        <v>0</v>
      </c>
    </row>
    <row r="676" spans="1:39" ht="15" customHeight="1">
      <c r="A676" s="32" t="str">
        <f t="shared" si="25"/>
        <v>Ausgrid--&gt; 11 kV &amp; &lt; = 22 kV</v>
      </c>
      <c r="B676" s="32" t="str">
        <f t="shared" si="26"/>
        <v>Ausgrid</v>
      </c>
      <c r="C676" s="32" t="s">
        <v>1133</v>
      </c>
      <c r="D676" s="397"/>
      <c r="F676" s="1" t="s">
        <v>181</v>
      </c>
      <c r="G676" s="21">
        <v>0</v>
      </c>
      <c r="H676" s="21">
        <v>0</v>
      </c>
      <c r="I676" s="21">
        <v>0</v>
      </c>
      <c r="J676" s="21">
        <v>0</v>
      </c>
      <c r="K676" s="21">
        <v>0</v>
      </c>
      <c r="L676" s="21">
        <v>0</v>
      </c>
      <c r="M676" s="21">
        <v>0</v>
      </c>
      <c r="N676" s="21">
        <v>0</v>
      </c>
      <c r="O676" s="21">
        <v>0</v>
      </c>
      <c r="P676" s="21">
        <v>0</v>
      </c>
      <c r="Q676" s="21">
        <v>0</v>
      </c>
      <c r="R676" s="23">
        <v>0</v>
      </c>
      <c r="S676" s="23">
        <v>0</v>
      </c>
      <c r="T676" s="23">
        <v>0</v>
      </c>
      <c r="U676" s="23">
        <v>0</v>
      </c>
      <c r="V676" s="23">
        <v>0</v>
      </c>
      <c r="W676" s="23">
        <v>0</v>
      </c>
      <c r="X676" s="23">
        <v>0</v>
      </c>
      <c r="Y676" s="23">
        <v>0</v>
      </c>
      <c r="Z676" s="23">
        <v>0</v>
      </c>
      <c r="AA676" s="23">
        <v>0</v>
      </c>
      <c r="AB676" s="23">
        <v>0</v>
      </c>
      <c r="AC676" s="25">
        <v>0</v>
      </c>
      <c r="AD676" s="25">
        <v>0</v>
      </c>
      <c r="AE676" s="25">
        <v>0</v>
      </c>
      <c r="AF676" s="25">
        <v>0</v>
      </c>
      <c r="AG676" s="25">
        <v>0</v>
      </c>
      <c r="AH676" s="25">
        <v>0</v>
      </c>
      <c r="AI676" s="25">
        <v>0</v>
      </c>
      <c r="AJ676" s="25">
        <v>0</v>
      </c>
      <c r="AK676" s="25">
        <v>0</v>
      </c>
      <c r="AL676" s="25">
        <v>0</v>
      </c>
      <c r="AM676" s="25">
        <v>0</v>
      </c>
    </row>
    <row r="677" spans="1:39" ht="15" customHeight="1">
      <c r="A677" s="32" t="str">
        <f t="shared" si="25"/>
        <v>Ausgrid--&gt; 22 kV &amp; &lt; = 33 kV</v>
      </c>
      <c r="B677" s="32" t="str">
        <f t="shared" si="26"/>
        <v>Ausgrid</v>
      </c>
      <c r="C677" s="32" t="s">
        <v>1133</v>
      </c>
      <c r="D677" s="397"/>
      <c r="F677" s="1" t="s">
        <v>182</v>
      </c>
      <c r="G677" s="21">
        <v>19167</v>
      </c>
      <c r="H677" s="21">
        <v>31925</v>
      </c>
      <c r="I677" s="21">
        <v>43441</v>
      </c>
      <c r="J677" s="21">
        <v>46582</v>
      </c>
      <c r="K677" s="21">
        <v>30749</v>
      </c>
      <c r="L677" s="21">
        <v>23129</v>
      </c>
      <c r="M677" s="21">
        <v>16844</v>
      </c>
      <c r="N677" s="21">
        <v>54058</v>
      </c>
      <c r="O677" s="21">
        <v>41275</v>
      </c>
      <c r="P677" s="21">
        <v>26181</v>
      </c>
      <c r="Q677" s="21">
        <v>20586</v>
      </c>
      <c r="R677" s="23">
        <v>12</v>
      </c>
      <c r="S677" s="23">
        <v>0</v>
      </c>
      <c r="T677" s="23">
        <v>13</v>
      </c>
      <c r="U677" s="23">
        <v>19</v>
      </c>
      <c r="V677" s="23">
        <v>23</v>
      </c>
      <c r="W677" s="23">
        <v>15</v>
      </c>
      <c r="X677" s="23">
        <v>25</v>
      </c>
      <c r="Y677" s="23">
        <v>5</v>
      </c>
      <c r="Z677" s="23">
        <v>35</v>
      </c>
      <c r="AA677" s="23">
        <v>8</v>
      </c>
      <c r="AB677" s="23">
        <v>20</v>
      </c>
      <c r="AC677" s="25">
        <v>8</v>
      </c>
      <c r="AD677" s="25">
        <v>10</v>
      </c>
      <c r="AE677" s="25">
        <v>11</v>
      </c>
      <c r="AF677" s="25">
        <v>7</v>
      </c>
      <c r="AG677" s="25">
        <v>8</v>
      </c>
      <c r="AH677" s="25">
        <v>6</v>
      </c>
      <c r="AI677" s="25">
        <v>0</v>
      </c>
      <c r="AJ677" s="25">
        <v>0</v>
      </c>
      <c r="AK677" s="25">
        <v>0</v>
      </c>
      <c r="AL677" s="25">
        <v>0</v>
      </c>
      <c r="AM677" s="25">
        <v>0</v>
      </c>
    </row>
    <row r="678" spans="1:39" ht="15" customHeight="1">
      <c r="A678" s="32" t="str">
        <f t="shared" si="25"/>
        <v>Ausgrid--&gt; 33 kV &amp; &lt; = 66 kV</v>
      </c>
      <c r="B678" s="32" t="str">
        <f t="shared" si="26"/>
        <v>Ausgrid</v>
      </c>
      <c r="C678" s="32" t="s">
        <v>1133</v>
      </c>
      <c r="D678" s="397"/>
      <c r="F678" s="1" t="s">
        <v>183</v>
      </c>
      <c r="G678" s="21">
        <v>0</v>
      </c>
      <c r="H678" s="21">
        <v>0</v>
      </c>
      <c r="I678" s="21">
        <v>10</v>
      </c>
      <c r="J678" s="21">
        <v>102</v>
      </c>
      <c r="K678" s="21">
        <v>136</v>
      </c>
      <c r="L678" s="21">
        <v>157</v>
      </c>
      <c r="M678" s="21">
        <v>0</v>
      </c>
      <c r="N678" s="21">
        <v>0</v>
      </c>
      <c r="O678" s="21">
        <v>0</v>
      </c>
      <c r="P678" s="21">
        <v>0</v>
      </c>
      <c r="Q678" s="21">
        <v>0</v>
      </c>
      <c r="R678" s="23">
        <v>0</v>
      </c>
      <c r="S678" s="23">
        <v>0</v>
      </c>
      <c r="T678" s="23">
        <v>0</v>
      </c>
      <c r="U678" s="23">
        <v>0</v>
      </c>
      <c r="V678" s="23">
        <v>0</v>
      </c>
      <c r="W678" s="23">
        <v>0</v>
      </c>
      <c r="X678" s="23">
        <v>0</v>
      </c>
      <c r="Y678" s="23">
        <v>0</v>
      </c>
      <c r="Z678" s="23">
        <v>0</v>
      </c>
      <c r="AA678" s="23">
        <v>0</v>
      </c>
      <c r="AB678" s="23">
        <v>0</v>
      </c>
      <c r="AC678" s="25">
        <v>0</v>
      </c>
      <c r="AD678" s="25">
        <v>1</v>
      </c>
      <c r="AE678" s="25">
        <v>0</v>
      </c>
      <c r="AF678" s="25">
        <v>0</v>
      </c>
      <c r="AG678" s="25">
        <v>1</v>
      </c>
      <c r="AH678" s="25">
        <v>0</v>
      </c>
      <c r="AI678" s="25">
        <v>0</v>
      </c>
      <c r="AJ678" s="25">
        <v>0</v>
      </c>
      <c r="AK678" s="25">
        <v>0</v>
      </c>
      <c r="AL678" s="25">
        <v>0</v>
      </c>
      <c r="AM678" s="25">
        <v>0</v>
      </c>
    </row>
    <row r="679" spans="1:39" ht="15" customHeight="1">
      <c r="A679" s="32" t="str">
        <f t="shared" si="25"/>
        <v>Ausgrid--&gt; 66 kV &amp; &lt; = 132 kV</v>
      </c>
      <c r="B679" s="32" t="str">
        <f t="shared" si="26"/>
        <v>Ausgrid</v>
      </c>
      <c r="C679" s="32" t="s">
        <v>1133</v>
      </c>
      <c r="D679" s="397"/>
      <c r="F679" s="1" t="s">
        <v>175</v>
      </c>
      <c r="G679" s="21">
        <v>101553</v>
      </c>
      <c r="H679" s="21">
        <v>99209</v>
      </c>
      <c r="I679" s="21">
        <v>110486</v>
      </c>
      <c r="J679" s="21">
        <v>215098</v>
      </c>
      <c r="K679" s="21">
        <v>137303</v>
      </c>
      <c r="L679" s="21">
        <v>147810</v>
      </c>
      <c r="M679" s="21">
        <v>124154</v>
      </c>
      <c r="N679" s="21">
        <v>74009</v>
      </c>
      <c r="O679" s="21">
        <v>43002</v>
      </c>
      <c r="P679" s="21">
        <v>37338</v>
      </c>
      <c r="Q679" s="21">
        <v>28575</v>
      </c>
      <c r="R679" s="23">
        <v>0</v>
      </c>
      <c r="S679" s="23">
        <v>16</v>
      </c>
      <c r="T679" s="23">
        <v>23</v>
      </c>
      <c r="U679" s="23">
        <v>24</v>
      </c>
      <c r="V679" s="23">
        <v>4</v>
      </c>
      <c r="W679" s="23">
        <v>43</v>
      </c>
      <c r="X679" s="23">
        <v>131</v>
      </c>
      <c r="Y679" s="23">
        <v>60</v>
      </c>
      <c r="Z679" s="23">
        <v>55</v>
      </c>
      <c r="AA679" s="23">
        <v>22</v>
      </c>
      <c r="AB679" s="23">
        <v>11</v>
      </c>
      <c r="AC679" s="25">
        <v>6</v>
      </c>
      <c r="AD679" s="25">
        <v>0</v>
      </c>
      <c r="AE679" s="25">
        <v>35</v>
      </c>
      <c r="AF679" s="25">
        <v>6</v>
      </c>
      <c r="AG679" s="25">
        <v>14</v>
      </c>
      <c r="AH679" s="25">
        <v>3</v>
      </c>
      <c r="AI679" s="25">
        <v>0</v>
      </c>
      <c r="AJ679" s="25">
        <v>0</v>
      </c>
      <c r="AK679" s="25">
        <v>0</v>
      </c>
      <c r="AL679" s="25">
        <v>0</v>
      </c>
      <c r="AM679" s="25">
        <v>0</v>
      </c>
    </row>
    <row r="680" spans="1:39" ht="15" customHeight="1">
      <c r="A680" s="32" t="str">
        <f t="shared" si="25"/>
        <v>Ausgrid--&gt;  132 kV</v>
      </c>
      <c r="B680" s="32" t="str">
        <f t="shared" si="26"/>
        <v>Ausgrid</v>
      </c>
      <c r="C680" s="32" t="s">
        <v>1133</v>
      </c>
      <c r="D680" s="397"/>
      <c r="F680" s="1" t="s">
        <v>184</v>
      </c>
      <c r="G680" s="21">
        <v>0</v>
      </c>
      <c r="H680" s="21">
        <v>0</v>
      </c>
      <c r="I680" s="21">
        <v>0</v>
      </c>
      <c r="J680" s="21">
        <v>0</v>
      </c>
      <c r="K680" s="21">
        <v>0</v>
      </c>
      <c r="L680" s="21">
        <v>0</v>
      </c>
      <c r="M680" s="21">
        <v>0</v>
      </c>
      <c r="N680" s="21">
        <v>0</v>
      </c>
      <c r="O680" s="21">
        <v>0</v>
      </c>
      <c r="P680" s="21">
        <v>0</v>
      </c>
      <c r="Q680" s="21">
        <v>0</v>
      </c>
      <c r="R680" s="23">
        <v>0</v>
      </c>
      <c r="S680" s="23">
        <v>0</v>
      </c>
      <c r="T680" s="23">
        <v>0</v>
      </c>
      <c r="U680" s="23">
        <v>0</v>
      </c>
      <c r="V680" s="23">
        <v>0</v>
      </c>
      <c r="W680" s="23">
        <v>0</v>
      </c>
      <c r="X680" s="23">
        <v>0</v>
      </c>
      <c r="Y680" s="23">
        <v>0</v>
      </c>
      <c r="Z680" s="23">
        <v>0</v>
      </c>
      <c r="AA680" s="23">
        <v>0</v>
      </c>
      <c r="AB680" s="23">
        <v>0</v>
      </c>
      <c r="AC680" s="25">
        <v>0</v>
      </c>
      <c r="AD680" s="25">
        <v>0</v>
      </c>
      <c r="AE680" s="25">
        <v>0</v>
      </c>
      <c r="AF680" s="25">
        <v>0</v>
      </c>
      <c r="AG680" s="25">
        <v>0</v>
      </c>
      <c r="AH680" s="25">
        <v>0</v>
      </c>
      <c r="AI680" s="25">
        <v>0</v>
      </c>
      <c r="AJ680" s="25">
        <v>0</v>
      </c>
      <c r="AK680" s="25">
        <v>0</v>
      </c>
      <c r="AL680" s="25">
        <v>0</v>
      </c>
      <c r="AM680" s="25">
        <v>0</v>
      </c>
    </row>
    <row r="681" spans="1:39" ht="15" customHeight="1">
      <c r="A681" s="32" t="str">
        <f t="shared" si="25"/>
        <v>Ausgrid--OTHER - PLEASE ADD A ROW IF NECESSARY AND NOMINATE THE CATEGORY</v>
      </c>
      <c r="B681" s="32" t="str">
        <f t="shared" si="26"/>
        <v>Ausgrid</v>
      </c>
      <c r="C681" s="32" t="s">
        <v>1133</v>
      </c>
      <c r="D681" s="397"/>
      <c r="F681" s="1" t="s">
        <v>170</v>
      </c>
      <c r="G681" s="21"/>
      <c r="H681" s="21"/>
      <c r="I681" s="21"/>
      <c r="J681" s="21"/>
      <c r="K681" s="21"/>
      <c r="L681" s="21"/>
      <c r="M681" s="21"/>
      <c r="N681" s="21"/>
      <c r="O681" s="21"/>
      <c r="P681" s="21"/>
      <c r="Q681" s="21"/>
      <c r="R681" s="23"/>
      <c r="S681" s="23"/>
      <c r="T681" s="23"/>
      <c r="U681" s="23"/>
      <c r="V681" s="23"/>
      <c r="W681" s="23"/>
      <c r="X681" s="23"/>
      <c r="Y681" s="23"/>
      <c r="Z681" s="23"/>
      <c r="AA681" s="23"/>
      <c r="AB681" s="23"/>
      <c r="AC681" s="25"/>
      <c r="AD681" s="25"/>
      <c r="AE681" s="25"/>
      <c r="AF681" s="25"/>
      <c r="AG681" s="25"/>
      <c r="AH681" s="25"/>
      <c r="AI681" s="25"/>
      <c r="AJ681" s="25"/>
      <c r="AK681" s="25"/>
      <c r="AL681" s="25"/>
      <c r="AM681" s="25"/>
    </row>
    <row r="682" spans="1:39" ht="60" customHeight="1">
      <c r="A682" s="32" t="str">
        <f t="shared" si="25"/>
        <v xml:space="preserve">Ausgrid-SERVICE LINES BY: 
CONNECTION VOLTAGE; CUSTOMER TYPE; CONNECTION COMPLEXITY -˂ = 11 kV ; RESIDENTIAL ; SIMPLE TYPE </v>
      </c>
      <c r="B682" s="32" t="str">
        <f t="shared" si="26"/>
        <v>Ausgrid</v>
      </c>
      <c r="C682" s="32" t="s">
        <v>719</v>
      </c>
      <c r="D682" s="397"/>
      <c r="E682" s="3" t="s">
        <v>541</v>
      </c>
      <c r="F682" s="1" t="s">
        <v>186</v>
      </c>
      <c r="G682" s="21">
        <v>13959</v>
      </c>
      <c r="H682" s="21">
        <v>11651</v>
      </c>
      <c r="I682" s="21">
        <v>9863</v>
      </c>
      <c r="J682" s="21">
        <v>10091</v>
      </c>
      <c r="K682" s="21">
        <v>7559</v>
      </c>
      <c r="L682" s="21">
        <v>7018</v>
      </c>
      <c r="M682" s="21">
        <v>11007</v>
      </c>
      <c r="N682" s="21">
        <v>11126</v>
      </c>
      <c r="O682" s="21">
        <v>11086</v>
      </c>
      <c r="P682" s="21">
        <v>11375</v>
      </c>
      <c r="Q682" s="21">
        <v>11669</v>
      </c>
      <c r="R682" s="23">
        <v>3</v>
      </c>
      <c r="S682" s="23">
        <v>21635</v>
      </c>
      <c r="T682" s="23">
        <v>17634</v>
      </c>
      <c r="U682" s="23">
        <v>18881</v>
      </c>
      <c r="V682" s="23">
        <v>13843</v>
      </c>
      <c r="W682" s="23">
        <v>11290</v>
      </c>
      <c r="X682" s="23">
        <v>21799</v>
      </c>
      <c r="Y682" s="23">
        <v>21764</v>
      </c>
      <c r="Z682" s="23">
        <v>21705</v>
      </c>
      <c r="AA682" s="23">
        <v>21705</v>
      </c>
      <c r="AB682" s="23">
        <v>21705</v>
      </c>
      <c r="AC682" s="25">
        <v>9192</v>
      </c>
      <c r="AD682" s="25">
        <v>9353</v>
      </c>
      <c r="AE682" s="25">
        <v>9256</v>
      </c>
      <c r="AF682" s="25">
        <v>8021</v>
      </c>
      <c r="AG682" s="25">
        <v>9831</v>
      </c>
      <c r="AH682" s="25">
        <v>7914</v>
      </c>
      <c r="AI682" s="25">
        <v>0</v>
      </c>
      <c r="AJ682" s="25">
        <v>0</v>
      </c>
      <c r="AK682" s="25">
        <v>0</v>
      </c>
      <c r="AL682" s="25">
        <v>0</v>
      </c>
      <c r="AM682" s="25">
        <v>0</v>
      </c>
    </row>
    <row r="683" spans="1:39" ht="15" customHeight="1">
      <c r="A683" s="32" t="str">
        <f t="shared" si="25"/>
        <v xml:space="preserve">Ausgrid--˂ = 11 kV ; COMMERCIAL &amp; INDUSTRIAL ; SIMPLE TYPE </v>
      </c>
      <c r="B683" s="32" t="str">
        <f t="shared" si="26"/>
        <v>Ausgrid</v>
      </c>
      <c r="C683" s="32" t="s">
        <v>719</v>
      </c>
      <c r="D683" s="397"/>
      <c r="F683" s="1" t="s">
        <v>187</v>
      </c>
      <c r="G683" s="21">
        <v>374</v>
      </c>
      <c r="H683" s="21">
        <v>366</v>
      </c>
      <c r="I683" s="21">
        <v>307</v>
      </c>
      <c r="J683" s="21">
        <v>217</v>
      </c>
      <c r="K683" s="21">
        <v>154</v>
      </c>
      <c r="L683" s="21">
        <v>136</v>
      </c>
      <c r="M683" s="21">
        <v>630</v>
      </c>
      <c r="N683" s="21">
        <v>522</v>
      </c>
      <c r="O683" s="21">
        <v>315</v>
      </c>
      <c r="P683" s="21">
        <v>324</v>
      </c>
      <c r="Q683" s="21">
        <v>332</v>
      </c>
      <c r="R683" s="23">
        <v>0</v>
      </c>
      <c r="S683" s="23">
        <v>578</v>
      </c>
      <c r="T683" s="23">
        <v>484</v>
      </c>
      <c r="U683" s="23">
        <v>402</v>
      </c>
      <c r="V683" s="23">
        <v>260</v>
      </c>
      <c r="W683" s="23">
        <v>178</v>
      </c>
      <c r="X683" s="23">
        <v>419</v>
      </c>
      <c r="Y683" s="23">
        <v>396</v>
      </c>
      <c r="Z683" s="23">
        <v>355</v>
      </c>
      <c r="AA683" s="23">
        <v>355</v>
      </c>
      <c r="AB683" s="23">
        <v>355</v>
      </c>
      <c r="AC683" s="25">
        <v>207</v>
      </c>
      <c r="AD683" s="25">
        <v>258</v>
      </c>
      <c r="AE683" s="25">
        <v>264</v>
      </c>
      <c r="AF683" s="25">
        <v>181</v>
      </c>
      <c r="AG683" s="25">
        <v>200</v>
      </c>
      <c r="AH683" s="25">
        <v>136</v>
      </c>
      <c r="AI683" s="25">
        <v>0</v>
      </c>
      <c r="AJ683" s="25">
        <v>0</v>
      </c>
      <c r="AK683" s="25">
        <v>0</v>
      </c>
      <c r="AL683" s="25">
        <v>0</v>
      </c>
      <c r="AM683" s="25">
        <v>0</v>
      </c>
    </row>
    <row r="684" spans="1:39" ht="15" customHeight="1">
      <c r="A684" s="32" t="str">
        <f t="shared" si="25"/>
        <v xml:space="preserve">Ausgrid--˂ = 11 kV ; RESIDENTIAL ; COMPLEX TYPE </v>
      </c>
      <c r="B684" s="32" t="str">
        <f t="shared" si="26"/>
        <v>Ausgrid</v>
      </c>
      <c r="C684" s="32" t="s">
        <v>719</v>
      </c>
      <c r="D684" s="397"/>
      <c r="F684" s="1" t="s">
        <v>188</v>
      </c>
      <c r="G684" s="21">
        <v>0</v>
      </c>
      <c r="H684" s="21">
        <v>0</v>
      </c>
      <c r="I684" s="21">
        <v>0</v>
      </c>
      <c r="J684" s="21">
        <v>0</v>
      </c>
      <c r="K684" s="21">
        <v>0</v>
      </c>
      <c r="L684" s="21">
        <v>0</v>
      </c>
      <c r="M684" s="21">
        <v>0</v>
      </c>
      <c r="N684" s="21">
        <v>0</v>
      </c>
      <c r="O684" s="21">
        <v>0</v>
      </c>
      <c r="P684" s="21">
        <v>0</v>
      </c>
      <c r="Q684" s="21">
        <v>0</v>
      </c>
      <c r="R684" s="23">
        <v>0</v>
      </c>
      <c r="S684" s="23">
        <v>0</v>
      </c>
      <c r="T684" s="23">
        <v>0</v>
      </c>
      <c r="U684" s="23">
        <v>0</v>
      </c>
      <c r="V684" s="23">
        <v>0</v>
      </c>
      <c r="W684" s="23">
        <v>0</v>
      </c>
      <c r="X684" s="23">
        <v>0</v>
      </c>
      <c r="Y684" s="23">
        <v>0</v>
      </c>
      <c r="Z684" s="23">
        <v>0</v>
      </c>
      <c r="AA684" s="23">
        <v>0</v>
      </c>
      <c r="AB684" s="23">
        <v>0</v>
      </c>
      <c r="AC684" s="25">
        <v>0</v>
      </c>
      <c r="AD684" s="25">
        <v>0</v>
      </c>
      <c r="AE684" s="25">
        <v>0</v>
      </c>
      <c r="AF684" s="25">
        <v>0</v>
      </c>
      <c r="AG684" s="25">
        <v>0</v>
      </c>
      <c r="AH684" s="25">
        <v>0</v>
      </c>
      <c r="AI684" s="25">
        <v>0</v>
      </c>
      <c r="AJ684" s="25">
        <v>0</v>
      </c>
      <c r="AK684" s="25">
        <v>0</v>
      </c>
      <c r="AL684" s="25">
        <v>0</v>
      </c>
      <c r="AM684" s="25">
        <v>0</v>
      </c>
    </row>
    <row r="685" spans="1:39" ht="15" customHeight="1">
      <c r="A685" s="32" t="str">
        <f t="shared" si="25"/>
        <v xml:space="preserve">Ausgrid--˂ = 11 kV ; COMMERCIAL &amp; INDUSTRIAL ; COMPLEX TYPE </v>
      </c>
      <c r="B685" s="32" t="str">
        <f t="shared" si="26"/>
        <v>Ausgrid</v>
      </c>
      <c r="C685" s="32" t="s">
        <v>719</v>
      </c>
      <c r="D685" s="397"/>
      <c r="F685" s="1" t="s">
        <v>189</v>
      </c>
      <c r="G685" s="21">
        <v>0</v>
      </c>
      <c r="H685" s="21">
        <v>0</v>
      </c>
      <c r="I685" s="21">
        <v>0</v>
      </c>
      <c r="J685" s="21">
        <v>0</v>
      </c>
      <c r="K685" s="21">
        <v>0</v>
      </c>
      <c r="L685" s="21">
        <v>0</v>
      </c>
      <c r="M685" s="21">
        <v>0</v>
      </c>
      <c r="N685" s="21">
        <v>0</v>
      </c>
      <c r="O685" s="21">
        <v>0</v>
      </c>
      <c r="P685" s="21">
        <v>0</v>
      </c>
      <c r="Q685" s="21">
        <v>0</v>
      </c>
      <c r="R685" s="23">
        <v>0</v>
      </c>
      <c r="S685" s="23">
        <v>0</v>
      </c>
      <c r="T685" s="23">
        <v>0</v>
      </c>
      <c r="U685" s="23">
        <v>0</v>
      </c>
      <c r="V685" s="23">
        <v>0</v>
      </c>
      <c r="W685" s="23">
        <v>0</v>
      </c>
      <c r="X685" s="23">
        <v>0</v>
      </c>
      <c r="Y685" s="23">
        <v>0</v>
      </c>
      <c r="Z685" s="23">
        <v>0</v>
      </c>
      <c r="AA685" s="23">
        <v>0</v>
      </c>
      <c r="AB685" s="23">
        <v>0</v>
      </c>
      <c r="AC685" s="25">
        <v>0</v>
      </c>
      <c r="AD685" s="25">
        <v>0</v>
      </c>
      <c r="AE685" s="25">
        <v>0</v>
      </c>
      <c r="AF685" s="25">
        <v>0</v>
      </c>
      <c r="AG685" s="25">
        <v>0</v>
      </c>
      <c r="AH685" s="25">
        <v>0</v>
      </c>
      <c r="AI685" s="25">
        <v>0</v>
      </c>
      <c r="AJ685" s="25">
        <v>0</v>
      </c>
      <c r="AK685" s="25">
        <v>0</v>
      </c>
      <c r="AL685" s="25">
        <v>0</v>
      </c>
      <c r="AM685" s="25">
        <v>0</v>
      </c>
    </row>
    <row r="686" spans="1:39" ht="15" customHeight="1">
      <c r="A686" s="32" t="str">
        <f t="shared" si="25"/>
        <v xml:space="preserve">Ausgrid--˂ = 11 kV ; SUBDIVISION ; COMPLEX TYPE </v>
      </c>
      <c r="B686" s="32" t="str">
        <f t="shared" si="26"/>
        <v>Ausgrid</v>
      </c>
      <c r="C686" s="32" t="s">
        <v>719</v>
      </c>
      <c r="D686" s="397"/>
      <c r="F686" s="1" t="s">
        <v>190</v>
      </c>
      <c r="G686" s="21">
        <v>0</v>
      </c>
      <c r="H686" s="21">
        <v>0</v>
      </c>
      <c r="I686" s="21">
        <v>0</v>
      </c>
      <c r="J686" s="21">
        <v>0</v>
      </c>
      <c r="K686" s="21">
        <v>0</v>
      </c>
      <c r="L686" s="21">
        <v>0</v>
      </c>
      <c r="M686" s="21">
        <v>0</v>
      </c>
      <c r="N686" s="21">
        <v>0</v>
      </c>
      <c r="O686" s="21">
        <v>0</v>
      </c>
      <c r="P686" s="21">
        <v>0</v>
      </c>
      <c r="Q686" s="21">
        <v>0</v>
      </c>
      <c r="R686" s="23">
        <v>0</v>
      </c>
      <c r="S686" s="23">
        <v>0</v>
      </c>
      <c r="T686" s="23">
        <v>0</v>
      </c>
      <c r="U686" s="23">
        <v>0</v>
      </c>
      <c r="V686" s="23">
        <v>0</v>
      </c>
      <c r="W686" s="23">
        <v>0</v>
      </c>
      <c r="X686" s="23">
        <v>0</v>
      </c>
      <c r="Y686" s="23">
        <v>0</v>
      </c>
      <c r="Z686" s="23">
        <v>0</v>
      </c>
      <c r="AA686" s="23">
        <v>0</v>
      </c>
      <c r="AB686" s="23">
        <v>0</v>
      </c>
      <c r="AC686" s="25">
        <v>0</v>
      </c>
      <c r="AD686" s="25">
        <v>0</v>
      </c>
      <c r="AE686" s="25">
        <v>0</v>
      </c>
      <c r="AF686" s="25">
        <v>0</v>
      </c>
      <c r="AG686" s="25">
        <v>0</v>
      </c>
      <c r="AH686" s="25">
        <v>0</v>
      </c>
      <c r="AI686" s="25">
        <v>0</v>
      </c>
      <c r="AJ686" s="25">
        <v>0</v>
      </c>
      <c r="AK686" s="25">
        <v>0</v>
      </c>
      <c r="AL686" s="25">
        <v>0</v>
      </c>
      <c r="AM686" s="25">
        <v>0</v>
      </c>
    </row>
    <row r="687" spans="1:39" ht="15" customHeight="1">
      <c r="A687" s="32" t="str">
        <f t="shared" si="25"/>
        <v xml:space="preserve">Ausgrid--&gt; 11 kV  &amp; &lt; = 22 kV ; COMMERCIAL &amp; INDUSTRIAL  </v>
      </c>
      <c r="B687" s="32" t="str">
        <f t="shared" si="26"/>
        <v>Ausgrid</v>
      </c>
      <c r="C687" s="32" t="s">
        <v>719</v>
      </c>
      <c r="D687" s="397"/>
      <c r="F687" s="1" t="s">
        <v>191</v>
      </c>
      <c r="G687" s="21">
        <v>0</v>
      </c>
      <c r="H687" s="21">
        <v>0</v>
      </c>
      <c r="I687" s="21">
        <v>0</v>
      </c>
      <c r="J687" s="21">
        <v>0</v>
      </c>
      <c r="K687" s="21">
        <v>0</v>
      </c>
      <c r="L687" s="21">
        <v>0</v>
      </c>
      <c r="M687" s="21">
        <v>0</v>
      </c>
      <c r="N687" s="21">
        <v>0</v>
      </c>
      <c r="O687" s="21">
        <v>0</v>
      </c>
      <c r="P687" s="21">
        <v>0</v>
      </c>
      <c r="Q687" s="21">
        <v>0</v>
      </c>
      <c r="R687" s="23">
        <v>0</v>
      </c>
      <c r="S687" s="23">
        <v>0</v>
      </c>
      <c r="T687" s="23">
        <v>0</v>
      </c>
      <c r="U687" s="23">
        <v>0</v>
      </c>
      <c r="V687" s="23">
        <v>0</v>
      </c>
      <c r="W687" s="23">
        <v>0</v>
      </c>
      <c r="X687" s="23">
        <v>0</v>
      </c>
      <c r="Y687" s="23">
        <v>0</v>
      </c>
      <c r="Z687" s="23">
        <v>0</v>
      </c>
      <c r="AA687" s="23">
        <v>0</v>
      </c>
      <c r="AB687" s="23">
        <v>0</v>
      </c>
      <c r="AC687" s="25">
        <v>0</v>
      </c>
      <c r="AD687" s="25">
        <v>0</v>
      </c>
      <c r="AE687" s="25">
        <v>0</v>
      </c>
      <c r="AF687" s="25">
        <v>0</v>
      </c>
      <c r="AG687" s="25">
        <v>0</v>
      </c>
      <c r="AH687" s="25">
        <v>0</v>
      </c>
      <c r="AI687" s="25">
        <v>0</v>
      </c>
      <c r="AJ687" s="25">
        <v>0</v>
      </c>
      <c r="AK687" s="25">
        <v>0</v>
      </c>
      <c r="AL687" s="25">
        <v>0</v>
      </c>
      <c r="AM687" s="25">
        <v>0</v>
      </c>
    </row>
    <row r="688" spans="1:39" ht="15" customHeight="1">
      <c r="A688" s="32" t="str">
        <f t="shared" si="25"/>
        <v xml:space="preserve">Ausgrid--&gt; 11 kV  &amp; &lt; = 22 kV ; SUBDIVISION  </v>
      </c>
      <c r="B688" s="32" t="str">
        <f t="shared" si="26"/>
        <v>Ausgrid</v>
      </c>
      <c r="C688" s="32" t="s">
        <v>719</v>
      </c>
      <c r="D688" s="397"/>
      <c r="F688" s="1" t="s">
        <v>192</v>
      </c>
      <c r="G688" s="21">
        <v>0</v>
      </c>
      <c r="H688" s="21">
        <v>0</v>
      </c>
      <c r="I688" s="21">
        <v>0</v>
      </c>
      <c r="J688" s="21">
        <v>0</v>
      </c>
      <c r="K688" s="21">
        <v>0</v>
      </c>
      <c r="L688" s="21">
        <v>0</v>
      </c>
      <c r="M688" s="21">
        <v>0</v>
      </c>
      <c r="N688" s="21">
        <v>0</v>
      </c>
      <c r="O688" s="21">
        <v>0</v>
      </c>
      <c r="P688" s="21">
        <v>0</v>
      </c>
      <c r="Q688" s="21">
        <v>0</v>
      </c>
      <c r="R688" s="23">
        <v>0</v>
      </c>
      <c r="S688" s="23">
        <v>0</v>
      </c>
      <c r="T688" s="23">
        <v>0</v>
      </c>
      <c r="U688" s="23">
        <v>0</v>
      </c>
      <c r="V688" s="23">
        <v>0</v>
      </c>
      <c r="W688" s="23">
        <v>0</v>
      </c>
      <c r="X688" s="23">
        <v>0</v>
      </c>
      <c r="Y688" s="23">
        <v>0</v>
      </c>
      <c r="Z688" s="23">
        <v>0</v>
      </c>
      <c r="AA688" s="23">
        <v>0</v>
      </c>
      <c r="AB688" s="23">
        <v>0</v>
      </c>
      <c r="AC688" s="25">
        <v>0</v>
      </c>
      <c r="AD688" s="25">
        <v>0</v>
      </c>
      <c r="AE688" s="25">
        <v>0</v>
      </c>
      <c r="AF688" s="25">
        <v>0</v>
      </c>
      <c r="AG688" s="25">
        <v>0</v>
      </c>
      <c r="AH688" s="25">
        <v>0</v>
      </c>
      <c r="AI688" s="25">
        <v>0</v>
      </c>
      <c r="AJ688" s="25">
        <v>0</v>
      </c>
      <c r="AK688" s="25">
        <v>0</v>
      </c>
      <c r="AL688" s="25">
        <v>0</v>
      </c>
      <c r="AM688" s="25">
        <v>0</v>
      </c>
    </row>
    <row r="689" spans="1:39" ht="15" customHeight="1">
      <c r="A689" s="32" t="str">
        <f t="shared" si="25"/>
        <v xml:space="preserve">Ausgrid--&gt; 22 kV &amp; &lt; = 33 kV ; COMMERCIAL &amp; INDUSTRIAL  </v>
      </c>
      <c r="B689" s="32" t="str">
        <f t="shared" si="26"/>
        <v>Ausgrid</v>
      </c>
      <c r="C689" s="32" t="s">
        <v>719</v>
      </c>
      <c r="D689" s="397"/>
      <c r="F689" s="1" t="s">
        <v>193</v>
      </c>
      <c r="G689" s="21">
        <v>0</v>
      </c>
      <c r="H689" s="21">
        <v>0</v>
      </c>
      <c r="I689" s="21">
        <v>0</v>
      </c>
      <c r="J689" s="21">
        <v>0</v>
      </c>
      <c r="K689" s="21">
        <v>0</v>
      </c>
      <c r="L689" s="21">
        <v>0</v>
      </c>
      <c r="M689" s="21">
        <v>0</v>
      </c>
      <c r="N689" s="21">
        <v>0</v>
      </c>
      <c r="O689" s="21">
        <v>0</v>
      </c>
      <c r="P689" s="21">
        <v>0</v>
      </c>
      <c r="Q689" s="21">
        <v>0</v>
      </c>
      <c r="R689" s="23">
        <v>0</v>
      </c>
      <c r="S689" s="23">
        <v>0</v>
      </c>
      <c r="T689" s="23">
        <v>0</v>
      </c>
      <c r="U689" s="23">
        <v>0</v>
      </c>
      <c r="V689" s="23">
        <v>0</v>
      </c>
      <c r="W689" s="23">
        <v>0</v>
      </c>
      <c r="X689" s="23">
        <v>0</v>
      </c>
      <c r="Y689" s="23">
        <v>0</v>
      </c>
      <c r="Z689" s="23">
        <v>0</v>
      </c>
      <c r="AA689" s="23">
        <v>0</v>
      </c>
      <c r="AB689" s="23">
        <v>0</v>
      </c>
      <c r="AC689" s="25">
        <v>0</v>
      </c>
      <c r="AD689" s="25">
        <v>0</v>
      </c>
      <c r="AE689" s="25">
        <v>0</v>
      </c>
      <c r="AF689" s="25">
        <v>0</v>
      </c>
      <c r="AG689" s="25">
        <v>0</v>
      </c>
      <c r="AH689" s="25">
        <v>0</v>
      </c>
      <c r="AI689" s="25">
        <v>0</v>
      </c>
      <c r="AJ689" s="25">
        <v>0</v>
      </c>
      <c r="AK689" s="25">
        <v>0</v>
      </c>
      <c r="AL689" s="25">
        <v>0</v>
      </c>
      <c r="AM689" s="25">
        <v>0</v>
      </c>
    </row>
    <row r="690" spans="1:39" ht="15" customHeight="1">
      <c r="A690" s="32" t="str">
        <f t="shared" si="25"/>
        <v xml:space="preserve">Ausgrid--&gt; 22 kV &amp; &lt; = 33 kV ; SUBDIVISION  </v>
      </c>
      <c r="B690" s="32" t="str">
        <f t="shared" si="26"/>
        <v>Ausgrid</v>
      </c>
      <c r="C690" s="32" t="s">
        <v>719</v>
      </c>
      <c r="D690" s="397"/>
      <c r="F690" s="1" t="s">
        <v>194</v>
      </c>
      <c r="G690" s="21">
        <v>0</v>
      </c>
      <c r="H690" s="21">
        <v>0</v>
      </c>
      <c r="I690" s="21">
        <v>0</v>
      </c>
      <c r="J690" s="21">
        <v>0</v>
      </c>
      <c r="K690" s="21">
        <v>0</v>
      </c>
      <c r="L690" s="21">
        <v>0</v>
      </c>
      <c r="M690" s="21">
        <v>0</v>
      </c>
      <c r="N690" s="21">
        <v>0</v>
      </c>
      <c r="O690" s="21">
        <v>0</v>
      </c>
      <c r="P690" s="21">
        <v>0</v>
      </c>
      <c r="Q690" s="21">
        <v>0</v>
      </c>
      <c r="R690" s="23">
        <v>0</v>
      </c>
      <c r="S690" s="23">
        <v>0</v>
      </c>
      <c r="T690" s="23">
        <v>0</v>
      </c>
      <c r="U690" s="23">
        <v>0</v>
      </c>
      <c r="V690" s="23">
        <v>0</v>
      </c>
      <c r="W690" s="23">
        <v>0</v>
      </c>
      <c r="X690" s="23">
        <v>0</v>
      </c>
      <c r="Y690" s="23">
        <v>0</v>
      </c>
      <c r="Z690" s="23">
        <v>0</v>
      </c>
      <c r="AA690" s="23">
        <v>0</v>
      </c>
      <c r="AB690" s="23">
        <v>0</v>
      </c>
      <c r="AC690" s="25">
        <v>0</v>
      </c>
      <c r="AD690" s="25">
        <v>0</v>
      </c>
      <c r="AE690" s="25">
        <v>0</v>
      </c>
      <c r="AF690" s="25">
        <v>0</v>
      </c>
      <c r="AG690" s="25">
        <v>0</v>
      </c>
      <c r="AH690" s="25">
        <v>0</v>
      </c>
      <c r="AI690" s="25">
        <v>0</v>
      </c>
      <c r="AJ690" s="25">
        <v>0</v>
      </c>
      <c r="AK690" s="25">
        <v>0</v>
      </c>
      <c r="AL690" s="25">
        <v>0</v>
      </c>
      <c r="AM690" s="25">
        <v>0</v>
      </c>
    </row>
    <row r="691" spans="1:39" ht="15" customHeight="1">
      <c r="A691" s="32" t="str">
        <f t="shared" si="25"/>
        <v xml:space="preserve">Ausgrid--&gt; 33 kV &amp; &lt; = 66 kV ; COMMERCIAL &amp; INDUSTRIAL  </v>
      </c>
      <c r="B691" s="32" t="str">
        <f t="shared" si="26"/>
        <v>Ausgrid</v>
      </c>
      <c r="C691" s="32" t="s">
        <v>719</v>
      </c>
      <c r="D691" s="397"/>
      <c r="F691" s="1" t="s">
        <v>195</v>
      </c>
      <c r="G691" s="21">
        <v>0</v>
      </c>
      <c r="H691" s="21">
        <v>0</v>
      </c>
      <c r="I691" s="21">
        <v>0</v>
      </c>
      <c r="J691" s="21">
        <v>0</v>
      </c>
      <c r="K691" s="21">
        <v>0</v>
      </c>
      <c r="L691" s="21">
        <v>0</v>
      </c>
      <c r="M691" s="21">
        <v>0</v>
      </c>
      <c r="N691" s="21">
        <v>0</v>
      </c>
      <c r="O691" s="21">
        <v>0</v>
      </c>
      <c r="P691" s="21">
        <v>0</v>
      </c>
      <c r="Q691" s="21">
        <v>0</v>
      </c>
      <c r="R691" s="23">
        <v>0</v>
      </c>
      <c r="S691" s="23">
        <v>0</v>
      </c>
      <c r="T691" s="23">
        <v>0</v>
      </c>
      <c r="U691" s="23">
        <v>0</v>
      </c>
      <c r="V691" s="23">
        <v>0</v>
      </c>
      <c r="W691" s="23">
        <v>0</v>
      </c>
      <c r="X691" s="23">
        <v>0</v>
      </c>
      <c r="Y691" s="23">
        <v>0</v>
      </c>
      <c r="Z691" s="23">
        <v>0</v>
      </c>
      <c r="AA691" s="23">
        <v>0</v>
      </c>
      <c r="AB691" s="23">
        <v>0</v>
      </c>
      <c r="AC691" s="25">
        <v>0</v>
      </c>
      <c r="AD691" s="25">
        <v>0</v>
      </c>
      <c r="AE691" s="25">
        <v>0</v>
      </c>
      <c r="AF691" s="25">
        <v>0</v>
      </c>
      <c r="AG691" s="25">
        <v>0</v>
      </c>
      <c r="AH691" s="25">
        <v>0</v>
      </c>
      <c r="AI691" s="25">
        <v>0</v>
      </c>
      <c r="AJ691" s="25">
        <v>0</v>
      </c>
      <c r="AK691" s="25">
        <v>0</v>
      </c>
      <c r="AL691" s="25">
        <v>0</v>
      </c>
      <c r="AM691" s="25">
        <v>0</v>
      </c>
    </row>
    <row r="692" spans="1:39" ht="15" customHeight="1">
      <c r="A692" s="32" t="str">
        <f t="shared" si="25"/>
        <v xml:space="preserve">Ausgrid--&gt; 33 kV &amp; &lt; = 66 kV ; SUBDIVISION  </v>
      </c>
      <c r="B692" s="32" t="str">
        <f t="shared" si="26"/>
        <v>Ausgrid</v>
      </c>
      <c r="C692" s="32" t="s">
        <v>719</v>
      </c>
      <c r="D692" s="397"/>
      <c r="F692" s="1" t="s">
        <v>196</v>
      </c>
      <c r="G692" s="21">
        <v>0</v>
      </c>
      <c r="H692" s="21">
        <v>0</v>
      </c>
      <c r="I692" s="21">
        <v>0</v>
      </c>
      <c r="J692" s="21">
        <v>0</v>
      </c>
      <c r="K692" s="21">
        <v>0</v>
      </c>
      <c r="L692" s="21">
        <v>0</v>
      </c>
      <c r="M692" s="21">
        <v>0</v>
      </c>
      <c r="N692" s="21">
        <v>0</v>
      </c>
      <c r="O692" s="21">
        <v>0</v>
      </c>
      <c r="P692" s="21">
        <v>0</v>
      </c>
      <c r="Q692" s="21">
        <v>0</v>
      </c>
      <c r="R692" s="23">
        <v>0</v>
      </c>
      <c r="S692" s="23">
        <v>0</v>
      </c>
      <c r="T692" s="23">
        <v>0</v>
      </c>
      <c r="U692" s="23">
        <v>0</v>
      </c>
      <c r="V692" s="23">
        <v>0</v>
      </c>
      <c r="W692" s="23">
        <v>0</v>
      </c>
      <c r="X692" s="23">
        <v>0</v>
      </c>
      <c r="Y692" s="23">
        <v>0</v>
      </c>
      <c r="Z692" s="23">
        <v>0</v>
      </c>
      <c r="AA692" s="23">
        <v>0</v>
      </c>
      <c r="AB692" s="23">
        <v>0</v>
      </c>
      <c r="AC692" s="25">
        <v>0</v>
      </c>
      <c r="AD692" s="25">
        <v>0</v>
      </c>
      <c r="AE692" s="25">
        <v>0</v>
      </c>
      <c r="AF692" s="25">
        <v>0</v>
      </c>
      <c r="AG692" s="25">
        <v>0</v>
      </c>
      <c r="AH692" s="25">
        <v>0</v>
      </c>
      <c r="AI692" s="25">
        <v>0</v>
      </c>
      <c r="AJ692" s="25">
        <v>0</v>
      </c>
      <c r="AK692" s="25">
        <v>0</v>
      </c>
      <c r="AL692" s="25">
        <v>0</v>
      </c>
      <c r="AM692" s="25">
        <v>0</v>
      </c>
    </row>
    <row r="693" spans="1:39" ht="15" customHeight="1">
      <c r="A693" s="32" t="str">
        <f t="shared" si="25"/>
        <v xml:space="preserve">Ausgrid--&gt; 66 kV &amp; &lt; = 132 kV ; COMMERCIAL &amp; INDUSTRIAL  </v>
      </c>
      <c r="B693" s="32" t="str">
        <f t="shared" si="26"/>
        <v>Ausgrid</v>
      </c>
      <c r="C693" s="32" t="s">
        <v>719</v>
      </c>
      <c r="D693" s="397"/>
      <c r="F693" s="1" t="s">
        <v>197</v>
      </c>
      <c r="G693" s="21">
        <v>0</v>
      </c>
      <c r="H693" s="21">
        <v>0</v>
      </c>
      <c r="I693" s="21">
        <v>0</v>
      </c>
      <c r="J693" s="21">
        <v>0</v>
      </c>
      <c r="K693" s="21">
        <v>0</v>
      </c>
      <c r="L693" s="21">
        <v>0</v>
      </c>
      <c r="M693" s="21">
        <v>0</v>
      </c>
      <c r="N693" s="21">
        <v>0</v>
      </c>
      <c r="O693" s="21">
        <v>0</v>
      </c>
      <c r="P693" s="21">
        <v>0</v>
      </c>
      <c r="Q693" s="21">
        <v>0</v>
      </c>
      <c r="R693" s="23">
        <v>0</v>
      </c>
      <c r="S693" s="23">
        <v>0</v>
      </c>
      <c r="T693" s="23">
        <v>0</v>
      </c>
      <c r="U693" s="23">
        <v>0</v>
      </c>
      <c r="V693" s="23">
        <v>0</v>
      </c>
      <c r="W693" s="23">
        <v>0</v>
      </c>
      <c r="X693" s="23">
        <v>0</v>
      </c>
      <c r="Y693" s="23">
        <v>0</v>
      </c>
      <c r="Z693" s="23">
        <v>0</v>
      </c>
      <c r="AA693" s="23">
        <v>0</v>
      </c>
      <c r="AB693" s="23">
        <v>0</v>
      </c>
      <c r="AC693" s="25">
        <v>0</v>
      </c>
      <c r="AD693" s="25">
        <v>0</v>
      </c>
      <c r="AE693" s="25">
        <v>0</v>
      </c>
      <c r="AF693" s="25">
        <v>0</v>
      </c>
      <c r="AG693" s="25">
        <v>0</v>
      </c>
      <c r="AH693" s="25">
        <v>0</v>
      </c>
      <c r="AI693" s="25">
        <v>0</v>
      </c>
      <c r="AJ693" s="25">
        <v>0</v>
      </c>
      <c r="AK693" s="25">
        <v>0</v>
      </c>
      <c r="AL693" s="25">
        <v>0</v>
      </c>
      <c r="AM693" s="25">
        <v>0</v>
      </c>
    </row>
    <row r="694" spans="1:39" ht="15" customHeight="1">
      <c r="A694" s="32" t="str">
        <f t="shared" si="25"/>
        <v xml:space="preserve">Ausgrid--&gt; 66 kV &amp; &lt; = 132 kV ; SUBDIVISION  </v>
      </c>
      <c r="B694" s="32" t="str">
        <f t="shared" si="26"/>
        <v>Ausgrid</v>
      </c>
      <c r="C694" s="32" t="s">
        <v>719</v>
      </c>
      <c r="D694" s="397"/>
      <c r="F694" s="1" t="s">
        <v>198</v>
      </c>
      <c r="G694" s="21">
        <v>0</v>
      </c>
      <c r="H694" s="21">
        <v>0</v>
      </c>
      <c r="I694" s="21">
        <v>0</v>
      </c>
      <c r="J694" s="21">
        <v>0</v>
      </c>
      <c r="K694" s="21">
        <v>0</v>
      </c>
      <c r="L694" s="21">
        <v>0</v>
      </c>
      <c r="M694" s="21">
        <v>0</v>
      </c>
      <c r="N694" s="21">
        <v>0</v>
      </c>
      <c r="O694" s="21">
        <v>0</v>
      </c>
      <c r="P694" s="21">
        <v>0</v>
      </c>
      <c r="Q694" s="21">
        <v>0</v>
      </c>
      <c r="R694" s="23">
        <v>0</v>
      </c>
      <c r="S694" s="23">
        <v>0</v>
      </c>
      <c r="T694" s="23">
        <v>0</v>
      </c>
      <c r="U694" s="23">
        <v>0</v>
      </c>
      <c r="V694" s="23">
        <v>0</v>
      </c>
      <c r="W694" s="23">
        <v>0</v>
      </c>
      <c r="X694" s="23">
        <v>0</v>
      </c>
      <c r="Y694" s="23">
        <v>0</v>
      </c>
      <c r="Z694" s="23">
        <v>0</v>
      </c>
      <c r="AA694" s="23">
        <v>0</v>
      </c>
      <c r="AB694" s="23">
        <v>0</v>
      </c>
      <c r="AC694" s="25">
        <v>0</v>
      </c>
      <c r="AD694" s="25">
        <v>0</v>
      </c>
      <c r="AE694" s="25">
        <v>0</v>
      </c>
      <c r="AF694" s="25">
        <v>0</v>
      </c>
      <c r="AG694" s="25">
        <v>0</v>
      </c>
      <c r="AH694" s="25">
        <v>0</v>
      </c>
      <c r="AI694" s="25">
        <v>0</v>
      </c>
      <c r="AJ694" s="25">
        <v>0</v>
      </c>
      <c r="AK694" s="25">
        <v>0</v>
      </c>
      <c r="AL694" s="25">
        <v>0</v>
      </c>
      <c r="AM694" s="25">
        <v>0</v>
      </c>
    </row>
    <row r="695" spans="1:39" ht="15" customHeight="1">
      <c r="A695" s="32" t="str">
        <f t="shared" si="25"/>
        <v xml:space="preserve">Ausgrid--&gt; 132 kV ; COMMERCIAL &amp; INDUSTRIAL  </v>
      </c>
      <c r="B695" s="32" t="str">
        <f t="shared" si="26"/>
        <v>Ausgrid</v>
      </c>
      <c r="C695" s="32" t="s">
        <v>719</v>
      </c>
      <c r="D695" s="397"/>
      <c r="F695" s="1" t="s">
        <v>199</v>
      </c>
      <c r="G695" s="21">
        <v>0</v>
      </c>
      <c r="H695" s="21">
        <v>0</v>
      </c>
      <c r="I695" s="21">
        <v>0</v>
      </c>
      <c r="J695" s="21">
        <v>0</v>
      </c>
      <c r="K695" s="21">
        <v>0</v>
      </c>
      <c r="L695" s="21">
        <v>0</v>
      </c>
      <c r="M695" s="21">
        <v>0</v>
      </c>
      <c r="N695" s="21">
        <v>0</v>
      </c>
      <c r="O695" s="21">
        <v>0</v>
      </c>
      <c r="P695" s="21">
        <v>0</v>
      </c>
      <c r="Q695" s="21">
        <v>0</v>
      </c>
      <c r="R695" s="23">
        <v>0</v>
      </c>
      <c r="S695" s="23">
        <v>0</v>
      </c>
      <c r="T695" s="23">
        <v>0</v>
      </c>
      <c r="U695" s="23">
        <v>0</v>
      </c>
      <c r="V695" s="23">
        <v>0</v>
      </c>
      <c r="W695" s="23">
        <v>0</v>
      </c>
      <c r="X695" s="23">
        <v>0</v>
      </c>
      <c r="Y695" s="23">
        <v>0</v>
      </c>
      <c r="Z695" s="23">
        <v>0</v>
      </c>
      <c r="AA695" s="23">
        <v>0</v>
      </c>
      <c r="AB695" s="23">
        <v>0</v>
      </c>
      <c r="AC695" s="25">
        <v>0</v>
      </c>
      <c r="AD695" s="25">
        <v>0</v>
      </c>
      <c r="AE695" s="25">
        <v>0</v>
      </c>
      <c r="AF695" s="25">
        <v>0</v>
      </c>
      <c r="AG695" s="25">
        <v>0</v>
      </c>
      <c r="AH695" s="25">
        <v>0</v>
      </c>
      <c r="AI695" s="25">
        <v>0</v>
      </c>
      <c r="AJ695" s="25">
        <v>0</v>
      </c>
      <c r="AK695" s="25">
        <v>0</v>
      </c>
      <c r="AL695" s="25">
        <v>0</v>
      </c>
      <c r="AM695" s="25">
        <v>0</v>
      </c>
    </row>
    <row r="696" spans="1:39" ht="15" customHeight="1">
      <c r="A696" s="32" t="str">
        <f t="shared" si="25"/>
        <v xml:space="preserve">Ausgrid--&gt; 132 kV ; SUBDIVISION  </v>
      </c>
      <c r="B696" s="32" t="str">
        <f t="shared" si="26"/>
        <v>Ausgrid</v>
      </c>
      <c r="C696" s="32" t="s">
        <v>719</v>
      </c>
      <c r="D696" s="397"/>
      <c r="F696" s="1" t="s">
        <v>200</v>
      </c>
      <c r="G696" s="21">
        <v>0</v>
      </c>
      <c r="H696" s="21">
        <v>0</v>
      </c>
      <c r="I696" s="21">
        <v>0</v>
      </c>
      <c r="J696" s="21">
        <v>0</v>
      </c>
      <c r="K696" s="21">
        <v>0</v>
      </c>
      <c r="L696" s="21">
        <v>0</v>
      </c>
      <c r="M696" s="21">
        <v>0</v>
      </c>
      <c r="N696" s="21">
        <v>0</v>
      </c>
      <c r="O696" s="21">
        <v>0</v>
      </c>
      <c r="P696" s="21">
        <v>0</v>
      </c>
      <c r="Q696" s="21">
        <v>0</v>
      </c>
      <c r="R696" s="23">
        <v>0</v>
      </c>
      <c r="S696" s="23">
        <v>0</v>
      </c>
      <c r="T696" s="23">
        <v>0</v>
      </c>
      <c r="U696" s="23">
        <v>0</v>
      </c>
      <c r="V696" s="23">
        <v>0</v>
      </c>
      <c r="W696" s="23">
        <v>0</v>
      </c>
      <c r="X696" s="23">
        <v>0</v>
      </c>
      <c r="Y696" s="23">
        <v>0</v>
      </c>
      <c r="Z696" s="23">
        <v>0</v>
      </c>
      <c r="AA696" s="23">
        <v>0</v>
      </c>
      <c r="AB696" s="23">
        <v>0</v>
      </c>
      <c r="AC696" s="25">
        <v>0</v>
      </c>
      <c r="AD696" s="25">
        <v>0</v>
      </c>
      <c r="AE696" s="25">
        <v>0</v>
      </c>
      <c r="AF696" s="25">
        <v>0</v>
      </c>
      <c r="AG696" s="25">
        <v>0</v>
      </c>
      <c r="AH696" s="25">
        <v>0</v>
      </c>
      <c r="AI696" s="25">
        <v>0</v>
      </c>
      <c r="AJ696" s="25">
        <v>0</v>
      </c>
      <c r="AK696" s="25">
        <v>0</v>
      </c>
      <c r="AL696" s="25">
        <v>0</v>
      </c>
      <c r="AM696" s="25">
        <v>0</v>
      </c>
    </row>
    <row r="697" spans="1:39" ht="15" customHeight="1">
      <c r="A697" s="32" t="str">
        <f t="shared" si="25"/>
        <v>Ausgrid--OTHER - PLEASE ADD A ROW IF NECESSARY AND NOMINATE THE CATEGORY</v>
      </c>
      <c r="B697" s="32" t="str">
        <f t="shared" si="26"/>
        <v>Ausgrid</v>
      </c>
      <c r="C697" s="32" t="s">
        <v>719</v>
      </c>
      <c r="D697" s="397"/>
      <c r="F697" s="1" t="s">
        <v>170</v>
      </c>
      <c r="G697" s="21"/>
      <c r="H697" s="21"/>
      <c r="I697" s="21"/>
      <c r="J697" s="21"/>
      <c r="K697" s="21"/>
      <c r="L697" s="21"/>
      <c r="M697" s="21"/>
      <c r="N697" s="21"/>
      <c r="O697" s="21"/>
      <c r="P697" s="21"/>
      <c r="Q697" s="21"/>
      <c r="R697" s="23"/>
      <c r="S697" s="23"/>
      <c r="T697" s="23"/>
      <c r="U697" s="23"/>
      <c r="V697" s="23"/>
      <c r="W697" s="23"/>
      <c r="X697" s="23"/>
      <c r="Y697" s="23"/>
      <c r="Z697" s="23"/>
      <c r="AA697" s="23"/>
      <c r="AB697" s="23"/>
      <c r="AC697" s="25"/>
      <c r="AD697" s="25"/>
      <c r="AE697" s="25"/>
      <c r="AF697" s="25"/>
      <c r="AG697" s="25"/>
      <c r="AH697" s="25"/>
      <c r="AI697" s="25"/>
      <c r="AJ697" s="25"/>
      <c r="AK697" s="25"/>
      <c r="AL697" s="25"/>
      <c r="AM697" s="25"/>
    </row>
    <row r="698" spans="1:39" ht="15" customHeight="1">
      <c r="A698" s="32" t="str">
        <f t="shared" si="25"/>
        <v>Ausgrid--&lt; = 11kV; RESIDENTIAL ; SIMPLE ; OVERHEAD</v>
      </c>
      <c r="B698" s="32" t="str">
        <f t="shared" si="26"/>
        <v>Ausgrid</v>
      </c>
      <c r="C698" s="32" t="s">
        <v>1137</v>
      </c>
      <c r="D698" s="397"/>
      <c r="F698" s="1" t="s">
        <v>666</v>
      </c>
      <c r="G698" s="21">
        <v>13647</v>
      </c>
      <c r="H698" s="21">
        <v>11334</v>
      </c>
      <c r="I698" s="21">
        <v>9638</v>
      </c>
      <c r="J698" s="21">
        <v>10079</v>
      </c>
      <c r="K698" s="21">
        <v>7524</v>
      </c>
      <c r="L698" s="21">
        <v>6975</v>
      </c>
      <c r="M698" s="21">
        <v>10304</v>
      </c>
      <c r="N698" s="21">
        <v>10589</v>
      </c>
      <c r="O698" s="21">
        <v>10864</v>
      </c>
      <c r="P698" s="21">
        <v>11147</v>
      </c>
      <c r="Q698" s="21">
        <v>11434</v>
      </c>
      <c r="R698" s="23">
        <v>2</v>
      </c>
      <c r="S698" s="23">
        <v>21632</v>
      </c>
      <c r="T698" s="23">
        <v>17630</v>
      </c>
      <c r="U698" s="23">
        <v>18878</v>
      </c>
      <c r="V698" s="23">
        <v>13832</v>
      </c>
      <c r="W698" s="23">
        <v>11282</v>
      </c>
      <c r="X698" s="23">
        <v>21669</v>
      </c>
      <c r="Y698" s="23">
        <v>21669</v>
      </c>
      <c r="Z698" s="23">
        <v>21669</v>
      </c>
      <c r="AA698" s="23">
        <v>21669</v>
      </c>
      <c r="AB698" s="23">
        <v>21669</v>
      </c>
      <c r="AC698" s="25">
        <v>9127</v>
      </c>
      <c r="AD698" s="25">
        <v>9308</v>
      </c>
      <c r="AE698" s="25">
        <v>9196</v>
      </c>
      <c r="AF698" s="25">
        <v>7947</v>
      </c>
      <c r="AG698" s="25">
        <v>9787</v>
      </c>
      <c r="AH698" s="25">
        <v>7890</v>
      </c>
      <c r="AI698" s="25">
        <v>0</v>
      </c>
      <c r="AJ698" s="25">
        <v>0</v>
      </c>
      <c r="AK698" s="25">
        <v>0</v>
      </c>
      <c r="AL698" s="25">
        <v>0</v>
      </c>
      <c r="AM698" s="25">
        <v>0</v>
      </c>
    </row>
    <row r="699" spans="1:39" ht="15" customHeight="1">
      <c r="A699" s="32" t="str">
        <f t="shared" si="25"/>
        <v>Ausgrid--&lt; = 11kV; RESIDENTIAL ; SIMPLE ; UNDERGROUND</v>
      </c>
      <c r="B699" s="32" t="str">
        <f t="shared" si="26"/>
        <v>Ausgrid</v>
      </c>
      <c r="C699" s="32" t="s">
        <v>1137</v>
      </c>
      <c r="D699" s="397"/>
      <c r="F699" s="1" t="s">
        <v>667</v>
      </c>
      <c r="G699" s="21">
        <v>312</v>
      </c>
      <c r="H699" s="21">
        <v>316</v>
      </c>
      <c r="I699" s="21">
        <v>225</v>
      </c>
      <c r="J699" s="21">
        <v>12</v>
      </c>
      <c r="K699" s="21">
        <v>35</v>
      </c>
      <c r="L699" s="21">
        <v>43</v>
      </c>
      <c r="M699" s="21">
        <v>703</v>
      </c>
      <c r="N699" s="21">
        <v>537</v>
      </c>
      <c r="O699" s="21">
        <v>222</v>
      </c>
      <c r="P699" s="21">
        <v>228</v>
      </c>
      <c r="Q699" s="21">
        <v>235</v>
      </c>
      <c r="R699" s="23">
        <v>1</v>
      </c>
      <c r="S699" s="23">
        <v>3</v>
      </c>
      <c r="T699" s="23">
        <v>4</v>
      </c>
      <c r="U699" s="23">
        <v>3</v>
      </c>
      <c r="V699" s="23">
        <v>11</v>
      </c>
      <c r="W699" s="23">
        <v>8</v>
      </c>
      <c r="X699" s="23">
        <v>130</v>
      </c>
      <c r="Y699" s="23">
        <v>96</v>
      </c>
      <c r="Z699" s="23">
        <v>36</v>
      </c>
      <c r="AA699" s="23">
        <v>36</v>
      </c>
      <c r="AB699" s="23">
        <v>36</v>
      </c>
      <c r="AC699" s="25">
        <v>65</v>
      </c>
      <c r="AD699" s="25">
        <v>45</v>
      </c>
      <c r="AE699" s="25">
        <v>61</v>
      </c>
      <c r="AF699" s="25">
        <v>74</v>
      </c>
      <c r="AG699" s="25">
        <v>44</v>
      </c>
      <c r="AH699" s="25">
        <v>23</v>
      </c>
      <c r="AI699" s="25">
        <v>0</v>
      </c>
      <c r="AJ699" s="25">
        <v>0</v>
      </c>
      <c r="AK699" s="25">
        <v>0</v>
      </c>
      <c r="AL699" s="25">
        <v>0</v>
      </c>
      <c r="AM699" s="25">
        <v>0</v>
      </c>
    </row>
    <row r="700" spans="1:39" ht="15" customHeight="1">
      <c r="A700" s="32" t="str">
        <f t="shared" si="25"/>
        <v>Ausgrid--&lt; = 11kV; COMMERCIAL &amp; INDUSTRIAL ; SIMPLE ; OVERHEAD</v>
      </c>
      <c r="B700" s="32" t="str">
        <f t="shared" si="26"/>
        <v>Ausgrid</v>
      </c>
      <c r="C700" s="32" t="s">
        <v>1137</v>
      </c>
      <c r="D700" s="397"/>
      <c r="F700" s="1" t="s">
        <v>668</v>
      </c>
      <c r="G700" s="21">
        <v>279</v>
      </c>
      <c r="H700" s="21">
        <v>303</v>
      </c>
      <c r="I700" s="21">
        <v>264</v>
      </c>
      <c r="J700" s="21">
        <v>215</v>
      </c>
      <c r="K700" s="21">
        <v>139</v>
      </c>
      <c r="L700" s="21">
        <v>107</v>
      </c>
      <c r="M700" s="21">
        <v>158</v>
      </c>
      <c r="N700" s="21">
        <v>162</v>
      </c>
      <c r="O700" s="21">
        <v>166</v>
      </c>
      <c r="P700" s="21">
        <v>170</v>
      </c>
      <c r="Q700" s="21">
        <v>175</v>
      </c>
      <c r="R700" s="23">
        <v>0</v>
      </c>
      <c r="S700" s="23">
        <v>578</v>
      </c>
      <c r="T700" s="23">
        <v>483</v>
      </c>
      <c r="U700" s="23">
        <v>402</v>
      </c>
      <c r="V700" s="23">
        <v>256</v>
      </c>
      <c r="W700" s="23">
        <v>172</v>
      </c>
      <c r="X700" s="23">
        <v>331</v>
      </c>
      <c r="Y700" s="23">
        <v>331</v>
      </c>
      <c r="Z700" s="23">
        <v>331</v>
      </c>
      <c r="AA700" s="23">
        <v>331</v>
      </c>
      <c r="AB700" s="23">
        <v>331</v>
      </c>
      <c r="AC700" s="25">
        <v>187</v>
      </c>
      <c r="AD700" s="25">
        <v>249</v>
      </c>
      <c r="AE700" s="25">
        <v>252</v>
      </c>
      <c r="AF700" s="25">
        <v>169</v>
      </c>
      <c r="AG700" s="25">
        <v>181</v>
      </c>
      <c r="AH700" s="25">
        <v>121</v>
      </c>
      <c r="AI700" s="25">
        <v>0</v>
      </c>
      <c r="AJ700" s="25">
        <v>0</v>
      </c>
      <c r="AK700" s="25">
        <v>0</v>
      </c>
      <c r="AL700" s="25">
        <v>0</v>
      </c>
      <c r="AM700" s="25">
        <v>0</v>
      </c>
    </row>
    <row r="701" spans="1:39" ht="15" customHeight="1">
      <c r="A701" s="32" t="str">
        <f t="shared" si="25"/>
        <v>Ausgrid--&lt; = 11kV; COMMERCIAL &amp; INDUSTRIAL ; SIMPLE ; UNDERGROUND</v>
      </c>
      <c r="B701" s="32" t="str">
        <f t="shared" si="26"/>
        <v>Ausgrid</v>
      </c>
      <c r="C701" s="32" t="s">
        <v>1137</v>
      </c>
      <c r="D701" s="397"/>
      <c r="F701" s="1" t="s">
        <v>669</v>
      </c>
      <c r="G701" s="21">
        <v>95</v>
      </c>
      <c r="H701" s="21">
        <v>63</v>
      </c>
      <c r="I701" s="21">
        <v>43</v>
      </c>
      <c r="J701" s="21">
        <v>2</v>
      </c>
      <c r="K701" s="21">
        <v>15</v>
      </c>
      <c r="L701" s="21">
        <v>29</v>
      </c>
      <c r="M701" s="21">
        <v>472</v>
      </c>
      <c r="N701" s="21">
        <v>360</v>
      </c>
      <c r="O701" s="21">
        <v>149</v>
      </c>
      <c r="P701" s="21">
        <v>153</v>
      </c>
      <c r="Q701" s="21">
        <v>158</v>
      </c>
      <c r="R701" s="23">
        <v>0</v>
      </c>
      <c r="S701" s="23">
        <v>0</v>
      </c>
      <c r="T701" s="23">
        <v>1</v>
      </c>
      <c r="U701" s="23">
        <v>0</v>
      </c>
      <c r="V701" s="23">
        <v>4</v>
      </c>
      <c r="W701" s="23">
        <v>6</v>
      </c>
      <c r="X701" s="23">
        <v>88</v>
      </c>
      <c r="Y701" s="23">
        <v>64</v>
      </c>
      <c r="Z701" s="23">
        <v>24</v>
      </c>
      <c r="AA701" s="23">
        <v>24</v>
      </c>
      <c r="AB701" s="23">
        <v>24</v>
      </c>
      <c r="AC701" s="25">
        <v>20</v>
      </c>
      <c r="AD701" s="25">
        <v>9</v>
      </c>
      <c r="AE701" s="25">
        <v>11</v>
      </c>
      <c r="AF701" s="25">
        <v>12</v>
      </c>
      <c r="AG701" s="25">
        <v>19</v>
      </c>
      <c r="AH701" s="25">
        <v>16</v>
      </c>
      <c r="AI701" s="25">
        <v>0</v>
      </c>
      <c r="AJ701" s="25">
        <v>0</v>
      </c>
      <c r="AK701" s="25">
        <v>0</v>
      </c>
      <c r="AL701" s="25">
        <v>0</v>
      </c>
      <c r="AM701" s="25">
        <v>0</v>
      </c>
    </row>
    <row r="702" spans="1:39" ht="75" customHeight="1">
      <c r="A702" s="32" t="str">
        <f t="shared" si="25"/>
        <v>Ausgrid-TRANSFORMERS BY: 
MOUNTING TYPE; HIGHEST OPERATING VOLTAGE ; AMPERE RATING; NUMBER OF PHASES (AT LV)-POLE MOUNTED ; &lt; = 22kV ;  &lt; = 60 kVA ; SINGLE PHASE</v>
      </c>
      <c r="B702" s="32" t="str">
        <f t="shared" si="26"/>
        <v>Ausgrid</v>
      </c>
      <c r="C702" s="32" t="s">
        <v>4</v>
      </c>
      <c r="D702" s="397"/>
      <c r="E702" s="3" t="s">
        <v>544</v>
      </c>
      <c r="F702" s="1" t="s">
        <v>203</v>
      </c>
      <c r="G702" s="21">
        <v>107</v>
      </c>
      <c r="H702" s="21">
        <v>137</v>
      </c>
      <c r="I702" s="21">
        <v>142</v>
      </c>
      <c r="J702" s="21">
        <v>167</v>
      </c>
      <c r="K702" s="21">
        <v>197</v>
      </c>
      <c r="L702" s="21">
        <v>98</v>
      </c>
      <c r="M702" s="21">
        <v>95</v>
      </c>
      <c r="N702" s="21">
        <v>99</v>
      </c>
      <c r="O702" s="21">
        <v>92</v>
      </c>
      <c r="P702" s="21">
        <v>84</v>
      </c>
      <c r="Q702" s="21">
        <v>96</v>
      </c>
      <c r="R702" s="23">
        <v>1</v>
      </c>
      <c r="S702" s="23">
        <v>2</v>
      </c>
      <c r="T702" s="23">
        <v>1</v>
      </c>
      <c r="U702" s="23">
        <v>1</v>
      </c>
      <c r="V702" s="23">
        <v>1</v>
      </c>
      <c r="W702" s="23">
        <v>2</v>
      </c>
      <c r="X702" s="23">
        <v>2</v>
      </c>
      <c r="Y702" s="23">
        <v>2</v>
      </c>
      <c r="Z702" s="23">
        <v>3</v>
      </c>
      <c r="AA702" s="23">
        <v>3</v>
      </c>
      <c r="AB702" s="23">
        <v>4</v>
      </c>
      <c r="AC702" s="25">
        <v>8</v>
      </c>
      <c r="AD702" s="25">
        <v>4</v>
      </c>
      <c r="AE702" s="25">
        <v>6</v>
      </c>
      <c r="AF702" s="25">
        <v>8</v>
      </c>
      <c r="AG702" s="25">
        <v>17</v>
      </c>
      <c r="AH702" s="25">
        <v>0</v>
      </c>
      <c r="AI702" s="25">
        <v>0</v>
      </c>
      <c r="AJ702" s="25">
        <v>0</v>
      </c>
      <c r="AK702" s="25">
        <v>0</v>
      </c>
      <c r="AL702" s="25">
        <v>0</v>
      </c>
      <c r="AM702" s="25">
        <v>0</v>
      </c>
    </row>
    <row r="703" spans="1:39" ht="15" customHeight="1">
      <c r="A703" s="32" t="str">
        <f t="shared" si="25"/>
        <v>Ausgrid--POLE MOUNTED ; &lt; = 22kV ;  &gt; 60 kVA AND &lt; = 600 kVA ; SINGLE PHASE</v>
      </c>
      <c r="B703" s="32" t="str">
        <f t="shared" si="26"/>
        <v>Ausgrid</v>
      </c>
      <c r="C703" s="32" t="s">
        <v>4</v>
      </c>
      <c r="D703" s="397"/>
      <c r="F703" s="1" t="s">
        <v>204</v>
      </c>
      <c r="G703" s="21">
        <v>2169</v>
      </c>
      <c r="H703" s="21">
        <v>2791</v>
      </c>
      <c r="I703" s="21">
        <v>2886</v>
      </c>
      <c r="J703" s="21">
        <v>3397</v>
      </c>
      <c r="K703" s="21">
        <v>4013</v>
      </c>
      <c r="L703" s="21">
        <v>1997</v>
      </c>
      <c r="M703" s="21">
        <v>1940</v>
      </c>
      <c r="N703" s="21">
        <v>2014</v>
      </c>
      <c r="O703" s="21">
        <v>1878</v>
      </c>
      <c r="P703" s="21">
        <v>1713</v>
      </c>
      <c r="Q703" s="21">
        <v>1960</v>
      </c>
      <c r="R703" s="23">
        <v>12</v>
      </c>
      <c r="S703" s="23">
        <v>43</v>
      </c>
      <c r="T703" s="23">
        <v>22</v>
      </c>
      <c r="U703" s="23">
        <v>22</v>
      </c>
      <c r="V703" s="23">
        <v>27</v>
      </c>
      <c r="W703" s="23">
        <v>31</v>
      </c>
      <c r="X703" s="23">
        <v>37</v>
      </c>
      <c r="Y703" s="23">
        <v>46</v>
      </c>
      <c r="Z703" s="23">
        <v>54</v>
      </c>
      <c r="AA703" s="23">
        <v>62</v>
      </c>
      <c r="AB703" s="23">
        <v>73</v>
      </c>
      <c r="AC703" s="25">
        <v>0</v>
      </c>
      <c r="AD703" s="25">
        <v>2</v>
      </c>
      <c r="AE703" s="25">
        <v>1</v>
      </c>
      <c r="AF703" s="25">
        <v>0</v>
      </c>
      <c r="AG703" s="25">
        <v>0</v>
      </c>
      <c r="AH703" s="25">
        <v>0</v>
      </c>
      <c r="AI703" s="25">
        <v>0</v>
      </c>
      <c r="AJ703" s="25">
        <v>0</v>
      </c>
      <c r="AK703" s="25">
        <v>0</v>
      </c>
      <c r="AL703" s="25">
        <v>0</v>
      </c>
      <c r="AM703" s="25">
        <v>0</v>
      </c>
    </row>
    <row r="704" spans="1:39" ht="15" customHeight="1">
      <c r="A704" s="32" t="str">
        <f t="shared" si="25"/>
        <v>Ausgrid--POLE MOUNTED ; &lt; = 22kV ;  &gt; 600 kVA ; SINGLE PHASE</v>
      </c>
      <c r="B704" s="32" t="str">
        <f t="shared" si="26"/>
        <v>Ausgrid</v>
      </c>
      <c r="C704" s="32" t="s">
        <v>4</v>
      </c>
      <c r="D704" s="397"/>
      <c r="F704" s="1" t="s">
        <v>205</v>
      </c>
      <c r="G704" s="21">
        <v>0</v>
      </c>
      <c r="H704" s="21">
        <v>0</v>
      </c>
      <c r="I704" s="21">
        <v>0</v>
      </c>
      <c r="J704" s="21">
        <v>0</v>
      </c>
      <c r="K704" s="21">
        <v>0</v>
      </c>
      <c r="L704" s="21">
        <v>0</v>
      </c>
      <c r="M704" s="21">
        <v>0</v>
      </c>
      <c r="N704" s="21">
        <v>0</v>
      </c>
      <c r="O704" s="21">
        <v>0</v>
      </c>
      <c r="P704" s="21">
        <v>0</v>
      </c>
      <c r="Q704" s="21">
        <v>0</v>
      </c>
      <c r="R704" s="23">
        <v>0</v>
      </c>
      <c r="S704" s="23">
        <v>0</v>
      </c>
      <c r="T704" s="23">
        <v>0</v>
      </c>
      <c r="U704" s="23">
        <v>0</v>
      </c>
      <c r="V704" s="23">
        <v>0</v>
      </c>
      <c r="W704" s="23">
        <v>0</v>
      </c>
      <c r="X704" s="23">
        <v>0</v>
      </c>
      <c r="Y704" s="23">
        <v>0</v>
      </c>
      <c r="Z704" s="23">
        <v>0</v>
      </c>
      <c r="AA704" s="23">
        <v>0</v>
      </c>
      <c r="AB704" s="23">
        <v>0</v>
      </c>
      <c r="AC704" s="25">
        <v>0</v>
      </c>
      <c r="AD704" s="25">
        <v>0</v>
      </c>
      <c r="AE704" s="25">
        <v>0</v>
      </c>
      <c r="AF704" s="25">
        <v>0</v>
      </c>
      <c r="AG704" s="25">
        <v>0</v>
      </c>
      <c r="AH704" s="25">
        <v>0</v>
      </c>
      <c r="AI704" s="25">
        <v>0</v>
      </c>
      <c r="AJ704" s="25">
        <v>0</v>
      </c>
      <c r="AK704" s="25">
        <v>0</v>
      </c>
      <c r="AL704" s="25">
        <v>0</v>
      </c>
      <c r="AM704" s="25">
        <v>0</v>
      </c>
    </row>
    <row r="705" spans="1:39" ht="15" customHeight="1">
      <c r="A705" s="32" t="str">
        <f t="shared" si="25"/>
        <v>Ausgrid--POLE MOUNTED ; &lt; = 22kV ;  &lt; = 60 kVA  ; MULTIPLE PHASE</v>
      </c>
      <c r="B705" s="32" t="str">
        <f t="shared" si="26"/>
        <v>Ausgrid</v>
      </c>
      <c r="C705" s="32" t="s">
        <v>4</v>
      </c>
      <c r="D705" s="397"/>
      <c r="F705" s="1" t="s">
        <v>206</v>
      </c>
      <c r="G705" s="21">
        <v>2489</v>
      </c>
      <c r="H705" s="21">
        <v>3203</v>
      </c>
      <c r="I705" s="21">
        <v>3311</v>
      </c>
      <c r="J705" s="21">
        <v>3898</v>
      </c>
      <c r="K705" s="21">
        <v>4605</v>
      </c>
      <c r="L705" s="21">
        <v>2292</v>
      </c>
      <c r="M705" s="21">
        <v>2226</v>
      </c>
      <c r="N705" s="21">
        <v>2311</v>
      </c>
      <c r="O705" s="21">
        <v>2155</v>
      </c>
      <c r="P705" s="21">
        <v>1965</v>
      </c>
      <c r="Q705" s="21">
        <v>2249</v>
      </c>
      <c r="R705" s="23">
        <v>14</v>
      </c>
      <c r="S705" s="23">
        <v>50</v>
      </c>
      <c r="T705" s="23">
        <v>26</v>
      </c>
      <c r="U705" s="23">
        <v>25</v>
      </c>
      <c r="V705" s="23">
        <v>31</v>
      </c>
      <c r="W705" s="23">
        <v>35</v>
      </c>
      <c r="X705" s="23">
        <v>43</v>
      </c>
      <c r="Y705" s="23">
        <v>53</v>
      </c>
      <c r="Z705" s="23">
        <v>61</v>
      </c>
      <c r="AA705" s="23">
        <v>72</v>
      </c>
      <c r="AB705" s="23">
        <v>84</v>
      </c>
      <c r="AC705" s="25">
        <v>14</v>
      </c>
      <c r="AD705" s="25">
        <v>5</v>
      </c>
      <c r="AE705" s="25">
        <v>2</v>
      </c>
      <c r="AF705" s="25">
        <v>4</v>
      </c>
      <c r="AG705" s="25">
        <v>7</v>
      </c>
      <c r="AH705" s="25">
        <v>0</v>
      </c>
      <c r="AI705" s="25">
        <v>0</v>
      </c>
      <c r="AJ705" s="25">
        <v>0</v>
      </c>
      <c r="AK705" s="25">
        <v>0</v>
      </c>
      <c r="AL705" s="25">
        <v>0</v>
      </c>
      <c r="AM705" s="25">
        <v>0</v>
      </c>
    </row>
    <row r="706" spans="1:39" ht="15" customHeight="1">
      <c r="A706" s="32" t="str">
        <f t="shared" si="25"/>
        <v>Ausgrid--POLE MOUNTED ; &lt; = 22kV ;  &gt; 60 kVA AND &lt; = 600 kVA  ; MULTIPLE PHASE</v>
      </c>
      <c r="B706" s="32" t="str">
        <f t="shared" si="26"/>
        <v>Ausgrid</v>
      </c>
      <c r="C706" s="32" t="s">
        <v>4</v>
      </c>
      <c r="D706" s="397"/>
      <c r="F706" s="1" t="s">
        <v>207</v>
      </c>
      <c r="G706" s="21">
        <v>5476</v>
      </c>
      <c r="H706" s="21">
        <v>7046</v>
      </c>
      <c r="I706" s="21">
        <v>7285</v>
      </c>
      <c r="J706" s="21">
        <v>8575</v>
      </c>
      <c r="K706" s="21">
        <v>10130</v>
      </c>
      <c r="L706" s="21">
        <v>5043</v>
      </c>
      <c r="M706" s="21">
        <v>4897</v>
      </c>
      <c r="N706" s="21">
        <v>5084</v>
      </c>
      <c r="O706" s="21">
        <v>4741</v>
      </c>
      <c r="P706" s="21">
        <v>4324</v>
      </c>
      <c r="Q706" s="21">
        <v>4948</v>
      </c>
      <c r="R706" s="23">
        <v>30</v>
      </c>
      <c r="S706" s="23">
        <v>110</v>
      </c>
      <c r="T706" s="23">
        <v>56</v>
      </c>
      <c r="U706" s="23">
        <v>55</v>
      </c>
      <c r="V706" s="23">
        <v>67</v>
      </c>
      <c r="W706" s="23">
        <v>77</v>
      </c>
      <c r="X706" s="23">
        <v>94</v>
      </c>
      <c r="Y706" s="23">
        <v>116</v>
      </c>
      <c r="Z706" s="23">
        <v>135</v>
      </c>
      <c r="AA706" s="23">
        <v>158</v>
      </c>
      <c r="AB706" s="23">
        <v>184</v>
      </c>
      <c r="AC706" s="25">
        <v>26</v>
      </c>
      <c r="AD706" s="25">
        <v>30</v>
      </c>
      <c r="AE706" s="25">
        <v>17</v>
      </c>
      <c r="AF706" s="25">
        <v>32</v>
      </c>
      <c r="AG706" s="25">
        <v>48</v>
      </c>
      <c r="AH706" s="25">
        <v>0</v>
      </c>
      <c r="AI706" s="25">
        <v>0</v>
      </c>
      <c r="AJ706" s="25">
        <v>0</v>
      </c>
      <c r="AK706" s="25">
        <v>0</v>
      </c>
      <c r="AL706" s="25">
        <v>0</v>
      </c>
      <c r="AM706" s="25">
        <v>0</v>
      </c>
    </row>
    <row r="707" spans="1:39" ht="15" customHeight="1">
      <c r="A707" s="32" t="str">
        <f t="shared" si="25"/>
        <v>Ausgrid--POLE MOUNTED ; &lt; = 22kV ;  &gt; 600 kVA  ; MULTIPLE PHASE</v>
      </c>
      <c r="B707" s="32" t="str">
        <f t="shared" si="26"/>
        <v>Ausgrid</v>
      </c>
      <c r="C707" s="32" t="s">
        <v>4</v>
      </c>
      <c r="D707" s="397"/>
      <c r="F707" s="1" t="s">
        <v>208</v>
      </c>
      <c r="G707" s="21">
        <v>0</v>
      </c>
      <c r="H707" s="21">
        <v>0</v>
      </c>
      <c r="I707" s="21">
        <v>0</v>
      </c>
      <c r="J707" s="21">
        <v>0</v>
      </c>
      <c r="K707" s="21">
        <v>0</v>
      </c>
      <c r="L707" s="21">
        <v>0</v>
      </c>
      <c r="M707" s="21">
        <v>0</v>
      </c>
      <c r="N707" s="21">
        <v>0</v>
      </c>
      <c r="O707" s="21">
        <v>0</v>
      </c>
      <c r="P707" s="21">
        <v>0</v>
      </c>
      <c r="Q707" s="21">
        <v>0</v>
      </c>
      <c r="R707" s="23">
        <v>0</v>
      </c>
      <c r="S707" s="23">
        <v>0</v>
      </c>
      <c r="T707" s="23">
        <v>0</v>
      </c>
      <c r="U707" s="23">
        <v>0</v>
      </c>
      <c r="V707" s="23">
        <v>0</v>
      </c>
      <c r="W707" s="23">
        <v>0</v>
      </c>
      <c r="X707" s="23">
        <v>0</v>
      </c>
      <c r="Y707" s="23">
        <v>0</v>
      </c>
      <c r="Z707" s="23">
        <v>0</v>
      </c>
      <c r="AA707" s="23">
        <v>0</v>
      </c>
      <c r="AB707" s="23">
        <v>0</v>
      </c>
      <c r="AC707" s="25">
        <v>0</v>
      </c>
      <c r="AD707" s="25">
        <v>0</v>
      </c>
      <c r="AE707" s="25">
        <v>0</v>
      </c>
      <c r="AF707" s="25">
        <v>0</v>
      </c>
      <c r="AG707" s="25">
        <v>0</v>
      </c>
      <c r="AH707" s="25">
        <v>0</v>
      </c>
      <c r="AI707" s="25">
        <v>0</v>
      </c>
      <c r="AJ707" s="25">
        <v>0</v>
      </c>
      <c r="AK707" s="25">
        <v>0</v>
      </c>
      <c r="AL707" s="25">
        <v>0</v>
      </c>
      <c r="AM707" s="25">
        <v>0</v>
      </c>
    </row>
    <row r="708" spans="1:39" ht="15" customHeight="1">
      <c r="A708" s="32" t="str">
        <f t="shared" si="25"/>
        <v xml:space="preserve">Ausgrid--POLE MOUNTED ; &gt; 22 kV ;  &lt; = 60 kVA </v>
      </c>
      <c r="B708" s="32" t="str">
        <f t="shared" si="26"/>
        <v>Ausgrid</v>
      </c>
      <c r="C708" s="32" t="s">
        <v>4</v>
      </c>
      <c r="D708" s="397"/>
      <c r="F708" s="1" t="s">
        <v>209</v>
      </c>
      <c r="G708" s="21">
        <v>0</v>
      </c>
      <c r="H708" s="21">
        <v>0</v>
      </c>
      <c r="I708" s="21">
        <v>0</v>
      </c>
      <c r="J708" s="21">
        <v>0</v>
      </c>
      <c r="K708" s="21">
        <v>0</v>
      </c>
      <c r="L708" s="21">
        <v>0</v>
      </c>
      <c r="M708" s="21">
        <v>0</v>
      </c>
      <c r="N708" s="21">
        <v>0</v>
      </c>
      <c r="O708" s="21">
        <v>0</v>
      </c>
      <c r="P708" s="21">
        <v>0</v>
      </c>
      <c r="Q708" s="21">
        <v>0</v>
      </c>
      <c r="R708" s="23">
        <v>0</v>
      </c>
      <c r="S708" s="23">
        <v>0</v>
      </c>
      <c r="T708" s="23">
        <v>0</v>
      </c>
      <c r="U708" s="23">
        <v>0</v>
      </c>
      <c r="V708" s="23">
        <v>0</v>
      </c>
      <c r="W708" s="23">
        <v>0</v>
      </c>
      <c r="X708" s="23">
        <v>0</v>
      </c>
      <c r="Y708" s="23">
        <v>0</v>
      </c>
      <c r="Z708" s="23">
        <v>0</v>
      </c>
      <c r="AA708" s="23">
        <v>0</v>
      </c>
      <c r="AB708" s="23">
        <v>0</v>
      </c>
      <c r="AC708" s="25">
        <v>0</v>
      </c>
      <c r="AD708" s="25">
        <v>0</v>
      </c>
      <c r="AE708" s="25">
        <v>0</v>
      </c>
      <c r="AF708" s="25">
        <v>0</v>
      </c>
      <c r="AG708" s="25">
        <v>0</v>
      </c>
      <c r="AH708" s="25">
        <v>0</v>
      </c>
      <c r="AI708" s="25">
        <v>0</v>
      </c>
      <c r="AJ708" s="25">
        <v>0</v>
      </c>
      <c r="AK708" s="25">
        <v>0</v>
      </c>
      <c r="AL708" s="25">
        <v>0</v>
      </c>
      <c r="AM708" s="25">
        <v>0</v>
      </c>
    </row>
    <row r="709" spans="1:39" ht="15" customHeight="1">
      <c r="A709" s="32" t="str">
        <f t="shared" si="25"/>
        <v xml:space="preserve">Ausgrid--POLE MOUNTED ; &gt; 22 kV ;  &gt; 60 kVA AND &lt; = 600 kVA </v>
      </c>
      <c r="B709" s="32" t="str">
        <f t="shared" si="26"/>
        <v>Ausgrid</v>
      </c>
      <c r="C709" s="32" t="s">
        <v>4</v>
      </c>
      <c r="D709" s="397"/>
      <c r="F709" s="1" t="s">
        <v>210</v>
      </c>
      <c r="G709" s="21">
        <v>0</v>
      </c>
      <c r="H709" s="21">
        <v>0</v>
      </c>
      <c r="I709" s="21">
        <v>0</v>
      </c>
      <c r="J709" s="21">
        <v>0</v>
      </c>
      <c r="K709" s="21">
        <v>0</v>
      </c>
      <c r="L709" s="21">
        <v>0</v>
      </c>
      <c r="M709" s="21">
        <v>0</v>
      </c>
      <c r="N709" s="21">
        <v>0</v>
      </c>
      <c r="O709" s="21">
        <v>0</v>
      </c>
      <c r="P709" s="21">
        <v>0</v>
      </c>
      <c r="Q709" s="21">
        <v>0</v>
      </c>
      <c r="R709" s="23">
        <v>0</v>
      </c>
      <c r="S709" s="23">
        <v>0</v>
      </c>
      <c r="T709" s="23">
        <v>0</v>
      </c>
      <c r="U709" s="23">
        <v>0</v>
      </c>
      <c r="V709" s="23">
        <v>0</v>
      </c>
      <c r="W709" s="23">
        <v>0</v>
      </c>
      <c r="X709" s="23">
        <v>0</v>
      </c>
      <c r="Y709" s="23">
        <v>0</v>
      </c>
      <c r="Z709" s="23">
        <v>0</v>
      </c>
      <c r="AA709" s="23">
        <v>0</v>
      </c>
      <c r="AB709" s="23">
        <v>0</v>
      </c>
      <c r="AC709" s="25">
        <v>0</v>
      </c>
      <c r="AD709" s="25">
        <v>0</v>
      </c>
      <c r="AE709" s="25">
        <v>2</v>
      </c>
      <c r="AF709" s="25">
        <v>0</v>
      </c>
      <c r="AG709" s="25">
        <v>1</v>
      </c>
      <c r="AH709" s="25">
        <v>0</v>
      </c>
      <c r="AI709" s="25">
        <v>0</v>
      </c>
      <c r="AJ709" s="25">
        <v>0</v>
      </c>
      <c r="AK709" s="25">
        <v>0</v>
      </c>
      <c r="AL709" s="25">
        <v>0</v>
      </c>
      <c r="AM709" s="25">
        <v>0</v>
      </c>
    </row>
    <row r="710" spans="1:39" ht="15" customHeight="1">
      <c r="A710" s="32" t="str">
        <f t="shared" ref="A710:A773" si="27">B710&amp;"-"&amp;E710&amp;"-"&amp;F710</f>
        <v>Ausgrid--POLE MOUNTED ; &gt; 22 kV ;  &gt; 600 kVA</v>
      </c>
      <c r="B710" s="32" t="str">
        <f t="shared" ref="B710:B773" si="28">IF(D710&gt;0,D710,B709)</f>
        <v>Ausgrid</v>
      </c>
      <c r="C710" s="32" t="s">
        <v>4</v>
      </c>
      <c r="D710" s="397"/>
      <c r="F710" s="1" t="s">
        <v>211</v>
      </c>
      <c r="G710" s="21">
        <v>0</v>
      </c>
      <c r="H710" s="21">
        <v>0</v>
      </c>
      <c r="I710" s="21">
        <v>0</v>
      </c>
      <c r="J710" s="21">
        <v>0</v>
      </c>
      <c r="K710" s="21">
        <v>0</v>
      </c>
      <c r="L710" s="21">
        <v>0</v>
      </c>
      <c r="M710" s="21">
        <v>0</v>
      </c>
      <c r="N710" s="21">
        <v>0</v>
      </c>
      <c r="O710" s="21">
        <v>0</v>
      </c>
      <c r="P710" s="21">
        <v>0</v>
      </c>
      <c r="Q710" s="21">
        <v>0</v>
      </c>
      <c r="R710" s="23">
        <v>0</v>
      </c>
      <c r="S710" s="23">
        <v>0</v>
      </c>
      <c r="T710" s="23">
        <v>0</v>
      </c>
      <c r="U710" s="23">
        <v>0</v>
      </c>
      <c r="V710" s="23">
        <v>0</v>
      </c>
      <c r="W710" s="23">
        <v>0</v>
      </c>
      <c r="X710" s="23">
        <v>0</v>
      </c>
      <c r="Y710" s="23">
        <v>0</v>
      </c>
      <c r="Z710" s="23">
        <v>0</v>
      </c>
      <c r="AA710" s="23">
        <v>0</v>
      </c>
      <c r="AB710" s="23">
        <v>0</v>
      </c>
      <c r="AC710" s="25">
        <v>0</v>
      </c>
      <c r="AD710" s="25">
        <v>0</v>
      </c>
      <c r="AE710" s="25">
        <v>0</v>
      </c>
      <c r="AF710" s="25">
        <v>0</v>
      </c>
      <c r="AG710" s="25">
        <v>0</v>
      </c>
      <c r="AH710" s="25">
        <v>0</v>
      </c>
      <c r="AI710" s="25">
        <v>0</v>
      </c>
      <c r="AJ710" s="25">
        <v>0</v>
      </c>
      <c r="AK710" s="25">
        <v>0</v>
      </c>
      <c r="AL710" s="25">
        <v>0</v>
      </c>
      <c r="AM710" s="25">
        <v>0</v>
      </c>
    </row>
    <row r="711" spans="1:39" ht="15" customHeight="1">
      <c r="A711" s="32" t="str">
        <f t="shared" si="27"/>
        <v xml:space="preserve">Ausgrid--POLE MOUNTED ; &gt; 22 kV ;  &lt; = 60 kVA </v>
      </c>
      <c r="B711" s="32" t="str">
        <f t="shared" si="28"/>
        <v>Ausgrid</v>
      </c>
      <c r="C711" s="32" t="s">
        <v>4</v>
      </c>
      <c r="D711" s="397"/>
      <c r="F711" s="1" t="s">
        <v>209</v>
      </c>
      <c r="G711" s="21"/>
      <c r="H711" s="21"/>
      <c r="I711" s="21"/>
      <c r="J711" s="21"/>
      <c r="K711" s="21"/>
      <c r="L711" s="21"/>
      <c r="M711" s="21"/>
      <c r="N711" s="21"/>
      <c r="O711" s="21"/>
      <c r="P711" s="21"/>
      <c r="Q711" s="21"/>
      <c r="R711" s="23"/>
      <c r="S711" s="23"/>
      <c r="T711" s="23"/>
      <c r="U711" s="23"/>
      <c r="V711" s="23"/>
      <c r="W711" s="23"/>
      <c r="X711" s="23"/>
      <c r="Y711" s="23"/>
      <c r="Z711" s="23"/>
      <c r="AA711" s="23"/>
      <c r="AB711" s="23"/>
      <c r="AC711" s="25"/>
      <c r="AD711" s="25"/>
      <c r="AE711" s="25"/>
      <c r="AF711" s="25"/>
      <c r="AG711" s="25"/>
      <c r="AH711" s="25"/>
      <c r="AI711" s="25"/>
      <c r="AJ711" s="25"/>
      <c r="AK711" s="25"/>
      <c r="AL711" s="25"/>
      <c r="AM711" s="25"/>
    </row>
    <row r="712" spans="1:39" ht="15" customHeight="1">
      <c r="A712" s="32" t="str">
        <f t="shared" si="27"/>
        <v>Ausgrid--POLE MOUNTED ; &gt; 22 kV ;  &gt; 60 kVA AND &lt; = 600 kVA</v>
      </c>
      <c r="B712" s="32" t="str">
        <f t="shared" si="28"/>
        <v>Ausgrid</v>
      </c>
      <c r="C712" s="32" t="s">
        <v>4</v>
      </c>
      <c r="D712" s="397"/>
      <c r="F712" s="1" t="s">
        <v>212</v>
      </c>
      <c r="G712" s="21"/>
      <c r="H712" s="21"/>
      <c r="I712" s="21"/>
      <c r="J712" s="21"/>
      <c r="K712" s="21"/>
      <c r="L712" s="21"/>
      <c r="M712" s="21"/>
      <c r="N712" s="21"/>
      <c r="O712" s="21"/>
      <c r="P712" s="21"/>
      <c r="Q712" s="21"/>
      <c r="R712" s="23"/>
      <c r="S712" s="23"/>
      <c r="T712" s="23"/>
      <c r="U712" s="23"/>
      <c r="V712" s="23"/>
      <c r="W712" s="23"/>
      <c r="X712" s="23"/>
      <c r="Y712" s="23"/>
      <c r="Z712" s="23"/>
      <c r="AA712" s="23"/>
      <c r="AB712" s="23"/>
      <c r="AC712" s="25"/>
      <c r="AD712" s="25"/>
      <c r="AE712" s="25"/>
      <c r="AF712" s="25"/>
      <c r="AG712" s="25"/>
      <c r="AH712" s="25"/>
      <c r="AI712" s="25"/>
      <c r="AJ712" s="25"/>
      <c r="AK712" s="25"/>
      <c r="AL712" s="25"/>
      <c r="AM712" s="25"/>
    </row>
    <row r="713" spans="1:39" ht="15" customHeight="1">
      <c r="A713" s="32" t="str">
        <f t="shared" si="27"/>
        <v>Ausgrid--POLE MOUNTED ; &gt; 22 kV ;  &gt;  600 kVA</v>
      </c>
      <c r="B713" s="32" t="str">
        <f t="shared" si="28"/>
        <v>Ausgrid</v>
      </c>
      <c r="C713" s="32" t="s">
        <v>4</v>
      </c>
      <c r="D713" s="397"/>
      <c r="F713" s="1" t="s">
        <v>213</v>
      </c>
      <c r="G713" s="21"/>
      <c r="H713" s="21"/>
      <c r="I713" s="21"/>
      <c r="J713" s="21"/>
      <c r="K713" s="21"/>
      <c r="L713" s="21"/>
      <c r="M713" s="21"/>
      <c r="N713" s="21"/>
      <c r="O713" s="21"/>
      <c r="P713" s="21"/>
      <c r="Q713" s="21"/>
      <c r="R713" s="23"/>
      <c r="S713" s="23"/>
      <c r="T713" s="23"/>
      <c r="U713" s="23"/>
      <c r="V713" s="23"/>
      <c r="W713" s="23"/>
      <c r="X713" s="23"/>
      <c r="Y713" s="23"/>
      <c r="Z713" s="23"/>
      <c r="AA713" s="23"/>
      <c r="AB713" s="23"/>
      <c r="AC713" s="25"/>
      <c r="AD713" s="25"/>
      <c r="AE713" s="25"/>
      <c r="AF713" s="25"/>
      <c r="AG713" s="25"/>
      <c r="AH713" s="25"/>
      <c r="AI713" s="25"/>
      <c r="AJ713" s="25"/>
      <c r="AK713" s="25"/>
      <c r="AL713" s="25"/>
      <c r="AM713" s="25"/>
    </row>
    <row r="714" spans="1:39" ht="15" customHeight="1">
      <c r="A714" s="32" t="str">
        <f t="shared" si="27"/>
        <v>Ausgrid--KIOSK MOUNTED ; &lt; = 22kV ;  &lt; = 60 kVA ; SINGLE PHASE</v>
      </c>
      <c r="B714" s="32" t="str">
        <f t="shared" si="28"/>
        <v>Ausgrid</v>
      </c>
      <c r="C714" s="32" t="s">
        <v>4</v>
      </c>
      <c r="D714" s="397"/>
      <c r="F714" s="1" t="s">
        <v>214</v>
      </c>
      <c r="G714" s="21">
        <v>0</v>
      </c>
      <c r="H714" s="21">
        <v>0</v>
      </c>
      <c r="I714" s="21">
        <v>0</v>
      </c>
      <c r="J714" s="21">
        <v>0</v>
      </c>
      <c r="K714" s="21">
        <v>0</v>
      </c>
      <c r="L714" s="21">
        <v>0</v>
      </c>
      <c r="M714" s="21">
        <v>0</v>
      </c>
      <c r="N714" s="21">
        <v>0</v>
      </c>
      <c r="O714" s="21">
        <v>0</v>
      </c>
      <c r="P714" s="21">
        <v>0</v>
      </c>
      <c r="Q714" s="21">
        <v>0</v>
      </c>
      <c r="R714" s="23">
        <v>0</v>
      </c>
      <c r="S714" s="23">
        <v>0</v>
      </c>
      <c r="T714" s="23">
        <v>0</v>
      </c>
      <c r="U714" s="23">
        <v>0</v>
      </c>
      <c r="V714" s="23">
        <v>0</v>
      </c>
      <c r="W714" s="23">
        <v>0</v>
      </c>
      <c r="X714" s="23">
        <v>0</v>
      </c>
      <c r="Y714" s="23">
        <v>0</v>
      </c>
      <c r="Z714" s="23">
        <v>0</v>
      </c>
      <c r="AA714" s="23">
        <v>0</v>
      </c>
      <c r="AB714" s="23">
        <v>0</v>
      </c>
      <c r="AC714" s="25">
        <v>0</v>
      </c>
      <c r="AD714" s="25">
        <v>0</v>
      </c>
      <c r="AE714" s="25">
        <v>0</v>
      </c>
      <c r="AF714" s="25">
        <v>0</v>
      </c>
      <c r="AG714" s="25">
        <v>0</v>
      </c>
      <c r="AH714" s="25">
        <v>0</v>
      </c>
      <c r="AI714" s="25">
        <v>0</v>
      </c>
      <c r="AJ714" s="25">
        <v>0</v>
      </c>
      <c r="AK714" s="25">
        <v>0</v>
      </c>
      <c r="AL714" s="25">
        <v>0</v>
      </c>
      <c r="AM714" s="25">
        <v>0</v>
      </c>
    </row>
    <row r="715" spans="1:39" ht="15" customHeight="1">
      <c r="A715" s="32" t="str">
        <f t="shared" si="27"/>
        <v>Ausgrid--KIOSK MOUNTED ; &lt; = 22kV ;  &gt; 60 kVA AND &lt; = 600 kVA ; SINGLE PHASE</v>
      </c>
      <c r="B715" s="32" t="str">
        <f t="shared" si="28"/>
        <v>Ausgrid</v>
      </c>
      <c r="C715" s="32" t="s">
        <v>4</v>
      </c>
      <c r="D715" s="397"/>
      <c r="F715" s="1" t="s">
        <v>215</v>
      </c>
      <c r="G715" s="21">
        <v>0</v>
      </c>
      <c r="H715" s="21">
        <v>0</v>
      </c>
      <c r="I715" s="21">
        <v>0</v>
      </c>
      <c r="J715" s="21">
        <v>0</v>
      </c>
      <c r="K715" s="21">
        <v>0</v>
      </c>
      <c r="L715" s="21">
        <v>0</v>
      </c>
      <c r="M715" s="21">
        <v>0</v>
      </c>
      <c r="N715" s="21">
        <v>0</v>
      </c>
      <c r="O715" s="21">
        <v>0</v>
      </c>
      <c r="P715" s="21">
        <v>0</v>
      </c>
      <c r="Q715" s="21">
        <v>0</v>
      </c>
      <c r="R715" s="23">
        <v>0</v>
      </c>
      <c r="S715" s="23">
        <v>0</v>
      </c>
      <c r="T715" s="23">
        <v>0</v>
      </c>
      <c r="U715" s="23">
        <v>0</v>
      </c>
      <c r="V715" s="23">
        <v>0</v>
      </c>
      <c r="W715" s="23">
        <v>0</v>
      </c>
      <c r="X715" s="23">
        <v>0</v>
      </c>
      <c r="Y715" s="23">
        <v>0</v>
      </c>
      <c r="Z715" s="23">
        <v>0</v>
      </c>
      <c r="AA715" s="23">
        <v>0</v>
      </c>
      <c r="AB715" s="23">
        <v>0</v>
      </c>
      <c r="AC715" s="25">
        <v>0</v>
      </c>
      <c r="AD715" s="25">
        <v>0</v>
      </c>
      <c r="AE715" s="25">
        <v>0</v>
      </c>
      <c r="AF715" s="25">
        <v>0</v>
      </c>
      <c r="AG715" s="25">
        <v>0</v>
      </c>
      <c r="AH715" s="25">
        <v>0</v>
      </c>
      <c r="AI715" s="25">
        <v>0</v>
      </c>
      <c r="AJ715" s="25">
        <v>0</v>
      </c>
      <c r="AK715" s="25">
        <v>0</v>
      </c>
      <c r="AL715" s="25">
        <v>0</v>
      </c>
      <c r="AM715" s="25">
        <v>0</v>
      </c>
    </row>
    <row r="716" spans="1:39" ht="15" customHeight="1">
      <c r="A716" s="32" t="str">
        <f t="shared" si="27"/>
        <v>Ausgrid--KIOSK MOUNTED ; &lt; = 22kV ;  &gt; 600 kVA ; SINGLE PHASE</v>
      </c>
      <c r="B716" s="32" t="str">
        <f t="shared" si="28"/>
        <v>Ausgrid</v>
      </c>
      <c r="C716" s="32" t="s">
        <v>4</v>
      </c>
      <c r="D716" s="397"/>
      <c r="F716" s="1" t="s">
        <v>216</v>
      </c>
      <c r="G716" s="21">
        <v>0</v>
      </c>
      <c r="H716" s="21">
        <v>0</v>
      </c>
      <c r="I716" s="21">
        <v>0</v>
      </c>
      <c r="J716" s="21">
        <v>0</v>
      </c>
      <c r="K716" s="21">
        <v>0</v>
      </c>
      <c r="L716" s="21">
        <v>0</v>
      </c>
      <c r="M716" s="21">
        <v>0</v>
      </c>
      <c r="N716" s="21">
        <v>0</v>
      </c>
      <c r="O716" s="21">
        <v>0</v>
      </c>
      <c r="P716" s="21">
        <v>0</v>
      </c>
      <c r="Q716" s="21">
        <v>0</v>
      </c>
      <c r="R716" s="23">
        <v>0</v>
      </c>
      <c r="S716" s="23">
        <v>0</v>
      </c>
      <c r="T716" s="23">
        <v>0</v>
      </c>
      <c r="U716" s="23">
        <v>0</v>
      </c>
      <c r="V716" s="23">
        <v>0</v>
      </c>
      <c r="W716" s="23">
        <v>0</v>
      </c>
      <c r="X716" s="23">
        <v>0</v>
      </c>
      <c r="Y716" s="23">
        <v>0</v>
      </c>
      <c r="Z716" s="23">
        <v>0</v>
      </c>
      <c r="AA716" s="23">
        <v>0</v>
      </c>
      <c r="AB716" s="23">
        <v>0</v>
      </c>
      <c r="AC716" s="25">
        <v>0</v>
      </c>
      <c r="AD716" s="25">
        <v>0</v>
      </c>
      <c r="AE716" s="25">
        <v>0</v>
      </c>
      <c r="AF716" s="25">
        <v>0</v>
      </c>
      <c r="AG716" s="25">
        <v>0</v>
      </c>
      <c r="AH716" s="25">
        <v>0</v>
      </c>
      <c r="AI716" s="25">
        <v>0</v>
      </c>
      <c r="AJ716" s="25">
        <v>0</v>
      </c>
      <c r="AK716" s="25">
        <v>0</v>
      </c>
      <c r="AL716" s="25">
        <v>0</v>
      </c>
      <c r="AM716" s="25">
        <v>0</v>
      </c>
    </row>
    <row r="717" spans="1:39" ht="15" customHeight="1">
      <c r="A717" s="32" t="str">
        <f t="shared" si="27"/>
        <v>Ausgrid--KIOSK MOUNTED ; &lt; = 22kV ;  &lt; = 60 kVA  ; MULTIPLE PHASE</v>
      </c>
      <c r="B717" s="32" t="str">
        <f t="shared" si="28"/>
        <v>Ausgrid</v>
      </c>
      <c r="C717" s="32" t="s">
        <v>4</v>
      </c>
      <c r="D717" s="397"/>
      <c r="F717" s="1" t="s">
        <v>217</v>
      </c>
      <c r="G717" s="21">
        <v>0</v>
      </c>
      <c r="H717" s="21">
        <v>0</v>
      </c>
      <c r="I717" s="21">
        <v>0</v>
      </c>
      <c r="J717" s="21">
        <v>0</v>
      </c>
      <c r="K717" s="21">
        <v>0</v>
      </c>
      <c r="L717" s="21">
        <v>0</v>
      </c>
      <c r="M717" s="21">
        <v>0</v>
      </c>
      <c r="N717" s="21">
        <v>0</v>
      </c>
      <c r="O717" s="21">
        <v>0</v>
      </c>
      <c r="P717" s="21">
        <v>0</v>
      </c>
      <c r="Q717" s="21">
        <v>0</v>
      </c>
      <c r="R717" s="23">
        <v>0</v>
      </c>
      <c r="S717" s="23">
        <v>0</v>
      </c>
      <c r="T717" s="23">
        <v>0</v>
      </c>
      <c r="U717" s="23">
        <v>0</v>
      </c>
      <c r="V717" s="23">
        <v>0</v>
      </c>
      <c r="W717" s="23">
        <v>0</v>
      </c>
      <c r="X717" s="23">
        <v>0</v>
      </c>
      <c r="Y717" s="23">
        <v>0</v>
      </c>
      <c r="Z717" s="23">
        <v>0</v>
      </c>
      <c r="AA717" s="23">
        <v>0</v>
      </c>
      <c r="AB717" s="23">
        <v>0</v>
      </c>
      <c r="AC717" s="25">
        <v>0</v>
      </c>
      <c r="AD717" s="25">
        <v>0</v>
      </c>
      <c r="AE717" s="25">
        <v>0</v>
      </c>
      <c r="AF717" s="25">
        <v>0</v>
      </c>
      <c r="AG717" s="25">
        <v>0</v>
      </c>
      <c r="AH717" s="25">
        <v>0</v>
      </c>
      <c r="AI717" s="25">
        <v>0</v>
      </c>
      <c r="AJ717" s="25">
        <v>0</v>
      </c>
      <c r="AK717" s="25">
        <v>0</v>
      </c>
      <c r="AL717" s="25">
        <v>0</v>
      </c>
      <c r="AM717" s="25">
        <v>0</v>
      </c>
    </row>
    <row r="718" spans="1:39" ht="15" customHeight="1">
      <c r="A718" s="32" t="str">
        <f t="shared" si="27"/>
        <v>Ausgrid--KIOSK MOUNTED ; &lt; = 22kV ;  &gt; 60 kVA AND &lt; = 600 kVA  ; MULTIPLE PHASE</v>
      </c>
      <c r="B718" s="32" t="str">
        <f t="shared" si="28"/>
        <v>Ausgrid</v>
      </c>
      <c r="C718" s="32" t="s">
        <v>4</v>
      </c>
      <c r="D718" s="397"/>
      <c r="F718" s="1" t="s">
        <v>218</v>
      </c>
      <c r="G718" s="21">
        <v>518</v>
      </c>
      <c r="H718" s="21">
        <v>901</v>
      </c>
      <c r="I718" s="21">
        <v>1269</v>
      </c>
      <c r="J718" s="21">
        <v>1510</v>
      </c>
      <c r="K718" s="21">
        <v>1307</v>
      </c>
      <c r="L718" s="21">
        <v>655</v>
      </c>
      <c r="M718" s="21">
        <v>1314</v>
      </c>
      <c r="N718" s="21">
        <v>1521</v>
      </c>
      <c r="O718" s="21">
        <v>1700</v>
      </c>
      <c r="P718" s="21">
        <v>1932</v>
      </c>
      <c r="Q718" s="21">
        <v>1795</v>
      </c>
      <c r="R718" s="23">
        <v>6</v>
      </c>
      <c r="S718" s="23">
        <v>32</v>
      </c>
      <c r="T718" s="23">
        <v>22</v>
      </c>
      <c r="U718" s="23">
        <v>27</v>
      </c>
      <c r="V718" s="23">
        <v>25</v>
      </c>
      <c r="W718" s="23">
        <v>29</v>
      </c>
      <c r="X718" s="23">
        <v>37</v>
      </c>
      <c r="Y718" s="23">
        <v>45</v>
      </c>
      <c r="Z718" s="23">
        <v>46</v>
      </c>
      <c r="AA718" s="23">
        <v>54</v>
      </c>
      <c r="AB718" s="23">
        <v>51</v>
      </c>
      <c r="AC718" s="25">
        <v>9</v>
      </c>
      <c r="AD718" s="25">
        <v>3</v>
      </c>
      <c r="AE718" s="25">
        <v>7</v>
      </c>
      <c r="AF718" s="25">
        <v>29</v>
      </c>
      <c r="AG718" s="25">
        <v>14</v>
      </c>
      <c r="AH718" s="25">
        <v>0</v>
      </c>
      <c r="AI718" s="25">
        <v>0</v>
      </c>
      <c r="AJ718" s="25">
        <v>0</v>
      </c>
      <c r="AK718" s="25">
        <v>0</v>
      </c>
      <c r="AL718" s="25">
        <v>0</v>
      </c>
      <c r="AM718" s="25">
        <v>0</v>
      </c>
    </row>
    <row r="719" spans="1:39" ht="15" customHeight="1">
      <c r="A719" s="32" t="str">
        <f t="shared" si="27"/>
        <v>Ausgrid--KIOSK MOUNTED ; &lt; = 22kV ;  &gt; 600 kVA  ; MULTIPLE PHASE</v>
      </c>
      <c r="B719" s="32" t="str">
        <f t="shared" si="28"/>
        <v>Ausgrid</v>
      </c>
      <c r="C719" s="32" t="s">
        <v>4</v>
      </c>
      <c r="D719" s="397"/>
      <c r="F719" s="1" t="s">
        <v>219</v>
      </c>
      <c r="G719" s="21">
        <v>468</v>
      </c>
      <c r="H719" s="21">
        <v>814</v>
      </c>
      <c r="I719" s="21">
        <v>1146</v>
      </c>
      <c r="J719" s="21">
        <v>1365</v>
      </c>
      <c r="K719" s="21">
        <v>1181</v>
      </c>
      <c r="L719" s="21">
        <v>592</v>
      </c>
      <c r="M719" s="21">
        <v>1187</v>
      </c>
      <c r="N719" s="21">
        <v>1374</v>
      </c>
      <c r="O719" s="21">
        <v>1536</v>
      </c>
      <c r="P719" s="21">
        <v>1746</v>
      </c>
      <c r="Q719" s="21">
        <v>1622</v>
      </c>
      <c r="R719" s="23">
        <v>4</v>
      </c>
      <c r="S719" s="23">
        <v>26</v>
      </c>
      <c r="T719" s="23">
        <v>17</v>
      </c>
      <c r="U719" s="23">
        <v>21</v>
      </c>
      <c r="V719" s="23">
        <v>19</v>
      </c>
      <c r="W719" s="23">
        <v>23</v>
      </c>
      <c r="X719" s="23">
        <v>29</v>
      </c>
      <c r="Y719" s="23">
        <v>35</v>
      </c>
      <c r="Z719" s="23">
        <v>37</v>
      </c>
      <c r="AA719" s="23">
        <v>43</v>
      </c>
      <c r="AB719" s="23">
        <v>41</v>
      </c>
      <c r="AC719" s="25">
        <v>6</v>
      </c>
      <c r="AD719" s="25">
        <v>6</v>
      </c>
      <c r="AE719" s="25">
        <v>13</v>
      </c>
      <c r="AF719" s="25">
        <v>8</v>
      </c>
      <c r="AG719" s="25">
        <v>12</v>
      </c>
      <c r="AH719" s="25">
        <v>0</v>
      </c>
      <c r="AI719" s="25">
        <v>0</v>
      </c>
      <c r="AJ719" s="25">
        <v>0</v>
      </c>
      <c r="AK719" s="25">
        <v>0</v>
      </c>
      <c r="AL719" s="25">
        <v>0</v>
      </c>
      <c r="AM719" s="25">
        <v>0</v>
      </c>
    </row>
    <row r="720" spans="1:39" ht="15" customHeight="1">
      <c r="A720" s="32" t="str">
        <f t="shared" si="27"/>
        <v xml:space="preserve">Ausgrid--KIOSK MOUNTED ; &gt; 22 kV ;  &lt; = 60 kVA </v>
      </c>
      <c r="B720" s="32" t="str">
        <f t="shared" si="28"/>
        <v>Ausgrid</v>
      </c>
      <c r="C720" s="32" t="s">
        <v>4</v>
      </c>
      <c r="D720" s="397"/>
      <c r="F720" s="1" t="s">
        <v>220</v>
      </c>
      <c r="G720" s="21">
        <v>0</v>
      </c>
      <c r="H720" s="21">
        <v>0</v>
      </c>
      <c r="I720" s="21">
        <v>0</v>
      </c>
      <c r="J720" s="21">
        <v>0</v>
      </c>
      <c r="K720" s="21">
        <v>0</v>
      </c>
      <c r="L720" s="21">
        <v>0</v>
      </c>
      <c r="M720" s="21">
        <v>0</v>
      </c>
      <c r="N720" s="21">
        <v>0</v>
      </c>
      <c r="O720" s="21">
        <v>0</v>
      </c>
      <c r="P720" s="21">
        <v>0</v>
      </c>
      <c r="Q720" s="21">
        <v>0</v>
      </c>
      <c r="R720" s="23">
        <v>0</v>
      </c>
      <c r="S720" s="23">
        <v>0</v>
      </c>
      <c r="T720" s="23">
        <v>0</v>
      </c>
      <c r="U720" s="23">
        <v>0</v>
      </c>
      <c r="V720" s="23">
        <v>0</v>
      </c>
      <c r="W720" s="23">
        <v>0</v>
      </c>
      <c r="X720" s="23">
        <v>0</v>
      </c>
      <c r="Y720" s="23">
        <v>0</v>
      </c>
      <c r="Z720" s="23">
        <v>0</v>
      </c>
      <c r="AA720" s="23">
        <v>0</v>
      </c>
      <c r="AB720" s="23">
        <v>0</v>
      </c>
      <c r="AC720" s="25">
        <v>0</v>
      </c>
      <c r="AD720" s="25">
        <v>0</v>
      </c>
      <c r="AE720" s="25">
        <v>0</v>
      </c>
      <c r="AF720" s="25">
        <v>0</v>
      </c>
      <c r="AG720" s="25">
        <v>0</v>
      </c>
      <c r="AH720" s="25">
        <v>0</v>
      </c>
      <c r="AI720" s="25">
        <v>0</v>
      </c>
      <c r="AJ720" s="25">
        <v>0</v>
      </c>
      <c r="AK720" s="25">
        <v>0</v>
      </c>
      <c r="AL720" s="25">
        <v>0</v>
      </c>
      <c r="AM720" s="25">
        <v>0</v>
      </c>
    </row>
    <row r="721" spans="1:39" ht="15" customHeight="1">
      <c r="A721" s="32" t="str">
        <f t="shared" si="27"/>
        <v xml:space="preserve">Ausgrid--KIOSK MOUNTED ; &gt; 22 kV ;  &gt; 60 kVA AND &lt; = 600 kVA </v>
      </c>
      <c r="B721" s="32" t="str">
        <f t="shared" si="28"/>
        <v>Ausgrid</v>
      </c>
      <c r="C721" s="32" t="s">
        <v>4</v>
      </c>
      <c r="D721" s="397"/>
      <c r="F721" s="1" t="s">
        <v>221</v>
      </c>
      <c r="G721" s="21">
        <v>0</v>
      </c>
      <c r="H721" s="21">
        <v>0</v>
      </c>
      <c r="I721" s="21">
        <v>0</v>
      </c>
      <c r="J721" s="21">
        <v>0</v>
      </c>
      <c r="K721" s="21">
        <v>0</v>
      </c>
      <c r="L721" s="21">
        <v>0</v>
      </c>
      <c r="M721" s="21">
        <v>0</v>
      </c>
      <c r="N721" s="21">
        <v>0</v>
      </c>
      <c r="O721" s="21">
        <v>0</v>
      </c>
      <c r="P721" s="21">
        <v>0</v>
      </c>
      <c r="Q721" s="21">
        <v>0</v>
      </c>
      <c r="R721" s="23">
        <v>0</v>
      </c>
      <c r="S721" s="23">
        <v>0</v>
      </c>
      <c r="T721" s="23">
        <v>0</v>
      </c>
      <c r="U721" s="23">
        <v>0</v>
      </c>
      <c r="V721" s="23">
        <v>0</v>
      </c>
      <c r="W721" s="23">
        <v>0</v>
      </c>
      <c r="X721" s="23">
        <v>0</v>
      </c>
      <c r="Y721" s="23">
        <v>0</v>
      </c>
      <c r="Z721" s="23">
        <v>0</v>
      </c>
      <c r="AA721" s="23">
        <v>0</v>
      </c>
      <c r="AB721" s="23">
        <v>0</v>
      </c>
      <c r="AC721" s="25">
        <v>0</v>
      </c>
      <c r="AD721" s="25">
        <v>0</v>
      </c>
      <c r="AE721" s="25">
        <v>0</v>
      </c>
      <c r="AF721" s="25">
        <v>0</v>
      </c>
      <c r="AG721" s="25">
        <v>0</v>
      </c>
      <c r="AH721" s="25">
        <v>0</v>
      </c>
      <c r="AI721" s="25">
        <v>0</v>
      </c>
      <c r="AJ721" s="25">
        <v>0</v>
      </c>
      <c r="AK721" s="25">
        <v>0</v>
      </c>
      <c r="AL721" s="25">
        <v>0</v>
      </c>
      <c r="AM721" s="25">
        <v>0</v>
      </c>
    </row>
    <row r="722" spans="1:39" ht="15" customHeight="1">
      <c r="A722" s="32" t="str">
        <f t="shared" si="27"/>
        <v>Ausgrid--KIOSK MOUNTED ; &gt; 22 kV ;  &gt; 600 kVA</v>
      </c>
      <c r="B722" s="32" t="str">
        <f t="shared" si="28"/>
        <v>Ausgrid</v>
      </c>
      <c r="C722" s="32" t="s">
        <v>4</v>
      </c>
      <c r="D722" s="397"/>
      <c r="F722" s="1" t="s">
        <v>222</v>
      </c>
      <c r="G722" s="21">
        <v>0</v>
      </c>
      <c r="H722" s="21">
        <v>0</v>
      </c>
      <c r="I722" s="21">
        <v>0</v>
      </c>
      <c r="J722" s="21">
        <v>0</v>
      </c>
      <c r="K722" s="21">
        <v>0</v>
      </c>
      <c r="L722" s="21">
        <v>0</v>
      </c>
      <c r="M722" s="21">
        <v>0</v>
      </c>
      <c r="N722" s="21">
        <v>0</v>
      </c>
      <c r="O722" s="21">
        <v>0</v>
      </c>
      <c r="P722" s="21">
        <v>0</v>
      </c>
      <c r="Q722" s="21">
        <v>0</v>
      </c>
      <c r="R722" s="23">
        <v>0</v>
      </c>
      <c r="S722" s="23">
        <v>0</v>
      </c>
      <c r="T722" s="23">
        <v>0</v>
      </c>
      <c r="U722" s="23">
        <v>0</v>
      </c>
      <c r="V722" s="23">
        <v>0</v>
      </c>
      <c r="W722" s="23">
        <v>0</v>
      </c>
      <c r="X722" s="23">
        <v>0</v>
      </c>
      <c r="Y722" s="23">
        <v>0</v>
      </c>
      <c r="Z722" s="23">
        <v>0</v>
      </c>
      <c r="AA722" s="23">
        <v>0</v>
      </c>
      <c r="AB722" s="23">
        <v>0</v>
      </c>
      <c r="AC722" s="25">
        <v>0</v>
      </c>
      <c r="AD722" s="25">
        <v>0</v>
      </c>
      <c r="AE722" s="25">
        <v>0</v>
      </c>
      <c r="AF722" s="25">
        <v>0</v>
      </c>
      <c r="AG722" s="25">
        <v>0</v>
      </c>
      <c r="AH722" s="25">
        <v>0</v>
      </c>
      <c r="AI722" s="25">
        <v>0</v>
      </c>
      <c r="AJ722" s="25">
        <v>0</v>
      </c>
      <c r="AK722" s="25">
        <v>0</v>
      </c>
      <c r="AL722" s="25">
        <v>0</v>
      </c>
      <c r="AM722" s="25">
        <v>0</v>
      </c>
    </row>
    <row r="723" spans="1:39" ht="15" customHeight="1">
      <c r="A723" s="32" t="str">
        <f t="shared" si="27"/>
        <v xml:space="preserve">Ausgrid--KIOSK MOUNTED ; &gt; 22 kV ;  &lt; = 60 kVA </v>
      </c>
      <c r="B723" s="32" t="str">
        <f t="shared" si="28"/>
        <v>Ausgrid</v>
      </c>
      <c r="C723" s="32" t="s">
        <v>4</v>
      </c>
      <c r="D723" s="397"/>
      <c r="F723" s="1" t="s">
        <v>220</v>
      </c>
      <c r="G723" s="21"/>
      <c r="H723" s="21"/>
      <c r="I723" s="21"/>
      <c r="J723" s="21"/>
      <c r="K723" s="21"/>
      <c r="L723" s="21"/>
      <c r="M723" s="21"/>
      <c r="N723" s="21"/>
      <c r="O723" s="21"/>
      <c r="P723" s="21"/>
      <c r="Q723" s="21"/>
      <c r="R723" s="23"/>
      <c r="S723" s="23"/>
      <c r="T723" s="23"/>
      <c r="U723" s="23"/>
      <c r="V723" s="23"/>
      <c r="W723" s="23"/>
      <c r="X723" s="23"/>
      <c r="Y723" s="23"/>
      <c r="Z723" s="23"/>
      <c r="AA723" s="23"/>
      <c r="AB723" s="23"/>
      <c r="AC723" s="25"/>
      <c r="AD723" s="25"/>
      <c r="AE723" s="25"/>
      <c r="AF723" s="25"/>
      <c r="AG723" s="25"/>
      <c r="AH723" s="25"/>
      <c r="AI723" s="25"/>
      <c r="AJ723" s="25"/>
      <c r="AK723" s="25"/>
      <c r="AL723" s="25"/>
      <c r="AM723" s="25"/>
    </row>
    <row r="724" spans="1:39" ht="15" customHeight="1">
      <c r="A724" s="32" t="str">
        <f t="shared" si="27"/>
        <v>Ausgrid--KIOSK MOUNTED ; &gt; 22 kV ;  &gt; 60 kVA AND &lt; = 600 kVA</v>
      </c>
      <c r="B724" s="32" t="str">
        <f t="shared" si="28"/>
        <v>Ausgrid</v>
      </c>
      <c r="C724" s="32" t="s">
        <v>4</v>
      </c>
      <c r="D724" s="397"/>
      <c r="F724" s="1" t="s">
        <v>223</v>
      </c>
      <c r="G724" s="21"/>
      <c r="H724" s="21"/>
      <c r="I724" s="21"/>
      <c r="J724" s="21"/>
      <c r="K724" s="21"/>
      <c r="L724" s="21"/>
      <c r="M724" s="21"/>
      <c r="N724" s="21"/>
      <c r="O724" s="21"/>
      <c r="P724" s="21"/>
      <c r="Q724" s="21"/>
      <c r="R724" s="23"/>
      <c r="S724" s="23"/>
      <c r="T724" s="23"/>
      <c r="U724" s="23"/>
      <c r="V724" s="23"/>
      <c r="W724" s="23"/>
      <c r="X724" s="23"/>
      <c r="Y724" s="23"/>
      <c r="Z724" s="23"/>
      <c r="AA724" s="23"/>
      <c r="AB724" s="23"/>
      <c r="AC724" s="25"/>
      <c r="AD724" s="25"/>
      <c r="AE724" s="25"/>
      <c r="AF724" s="25"/>
      <c r="AG724" s="25"/>
      <c r="AH724" s="25"/>
      <c r="AI724" s="25"/>
      <c r="AJ724" s="25"/>
      <c r="AK724" s="25"/>
      <c r="AL724" s="25"/>
      <c r="AM724" s="25"/>
    </row>
    <row r="725" spans="1:39" ht="15" customHeight="1">
      <c r="A725" s="32" t="str">
        <f t="shared" si="27"/>
        <v>Ausgrid--KIOSK MOUNTED ; &gt; 22 kV ;  &gt;  600 kVA</v>
      </c>
      <c r="B725" s="32" t="str">
        <f t="shared" si="28"/>
        <v>Ausgrid</v>
      </c>
      <c r="C725" s="32" t="s">
        <v>4</v>
      </c>
      <c r="D725" s="397"/>
      <c r="F725" s="1" t="s">
        <v>224</v>
      </c>
      <c r="G725" s="21"/>
      <c r="H725" s="21"/>
      <c r="I725" s="21"/>
      <c r="J725" s="21"/>
      <c r="K725" s="21"/>
      <c r="L725" s="21"/>
      <c r="M725" s="21"/>
      <c r="N725" s="21"/>
      <c r="O725" s="21"/>
      <c r="P725" s="21"/>
      <c r="Q725" s="21"/>
      <c r="R725" s="23"/>
      <c r="S725" s="23"/>
      <c r="T725" s="23"/>
      <c r="U725" s="23"/>
      <c r="V725" s="23"/>
      <c r="W725" s="23"/>
      <c r="X725" s="23"/>
      <c r="Y725" s="23"/>
      <c r="Z725" s="23"/>
      <c r="AA725" s="23"/>
      <c r="AB725" s="23"/>
      <c r="AC725" s="25"/>
      <c r="AD725" s="25"/>
      <c r="AE725" s="25"/>
      <c r="AF725" s="25"/>
      <c r="AG725" s="25"/>
      <c r="AH725" s="25"/>
      <c r="AI725" s="25"/>
      <c r="AJ725" s="25"/>
      <c r="AK725" s="25"/>
      <c r="AL725" s="25"/>
      <c r="AM725" s="25"/>
    </row>
    <row r="726" spans="1:39" ht="15" customHeight="1">
      <c r="A726" s="32" t="str">
        <f t="shared" si="27"/>
        <v>Ausgrid--GROUND OUTDOOR / INDOOR CHAMBER MOUNTED ; ˂ 22 kV ;  &lt; = 60 kVA ; SINGLE PHASE</v>
      </c>
      <c r="B726" s="32" t="str">
        <f t="shared" si="28"/>
        <v>Ausgrid</v>
      </c>
      <c r="C726" s="32" t="s">
        <v>4</v>
      </c>
      <c r="D726" s="397"/>
      <c r="F726" s="1" t="s">
        <v>225</v>
      </c>
      <c r="G726" s="21">
        <v>0</v>
      </c>
      <c r="H726" s="21">
        <v>0</v>
      </c>
      <c r="I726" s="21">
        <v>0</v>
      </c>
      <c r="J726" s="21">
        <v>0</v>
      </c>
      <c r="K726" s="21">
        <v>0</v>
      </c>
      <c r="L726" s="21">
        <v>0</v>
      </c>
      <c r="M726" s="21">
        <v>0</v>
      </c>
      <c r="N726" s="21">
        <v>0</v>
      </c>
      <c r="O726" s="21">
        <v>0</v>
      </c>
      <c r="P726" s="21">
        <v>0</v>
      </c>
      <c r="Q726" s="21">
        <v>0</v>
      </c>
      <c r="R726" s="23">
        <v>0</v>
      </c>
      <c r="S726" s="23">
        <v>0</v>
      </c>
      <c r="T726" s="23">
        <v>0</v>
      </c>
      <c r="U726" s="23">
        <v>0</v>
      </c>
      <c r="V726" s="23">
        <v>0</v>
      </c>
      <c r="W726" s="23">
        <v>0</v>
      </c>
      <c r="X726" s="23">
        <v>0</v>
      </c>
      <c r="Y726" s="23">
        <v>0</v>
      </c>
      <c r="Z726" s="23">
        <v>0</v>
      </c>
      <c r="AA726" s="23">
        <v>0</v>
      </c>
      <c r="AB726" s="23">
        <v>0</v>
      </c>
      <c r="AC726" s="25">
        <v>0</v>
      </c>
      <c r="AD726" s="25">
        <v>0</v>
      </c>
      <c r="AE726" s="25">
        <v>0</v>
      </c>
      <c r="AF726" s="25">
        <v>0</v>
      </c>
      <c r="AG726" s="25">
        <v>0</v>
      </c>
      <c r="AH726" s="25">
        <v>0</v>
      </c>
      <c r="AI726" s="25">
        <v>0</v>
      </c>
      <c r="AJ726" s="25">
        <v>0</v>
      </c>
      <c r="AK726" s="25">
        <v>0</v>
      </c>
      <c r="AL726" s="25">
        <v>0</v>
      </c>
      <c r="AM726" s="25">
        <v>0</v>
      </c>
    </row>
    <row r="727" spans="1:39" ht="15" customHeight="1">
      <c r="A727" s="32" t="str">
        <f t="shared" si="27"/>
        <v>Ausgrid--GROUND OUTDOOR / INDOOR CHAMBER MOUNTED ; ˂  22 kV ;  &gt; 60 kVA  AND &lt; = 600 kVA ; SINGLE PHASE</v>
      </c>
      <c r="B727" s="32" t="str">
        <f t="shared" si="28"/>
        <v>Ausgrid</v>
      </c>
      <c r="C727" s="32" t="s">
        <v>4</v>
      </c>
      <c r="D727" s="397"/>
      <c r="F727" s="1" t="s">
        <v>226</v>
      </c>
      <c r="G727" s="21">
        <v>0</v>
      </c>
      <c r="H727" s="21">
        <v>0</v>
      </c>
      <c r="I727" s="21">
        <v>0</v>
      </c>
      <c r="J727" s="21">
        <v>0</v>
      </c>
      <c r="K727" s="21">
        <v>0</v>
      </c>
      <c r="L727" s="21">
        <v>0</v>
      </c>
      <c r="M727" s="21">
        <v>0</v>
      </c>
      <c r="N727" s="21">
        <v>0</v>
      </c>
      <c r="O727" s="21">
        <v>0</v>
      </c>
      <c r="P727" s="21">
        <v>0</v>
      </c>
      <c r="Q727" s="21">
        <v>0</v>
      </c>
      <c r="R727" s="23">
        <v>0</v>
      </c>
      <c r="S727" s="23">
        <v>0</v>
      </c>
      <c r="T727" s="23">
        <v>0</v>
      </c>
      <c r="U727" s="23">
        <v>0</v>
      </c>
      <c r="V727" s="23">
        <v>0</v>
      </c>
      <c r="W727" s="23">
        <v>0</v>
      </c>
      <c r="X727" s="23">
        <v>0</v>
      </c>
      <c r="Y727" s="23">
        <v>0</v>
      </c>
      <c r="Z727" s="23">
        <v>0</v>
      </c>
      <c r="AA727" s="23">
        <v>0</v>
      </c>
      <c r="AB727" s="23">
        <v>0</v>
      </c>
      <c r="AC727" s="25">
        <v>0</v>
      </c>
      <c r="AD727" s="25">
        <v>0</v>
      </c>
      <c r="AE727" s="25">
        <v>0</v>
      </c>
      <c r="AF727" s="25">
        <v>0</v>
      </c>
      <c r="AG727" s="25">
        <v>0</v>
      </c>
      <c r="AH727" s="25">
        <v>0</v>
      </c>
      <c r="AI727" s="25">
        <v>0</v>
      </c>
      <c r="AJ727" s="25">
        <v>0</v>
      </c>
      <c r="AK727" s="25">
        <v>0</v>
      </c>
      <c r="AL727" s="25">
        <v>0</v>
      </c>
      <c r="AM727" s="25">
        <v>0</v>
      </c>
    </row>
    <row r="728" spans="1:39" ht="15" customHeight="1">
      <c r="A728" s="32" t="str">
        <f t="shared" si="27"/>
        <v>Ausgrid--GROUND OUTDOOR / INDOOR CHAMBER MOUNTED ; ˂  22 kV ;  &gt;  600 kVA ; SINGLE PHASE</v>
      </c>
      <c r="B728" s="32" t="str">
        <f t="shared" si="28"/>
        <v>Ausgrid</v>
      </c>
      <c r="C728" s="32" t="s">
        <v>4</v>
      </c>
      <c r="D728" s="397"/>
      <c r="F728" s="1" t="s">
        <v>227</v>
      </c>
      <c r="G728" s="21">
        <v>0</v>
      </c>
      <c r="H728" s="21">
        <v>0</v>
      </c>
      <c r="I728" s="21">
        <v>0</v>
      </c>
      <c r="J728" s="21">
        <v>0</v>
      </c>
      <c r="K728" s="21">
        <v>0</v>
      </c>
      <c r="L728" s="21">
        <v>0</v>
      </c>
      <c r="M728" s="21">
        <v>0</v>
      </c>
      <c r="N728" s="21">
        <v>0</v>
      </c>
      <c r="O728" s="21">
        <v>0</v>
      </c>
      <c r="P728" s="21">
        <v>0</v>
      </c>
      <c r="Q728" s="21">
        <v>0</v>
      </c>
      <c r="R728" s="23">
        <v>0</v>
      </c>
      <c r="S728" s="23">
        <v>0</v>
      </c>
      <c r="T728" s="23">
        <v>0</v>
      </c>
      <c r="U728" s="23">
        <v>0</v>
      </c>
      <c r="V728" s="23">
        <v>0</v>
      </c>
      <c r="W728" s="23">
        <v>0</v>
      </c>
      <c r="X728" s="23">
        <v>0</v>
      </c>
      <c r="Y728" s="23">
        <v>0</v>
      </c>
      <c r="Z728" s="23">
        <v>0</v>
      </c>
      <c r="AA728" s="23">
        <v>0</v>
      </c>
      <c r="AB728" s="23">
        <v>0</v>
      </c>
      <c r="AC728" s="25">
        <v>0</v>
      </c>
      <c r="AD728" s="25">
        <v>0</v>
      </c>
      <c r="AE728" s="25">
        <v>0</v>
      </c>
      <c r="AF728" s="25">
        <v>0</v>
      </c>
      <c r="AG728" s="25">
        <v>0</v>
      </c>
      <c r="AH728" s="25">
        <v>0</v>
      </c>
      <c r="AI728" s="25">
        <v>0</v>
      </c>
      <c r="AJ728" s="25">
        <v>0</v>
      </c>
      <c r="AK728" s="25">
        <v>0</v>
      </c>
      <c r="AL728" s="25">
        <v>0</v>
      </c>
      <c r="AM728" s="25">
        <v>0</v>
      </c>
    </row>
    <row r="729" spans="1:39" ht="15" customHeight="1">
      <c r="A729" s="32" t="str">
        <f t="shared" si="27"/>
        <v>Ausgrid--GROUND OUTDOOR / INDOOR CHAMBER MOUNTED ; ˂  22 kV ;  &lt; = 60 kVA ; MULTIPLE PHASE</v>
      </c>
      <c r="B729" s="32" t="str">
        <f t="shared" si="28"/>
        <v>Ausgrid</v>
      </c>
      <c r="C729" s="32" t="s">
        <v>4</v>
      </c>
      <c r="D729" s="397"/>
      <c r="F729" s="1" t="s">
        <v>228</v>
      </c>
      <c r="G729" s="21">
        <v>390</v>
      </c>
      <c r="H729" s="21">
        <v>2188</v>
      </c>
      <c r="I729" s="21">
        <v>4278</v>
      </c>
      <c r="J729" s="21">
        <v>4254</v>
      </c>
      <c r="K729" s="21">
        <v>3038</v>
      </c>
      <c r="L729" s="21">
        <v>1542</v>
      </c>
      <c r="M729" s="21">
        <v>3851</v>
      </c>
      <c r="N729" s="21">
        <v>4265</v>
      </c>
      <c r="O729" s="21">
        <v>6179</v>
      </c>
      <c r="P729" s="21">
        <v>6879</v>
      </c>
      <c r="Q729" s="21">
        <v>6034</v>
      </c>
      <c r="R729" s="23">
        <v>0</v>
      </c>
      <c r="S729" s="23">
        <v>8</v>
      </c>
      <c r="T729" s="23">
        <v>11</v>
      </c>
      <c r="U729" s="23">
        <v>26</v>
      </c>
      <c r="V729" s="23">
        <v>16</v>
      </c>
      <c r="W729" s="23">
        <v>13</v>
      </c>
      <c r="X729" s="23">
        <v>20</v>
      </c>
      <c r="Y729" s="23">
        <v>24</v>
      </c>
      <c r="Z729" s="23">
        <v>27</v>
      </c>
      <c r="AA729" s="23">
        <v>30</v>
      </c>
      <c r="AB729" s="23">
        <v>29</v>
      </c>
      <c r="AC729" s="25">
        <v>1</v>
      </c>
      <c r="AD729" s="25">
        <v>7</v>
      </c>
      <c r="AE729" s="25">
        <v>3</v>
      </c>
      <c r="AF729" s="25">
        <v>1</v>
      </c>
      <c r="AG729" s="25">
        <v>7</v>
      </c>
      <c r="AH729" s="25">
        <v>0</v>
      </c>
      <c r="AI729" s="25">
        <v>0</v>
      </c>
      <c r="AJ729" s="25">
        <v>0</v>
      </c>
      <c r="AK729" s="25">
        <v>0</v>
      </c>
      <c r="AL729" s="25">
        <v>0</v>
      </c>
      <c r="AM729" s="25">
        <v>0</v>
      </c>
    </row>
    <row r="730" spans="1:39" ht="15" customHeight="1">
      <c r="A730" s="32" t="str">
        <f t="shared" si="27"/>
        <v>Ausgrid--GROUND OUTDOOR / INDOOR CHAMBER MOUNTED ; ˂  22 kV ;  &gt; 60 kVA  AND &lt; = 600 kVA ; MULTIPLE PHASE</v>
      </c>
      <c r="B730" s="32" t="str">
        <f t="shared" si="28"/>
        <v>Ausgrid</v>
      </c>
      <c r="C730" s="32" t="s">
        <v>4</v>
      </c>
      <c r="D730" s="397"/>
      <c r="F730" s="1" t="s">
        <v>229</v>
      </c>
      <c r="G730" s="21">
        <v>758</v>
      </c>
      <c r="H730" s="21">
        <v>4248</v>
      </c>
      <c r="I730" s="21">
        <v>8308</v>
      </c>
      <c r="J730" s="21">
        <v>8262</v>
      </c>
      <c r="K730" s="21">
        <v>5900</v>
      </c>
      <c r="L730" s="21">
        <v>2995</v>
      </c>
      <c r="M730" s="21">
        <v>7479</v>
      </c>
      <c r="N730" s="21">
        <v>8283</v>
      </c>
      <c r="O730" s="21">
        <v>11999</v>
      </c>
      <c r="P730" s="21">
        <v>13359</v>
      </c>
      <c r="Q730" s="21">
        <v>11718</v>
      </c>
      <c r="R730" s="23">
        <v>0</v>
      </c>
      <c r="S730" s="23">
        <v>16</v>
      </c>
      <c r="T730" s="23">
        <v>22</v>
      </c>
      <c r="U730" s="23">
        <v>50</v>
      </c>
      <c r="V730" s="23">
        <v>31</v>
      </c>
      <c r="W730" s="23">
        <v>25</v>
      </c>
      <c r="X730" s="23">
        <v>40</v>
      </c>
      <c r="Y730" s="23">
        <v>47</v>
      </c>
      <c r="Z730" s="23">
        <v>53</v>
      </c>
      <c r="AA730" s="23">
        <v>58</v>
      </c>
      <c r="AB730" s="23">
        <v>56</v>
      </c>
      <c r="AC730" s="25">
        <v>8</v>
      </c>
      <c r="AD730" s="25">
        <v>11</v>
      </c>
      <c r="AE730" s="25">
        <v>7</v>
      </c>
      <c r="AF730" s="25">
        <v>7</v>
      </c>
      <c r="AG730" s="25">
        <v>11</v>
      </c>
      <c r="AH730" s="25">
        <v>0</v>
      </c>
      <c r="AI730" s="25">
        <v>0</v>
      </c>
      <c r="AJ730" s="25">
        <v>0</v>
      </c>
      <c r="AK730" s="25">
        <v>0</v>
      </c>
      <c r="AL730" s="25">
        <v>0</v>
      </c>
      <c r="AM730" s="25">
        <v>0</v>
      </c>
    </row>
    <row r="731" spans="1:39" ht="15" customHeight="1">
      <c r="A731" s="32" t="str">
        <f t="shared" si="27"/>
        <v>Ausgrid--GROUND OUTDOOR / INDOOR CHAMBER MOUNTED ; ˂  22 kV ;  &gt;  600 kVA ; MULTIPLE PHASE</v>
      </c>
      <c r="B731" s="32" t="str">
        <f t="shared" si="28"/>
        <v>Ausgrid</v>
      </c>
      <c r="C731" s="32" t="s">
        <v>4</v>
      </c>
      <c r="D731" s="397"/>
      <c r="F731" s="1" t="s">
        <v>230</v>
      </c>
      <c r="G731" s="21">
        <v>117</v>
      </c>
      <c r="H731" s="21">
        <v>655</v>
      </c>
      <c r="I731" s="21">
        <v>1280</v>
      </c>
      <c r="J731" s="21">
        <v>1273</v>
      </c>
      <c r="K731" s="21">
        <v>909</v>
      </c>
      <c r="L731" s="21">
        <v>462</v>
      </c>
      <c r="M731" s="21">
        <v>1152</v>
      </c>
      <c r="N731" s="21">
        <v>1276</v>
      </c>
      <c r="O731" s="21">
        <v>1849</v>
      </c>
      <c r="P731" s="21">
        <v>2059</v>
      </c>
      <c r="Q731" s="21">
        <v>1806</v>
      </c>
      <c r="R731" s="23">
        <v>0</v>
      </c>
      <c r="S731" s="23">
        <v>2</v>
      </c>
      <c r="T731" s="23">
        <v>3</v>
      </c>
      <c r="U731" s="23">
        <v>8</v>
      </c>
      <c r="V731" s="23">
        <v>5</v>
      </c>
      <c r="W731" s="23">
        <v>4</v>
      </c>
      <c r="X731" s="23">
        <v>6</v>
      </c>
      <c r="Y731" s="23">
        <v>7</v>
      </c>
      <c r="Z731" s="23">
        <v>8</v>
      </c>
      <c r="AA731" s="23">
        <v>9</v>
      </c>
      <c r="AB731" s="23">
        <v>9</v>
      </c>
      <c r="AC731" s="25">
        <v>17</v>
      </c>
      <c r="AD731" s="25">
        <v>18</v>
      </c>
      <c r="AE731" s="25">
        <v>20</v>
      </c>
      <c r="AF731" s="25">
        <v>13</v>
      </c>
      <c r="AG731" s="25">
        <v>28</v>
      </c>
      <c r="AH731" s="25">
        <v>0</v>
      </c>
      <c r="AI731" s="25">
        <v>0</v>
      </c>
      <c r="AJ731" s="25">
        <v>0</v>
      </c>
      <c r="AK731" s="25">
        <v>0</v>
      </c>
      <c r="AL731" s="25">
        <v>0</v>
      </c>
      <c r="AM731" s="25">
        <v>0</v>
      </c>
    </row>
    <row r="732" spans="1:39" ht="15" customHeight="1">
      <c r="A732" s="32" t="str">
        <f t="shared" si="27"/>
        <v>Ausgrid--GROUND OUTDOOR / INDOOR CHAMBER MOUNTED ; &gt; = 22 kV &amp; &lt; = 33 kV ;  &lt; = 15 MVA</v>
      </c>
      <c r="B732" s="32" t="str">
        <f t="shared" si="28"/>
        <v>Ausgrid</v>
      </c>
      <c r="C732" s="32" t="s">
        <v>4</v>
      </c>
      <c r="D732" s="397"/>
      <c r="F732" s="1" t="s">
        <v>231</v>
      </c>
      <c r="G732" s="21">
        <v>0</v>
      </c>
      <c r="H732" s="21">
        <v>0</v>
      </c>
      <c r="I732" s="21">
        <v>0</v>
      </c>
      <c r="J732" s="21">
        <v>0</v>
      </c>
      <c r="K732" s="21">
        <v>0</v>
      </c>
      <c r="L732" s="21">
        <v>0</v>
      </c>
      <c r="M732" s="21">
        <v>0</v>
      </c>
      <c r="N732" s="21">
        <v>0</v>
      </c>
      <c r="O732" s="21">
        <v>0</v>
      </c>
      <c r="P732" s="21">
        <v>0</v>
      </c>
      <c r="Q732" s="21">
        <v>0</v>
      </c>
      <c r="R732" s="23">
        <v>0</v>
      </c>
      <c r="S732" s="23">
        <v>0</v>
      </c>
      <c r="T732" s="23">
        <v>0</v>
      </c>
      <c r="U732" s="23">
        <v>0</v>
      </c>
      <c r="V732" s="23">
        <v>0</v>
      </c>
      <c r="W732" s="23">
        <v>0</v>
      </c>
      <c r="X732" s="23">
        <v>0</v>
      </c>
      <c r="Y732" s="23">
        <v>0</v>
      </c>
      <c r="Z732" s="23">
        <v>0</v>
      </c>
      <c r="AA732" s="23">
        <v>0</v>
      </c>
      <c r="AB732" s="23">
        <v>0</v>
      </c>
      <c r="AC732" s="25">
        <v>15</v>
      </c>
      <c r="AD732" s="25">
        <v>26</v>
      </c>
      <c r="AE732" s="25">
        <v>21</v>
      </c>
      <c r="AF732" s="25">
        <v>21</v>
      </c>
      <c r="AG732" s="25">
        <v>26</v>
      </c>
      <c r="AH732" s="25">
        <v>0</v>
      </c>
      <c r="AI732" s="25">
        <v>0</v>
      </c>
      <c r="AJ732" s="25">
        <v>0</v>
      </c>
      <c r="AK732" s="25">
        <v>0</v>
      </c>
      <c r="AL732" s="25">
        <v>0</v>
      </c>
      <c r="AM732" s="25">
        <v>0</v>
      </c>
    </row>
    <row r="733" spans="1:39" ht="15" customHeight="1">
      <c r="A733" s="32" t="str">
        <f t="shared" si="27"/>
        <v>Ausgrid--GROUND OUTDOOR / INDOOR CHAMBER MOUNTED ; &gt; = 22 kV &amp; &lt; = 33 kV ;  &gt; 15 MVA AND &lt; = 40 MVA</v>
      </c>
      <c r="B733" s="32" t="str">
        <f t="shared" si="28"/>
        <v>Ausgrid</v>
      </c>
      <c r="C733" s="32" t="s">
        <v>4</v>
      </c>
      <c r="D733" s="397"/>
      <c r="F733" s="1" t="s">
        <v>232</v>
      </c>
      <c r="G733" s="21">
        <v>0</v>
      </c>
      <c r="H733" s="21">
        <v>0</v>
      </c>
      <c r="I733" s="21">
        <v>0</v>
      </c>
      <c r="J733" s="21">
        <v>0</v>
      </c>
      <c r="K733" s="21">
        <v>0</v>
      </c>
      <c r="L733" s="21">
        <v>0</v>
      </c>
      <c r="M733" s="21">
        <v>0</v>
      </c>
      <c r="N733" s="21">
        <v>0</v>
      </c>
      <c r="O733" s="21">
        <v>0</v>
      </c>
      <c r="P733" s="21">
        <v>0</v>
      </c>
      <c r="Q733" s="21">
        <v>0</v>
      </c>
      <c r="R733" s="23">
        <v>0</v>
      </c>
      <c r="S733" s="23">
        <v>0</v>
      </c>
      <c r="T733" s="23">
        <v>0</v>
      </c>
      <c r="U733" s="23">
        <v>0</v>
      </c>
      <c r="V733" s="23">
        <v>0</v>
      </c>
      <c r="W733" s="23">
        <v>0</v>
      </c>
      <c r="X733" s="23">
        <v>0</v>
      </c>
      <c r="Y733" s="23">
        <v>0</v>
      </c>
      <c r="Z733" s="23">
        <v>0</v>
      </c>
      <c r="AA733" s="23">
        <v>0</v>
      </c>
      <c r="AB733" s="23">
        <v>0</v>
      </c>
      <c r="AC733" s="25">
        <v>31</v>
      </c>
      <c r="AD733" s="25">
        <v>30</v>
      </c>
      <c r="AE733" s="25">
        <v>41</v>
      </c>
      <c r="AF733" s="25">
        <v>43</v>
      </c>
      <c r="AG733" s="25">
        <v>47</v>
      </c>
      <c r="AH733" s="25">
        <v>0</v>
      </c>
      <c r="AI733" s="25">
        <v>0</v>
      </c>
      <c r="AJ733" s="25">
        <v>0</v>
      </c>
      <c r="AK733" s="25">
        <v>0</v>
      </c>
      <c r="AL733" s="25">
        <v>0</v>
      </c>
      <c r="AM733" s="25">
        <v>0</v>
      </c>
    </row>
    <row r="734" spans="1:39" ht="15" customHeight="1">
      <c r="A734" s="32" t="str">
        <f t="shared" si="27"/>
        <v>Ausgrid--GROUND OUTDOOR / INDOOR CHAMBER MOUNTED ; &gt; = 22 kV &amp; &lt; = 33 kV ;  &gt; 40 MVA</v>
      </c>
      <c r="B734" s="32" t="str">
        <f t="shared" si="28"/>
        <v>Ausgrid</v>
      </c>
      <c r="C734" s="32" t="s">
        <v>4</v>
      </c>
      <c r="D734" s="397"/>
      <c r="F734" s="1" t="s">
        <v>233</v>
      </c>
      <c r="G734" s="21">
        <v>974</v>
      </c>
      <c r="H734" s="21">
        <v>313</v>
      </c>
      <c r="I734" s="21">
        <v>3363</v>
      </c>
      <c r="J734" s="21">
        <v>3374</v>
      </c>
      <c r="K734" s="21">
        <v>1297</v>
      </c>
      <c r="L734" s="21">
        <v>69</v>
      </c>
      <c r="M734" s="21">
        <v>7872</v>
      </c>
      <c r="N734" s="21">
        <v>5410</v>
      </c>
      <c r="O734" s="21">
        <v>6923</v>
      </c>
      <c r="P734" s="21">
        <v>2834</v>
      </c>
      <c r="Q734" s="21">
        <v>4347</v>
      </c>
      <c r="R734" s="23">
        <v>6</v>
      </c>
      <c r="S734" s="23">
        <v>3</v>
      </c>
      <c r="T734" s="23">
        <v>4</v>
      </c>
      <c r="U734" s="23">
        <v>4</v>
      </c>
      <c r="V734" s="23">
        <v>1</v>
      </c>
      <c r="W734" s="23">
        <v>1</v>
      </c>
      <c r="X734" s="23">
        <v>8</v>
      </c>
      <c r="Y734" s="23">
        <v>6</v>
      </c>
      <c r="Z734" s="23">
        <v>7</v>
      </c>
      <c r="AA734" s="23">
        <v>4</v>
      </c>
      <c r="AB734" s="23">
        <v>6</v>
      </c>
      <c r="AC734" s="25">
        <v>0</v>
      </c>
      <c r="AD734" s="25">
        <v>0</v>
      </c>
      <c r="AE734" s="25">
        <v>0</v>
      </c>
      <c r="AF734" s="25">
        <v>0</v>
      </c>
      <c r="AG734" s="25">
        <v>0</v>
      </c>
      <c r="AH734" s="25">
        <v>0</v>
      </c>
      <c r="AI734" s="25">
        <v>0</v>
      </c>
      <c r="AJ734" s="25">
        <v>0</v>
      </c>
      <c r="AK734" s="25">
        <v>0</v>
      </c>
      <c r="AL734" s="25">
        <v>0</v>
      </c>
      <c r="AM734" s="25">
        <v>0</v>
      </c>
    </row>
    <row r="735" spans="1:39" ht="15" customHeight="1">
      <c r="A735" s="32" t="str">
        <f t="shared" si="27"/>
        <v>Ausgrid--GROUND OUTDOOR / INDOOR CHAMBER MOUNTED ; &gt; 33 kV &amp; &lt; = 66 kV ;  &lt; = 15 MVA</v>
      </c>
      <c r="B735" s="32" t="str">
        <f t="shared" si="28"/>
        <v>Ausgrid</v>
      </c>
      <c r="C735" s="32" t="s">
        <v>4</v>
      </c>
      <c r="D735" s="397"/>
      <c r="F735" s="1" t="s">
        <v>234</v>
      </c>
      <c r="G735" s="21">
        <v>0</v>
      </c>
      <c r="H735" s="21">
        <v>0</v>
      </c>
      <c r="I735" s="21">
        <v>0</v>
      </c>
      <c r="J735" s="21">
        <v>0</v>
      </c>
      <c r="K735" s="21">
        <v>0</v>
      </c>
      <c r="L735" s="21">
        <v>0</v>
      </c>
      <c r="M735" s="21">
        <v>0</v>
      </c>
      <c r="N735" s="21">
        <v>0</v>
      </c>
      <c r="O735" s="21">
        <v>0</v>
      </c>
      <c r="P735" s="21">
        <v>0</v>
      </c>
      <c r="Q735" s="21">
        <v>0</v>
      </c>
      <c r="R735" s="23">
        <v>0</v>
      </c>
      <c r="S735" s="23">
        <v>0</v>
      </c>
      <c r="T735" s="23">
        <v>0</v>
      </c>
      <c r="U735" s="23">
        <v>0</v>
      </c>
      <c r="V735" s="23">
        <v>0</v>
      </c>
      <c r="W735" s="23">
        <v>0</v>
      </c>
      <c r="X735" s="23">
        <v>0</v>
      </c>
      <c r="Y735" s="23">
        <v>0</v>
      </c>
      <c r="Z735" s="23">
        <v>0</v>
      </c>
      <c r="AA735" s="23">
        <v>0</v>
      </c>
      <c r="AB735" s="23">
        <v>0</v>
      </c>
      <c r="AC735" s="25">
        <v>0</v>
      </c>
      <c r="AD735" s="25">
        <v>1</v>
      </c>
      <c r="AE735" s="25">
        <v>4</v>
      </c>
      <c r="AF735" s="25">
        <v>1</v>
      </c>
      <c r="AG735" s="25">
        <v>0</v>
      </c>
      <c r="AH735" s="25">
        <v>0</v>
      </c>
      <c r="AI735" s="25">
        <v>0</v>
      </c>
      <c r="AJ735" s="25">
        <v>0</v>
      </c>
      <c r="AK735" s="25">
        <v>0</v>
      </c>
      <c r="AL735" s="25">
        <v>0</v>
      </c>
      <c r="AM735" s="25">
        <v>0</v>
      </c>
    </row>
    <row r="736" spans="1:39" ht="15" customHeight="1">
      <c r="A736" s="32" t="str">
        <f t="shared" si="27"/>
        <v>Ausgrid--GROUND OUTDOOR / INDOOR CHAMBER MOUNTED ; &gt; 33 kV &amp; &lt; = 66 kV ;  &gt; 15 MVA AND &lt; = 40 MVA</v>
      </c>
      <c r="B736" s="32" t="str">
        <f t="shared" si="28"/>
        <v>Ausgrid</v>
      </c>
      <c r="C736" s="32" t="s">
        <v>4</v>
      </c>
      <c r="D736" s="397"/>
      <c r="F736" s="1" t="s">
        <v>235</v>
      </c>
      <c r="G736" s="21">
        <v>1565</v>
      </c>
      <c r="H736" s="21">
        <v>2918</v>
      </c>
      <c r="I736" s="21">
        <v>2821</v>
      </c>
      <c r="J736" s="21">
        <v>654</v>
      </c>
      <c r="K736" s="21">
        <v>1137</v>
      </c>
      <c r="L736" s="21">
        <v>2764</v>
      </c>
      <c r="M736" s="21">
        <v>5130</v>
      </c>
      <c r="N736" s="21">
        <v>2965</v>
      </c>
      <c r="O736" s="21">
        <v>440</v>
      </c>
      <c r="P736" s="21">
        <v>1130</v>
      </c>
      <c r="Q736" s="21">
        <v>1999</v>
      </c>
      <c r="R736" s="23">
        <v>0</v>
      </c>
      <c r="S736" s="23">
        <v>3</v>
      </c>
      <c r="T736" s="23">
        <v>4</v>
      </c>
      <c r="U736" s="23">
        <v>2</v>
      </c>
      <c r="V736" s="23">
        <v>0</v>
      </c>
      <c r="W736" s="23">
        <v>0</v>
      </c>
      <c r="X736" s="23">
        <v>4</v>
      </c>
      <c r="Y736" s="23">
        <v>2</v>
      </c>
      <c r="Z736" s="23">
        <v>4</v>
      </c>
      <c r="AA736" s="23">
        <v>0</v>
      </c>
      <c r="AB736" s="23">
        <v>0</v>
      </c>
      <c r="AC736" s="25">
        <v>3</v>
      </c>
      <c r="AD736" s="25">
        <v>6</v>
      </c>
      <c r="AE736" s="25">
        <v>5</v>
      </c>
      <c r="AF736" s="25">
        <v>11</v>
      </c>
      <c r="AG736" s="25">
        <v>7</v>
      </c>
      <c r="AH736" s="25">
        <v>0</v>
      </c>
      <c r="AI736" s="25">
        <v>0</v>
      </c>
      <c r="AJ736" s="25">
        <v>0</v>
      </c>
      <c r="AK736" s="25">
        <v>0</v>
      </c>
      <c r="AL736" s="25">
        <v>0</v>
      </c>
      <c r="AM736" s="25">
        <v>0</v>
      </c>
    </row>
    <row r="737" spans="1:39" ht="15" customHeight="1">
      <c r="A737" s="32" t="str">
        <f t="shared" si="27"/>
        <v>Ausgrid--GROUND OUTDOOR / INDOOR CHAMBER MOUNTED ; &gt; 33 kV &amp; &lt; = 66 kV ;  &gt; 40 MVA</v>
      </c>
      <c r="B737" s="32" t="str">
        <f t="shared" si="28"/>
        <v>Ausgrid</v>
      </c>
      <c r="C737" s="32" t="s">
        <v>4</v>
      </c>
      <c r="D737" s="397"/>
      <c r="F737" s="1" t="s">
        <v>236</v>
      </c>
      <c r="G737" s="21">
        <v>195</v>
      </c>
      <c r="H737" s="21">
        <v>885</v>
      </c>
      <c r="I737" s="21">
        <v>1845</v>
      </c>
      <c r="J737" s="21">
        <v>1611</v>
      </c>
      <c r="K737" s="21">
        <v>478</v>
      </c>
      <c r="L737" s="21">
        <v>323</v>
      </c>
      <c r="M737" s="21">
        <v>476</v>
      </c>
      <c r="N737" s="21">
        <v>824</v>
      </c>
      <c r="O737" s="21">
        <v>805</v>
      </c>
      <c r="P737" s="21">
        <v>40</v>
      </c>
      <c r="Q737" s="21">
        <v>0</v>
      </c>
      <c r="R737" s="23">
        <v>0</v>
      </c>
      <c r="S737" s="23">
        <v>0</v>
      </c>
      <c r="T737" s="23">
        <v>0</v>
      </c>
      <c r="U737" s="23">
        <v>0</v>
      </c>
      <c r="V737" s="23">
        <v>1</v>
      </c>
      <c r="W737" s="23">
        <v>0</v>
      </c>
      <c r="X737" s="23">
        <v>0</v>
      </c>
      <c r="Y737" s="23">
        <v>0</v>
      </c>
      <c r="Z737" s="23">
        <v>0</v>
      </c>
      <c r="AA737" s="23">
        <v>0</v>
      </c>
      <c r="AB737" s="23">
        <v>0</v>
      </c>
      <c r="AC737" s="25">
        <v>0</v>
      </c>
      <c r="AD737" s="25">
        <v>2</v>
      </c>
      <c r="AE737" s="25">
        <v>0</v>
      </c>
      <c r="AF737" s="25">
        <v>2</v>
      </c>
      <c r="AG737" s="25">
        <v>0</v>
      </c>
      <c r="AH737" s="25">
        <v>0</v>
      </c>
      <c r="AI737" s="25">
        <v>0</v>
      </c>
      <c r="AJ737" s="25">
        <v>0</v>
      </c>
      <c r="AK737" s="25">
        <v>0</v>
      </c>
      <c r="AL737" s="25">
        <v>0</v>
      </c>
      <c r="AM737" s="25">
        <v>0</v>
      </c>
    </row>
    <row r="738" spans="1:39" ht="15" customHeight="1">
      <c r="A738" s="32" t="str">
        <f t="shared" si="27"/>
        <v>Ausgrid--GROUND OUTDOOR / INDOOR CHAMBER MOUNTED ; &gt; 66 kV &amp; &lt; = 132 kV ;  &lt; = 100 MVA</v>
      </c>
      <c r="B738" s="32" t="str">
        <f t="shared" si="28"/>
        <v>Ausgrid</v>
      </c>
      <c r="C738" s="32" t="s">
        <v>4</v>
      </c>
      <c r="D738" s="397"/>
      <c r="F738" s="1" t="s">
        <v>237</v>
      </c>
      <c r="G738" s="21">
        <v>29803</v>
      </c>
      <c r="H738" s="21">
        <v>32652</v>
      </c>
      <c r="I738" s="21">
        <v>28597</v>
      </c>
      <c r="J738" s="21">
        <v>23287</v>
      </c>
      <c r="K738" s="21">
        <v>16993</v>
      </c>
      <c r="L738" s="21">
        <v>14324</v>
      </c>
      <c r="M738" s="21">
        <v>15839</v>
      </c>
      <c r="N738" s="21">
        <v>20959</v>
      </c>
      <c r="O738" s="21">
        <v>11051</v>
      </c>
      <c r="P738" s="21">
        <v>8384</v>
      </c>
      <c r="Q738" s="21">
        <v>5516</v>
      </c>
      <c r="R738" s="23">
        <v>4</v>
      </c>
      <c r="S738" s="23">
        <v>12</v>
      </c>
      <c r="T738" s="23">
        <v>59</v>
      </c>
      <c r="U738" s="23">
        <v>46</v>
      </c>
      <c r="V738" s="23">
        <v>15</v>
      </c>
      <c r="W738" s="23">
        <v>26</v>
      </c>
      <c r="X738" s="23">
        <v>14</v>
      </c>
      <c r="Y738" s="23">
        <v>15</v>
      </c>
      <c r="Z738" s="23">
        <v>31</v>
      </c>
      <c r="AA738" s="23">
        <v>24</v>
      </c>
      <c r="AB738" s="23">
        <v>23</v>
      </c>
      <c r="AC738" s="25">
        <v>32</v>
      </c>
      <c r="AD738" s="25">
        <v>35</v>
      </c>
      <c r="AE738" s="25">
        <v>42</v>
      </c>
      <c r="AF738" s="25">
        <v>50</v>
      </c>
      <c r="AG738" s="25">
        <v>62</v>
      </c>
      <c r="AH738" s="25">
        <v>0</v>
      </c>
      <c r="AI738" s="25">
        <v>0</v>
      </c>
      <c r="AJ738" s="25">
        <v>0</v>
      </c>
      <c r="AK738" s="25">
        <v>0</v>
      </c>
      <c r="AL738" s="25">
        <v>0</v>
      </c>
      <c r="AM738" s="25">
        <v>0</v>
      </c>
    </row>
    <row r="739" spans="1:39" ht="15" customHeight="1">
      <c r="A739" s="32" t="str">
        <f t="shared" si="27"/>
        <v>Ausgrid--GROUND OUTDOOR / INDOOR CHAMBER MOUNTED ; &gt; 66 kV &amp; &lt; = 132 kV ;  &gt; 100 MVA</v>
      </c>
      <c r="B739" s="32" t="str">
        <f t="shared" si="28"/>
        <v>Ausgrid</v>
      </c>
      <c r="C739" s="32" t="s">
        <v>4</v>
      </c>
      <c r="D739" s="397"/>
      <c r="F739" s="1" t="s">
        <v>238</v>
      </c>
      <c r="G739" s="21">
        <v>6144</v>
      </c>
      <c r="H739" s="21">
        <v>9750</v>
      </c>
      <c r="I739" s="21">
        <v>5444</v>
      </c>
      <c r="J739" s="21">
        <v>1110</v>
      </c>
      <c r="K739" s="21">
        <v>369</v>
      </c>
      <c r="L739" s="21">
        <v>752</v>
      </c>
      <c r="M739" s="21">
        <v>4115</v>
      </c>
      <c r="N739" s="21">
        <v>8847</v>
      </c>
      <c r="O739" s="21">
        <v>1802</v>
      </c>
      <c r="P739" s="21">
        <v>232</v>
      </c>
      <c r="Q739" s="21">
        <v>238</v>
      </c>
      <c r="R739" s="23">
        <v>3</v>
      </c>
      <c r="S739" s="23">
        <v>0</v>
      </c>
      <c r="T739" s="23">
        <v>0</v>
      </c>
      <c r="U739" s="23">
        <v>2</v>
      </c>
      <c r="V739" s="23">
        <v>0</v>
      </c>
      <c r="W739" s="23">
        <v>2</v>
      </c>
      <c r="X739" s="23">
        <v>0</v>
      </c>
      <c r="Y739" s="23">
        <v>3</v>
      </c>
      <c r="Z739" s="23">
        <v>2</v>
      </c>
      <c r="AA739" s="23">
        <v>0</v>
      </c>
      <c r="AB739" s="23">
        <v>0</v>
      </c>
      <c r="AC739" s="25">
        <v>10</v>
      </c>
      <c r="AD739" s="25">
        <v>19</v>
      </c>
      <c r="AE739" s="25">
        <v>23</v>
      </c>
      <c r="AF739" s="25">
        <v>13</v>
      </c>
      <c r="AG739" s="25">
        <v>20</v>
      </c>
      <c r="AH739" s="25">
        <v>0</v>
      </c>
      <c r="AI739" s="25">
        <v>0</v>
      </c>
      <c r="AJ739" s="25">
        <v>0</v>
      </c>
      <c r="AK739" s="25">
        <v>0</v>
      </c>
      <c r="AL739" s="25">
        <v>0</v>
      </c>
      <c r="AM739" s="25">
        <v>0</v>
      </c>
    </row>
    <row r="740" spans="1:39" ht="15" customHeight="1">
      <c r="A740" s="32" t="str">
        <f t="shared" si="27"/>
        <v>Ausgrid--GROUND OUTDOOR / INDOOR CHAMBER MOUNTED ; &gt; 132 kV ;  &lt; = 100 MVA</v>
      </c>
      <c r="B740" s="32" t="str">
        <f t="shared" si="28"/>
        <v>Ausgrid</v>
      </c>
      <c r="C740" s="32" t="s">
        <v>4</v>
      </c>
      <c r="D740" s="397"/>
      <c r="F740" s="1" t="s">
        <v>239</v>
      </c>
      <c r="G740" s="21">
        <v>0</v>
      </c>
      <c r="H740" s="21">
        <v>0</v>
      </c>
      <c r="I740" s="21">
        <v>0</v>
      </c>
      <c r="J740" s="21">
        <v>0</v>
      </c>
      <c r="K740" s="21">
        <v>0</v>
      </c>
      <c r="L740" s="21">
        <v>0</v>
      </c>
      <c r="M740" s="21">
        <v>0</v>
      </c>
      <c r="N740" s="21">
        <v>0</v>
      </c>
      <c r="O740" s="21">
        <v>0</v>
      </c>
      <c r="P740" s="21">
        <v>0</v>
      </c>
      <c r="Q740" s="21">
        <v>0</v>
      </c>
      <c r="R740" s="23">
        <v>0</v>
      </c>
      <c r="S740" s="23">
        <v>0</v>
      </c>
      <c r="T740" s="23">
        <v>0</v>
      </c>
      <c r="U740" s="23">
        <v>0</v>
      </c>
      <c r="V740" s="23">
        <v>0</v>
      </c>
      <c r="W740" s="23">
        <v>0</v>
      </c>
      <c r="X740" s="23">
        <v>0</v>
      </c>
      <c r="Y740" s="23">
        <v>0</v>
      </c>
      <c r="Z740" s="23">
        <v>0</v>
      </c>
      <c r="AA740" s="23">
        <v>0</v>
      </c>
      <c r="AB740" s="23">
        <v>0</v>
      </c>
      <c r="AC740" s="25">
        <v>0</v>
      </c>
      <c r="AD740" s="25">
        <v>0</v>
      </c>
      <c r="AE740" s="25">
        <v>0</v>
      </c>
      <c r="AF740" s="25">
        <v>0</v>
      </c>
      <c r="AG740" s="25">
        <v>0</v>
      </c>
      <c r="AH740" s="25">
        <v>0</v>
      </c>
      <c r="AI740" s="25">
        <v>0</v>
      </c>
      <c r="AJ740" s="25">
        <v>0</v>
      </c>
      <c r="AK740" s="25">
        <v>0</v>
      </c>
      <c r="AL740" s="25">
        <v>0</v>
      </c>
      <c r="AM740" s="25">
        <v>0</v>
      </c>
    </row>
    <row r="741" spans="1:39" ht="15" customHeight="1">
      <c r="A741" s="32" t="str">
        <f t="shared" si="27"/>
        <v>Ausgrid--GROUND OUTDOOR / INDOOR CHAMBER MOUNTED ; &gt; 132 kV ;  &gt; 100 MVA</v>
      </c>
      <c r="B741" s="32" t="str">
        <f t="shared" si="28"/>
        <v>Ausgrid</v>
      </c>
      <c r="C741" s="32" t="s">
        <v>4</v>
      </c>
      <c r="D741" s="397"/>
      <c r="F741" s="1" t="s">
        <v>240</v>
      </c>
      <c r="G741" s="21">
        <v>0</v>
      </c>
      <c r="H741" s="21">
        <v>0</v>
      </c>
      <c r="I741" s="21">
        <v>0</v>
      </c>
      <c r="J741" s="21">
        <v>0</v>
      </c>
      <c r="K741" s="21">
        <v>0</v>
      </c>
      <c r="L741" s="21">
        <v>0</v>
      </c>
      <c r="M741" s="21">
        <v>0</v>
      </c>
      <c r="N741" s="21">
        <v>0</v>
      </c>
      <c r="O741" s="21">
        <v>0</v>
      </c>
      <c r="P741" s="21">
        <v>0</v>
      </c>
      <c r="Q741" s="21">
        <v>0</v>
      </c>
      <c r="R741" s="23">
        <v>0</v>
      </c>
      <c r="S741" s="23">
        <v>0</v>
      </c>
      <c r="T741" s="23">
        <v>0</v>
      </c>
      <c r="U741" s="23">
        <v>0</v>
      </c>
      <c r="V741" s="23">
        <v>0</v>
      </c>
      <c r="W741" s="23">
        <v>0</v>
      </c>
      <c r="X741" s="23">
        <v>0</v>
      </c>
      <c r="Y741" s="23">
        <v>0</v>
      </c>
      <c r="Z741" s="23">
        <v>0</v>
      </c>
      <c r="AA741" s="23">
        <v>0</v>
      </c>
      <c r="AB741" s="23">
        <v>0</v>
      </c>
      <c r="AC741" s="25">
        <v>0</v>
      </c>
      <c r="AD741" s="25">
        <v>0</v>
      </c>
      <c r="AE741" s="25">
        <v>0</v>
      </c>
      <c r="AF741" s="25">
        <v>0</v>
      </c>
      <c r="AG741" s="25">
        <v>0</v>
      </c>
      <c r="AH741" s="25">
        <v>0</v>
      </c>
      <c r="AI741" s="25">
        <v>0</v>
      </c>
      <c r="AJ741" s="25">
        <v>0</v>
      </c>
      <c r="AK741" s="25">
        <v>0</v>
      </c>
      <c r="AL741" s="25">
        <v>0</v>
      </c>
      <c r="AM741" s="25">
        <v>0</v>
      </c>
    </row>
    <row r="742" spans="1:39" ht="15" customHeight="1">
      <c r="A742" s="32" t="str">
        <f t="shared" si="27"/>
        <v>Ausgrid--OTHER - PLEASE ADD A ROW IF NECESSARY AND NOMINATE THE CATEGORY</v>
      </c>
      <c r="B742" s="32" t="str">
        <f t="shared" si="28"/>
        <v>Ausgrid</v>
      </c>
      <c r="C742" s="32" t="s">
        <v>4</v>
      </c>
      <c r="D742" s="397"/>
      <c r="F742" s="1" t="s">
        <v>170</v>
      </c>
      <c r="G742" s="21"/>
      <c r="H742" s="21"/>
      <c r="I742" s="21"/>
      <c r="J742" s="21"/>
      <c r="K742" s="21"/>
      <c r="L742" s="21"/>
      <c r="M742" s="21"/>
      <c r="N742" s="21"/>
      <c r="O742" s="21"/>
      <c r="P742" s="21"/>
      <c r="Q742" s="21"/>
      <c r="R742" s="23"/>
      <c r="S742" s="23"/>
      <c r="T742" s="23"/>
      <c r="U742" s="23"/>
      <c r="V742" s="23"/>
      <c r="W742" s="23"/>
      <c r="X742" s="23"/>
      <c r="Y742" s="23"/>
      <c r="Z742" s="23"/>
      <c r="AA742" s="23"/>
      <c r="AB742" s="23"/>
      <c r="AC742" s="25"/>
      <c r="AD742" s="25"/>
      <c r="AE742" s="25"/>
      <c r="AF742" s="25"/>
      <c r="AG742" s="25"/>
      <c r="AH742" s="25"/>
      <c r="AI742" s="25"/>
      <c r="AJ742" s="25"/>
      <c r="AK742" s="25"/>
      <c r="AL742" s="25"/>
      <c r="AM742" s="25"/>
    </row>
    <row r="743" spans="1:39" ht="45" customHeight="1">
      <c r="A743" s="32" t="str">
        <f t="shared" si="27"/>
        <v>Ausgrid-SWITCHGEAR BY: 
HIGHEST OPERATING VOLTAGE ; SWITCH FUNCTION-˂ = 11 kV ;  FUSE</v>
      </c>
      <c r="B743" s="32" t="str">
        <f t="shared" si="28"/>
        <v>Ausgrid</v>
      </c>
      <c r="C743" s="32" t="s">
        <v>2</v>
      </c>
      <c r="D743" s="397"/>
      <c r="E743" s="3" t="s">
        <v>545</v>
      </c>
      <c r="F743" s="1" t="s">
        <v>246</v>
      </c>
      <c r="G743" s="21">
        <v>0</v>
      </c>
      <c r="H743" s="21">
        <v>0</v>
      </c>
      <c r="I743" s="21">
        <v>0</v>
      </c>
      <c r="J743" s="21">
        <v>0</v>
      </c>
      <c r="K743" s="21">
        <v>0</v>
      </c>
      <c r="L743" s="21">
        <v>0</v>
      </c>
      <c r="M743" s="21">
        <v>0</v>
      </c>
      <c r="N743" s="21">
        <v>0</v>
      </c>
      <c r="O743" s="21">
        <v>0</v>
      </c>
      <c r="P743" s="21">
        <v>0</v>
      </c>
      <c r="Q743" s="21">
        <v>0</v>
      </c>
      <c r="R743" s="23">
        <v>0</v>
      </c>
      <c r="S743" s="23">
        <v>0</v>
      </c>
      <c r="T743" s="23">
        <v>0</v>
      </c>
      <c r="U743" s="23">
        <v>0</v>
      </c>
      <c r="V743" s="23">
        <v>0</v>
      </c>
      <c r="W743" s="23">
        <v>0</v>
      </c>
      <c r="X743" s="23">
        <v>0</v>
      </c>
      <c r="Y743" s="23">
        <v>0</v>
      </c>
      <c r="Z743" s="23">
        <v>0</v>
      </c>
      <c r="AA743" s="23">
        <v>0</v>
      </c>
      <c r="AB743" s="23">
        <v>0</v>
      </c>
      <c r="AC743" s="25">
        <v>127</v>
      </c>
      <c r="AD743" s="25">
        <v>178</v>
      </c>
      <c r="AE743" s="25">
        <v>136</v>
      </c>
      <c r="AF743" s="25">
        <v>211</v>
      </c>
      <c r="AG743" s="25">
        <v>242</v>
      </c>
      <c r="AH743" s="25">
        <v>82</v>
      </c>
      <c r="AI743" s="25">
        <v>0</v>
      </c>
      <c r="AJ743" s="25">
        <v>0</v>
      </c>
      <c r="AK743" s="25">
        <v>0</v>
      </c>
      <c r="AL743" s="25">
        <v>0</v>
      </c>
      <c r="AM743" s="25">
        <v>0</v>
      </c>
    </row>
    <row r="744" spans="1:39" ht="15" customHeight="1">
      <c r="A744" s="32" t="str">
        <f t="shared" si="27"/>
        <v>Ausgrid--˂ = 11 kV  ; SWITCH</v>
      </c>
      <c r="B744" s="32" t="str">
        <f t="shared" si="28"/>
        <v>Ausgrid</v>
      </c>
      <c r="C744" s="32" t="s">
        <v>2</v>
      </c>
      <c r="D744" s="397"/>
      <c r="F744" s="1" t="s">
        <v>247</v>
      </c>
      <c r="G744" s="21">
        <v>2137</v>
      </c>
      <c r="H744" s="21">
        <v>3148</v>
      </c>
      <c r="I744" s="21">
        <v>2475</v>
      </c>
      <c r="J744" s="21">
        <v>2744</v>
      </c>
      <c r="K744" s="21">
        <v>4739</v>
      </c>
      <c r="L744" s="21">
        <v>3067</v>
      </c>
      <c r="M744" s="21">
        <v>2642</v>
      </c>
      <c r="N744" s="21">
        <v>2725</v>
      </c>
      <c r="O744" s="21">
        <v>2796</v>
      </c>
      <c r="P744" s="21">
        <v>2870</v>
      </c>
      <c r="Q744" s="21">
        <v>2944</v>
      </c>
      <c r="R744" s="23">
        <v>25</v>
      </c>
      <c r="S744" s="23">
        <v>154</v>
      </c>
      <c r="T744" s="23">
        <v>226</v>
      </c>
      <c r="U744" s="23">
        <v>224</v>
      </c>
      <c r="V744" s="23">
        <v>291</v>
      </c>
      <c r="W744" s="23">
        <v>113</v>
      </c>
      <c r="X744" s="23">
        <v>85</v>
      </c>
      <c r="Y744" s="23">
        <v>85</v>
      </c>
      <c r="Z744" s="23">
        <v>85</v>
      </c>
      <c r="AA744" s="23">
        <v>85</v>
      </c>
      <c r="AB744" s="23">
        <v>85</v>
      </c>
      <c r="AC744" s="25">
        <v>271</v>
      </c>
      <c r="AD744" s="25">
        <v>178</v>
      </c>
      <c r="AE744" s="25">
        <v>141</v>
      </c>
      <c r="AF744" s="25">
        <v>315</v>
      </c>
      <c r="AG744" s="25">
        <v>415</v>
      </c>
      <c r="AH744" s="25">
        <v>216</v>
      </c>
      <c r="AI744" s="25">
        <v>0</v>
      </c>
      <c r="AJ744" s="25">
        <v>0</v>
      </c>
      <c r="AK744" s="25">
        <v>0</v>
      </c>
      <c r="AL744" s="25">
        <v>0</v>
      </c>
      <c r="AM744" s="25">
        <v>0</v>
      </c>
    </row>
    <row r="745" spans="1:39" ht="15" customHeight="1">
      <c r="A745" s="32" t="str">
        <f t="shared" si="27"/>
        <v>Ausgrid--˂ = 11 kV ;  CIRCUIT BREAKER</v>
      </c>
      <c r="B745" s="32" t="str">
        <f t="shared" si="28"/>
        <v>Ausgrid</v>
      </c>
      <c r="C745" s="32" t="s">
        <v>2</v>
      </c>
      <c r="D745" s="397"/>
      <c r="F745" s="1" t="s">
        <v>248</v>
      </c>
      <c r="G745" s="21">
        <v>17361</v>
      </c>
      <c r="H745" s="21">
        <v>22171</v>
      </c>
      <c r="I745" s="21">
        <v>34991</v>
      </c>
      <c r="J745" s="21">
        <v>36592</v>
      </c>
      <c r="K745" s="21">
        <v>34031</v>
      </c>
      <c r="L745" s="21">
        <v>32153</v>
      </c>
      <c r="M745" s="21">
        <v>89069</v>
      </c>
      <c r="N745" s="21">
        <v>80530</v>
      </c>
      <c r="O745" s="21">
        <v>62108</v>
      </c>
      <c r="P745" s="21">
        <v>76547</v>
      </c>
      <c r="Q745" s="21">
        <v>47409</v>
      </c>
      <c r="R745" s="23">
        <v>119</v>
      </c>
      <c r="S745" s="23">
        <v>524</v>
      </c>
      <c r="T745" s="23">
        <v>432</v>
      </c>
      <c r="U745" s="23">
        <v>269</v>
      </c>
      <c r="V745" s="23">
        <v>306</v>
      </c>
      <c r="W745" s="23">
        <v>397</v>
      </c>
      <c r="X745" s="23">
        <v>359</v>
      </c>
      <c r="Y745" s="23">
        <v>594</v>
      </c>
      <c r="Z745" s="23">
        <v>595</v>
      </c>
      <c r="AA745" s="23">
        <v>457</v>
      </c>
      <c r="AB745" s="23">
        <v>487</v>
      </c>
      <c r="AC745" s="25">
        <v>113</v>
      </c>
      <c r="AD745" s="25">
        <v>125</v>
      </c>
      <c r="AE745" s="25">
        <v>85</v>
      </c>
      <c r="AF745" s="25">
        <v>106</v>
      </c>
      <c r="AG745" s="25">
        <v>167</v>
      </c>
      <c r="AH745" s="25">
        <v>87</v>
      </c>
      <c r="AI745" s="25">
        <v>0</v>
      </c>
      <c r="AJ745" s="25">
        <v>0</v>
      </c>
      <c r="AK745" s="25">
        <v>0</v>
      </c>
      <c r="AL745" s="25">
        <v>0</v>
      </c>
      <c r="AM745" s="25">
        <v>0</v>
      </c>
    </row>
    <row r="746" spans="1:39" ht="15" customHeight="1">
      <c r="A746" s="32" t="str">
        <f t="shared" si="27"/>
        <v>Ausgrid--&gt; 11 kV &amp; &lt; = 22 kV  ; SWITCH</v>
      </c>
      <c r="B746" s="32" t="str">
        <f t="shared" si="28"/>
        <v>Ausgrid</v>
      </c>
      <c r="C746" s="32" t="s">
        <v>2</v>
      </c>
      <c r="D746" s="397"/>
      <c r="F746" s="1" t="s">
        <v>249</v>
      </c>
      <c r="G746" s="21">
        <v>0</v>
      </c>
      <c r="H746" s="21">
        <v>0</v>
      </c>
      <c r="I746" s="21">
        <v>0</v>
      </c>
      <c r="J746" s="21">
        <v>0</v>
      </c>
      <c r="K746" s="21">
        <v>0</v>
      </c>
      <c r="L746" s="21">
        <v>0</v>
      </c>
      <c r="M746" s="21">
        <v>0</v>
      </c>
      <c r="N746" s="21">
        <v>0</v>
      </c>
      <c r="O746" s="21">
        <v>0</v>
      </c>
      <c r="P746" s="21">
        <v>0</v>
      </c>
      <c r="Q746" s="21">
        <v>0</v>
      </c>
      <c r="R746" s="23">
        <v>0</v>
      </c>
      <c r="S746" s="23">
        <v>0</v>
      </c>
      <c r="T746" s="23">
        <v>0</v>
      </c>
      <c r="U746" s="23">
        <v>0</v>
      </c>
      <c r="V746" s="23">
        <v>0</v>
      </c>
      <c r="W746" s="23">
        <v>0</v>
      </c>
      <c r="X746" s="23">
        <v>0</v>
      </c>
      <c r="Y746" s="23">
        <v>0</v>
      </c>
      <c r="Z746" s="23">
        <v>0</v>
      </c>
      <c r="AA746" s="23">
        <v>0</v>
      </c>
      <c r="AB746" s="23">
        <v>0</v>
      </c>
      <c r="AC746" s="25">
        <v>0</v>
      </c>
      <c r="AD746" s="25">
        <v>1</v>
      </c>
      <c r="AE746" s="25">
        <v>0</v>
      </c>
      <c r="AF746" s="25">
        <v>0</v>
      </c>
      <c r="AG746" s="25">
        <v>0</v>
      </c>
      <c r="AH746" s="25">
        <v>0</v>
      </c>
      <c r="AI746" s="25">
        <v>0</v>
      </c>
      <c r="AJ746" s="25">
        <v>0</v>
      </c>
      <c r="AK746" s="25">
        <v>0</v>
      </c>
      <c r="AL746" s="25">
        <v>0</v>
      </c>
      <c r="AM746" s="25">
        <v>0</v>
      </c>
    </row>
    <row r="747" spans="1:39" ht="15" customHeight="1">
      <c r="A747" s="32" t="str">
        <f t="shared" si="27"/>
        <v>Ausgrid--&gt; 11 kV &amp; &lt; = 22 kV  ; CIRCUIT BREAKER</v>
      </c>
      <c r="B747" s="32" t="str">
        <f t="shared" si="28"/>
        <v>Ausgrid</v>
      </c>
      <c r="C747" s="32" t="s">
        <v>2</v>
      </c>
      <c r="D747" s="397"/>
      <c r="F747" s="1" t="s">
        <v>250</v>
      </c>
      <c r="G747" s="21">
        <v>0</v>
      </c>
      <c r="H747" s="21">
        <v>0</v>
      </c>
      <c r="I747" s="21">
        <v>0</v>
      </c>
      <c r="J747" s="21">
        <v>0</v>
      </c>
      <c r="K747" s="21">
        <v>0</v>
      </c>
      <c r="L747" s="21">
        <v>0</v>
      </c>
      <c r="M747" s="21">
        <v>0</v>
      </c>
      <c r="N747" s="21">
        <v>0</v>
      </c>
      <c r="O747" s="21">
        <v>0</v>
      </c>
      <c r="P747" s="21">
        <v>0</v>
      </c>
      <c r="Q747" s="21">
        <v>0</v>
      </c>
      <c r="R747" s="23">
        <v>0</v>
      </c>
      <c r="S747" s="23">
        <v>0</v>
      </c>
      <c r="T747" s="23">
        <v>0</v>
      </c>
      <c r="U747" s="23">
        <v>0</v>
      </c>
      <c r="V747" s="23">
        <v>0</v>
      </c>
      <c r="W747" s="23">
        <v>0</v>
      </c>
      <c r="X747" s="23">
        <v>0</v>
      </c>
      <c r="Y747" s="23">
        <v>0</v>
      </c>
      <c r="Z747" s="23">
        <v>0</v>
      </c>
      <c r="AA747" s="23">
        <v>0</v>
      </c>
      <c r="AB747" s="23">
        <v>0</v>
      </c>
      <c r="AC747" s="25">
        <v>0</v>
      </c>
      <c r="AD747" s="25">
        <v>0</v>
      </c>
      <c r="AE747" s="25">
        <v>0</v>
      </c>
      <c r="AF747" s="25">
        <v>0</v>
      </c>
      <c r="AG747" s="25">
        <v>0</v>
      </c>
      <c r="AH747" s="25">
        <v>0</v>
      </c>
      <c r="AI747" s="25">
        <v>0</v>
      </c>
      <c r="AJ747" s="25">
        <v>0</v>
      </c>
      <c r="AK747" s="25">
        <v>0</v>
      </c>
      <c r="AL747" s="25">
        <v>0</v>
      </c>
      <c r="AM747" s="25">
        <v>0</v>
      </c>
    </row>
    <row r="748" spans="1:39" ht="15" customHeight="1">
      <c r="A748" s="32" t="str">
        <f t="shared" si="27"/>
        <v>Ausgrid--&gt; 22 kV &amp; &lt; = 33 kV ; SWITCH</v>
      </c>
      <c r="B748" s="32" t="str">
        <f t="shared" si="28"/>
        <v>Ausgrid</v>
      </c>
      <c r="C748" s="32" t="s">
        <v>2</v>
      </c>
      <c r="D748" s="397"/>
      <c r="F748" s="1" t="s">
        <v>251</v>
      </c>
      <c r="G748" s="21">
        <v>1021</v>
      </c>
      <c r="H748" s="21">
        <v>2597</v>
      </c>
      <c r="I748" s="21">
        <v>2743</v>
      </c>
      <c r="J748" s="21">
        <v>984</v>
      </c>
      <c r="K748" s="21">
        <v>3157</v>
      </c>
      <c r="L748" s="21">
        <v>1599</v>
      </c>
      <c r="M748" s="21">
        <v>3203</v>
      </c>
      <c r="N748" s="21">
        <v>3845</v>
      </c>
      <c r="O748" s="21">
        <v>5508</v>
      </c>
      <c r="P748" s="21">
        <v>5001</v>
      </c>
      <c r="Q748" s="21">
        <v>5780</v>
      </c>
      <c r="R748" s="23">
        <v>11</v>
      </c>
      <c r="S748" s="23">
        <v>24</v>
      </c>
      <c r="T748" s="23">
        <v>157</v>
      </c>
      <c r="U748" s="23">
        <v>43</v>
      </c>
      <c r="V748" s="23">
        <v>37</v>
      </c>
      <c r="W748" s="23">
        <v>23</v>
      </c>
      <c r="X748" s="23">
        <v>25</v>
      </c>
      <c r="Y748" s="23">
        <v>29</v>
      </c>
      <c r="Z748" s="23">
        <v>42</v>
      </c>
      <c r="AA748" s="23">
        <v>36</v>
      </c>
      <c r="AB748" s="23">
        <v>40</v>
      </c>
      <c r="AC748" s="25">
        <v>3</v>
      </c>
      <c r="AD748" s="25">
        <v>4</v>
      </c>
      <c r="AE748" s="25">
        <v>9</v>
      </c>
      <c r="AF748" s="25">
        <v>3</v>
      </c>
      <c r="AG748" s="25">
        <v>10</v>
      </c>
      <c r="AH748" s="25">
        <v>4</v>
      </c>
      <c r="AI748" s="25">
        <v>0</v>
      </c>
      <c r="AJ748" s="25">
        <v>0</v>
      </c>
      <c r="AK748" s="25">
        <v>0</v>
      </c>
      <c r="AL748" s="25">
        <v>0</v>
      </c>
      <c r="AM748" s="25">
        <v>0</v>
      </c>
    </row>
    <row r="749" spans="1:39" ht="15" customHeight="1">
      <c r="A749" s="32" t="str">
        <f t="shared" si="27"/>
        <v>Ausgrid--&gt; 22 kV &amp; &lt; = 33 kV ; CIRCUIT BREAKER</v>
      </c>
      <c r="B749" s="32" t="str">
        <f t="shared" si="28"/>
        <v>Ausgrid</v>
      </c>
      <c r="C749" s="32" t="s">
        <v>2</v>
      </c>
      <c r="D749" s="397"/>
      <c r="F749" s="1" t="s">
        <v>252</v>
      </c>
      <c r="G749" s="21">
        <v>10834</v>
      </c>
      <c r="H749" s="21">
        <v>12583</v>
      </c>
      <c r="I749" s="21">
        <v>28347</v>
      </c>
      <c r="J749" s="21">
        <v>40296</v>
      </c>
      <c r="K749" s="21">
        <v>43591</v>
      </c>
      <c r="L749" s="21">
        <v>42998</v>
      </c>
      <c r="M749" s="21">
        <v>17171</v>
      </c>
      <c r="N749" s="21">
        <v>14508</v>
      </c>
      <c r="O749" s="21">
        <v>13490</v>
      </c>
      <c r="P749" s="21">
        <v>16119</v>
      </c>
      <c r="Q749" s="21">
        <v>8178</v>
      </c>
      <c r="R749" s="23">
        <v>25</v>
      </c>
      <c r="S749" s="23">
        <v>30</v>
      </c>
      <c r="T749" s="23">
        <v>53</v>
      </c>
      <c r="U749" s="23">
        <v>87</v>
      </c>
      <c r="V749" s="23">
        <v>91</v>
      </c>
      <c r="W749" s="23">
        <v>75</v>
      </c>
      <c r="X749" s="23">
        <v>67</v>
      </c>
      <c r="Y749" s="23">
        <v>58</v>
      </c>
      <c r="Z749" s="23">
        <v>121</v>
      </c>
      <c r="AA749" s="23">
        <v>41</v>
      </c>
      <c r="AB749" s="23">
        <v>50</v>
      </c>
      <c r="AC749" s="25">
        <v>24</v>
      </c>
      <c r="AD749" s="25">
        <v>34</v>
      </c>
      <c r="AE749" s="25">
        <v>38</v>
      </c>
      <c r="AF749" s="25">
        <v>33</v>
      </c>
      <c r="AG749" s="25">
        <v>35</v>
      </c>
      <c r="AH749" s="25">
        <v>25</v>
      </c>
      <c r="AI749" s="25">
        <v>0</v>
      </c>
      <c r="AJ749" s="25">
        <v>0</v>
      </c>
      <c r="AK749" s="25">
        <v>0</v>
      </c>
      <c r="AL749" s="25">
        <v>0</v>
      </c>
      <c r="AM749" s="25">
        <v>0</v>
      </c>
    </row>
    <row r="750" spans="1:39" ht="15" customHeight="1">
      <c r="A750" s="32" t="str">
        <f t="shared" si="27"/>
        <v>Ausgrid--&gt; 33 kV &amp; &lt; = 66 kV ; SWITCH</v>
      </c>
      <c r="B750" s="32" t="str">
        <f t="shared" si="28"/>
        <v>Ausgrid</v>
      </c>
      <c r="C750" s="32" t="s">
        <v>2</v>
      </c>
      <c r="D750" s="397"/>
      <c r="F750" s="1" t="s">
        <v>253</v>
      </c>
      <c r="G750" s="21">
        <v>0</v>
      </c>
      <c r="H750" s="21">
        <v>0</v>
      </c>
      <c r="I750" s="21">
        <v>0</v>
      </c>
      <c r="J750" s="21">
        <v>0</v>
      </c>
      <c r="K750" s="21">
        <v>0</v>
      </c>
      <c r="L750" s="21">
        <v>0</v>
      </c>
      <c r="M750" s="21">
        <v>0</v>
      </c>
      <c r="N750" s="21">
        <v>0</v>
      </c>
      <c r="O750" s="21">
        <v>0</v>
      </c>
      <c r="P750" s="21">
        <v>0</v>
      </c>
      <c r="Q750" s="21">
        <v>0</v>
      </c>
      <c r="R750" s="23">
        <v>0</v>
      </c>
      <c r="S750" s="23">
        <v>0</v>
      </c>
      <c r="T750" s="23">
        <v>0</v>
      </c>
      <c r="U750" s="23">
        <v>0</v>
      </c>
      <c r="V750" s="23">
        <v>0</v>
      </c>
      <c r="W750" s="23">
        <v>0</v>
      </c>
      <c r="X750" s="23">
        <v>0</v>
      </c>
      <c r="Y750" s="23">
        <v>0</v>
      </c>
      <c r="Z750" s="23">
        <v>0</v>
      </c>
      <c r="AA750" s="23">
        <v>0</v>
      </c>
      <c r="AB750" s="23">
        <v>0</v>
      </c>
      <c r="AC750" s="25">
        <v>2</v>
      </c>
      <c r="AD750" s="25">
        <v>1</v>
      </c>
      <c r="AE750" s="25">
        <v>1</v>
      </c>
      <c r="AF750" s="25">
        <v>1</v>
      </c>
      <c r="AG750" s="25">
        <v>3</v>
      </c>
      <c r="AH750" s="25">
        <v>2</v>
      </c>
      <c r="AI750" s="25">
        <v>0</v>
      </c>
      <c r="AJ750" s="25">
        <v>0</v>
      </c>
      <c r="AK750" s="25">
        <v>0</v>
      </c>
      <c r="AL750" s="25">
        <v>0</v>
      </c>
      <c r="AM750" s="25">
        <v>0</v>
      </c>
    </row>
    <row r="751" spans="1:39" ht="15" customHeight="1">
      <c r="A751" s="32" t="str">
        <f t="shared" si="27"/>
        <v>Ausgrid--&gt; 33 kV &amp; &lt; = 66 kV ; CIRCUIT BREAKER</v>
      </c>
      <c r="B751" s="32" t="str">
        <f t="shared" si="28"/>
        <v>Ausgrid</v>
      </c>
      <c r="C751" s="32" t="s">
        <v>2</v>
      </c>
      <c r="D751" s="397"/>
      <c r="F751" s="1" t="s">
        <v>254</v>
      </c>
      <c r="G751" s="21">
        <v>2616</v>
      </c>
      <c r="H751" s="21">
        <v>8025</v>
      </c>
      <c r="I751" s="21">
        <v>9199</v>
      </c>
      <c r="J751" s="21">
        <v>6345</v>
      </c>
      <c r="K751" s="21">
        <v>4937</v>
      </c>
      <c r="L751" s="21">
        <v>3749</v>
      </c>
      <c r="M751" s="21">
        <v>3778</v>
      </c>
      <c r="N751" s="21">
        <v>1746</v>
      </c>
      <c r="O751" s="21">
        <v>2239</v>
      </c>
      <c r="P751" s="21">
        <v>611</v>
      </c>
      <c r="Q751" s="21">
        <v>566</v>
      </c>
      <c r="R751" s="23">
        <v>4</v>
      </c>
      <c r="S751" s="23">
        <v>8</v>
      </c>
      <c r="T751" s="23">
        <v>8</v>
      </c>
      <c r="U751" s="23">
        <v>18</v>
      </c>
      <c r="V751" s="23">
        <v>12</v>
      </c>
      <c r="W751" s="23">
        <v>3</v>
      </c>
      <c r="X751" s="23">
        <v>23</v>
      </c>
      <c r="Y751" s="23">
        <v>2</v>
      </c>
      <c r="Z751" s="23">
        <v>11</v>
      </c>
      <c r="AA751" s="23">
        <v>2</v>
      </c>
      <c r="AB751" s="23">
        <v>2</v>
      </c>
      <c r="AC751" s="25">
        <v>6</v>
      </c>
      <c r="AD751" s="25">
        <v>4</v>
      </c>
      <c r="AE751" s="25">
        <v>6</v>
      </c>
      <c r="AF751" s="25">
        <v>3</v>
      </c>
      <c r="AG751" s="25">
        <v>0</v>
      </c>
      <c r="AH751" s="25">
        <v>1</v>
      </c>
      <c r="AI751" s="25">
        <v>0</v>
      </c>
      <c r="AJ751" s="25">
        <v>0</v>
      </c>
      <c r="AK751" s="25">
        <v>0</v>
      </c>
      <c r="AL751" s="25">
        <v>0</v>
      </c>
      <c r="AM751" s="25">
        <v>0</v>
      </c>
    </row>
    <row r="752" spans="1:39" ht="15" customHeight="1">
      <c r="A752" s="32" t="str">
        <f t="shared" si="27"/>
        <v>Ausgrid--&gt; 66 kV &amp; &lt; = 132 kV ; SWITCH</v>
      </c>
      <c r="B752" s="32" t="str">
        <f t="shared" si="28"/>
        <v>Ausgrid</v>
      </c>
      <c r="C752" s="32" t="s">
        <v>2</v>
      </c>
      <c r="D752" s="397"/>
      <c r="F752" s="1" t="s">
        <v>255</v>
      </c>
      <c r="G752" s="21">
        <v>6</v>
      </c>
      <c r="H752" s="21">
        <v>237</v>
      </c>
      <c r="I752" s="21">
        <v>5513</v>
      </c>
      <c r="J752" s="21">
        <v>11285</v>
      </c>
      <c r="K752" s="21">
        <v>7501</v>
      </c>
      <c r="L752" s="21">
        <v>1883</v>
      </c>
      <c r="M752" s="21">
        <v>7470</v>
      </c>
      <c r="N752" s="21">
        <v>5978</v>
      </c>
      <c r="O752" s="21">
        <v>6329</v>
      </c>
      <c r="P752" s="21">
        <v>5827</v>
      </c>
      <c r="Q752" s="21">
        <v>6421</v>
      </c>
      <c r="R752" s="23">
        <v>0</v>
      </c>
      <c r="S752" s="23">
        <v>0</v>
      </c>
      <c r="T752" s="23">
        <v>18</v>
      </c>
      <c r="U752" s="23">
        <v>43</v>
      </c>
      <c r="V752" s="23">
        <v>52</v>
      </c>
      <c r="W752" s="23">
        <v>17</v>
      </c>
      <c r="X752" s="23">
        <v>42</v>
      </c>
      <c r="Y752" s="23">
        <v>34</v>
      </c>
      <c r="Z752" s="23">
        <v>35</v>
      </c>
      <c r="AA752" s="23">
        <v>32</v>
      </c>
      <c r="AB752" s="23">
        <v>34</v>
      </c>
      <c r="AC752" s="25">
        <v>1</v>
      </c>
      <c r="AD752" s="25">
        <v>2</v>
      </c>
      <c r="AE752" s="25">
        <v>1</v>
      </c>
      <c r="AF752" s="25">
        <v>14</v>
      </c>
      <c r="AG752" s="25">
        <v>10</v>
      </c>
      <c r="AH752" s="25">
        <v>3</v>
      </c>
      <c r="AI752" s="25">
        <v>0</v>
      </c>
      <c r="AJ752" s="25">
        <v>0</v>
      </c>
      <c r="AK752" s="25">
        <v>0</v>
      </c>
      <c r="AL752" s="25">
        <v>0</v>
      </c>
      <c r="AM752" s="25">
        <v>0</v>
      </c>
    </row>
    <row r="753" spans="1:39" ht="15" customHeight="1">
      <c r="A753" s="32" t="str">
        <f t="shared" si="27"/>
        <v>Ausgrid--&gt; 66 kV &amp; &lt; = 132 kV  ; CIRCUIT BREAKER</v>
      </c>
      <c r="B753" s="32" t="str">
        <f t="shared" si="28"/>
        <v>Ausgrid</v>
      </c>
      <c r="C753" s="32" t="s">
        <v>2</v>
      </c>
      <c r="D753" s="397"/>
      <c r="F753" s="1" t="s">
        <v>256</v>
      </c>
      <c r="G753" s="21">
        <v>24775</v>
      </c>
      <c r="H753" s="21">
        <v>31503</v>
      </c>
      <c r="I753" s="21">
        <v>25312</v>
      </c>
      <c r="J753" s="21">
        <v>27823</v>
      </c>
      <c r="K753" s="21">
        <v>25486</v>
      </c>
      <c r="L753" s="21">
        <v>16598</v>
      </c>
      <c r="M753" s="21">
        <v>22783</v>
      </c>
      <c r="N753" s="21">
        <v>28316</v>
      </c>
      <c r="O753" s="21">
        <v>19335</v>
      </c>
      <c r="P753" s="21">
        <v>11810</v>
      </c>
      <c r="Q753" s="21">
        <v>7220</v>
      </c>
      <c r="R753" s="23">
        <v>12</v>
      </c>
      <c r="S753" s="23">
        <v>37</v>
      </c>
      <c r="T753" s="23">
        <v>35</v>
      </c>
      <c r="U753" s="23">
        <v>25</v>
      </c>
      <c r="V753" s="23">
        <v>17</v>
      </c>
      <c r="W753" s="23">
        <v>31</v>
      </c>
      <c r="X753" s="23">
        <v>38</v>
      </c>
      <c r="Y753" s="23">
        <v>31</v>
      </c>
      <c r="Z753" s="23">
        <v>41</v>
      </c>
      <c r="AA753" s="23">
        <v>17</v>
      </c>
      <c r="AB753" s="23">
        <v>9</v>
      </c>
      <c r="AC753" s="25">
        <v>11</v>
      </c>
      <c r="AD753" s="25">
        <v>23</v>
      </c>
      <c r="AE753" s="25">
        <v>24</v>
      </c>
      <c r="AF753" s="25">
        <v>14</v>
      </c>
      <c r="AG753" s="25">
        <v>24</v>
      </c>
      <c r="AH753" s="25">
        <v>16</v>
      </c>
      <c r="AI753" s="25">
        <v>0</v>
      </c>
      <c r="AJ753" s="25">
        <v>0</v>
      </c>
      <c r="AK753" s="25">
        <v>0</v>
      </c>
      <c r="AL753" s="25">
        <v>0</v>
      </c>
      <c r="AM753" s="25">
        <v>0</v>
      </c>
    </row>
    <row r="754" spans="1:39" ht="15" customHeight="1">
      <c r="A754" s="32" t="str">
        <f t="shared" si="27"/>
        <v>Ausgrid--&gt; 132 kV ; SWITCH</v>
      </c>
      <c r="B754" s="32" t="str">
        <f t="shared" si="28"/>
        <v>Ausgrid</v>
      </c>
      <c r="C754" s="32" t="s">
        <v>2</v>
      </c>
      <c r="D754" s="397"/>
      <c r="F754" s="1" t="s">
        <v>257</v>
      </c>
      <c r="G754" s="21">
        <v>0</v>
      </c>
      <c r="H754" s="21">
        <v>0</v>
      </c>
      <c r="I754" s="21">
        <v>0</v>
      </c>
      <c r="J754" s="21">
        <v>0</v>
      </c>
      <c r="K754" s="21">
        <v>0</v>
      </c>
      <c r="L754" s="21">
        <v>0</v>
      </c>
      <c r="M754" s="21">
        <v>0</v>
      </c>
      <c r="N754" s="21">
        <v>0</v>
      </c>
      <c r="O754" s="21">
        <v>0</v>
      </c>
      <c r="P754" s="21">
        <v>0</v>
      </c>
      <c r="Q754" s="21">
        <v>0</v>
      </c>
      <c r="R754" s="23">
        <v>0</v>
      </c>
      <c r="S754" s="23">
        <v>0</v>
      </c>
      <c r="T754" s="23">
        <v>0</v>
      </c>
      <c r="U754" s="23">
        <v>0</v>
      </c>
      <c r="V754" s="23">
        <v>0</v>
      </c>
      <c r="W754" s="23">
        <v>0</v>
      </c>
      <c r="X754" s="23">
        <v>0</v>
      </c>
      <c r="Y754" s="23">
        <v>0</v>
      </c>
      <c r="Z754" s="23">
        <v>0</v>
      </c>
      <c r="AA754" s="23">
        <v>0</v>
      </c>
      <c r="AB754" s="23">
        <v>0</v>
      </c>
      <c r="AC754" s="25">
        <v>0</v>
      </c>
      <c r="AD754" s="25">
        <v>0</v>
      </c>
      <c r="AE754" s="25">
        <v>0</v>
      </c>
      <c r="AF754" s="25">
        <v>0</v>
      </c>
      <c r="AG754" s="25">
        <v>0</v>
      </c>
      <c r="AH754" s="25">
        <v>0</v>
      </c>
      <c r="AI754" s="25">
        <v>0</v>
      </c>
      <c r="AJ754" s="25">
        <v>0</v>
      </c>
      <c r="AK754" s="25">
        <v>0</v>
      </c>
      <c r="AL754" s="25">
        <v>0</v>
      </c>
      <c r="AM754" s="25">
        <v>0</v>
      </c>
    </row>
    <row r="755" spans="1:39" ht="15" customHeight="1">
      <c r="A755" s="32" t="str">
        <f t="shared" si="27"/>
        <v>Ausgrid--&gt; 132 kV ; CIRCUIT BREAKER</v>
      </c>
      <c r="B755" s="32" t="str">
        <f t="shared" si="28"/>
        <v>Ausgrid</v>
      </c>
      <c r="C755" s="32" t="s">
        <v>2</v>
      </c>
      <c r="D755" s="397"/>
      <c r="F755" s="1" t="s">
        <v>258</v>
      </c>
      <c r="G755" s="21">
        <v>0</v>
      </c>
      <c r="H755" s="21">
        <v>0</v>
      </c>
      <c r="I755" s="21">
        <v>0</v>
      </c>
      <c r="J755" s="21">
        <v>0</v>
      </c>
      <c r="K755" s="21">
        <v>0</v>
      </c>
      <c r="L755" s="21">
        <v>0</v>
      </c>
      <c r="M755" s="21">
        <v>0</v>
      </c>
      <c r="N755" s="21">
        <v>0</v>
      </c>
      <c r="O755" s="21">
        <v>0</v>
      </c>
      <c r="P755" s="21">
        <v>0</v>
      </c>
      <c r="Q755" s="21">
        <v>0</v>
      </c>
      <c r="R755" s="23">
        <v>0</v>
      </c>
      <c r="S755" s="23">
        <v>0</v>
      </c>
      <c r="T755" s="23">
        <v>0</v>
      </c>
      <c r="U755" s="23">
        <v>0</v>
      </c>
      <c r="V755" s="23">
        <v>0</v>
      </c>
      <c r="W755" s="23">
        <v>0</v>
      </c>
      <c r="X755" s="23">
        <v>0</v>
      </c>
      <c r="Y755" s="23">
        <v>0</v>
      </c>
      <c r="Z755" s="23">
        <v>0</v>
      </c>
      <c r="AA755" s="23">
        <v>0</v>
      </c>
      <c r="AB755" s="23">
        <v>0</v>
      </c>
      <c r="AC755" s="25">
        <v>0</v>
      </c>
      <c r="AD755" s="25">
        <v>0</v>
      </c>
      <c r="AE755" s="25">
        <v>0</v>
      </c>
      <c r="AF755" s="25">
        <v>0</v>
      </c>
      <c r="AG755" s="25">
        <v>0</v>
      </c>
      <c r="AH755" s="25">
        <v>0</v>
      </c>
      <c r="AI755" s="25">
        <v>0</v>
      </c>
      <c r="AJ755" s="25">
        <v>0</v>
      </c>
      <c r="AK755" s="25">
        <v>0</v>
      </c>
      <c r="AL755" s="25">
        <v>0</v>
      </c>
      <c r="AM755" s="25">
        <v>0</v>
      </c>
    </row>
    <row r="756" spans="1:39" ht="15" customHeight="1">
      <c r="A756" s="32" t="str">
        <f t="shared" si="27"/>
        <v>Ausgrid--OTHER - PLEASE ADD A ROW IF NECESSARY AND NOMINATE THE CATEGORY</v>
      </c>
      <c r="B756" s="32" t="str">
        <f t="shared" si="28"/>
        <v>Ausgrid</v>
      </c>
      <c r="C756" s="32" t="s">
        <v>2</v>
      </c>
      <c r="D756" s="397"/>
      <c r="F756" s="1" t="s">
        <v>170</v>
      </c>
      <c r="G756" s="21"/>
      <c r="H756" s="21"/>
      <c r="I756" s="21"/>
      <c r="J756" s="21"/>
      <c r="K756" s="21"/>
      <c r="L756" s="21"/>
      <c r="M756" s="21"/>
      <c r="N756" s="21"/>
      <c r="O756" s="21"/>
      <c r="P756" s="21"/>
      <c r="Q756" s="21"/>
      <c r="R756" s="23"/>
      <c r="S756" s="23"/>
      <c r="T756" s="23"/>
      <c r="U756" s="23"/>
      <c r="V756" s="23"/>
      <c r="W756" s="23"/>
      <c r="X756" s="23"/>
      <c r="Y756" s="23"/>
      <c r="Z756" s="23"/>
      <c r="AA756" s="23"/>
      <c r="AB756" s="23"/>
      <c r="AC756" s="25"/>
      <c r="AD756" s="25"/>
      <c r="AE756" s="25"/>
      <c r="AF756" s="25"/>
      <c r="AG756" s="25"/>
      <c r="AH756" s="25"/>
      <c r="AI756" s="25"/>
      <c r="AJ756" s="25"/>
      <c r="AK756" s="25"/>
      <c r="AL756" s="25"/>
      <c r="AM756" s="25"/>
    </row>
    <row r="757" spans="1:39" ht="15" customHeight="1">
      <c r="A757" s="32" t="str">
        <f t="shared" si="27"/>
        <v>Ausgrid--&lt; 1 kV ; CIRCUIT BREAKER</v>
      </c>
      <c r="B757" s="32" t="str">
        <f t="shared" si="28"/>
        <v>Ausgrid</v>
      </c>
      <c r="C757" s="32" t="s">
        <v>2</v>
      </c>
      <c r="D757" s="397"/>
      <c r="F757" s="1" t="s">
        <v>670</v>
      </c>
      <c r="G757" s="21">
        <v>938</v>
      </c>
      <c r="H757" s="21">
        <v>1231</v>
      </c>
      <c r="I757" s="21">
        <v>3095</v>
      </c>
      <c r="J757" s="21">
        <v>3149</v>
      </c>
      <c r="K757" s="21">
        <v>2137</v>
      </c>
      <c r="L757" s="21">
        <v>669</v>
      </c>
      <c r="M757" s="21">
        <v>3888</v>
      </c>
      <c r="N757" s="21">
        <v>4705</v>
      </c>
      <c r="O757" s="21">
        <v>5170</v>
      </c>
      <c r="P757" s="21">
        <v>6362</v>
      </c>
      <c r="Q757" s="21">
        <v>5446</v>
      </c>
      <c r="R757" s="23">
        <v>1</v>
      </c>
      <c r="S757" s="23">
        <v>12</v>
      </c>
      <c r="T757" s="23">
        <v>20</v>
      </c>
      <c r="U757" s="23">
        <v>35</v>
      </c>
      <c r="V757" s="23">
        <v>16</v>
      </c>
      <c r="W757" s="23">
        <v>9</v>
      </c>
      <c r="X757" s="23">
        <v>17</v>
      </c>
      <c r="Y757" s="23">
        <v>23</v>
      </c>
      <c r="Z757" s="23">
        <v>26</v>
      </c>
      <c r="AA757" s="23">
        <v>35</v>
      </c>
      <c r="AB757" s="23">
        <v>38</v>
      </c>
      <c r="AC757" s="25">
        <v>21</v>
      </c>
      <c r="AD757" s="25">
        <v>42</v>
      </c>
      <c r="AE757" s="25">
        <v>19</v>
      </c>
      <c r="AF757" s="25">
        <v>14</v>
      </c>
      <c r="AG757" s="25">
        <v>26</v>
      </c>
      <c r="AH757" s="25">
        <v>15</v>
      </c>
      <c r="AI757" s="25">
        <v>0</v>
      </c>
      <c r="AJ757" s="25">
        <v>0</v>
      </c>
      <c r="AK757" s="25">
        <v>0</v>
      </c>
      <c r="AL757" s="25">
        <v>0</v>
      </c>
      <c r="AM757" s="25">
        <v>0</v>
      </c>
    </row>
    <row r="758" spans="1:39" ht="15" customHeight="1">
      <c r="A758" s="32" t="str">
        <f t="shared" si="27"/>
        <v>Ausgrid--&gt; 1 kV &amp; &lt; ≈ 11 kV ; CIRCUIT BREAKER</v>
      </c>
      <c r="B758" s="32" t="str">
        <f t="shared" si="28"/>
        <v>Ausgrid</v>
      </c>
      <c r="C758" s="32" t="s">
        <v>2</v>
      </c>
      <c r="D758" s="397"/>
      <c r="F758" s="1" t="s">
        <v>671</v>
      </c>
      <c r="G758" s="21">
        <v>16423</v>
      </c>
      <c r="H758" s="21">
        <v>20940</v>
      </c>
      <c r="I758" s="21">
        <v>31896</v>
      </c>
      <c r="J758" s="21">
        <v>33443</v>
      </c>
      <c r="K758" s="21">
        <v>31894</v>
      </c>
      <c r="L758" s="21">
        <v>31484</v>
      </c>
      <c r="M758" s="21">
        <v>85182</v>
      </c>
      <c r="N758" s="21">
        <v>75825</v>
      </c>
      <c r="O758" s="21">
        <v>56938</v>
      </c>
      <c r="P758" s="21">
        <v>70185</v>
      </c>
      <c r="Q758" s="21">
        <v>41963</v>
      </c>
      <c r="R758" s="23">
        <v>118</v>
      </c>
      <c r="S758" s="23">
        <v>512</v>
      </c>
      <c r="T758" s="23">
        <v>412</v>
      </c>
      <c r="U758" s="23">
        <v>234</v>
      </c>
      <c r="V758" s="23">
        <v>290</v>
      </c>
      <c r="W758" s="23">
        <v>388</v>
      </c>
      <c r="X758" s="23">
        <v>342</v>
      </c>
      <c r="Y758" s="23">
        <v>571</v>
      </c>
      <c r="Z758" s="23">
        <v>569</v>
      </c>
      <c r="AA758" s="23">
        <v>422</v>
      </c>
      <c r="AB758" s="23">
        <v>449</v>
      </c>
      <c r="AC758" s="25">
        <v>92</v>
      </c>
      <c r="AD758" s="25">
        <v>83</v>
      </c>
      <c r="AE758" s="25">
        <v>66</v>
      </c>
      <c r="AF758" s="25">
        <v>92</v>
      </c>
      <c r="AG758" s="25">
        <v>141</v>
      </c>
      <c r="AH758" s="25">
        <v>72</v>
      </c>
      <c r="AI758" s="25">
        <v>0</v>
      </c>
      <c r="AJ758" s="25">
        <v>0</v>
      </c>
      <c r="AK758" s="25">
        <v>0</v>
      </c>
      <c r="AL758" s="25">
        <v>0</v>
      </c>
      <c r="AM758" s="25">
        <v>0</v>
      </c>
    </row>
    <row r="759" spans="1:39" ht="15" customHeight="1">
      <c r="A759" s="32" t="str">
        <f t="shared" si="27"/>
        <v>Ausgrid--&gt; 11 kV &amp; &lt; ≈ 33 kV ; FUSE &amp; FUSE SWITCH (not including enclosed type)</v>
      </c>
      <c r="B759" s="32" t="str">
        <f t="shared" si="28"/>
        <v>Ausgrid</v>
      </c>
      <c r="C759" s="32" t="s">
        <v>2</v>
      </c>
      <c r="D759" s="397"/>
      <c r="F759" s="1" t="s">
        <v>672</v>
      </c>
      <c r="G759" s="21">
        <v>0</v>
      </c>
      <c r="H759" s="21">
        <v>0</v>
      </c>
      <c r="I759" s="21">
        <v>0</v>
      </c>
      <c r="J759" s="21">
        <v>0</v>
      </c>
      <c r="K759" s="21">
        <v>0</v>
      </c>
      <c r="L759" s="21">
        <v>0</v>
      </c>
      <c r="M759" s="21">
        <v>0</v>
      </c>
      <c r="N759" s="21">
        <v>0</v>
      </c>
      <c r="O759" s="21">
        <v>0</v>
      </c>
      <c r="P759" s="21">
        <v>0</v>
      </c>
      <c r="Q759" s="21">
        <v>0</v>
      </c>
      <c r="R759" s="23">
        <v>0</v>
      </c>
      <c r="S759" s="23">
        <v>0</v>
      </c>
      <c r="T759" s="23">
        <v>0</v>
      </c>
      <c r="U759" s="23">
        <v>0</v>
      </c>
      <c r="V759" s="23">
        <v>0</v>
      </c>
      <c r="W759" s="23">
        <v>0</v>
      </c>
      <c r="X759" s="23">
        <v>0</v>
      </c>
      <c r="Y759" s="23">
        <v>0</v>
      </c>
      <c r="Z759" s="23">
        <v>0</v>
      </c>
      <c r="AA759" s="23">
        <v>0</v>
      </c>
      <c r="AB759" s="23">
        <v>0</v>
      </c>
      <c r="AC759" s="25">
        <v>0</v>
      </c>
      <c r="AD759" s="25">
        <v>1</v>
      </c>
      <c r="AE759" s="25">
        <v>2</v>
      </c>
      <c r="AF759" s="25">
        <v>3</v>
      </c>
      <c r="AG759" s="25">
        <v>4</v>
      </c>
      <c r="AH759" s="25">
        <v>1</v>
      </c>
      <c r="AI759" s="25">
        <v>0</v>
      </c>
      <c r="AJ759" s="25">
        <v>0</v>
      </c>
      <c r="AK759" s="25">
        <v>0</v>
      </c>
      <c r="AL759" s="25">
        <v>0</v>
      </c>
      <c r="AM759" s="25">
        <v>0</v>
      </c>
    </row>
    <row r="760" spans="1:39" ht="45" customHeight="1">
      <c r="A760" s="32" t="str">
        <f t="shared" si="27"/>
        <v>Ausgrid-PUBLIC LIGHTING BY: 
ASSET TYPE ; LIGHTING OBLIGATION-LUMINAIRES ;  MAJOR ROAD</v>
      </c>
      <c r="B760" s="32" t="str">
        <f t="shared" si="28"/>
        <v>Ausgrid</v>
      </c>
      <c r="C760" s="32" t="s">
        <v>1135</v>
      </c>
      <c r="D760" s="397"/>
      <c r="E760" s="3" t="s">
        <v>547</v>
      </c>
      <c r="F760" s="1" t="s">
        <v>262</v>
      </c>
      <c r="G760" s="21">
        <v>5568</v>
      </c>
      <c r="H760" s="21">
        <v>6499</v>
      </c>
      <c r="I760" s="21">
        <v>5193</v>
      </c>
      <c r="J760" s="21">
        <v>4534</v>
      </c>
      <c r="K760" s="21">
        <v>3356</v>
      </c>
      <c r="L760" s="21">
        <v>3766</v>
      </c>
      <c r="M760" s="21">
        <v>9092</v>
      </c>
      <c r="N760" s="21">
        <v>9691</v>
      </c>
      <c r="O760" s="21">
        <v>1</v>
      </c>
      <c r="P760" s="21">
        <v>1</v>
      </c>
      <c r="Q760" s="21">
        <v>1</v>
      </c>
      <c r="R760" s="23">
        <v>5787</v>
      </c>
      <c r="S760" s="23">
        <v>3345</v>
      </c>
      <c r="T760" s="23">
        <v>3247</v>
      </c>
      <c r="U760" s="23">
        <v>2845</v>
      </c>
      <c r="V760" s="23">
        <v>2003</v>
      </c>
      <c r="W760" s="23">
        <v>5140</v>
      </c>
      <c r="X760" s="23">
        <v>12887</v>
      </c>
      <c r="Y760" s="23">
        <v>12887</v>
      </c>
      <c r="Z760" s="23">
        <v>640</v>
      </c>
      <c r="AA760" s="23">
        <v>640</v>
      </c>
      <c r="AB760" s="23">
        <v>640</v>
      </c>
      <c r="AC760" s="25">
        <v>0</v>
      </c>
      <c r="AD760" s="25">
        <v>0</v>
      </c>
      <c r="AE760" s="25">
        <v>0</v>
      </c>
      <c r="AF760" s="25">
        <v>0</v>
      </c>
      <c r="AG760" s="25">
        <v>0</v>
      </c>
      <c r="AH760" s="25">
        <v>0</v>
      </c>
      <c r="AI760" s="25">
        <v>0</v>
      </c>
      <c r="AJ760" s="25">
        <v>0</v>
      </c>
      <c r="AK760" s="25">
        <v>0</v>
      </c>
      <c r="AL760" s="25">
        <v>0</v>
      </c>
      <c r="AM760" s="25">
        <v>0</v>
      </c>
    </row>
    <row r="761" spans="1:39" ht="15" customHeight="1">
      <c r="A761" s="32" t="str">
        <f t="shared" si="27"/>
        <v>Ausgrid--LUMINAIRES ;  MINOR ROAD</v>
      </c>
      <c r="B761" s="32" t="str">
        <f t="shared" si="28"/>
        <v>Ausgrid</v>
      </c>
      <c r="C761" s="32" t="s">
        <v>1135</v>
      </c>
      <c r="D761" s="397"/>
      <c r="F761" s="1" t="s">
        <v>263</v>
      </c>
      <c r="G761" s="21">
        <v>4156</v>
      </c>
      <c r="H761" s="21">
        <v>6219</v>
      </c>
      <c r="I761" s="21">
        <v>6938</v>
      </c>
      <c r="J761" s="21">
        <v>7040</v>
      </c>
      <c r="K761" s="21">
        <v>6274</v>
      </c>
      <c r="L761" s="21">
        <v>6766</v>
      </c>
      <c r="M761" s="21">
        <v>3602</v>
      </c>
      <c r="N761" s="21">
        <v>7634</v>
      </c>
      <c r="O761" s="21">
        <v>7958</v>
      </c>
      <c r="P761" s="21">
        <v>2336</v>
      </c>
      <c r="Q761" s="21">
        <v>962</v>
      </c>
      <c r="R761" s="23">
        <v>7918</v>
      </c>
      <c r="S761" s="23">
        <v>5517</v>
      </c>
      <c r="T761" s="23">
        <v>7158</v>
      </c>
      <c r="U761" s="23">
        <v>7380</v>
      </c>
      <c r="V761" s="23">
        <v>6125</v>
      </c>
      <c r="W761" s="23">
        <v>14760</v>
      </c>
      <c r="X761" s="23">
        <v>8383</v>
      </c>
      <c r="Y761" s="23">
        <v>17288</v>
      </c>
      <c r="Z761" s="23">
        <v>16405</v>
      </c>
      <c r="AA761" s="23">
        <v>4795</v>
      </c>
      <c r="AB761" s="23">
        <v>2182</v>
      </c>
      <c r="AC761" s="25">
        <v>0</v>
      </c>
      <c r="AD761" s="25">
        <v>0</v>
      </c>
      <c r="AE761" s="25">
        <v>0</v>
      </c>
      <c r="AF761" s="25">
        <v>0</v>
      </c>
      <c r="AG761" s="25">
        <v>0</v>
      </c>
      <c r="AH761" s="25">
        <v>0</v>
      </c>
      <c r="AI761" s="25">
        <v>0</v>
      </c>
      <c r="AJ761" s="25">
        <v>0</v>
      </c>
      <c r="AK761" s="25">
        <v>0</v>
      </c>
      <c r="AL761" s="25">
        <v>0</v>
      </c>
      <c r="AM761" s="25">
        <v>0</v>
      </c>
    </row>
    <row r="762" spans="1:39" ht="15" customHeight="1">
      <c r="A762" s="32" t="str">
        <f t="shared" si="27"/>
        <v>Ausgrid--BRACKETS ; MAJOR ROAD</v>
      </c>
      <c r="B762" s="32" t="str">
        <f t="shared" si="28"/>
        <v>Ausgrid</v>
      </c>
      <c r="C762" s="32" t="s">
        <v>1134</v>
      </c>
      <c r="D762" s="397"/>
      <c r="F762" s="1" t="s">
        <v>264</v>
      </c>
      <c r="G762" s="21">
        <v>162</v>
      </c>
      <c r="H762" s="21">
        <v>181</v>
      </c>
      <c r="I762" s="21">
        <v>199</v>
      </c>
      <c r="J762" s="21">
        <v>68</v>
      </c>
      <c r="K762" s="21">
        <v>130</v>
      </c>
      <c r="L762" s="21">
        <v>139</v>
      </c>
      <c r="M762" s="21">
        <v>416</v>
      </c>
      <c r="N762" s="21">
        <v>426</v>
      </c>
      <c r="O762" s="21">
        <v>0</v>
      </c>
      <c r="P762" s="21">
        <v>0</v>
      </c>
      <c r="Q762" s="21">
        <v>0</v>
      </c>
      <c r="R762" s="23">
        <v>1483</v>
      </c>
      <c r="S762" s="23">
        <v>1344</v>
      </c>
      <c r="T762" s="23">
        <v>1063</v>
      </c>
      <c r="U762" s="23">
        <v>824</v>
      </c>
      <c r="V762" s="23">
        <v>555</v>
      </c>
      <c r="W762" s="23">
        <v>347</v>
      </c>
      <c r="X762" s="23">
        <v>1000</v>
      </c>
      <c r="Y762" s="23">
        <v>1000</v>
      </c>
      <c r="Z762" s="23">
        <v>1000</v>
      </c>
      <c r="AA762" s="23">
        <v>1000</v>
      </c>
      <c r="AB762" s="23">
        <v>1000</v>
      </c>
      <c r="AC762" s="25">
        <v>0</v>
      </c>
      <c r="AD762" s="25">
        <v>0</v>
      </c>
      <c r="AE762" s="25">
        <v>0</v>
      </c>
      <c r="AF762" s="25">
        <v>0</v>
      </c>
      <c r="AG762" s="25">
        <v>0</v>
      </c>
      <c r="AH762" s="25">
        <v>0</v>
      </c>
      <c r="AI762" s="25">
        <v>0</v>
      </c>
      <c r="AJ762" s="25">
        <v>0</v>
      </c>
      <c r="AK762" s="25">
        <v>0</v>
      </c>
      <c r="AL762" s="25">
        <v>0</v>
      </c>
      <c r="AM762" s="25">
        <v>0</v>
      </c>
    </row>
    <row r="763" spans="1:39" ht="15" customHeight="1">
      <c r="A763" s="32" t="str">
        <f t="shared" si="27"/>
        <v>Ausgrid--BRACKETS ; MINOR ROAD</v>
      </c>
      <c r="B763" s="32" t="str">
        <f t="shared" si="28"/>
        <v>Ausgrid</v>
      </c>
      <c r="C763" s="32" t="s">
        <v>1134</v>
      </c>
      <c r="D763" s="397"/>
      <c r="F763" s="1" t="s">
        <v>265</v>
      </c>
      <c r="G763" s="21">
        <v>768</v>
      </c>
      <c r="H763" s="21">
        <v>701</v>
      </c>
      <c r="I763" s="21">
        <v>528</v>
      </c>
      <c r="J763" s="21">
        <v>458</v>
      </c>
      <c r="K763" s="21">
        <v>386</v>
      </c>
      <c r="L763" s="21">
        <v>276</v>
      </c>
      <c r="M763" s="21">
        <v>283</v>
      </c>
      <c r="N763" s="21">
        <v>890</v>
      </c>
      <c r="O763" s="21">
        <v>912</v>
      </c>
      <c r="P763" s="21">
        <v>94</v>
      </c>
      <c r="Q763" s="21">
        <v>97</v>
      </c>
      <c r="R763" s="23">
        <v>8548</v>
      </c>
      <c r="S763" s="23">
        <v>6059</v>
      </c>
      <c r="T763" s="23">
        <v>5751</v>
      </c>
      <c r="U763" s="23">
        <v>5732</v>
      </c>
      <c r="V763" s="23">
        <v>4075</v>
      </c>
      <c r="W763" s="23">
        <v>2990</v>
      </c>
      <c r="X763" s="23">
        <v>4885</v>
      </c>
      <c r="Y763" s="23">
        <v>7616</v>
      </c>
      <c r="Z763" s="23">
        <v>7616</v>
      </c>
      <c r="AA763" s="23">
        <v>4250</v>
      </c>
      <c r="AB763" s="23">
        <v>4250</v>
      </c>
      <c r="AC763" s="25">
        <v>0</v>
      </c>
      <c r="AD763" s="25">
        <v>0</v>
      </c>
      <c r="AE763" s="25">
        <v>0</v>
      </c>
      <c r="AF763" s="25">
        <v>0</v>
      </c>
      <c r="AG763" s="25">
        <v>0</v>
      </c>
      <c r="AH763" s="25">
        <v>0</v>
      </c>
      <c r="AI763" s="25">
        <v>0</v>
      </c>
      <c r="AJ763" s="25">
        <v>0</v>
      </c>
      <c r="AK763" s="25">
        <v>0</v>
      </c>
      <c r="AL763" s="25">
        <v>0</v>
      </c>
      <c r="AM763" s="25">
        <v>0</v>
      </c>
    </row>
    <row r="764" spans="1:39" ht="15" customHeight="1">
      <c r="A764" s="32" t="str">
        <f t="shared" si="27"/>
        <v>Ausgrid--LAMPS ; MAJOR ROAD</v>
      </c>
      <c r="B764" s="32" t="str">
        <f t="shared" si="28"/>
        <v>Ausgrid</v>
      </c>
      <c r="C764" s="32" t="s">
        <v>1134</v>
      </c>
      <c r="D764" s="397"/>
      <c r="F764" s="1" t="s">
        <v>266</v>
      </c>
      <c r="G764" s="21">
        <v>4386</v>
      </c>
      <c r="H764" s="21">
        <v>4785</v>
      </c>
      <c r="I764" s="21">
        <v>5514</v>
      </c>
      <c r="J764" s="21">
        <v>5418</v>
      </c>
      <c r="K764" s="21">
        <v>5934</v>
      </c>
      <c r="L764" s="21">
        <v>6446</v>
      </c>
      <c r="M764" s="21">
        <v>5996</v>
      </c>
      <c r="N764" s="21">
        <v>5998</v>
      </c>
      <c r="O764" s="21">
        <v>5985</v>
      </c>
      <c r="P764" s="21">
        <v>5956</v>
      </c>
      <c r="Q764" s="21">
        <v>6100</v>
      </c>
      <c r="R764" s="23">
        <v>41997</v>
      </c>
      <c r="S764" s="23">
        <v>38499</v>
      </c>
      <c r="T764" s="23">
        <v>37939</v>
      </c>
      <c r="U764" s="23">
        <v>39474</v>
      </c>
      <c r="V764" s="23">
        <v>39753</v>
      </c>
      <c r="W764" s="23">
        <v>38052</v>
      </c>
      <c r="X764" s="23">
        <v>35000</v>
      </c>
      <c r="Y764" s="23">
        <v>33000</v>
      </c>
      <c r="Z764" s="23">
        <v>31000</v>
      </c>
      <c r="AA764" s="23">
        <v>29000</v>
      </c>
      <c r="AB764" s="23">
        <v>29000</v>
      </c>
      <c r="AC764" s="25">
        <v>0</v>
      </c>
      <c r="AD764" s="25">
        <v>0</v>
      </c>
      <c r="AE764" s="25">
        <v>0</v>
      </c>
      <c r="AF764" s="25">
        <v>0</v>
      </c>
      <c r="AG764" s="25">
        <v>0</v>
      </c>
      <c r="AH764" s="25">
        <v>0</v>
      </c>
      <c r="AI764" s="25">
        <v>0</v>
      </c>
      <c r="AJ764" s="25">
        <v>0</v>
      </c>
      <c r="AK764" s="25">
        <v>0</v>
      </c>
      <c r="AL764" s="25">
        <v>0</v>
      </c>
      <c r="AM764" s="25">
        <v>0</v>
      </c>
    </row>
    <row r="765" spans="1:39" ht="15" customHeight="1">
      <c r="A765" s="32" t="str">
        <f t="shared" si="27"/>
        <v>Ausgrid--LAMPS ; MINOR ROAD</v>
      </c>
      <c r="B765" s="32" t="str">
        <f t="shared" si="28"/>
        <v>Ausgrid</v>
      </c>
      <c r="C765" s="32" t="s">
        <v>1134</v>
      </c>
      <c r="D765" s="397"/>
      <c r="F765" s="1" t="s">
        <v>267</v>
      </c>
      <c r="G765" s="21">
        <v>9086</v>
      </c>
      <c r="H765" s="21">
        <v>10698</v>
      </c>
      <c r="I765" s="21">
        <v>12358</v>
      </c>
      <c r="J765" s="21">
        <v>11029</v>
      </c>
      <c r="K765" s="21">
        <v>13516</v>
      </c>
      <c r="L765" s="21">
        <v>14248</v>
      </c>
      <c r="M765" s="21">
        <v>13706</v>
      </c>
      <c r="N765" s="21">
        <v>14176</v>
      </c>
      <c r="O765" s="21">
        <v>14674</v>
      </c>
      <c r="P765" s="21">
        <v>15199</v>
      </c>
      <c r="Q765" s="21">
        <v>15564</v>
      </c>
      <c r="R765" s="23">
        <v>86998</v>
      </c>
      <c r="S765" s="23">
        <v>86083</v>
      </c>
      <c r="T765" s="23">
        <v>85035</v>
      </c>
      <c r="U765" s="23">
        <v>80359</v>
      </c>
      <c r="V765" s="23">
        <v>90552</v>
      </c>
      <c r="W765" s="23">
        <v>84103</v>
      </c>
      <c r="X765" s="23">
        <v>80000</v>
      </c>
      <c r="Y765" s="23">
        <v>78000</v>
      </c>
      <c r="Z765" s="23">
        <v>76000</v>
      </c>
      <c r="AA765" s="23">
        <v>74000</v>
      </c>
      <c r="AB765" s="23">
        <v>74000</v>
      </c>
      <c r="AC765" s="25">
        <v>0</v>
      </c>
      <c r="AD765" s="25">
        <v>0</v>
      </c>
      <c r="AE765" s="25">
        <v>0</v>
      </c>
      <c r="AF765" s="25">
        <v>0</v>
      </c>
      <c r="AG765" s="25">
        <v>0</v>
      </c>
      <c r="AH765" s="25">
        <v>0</v>
      </c>
      <c r="AI765" s="25">
        <v>0</v>
      </c>
      <c r="AJ765" s="25">
        <v>0</v>
      </c>
      <c r="AK765" s="25">
        <v>0</v>
      </c>
      <c r="AL765" s="25">
        <v>0</v>
      </c>
      <c r="AM765" s="25">
        <v>0</v>
      </c>
    </row>
    <row r="766" spans="1:39" ht="15" customHeight="1">
      <c r="A766" s="32" t="str">
        <f t="shared" si="27"/>
        <v>Ausgrid--POLES / COLUMNS ; MAJOR ROAD</v>
      </c>
      <c r="B766" s="32" t="str">
        <f t="shared" si="28"/>
        <v>Ausgrid</v>
      </c>
      <c r="C766" s="32" t="s">
        <v>1134</v>
      </c>
      <c r="D766" s="397"/>
      <c r="F766" s="1" t="s">
        <v>268</v>
      </c>
      <c r="G766" s="21">
        <v>566</v>
      </c>
      <c r="H766" s="21">
        <v>69</v>
      </c>
      <c r="I766" s="21">
        <v>49</v>
      </c>
      <c r="J766" s="21">
        <v>553</v>
      </c>
      <c r="K766" s="21">
        <v>2029</v>
      </c>
      <c r="L766" s="21">
        <v>1396</v>
      </c>
      <c r="M766" s="21">
        <v>1531</v>
      </c>
      <c r="N766" s="21">
        <v>1578</v>
      </c>
      <c r="O766" s="21">
        <v>1620</v>
      </c>
      <c r="P766" s="21">
        <v>1659</v>
      </c>
      <c r="Q766" s="21">
        <v>1698</v>
      </c>
      <c r="R766" s="23">
        <v>136</v>
      </c>
      <c r="S766" s="23">
        <v>232</v>
      </c>
      <c r="T766" s="23">
        <v>237</v>
      </c>
      <c r="U766" s="23">
        <v>379</v>
      </c>
      <c r="V766" s="23">
        <v>339</v>
      </c>
      <c r="W766" s="23">
        <v>228</v>
      </c>
      <c r="X766" s="23">
        <v>138</v>
      </c>
      <c r="Y766" s="23">
        <v>142</v>
      </c>
      <c r="Z766" s="23">
        <v>146</v>
      </c>
      <c r="AA766" s="23">
        <v>149</v>
      </c>
      <c r="AB766" s="23">
        <v>153</v>
      </c>
      <c r="AC766" s="25">
        <v>0</v>
      </c>
      <c r="AD766" s="25">
        <v>0</v>
      </c>
      <c r="AE766" s="25">
        <v>0</v>
      </c>
      <c r="AF766" s="25">
        <v>0</v>
      </c>
      <c r="AG766" s="25">
        <v>0</v>
      </c>
      <c r="AH766" s="25">
        <v>0</v>
      </c>
      <c r="AI766" s="25">
        <v>0</v>
      </c>
      <c r="AJ766" s="25">
        <v>0</v>
      </c>
      <c r="AK766" s="25">
        <v>0</v>
      </c>
      <c r="AL766" s="25">
        <v>0</v>
      </c>
      <c r="AM766" s="25">
        <v>0</v>
      </c>
    </row>
    <row r="767" spans="1:39" ht="15" customHeight="1">
      <c r="A767" s="32" t="str">
        <f t="shared" si="27"/>
        <v>Ausgrid--POLES / COLUMNS ; MINOR ROAD</v>
      </c>
      <c r="B767" s="32" t="str">
        <f t="shared" si="28"/>
        <v>Ausgrid</v>
      </c>
      <c r="C767" s="32" t="s">
        <v>1134</v>
      </c>
      <c r="D767" s="397"/>
      <c r="F767" s="1" t="s">
        <v>269</v>
      </c>
      <c r="G767" s="21">
        <v>1202</v>
      </c>
      <c r="H767" s="21">
        <v>148</v>
      </c>
      <c r="I767" s="21">
        <v>103</v>
      </c>
      <c r="J767" s="21">
        <v>1175</v>
      </c>
      <c r="K767" s="21">
        <v>4312</v>
      </c>
      <c r="L767" s="21">
        <v>2966</v>
      </c>
      <c r="M767" s="21">
        <v>3254</v>
      </c>
      <c r="N767" s="21">
        <v>3352</v>
      </c>
      <c r="O767" s="21">
        <v>3443</v>
      </c>
      <c r="P767" s="21">
        <v>3526</v>
      </c>
      <c r="Q767" s="21">
        <v>3609</v>
      </c>
      <c r="R767" s="23">
        <v>289</v>
      </c>
      <c r="S767" s="23">
        <v>493</v>
      </c>
      <c r="T767" s="23">
        <v>504</v>
      </c>
      <c r="U767" s="23">
        <v>804</v>
      </c>
      <c r="V767" s="23">
        <v>719</v>
      </c>
      <c r="W767" s="23">
        <v>485</v>
      </c>
      <c r="X767" s="23">
        <v>293</v>
      </c>
      <c r="Y767" s="23">
        <v>302</v>
      </c>
      <c r="Z767" s="23">
        <v>310</v>
      </c>
      <c r="AA767" s="23">
        <v>318</v>
      </c>
      <c r="AB767" s="23">
        <v>325</v>
      </c>
      <c r="AC767" s="25">
        <v>0</v>
      </c>
      <c r="AD767" s="25">
        <v>0</v>
      </c>
      <c r="AE767" s="25">
        <v>0</v>
      </c>
      <c r="AF767" s="25">
        <v>0</v>
      </c>
      <c r="AG767" s="25">
        <v>0</v>
      </c>
      <c r="AH767" s="25">
        <v>0</v>
      </c>
      <c r="AI767" s="25">
        <v>0</v>
      </c>
      <c r="AJ767" s="25">
        <v>0</v>
      </c>
      <c r="AK767" s="25">
        <v>0</v>
      </c>
      <c r="AL767" s="25">
        <v>0</v>
      </c>
      <c r="AM767" s="25">
        <v>0</v>
      </c>
    </row>
    <row r="768" spans="1:39" ht="15" customHeight="1">
      <c r="A768" s="32" t="str">
        <f t="shared" si="27"/>
        <v>Ausgrid--OTHER - PLEASE ADD A ROW IF NECESSARY AND NOMINATE THE CATEGORY</v>
      </c>
      <c r="B768" s="32" t="str">
        <f t="shared" si="28"/>
        <v>Ausgrid</v>
      </c>
      <c r="C768" s="32" t="s">
        <v>1134</v>
      </c>
      <c r="D768" s="397"/>
      <c r="F768" s="1" t="s">
        <v>170</v>
      </c>
      <c r="G768" s="21"/>
      <c r="H768" s="21"/>
      <c r="I768" s="21"/>
      <c r="J768" s="21"/>
      <c r="K768" s="21"/>
      <c r="L768" s="21"/>
      <c r="M768" s="21"/>
      <c r="N768" s="21"/>
      <c r="O768" s="21"/>
      <c r="P768" s="21"/>
      <c r="Q768" s="21"/>
      <c r="R768" s="23"/>
      <c r="S768" s="23"/>
      <c r="T768" s="23"/>
      <c r="U768" s="23"/>
      <c r="V768" s="23"/>
      <c r="W768" s="23"/>
      <c r="X768" s="23"/>
      <c r="Y768" s="23"/>
      <c r="Z768" s="23"/>
      <c r="AA768" s="23"/>
      <c r="AB768" s="23"/>
      <c r="AC768" s="25"/>
      <c r="AD768" s="25"/>
      <c r="AE768" s="25"/>
      <c r="AF768" s="25"/>
      <c r="AG768" s="25"/>
      <c r="AH768" s="25"/>
      <c r="AI768" s="25"/>
      <c r="AJ768" s="25"/>
      <c r="AK768" s="25"/>
      <c r="AL768" s="25"/>
      <c r="AM768" s="25"/>
    </row>
    <row r="769" spans="1:39" ht="45" customHeight="1">
      <c r="A769" s="32" t="str">
        <f t="shared" si="27"/>
        <v>Ausgrid-SCADA, NETWORK CONTROL AND PROTECTION SYSTEMS BY: 
FUNCTION-FIELD DEVICES</v>
      </c>
      <c r="B769" s="32" t="str">
        <f t="shared" si="28"/>
        <v>Ausgrid</v>
      </c>
      <c r="C769" s="32" t="s">
        <v>659</v>
      </c>
      <c r="D769" s="397"/>
      <c r="E769" s="3" t="s">
        <v>548</v>
      </c>
      <c r="F769" s="1" t="s">
        <v>272</v>
      </c>
      <c r="G769" s="21">
        <v>3329</v>
      </c>
      <c r="H769" s="21">
        <v>8759</v>
      </c>
      <c r="I769" s="21">
        <v>2478</v>
      </c>
      <c r="J769" s="21">
        <v>2676</v>
      </c>
      <c r="K769" s="21">
        <v>1546</v>
      </c>
      <c r="L769" s="21">
        <v>1367</v>
      </c>
      <c r="M769" s="21">
        <v>8126</v>
      </c>
      <c r="N769" s="21">
        <v>16425</v>
      </c>
      <c r="O769" s="21">
        <v>23519</v>
      </c>
      <c r="P769" s="21">
        <v>21804</v>
      </c>
      <c r="Q769" s="21">
        <v>25021</v>
      </c>
      <c r="R769" s="23">
        <v>3</v>
      </c>
      <c r="S769" s="23">
        <v>28</v>
      </c>
      <c r="T769" s="23">
        <v>18</v>
      </c>
      <c r="U769" s="23">
        <v>54</v>
      </c>
      <c r="V769" s="23">
        <v>47</v>
      </c>
      <c r="W769" s="23">
        <v>13</v>
      </c>
      <c r="X769" s="23">
        <v>164</v>
      </c>
      <c r="Y769" s="23">
        <v>316</v>
      </c>
      <c r="Z769" s="23">
        <v>372</v>
      </c>
      <c r="AA769" s="23">
        <v>258</v>
      </c>
      <c r="AB769" s="23">
        <v>289</v>
      </c>
      <c r="AC769" s="25">
        <v>134</v>
      </c>
      <c r="AD769" s="25">
        <v>323</v>
      </c>
      <c r="AE769" s="25">
        <v>401</v>
      </c>
      <c r="AF769" s="25">
        <v>554</v>
      </c>
      <c r="AG769" s="25">
        <v>652</v>
      </c>
      <c r="AH769" s="25">
        <v>0</v>
      </c>
      <c r="AI769" s="25">
        <v>0</v>
      </c>
      <c r="AJ769" s="25">
        <v>0</v>
      </c>
      <c r="AK769" s="25">
        <v>0</v>
      </c>
      <c r="AL769" s="25">
        <v>0</v>
      </c>
      <c r="AM769" s="25">
        <v>0</v>
      </c>
    </row>
    <row r="770" spans="1:39" ht="15" customHeight="1">
      <c r="A770" s="32" t="str">
        <f t="shared" si="27"/>
        <v>Ausgrid--LOCAL NETWORK WIRING ASSETS</v>
      </c>
      <c r="B770" s="32" t="str">
        <f t="shared" si="28"/>
        <v>Ausgrid</v>
      </c>
      <c r="C770" s="32" t="s">
        <v>659</v>
      </c>
      <c r="D770" s="397"/>
      <c r="F770" s="1" t="s">
        <v>273</v>
      </c>
      <c r="G770" s="21">
        <v>0</v>
      </c>
      <c r="H770" s="21">
        <v>0</v>
      </c>
      <c r="I770" s="21">
        <v>0</v>
      </c>
      <c r="J770" s="21">
        <v>0</v>
      </c>
      <c r="K770" s="21">
        <v>0</v>
      </c>
      <c r="L770" s="21">
        <v>0</v>
      </c>
      <c r="M770" s="21">
        <v>0</v>
      </c>
      <c r="N770" s="21">
        <v>0</v>
      </c>
      <c r="O770" s="21">
        <v>0</v>
      </c>
      <c r="P770" s="21">
        <v>0</v>
      </c>
      <c r="Q770" s="21">
        <v>0</v>
      </c>
      <c r="R770" s="23">
        <v>0</v>
      </c>
      <c r="S770" s="23">
        <v>0</v>
      </c>
      <c r="T770" s="23">
        <v>0</v>
      </c>
      <c r="U770" s="23">
        <v>0</v>
      </c>
      <c r="V770" s="23">
        <v>0</v>
      </c>
      <c r="W770" s="23">
        <v>0</v>
      </c>
      <c r="X770" s="23">
        <v>0</v>
      </c>
      <c r="Y770" s="23">
        <v>0</v>
      </c>
      <c r="Z770" s="23">
        <v>0</v>
      </c>
      <c r="AA770" s="23">
        <v>0</v>
      </c>
      <c r="AB770" s="23">
        <v>0</v>
      </c>
      <c r="AC770" s="25">
        <v>1</v>
      </c>
      <c r="AD770" s="25">
        <v>2</v>
      </c>
      <c r="AE770" s="25">
        <v>3</v>
      </c>
      <c r="AF770" s="25">
        <v>2</v>
      </c>
      <c r="AG770" s="25">
        <v>2</v>
      </c>
      <c r="AH770" s="25">
        <v>0</v>
      </c>
      <c r="AI770" s="25">
        <v>0</v>
      </c>
      <c r="AJ770" s="25">
        <v>0</v>
      </c>
      <c r="AK770" s="25">
        <v>0</v>
      </c>
      <c r="AL770" s="25">
        <v>0</v>
      </c>
      <c r="AM770" s="25">
        <v>0</v>
      </c>
    </row>
    <row r="771" spans="1:39" ht="15" customHeight="1">
      <c r="A771" s="32" t="str">
        <f t="shared" si="27"/>
        <v>Ausgrid--COMMUNICATIONS NETWORK ASSETS</v>
      </c>
      <c r="B771" s="32" t="str">
        <f t="shared" si="28"/>
        <v>Ausgrid</v>
      </c>
      <c r="C771" s="32" t="s">
        <v>659</v>
      </c>
      <c r="D771" s="397"/>
      <c r="F771" s="1" t="s">
        <v>274</v>
      </c>
      <c r="G771" s="21">
        <v>2310</v>
      </c>
      <c r="H771" s="21">
        <v>3693</v>
      </c>
      <c r="I771" s="21">
        <v>4316</v>
      </c>
      <c r="J771" s="21">
        <v>4417</v>
      </c>
      <c r="K771" s="21">
        <v>4280</v>
      </c>
      <c r="L771" s="21">
        <v>3861</v>
      </c>
      <c r="M771" s="21">
        <v>5362</v>
      </c>
      <c r="N771" s="21">
        <v>6132</v>
      </c>
      <c r="O771" s="21">
        <v>2087</v>
      </c>
      <c r="P771" s="21">
        <v>1507</v>
      </c>
      <c r="Q771" s="21">
        <v>1111</v>
      </c>
      <c r="R771" s="23">
        <v>0</v>
      </c>
      <c r="S771" s="23">
        <v>0</v>
      </c>
      <c r="T771" s="23">
        <v>0</v>
      </c>
      <c r="U771" s="23">
        <v>0</v>
      </c>
      <c r="V771" s="23">
        <v>0</v>
      </c>
      <c r="W771" s="23">
        <v>0</v>
      </c>
      <c r="X771" s="23">
        <v>0</v>
      </c>
      <c r="Y771" s="23">
        <v>0</v>
      </c>
      <c r="Z771" s="23">
        <v>0</v>
      </c>
      <c r="AA771" s="23">
        <v>0</v>
      </c>
      <c r="AB771" s="23">
        <v>0</v>
      </c>
      <c r="AC771" s="25">
        <v>14</v>
      </c>
      <c r="AD771" s="25">
        <v>6</v>
      </c>
      <c r="AE771" s="25">
        <v>8</v>
      </c>
      <c r="AF771" s="25">
        <v>7</v>
      </c>
      <c r="AG771" s="25">
        <v>2</v>
      </c>
      <c r="AH771" s="25">
        <v>3</v>
      </c>
      <c r="AI771" s="25">
        <v>0</v>
      </c>
      <c r="AJ771" s="25">
        <v>0</v>
      </c>
      <c r="AK771" s="25">
        <v>0</v>
      </c>
      <c r="AL771" s="25">
        <v>0</v>
      </c>
      <c r="AM771" s="25">
        <v>0</v>
      </c>
    </row>
    <row r="772" spans="1:39" ht="15" customHeight="1">
      <c r="A772" s="32" t="str">
        <f t="shared" si="27"/>
        <v>Ausgrid--MASTER STATION ASSETS</v>
      </c>
      <c r="B772" s="32" t="str">
        <f t="shared" si="28"/>
        <v>Ausgrid</v>
      </c>
      <c r="C772" s="32" t="s">
        <v>659</v>
      </c>
      <c r="D772" s="397"/>
      <c r="F772" s="1" t="s">
        <v>275</v>
      </c>
      <c r="G772" s="21">
        <v>1104</v>
      </c>
      <c r="H772" s="21">
        <v>1698</v>
      </c>
      <c r="I772" s="21">
        <v>1511</v>
      </c>
      <c r="J772" s="21">
        <v>1118</v>
      </c>
      <c r="K772" s="21">
        <v>852</v>
      </c>
      <c r="L772" s="21">
        <v>1056</v>
      </c>
      <c r="M772" s="21">
        <v>1477</v>
      </c>
      <c r="N772" s="21">
        <v>995</v>
      </c>
      <c r="O772" s="21">
        <v>337</v>
      </c>
      <c r="P772" s="21">
        <v>280</v>
      </c>
      <c r="Q772" s="21">
        <v>217</v>
      </c>
      <c r="R772" s="23">
        <v>0</v>
      </c>
      <c r="S772" s="23">
        <v>0</v>
      </c>
      <c r="T772" s="23">
        <v>0</v>
      </c>
      <c r="U772" s="23">
        <v>0</v>
      </c>
      <c r="V772" s="23">
        <v>0</v>
      </c>
      <c r="W772" s="23">
        <v>0</v>
      </c>
      <c r="X772" s="23">
        <v>0</v>
      </c>
      <c r="Y772" s="23">
        <v>0</v>
      </c>
      <c r="Z772" s="23">
        <v>0</v>
      </c>
      <c r="AA772" s="23">
        <v>0</v>
      </c>
      <c r="AB772" s="23">
        <v>0</v>
      </c>
      <c r="AC772" s="25">
        <v>0</v>
      </c>
      <c r="AD772" s="25">
        <v>0</v>
      </c>
      <c r="AE772" s="25">
        <v>0</v>
      </c>
      <c r="AF772" s="25">
        <v>0</v>
      </c>
      <c r="AG772" s="25">
        <v>0</v>
      </c>
      <c r="AH772" s="25">
        <v>0</v>
      </c>
      <c r="AI772" s="25">
        <v>0</v>
      </c>
      <c r="AJ772" s="25">
        <v>0</v>
      </c>
      <c r="AK772" s="25">
        <v>0</v>
      </c>
      <c r="AL772" s="25">
        <v>0</v>
      </c>
      <c r="AM772" s="25">
        <v>0</v>
      </c>
    </row>
    <row r="773" spans="1:39" ht="15" customHeight="1">
      <c r="A773" s="32" t="str">
        <f t="shared" si="27"/>
        <v>Ausgrid--OTHER - PLEASE ADD A ROW IF NECESSARY AND NOMINATE THE CATEGORY</v>
      </c>
      <c r="B773" s="32" t="str">
        <f t="shared" si="28"/>
        <v>Ausgrid</v>
      </c>
      <c r="C773" s="32" t="s">
        <v>659</v>
      </c>
      <c r="D773" s="397"/>
      <c r="F773" s="1" t="s">
        <v>170</v>
      </c>
      <c r="G773" s="21"/>
      <c r="H773" s="21"/>
      <c r="I773" s="21"/>
      <c r="J773" s="21"/>
      <c r="K773" s="21"/>
      <c r="L773" s="21"/>
      <c r="M773" s="21"/>
      <c r="N773" s="21"/>
      <c r="O773" s="21"/>
      <c r="P773" s="21"/>
      <c r="Q773" s="21"/>
      <c r="R773" s="23"/>
      <c r="S773" s="23"/>
      <c r="T773" s="23"/>
      <c r="U773" s="23"/>
      <c r="V773" s="23"/>
      <c r="W773" s="23"/>
      <c r="X773" s="23"/>
      <c r="Y773" s="23"/>
      <c r="Z773" s="23"/>
      <c r="AA773" s="23"/>
      <c r="AB773" s="23"/>
      <c r="AC773" s="25"/>
      <c r="AD773" s="25"/>
      <c r="AE773" s="25"/>
      <c r="AF773" s="25"/>
      <c r="AG773" s="25"/>
      <c r="AH773" s="25"/>
      <c r="AI773" s="25"/>
      <c r="AJ773" s="25"/>
      <c r="AK773" s="25"/>
      <c r="AL773" s="25"/>
      <c r="AM773" s="25"/>
    </row>
    <row r="774" spans="1:39" ht="15" customHeight="1">
      <c r="A774" s="32" t="str">
        <f t="shared" ref="A774:A796" si="29">B774&amp;"-"&amp;E774&amp;"-"&amp;F774</f>
        <v>Ausgrid--PILOT CABLES</v>
      </c>
      <c r="B774" s="32" t="str">
        <f t="shared" ref="B774:B796" si="30">IF(D774&gt;0,D774,B773)</f>
        <v>Ausgrid</v>
      </c>
      <c r="C774" s="32" t="s">
        <v>659</v>
      </c>
      <c r="D774" s="397"/>
      <c r="F774" s="1" t="s">
        <v>673</v>
      </c>
      <c r="G774" s="21">
        <v>0</v>
      </c>
      <c r="H774" s="21">
        <v>0</v>
      </c>
      <c r="I774" s="21">
        <v>0</v>
      </c>
      <c r="J774" s="21">
        <v>0</v>
      </c>
      <c r="K774" s="21">
        <v>0</v>
      </c>
      <c r="L774" s="21">
        <v>0</v>
      </c>
      <c r="M774" s="21">
        <v>0</v>
      </c>
      <c r="N774" s="21">
        <v>0</v>
      </c>
      <c r="O774" s="21">
        <v>0</v>
      </c>
      <c r="P774" s="21">
        <v>0</v>
      </c>
      <c r="Q774" s="21">
        <v>0</v>
      </c>
      <c r="R774" s="23">
        <v>0</v>
      </c>
      <c r="S774" s="23">
        <v>0</v>
      </c>
      <c r="T774" s="23">
        <v>0</v>
      </c>
      <c r="U774" s="23">
        <v>0</v>
      </c>
      <c r="V774" s="23">
        <v>0</v>
      </c>
      <c r="W774" s="23">
        <v>0</v>
      </c>
      <c r="X774" s="23">
        <v>0</v>
      </c>
      <c r="Y774" s="23">
        <v>0</v>
      </c>
      <c r="Z774" s="23">
        <v>0</v>
      </c>
      <c r="AA774" s="23">
        <v>0</v>
      </c>
      <c r="AB774" s="23">
        <v>0</v>
      </c>
      <c r="AC774" s="25">
        <v>14</v>
      </c>
      <c r="AD774" s="25">
        <v>6</v>
      </c>
      <c r="AE774" s="25">
        <v>7</v>
      </c>
      <c r="AF774" s="25">
        <v>5</v>
      </c>
      <c r="AG774" s="25">
        <v>2</v>
      </c>
      <c r="AH774" s="25">
        <v>3</v>
      </c>
      <c r="AI774" s="25">
        <v>0</v>
      </c>
      <c r="AJ774" s="25">
        <v>0</v>
      </c>
      <c r="AK774" s="25">
        <v>0</v>
      </c>
      <c r="AL774" s="25">
        <v>0</v>
      </c>
      <c r="AM774" s="25">
        <v>0</v>
      </c>
    </row>
    <row r="775" spans="1:39" ht="30" customHeight="1">
      <c r="A775" s="32" t="str">
        <f t="shared" si="29"/>
        <v>Ausgrid-OTHER BY: 
DNSP DEFINED-PLEASE ADD A ROW IF NECESSARY AND NOMINATE THE CATEGORY</v>
      </c>
      <c r="B775" s="32" t="str">
        <f t="shared" si="30"/>
        <v>Ausgrid</v>
      </c>
      <c r="C775" s="32" t="s">
        <v>720</v>
      </c>
      <c r="D775" s="397"/>
      <c r="E775" s="3" t="s">
        <v>567</v>
      </c>
      <c r="F775" s="1" t="s">
        <v>277</v>
      </c>
      <c r="G775" s="21"/>
      <c r="H775" s="21"/>
      <c r="I775" s="21"/>
      <c r="J775" s="21"/>
      <c r="K775" s="21"/>
      <c r="L775" s="21"/>
      <c r="M775" s="21"/>
      <c r="N775" s="21"/>
      <c r="O775" s="21"/>
      <c r="P775" s="21"/>
      <c r="Q775" s="21"/>
      <c r="R775" s="23"/>
      <c r="S775" s="23"/>
      <c r="T775" s="23"/>
      <c r="U775" s="23"/>
      <c r="V775" s="23"/>
      <c r="W775" s="23"/>
      <c r="X775" s="23"/>
      <c r="Y775" s="23"/>
      <c r="Z775" s="23"/>
      <c r="AA775" s="23"/>
      <c r="AB775" s="23"/>
      <c r="AC775" s="25"/>
      <c r="AD775" s="25"/>
      <c r="AE775" s="25"/>
      <c r="AF775" s="25"/>
      <c r="AG775" s="25"/>
      <c r="AH775" s="25"/>
      <c r="AI775" s="25"/>
      <c r="AJ775" s="25"/>
      <c r="AK775" s="25"/>
      <c r="AL775" s="25"/>
      <c r="AM775" s="25"/>
    </row>
    <row r="776" spans="1:39" ht="15" customHeight="1">
      <c r="A776" s="32" t="str">
        <f t="shared" si="29"/>
        <v>Ausgrid--DISTRIBUTION SUBSTATIONS - OTHER</v>
      </c>
      <c r="B776" s="32" t="str">
        <f t="shared" si="30"/>
        <v>Ausgrid</v>
      </c>
      <c r="C776" s="32" t="s">
        <v>720</v>
      </c>
      <c r="D776" s="397"/>
      <c r="F776" s="1" t="s">
        <v>674</v>
      </c>
      <c r="G776" s="21">
        <v>16306</v>
      </c>
      <c r="H776" s="21">
        <v>17950</v>
      </c>
      <c r="I776" s="21">
        <v>17761</v>
      </c>
      <c r="J776" s="21">
        <v>17772</v>
      </c>
      <c r="K776" s="21">
        <v>19960</v>
      </c>
      <c r="L776" s="21">
        <v>9031</v>
      </c>
      <c r="M776" s="21">
        <v>19900</v>
      </c>
      <c r="N776" s="21">
        <v>22923</v>
      </c>
      <c r="O776" s="21">
        <v>25300</v>
      </c>
      <c r="P776" s="21">
        <v>26589</v>
      </c>
      <c r="Q776" s="21">
        <v>26277</v>
      </c>
      <c r="R776" s="23">
        <v>127</v>
      </c>
      <c r="S776" s="23">
        <v>1471</v>
      </c>
      <c r="T776" s="23">
        <v>1337</v>
      </c>
      <c r="U776" s="23">
        <v>2026</v>
      </c>
      <c r="V776" s="23">
        <v>2360</v>
      </c>
      <c r="W776" s="23">
        <v>1568</v>
      </c>
      <c r="X776" s="23">
        <v>1918</v>
      </c>
      <c r="Y776" s="23">
        <v>2396</v>
      </c>
      <c r="Z776" s="23">
        <v>2268</v>
      </c>
      <c r="AA776" s="23">
        <v>2136</v>
      </c>
      <c r="AB776" s="23">
        <v>1861</v>
      </c>
      <c r="AC776" s="25">
        <v>154</v>
      </c>
      <c r="AD776" s="25">
        <v>86</v>
      </c>
      <c r="AE776" s="25">
        <v>79</v>
      </c>
      <c r="AF776" s="25">
        <v>110</v>
      </c>
      <c r="AG776" s="25">
        <v>125</v>
      </c>
      <c r="AH776" s="25">
        <v>0</v>
      </c>
      <c r="AI776" s="25">
        <v>0</v>
      </c>
      <c r="AJ776" s="25">
        <v>0</v>
      </c>
      <c r="AK776" s="25">
        <v>0</v>
      </c>
      <c r="AL776" s="25">
        <v>0</v>
      </c>
      <c r="AM776" s="25">
        <v>0</v>
      </c>
    </row>
    <row r="777" spans="1:39" ht="15" customHeight="1">
      <c r="A777" s="32" t="str">
        <f t="shared" si="29"/>
        <v>Ausgrid--DISTRIBUTION VOLTAGE REGULATION</v>
      </c>
      <c r="B777" s="32" t="str">
        <f t="shared" si="30"/>
        <v>Ausgrid</v>
      </c>
      <c r="C777" s="32" t="s">
        <v>720</v>
      </c>
      <c r="D777" s="397"/>
      <c r="F777" s="1" t="s">
        <v>675</v>
      </c>
      <c r="G777" s="21">
        <v>388</v>
      </c>
      <c r="H777" s="21">
        <v>262</v>
      </c>
      <c r="I777" s="21">
        <v>695</v>
      </c>
      <c r="J777" s="21">
        <v>1078</v>
      </c>
      <c r="K777" s="21">
        <v>2308</v>
      </c>
      <c r="L777" s="21">
        <v>1435</v>
      </c>
      <c r="M777" s="21">
        <v>1285</v>
      </c>
      <c r="N777" s="21">
        <v>331</v>
      </c>
      <c r="O777" s="21">
        <v>0</v>
      </c>
      <c r="P777" s="21">
        <v>0</v>
      </c>
      <c r="Q777" s="21">
        <v>0</v>
      </c>
      <c r="R777" s="23">
        <v>1</v>
      </c>
      <c r="S777" s="23">
        <v>2</v>
      </c>
      <c r="T777" s="23">
        <v>1</v>
      </c>
      <c r="U777" s="23">
        <v>3</v>
      </c>
      <c r="V777" s="23">
        <v>8</v>
      </c>
      <c r="W777" s="23">
        <v>5</v>
      </c>
      <c r="X777" s="23">
        <v>8</v>
      </c>
      <c r="Y777" s="23">
        <v>2</v>
      </c>
      <c r="Z777" s="23">
        <v>0</v>
      </c>
      <c r="AA777" s="23">
        <v>0</v>
      </c>
      <c r="AB777" s="23">
        <v>0</v>
      </c>
      <c r="AC777" s="25">
        <v>6</v>
      </c>
      <c r="AD777" s="25">
        <v>4</v>
      </c>
      <c r="AE777" s="25">
        <v>7</v>
      </c>
      <c r="AF777" s="25">
        <v>7</v>
      </c>
      <c r="AG777" s="25">
        <v>6</v>
      </c>
      <c r="AH777" s="25">
        <v>0</v>
      </c>
      <c r="AI777" s="25">
        <v>0</v>
      </c>
      <c r="AJ777" s="25">
        <v>0</v>
      </c>
      <c r="AK777" s="25">
        <v>0</v>
      </c>
      <c r="AL777" s="25">
        <v>0</v>
      </c>
      <c r="AM777" s="25">
        <v>0</v>
      </c>
    </row>
    <row r="778" spans="1:39" ht="15" customHeight="1">
      <c r="A778" s="32" t="str">
        <f t="shared" si="29"/>
        <v>Ausgrid--TOWERS - &gt; = 33 kV ; ANTI-CLIMB DEVICES</v>
      </c>
      <c r="B778" s="32" t="str">
        <f t="shared" si="30"/>
        <v>Ausgrid</v>
      </c>
      <c r="C778" s="32" t="s">
        <v>720</v>
      </c>
      <c r="D778" s="397"/>
      <c r="F778" s="1" t="s">
        <v>676</v>
      </c>
      <c r="G778" s="21">
        <v>15</v>
      </c>
      <c r="H778" s="21">
        <v>6</v>
      </c>
      <c r="I778" s="21">
        <v>451</v>
      </c>
      <c r="J778" s="21">
        <v>470</v>
      </c>
      <c r="K778" s="21">
        <v>27</v>
      </c>
      <c r="L778" s="21">
        <v>2503</v>
      </c>
      <c r="M778" s="21">
        <v>5027</v>
      </c>
      <c r="N778" s="21">
        <v>2027</v>
      </c>
      <c r="O778" s="21">
        <v>0</v>
      </c>
      <c r="P778" s="21">
        <v>0</v>
      </c>
      <c r="Q778" s="21">
        <v>0</v>
      </c>
      <c r="R778" s="23">
        <v>1</v>
      </c>
      <c r="S778" s="23">
        <v>2</v>
      </c>
      <c r="T778" s="23">
        <v>40</v>
      </c>
      <c r="U778" s="23">
        <v>32</v>
      </c>
      <c r="V778" s="23">
        <v>1</v>
      </c>
      <c r="W778" s="23">
        <v>1</v>
      </c>
      <c r="X778" s="23">
        <v>280</v>
      </c>
      <c r="Y778" s="23">
        <v>110</v>
      </c>
      <c r="Z778" s="23">
        <v>0</v>
      </c>
      <c r="AA778" s="23">
        <v>0</v>
      </c>
      <c r="AB778" s="23">
        <v>0</v>
      </c>
      <c r="AC778" s="25">
        <v>0</v>
      </c>
      <c r="AD778" s="25">
        <v>0</v>
      </c>
      <c r="AE778" s="25">
        <v>0</v>
      </c>
      <c r="AF778" s="25">
        <v>0</v>
      </c>
      <c r="AG778" s="25">
        <v>0</v>
      </c>
      <c r="AH778" s="25">
        <v>0</v>
      </c>
      <c r="AI778" s="25">
        <v>0</v>
      </c>
      <c r="AJ778" s="25">
        <v>0</v>
      </c>
      <c r="AK778" s="25">
        <v>0</v>
      </c>
      <c r="AL778" s="25">
        <v>0</v>
      </c>
      <c r="AM778" s="25">
        <v>0</v>
      </c>
    </row>
    <row r="779" spans="1:39" ht="15" customHeight="1">
      <c r="A779" s="32" t="str">
        <f t="shared" si="29"/>
        <v>Ausgrid--TOWERS - &gt; = 33 kV TOWER FOOTINGS</v>
      </c>
      <c r="B779" s="32" t="str">
        <f t="shared" si="30"/>
        <v>Ausgrid</v>
      </c>
      <c r="C779" s="32" t="s">
        <v>720</v>
      </c>
      <c r="D779" s="397"/>
      <c r="F779" s="1" t="s">
        <v>677</v>
      </c>
      <c r="G779" s="21">
        <v>0</v>
      </c>
      <c r="H779" s="21">
        <v>68</v>
      </c>
      <c r="I779" s="21">
        <v>810</v>
      </c>
      <c r="J779" s="21">
        <v>70</v>
      </c>
      <c r="K779" s="21">
        <v>141</v>
      </c>
      <c r="L779" s="21">
        <v>400</v>
      </c>
      <c r="M779" s="21">
        <v>560</v>
      </c>
      <c r="N779" s="21">
        <v>0</v>
      </c>
      <c r="O779" s="21">
        <v>0</v>
      </c>
      <c r="P779" s="21">
        <v>0</v>
      </c>
      <c r="Q779" s="21">
        <v>0</v>
      </c>
      <c r="R779" s="23">
        <v>0</v>
      </c>
      <c r="S779" s="23">
        <v>0</v>
      </c>
      <c r="T779" s="23">
        <v>1</v>
      </c>
      <c r="U779" s="23">
        <v>0</v>
      </c>
      <c r="V779" s="23">
        <v>0</v>
      </c>
      <c r="W779" s="23">
        <v>1</v>
      </c>
      <c r="X779" s="23">
        <v>9</v>
      </c>
      <c r="Y779" s="23">
        <v>0</v>
      </c>
      <c r="Z779" s="23">
        <v>0</v>
      </c>
      <c r="AA779" s="23">
        <v>0</v>
      </c>
      <c r="AB779" s="23">
        <v>0</v>
      </c>
      <c r="AC779" s="25">
        <v>0</v>
      </c>
      <c r="AD779" s="25">
        <v>0</v>
      </c>
      <c r="AE779" s="25">
        <v>0</v>
      </c>
      <c r="AF779" s="25">
        <v>0</v>
      </c>
      <c r="AG779" s="25">
        <v>0</v>
      </c>
      <c r="AH779" s="25">
        <v>0</v>
      </c>
      <c r="AI779" s="25">
        <v>0</v>
      </c>
      <c r="AJ779" s="25">
        <v>0</v>
      </c>
      <c r="AK779" s="25">
        <v>0</v>
      </c>
      <c r="AL779" s="25">
        <v>0</v>
      </c>
      <c r="AM779" s="25">
        <v>0</v>
      </c>
    </row>
    <row r="780" spans="1:39" ht="15" customHeight="1">
      <c r="A780" s="32" t="str">
        <f t="shared" si="29"/>
        <v>Ausgrid--TOWERS - &gt; = 33 kV TOWER REFURBISHMENT</v>
      </c>
      <c r="B780" s="32" t="str">
        <f t="shared" si="30"/>
        <v>Ausgrid</v>
      </c>
      <c r="C780" s="32" t="s">
        <v>720</v>
      </c>
      <c r="D780" s="397"/>
      <c r="F780" s="1" t="s">
        <v>678</v>
      </c>
      <c r="G780" s="21">
        <v>6912</v>
      </c>
      <c r="H780" s="21">
        <v>6317</v>
      </c>
      <c r="I780" s="21">
        <v>6786</v>
      </c>
      <c r="J780" s="21">
        <v>3561</v>
      </c>
      <c r="K780" s="21">
        <v>886</v>
      </c>
      <c r="L780" s="21">
        <v>2043</v>
      </c>
      <c r="M780" s="21">
        <v>4271</v>
      </c>
      <c r="N780" s="21">
        <v>5231</v>
      </c>
      <c r="O780" s="21">
        <v>5003</v>
      </c>
      <c r="P780" s="21">
        <v>4986</v>
      </c>
      <c r="Q780" s="21">
        <v>5193</v>
      </c>
      <c r="R780" s="23">
        <v>0</v>
      </c>
      <c r="S780" s="23">
        <v>4</v>
      </c>
      <c r="T780" s="23">
        <v>5</v>
      </c>
      <c r="U780" s="23">
        <v>1</v>
      </c>
      <c r="V780" s="23">
        <v>0</v>
      </c>
      <c r="W780" s="23">
        <v>0</v>
      </c>
      <c r="X780" s="23">
        <v>27</v>
      </c>
      <c r="Y780" s="23">
        <v>29</v>
      </c>
      <c r="Z780" s="23">
        <v>28</v>
      </c>
      <c r="AA780" s="23">
        <v>28</v>
      </c>
      <c r="AB780" s="23">
        <v>28</v>
      </c>
      <c r="AC780" s="25">
        <v>0</v>
      </c>
      <c r="AD780" s="25">
        <v>0</v>
      </c>
      <c r="AE780" s="25">
        <v>0</v>
      </c>
      <c r="AF780" s="25">
        <v>0</v>
      </c>
      <c r="AG780" s="25">
        <v>0</v>
      </c>
      <c r="AH780" s="25">
        <v>0</v>
      </c>
      <c r="AI780" s="25">
        <v>0</v>
      </c>
      <c r="AJ780" s="25">
        <v>0</v>
      </c>
      <c r="AK780" s="25">
        <v>0</v>
      </c>
      <c r="AL780" s="25">
        <v>0</v>
      </c>
      <c r="AM780" s="25">
        <v>0</v>
      </c>
    </row>
    <row r="781" spans="1:39" ht="15" customHeight="1">
      <c r="A781" s="32" t="str">
        <f t="shared" si="29"/>
        <v>Ausgrid--ZONE &amp; SUBTRANSMISION SUBSTATIONS - OTHER</v>
      </c>
      <c r="B781" s="32" t="str">
        <f t="shared" si="30"/>
        <v>Ausgrid</v>
      </c>
      <c r="C781" s="32" t="s">
        <v>720</v>
      </c>
      <c r="D781" s="397"/>
      <c r="F781" s="1" t="s">
        <v>679</v>
      </c>
      <c r="G781" s="21">
        <v>19989</v>
      </c>
      <c r="H781" s="21">
        <v>22637</v>
      </c>
      <c r="I781" s="21">
        <v>23001</v>
      </c>
      <c r="J781" s="21">
        <v>26752</v>
      </c>
      <c r="K781" s="21">
        <v>27007</v>
      </c>
      <c r="L781" s="21">
        <v>13680</v>
      </c>
      <c r="M781" s="21">
        <v>39685</v>
      </c>
      <c r="N781" s="21">
        <v>37253</v>
      </c>
      <c r="O781" s="21">
        <v>45489</v>
      </c>
      <c r="P781" s="21">
        <v>47353</v>
      </c>
      <c r="Q781" s="21">
        <v>44724</v>
      </c>
      <c r="R781" s="23">
        <v>213</v>
      </c>
      <c r="S781" s="23">
        <v>227</v>
      </c>
      <c r="T781" s="23">
        <v>276</v>
      </c>
      <c r="U781" s="23">
        <v>580</v>
      </c>
      <c r="V781" s="23">
        <v>294</v>
      </c>
      <c r="W781" s="23">
        <v>281</v>
      </c>
      <c r="X781" s="23">
        <v>456</v>
      </c>
      <c r="Y781" s="23">
        <v>432</v>
      </c>
      <c r="Z781" s="23">
        <v>442</v>
      </c>
      <c r="AA781" s="23">
        <v>450</v>
      </c>
      <c r="AB781" s="23">
        <v>455</v>
      </c>
      <c r="AC781" s="25">
        <v>91</v>
      </c>
      <c r="AD781" s="25">
        <v>234</v>
      </c>
      <c r="AE781" s="25">
        <v>286</v>
      </c>
      <c r="AF781" s="25">
        <v>321</v>
      </c>
      <c r="AG781" s="25">
        <v>268</v>
      </c>
      <c r="AH781" s="25">
        <v>0</v>
      </c>
      <c r="AI781" s="25">
        <v>0</v>
      </c>
      <c r="AJ781" s="25">
        <v>0</v>
      </c>
      <c r="AK781" s="25">
        <v>0</v>
      </c>
      <c r="AL781" s="25">
        <v>0</v>
      </c>
      <c r="AM781" s="25">
        <v>0</v>
      </c>
    </row>
    <row r="782" spans="1:39" ht="15" customHeight="1">
      <c r="A782" s="32" t="str">
        <f t="shared" si="29"/>
        <v>Ausgrid--BUILDINGS</v>
      </c>
      <c r="B782" s="32" t="str">
        <f t="shared" si="30"/>
        <v>Ausgrid</v>
      </c>
      <c r="C782" s="32" t="s">
        <v>720</v>
      </c>
      <c r="D782" s="397"/>
      <c r="F782" s="1" t="s">
        <v>680</v>
      </c>
      <c r="G782" s="21">
        <v>19045</v>
      </c>
      <c r="H782" s="21">
        <v>30443</v>
      </c>
      <c r="I782" s="21">
        <v>35539</v>
      </c>
      <c r="J782" s="21">
        <v>31234</v>
      </c>
      <c r="K782" s="21">
        <v>28959</v>
      </c>
      <c r="L782" s="21">
        <v>27015</v>
      </c>
      <c r="M782" s="21">
        <v>36148</v>
      </c>
      <c r="N782" s="21">
        <v>38112</v>
      </c>
      <c r="O782" s="21">
        <v>17610</v>
      </c>
      <c r="P782" s="21">
        <v>10695</v>
      </c>
      <c r="Q782" s="21">
        <v>8565</v>
      </c>
      <c r="R782" s="23">
        <v>0</v>
      </c>
      <c r="S782" s="23">
        <v>3</v>
      </c>
      <c r="T782" s="23">
        <v>5</v>
      </c>
      <c r="U782" s="23">
        <v>2</v>
      </c>
      <c r="V782" s="23">
        <v>1</v>
      </c>
      <c r="W782" s="23">
        <v>4</v>
      </c>
      <c r="X782" s="23">
        <v>4</v>
      </c>
      <c r="Y782" s="23">
        <v>5</v>
      </c>
      <c r="Z782" s="23">
        <v>6</v>
      </c>
      <c r="AA782" s="23">
        <v>1</v>
      </c>
      <c r="AB782" s="23">
        <v>2</v>
      </c>
      <c r="AC782" s="25">
        <v>0</v>
      </c>
      <c r="AD782" s="25">
        <v>0</v>
      </c>
      <c r="AE782" s="25">
        <v>0</v>
      </c>
      <c r="AF782" s="25">
        <v>0</v>
      </c>
      <c r="AG782" s="25">
        <v>0</v>
      </c>
      <c r="AH782" s="25">
        <v>0</v>
      </c>
      <c r="AI782" s="25">
        <v>0</v>
      </c>
      <c r="AJ782" s="25">
        <v>0</v>
      </c>
      <c r="AK782" s="25">
        <v>0</v>
      </c>
      <c r="AL782" s="25">
        <v>0</v>
      </c>
      <c r="AM782" s="25">
        <v>0</v>
      </c>
    </row>
    <row r="783" spans="1:39" ht="15" customHeight="1">
      <c r="A783" s="32" t="str">
        <f t="shared" si="29"/>
        <v>Ausgrid--Zone DC Systems</v>
      </c>
      <c r="B783" s="32" t="str">
        <f t="shared" si="30"/>
        <v>Ausgrid</v>
      </c>
      <c r="C783" s="32" t="s">
        <v>720</v>
      </c>
      <c r="D783" s="397"/>
      <c r="F783" s="1" t="s">
        <v>681</v>
      </c>
      <c r="G783" s="21">
        <v>0</v>
      </c>
      <c r="H783" s="21">
        <v>0</v>
      </c>
      <c r="I783" s="21">
        <v>0</v>
      </c>
      <c r="J783" s="21">
        <v>0</v>
      </c>
      <c r="K783" s="21">
        <v>0</v>
      </c>
      <c r="L783" s="21">
        <v>0</v>
      </c>
      <c r="M783" s="21">
        <v>0</v>
      </c>
      <c r="N783" s="21">
        <v>0</v>
      </c>
      <c r="O783" s="21">
        <v>0</v>
      </c>
      <c r="P783" s="21">
        <v>0</v>
      </c>
      <c r="Q783" s="21">
        <v>0</v>
      </c>
      <c r="R783" s="23">
        <v>0</v>
      </c>
      <c r="S783" s="23">
        <v>0</v>
      </c>
      <c r="T783" s="23">
        <v>0</v>
      </c>
      <c r="U783" s="23">
        <v>0</v>
      </c>
      <c r="V783" s="23">
        <v>0</v>
      </c>
      <c r="W783" s="23">
        <v>0</v>
      </c>
      <c r="X783" s="23">
        <v>0</v>
      </c>
      <c r="Y783" s="23">
        <v>0</v>
      </c>
      <c r="Z783" s="23">
        <v>0</v>
      </c>
      <c r="AA783" s="23">
        <v>0</v>
      </c>
      <c r="AB783" s="23">
        <v>0</v>
      </c>
      <c r="AC783" s="25">
        <v>0</v>
      </c>
      <c r="AD783" s="25">
        <v>0</v>
      </c>
      <c r="AE783" s="25">
        <v>0</v>
      </c>
      <c r="AF783" s="25">
        <v>0</v>
      </c>
      <c r="AG783" s="25">
        <v>0</v>
      </c>
      <c r="AH783" s="25">
        <v>0</v>
      </c>
      <c r="AI783" s="25">
        <v>0</v>
      </c>
      <c r="AJ783" s="25">
        <v>0</v>
      </c>
      <c r="AK783" s="25">
        <v>0</v>
      </c>
      <c r="AL783" s="25">
        <v>0</v>
      </c>
      <c r="AM783" s="25">
        <v>0</v>
      </c>
    </row>
    <row r="784" spans="1:39" ht="15" customHeight="1">
      <c r="A784" s="32" t="str">
        <f t="shared" si="29"/>
        <v>Ausgrid--Zone CLC equipment (Electronic)</v>
      </c>
      <c r="B784" s="32" t="str">
        <f t="shared" si="30"/>
        <v>Ausgrid</v>
      </c>
      <c r="C784" s="32" t="s">
        <v>720</v>
      </c>
      <c r="D784" s="397"/>
      <c r="F784" s="1" t="s">
        <v>682</v>
      </c>
      <c r="G784" s="21">
        <v>1994</v>
      </c>
      <c r="H784" s="21">
        <v>2882</v>
      </c>
      <c r="I784" s="21">
        <v>3980</v>
      </c>
      <c r="J784" s="21">
        <v>4107</v>
      </c>
      <c r="K784" s="21">
        <v>3731</v>
      </c>
      <c r="L784" s="21">
        <v>3514</v>
      </c>
      <c r="M784" s="21">
        <v>4985</v>
      </c>
      <c r="N784" s="21">
        <v>4794</v>
      </c>
      <c r="O784" s="21">
        <v>3171</v>
      </c>
      <c r="P784" s="21">
        <v>2193</v>
      </c>
      <c r="Q784" s="21">
        <v>1429</v>
      </c>
      <c r="R784" s="23">
        <v>0</v>
      </c>
      <c r="S784" s="23">
        <v>7</v>
      </c>
      <c r="T784" s="23">
        <v>6</v>
      </c>
      <c r="U784" s="23">
        <v>3</v>
      </c>
      <c r="V784" s="23">
        <v>2</v>
      </c>
      <c r="W784" s="23">
        <v>11</v>
      </c>
      <c r="X784" s="23">
        <v>7</v>
      </c>
      <c r="Y784" s="23">
        <v>13</v>
      </c>
      <c r="Z784" s="23">
        <v>20</v>
      </c>
      <c r="AA784" s="23">
        <v>0</v>
      </c>
      <c r="AB784" s="23">
        <v>5</v>
      </c>
      <c r="AC784" s="25">
        <v>0</v>
      </c>
      <c r="AD784" s="25">
        <v>0</v>
      </c>
      <c r="AE784" s="25">
        <v>0</v>
      </c>
      <c r="AF784" s="25">
        <v>0</v>
      </c>
      <c r="AG784" s="25">
        <v>0</v>
      </c>
      <c r="AH784" s="25">
        <v>0</v>
      </c>
      <c r="AI784" s="25">
        <v>0</v>
      </c>
      <c r="AJ784" s="25">
        <v>0</v>
      </c>
      <c r="AK784" s="25">
        <v>0</v>
      </c>
      <c r="AL784" s="25">
        <v>0</v>
      </c>
      <c r="AM784" s="25">
        <v>0</v>
      </c>
    </row>
    <row r="785" spans="1:39" ht="15" customHeight="1">
      <c r="A785" s="32" t="str">
        <f t="shared" si="29"/>
        <v>Ausgrid--Zone General (including spares)</v>
      </c>
      <c r="B785" s="32" t="str">
        <f t="shared" si="30"/>
        <v>Ausgrid</v>
      </c>
      <c r="C785" s="32" t="s">
        <v>720</v>
      </c>
      <c r="D785" s="397"/>
      <c r="F785" s="1" t="s">
        <v>683</v>
      </c>
      <c r="G785" s="21">
        <v>5932</v>
      </c>
      <c r="H785" s="21">
        <v>8613</v>
      </c>
      <c r="I785" s="21">
        <v>8598</v>
      </c>
      <c r="J785" s="21">
        <v>6641</v>
      </c>
      <c r="K785" s="21">
        <v>4757</v>
      </c>
      <c r="L785" s="21">
        <v>4417</v>
      </c>
      <c r="M785" s="21">
        <v>5446</v>
      </c>
      <c r="N785" s="21">
        <v>4893</v>
      </c>
      <c r="O785" s="21">
        <v>2111</v>
      </c>
      <c r="P785" s="21">
        <v>6783</v>
      </c>
      <c r="Q785" s="21">
        <v>1025</v>
      </c>
      <c r="R785" s="23">
        <v>0</v>
      </c>
      <c r="S785" s="23">
        <v>3</v>
      </c>
      <c r="T785" s="23">
        <v>4</v>
      </c>
      <c r="U785" s="23">
        <v>2</v>
      </c>
      <c r="V785" s="23">
        <v>1</v>
      </c>
      <c r="W785" s="23">
        <v>3</v>
      </c>
      <c r="X785" s="23">
        <v>3</v>
      </c>
      <c r="Y785" s="23">
        <v>5</v>
      </c>
      <c r="Z785" s="23">
        <v>5</v>
      </c>
      <c r="AA785" s="23">
        <v>0</v>
      </c>
      <c r="AB785" s="23">
        <v>1</v>
      </c>
      <c r="AC785" s="25">
        <v>0</v>
      </c>
      <c r="AD785" s="25">
        <v>0</v>
      </c>
      <c r="AE785" s="25">
        <v>0</v>
      </c>
      <c r="AF785" s="25">
        <v>0</v>
      </c>
      <c r="AG785" s="25">
        <v>0</v>
      </c>
      <c r="AH785" s="25">
        <v>0</v>
      </c>
      <c r="AI785" s="25">
        <v>0</v>
      </c>
      <c r="AJ785" s="25">
        <v>0</v>
      </c>
      <c r="AK785" s="25">
        <v>0</v>
      </c>
      <c r="AL785" s="25">
        <v>0</v>
      </c>
      <c r="AM785" s="25">
        <v>0</v>
      </c>
    </row>
    <row r="786" spans="1:39" ht="15" customHeight="1">
      <c r="A786" s="32" t="str">
        <f t="shared" si="29"/>
        <v>Ausgrid--Zone prot. &amp; control equipment (Electronic)</v>
      </c>
      <c r="B786" s="32" t="str">
        <f t="shared" si="30"/>
        <v>Ausgrid</v>
      </c>
      <c r="C786" s="32" t="s">
        <v>720</v>
      </c>
      <c r="D786" s="397"/>
      <c r="F786" s="1" t="s">
        <v>684</v>
      </c>
      <c r="G786" s="21">
        <v>8854</v>
      </c>
      <c r="H786" s="21">
        <v>12557</v>
      </c>
      <c r="I786" s="21">
        <v>16702</v>
      </c>
      <c r="J786" s="21">
        <v>15429</v>
      </c>
      <c r="K786" s="21">
        <v>12783</v>
      </c>
      <c r="L786" s="21">
        <v>14640</v>
      </c>
      <c r="M786" s="21">
        <v>30016</v>
      </c>
      <c r="N786" s="21">
        <v>26184</v>
      </c>
      <c r="O786" s="21">
        <v>13688</v>
      </c>
      <c r="P786" s="21">
        <v>13374</v>
      </c>
      <c r="Q786" s="21">
        <v>5231</v>
      </c>
      <c r="R786" s="23">
        <v>0</v>
      </c>
      <c r="S786" s="23">
        <v>0</v>
      </c>
      <c r="T786" s="23">
        <v>0</v>
      </c>
      <c r="U786" s="23">
        <v>0</v>
      </c>
      <c r="V786" s="23">
        <v>0</v>
      </c>
      <c r="W786" s="23">
        <v>0</v>
      </c>
      <c r="X786" s="23">
        <v>0</v>
      </c>
      <c r="Y786" s="23">
        <v>0</v>
      </c>
      <c r="Z786" s="23">
        <v>0</v>
      </c>
      <c r="AA786" s="23">
        <v>0</v>
      </c>
      <c r="AB786" s="23">
        <v>0</v>
      </c>
      <c r="AC786" s="25">
        <v>0</v>
      </c>
      <c r="AD786" s="25">
        <v>0</v>
      </c>
      <c r="AE786" s="25">
        <v>0</v>
      </c>
      <c r="AF786" s="25">
        <v>0</v>
      </c>
      <c r="AG786" s="25">
        <v>0</v>
      </c>
      <c r="AH786" s="25">
        <v>0</v>
      </c>
      <c r="AI786" s="25">
        <v>0</v>
      </c>
      <c r="AJ786" s="25">
        <v>0</v>
      </c>
      <c r="AK786" s="25">
        <v>0</v>
      </c>
      <c r="AL786" s="25">
        <v>0</v>
      </c>
      <c r="AM786" s="25">
        <v>0</v>
      </c>
    </row>
    <row r="787" spans="1:39" ht="15" customHeight="1">
      <c r="A787" s="32" t="str">
        <f t="shared" si="29"/>
        <v>Ausgrid--STS Protection &amp; Control (Electronic)</v>
      </c>
      <c r="B787" s="32" t="str">
        <f t="shared" si="30"/>
        <v>Ausgrid</v>
      </c>
      <c r="C787" s="32" t="s">
        <v>720</v>
      </c>
      <c r="D787" s="397"/>
      <c r="F787" s="1" t="s">
        <v>685</v>
      </c>
      <c r="G787" s="21">
        <v>457</v>
      </c>
      <c r="H787" s="21">
        <v>181</v>
      </c>
      <c r="I787" s="21">
        <v>29</v>
      </c>
      <c r="J787" s="21">
        <v>23</v>
      </c>
      <c r="K787" s="21">
        <v>115</v>
      </c>
      <c r="L787" s="21">
        <v>166</v>
      </c>
      <c r="M787" s="21">
        <v>1161</v>
      </c>
      <c r="N787" s="21">
        <v>2240</v>
      </c>
      <c r="O787" s="21">
        <v>555</v>
      </c>
      <c r="P787" s="21">
        <v>2040</v>
      </c>
      <c r="Q787" s="21">
        <v>357</v>
      </c>
      <c r="R787" s="23">
        <v>0</v>
      </c>
      <c r="S787" s="23">
        <v>0</v>
      </c>
      <c r="T787" s="23">
        <v>0</v>
      </c>
      <c r="U787" s="23">
        <v>0</v>
      </c>
      <c r="V787" s="23">
        <v>0</v>
      </c>
      <c r="W787" s="23">
        <v>0</v>
      </c>
      <c r="X787" s="23">
        <v>0</v>
      </c>
      <c r="Y787" s="23">
        <v>0</v>
      </c>
      <c r="Z787" s="23">
        <v>0</v>
      </c>
      <c r="AA787" s="23">
        <v>0</v>
      </c>
      <c r="AB787" s="23">
        <v>0</v>
      </c>
      <c r="AC787" s="25">
        <v>0</v>
      </c>
      <c r="AD787" s="25">
        <v>0</v>
      </c>
      <c r="AE787" s="25">
        <v>0</v>
      </c>
      <c r="AF787" s="25">
        <v>0</v>
      </c>
      <c r="AG787" s="25">
        <v>0</v>
      </c>
      <c r="AH787" s="25">
        <v>0</v>
      </c>
      <c r="AI787" s="25">
        <v>0</v>
      </c>
      <c r="AJ787" s="25">
        <v>0</v>
      </c>
      <c r="AK787" s="25">
        <v>0</v>
      </c>
      <c r="AL787" s="25">
        <v>0</v>
      </c>
      <c r="AM787" s="25">
        <v>0</v>
      </c>
    </row>
    <row r="788" spans="1:39" ht="15" customHeight="1">
      <c r="A788" s="32" t="str">
        <f t="shared" si="29"/>
        <v>Ausgrid--STS Reactors and Capacitors</v>
      </c>
      <c r="B788" s="32" t="str">
        <f t="shared" si="30"/>
        <v>Ausgrid</v>
      </c>
      <c r="C788" s="32" t="s">
        <v>720</v>
      </c>
      <c r="D788" s="397"/>
      <c r="F788" s="1" t="s">
        <v>686</v>
      </c>
      <c r="G788" s="21">
        <v>195</v>
      </c>
      <c r="H788" s="21">
        <v>77</v>
      </c>
      <c r="I788" s="21">
        <v>14</v>
      </c>
      <c r="J788" s="21">
        <v>18</v>
      </c>
      <c r="K788" s="21">
        <v>58</v>
      </c>
      <c r="L788" s="21">
        <v>83</v>
      </c>
      <c r="M788" s="21">
        <v>535</v>
      </c>
      <c r="N788" s="21">
        <v>1002</v>
      </c>
      <c r="O788" s="21">
        <v>214</v>
      </c>
      <c r="P788" s="21">
        <v>0</v>
      </c>
      <c r="Q788" s="21">
        <v>0</v>
      </c>
      <c r="R788" s="23">
        <v>0</v>
      </c>
      <c r="S788" s="23">
        <v>0</v>
      </c>
      <c r="T788" s="23">
        <v>0</v>
      </c>
      <c r="U788" s="23">
        <v>0</v>
      </c>
      <c r="V788" s="23">
        <v>0</v>
      </c>
      <c r="W788" s="23">
        <v>0</v>
      </c>
      <c r="X788" s="23">
        <v>0</v>
      </c>
      <c r="Y788" s="23">
        <v>0</v>
      </c>
      <c r="Z788" s="23">
        <v>0</v>
      </c>
      <c r="AA788" s="23">
        <v>0</v>
      </c>
      <c r="AB788" s="23">
        <v>0</v>
      </c>
      <c r="AC788" s="25">
        <v>0</v>
      </c>
      <c r="AD788" s="25">
        <v>0</v>
      </c>
      <c r="AE788" s="25">
        <v>0</v>
      </c>
      <c r="AF788" s="25">
        <v>0</v>
      </c>
      <c r="AG788" s="25">
        <v>0</v>
      </c>
      <c r="AH788" s="25">
        <v>0</v>
      </c>
      <c r="AI788" s="25">
        <v>0</v>
      </c>
      <c r="AJ788" s="25">
        <v>0</v>
      </c>
      <c r="AK788" s="25">
        <v>0</v>
      </c>
      <c r="AL788" s="25">
        <v>0</v>
      </c>
      <c r="AM788" s="25">
        <v>0</v>
      </c>
    </row>
    <row r="789" spans="1:39" ht="15" customHeight="1">
      <c r="A789" s="32" t="str">
        <f t="shared" si="29"/>
        <v>Ausgrid--Sub-Transmission Main OH Easement</v>
      </c>
      <c r="B789" s="32" t="str">
        <f t="shared" si="30"/>
        <v>Ausgrid</v>
      </c>
      <c r="C789" s="32" t="s">
        <v>720</v>
      </c>
      <c r="D789" s="397"/>
      <c r="F789" s="1" t="s">
        <v>687</v>
      </c>
      <c r="G789" s="21">
        <v>0</v>
      </c>
      <c r="H789" s="21">
        <v>0</v>
      </c>
      <c r="I789" s="21">
        <v>0</v>
      </c>
      <c r="J789" s="21">
        <v>0</v>
      </c>
      <c r="K789" s="21">
        <v>0</v>
      </c>
      <c r="L789" s="21">
        <v>0</v>
      </c>
      <c r="M789" s="21">
        <v>0</v>
      </c>
      <c r="N789" s="21">
        <v>0</v>
      </c>
      <c r="O789" s="21">
        <v>0</v>
      </c>
      <c r="P789" s="21">
        <v>0</v>
      </c>
      <c r="Q789" s="21">
        <v>0</v>
      </c>
      <c r="R789" s="23">
        <v>0</v>
      </c>
      <c r="S789" s="23">
        <v>0</v>
      </c>
      <c r="T789" s="23">
        <v>0</v>
      </c>
      <c r="U789" s="23">
        <v>0</v>
      </c>
      <c r="V789" s="23">
        <v>0</v>
      </c>
      <c r="W789" s="23">
        <v>0</v>
      </c>
      <c r="X789" s="23">
        <v>0</v>
      </c>
      <c r="Y789" s="23">
        <v>0</v>
      </c>
      <c r="Z789" s="23">
        <v>0</v>
      </c>
      <c r="AA789" s="23">
        <v>0</v>
      </c>
      <c r="AB789" s="23">
        <v>0</v>
      </c>
      <c r="AC789" s="25">
        <v>0</v>
      </c>
      <c r="AD789" s="25">
        <v>0</v>
      </c>
      <c r="AE789" s="25">
        <v>0</v>
      </c>
      <c r="AF789" s="25">
        <v>0</v>
      </c>
      <c r="AG789" s="25">
        <v>0</v>
      </c>
      <c r="AH789" s="25">
        <v>0</v>
      </c>
      <c r="AI789" s="25">
        <v>0</v>
      </c>
      <c r="AJ789" s="25">
        <v>0</v>
      </c>
      <c r="AK789" s="25">
        <v>0</v>
      </c>
      <c r="AL789" s="25">
        <v>0</v>
      </c>
      <c r="AM789" s="25">
        <v>0</v>
      </c>
    </row>
    <row r="790" spans="1:39" ht="15" customHeight="1">
      <c r="A790" s="32" t="str">
        <f t="shared" si="29"/>
        <v>Ausgrid--STS Building (incl sw. stns)</v>
      </c>
      <c r="B790" s="32" t="str">
        <f t="shared" si="30"/>
        <v>Ausgrid</v>
      </c>
      <c r="C790" s="32" t="s">
        <v>720</v>
      </c>
      <c r="D790" s="397"/>
      <c r="F790" s="1" t="s">
        <v>688</v>
      </c>
      <c r="G790" s="21">
        <v>2278</v>
      </c>
      <c r="H790" s="21">
        <v>930</v>
      </c>
      <c r="I790" s="21">
        <v>163</v>
      </c>
      <c r="J790" s="21">
        <v>115</v>
      </c>
      <c r="K790" s="21">
        <v>575</v>
      </c>
      <c r="L790" s="21">
        <v>829</v>
      </c>
      <c r="M790" s="21">
        <v>6265</v>
      </c>
      <c r="N790" s="21">
        <v>11158</v>
      </c>
      <c r="O790" s="21">
        <v>2337</v>
      </c>
      <c r="P790" s="21">
        <v>0</v>
      </c>
      <c r="Q790" s="21">
        <v>0</v>
      </c>
      <c r="R790" s="23">
        <v>1</v>
      </c>
      <c r="S790" s="23">
        <v>0</v>
      </c>
      <c r="T790" s="23">
        <v>0</v>
      </c>
      <c r="U790" s="23">
        <v>0</v>
      </c>
      <c r="V790" s="23">
        <v>0</v>
      </c>
      <c r="W790" s="23">
        <v>0</v>
      </c>
      <c r="X790" s="23">
        <v>0</v>
      </c>
      <c r="Y790" s="23">
        <v>1</v>
      </c>
      <c r="Z790" s="23">
        <v>1</v>
      </c>
      <c r="AA790" s="23">
        <v>0</v>
      </c>
      <c r="AB790" s="23">
        <v>0</v>
      </c>
      <c r="AC790" s="25">
        <v>0</v>
      </c>
      <c r="AD790" s="25">
        <v>0</v>
      </c>
      <c r="AE790" s="25">
        <v>0</v>
      </c>
      <c r="AF790" s="25">
        <v>0</v>
      </c>
      <c r="AG790" s="25">
        <v>0</v>
      </c>
      <c r="AH790" s="25">
        <v>0</v>
      </c>
      <c r="AI790" s="25">
        <v>0</v>
      </c>
      <c r="AJ790" s="25">
        <v>0</v>
      </c>
      <c r="AK790" s="25">
        <v>0</v>
      </c>
      <c r="AL790" s="25">
        <v>0</v>
      </c>
      <c r="AM790" s="25">
        <v>0</v>
      </c>
    </row>
    <row r="791" spans="1:39" ht="15" customHeight="1">
      <c r="A791" s="32" t="str">
        <f t="shared" si="29"/>
        <v>Ausgrid--STS Communications</v>
      </c>
      <c r="B791" s="32" t="str">
        <f t="shared" si="30"/>
        <v>Ausgrid</v>
      </c>
      <c r="C791" s="32" t="s">
        <v>720</v>
      </c>
      <c r="D791" s="397"/>
      <c r="F791" s="1" t="s">
        <v>689</v>
      </c>
      <c r="G791" s="21">
        <v>265</v>
      </c>
      <c r="H791" s="21">
        <v>105</v>
      </c>
      <c r="I791" s="21">
        <v>17</v>
      </c>
      <c r="J791" s="21">
        <v>13</v>
      </c>
      <c r="K791" s="21">
        <v>67</v>
      </c>
      <c r="L791" s="21">
        <v>97</v>
      </c>
      <c r="M791" s="21">
        <v>674</v>
      </c>
      <c r="N791" s="21">
        <v>1300</v>
      </c>
      <c r="O791" s="21">
        <v>277</v>
      </c>
      <c r="P791" s="21">
        <v>117</v>
      </c>
      <c r="Q791" s="21">
        <v>21</v>
      </c>
      <c r="R791" s="23">
        <v>0</v>
      </c>
      <c r="S791" s="23">
        <v>0</v>
      </c>
      <c r="T791" s="23">
        <v>0</v>
      </c>
      <c r="U791" s="23">
        <v>0</v>
      </c>
      <c r="V791" s="23">
        <v>0</v>
      </c>
      <c r="W791" s="23">
        <v>0</v>
      </c>
      <c r="X791" s="23">
        <v>0</v>
      </c>
      <c r="Y791" s="23">
        <v>0</v>
      </c>
      <c r="Z791" s="23">
        <v>0</v>
      </c>
      <c r="AA791" s="23">
        <v>0</v>
      </c>
      <c r="AB791" s="23">
        <v>0</v>
      </c>
      <c r="AC791" s="25">
        <v>0</v>
      </c>
      <c r="AD791" s="25">
        <v>0</v>
      </c>
      <c r="AE791" s="25">
        <v>0</v>
      </c>
      <c r="AF791" s="25">
        <v>0</v>
      </c>
      <c r="AG791" s="25">
        <v>0</v>
      </c>
      <c r="AH791" s="25">
        <v>0</v>
      </c>
      <c r="AI791" s="25">
        <v>0</v>
      </c>
      <c r="AJ791" s="25">
        <v>0</v>
      </c>
      <c r="AK791" s="25">
        <v>0</v>
      </c>
      <c r="AL791" s="25">
        <v>0</v>
      </c>
      <c r="AM791" s="25">
        <v>0</v>
      </c>
    </row>
    <row r="792" spans="1:39" ht="15" customHeight="1">
      <c r="A792" s="32" t="str">
        <f t="shared" si="29"/>
        <v>Ausgrid--STS DC Systems</v>
      </c>
      <c r="B792" s="32" t="str">
        <f t="shared" si="30"/>
        <v>Ausgrid</v>
      </c>
      <c r="C792" s="32" t="s">
        <v>720</v>
      </c>
      <c r="D792" s="397"/>
      <c r="F792" s="1" t="s">
        <v>690</v>
      </c>
      <c r="G792" s="21">
        <v>45</v>
      </c>
      <c r="H792" s="21">
        <v>18</v>
      </c>
      <c r="I792" s="21">
        <v>3</v>
      </c>
      <c r="J792" s="21">
        <v>2</v>
      </c>
      <c r="K792" s="21">
        <v>11</v>
      </c>
      <c r="L792" s="21">
        <v>16</v>
      </c>
      <c r="M792" s="21">
        <v>114</v>
      </c>
      <c r="N792" s="21">
        <v>220</v>
      </c>
      <c r="O792" s="21">
        <v>46</v>
      </c>
      <c r="P792" s="21">
        <v>0</v>
      </c>
      <c r="Q792" s="21">
        <v>0</v>
      </c>
      <c r="R792" s="23">
        <v>0</v>
      </c>
      <c r="S792" s="23">
        <v>0</v>
      </c>
      <c r="T792" s="23">
        <v>0</v>
      </c>
      <c r="U792" s="23">
        <v>0</v>
      </c>
      <c r="V792" s="23">
        <v>0</v>
      </c>
      <c r="W792" s="23">
        <v>0</v>
      </c>
      <c r="X792" s="23">
        <v>0</v>
      </c>
      <c r="Y792" s="23">
        <v>0</v>
      </c>
      <c r="Z792" s="23">
        <v>0</v>
      </c>
      <c r="AA792" s="23">
        <v>0</v>
      </c>
      <c r="AB792" s="23">
        <v>0</v>
      </c>
      <c r="AC792" s="25">
        <v>0</v>
      </c>
      <c r="AD792" s="25">
        <v>0</v>
      </c>
      <c r="AE792" s="25">
        <v>0</v>
      </c>
      <c r="AF792" s="25">
        <v>0</v>
      </c>
      <c r="AG792" s="25">
        <v>0</v>
      </c>
      <c r="AH792" s="25">
        <v>0</v>
      </c>
      <c r="AI792" s="25">
        <v>0</v>
      </c>
      <c r="AJ792" s="25">
        <v>0</v>
      </c>
      <c r="AK792" s="25">
        <v>0</v>
      </c>
      <c r="AL792" s="25">
        <v>0</v>
      </c>
      <c r="AM792" s="25">
        <v>0</v>
      </c>
    </row>
    <row r="793" spans="1:39" ht="15" customHeight="1">
      <c r="A793" s="32" t="str">
        <f t="shared" si="29"/>
        <v>Ausgrid--STS General (including spares)</v>
      </c>
      <c r="B793" s="32" t="str">
        <f t="shared" si="30"/>
        <v>Ausgrid</v>
      </c>
      <c r="C793" s="32" t="s">
        <v>720</v>
      </c>
      <c r="D793" s="397"/>
      <c r="F793" s="1" t="s">
        <v>691</v>
      </c>
      <c r="G793" s="21">
        <v>207</v>
      </c>
      <c r="H793" s="21">
        <v>82</v>
      </c>
      <c r="I793" s="21">
        <v>13</v>
      </c>
      <c r="J793" s="21">
        <v>10</v>
      </c>
      <c r="K793" s="21">
        <v>52</v>
      </c>
      <c r="L793" s="21">
        <v>75</v>
      </c>
      <c r="M793" s="21">
        <v>525</v>
      </c>
      <c r="N793" s="21">
        <v>1012</v>
      </c>
      <c r="O793" s="21">
        <v>766</v>
      </c>
      <c r="P793" s="21">
        <v>13114</v>
      </c>
      <c r="Q793" s="21">
        <v>2294</v>
      </c>
      <c r="R793" s="23">
        <v>1</v>
      </c>
      <c r="S793" s="23">
        <v>0</v>
      </c>
      <c r="T793" s="23">
        <v>0</v>
      </c>
      <c r="U793" s="23">
        <v>0</v>
      </c>
      <c r="V793" s="23">
        <v>0</v>
      </c>
      <c r="W793" s="23">
        <v>0</v>
      </c>
      <c r="X793" s="23">
        <v>0</v>
      </c>
      <c r="Y793" s="23">
        <v>1</v>
      </c>
      <c r="Z793" s="23">
        <v>1</v>
      </c>
      <c r="AA793" s="23">
        <v>0</v>
      </c>
      <c r="AB793" s="23">
        <v>0</v>
      </c>
      <c r="AC793" s="25">
        <v>0</v>
      </c>
      <c r="AD793" s="25">
        <v>0</v>
      </c>
      <c r="AE793" s="25">
        <v>0</v>
      </c>
      <c r="AF793" s="25">
        <v>0</v>
      </c>
      <c r="AG793" s="25">
        <v>0</v>
      </c>
      <c r="AH793" s="25">
        <v>0</v>
      </c>
      <c r="AI793" s="25">
        <v>0</v>
      </c>
      <c r="AJ793" s="25">
        <v>0</v>
      </c>
      <c r="AK793" s="25">
        <v>0</v>
      </c>
      <c r="AL793" s="25">
        <v>0</v>
      </c>
      <c r="AM793" s="25">
        <v>0</v>
      </c>
    </row>
    <row r="794" spans="1:39" ht="15" customHeight="1">
      <c r="A794" s="32" t="str">
        <f t="shared" si="29"/>
        <v>Ausgrid--Zone Reactors and Capacitors</v>
      </c>
      <c r="B794" s="32" t="str">
        <f t="shared" si="30"/>
        <v>Ausgrid</v>
      </c>
      <c r="C794" s="32" t="s">
        <v>720</v>
      </c>
      <c r="D794" s="397"/>
      <c r="F794" s="1" t="s">
        <v>692</v>
      </c>
      <c r="G794" s="21">
        <v>14825</v>
      </c>
      <c r="H794" s="21">
        <v>7874</v>
      </c>
      <c r="I794" s="21">
        <v>4037</v>
      </c>
      <c r="J794" s="21">
        <v>3624</v>
      </c>
      <c r="K794" s="21">
        <v>3665</v>
      </c>
      <c r="L794" s="21">
        <v>3343</v>
      </c>
      <c r="M794" s="21">
        <v>3434</v>
      </c>
      <c r="N794" s="21">
        <v>769</v>
      </c>
      <c r="O794" s="21">
        <v>148</v>
      </c>
      <c r="P794" s="21">
        <v>0</v>
      </c>
      <c r="Q794" s="21">
        <v>0</v>
      </c>
      <c r="R794" s="23">
        <v>0</v>
      </c>
      <c r="S794" s="23">
        <v>0</v>
      </c>
      <c r="T794" s="23">
        <v>13</v>
      </c>
      <c r="U794" s="23">
        <v>1</v>
      </c>
      <c r="V794" s="23">
        <v>0</v>
      </c>
      <c r="W794" s="23">
        <v>3</v>
      </c>
      <c r="X794" s="23">
        <v>5</v>
      </c>
      <c r="Y794" s="23">
        <v>6</v>
      </c>
      <c r="Z794" s="23">
        <v>2</v>
      </c>
      <c r="AA794" s="23">
        <v>0</v>
      </c>
      <c r="AB794" s="23">
        <v>0</v>
      </c>
      <c r="AC794" s="25">
        <v>0</v>
      </c>
      <c r="AD794" s="25">
        <v>0</v>
      </c>
      <c r="AE794" s="25">
        <v>0</v>
      </c>
      <c r="AF794" s="25">
        <v>0</v>
      </c>
      <c r="AG794" s="25">
        <v>0</v>
      </c>
      <c r="AH794" s="25">
        <v>0</v>
      </c>
      <c r="AI794" s="25">
        <v>0</v>
      </c>
      <c r="AJ794" s="25">
        <v>0</v>
      </c>
      <c r="AK794" s="25">
        <v>0</v>
      </c>
      <c r="AL794" s="25">
        <v>0</v>
      </c>
      <c r="AM794" s="25">
        <v>0</v>
      </c>
    </row>
    <row r="795" spans="1:39" ht="15" customHeight="1">
      <c r="A795" s="32" t="str">
        <f t="shared" si="29"/>
        <v>Ausgrid--Zone CLC equipment (Mechanical)</v>
      </c>
      <c r="B795" s="32" t="str">
        <f t="shared" si="30"/>
        <v>Ausgrid</v>
      </c>
      <c r="C795" s="32" t="s">
        <v>720</v>
      </c>
      <c r="D795" s="397"/>
      <c r="F795" s="1" t="s">
        <v>693</v>
      </c>
      <c r="G795" s="21">
        <v>0</v>
      </c>
      <c r="H795" s="21">
        <v>0</v>
      </c>
      <c r="I795" s="21">
        <v>0</v>
      </c>
      <c r="J795" s="21">
        <v>0</v>
      </c>
      <c r="K795" s="21">
        <v>0</v>
      </c>
      <c r="L795" s="21">
        <v>0</v>
      </c>
      <c r="M795" s="21">
        <v>0</v>
      </c>
      <c r="N795" s="21">
        <v>0</v>
      </c>
      <c r="O795" s="21">
        <v>0</v>
      </c>
      <c r="P795" s="21">
        <v>0</v>
      </c>
      <c r="Q795" s="21">
        <v>0</v>
      </c>
      <c r="R795" s="23">
        <v>0</v>
      </c>
      <c r="S795" s="23">
        <v>0</v>
      </c>
      <c r="T795" s="23">
        <v>0</v>
      </c>
      <c r="U795" s="23">
        <v>0</v>
      </c>
      <c r="V795" s="23">
        <v>0</v>
      </c>
      <c r="W795" s="23">
        <v>0</v>
      </c>
      <c r="X795" s="23">
        <v>0</v>
      </c>
      <c r="Y795" s="23">
        <v>0</v>
      </c>
      <c r="Z795" s="23">
        <v>0</v>
      </c>
      <c r="AA795" s="23">
        <v>0</v>
      </c>
      <c r="AB795" s="23">
        <v>0</v>
      </c>
      <c r="AC795" s="25">
        <v>0</v>
      </c>
      <c r="AD795" s="25">
        <v>0</v>
      </c>
      <c r="AE795" s="25">
        <v>0</v>
      </c>
      <c r="AF795" s="25">
        <v>0</v>
      </c>
      <c r="AG795" s="25">
        <v>0</v>
      </c>
      <c r="AH795" s="25">
        <v>0</v>
      </c>
      <c r="AI795" s="25">
        <v>0</v>
      </c>
      <c r="AJ795" s="25">
        <v>0</v>
      </c>
      <c r="AK795" s="25">
        <v>0</v>
      </c>
      <c r="AL795" s="25">
        <v>0</v>
      </c>
      <c r="AM795" s="25">
        <v>0</v>
      </c>
    </row>
    <row r="796" spans="1:39" ht="15" customHeight="1">
      <c r="A796" s="32" t="str">
        <f t="shared" si="29"/>
        <v>Ausgrid--Suburban</v>
      </c>
      <c r="B796" s="32" t="str">
        <f t="shared" si="30"/>
        <v>Ausgrid</v>
      </c>
      <c r="C796" s="32" t="s">
        <v>720</v>
      </c>
      <c r="D796" s="397"/>
      <c r="F796" s="1" t="s">
        <v>694</v>
      </c>
      <c r="G796" s="21">
        <v>0</v>
      </c>
      <c r="H796" s="21">
        <v>0</v>
      </c>
      <c r="I796" s="21">
        <v>0</v>
      </c>
      <c r="J796" s="21">
        <v>0</v>
      </c>
      <c r="K796" s="21">
        <v>0</v>
      </c>
      <c r="L796" s="21">
        <v>0</v>
      </c>
      <c r="M796" s="21">
        <v>0</v>
      </c>
      <c r="N796" s="21">
        <v>0</v>
      </c>
      <c r="O796" s="21">
        <v>0</v>
      </c>
      <c r="P796" s="21">
        <v>0</v>
      </c>
      <c r="Q796" s="21">
        <v>0</v>
      </c>
      <c r="R796" s="23">
        <v>0</v>
      </c>
      <c r="S796" s="23">
        <v>0</v>
      </c>
      <c r="T796" s="23">
        <v>0</v>
      </c>
      <c r="U796" s="23">
        <v>0</v>
      </c>
      <c r="V796" s="23">
        <v>0</v>
      </c>
      <c r="W796" s="23">
        <v>0</v>
      </c>
      <c r="X796" s="23">
        <v>0</v>
      </c>
      <c r="Y796" s="23">
        <v>0</v>
      </c>
      <c r="Z796" s="23">
        <v>0</v>
      </c>
      <c r="AA796" s="23">
        <v>0</v>
      </c>
      <c r="AB796" s="23">
        <v>0</v>
      </c>
      <c r="AC796" s="25">
        <v>0</v>
      </c>
      <c r="AD796" s="25">
        <v>0</v>
      </c>
      <c r="AE796" s="25">
        <v>0</v>
      </c>
      <c r="AF796" s="25">
        <v>0</v>
      </c>
      <c r="AG796" s="25">
        <v>0</v>
      </c>
      <c r="AH796" s="25">
        <v>0</v>
      </c>
      <c r="AI796" s="25">
        <v>0</v>
      </c>
      <c r="AJ796" s="25">
        <v>0</v>
      </c>
      <c r="AK796" s="25">
        <v>0</v>
      </c>
      <c r="AL796" s="25">
        <v>0</v>
      </c>
      <c r="AM796" s="25">
        <v>0</v>
      </c>
    </row>
    <row r="797" spans="1:39" ht="75" customHeight="1">
      <c r="B797" s="32" t="str">
        <f>IF(D797&gt;0,D797,#REF!)</f>
        <v>Ergon</v>
      </c>
      <c r="C797" s="32" t="s">
        <v>1138</v>
      </c>
      <c r="D797" s="386" t="s">
        <v>1147</v>
      </c>
      <c r="E797" s="31" t="s">
        <v>311</v>
      </c>
      <c r="F797" s="30" t="s">
        <v>117</v>
      </c>
      <c r="G797" s="22">
        <v>2874.3885220000002</v>
      </c>
      <c r="H797" s="22">
        <v>2814.3780080000001</v>
      </c>
      <c r="I797" s="22">
        <v>4646.3414270000003</v>
      </c>
      <c r="J797" s="22">
        <v>3604.7693850000001</v>
      </c>
      <c r="K797" s="22">
        <v>6764.6790460000002</v>
      </c>
      <c r="R797" s="24">
        <v>2774</v>
      </c>
      <c r="S797" s="24">
        <v>2794</v>
      </c>
      <c r="T797" s="24">
        <v>2699</v>
      </c>
      <c r="U797" s="24">
        <v>2958</v>
      </c>
      <c r="V797" s="24">
        <v>4061</v>
      </c>
      <c r="AC797" s="26">
        <v>66</v>
      </c>
      <c r="AD797" s="26">
        <v>115</v>
      </c>
      <c r="AE797" s="26">
        <v>139</v>
      </c>
      <c r="AF797" s="26">
        <v>187</v>
      </c>
      <c r="AG797" s="26">
        <v>259</v>
      </c>
    </row>
    <row r="798" spans="1:39">
      <c r="B798" s="32" t="str">
        <f t="shared" ref="B798:B861" si="31">IF(D798&gt;0,D798,B797)</f>
        <v>Ergon</v>
      </c>
      <c r="C798" s="32" t="s">
        <v>1</v>
      </c>
      <c r="D798" s="387"/>
      <c r="E798" s="31"/>
      <c r="F798" s="30" t="s">
        <v>119</v>
      </c>
      <c r="G798" s="22">
        <v>816.79463009999995</v>
      </c>
      <c r="H798" s="22">
        <v>1128.184583</v>
      </c>
      <c r="I798" s="22">
        <v>2472.2832010000002</v>
      </c>
      <c r="J798" s="22">
        <v>2721.4251410000002</v>
      </c>
      <c r="K798" s="22">
        <v>3529.7555860000002</v>
      </c>
      <c r="R798" s="24">
        <v>507</v>
      </c>
      <c r="S798" s="24">
        <v>637</v>
      </c>
      <c r="T798" s="24">
        <v>722</v>
      </c>
      <c r="U798" s="24">
        <v>1028</v>
      </c>
      <c r="V798" s="24">
        <v>899</v>
      </c>
      <c r="AC798" s="26">
        <v>63</v>
      </c>
      <c r="AD798" s="26">
        <v>78</v>
      </c>
      <c r="AE798" s="26">
        <v>70</v>
      </c>
      <c r="AF798" s="26">
        <v>133</v>
      </c>
      <c r="AG798" s="26">
        <v>109</v>
      </c>
    </row>
    <row r="799" spans="1:39">
      <c r="B799" s="32" t="str">
        <f t="shared" si="31"/>
        <v>Ergon</v>
      </c>
      <c r="C799" s="32" t="s">
        <v>1</v>
      </c>
      <c r="D799" s="387"/>
      <c r="E799" s="31"/>
      <c r="F799" s="30" t="s">
        <v>121</v>
      </c>
      <c r="G799" s="22">
        <v>765.78202780000004</v>
      </c>
      <c r="H799" s="22">
        <v>1057.7238560000001</v>
      </c>
      <c r="I799" s="22">
        <v>2317.8845710000001</v>
      </c>
      <c r="J799" s="22">
        <v>2551.4635750000002</v>
      </c>
      <c r="K799" s="22">
        <v>3309.307417</v>
      </c>
      <c r="R799" s="24">
        <v>357</v>
      </c>
      <c r="S799" s="24">
        <v>448</v>
      </c>
      <c r="T799" s="24">
        <v>508</v>
      </c>
      <c r="U799" s="24">
        <v>723</v>
      </c>
      <c r="V799" s="24">
        <v>632</v>
      </c>
      <c r="AC799" s="26">
        <v>27</v>
      </c>
      <c r="AD799" s="26">
        <v>33</v>
      </c>
      <c r="AE799" s="26">
        <v>38</v>
      </c>
      <c r="AF799" s="26">
        <v>50</v>
      </c>
      <c r="AG799" s="26">
        <v>46</v>
      </c>
    </row>
    <row r="800" spans="1:39">
      <c r="B800" s="32" t="str">
        <f t="shared" si="31"/>
        <v>Ergon</v>
      </c>
      <c r="C800" s="32" t="s">
        <v>1</v>
      </c>
      <c r="D800" s="387"/>
      <c r="E800" s="31"/>
      <c r="F800" s="30" t="s">
        <v>123</v>
      </c>
      <c r="G800" s="22">
        <v>2425.1842219999999</v>
      </c>
      <c r="H800" s="22">
        <v>3349.7495709999998</v>
      </c>
      <c r="I800" s="22">
        <v>7340.588111</v>
      </c>
      <c r="J800" s="22">
        <v>8080.319152</v>
      </c>
      <c r="K800" s="22">
        <v>10480.365669999999</v>
      </c>
      <c r="R800" s="24">
        <v>1129</v>
      </c>
      <c r="S800" s="24">
        <v>1418</v>
      </c>
      <c r="T800" s="24">
        <v>1608</v>
      </c>
      <c r="U800" s="24">
        <v>2289</v>
      </c>
      <c r="V800" s="24">
        <v>2002</v>
      </c>
      <c r="AC800" s="26">
        <v>124</v>
      </c>
      <c r="AD800" s="26">
        <v>156</v>
      </c>
      <c r="AE800" s="26">
        <v>142</v>
      </c>
      <c r="AF800" s="26">
        <v>285</v>
      </c>
      <c r="AG800" s="26">
        <v>227</v>
      </c>
    </row>
    <row r="801" spans="2:33">
      <c r="B801" s="32" t="str">
        <f t="shared" si="31"/>
        <v>Ergon</v>
      </c>
      <c r="C801" s="32" t="s">
        <v>1</v>
      </c>
      <c r="D801" s="387"/>
      <c r="E801" s="31"/>
      <c r="F801" s="30" t="s">
        <v>125</v>
      </c>
      <c r="G801" s="22">
        <v>1435.065658</v>
      </c>
      <c r="H801" s="22">
        <v>1433.420766</v>
      </c>
      <c r="I801" s="22">
        <v>2669.0832989999999</v>
      </c>
      <c r="J801" s="22">
        <v>3412.7890550000002</v>
      </c>
      <c r="K801" s="22">
        <v>5614.1113089999999</v>
      </c>
      <c r="R801" s="24">
        <v>171</v>
      </c>
      <c r="S801" s="24">
        <v>161</v>
      </c>
      <c r="T801" s="24">
        <v>191</v>
      </c>
      <c r="U801" s="24">
        <v>331</v>
      </c>
      <c r="V801" s="24">
        <v>310</v>
      </c>
      <c r="AC801" s="26">
        <v>16</v>
      </c>
      <c r="AD801" s="26">
        <v>18</v>
      </c>
      <c r="AE801" s="26">
        <v>7</v>
      </c>
      <c r="AF801" s="26">
        <v>21</v>
      </c>
      <c r="AG801" s="26">
        <v>18</v>
      </c>
    </row>
    <row r="802" spans="2:33">
      <c r="B802" s="32" t="str">
        <f t="shared" si="31"/>
        <v>Ergon</v>
      </c>
      <c r="C802" s="32" t="s">
        <v>1</v>
      </c>
      <c r="D802" s="387"/>
      <c r="E802" s="31"/>
      <c r="F802" s="30" t="s">
        <v>127</v>
      </c>
      <c r="G802" s="22">
        <v>0</v>
      </c>
      <c r="H802" s="22">
        <v>0</v>
      </c>
      <c r="I802" s="22">
        <v>0</v>
      </c>
      <c r="J802" s="22">
        <v>0</v>
      </c>
      <c r="K802" s="22">
        <v>0</v>
      </c>
      <c r="R802" s="24">
        <v>0</v>
      </c>
      <c r="S802" s="24">
        <v>0</v>
      </c>
      <c r="T802" s="24">
        <v>0</v>
      </c>
      <c r="U802" s="24">
        <v>0</v>
      </c>
      <c r="V802" s="24">
        <v>0</v>
      </c>
      <c r="AC802" s="26">
        <v>2</v>
      </c>
      <c r="AD802" s="26">
        <v>0</v>
      </c>
      <c r="AE802" s="26">
        <v>1</v>
      </c>
      <c r="AF802" s="26">
        <v>0</v>
      </c>
      <c r="AG802" s="26">
        <v>1</v>
      </c>
    </row>
    <row r="803" spans="2:33">
      <c r="B803" s="32" t="str">
        <f t="shared" si="31"/>
        <v>Ergon</v>
      </c>
      <c r="C803" s="32" t="s">
        <v>1</v>
      </c>
      <c r="D803" s="387"/>
      <c r="E803" s="31"/>
      <c r="F803" s="30" t="s">
        <v>129</v>
      </c>
      <c r="G803" s="22">
        <v>0</v>
      </c>
      <c r="H803" s="22">
        <v>0</v>
      </c>
      <c r="I803" s="22">
        <v>0</v>
      </c>
      <c r="J803" s="22">
        <v>0</v>
      </c>
      <c r="K803" s="22">
        <v>0</v>
      </c>
      <c r="R803" s="24">
        <v>0</v>
      </c>
      <c r="S803" s="24">
        <v>0</v>
      </c>
      <c r="T803" s="24">
        <v>0</v>
      </c>
      <c r="U803" s="24">
        <v>0</v>
      </c>
      <c r="V803" s="24">
        <v>0</v>
      </c>
      <c r="AC803" s="26">
        <v>0</v>
      </c>
      <c r="AD803" s="26">
        <v>0</v>
      </c>
      <c r="AE803" s="26">
        <v>0</v>
      </c>
      <c r="AF803" s="26">
        <v>0</v>
      </c>
      <c r="AG803" s="26">
        <v>0</v>
      </c>
    </row>
    <row r="804" spans="2:33">
      <c r="B804" s="32" t="str">
        <f t="shared" si="31"/>
        <v>Ergon</v>
      </c>
      <c r="C804" s="32" t="s">
        <v>1</v>
      </c>
      <c r="D804" s="387"/>
      <c r="E804" s="31"/>
      <c r="F804" s="30" t="s">
        <v>131</v>
      </c>
      <c r="G804" s="22">
        <v>0</v>
      </c>
      <c r="H804" s="22">
        <v>0</v>
      </c>
      <c r="I804" s="22">
        <v>0</v>
      </c>
      <c r="J804" s="22">
        <v>0</v>
      </c>
      <c r="K804" s="22">
        <v>0</v>
      </c>
      <c r="R804" s="24">
        <v>0</v>
      </c>
      <c r="S804" s="24">
        <v>0</v>
      </c>
      <c r="T804" s="24">
        <v>0</v>
      </c>
      <c r="U804" s="24">
        <v>0</v>
      </c>
      <c r="V804" s="24">
        <v>0</v>
      </c>
      <c r="AC804" s="26">
        <v>0</v>
      </c>
      <c r="AD804" s="26">
        <v>0</v>
      </c>
      <c r="AE804" s="26">
        <v>0</v>
      </c>
      <c r="AF804" s="26">
        <v>0</v>
      </c>
      <c r="AG804" s="26">
        <v>0</v>
      </c>
    </row>
    <row r="805" spans="2:33">
      <c r="B805" s="32" t="str">
        <f t="shared" si="31"/>
        <v>Ergon</v>
      </c>
      <c r="C805" s="32" t="s">
        <v>1</v>
      </c>
      <c r="D805" s="387"/>
      <c r="E805" s="31"/>
      <c r="F805" s="30" t="s">
        <v>133</v>
      </c>
      <c r="G805" s="22">
        <v>0</v>
      </c>
      <c r="H805" s="22">
        <v>0</v>
      </c>
      <c r="I805" s="22">
        <v>0</v>
      </c>
      <c r="J805" s="22">
        <v>0</v>
      </c>
      <c r="K805" s="22">
        <v>0</v>
      </c>
      <c r="R805" s="24">
        <v>0</v>
      </c>
      <c r="S805" s="24">
        <v>0</v>
      </c>
      <c r="T805" s="24">
        <v>0</v>
      </c>
      <c r="U805" s="24">
        <v>0</v>
      </c>
      <c r="V805" s="24">
        <v>0</v>
      </c>
      <c r="AC805" s="26">
        <v>0</v>
      </c>
      <c r="AD805" s="26">
        <v>0</v>
      </c>
      <c r="AE805" s="26">
        <v>0</v>
      </c>
      <c r="AF805" s="26">
        <v>0</v>
      </c>
      <c r="AG805" s="26">
        <v>0</v>
      </c>
    </row>
    <row r="806" spans="2:33">
      <c r="B806" s="32" t="str">
        <f t="shared" si="31"/>
        <v>Ergon</v>
      </c>
      <c r="C806" s="32" t="s">
        <v>1</v>
      </c>
      <c r="D806" s="387"/>
      <c r="E806" s="31"/>
      <c r="F806" s="30" t="s">
        <v>153</v>
      </c>
      <c r="G806" s="22">
        <v>0</v>
      </c>
      <c r="H806" s="22">
        <v>6.4109029870000001</v>
      </c>
      <c r="I806" s="22">
        <v>0</v>
      </c>
      <c r="J806" s="22">
        <v>0</v>
      </c>
      <c r="K806" s="22">
        <v>18.039620920000001</v>
      </c>
      <c r="R806" s="24">
        <v>0</v>
      </c>
      <c r="S806" s="24">
        <v>1</v>
      </c>
      <c r="T806" s="24">
        <v>0</v>
      </c>
      <c r="U806" s="24">
        <v>0</v>
      </c>
      <c r="V806" s="24">
        <v>2</v>
      </c>
      <c r="AC806" s="26">
        <v>0</v>
      </c>
      <c r="AD806" s="26">
        <v>0</v>
      </c>
      <c r="AE806" s="26">
        <v>0</v>
      </c>
      <c r="AF806" s="26">
        <v>0</v>
      </c>
      <c r="AG806" s="26">
        <v>0</v>
      </c>
    </row>
    <row r="807" spans="2:33">
      <c r="B807" s="32" t="str">
        <f t="shared" si="31"/>
        <v>Ergon</v>
      </c>
      <c r="C807" s="32" t="s">
        <v>1</v>
      </c>
      <c r="D807" s="387"/>
      <c r="E807" s="31"/>
      <c r="F807" s="30" t="s">
        <v>155</v>
      </c>
      <c r="G807" s="22">
        <v>0</v>
      </c>
      <c r="H807" s="22">
        <v>0</v>
      </c>
      <c r="I807" s="22">
        <v>0</v>
      </c>
      <c r="J807" s="22">
        <v>25.40953373</v>
      </c>
      <c r="K807" s="22">
        <v>2486.4421470000002</v>
      </c>
      <c r="R807" s="24">
        <v>0</v>
      </c>
      <c r="S807" s="24">
        <v>0</v>
      </c>
      <c r="T807" s="24">
        <v>0</v>
      </c>
      <c r="U807" s="24">
        <v>1</v>
      </c>
      <c r="V807" s="24">
        <v>33</v>
      </c>
      <c r="AC807" s="26">
        <v>0</v>
      </c>
      <c r="AD807" s="26">
        <v>0</v>
      </c>
      <c r="AE807" s="26">
        <v>0</v>
      </c>
      <c r="AF807" s="26">
        <v>0</v>
      </c>
      <c r="AG807" s="26">
        <v>0</v>
      </c>
    </row>
    <row r="808" spans="2:33">
      <c r="B808" s="32" t="str">
        <f t="shared" si="31"/>
        <v>Ergon</v>
      </c>
      <c r="C808" s="32" t="s">
        <v>1</v>
      </c>
      <c r="D808" s="387"/>
      <c r="E808" s="31"/>
      <c r="F808" s="30" t="s">
        <v>157</v>
      </c>
      <c r="G808" s="22">
        <v>0</v>
      </c>
      <c r="H808" s="22">
        <v>0</v>
      </c>
      <c r="I808" s="22">
        <v>0</v>
      </c>
      <c r="J808" s="22">
        <v>0</v>
      </c>
      <c r="K808" s="22">
        <v>0</v>
      </c>
      <c r="R808" s="24">
        <v>0</v>
      </c>
      <c r="S808" s="24">
        <v>0</v>
      </c>
      <c r="T808" s="24">
        <v>0</v>
      </c>
      <c r="U808" s="24">
        <v>0</v>
      </c>
      <c r="V808" s="24">
        <v>0</v>
      </c>
      <c r="AC808" s="26">
        <v>0</v>
      </c>
      <c r="AD808" s="26">
        <v>0</v>
      </c>
      <c r="AE808" s="26">
        <v>0</v>
      </c>
      <c r="AF808" s="26">
        <v>0</v>
      </c>
      <c r="AG808" s="26">
        <v>0</v>
      </c>
    </row>
    <row r="809" spans="2:33">
      <c r="B809" s="32" t="str">
        <f t="shared" si="31"/>
        <v>Ergon</v>
      </c>
      <c r="C809" s="32" t="s">
        <v>1</v>
      </c>
      <c r="D809" s="387"/>
      <c r="E809" s="31"/>
      <c r="F809" s="30" t="s">
        <v>159</v>
      </c>
      <c r="G809" s="22">
        <v>0</v>
      </c>
      <c r="H809" s="22">
        <v>0</v>
      </c>
      <c r="I809" s="22">
        <v>0</v>
      </c>
      <c r="J809" s="22">
        <v>0</v>
      </c>
      <c r="K809" s="22">
        <v>0</v>
      </c>
      <c r="R809" s="24">
        <v>0</v>
      </c>
      <c r="S809" s="24">
        <v>0</v>
      </c>
      <c r="T809" s="24">
        <v>0</v>
      </c>
      <c r="U809" s="24">
        <v>0</v>
      </c>
      <c r="V809" s="24">
        <v>0</v>
      </c>
      <c r="AC809" s="26">
        <v>0</v>
      </c>
      <c r="AD809" s="26">
        <v>0</v>
      </c>
      <c r="AE809" s="26">
        <v>0</v>
      </c>
      <c r="AF809" s="26">
        <v>0</v>
      </c>
      <c r="AG809" s="26">
        <v>0</v>
      </c>
    </row>
    <row r="810" spans="2:33">
      <c r="B810" s="32" t="str">
        <f t="shared" si="31"/>
        <v>Ergon</v>
      </c>
      <c r="C810" s="32" t="s">
        <v>1</v>
      </c>
      <c r="D810" s="387"/>
      <c r="E810" s="31"/>
      <c r="F810" s="30" t="s">
        <v>161</v>
      </c>
      <c r="G810" s="22">
        <v>0</v>
      </c>
      <c r="H810" s="22">
        <v>0</v>
      </c>
      <c r="I810" s="22">
        <v>0</v>
      </c>
      <c r="J810" s="22">
        <v>0</v>
      </c>
      <c r="K810" s="22">
        <v>0</v>
      </c>
      <c r="R810" s="24">
        <v>0</v>
      </c>
      <c r="S810" s="24">
        <v>0</v>
      </c>
      <c r="T810" s="24">
        <v>0</v>
      </c>
      <c r="U810" s="24">
        <v>0</v>
      </c>
      <c r="V810" s="24">
        <v>0</v>
      </c>
      <c r="AC810" s="26">
        <v>0</v>
      </c>
      <c r="AD810" s="26">
        <v>0</v>
      </c>
      <c r="AE810" s="26">
        <v>0</v>
      </c>
      <c r="AF810" s="26">
        <v>0</v>
      </c>
      <c r="AG810" s="26">
        <v>0</v>
      </c>
    </row>
    <row r="811" spans="2:33">
      <c r="B811" s="32" t="str">
        <f t="shared" si="31"/>
        <v>Ergon</v>
      </c>
      <c r="C811" s="32" t="s">
        <v>1</v>
      </c>
      <c r="D811" s="387"/>
      <c r="E811" s="31"/>
      <c r="F811" s="30" t="s">
        <v>163</v>
      </c>
      <c r="G811" s="22">
        <v>0</v>
      </c>
      <c r="H811" s="22">
        <v>0</v>
      </c>
      <c r="I811" s="22">
        <v>0</v>
      </c>
      <c r="J811" s="22">
        <v>0</v>
      </c>
      <c r="K811" s="22">
        <v>0</v>
      </c>
      <c r="R811" s="24">
        <v>0</v>
      </c>
      <c r="S811" s="24">
        <v>0</v>
      </c>
      <c r="T811" s="24">
        <v>0</v>
      </c>
      <c r="U811" s="24">
        <v>0</v>
      </c>
      <c r="V811" s="24">
        <v>0</v>
      </c>
      <c r="AC811" s="26">
        <v>0</v>
      </c>
      <c r="AD811" s="26">
        <v>0</v>
      </c>
      <c r="AE811" s="26">
        <v>0</v>
      </c>
      <c r="AF811" s="26">
        <v>0</v>
      </c>
      <c r="AG811" s="26">
        <v>0</v>
      </c>
    </row>
    <row r="812" spans="2:33">
      <c r="B812" s="32" t="str">
        <f t="shared" si="31"/>
        <v>Ergon</v>
      </c>
      <c r="C812" s="32" t="s">
        <v>1</v>
      </c>
      <c r="D812" s="387"/>
      <c r="E812" s="31"/>
      <c r="F812" s="30" t="s">
        <v>165</v>
      </c>
      <c r="G812" s="22">
        <v>0</v>
      </c>
      <c r="H812" s="22">
        <v>0</v>
      </c>
      <c r="I812" s="22">
        <v>7.2458043029999999</v>
      </c>
      <c r="J812" s="22">
        <v>0</v>
      </c>
      <c r="K812" s="22">
        <v>23.521713829999999</v>
      </c>
      <c r="R812" s="24">
        <v>0</v>
      </c>
      <c r="S812" s="24">
        <v>0</v>
      </c>
      <c r="T812" s="24">
        <v>1</v>
      </c>
      <c r="U812" s="24">
        <v>0</v>
      </c>
      <c r="V812" s="24">
        <v>3</v>
      </c>
      <c r="AC812" s="26">
        <v>0</v>
      </c>
      <c r="AD812" s="26">
        <v>0</v>
      </c>
      <c r="AE812" s="26">
        <v>0</v>
      </c>
      <c r="AF812" s="26">
        <v>0</v>
      </c>
      <c r="AG812" s="26">
        <v>0</v>
      </c>
    </row>
    <row r="813" spans="2:33">
      <c r="B813" s="32" t="str">
        <f t="shared" si="31"/>
        <v>Ergon</v>
      </c>
      <c r="C813" s="32" t="s">
        <v>1</v>
      </c>
      <c r="D813" s="387"/>
      <c r="E813" s="31"/>
      <c r="F813" s="30" t="s">
        <v>166</v>
      </c>
      <c r="G813" s="22">
        <v>0</v>
      </c>
      <c r="H813" s="22">
        <v>0</v>
      </c>
      <c r="I813" s="22">
        <v>0</v>
      </c>
      <c r="J813" s="22">
        <v>0</v>
      </c>
      <c r="K813" s="22">
        <v>0</v>
      </c>
      <c r="R813" s="24">
        <v>0</v>
      </c>
      <c r="S813" s="24">
        <v>0</v>
      </c>
      <c r="T813" s="24">
        <v>0</v>
      </c>
      <c r="U813" s="24">
        <v>0</v>
      </c>
      <c r="V813" s="24">
        <v>0</v>
      </c>
      <c r="AC813" s="26">
        <v>0</v>
      </c>
      <c r="AD813" s="26">
        <v>0</v>
      </c>
      <c r="AE813" s="26">
        <v>0</v>
      </c>
      <c r="AF813" s="26">
        <v>0</v>
      </c>
      <c r="AG813" s="26">
        <v>0</v>
      </c>
    </row>
    <row r="814" spans="2:33">
      <c r="B814" s="32" t="str">
        <f t="shared" si="31"/>
        <v>Ergon</v>
      </c>
      <c r="C814" s="32" t="s">
        <v>1</v>
      </c>
      <c r="D814" s="387"/>
      <c r="E814" s="31"/>
      <c r="F814" s="30" t="s">
        <v>167</v>
      </c>
      <c r="G814" s="22">
        <v>0</v>
      </c>
      <c r="H814" s="22">
        <v>0</v>
      </c>
      <c r="I814" s="22">
        <v>0</v>
      </c>
      <c r="J814" s="22">
        <v>0</v>
      </c>
      <c r="K814" s="22">
        <v>0</v>
      </c>
      <c r="R814" s="24">
        <v>0</v>
      </c>
      <c r="S814" s="24">
        <v>0</v>
      </c>
      <c r="T814" s="24">
        <v>0</v>
      </c>
      <c r="U814" s="24">
        <v>0</v>
      </c>
      <c r="V814" s="24">
        <v>0</v>
      </c>
      <c r="AC814" s="26">
        <v>0</v>
      </c>
      <c r="AD814" s="26">
        <v>0</v>
      </c>
      <c r="AE814" s="26">
        <v>0</v>
      </c>
      <c r="AF814" s="26">
        <v>0</v>
      </c>
      <c r="AG814" s="26">
        <v>0</v>
      </c>
    </row>
    <row r="815" spans="2:33">
      <c r="B815" s="32" t="str">
        <f t="shared" si="31"/>
        <v>Ergon</v>
      </c>
      <c r="C815" s="32" t="s">
        <v>1</v>
      </c>
      <c r="D815" s="387"/>
      <c r="E815" s="31"/>
      <c r="F815" s="30" t="s">
        <v>168</v>
      </c>
      <c r="G815" s="22">
        <v>0</v>
      </c>
      <c r="H815" s="22">
        <v>0</v>
      </c>
      <c r="I815" s="22">
        <v>0</v>
      </c>
      <c r="J815" s="22">
        <v>0</v>
      </c>
      <c r="K815" s="22">
        <v>0</v>
      </c>
      <c r="R815" s="24">
        <v>0</v>
      </c>
      <c r="S815" s="24">
        <v>0</v>
      </c>
      <c r="T815" s="24">
        <v>0</v>
      </c>
      <c r="U815" s="24">
        <v>0</v>
      </c>
      <c r="V815" s="24">
        <v>0</v>
      </c>
      <c r="AC815" s="26">
        <v>0</v>
      </c>
      <c r="AD815" s="26">
        <v>0</v>
      </c>
      <c r="AE815" s="26">
        <v>0</v>
      </c>
      <c r="AF815" s="26">
        <v>0</v>
      </c>
      <c r="AG815" s="26">
        <v>0</v>
      </c>
    </row>
    <row r="816" spans="2:33">
      <c r="B816" s="32" t="str">
        <f t="shared" si="31"/>
        <v>Ergon</v>
      </c>
      <c r="C816" s="32" t="s">
        <v>1</v>
      </c>
      <c r="D816" s="387"/>
      <c r="E816" s="31"/>
      <c r="F816" s="30" t="s">
        <v>170</v>
      </c>
    </row>
    <row r="817" spans="2:33" ht="60">
      <c r="B817" s="32" t="str">
        <f t="shared" si="31"/>
        <v>Ergon</v>
      </c>
      <c r="C817" s="32" t="s">
        <v>1131</v>
      </c>
      <c r="D817" s="387"/>
      <c r="E817" s="31" t="s">
        <v>660</v>
      </c>
      <c r="F817" s="30" t="s">
        <v>171</v>
      </c>
      <c r="G817" s="22">
        <v>404.75854559999999</v>
      </c>
      <c r="H817" s="22">
        <v>566.31791769999995</v>
      </c>
      <c r="I817" s="22">
        <v>1241.139461</v>
      </c>
      <c r="J817" s="22">
        <v>1313.2718649999999</v>
      </c>
      <c r="K817" s="22">
        <v>1428.9834960000001</v>
      </c>
      <c r="R817" s="24">
        <v>1200</v>
      </c>
      <c r="S817" s="24">
        <v>1586</v>
      </c>
      <c r="T817" s="24">
        <v>1821</v>
      </c>
      <c r="U817" s="24">
        <v>2555</v>
      </c>
      <c r="V817" s="24">
        <v>1945</v>
      </c>
      <c r="AC817" s="26">
        <v>60</v>
      </c>
      <c r="AD817" s="26">
        <v>70</v>
      </c>
      <c r="AE817" s="26">
        <v>66</v>
      </c>
      <c r="AF817" s="26">
        <v>56</v>
      </c>
      <c r="AG817" s="26">
        <v>58</v>
      </c>
    </row>
    <row r="818" spans="2:33">
      <c r="B818" s="32" t="str">
        <f t="shared" si="31"/>
        <v>Ergon</v>
      </c>
      <c r="C818" s="32" t="s">
        <v>1131</v>
      </c>
      <c r="D818" s="387"/>
      <c r="E818" s="31"/>
      <c r="F818" s="30" t="s">
        <v>172</v>
      </c>
      <c r="G818" s="22">
        <v>2081.3569739999998</v>
      </c>
      <c r="H818" s="22">
        <v>2912.1314619999998</v>
      </c>
      <c r="I818" s="22">
        <v>6382.2114250000004</v>
      </c>
      <c r="J818" s="22">
        <v>6753.1129410000003</v>
      </c>
      <c r="K818" s="22">
        <v>7348.1229270000003</v>
      </c>
      <c r="R818" s="24">
        <v>2778</v>
      </c>
      <c r="S818" s="24">
        <v>3634</v>
      </c>
      <c r="T818" s="24">
        <v>4163</v>
      </c>
      <c r="U818" s="24">
        <v>5858</v>
      </c>
      <c r="V818" s="24">
        <v>4591</v>
      </c>
      <c r="AC818" s="26">
        <v>84</v>
      </c>
      <c r="AD818" s="26">
        <v>73</v>
      </c>
      <c r="AE818" s="26">
        <v>99</v>
      </c>
      <c r="AF818" s="26">
        <v>78</v>
      </c>
      <c r="AG818" s="26">
        <v>61</v>
      </c>
    </row>
    <row r="819" spans="2:33">
      <c r="B819" s="32" t="str">
        <f t="shared" si="31"/>
        <v>Ergon</v>
      </c>
      <c r="C819" s="32" t="s">
        <v>1131</v>
      </c>
      <c r="D819" s="387"/>
      <c r="E819" s="31"/>
      <c r="F819" s="30" t="s">
        <v>173</v>
      </c>
      <c r="G819" s="22">
        <v>507.53780310000002</v>
      </c>
      <c r="H819" s="22">
        <v>710.12220179999997</v>
      </c>
      <c r="I819" s="22">
        <v>1556.2983369999999</v>
      </c>
      <c r="J819" s="22">
        <v>1646.7444270000001</v>
      </c>
      <c r="K819" s="22">
        <v>1791.8363959999999</v>
      </c>
      <c r="R819" s="24">
        <v>655</v>
      </c>
      <c r="S819" s="24">
        <v>905</v>
      </c>
      <c r="T819" s="24">
        <v>1050</v>
      </c>
      <c r="U819" s="24">
        <v>1455</v>
      </c>
      <c r="V819" s="24">
        <v>970</v>
      </c>
      <c r="AC819" s="26">
        <v>44</v>
      </c>
      <c r="AD819" s="26">
        <v>65</v>
      </c>
      <c r="AE819" s="26">
        <v>52</v>
      </c>
      <c r="AF819" s="26">
        <v>43</v>
      </c>
      <c r="AG819" s="26">
        <v>46</v>
      </c>
    </row>
    <row r="820" spans="2:33">
      <c r="B820" s="32" t="str">
        <f t="shared" si="31"/>
        <v>Ergon</v>
      </c>
      <c r="C820" s="32" t="s">
        <v>1131</v>
      </c>
      <c r="D820" s="387"/>
      <c r="E820" s="31"/>
      <c r="F820" s="30" t="s">
        <v>174</v>
      </c>
      <c r="G820" s="22">
        <v>535.03172889999996</v>
      </c>
      <c r="H820" s="22">
        <v>748.58548470000005</v>
      </c>
      <c r="I820" s="22">
        <v>1640.5978070000001</v>
      </c>
      <c r="J820" s="22">
        <v>1735.937752</v>
      </c>
      <c r="K820" s="22">
        <v>1888.8817979999999</v>
      </c>
      <c r="R820" s="24">
        <v>456</v>
      </c>
      <c r="S820" s="24">
        <v>655</v>
      </c>
      <c r="T820" s="24">
        <v>743</v>
      </c>
      <c r="U820" s="24">
        <v>985</v>
      </c>
      <c r="V820" s="24">
        <v>734</v>
      </c>
      <c r="AC820" s="26">
        <v>29</v>
      </c>
      <c r="AD820" s="26">
        <v>46</v>
      </c>
      <c r="AE820" s="26">
        <v>23</v>
      </c>
      <c r="AF820" s="26">
        <v>28</v>
      </c>
      <c r="AG820" s="26">
        <v>41</v>
      </c>
    </row>
    <row r="821" spans="2:33">
      <c r="B821" s="32" t="str">
        <f t="shared" si="31"/>
        <v>Ergon</v>
      </c>
      <c r="C821" s="32" t="s">
        <v>1131</v>
      </c>
      <c r="D821" s="387"/>
      <c r="E821" s="31"/>
      <c r="F821" s="30" t="s">
        <v>175</v>
      </c>
      <c r="G821" s="22">
        <v>123.3729524</v>
      </c>
      <c r="H821" s="22">
        <v>172.6117831</v>
      </c>
      <c r="I821" s="22">
        <v>378.26138229999998</v>
      </c>
      <c r="J821" s="22">
        <v>400.2791368</v>
      </c>
      <c r="K821" s="22">
        <v>435.53102999999999</v>
      </c>
      <c r="R821" s="24">
        <v>48</v>
      </c>
      <c r="S821" s="24">
        <v>63</v>
      </c>
      <c r="T821" s="24">
        <v>72</v>
      </c>
      <c r="U821" s="24">
        <v>101</v>
      </c>
      <c r="V821" s="24">
        <v>80</v>
      </c>
      <c r="AC821" s="26">
        <v>3</v>
      </c>
      <c r="AD821" s="26">
        <v>2</v>
      </c>
      <c r="AE821" s="26">
        <v>1</v>
      </c>
      <c r="AF821" s="26">
        <v>0</v>
      </c>
      <c r="AG821" s="26">
        <v>6</v>
      </c>
    </row>
    <row r="822" spans="2:33">
      <c r="B822" s="32" t="str">
        <f t="shared" si="31"/>
        <v>Ergon</v>
      </c>
      <c r="C822" s="32" t="s">
        <v>1131</v>
      </c>
      <c r="D822" s="387"/>
      <c r="E822" s="31"/>
      <c r="F822" s="30" t="s">
        <v>176</v>
      </c>
      <c r="G822" s="22">
        <v>0</v>
      </c>
      <c r="H822" s="22">
        <v>0</v>
      </c>
      <c r="I822" s="22">
        <v>0</v>
      </c>
      <c r="J822" s="22">
        <v>0</v>
      </c>
      <c r="K822" s="22">
        <v>0</v>
      </c>
      <c r="R822" s="24">
        <v>0</v>
      </c>
      <c r="S822" s="24">
        <v>0</v>
      </c>
      <c r="T822" s="24">
        <v>0</v>
      </c>
      <c r="U822" s="24">
        <v>0</v>
      </c>
      <c r="V822" s="24">
        <v>0</v>
      </c>
      <c r="AC822" s="26">
        <v>0</v>
      </c>
      <c r="AD822" s="26">
        <v>0</v>
      </c>
      <c r="AE822" s="26">
        <v>0</v>
      </c>
      <c r="AF822" s="26">
        <v>0</v>
      </c>
      <c r="AG822" s="26">
        <v>0</v>
      </c>
    </row>
    <row r="823" spans="2:33">
      <c r="B823" s="32" t="str">
        <f t="shared" si="31"/>
        <v>Ergon</v>
      </c>
      <c r="C823" s="32" t="s">
        <v>1131</v>
      </c>
      <c r="D823" s="387"/>
      <c r="E823" s="31"/>
      <c r="F823" s="30" t="s">
        <v>170</v>
      </c>
    </row>
    <row r="824" spans="2:33" ht="75">
      <c r="B824" s="32" t="str">
        <f t="shared" si="31"/>
        <v>Ergon</v>
      </c>
      <c r="C824" s="32" t="s">
        <v>1132</v>
      </c>
      <c r="D824" s="387"/>
      <c r="E824" s="31" t="s">
        <v>538</v>
      </c>
      <c r="F824" s="30" t="s">
        <v>171</v>
      </c>
      <c r="G824" s="22">
        <v>947.96597759999997</v>
      </c>
      <c r="H824" s="22">
        <v>569.87105350000002</v>
      </c>
      <c r="I824" s="22">
        <v>1700.287501</v>
      </c>
      <c r="J824" s="22">
        <v>3081.2351269999999</v>
      </c>
      <c r="K824" s="22">
        <v>1560.373335</v>
      </c>
      <c r="R824" s="24">
        <v>15.179</v>
      </c>
      <c r="S824" s="24">
        <v>10.355</v>
      </c>
      <c r="T824" s="24">
        <v>20.181000000000001</v>
      </c>
      <c r="U824" s="24">
        <v>50.084000000000003</v>
      </c>
      <c r="V824" s="24">
        <v>19.88</v>
      </c>
      <c r="AC824" s="26">
        <v>67</v>
      </c>
      <c r="AD824" s="26">
        <v>52</v>
      </c>
      <c r="AE824" s="26">
        <v>55</v>
      </c>
      <c r="AF824" s="26">
        <v>60</v>
      </c>
      <c r="AG824" s="26">
        <v>42</v>
      </c>
    </row>
    <row r="825" spans="2:33">
      <c r="B825" s="32" t="str">
        <f t="shared" si="31"/>
        <v>Ergon</v>
      </c>
      <c r="C825" s="32" t="s">
        <v>1132</v>
      </c>
      <c r="D825" s="387"/>
      <c r="E825" s="31"/>
      <c r="F825" s="30" t="s">
        <v>172</v>
      </c>
      <c r="G825" s="22">
        <v>6769.001612</v>
      </c>
      <c r="H825" s="22">
        <v>10114.592839999999</v>
      </c>
      <c r="I825" s="22">
        <v>16686.274399999998</v>
      </c>
      <c r="J825" s="22">
        <v>21144.822510000002</v>
      </c>
      <c r="K825" s="22">
        <v>17562.69687</v>
      </c>
      <c r="R825" s="24">
        <v>61.061307169999999</v>
      </c>
      <c r="S825" s="24">
        <v>147.05269809999999</v>
      </c>
      <c r="T825" s="24">
        <v>143.8855791</v>
      </c>
      <c r="U825" s="24">
        <v>244.72017310000001</v>
      </c>
      <c r="V825" s="24">
        <v>148.9489485</v>
      </c>
      <c r="AC825" s="26">
        <v>218</v>
      </c>
      <c r="AD825" s="26">
        <v>169</v>
      </c>
      <c r="AE825" s="26">
        <v>204</v>
      </c>
      <c r="AF825" s="26">
        <v>194</v>
      </c>
      <c r="AG825" s="26">
        <v>143</v>
      </c>
    </row>
    <row r="826" spans="2:33">
      <c r="B826" s="32" t="str">
        <f t="shared" si="31"/>
        <v>Ergon</v>
      </c>
      <c r="C826" s="32" t="s">
        <v>1132</v>
      </c>
      <c r="D826" s="387"/>
      <c r="E826" s="31"/>
      <c r="F826" s="30" t="s">
        <v>177</v>
      </c>
      <c r="G826" s="22">
        <v>1096.2903209999999</v>
      </c>
      <c r="H826" s="22">
        <v>1638.1337840000001</v>
      </c>
      <c r="I826" s="22">
        <v>2702.466649</v>
      </c>
      <c r="J826" s="22">
        <v>3424.5617860000002</v>
      </c>
      <c r="K826" s="22">
        <v>2844.4098090000002</v>
      </c>
      <c r="R826" s="24">
        <v>19.77866865</v>
      </c>
      <c r="S826" s="24">
        <v>47.632563509999997</v>
      </c>
      <c r="T826" s="24">
        <v>46.60668639</v>
      </c>
      <c r="U826" s="24">
        <v>79.268516199999993</v>
      </c>
      <c r="V826" s="24">
        <v>48.24678729</v>
      </c>
      <c r="AC826" s="26">
        <v>111</v>
      </c>
      <c r="AD826" s="26">
        <v>84</v>
      </c>
      <c r="AE826" s="26">
        <v>60</v>
      </c>
      <c r="AF826" s="26">
        <v>92</v>
      </c>
      <c r="AG826" s="26">
        <v>51</v>
      </c>
    </row>
    <row r="827" spans="2:33">
      <c r="B827" s="32" t="str">
        <f t="shared" si="31"/>
        <v>Ergon</v>
      </c>
      <c r="C827" s="32" t="s">
        <v>1132</v>
      </c>
      <c r="D827" s="387"/>
      <c r="E827" s="31"/>
      <c r="F827" s="30" t="s">
        <v>178</v>
      </c>
      <c r="G827" s="22">
        <v>690.77268130000004</v>
      </c>
      <c r="H827" s="22">
        <v>1032.188322</v>
      </c>
      <c r="I827" s="22">
        <v>1702.8246059999999</v>
      </c>
      <c r="J827" s="22">
        <v>2157.816851</v>
      </c>
      <c r="K827" s="22">
        <v>1792.263011</v>
      </c>
      <c r="R827" s="24">
        <v>8.9018155940000003</v>
      </c>
      <c r="S827" s="24">
        <v>21.438060570000001</v>
      </c>
      <c r="T827" s="24">
        <v>20.97634249</v>
      </c>
      <c r="U827" s="24">
        <v>35.67650209</v>
      </c>
      <c r="V827" s="24">
        <v>21.714505209999999</v>
      </c>
      <c r="AC827" s="26">
        <v>0</v>
      </c>
      <c r="AD827" s="26">
        <v>0</v>
      </c>
      <c r="AE827" s="26">
        <v>0</v>
      </c>
      <c r="AF827" s="26">
        <v>0</v>
      </c>
      <c r="AG827" s="26">
        <v>0</v>
      </c>
    </row>
    <row r="828" spans="2:33">
      <c r="B828" s="32" t="str">
        <f t="shared" si="31"/>
        <v>Ergon</v>
      </c>
      <c r="C828" s="32" t="s">
        <v>1132</v>
      </c>
      <c r="D828" s="387"/>
      <c r="E828" s="31"/>
      <c r="F828" s="30" t="s">
        <v>179</v>
      </c>
      <c r="G828" s="22">
        <v>2308.334754</v>
      </c>
      <c r="H828" s="22">
        <v>3449.2333589999998</v>
      </c>
      <c r="I828" s="22">
        <v>5690.2789080000002</v>
      </c>
      <c r="J828" s="22">
        <v>7210.7131099999997</v>
      </c>
      <c r="K828" s="22">
        <v>5989.1525940000001</v>
      </c>
      <c r="R828" s="24">
        <v>20.822854759999998</v>
      </c>
      <c r="S828" s="24">
        <v>50.147255569999999</v>
      </c>
      <c r="T828" s="24">
        <v>49.067218750000002</v>
      </c>
      <c r="U828" s="24">
        <v>83.453382469999994</v>
      </c>
      <c r="V828" s="24">
        <v>50.793906409999998</v>
      </c>
      <c r="AC828" s="26">
        <v>31</v>
      </c>
      <c r="AD828" s="26">
        <v>37</v>
      </c>
      <c r="AE828" s="26">
        <v>36</v>
      </c>
      <c r="AF828" s="26">
        <v>39</v>
      </c>
      <c r="AG828" s="26">
        <v>39</v>
      </c>
    </row>
    <row r="829" spans="2:33">
      <c r="B829" s="32" t="str">
        <f t="shared" si="31"/>
        <v>Ergon</v>
      </c>
      <c r="C829" s="32" t="s">
        <v>1132</v>
      </c>
      <c r="D829" s="387"/>
      <c r="E829" s="31"/>
      <c r="F829" s="30" t="s">
        <v>174</v>
      </c>
      <c r="G829" s="22">
        <v>2129.5770210000001</v>
      </c>
      <c r="H829" s="22">
        <v>3182.1242950000001</v>
      </c>
      <c r="I829" s="22">
        <v>5249.6229949999997</v>
      </c>
      <c r="J829" s="22">
        <v>6652.314582</v>
      </c>
      <c r="K829" s="22">
        <v>5525.3518649999996</v>
      </c>
      <c r="R829" s="24">
        <v>4.0021521409999998</v>
      </c>
      <c r="S829" s="24">
        <v>9.6383012089999998</v>
      </c>
      <c r="T829" s="24">
        <v>9.4307181619999998</v>
      </c>
      <c r="U829" s="24">
        <v>16.039737930000001</v>
      </c>
      <c r="V829" s="24">
        <v>9.7625874840000009</v>
      </c>
      <c r="AC829" s="26">
        <v>38</v>
      </c>
      <c r="AD829" s="26">
        <v>20</v>
      </c>
      <c r="AE829" s="26">
        <v>24</v>
      </c>
      <c r="AF829" s="26">
        <v>32</v>
      </c>
      <c r="AG829" s="26">
        <v>18</v>
      </c>
    </row>
    <row r="830" spans="2:33">
      <c r="B830" s="32" t="str">
        <f t="shared" si="31"/>
        <v>Ergon</v>
      </c>
      <c r="C830" s="32" t="s">
        <v>1132</v>
      </c>
      <c r="D830" s="387"/>
      <c r="E830" s="31"/>
      <c r="F830" s="30" t="s">
        <v>175</v>
      </c>
      <c r="G830" s="22">
        <v>537.55782239999996</v>
      </c>
      <c r="H830" s="22">
        <v>803.2467431</v>
      </c>
      <c r="I830" s="22">
        <v>1325.1344650000001</v>
      </c>
      <c r="J830" s="22">
        <v>1679.2084560000001</v>
      </c>
      <c r="K830" s="22">
        <v>1394.7352390000001</v>
      </c>
      <c r="R830" s="24">
        <v>0.84186834899999996</v>
      </c>
      <c r="S830" s="24">
        <v>2.0274543399999998</v>
      </c>
      <c r="T830" s="24">
        <v>1.9837884349999999</v>
      </c>
      <c r="U830" s="24">
        <v>3.374021581</v>
      </c>
      <c r="V830" s="24">
        <v>2.0535984439999999</v>
      </c>
      <c r="AC830" s="26">
        <v>0</v>
      </c>
      <c r="AD830" s="26">
        <v>1</v>
      </c>
      <c r="AE830" s="26">
        <v>1</v>
      </c>
      <c r="AF830" s="26">
        <v>0</v>
      </c>
      <c r="AG830" s="26">
        <v>1</v>
      </c>
    </row>
    <row r="831" spans="2:33">
      <c r="B831" s="32" t="str">
        <f t="shared" si="31"/>
        <v>Ergon</v>
      </c>
      <c r="C831" s="32" t="s">
        <v>1132</v>
      </c>
      <c r="D831" s="387"/>
      <c r="E831" s="31"/>
      <c r="F831" s="30" t="s">
        <v>176</v>
      </c>
      <c r="G831" s="22">
        <v>0</v>
      </c>
      <c r="H831" s="22">
        <v>0</v>
      </c>
      <c r="I831" s="22">
        <v>0</v>
      </c>
      <c r="J831" s="22">
        <v>0</v>
      </c>
      <c r="K831" s="22">
        <v>0</v>
      </c>
      <c r="R831" s="24">
        <v>0</v>
      </c>
      <c r="S831" s="24">
        <v>0</v>
      </c>
      <c r="T831" s="24">
        <v>0</v>
      </c>
      <c r="U831" s="24">
        <v>0</v>
      </c>
      <c r="V831" s="24">
        <v>0</v>
      </c>
      <c r="AC831" s="26">
        <v>0</v>
      </c>
      <c r="AD831" s="26">
        <v>0</v>
      </c>
      <c r="AE831" s="26">
        <v>0</v>
      </c>
      <c r="AF831" s="26">
        <v>0</v>
      </c>
      <c r="AG831" s="26">
        <v>0</v>
      </c>
    </row>
    <row r="832" spans="2:33">
      <c r="B832" s="32" t="str">
        <f t="shared" si="31"/>
        <v>Ergon</v>
      </c>
      <c r="C832" s="32" t="s">
        <v>1132</v>
      </c>
      <c r="D832" s="387"/>
      <c r="E832" s="31"/>
      <c r="F832" s="30" t="s">
        <v>170</v>
      </c>
    </row>
    <row r="833" spans="2:33" ht="60">
      <c r="B833" s="32" t="str">
        <f t="shared" si="31"/>
        <v>Ergon</v>
      </c>
      <c r="C833" s="32" t="s">
        <v>1133</v>
      </c>
      <c r="D833" s="387"/>
      <c r="E833" s="31" t="s">
        <v>539</v>
      </c>
      <c r="F833" s="30" t="s">
        <v>171</v>
      </c>
      <c r="G833" s="22">
        <v>68.058391439999994</v>
      </c>
      <c r="H833" s="22">
        <v>104.6710416</v>
      </c>
      <c r="I833" s="22">
        <v>115.2068897</v>
      </c>
      <c r="J833" s="22">
        <v>133.53665359999999</v>
      </c>
      <c r="K833" s="22">
        <v>217.8824808</v>
      </c>
      <c r="R833" s="24">
        <v>1.181</v>
      </c>
      <c r="S833" s="24">
        <v>1.708</v>
      </c>
      <c r="T833" s="24">
        <v>1.9855</v>
      </c>
      <c r="U833" s="24">
        <v>2.5165000000000002</v>
      </c>
      <c r="V833" s="24">
        <v>3.0354999999999999</v>
      </c>
      <c r="AC833" s="26">
        <v>0</v>
      </c>
      <c r="AD833" s="26">
        <v>0</v>
      </c>
      <c r="AE833" s="26">
        <v>0</v>
      </c>
      <c r="AF833" s="26">
        <v>0</v>
      </c>
      <c r="AG833" s="26">
        <v>0</v>
      </c>
    </row>
    <row r="834" spans="2:33">
      <c r="B834" s="32" t="str">
        <f t="shared" si="31"/>
        <v>Ergon</v>
      </c>
      <c r="C834" s="32" t="s">
        <v>1133</v>
      </c>
      <c r="D834" s="387"/>
      <c r="E834" s="31"/>
      <c r="F834" s="30" t="s">
        <v>172</v>
      </c>
      <c r="G834" s="22">
        <v>1485.6066760000001</v>
      </c>
      <c r="H834" s="22">
        <v>284.06615249999999</v>
      </c>
      <c r="I834" s="22">
        <v>1111.7122400000001</v>
      </c>
      <c r="J834" s="22">
        <v>987.79252759999997</v>
      </c>
      <c r="K834" s="22">
        <v>1003.460783</v>
      </c>
      <c r="R834" s="24">
        <v>4.8496666670000002</v>
      </c>
      <c r="S834" s="24">
        <v>0.76466666699999997</v>
      </c>
      <c r="T834" s="24">
        <v>3.6760000000000002</v>
      </c>
      <c r="U834" s="24">
        <v>2.8553333329999999</v>
      </c>
      <c r="V834" s="24">
        <v>3.7966666670000002</v>
      </c>
      <c r="AC834" s="26">
        <v>32</v>
      </c>
      <c r="AD834" s="26">
        <v>50</v>
      </c>
      <c r="AE834" s="26">
        <v>46</v>
      </c>
      <c r="AF834" s="26">
        <v>38</v>
      </c>
      <c r="AG834" s="26">
        <v>40</v>
      </c>
    </row>
    <row r="835" spans="2:33">
      <c r="B835" s="32" t="str">
        <f t="shared" si="31"/>
        <v>Ergon</v>
      </c>
      <c r="C835" s="32" t="s">
        <v>1133</v>
      </c>
      <c r="D835" s="387"/>
      <c r="E835" s="31"/>
      <c r="F835" s="30" t="s">
        <v>181</v>
      </c>
      <c r="G835" s="22">
        <v>45.525896639999999</v>
      </c>
      <c r="H835" s="22">
        <v>173.405711</v>
      </c>
      <c r="I835" s="22">
        <v>109.26091510000001</v>
      </c>
      <c r="J835" s="22">
        <v>354.10557979999999</v>
      </c>
      <c r="K835" s="22">
        <v>159.30253160000001</v>
      </c>
      <c r="R835" s="24">
        <v>0.216</v>
      </c>
      <c r="S835" s="24">
        <v>1.102666667</v>
      </c>
      <c r="T835" s="24">
        <v>0.50633333300000005</v>
      </c>
      <c r="U835" s="24">
        <v>2.1583333329999999</v>
      </c>
      <c r="V835" s="24">
        <v>1.8720000000000001</v>
      </c>
      <c r="AC835" s="26">
        <v>11</v>
      </c>
      <c r="AD835" s="26">
        <v>12</v>
      </c>
      <c r="AE835" s="26">
        <v>14</v>
      </c>
      <c r="AF835" s="26">
        <v>10</v>
      </c>
      <c r="AG835" s="26">
        <v>9</v>
      </c>
    </row>
    <row r="836" spans="2:33">
      <c r="B836" s="32" t="str">
        <f t="shared" si="31"/>
        <v>Ergon</v>
      </c>
      <c r="C836" s="32" t="s">
        <v>1133</v>
      </c>
      <c r="D836" s="387"/>
      <c r="E836" s="31"/>
      <c r="F836" s="30" t="s">
        <v>182</v>
      </c>
      <c r="G836" s="22">
        <v>0</v>
      </c>
      <c r="H836" s="22">
        <v>0</v>
      </c>
      <c r="I836" s="22">
        <v>0</v>
      </c>
      <c r="J836" s="22">
        <v>13.884771969999999</v>
      </c>
      <c r="K836" s="22">
        <v>14.637790109999999</v>
      </c>
      <c r="R836" s="24">
        <v>0</v>
      </c>
      <c r="S836" s="24">
        <v>0</v>
      </c>
      <c r="T836" s="24">
        <v>0</v>
      </c>
      <c r="U836" s="24">
        <v>9.4333333000000005E-2</v>
      </c>
      <c r="V836" s="24">
        <v>2.7E-2</v>
      </c>
      <c r="AC836" s="26">
        <v>2</v>
      </c>
      <c r="AD836" s="26">
        <v>1</v>
      </c>
      <c r="AE836" s="26">
        <v>2</v>
      </c>
      <c r="AF836" s="26">
        <v>0</v>
      </c>
      <c r="AG836" s="26">
        <v>1</v>
      </c>
    </row>
    <row r="837" spans="2:33">
      <c r="B837" s="32" t="str">
        <f t="shared" si="31"/>
        <v>Ergon</v>
      </c>
      <c r="C837" s="32" t="s">
        <v>1133</v>
      </c>
      <c r="D837" s="387"/>
      <c r="E837" s="31"/>
      <c r="F837" s="30" t="s">
        <v>183</v>
      </c>
      <c r="G837" s="22">
        <v>0</v>
      </c>
      <c r="H837" s="22">
        <v>0</v>
      </c>
      <c r="I837" s="22">
        <v>0</v>
      </c>
      <c r="J837" s="22">
        <v>0</v>
      </c>
      <c r="K837" s="22">
        <v>0</v>
      </c>
      <c r="R837" s="24">
        <v>0</v>
      </c>
      <c r="S837" s="24">
        <v>0</v>
      </c>
      <c r="T837" s="24">
        <v>0</v>
      </c>
      <c r="U837" s="24">
        <v>0</v>
      </c>
      <c r="V837" s="24">
        <v>0</v>
      </c>
      <c r="AC837" s="26">
        <v>0</v>
      </c>
      <c r="AD837" s="26">
        <v>1</v>
      </c>
      <c r="AE837" s="26">
        <v>2</v>
      </c>
      <c r="AF837" s="26">
        <v>0</v>
      </c>
      <c r="AG837" s="26">
        <v>1</v>
      </c>
    </row>
    <row r="838" spans="2:33">
      <c r="B838" s="32" t="str">
        <f t="shared" si="31"/>
        <v>Ergon</v>
      </c>
      <c r="C838" s="32" t="s">
        <v>1133</v>
      </c>
      <c r="D838" s="387"/>
      <c r="E838" s="31"/>
      <c r="F838" s="30" t="s">
        <v>175</v>
      </c>
      <c r="G838" s="22">
        <v>0</v>
      </c>
      <c r="H838" s="22">
        <v>0</v>
      </c>
      <c r="I838" s="22">
        <v>0</v>
      </c>
      <c r="J838" s="22">
        <v>0</v>
      </c>
      <c r="K838" s="22">
        <v>0</v>
      </c>
      <c r="R838" s="24">
        <v>0</v>
      </c>
      <c r="S838" s="24">
        <v>0</v>
      </c>
      <c r="T838" s="24">
        <v>0</v>
      </c>
      <c r="U838" s="24">
        <v>0</v>
      </c>
      <c r="V838" s="24">
        <v>0</v>
      </c>
      <c r="AC838" s="26">
        <v>0</v>
      </c>
      <c r="AD838" s="26">
        <v>0</v>
      </c>
      <c r="AE838" s="26">
        <v>0</v>
      </c>
      <c r="AF838" s="26">
        <v>0</v>
      </c>
      <c r="AG838" s="26">
        <v>0</v>
      </c>
    </row>
    <row r="839" spans="2:33">
      <c r="B839" s="32" t="str">
        <f t="shared" si="31"/>
        <v>Ergon</v>
      </c>
      <c r="C839" s="32" t="s">
        <v>1133</v>
      </c>
      <c r="D839" s="387"/>
      <c r="E839" s="31"/>
      <c r="F839" s="30" t="s">
        <v>184</v>
      </c>
      <c r="G839" s="22">
        <v>0</v>
      </c>
      <c r="H839" s="22">
        <v>0</v>
      </c>
      <c r="I839" s="22">
        <v>0</v>
      </c>
      <c r="J839" s="22">
        <v>0</v>
      </c>
      <c r="K839" s="22">
        <v>0</v>
      </c>
      <c r="R839" s="24">
        <v>0</v>
      </c>
      <c r="S839" s="24">
        <v>0</v>
      </c>
      <c r="T839" s="24">
        <v>0</v>
      </c>
      <c r="U839" s="24">
        <v>0</v>
      </c>
      <c r="V839" s="24">
        <v>0</v>
      </c>
      <c r="AC839" s="26">
        <v>0</v>
      </c>
      <c r="AD839" s="26">
        <v>0</v>
      </c>
      <c r="AE839" s="26">
        <v>0</v>
      </c>
      <c r="AF839" s="26">
        <v>0</v>
      </c>
      <c r="AG839" s="26">
        <v>0</v>
      </c>
    </row>
    <row r="840" spans="2:33">
      <c r="B840" s="32" t="str">
        <f t="shared" si="31"/>
        <v>Ergon</v>
      </c>
      <c r="C840" s="32" t="s">
        <v>1133</v>
      </c>
      <c r="D840" s="387"/>
      <c r="E840" s="31"/>
      <c r="F840" s="30" t="s">
        <v>170</v>
      </c>
    </row>
    <row r="841" spans="2:33" ht="75">
      <c r="B841" s="32" t="str">
        <f t="shared" si="31"/>
        <v>Ergon</v>
      </c>
      <c r="C841" s="32" t="s">
        <v>719</v>
      </c>
      <c r="D841" s="387"/>
      <c r="E841" s="31" t="s">
        <v>541</v>
      </c>
      <c r="F841" s="30" t="s">
        <v>186</v>
      </c>
      <c r="G841" s="22">
        <v>2074.5928549999999</v>
      </c>
      <c r="H841" s="22">
        <v>2313.0037510000002</v>
      </c>
      <c r="I841" s="22">
        <v>5150.8983879999996</v>
      </c>
      <c r="J841" s="22">
        <v>11238.0198</v>
      </c>
      <c r="K841" s="22">
        <v>6968.3602769999998</v>
      </c>
      <c r="R841" s="24">
        <v>2087.090909</v>
      </c>
      <c r="S841" s="24">
        <v>2514.5151519999999</v>
      </c>
      <c r="T841" s="24">
        <v>3337</v>
      </c>
      <c r="U841" s="24">
        <v>9070.7272730000004</v>
      </c>
      <c r="V841" s="24">
        <v>4459.636364</v>
      </c>
      <c r="AC841" s="26">
        <v>4019.878788</v>
      </c>
      <c r="AD841" s="26">
        <v>6045.3939389999996</v>
      </c>
      <c r="AE841" s="26">
        <v>7748.181818</v>
      </c>
      <c r="AF841" s="26">
        <v>11155.06061</v>
      </c>
      <c r="AG841" s="26">
        <v>7140.4848480000001</v>
      </c>
    </row>
    <row r="842" spans="2:33">
      <c r="B842" s="32" t="str">
        <f t="shared" si="31"/>
        <v>Ergon</v>
      </c>
      <c r="C842" s="32" t="s">
        <v>719</v>
      </c>
      <c r="D842" s="387"/>
      <c r="E842" s="31"/>
      <c r="F842" s="30" t="s">
        <v>187</v>
      </c>
      <c r="G842" s="22">
        <v>560.79443049999998</v>
      </c>
      <c r="H842" s="22">
        <v>559.89502570000002</v>
      </c>
      <c r="I842" s="22">
        <v>717.73122699999999</v>
      </c>
      <c r="J842" s="22">
        <v>645.49756260000004</v>
      </c>
      <c r="K842" s="22">
        <v>924.32060850000005</v>
      </c>
      <c r="R842" s="24">
        <v>362.78787879999999</v>
      </c>
      <c r="S842" s="24">
        <v>440.72727270000001</v>
      </c>
      <c r="T842" s="24">
        <v>316.05303029999999</v>
      </c>
      <c r="U842" s="24">
        <v>381.65151520000001</v>
      </c>
      <c r="V842" s="24">
        <v>415.80303029999999</v>
      </c>
      <c r="AC842" s="26">
        <v>426.09848479999999</v>
      </c>
      <c r="AD842" s="26">
        <v>493.030303</v>
      </c>
      <c r="AE842" s="26">
        <v>387.80303029999999</v>
      </c>
      <c r="AF842" s="26">
        <v>456.10606059999998</v>
      </c>
      <c r="AG842" s="26">
        <v>542.41666669999995</v>
      </c>
    </row>
    <row r="843" spans="2:33">
      <c r="B843" s="32" t="str">
        <f t="shared" si="31"/>
        <v>Ergon</v>
      </c>
      <c r="C843" s="32" t="s">
        <v>719</v>
      </c>
      <c r="D843" s="387"/>
      <c r="E843" s="31"/>
      <c r="F843" s="30" t="s">
        <v>188</v>
      </c>
      <c r="G843" s="22">
        <v>0</v>
      </c>
      <c r="H843" s="22">
        <v>0</v>
      </c>
      <c r="I843" s="22">
        <v>0</v>
      </c>
      <c r="J843" s="22">
        <v>0</v>
      </c>
      <c r="K843" s="22">
        <v>0</v>
      </c>
      <c r="R843" s="24">
        <v>0</v>
      </c>
      <c r="S843" s="24">
        <v>0</v>
      </c>
      <c r="T843" s="24">
        <v>0</v>
      </c>
      <c r="U843" s="24">
        <v>0</v>
      </c>
      <c r="V843" s="24">
        <v>0</v>
      </c>
      <c r="AC843" s="26">
        <v>0</v>
      </c>
      <c r="AD843" s="26">
        <v>0</v>
      </c>
      <c r="AE843" s="26">
        <v>0</v>
      </c>
      <c r="AF843" s="26">
        <v>0</v>
      </c>
      <c r="AG843" s="26">
        <v>0</v>
      </c>
    </row>
    <row r="844" spans="2:33">
      <c r="B844" s="32" t="str">
        <f t="shared" si="31"/>
        <v>Ergon</v>
      </c>
      <c r="C844" s="32" t="s">
        <v>719</v>
      </c>
      <c r="D844" s="387"/>
      <c r="E844" s="31"/>
      <c r="F844" s="30" t="s">
        <v>189</v>
      </c>
      <c r="G844" s="22">
        <v>0</v>
      </c>
      <c r="H844" s="22">
        <v>0</v>
      </c>
      <c r="I844" s="22">
        <v>0</v>
      </c>
      <c r="J844" s="22">
        <v>0</v>
      </c>
      <c r="K844" s="22">
        <v>0</v>
      </c>
      <c r="R844" s="24">
        <v>0</v>
      </c>
      <c r="S844" s="24">
        <v>0</v>
      </c>
      <c r="T844" s="24">
        <v>0</v>
      </c>
      <c r="U844" s="24">
        <v>0</v>
      </c>
      <c r="V844" s="24">
        <v>0</v>
      </c>
      <c r="AC844" s="26">
        <v>0</v>
      </c>
      <c r="AD844" s="26">
        <v>0</v>
      </c>
      <c r="AE844" s="26">
        <v>0</v>
      </c>
      <c r="AF844" s="26">
        <v>0</v>
      </c>
      <c r="AG844" s="26">
        <v>0</v>
      </c>
    </row>
    <row r="845" spans="2:33">
      <c r="B845" s="32" t="str">
        <f t="shared" si="31"/>
        <v>Ergon</v>
      </c>
      <c r="C845" s="32" t="s">
        <v>719</v>
      </c>
      <c r="D845" s="387"/>
      <c r="E845" s="31"/>
      <c r="F845" s="30" t="s">
        <v>190</v>
      </c>
      <c r="G845" s="22">
        <v>0</v>
      </c>
      <c r="H845" s="22">
        <v>0</v>
      </c>
      <c r="I845" s="22">
        <v>0</v>
      </c>
      <c r="J845" s="22">
        <v>0</v>
      </c>
      <c r="K845" s="22">
        <v>0</v>
      </c>
      <c r="R845" s="24">
        <v>0</v>
      </c>
      <c r="S845" s="24">
        <v>0</v>
      </c>
      <c r="T845" s="24">
        <v>0</v>
      </c>
      <c r="U845" s="24">
        <v>0</v>
      </c>
      <c r="V845" s="24">
        <v>0</v>
      </c>
      <c r="AC845" s="26">
        <v>0</v>
      </c>
      <c r="AD845" s="26">
        <v>0</v>
      </c>
      <c r="AE845" s="26">
        <v>0</v>
      </c>
      <c r="AF845" s="26">
        <v>0</v>
      </c>
      <c r="AG845" s="26">
        <v>0</v>
      </c>
    </row>
    <row r="846" spans="2:33">
      <c r="B846" s="32" t="str">
        <f t="shared" si="31"/>
        <v>Ergon</v>
      </c>
      <c r="C846" s="32" t="s">
        <v>719</v>
      </c>
      <c r="D846" s="387"/>
      <c r="E846" s="31"/>
      <c r="F846" s="30" t="s">
        <v>191</v>
      </c>
      <c r="G846" s="22">
        <v>0</v>
      </c>
      <c r="H846" s="22">
        <v>0</v>
      </c>
      <c r="I846" s="22">
        <v>0</v>
      </c>
      <c r="J846" s="22">
        <v>0</v>
      </c>
      <c r="K846" s="22">
        <v>0</v>
      </c>
      <c r="R846" s="24">
        <v>0</v>
      </c>
      <c r="S846" s="24">
        <v>0</v>
      </c>
      <c r="T846" s="24">
        <v>0</v>
      </c>
      <c r="U846" s="24">
        <v>0</v>
      </c>
      <c r="V846" s="24">
        <v>0</v>
      </c>
      <c r="AC846" s="26">
        <v>0</v>
      </c>
      <c r="AD846" s="26">
        <v>0</v>
      </c>
      <c r="AE846" s="26">
        <v>0</v>
      </c>
      <c r="AF846" s="26">
        <v>0</v>
      </c>
      <c r="AG846" s="26">
        <v>0</v>
      </c>
    </row>
    <row r="847" spans="2:33">
      <c r="B847" s="32" t="str">
        <f t="shared" si="31"/>
        <v>Ergon</v>
      </c>
      <c r="C847" s="32" t="s">
        <v>719</v>
      </c>
      <c r="D847" s="387"/>
      <c r="E847" s="31"/>
      <c r="F847" s="30" t="s">
        <v>192</v>
      </c>
      <c r="G847" s="22">
        <v>0</v>
      </c>
      <c r="H847" s="22">
        <v>0</v>
      </c>
      <c r="I847" s="22">
        <v>0</v>
      </c>
      <c r="J847" s="22">
        <v>0</v>
      </c>
      <c r="K847" s="22">
        <v>0</v>
      </c>
      <c r="R847" s="24">
        <v>0</v>
      </c>
      <c r="S847" s="24">
        <v>0</v>
      </c>
      <c r="T847" s="24">
        <v>0</v>
      </c>
      <c r="U847" s="24">
        <v>0</v>
      </c>
      <c r="V847" s="24">
        <v>0</v>
      </c>
      <c r="AC847" s="26">
        <v>0</v>
      </c>
      <c r="AD847" s="26">
        <v>0</v>
      </c>
      <c r="AE847" s="26">
        <v>0</v>
      </c>
      <c r="AF847" s="26">
        <v>0</v>
      </c>
      <c r="AG847" s="26">
        <v>0</v>
      </c>
    </row>
    <row r="848" spans="2:33">
      <c r="B848" s="32" t="str">
        <f t="shared" si="31"/>
        <v>Ergon</v>
      </c>
      <c r="C848" s="32" t="s">
        <v>719</v>
      </c>
      <c r="D848" s="387"/>
      <c r="E848" s="31"/>
      <c r="F848" s="30" t="s">
        <v>193</v>
      </c>
      <c r="G848" s="22">
        <v>0</v>
      </c>
      <c r="H848" s="22">
        <v>0</v>
      </c>
      <c r="I848" s="22">
        <v>0</v>
      </c>
      <c r="J848" s="22">
        <v>0</v>
      </c>
      <c r="K848" s="22">
        <v>0</v>
      </c>
      <c r="R848" s="24">
        <v>0</v>
      </c>
      <c r="S848" s="24">
        <v>0</v>
      </c>
      <c r="T848" s="24">
        <v>0</v>
      </c>
      <c r="U848" s="24">
        <v>0</v>
      </c>
      <c r="V848" s="24">
        <v>0</v>
      </c>
      <c r="AC848" s="26">
        <v>0</v>
      </c>
      <c r="AD848" s="26">
        <v>0</v>
      </c>
      <c r="AE848" s="26">
        <v>0</v>
      </c>
      <c r="AF848" s="26">
        <v>0</v>
      </c>
      <c r="AG848" s="26">
        <v>0</v>
      </c>
    </row>
    <row r="849" spans="2:33">
      <c r="B849" s="32" t="str">
        <f t="shared" si="31"/>
        <v>Ergon</v>
      </c>
      <c r="C849" s="32" t="s">
        <v>719</v>
      </c>
      <c r="D849" s="387"/>
      <c r="E849" s="31"/>
      <c r="F849" s="30" t="s">
        <v>194</v>
      </c>
      <c r="G849" s="22">
        <v>0</v>
      </c>
      <c r="H849" s="22">
        <v>0</v>
      </c>
      <c r="I849" s="22">
        <v>0</v>
      </c>
      <c r="J849" s="22">
        <v>0</v>
      </c>
      <c r="K849" s="22">
        <v>0</v>
      </c>
      <c r="R849" s="24">
        <v>0</v>
      </c>
      <c r="S849" s="24">
        <v>0</v>
      </c>
      <c r="T849" s="24">
        <v>0</v>
      </c>
      <c r="U849" s="24">
        <v>0</v>
      </c>
      <c r="V849" s="24">
        <v>0</v>
      </c>
      <c r="AC849" s="26">
        <v>0</v>
      </c>
      <c r="AD849" s="26">
        <v>0</v>
      </c>
      <c r="AE849" s="26">
        <v>0</v>
      </c>
      <c r="AF849" s="26">
        <v>0</v>
      </c>
      <c r="AG849" s="26">
        <v>0</v>
      </c>
    </row>
    <row r="850" spans="2:33">
      <c r="B850" s="32" t="str">
        <f t="shared" si="31"/>
        <v>Ergon</v>
      </c>
      <c r="C850" s="32" t="s">
        <v>719</v>
      </c>
      <c r="D850" s="387"/>
      <c r="E850" s="31"/>
      <c r="F850" s="30" t="s">
        <v>195</v>
      </c>
      <c r="G850" s="22">
        <v>0</v>
      </c>
      <c r="H850" s="22">
        <v>0</v>
      </c>
      <c r="I850" s="22">
        <v>0</v>
      </c>
      <c r="J850" s="22">
        <v>0</v>
      </c>
      <c r="K850" s="22">
        <v>0</v>
      </c>
      <c r="R850" s="24">
        <v>0</v>
      </c>
      <c r="S850" s="24">
        <v>0</v>
      </c>
      <c r="T850" s="24">
        <v>0</v>
      </c>
      <c r="U850" s="24">
        <v>0</v>
      </c>
      <c r="V850" s="24">
        <v>0</v>
      </c>
      <c r="AC850" s="26">
        <v>0</v>
      </c>
      <c r="AD850" s="26">
        <v>0</v>
      </c>
      <c r="AE850" s="26">
        <v>0</v>
      </c>
      <c r="AF850" s="26">
        <v>0</v>
      </c>
      <c r="AG850" s="26">
        <v>0</v>
      </c>
    </row>
    <row r="851" spans="2:33">
      <c r="B851" s="32" t="str">
        <f t="shared" si="31"/>
        <v>Ergon</v>
      </c>
      <c r="C851" s="32" t="s">
        <v>719</v>
      </c>
      <c r="D851" s="387"/>
      <c r="E851" s="31"/>
      <c r="F851" s="30" t="s">
        <v>196</v>
      </c>
      <c r="G851" s="22">
        <v>0</v>
      </c>
      <c r="H851" s="22">
        <v>0</v>
      </c>
      <c r="I851" s="22">
        <v>0</v>
      </c>
      <c r="J851" s="22">
        <v>0</v>
      </c>
      <c r="K851" s="22">
        <v>0</v>
      </c>
      <c r="R851" s="24">
        <v>0</v>
      </c>
      <c r="S851" s="24">
        <v>0</v>
      </c>
      <c r="T851" s="24">
        <v>0</v>
      </c>
      <c r="U851" s="24">
        <v>0</v>
      </c>
      <c r="V851" s="24">
        <v>0</v>
      </c>
      <c r="AC851" s="26">
        <v>0</v>
      </c>
      <c r="AD851" s="26">
        <v>0</v>
      </c>
      <c r="AE851" s="26">
        <v>0</v>
      </c>
      <c r="AF851" s="26">
        <v>0</v>
      </c>
      <c r="AG851" s="26">
        <v>0</v>
      </c>
    </row>
    <row r="852" spans="2:33">
      <c r="B852" s="32" t="str">
        <f t="shared" si="31"/>
        <v>Ergon</v>
      </c>
      <c r="C852" s="32" t="s">
        <v>719</v>
      </c>
      <c r="D852" s="387"/>
      <c r="E852" s="31"/>
      <c r="F852" s="30" t="s">
        <v>197</v>
      </c>
      <c r="G852" s="22">
        <v>0</v>
      </c>
      <c r="H852" s="22">
        <v>0</v>
      </c>
      <c r="I852" s="22">
        <v>0</v>
      </c>
      <c r="J852" s="22">
        <v>0</v>
      </c>
      <c r="K852" s="22">
        <v>0</v>
      </c>
      <c r="R852" s="24">
        <v>0</v>
      </c>
      <c r="S852" s="24">
        <v>0</v>
      </c>
      <c r="T852" s="24">
        <v>0</v>
      </c>
      <c r="U852" s="24">
        <v>0</v>
      </c>
      <c r="V852" s="24">
        <v>0</v>
      </c>
      <c r="AC852" s="26">
        <v>0</v>
      </c>
      <c r="AD852" s="26">
        <v>0</v>
      </c>
      <c r="AE852" s="26">
        <v>0</v>
      </c>
      <c r="AF852" s="26">
        <v>0</v>
      </c>
      <c r="AG852" s="26">
        <v>0</v>
      </c>
    </row>
    <row r="853" spans="2:33">
      <c r="B853" s="32" t="str">
        <f t="shared" si="31"/>
        <v>Ergon</v>
      </c>
      <c r="C853" s="32" t="s">
        <v>719</v>
      </c>
      <c r="D853" s="387"/>
      <c r="E853" s="31"/>
      <c r="F853" s="30" t="s">
        <v>198</v>
      </c>
      <c r="G853" s="22">
        <v>0</v>
      </c>
      <c r="H853" s="22">
        <v>0</v>
      </c>
      <c r="I853" s="22">
        <v>0</v>
      </c>
      <c r="J853" s="22">
        <v>0</v>
      </c>
      <c r="K853" s="22">
        <v>0</v>
      </c>
      <c r="R853" s="24">
        <v>0</v>
      </c>
      <c r="S853" s="24">
        <v>0</v>
      </c>
      <c r="T853" s="24">
        <v>0</v>
      </c>
      <c r="U853" s="24">
        <v>0</v>
      </c>
      <c r="V853" s="24">
        <v>0</v>
      </c>
      <c r="AC853" s="26">
        <v>0</v>
      </c>
      <c r="AD853" s="26">
        <v>0</v>
      </c>
      <c r="AE853" s="26">
        <v>0</v>
      </c>
      <c r="AF853" s="26">
        <v>0</v>
      </c>
      <c r="AG853" s="26">
        <v>0</v>
      </c>
    </row>
    <row r="854" spans="2:33">
      <c r="B854" s="32" t="str">
        <f t="shared" si="31"/>
        <v>Ergon</v>
      </c>
      <c r="C854" s="32" t="s">
        <v>719</v>
      </c>
      <c r="D854" s="387"/>
      <c r="E854" s="31"/>
      <c r="F854" s="30" t="s">
        <v>199</v>
      </c>
      <c r="G854" s="22">
        <v>0</v>
      </c>
      <c r="H854" s="22">
        <v>0</v>
      </c>
      <c r="I854" s="22">
        <v>0</v>
      </c>
      <c r="J854" s="22">
        <v>0</v>
      </c>
      <c r="K854" s="22">
        <v>0</v>
      </c>
      <c r="R854" s="24">
        <v>0</v>
      </c>
      <c r="S854" s="24">
        <v>0</v>
      </c>
      <c r="T854" s="24">
        <v>0</v>
      </c>
      <c r="U854" s="24">
        <v>0</v>
      </c>
      <c r="V854" s="24">
        <v>0</v>
      </c>
      <c r="AC854" s="26">
        <v>0</v>
      </c>
      <c r="AD854" s="26">
        <v>0</v>
      </c>
      <c r="AE854" s="26">
        <v>0</v>
      </c>
      <c r="AF854" s="26">
        <v>0</v>
      </c>
      <c r="AG854" s="26">
        <v>0</v>
      </c>
    </row>
    <row r="855" spans="2:33">
      <c r="B855" s="32" t="str">
        <f t="shared" si="31"/>
        <v>Ergon</v>
      </c>
      <c r="C855" s="32" t="s">
        <v>719</v>
      </c>
      <c r="D855" s="387"/>
      <c r="E855" s="31"/>
      <c r="F855" s="30" t="s">
        <v>200</v>
      </c>
      <c r="G855" s="22">
        <v>0</v>
      </c>
      <c r="H855" s="22">
        <v>0</v>
      </c>
      <c r="I855" s="22">
        <v>0</v>
      </c>
      <c r="J855" s="22">
        <v>0</v>
      </c>
      <c r="K855" s="22">
        <v>0</v>
      </c>
      <c r="R855" s="24">
        <v>0</v>
      </c>
      <c r="S855" s="24">
        <v>0</v>
      </c>
      <c r="T855" s="24">
        <v>0</v>
      </c>
      <c r="U855" s="24">
        <v>0</v>
      </c>
      <c r="V855" s="24">
        <v>0</v>
      </c>
      <c r="AC855" s="26">
        <v>0</v>
      </c>
      <c r="AD855" s="26">
        <v>0</v>
      </c>
      <c r="AE855" s="26">
        <v>0</v>
      </c>
      <c r="AF855" s="26">
        <v>0</v>
      </c>
      <c r="AG855" s="26">
        <v>0</v>
      </c>
    </row>
    <row r="856" spans="2:33">
      <c r="B856" s="32" t="str">
        <f t="shared" si="31"/>
        <v>Ergon</v>
      </c>
      <c r="C856" s="32" t="s">
        <v>719</v>
      </c>
      <c r="D856" s="387"/>
      <c r="E856" s="31"/>
      <c r="F856" s="30" t="s">
        <v>170</v>
      </c>
    </row>
    <row r="857" spans="2:33" ht="90">
      <c r="B857" s="32" t="str">
        <f t="shared" si="31"/>
        <v>Ergon</v>
      </c>
      <c r="C857" s="32" t="s">
        <v>4</v>
      </c>
      <c r="D857" s="387"/>
      <c r="E857" s="31" t="s">
        <v>544</v>
      </c>
      <c r="F857" s="30" t="s">
        <v>203</v>
      </c>
      <c r="G857" s="22">
        <v>3129.903824</v>
      </c>
      <c r="H857" s="22">
        <v>3251.4347969999999</v>
      </c>
      <c r="I857" s="22">
        <v>5667.9408439999997</v>
      </c>
      <c r="J857" s="22">
        <v>4705.6623529999997</v>
      </c>
      <c r="K857" s="22">
        <v>5755.5349660000002</v>
      </c>
      <c r="R857" s="24">
        <v>607</v>
      </c>
      <c r="S857" s="24">
        <v>637</v>
      </c>
      <c r="T857" s="24">
        <v>639</v>
      </c>
      <c r="U857" s="24">
        <v>747</v>
      </c>
      <c r="V857" s="24">
        <v>664</v>
      </c>
      <c r="AC857" s="26">
        <v>607</v>
      </c>
      <c r="AD857" s="26">
        <v>637</v>
      </c>
      <c r="AE857" s="26">
        <v>639</v>
      </c>
      <c r="AF857" s="26">
        <v>747</v>
      </c>
      <c r="AG857" s="26">
        <v>664</v>
      </c>
    </row>
    <row r="858" spans="2:33">
      <c r="B858" s="32" t="str">
        <f t="shared" si="31"/>
        <v>Ergon</v>
      </c>
      <c r="C858" s="32" t="s">
        <v>4</v>
      </c>
      <c r="D858" s="387"/>
      <c r="E858" s="31"/>
      <c r="F858" s="30" t="s">
        <v>204</v>
      </c>
      <c r="G858" s="22">
        <v>735.13330040000005</v>
      </c>
      <c r="H858" s="22">
        <v>779.48007930000006</v>
      </c>
      <c r="I858" s="22">
        <v>672.98295540000004</v>
      </c>
      <c r="J858" s="22">
        <v>936.4398367</v>
      </c>
      <c r="K858" s="22">
        <v>1090.741577</v>
      </c>
      <c r="R858" s="24">
        <v>22</v>
      </c>
      <c r="S858" s="24">
        <v>25</v>
      </c>
      <c r="T858" s="24">
        <v>12</v>
      </c>
      <c r="U858" s="24">
        <v>24</v>
      </c>
      <c r="V858" s="24">
        <v>21</v>
      </c>
      <c r="AC858" s="26">
        <v>22</v>
      </c>
      <c r="AD858" s="26">
        <v>25</v>
      </c>
      <c r="AE858" s="26">
        <v>12</v>
      </c>
      <c r="AF858" s="26">
        <v>24</v>
      </c>
      <c r="AG858" s="26">
        <v>21</v>
      </c>
    </row>
    <row r="859" spans="2:33">
      <c r="B859" s="32" t="str">
        <f t="shared" si="31"/>
        <v>Ergon</v>
      </c>
      <c r="C859" s="32" t="s">
        <v>4</v>
      </c>
      <c r="D859" s="387"/>
      <c r="E859" s="31"/>
      <c r="F859" s="30" t="s">
        <v>205</v>
      </c>
      <c r="G859" s="22">
        <v>0</v>
      </c>
      <c r="H859" s="22">
        <v>0</v>
      </c>
      <c r="I859" s="22">
        <v>0</v>
      </c>
      <c r="J859" s="22">
        <v>0</v>
      </c>
      <c r="K859" s="22">
        <v>0</v>
      </c>
      <c r="R859" s="24">
        <v>0</v>
      </c>
      <c r="S859" s="24">
        <v>0</v>
      </c>
      <c r="T859" s="24">
        <v>0</v>
      </c>
      <c r="U859" s="24">
        <v>0</v>
      </c>
      <c r="V859" s="24">
        <v>0</v>
      </c>
      <c r="AC859" s="26">
        <v>0</v>
      </c>
      <c r="AD859" s="26">
        <v>0</v>
      </c>
      <c r="AE859" s="26">
        <v>0</v>
      </c>
      <c r="AF859" s="26">
        <v>0</v>
      </c>
      <c r="AG859" s="26">
        <v>0</v>
      </c>
    </row>
    <row r="860" spans="2:33">
      <c r="B860" s="32" t="str">
        <f t="shared" si="31"/>
        <v>Ergon</v>
      </c>
      <c r="C860" s="32" t="s">
        <v>4</v>
      </c>
      <c r="D860" s="387"/>
      <c r="E860" s="31"/>
      <c r="F860" s="30" t="s">
        <v>206</v>
      </c>
      <c r="G860" s="22">
        <v>1539.01189</v>
      </c>
      <c r="H860" s="22">
        <v>1364.0617609999999</v>
      </c>
      <c r="I860" s="22">
        <v>2626.3098369999998</v>
      </c>
      <c r="J860" s="22">
        <v>1797.550225</v>
      </c>
      <c r="K860" s="22">
        <v>2080.8395599999999</v>
      </c>
      <c r="R860" s="24">
        <v>184</v>
      </c>
      <c r="S860" s="24">
        <v>164</v>
      </c>
      <c r="T860" s="24">
        <v>182</v>
      </c>
      <c r="U860" s="24">
        <v>197</v>
      </c>
      <c r="V860" s="24">
        <v>186</v>
      </c>
      <c r="AC860" s="26">
        <v>184</v>
      </c>
      <c r="AD860" s="26">
        <v>164</v>
      </c>
      <c r="AE860" s="26">
        <v>182</v>
      </c>
      <c r="AF860" s="26">
        <v>197</v>
      </c>
      <c r="AG860" s="26">
        <v>186</v>
      </c>
    </row>
    <row r="861" spans="2:33">
      <c r="B861" s="32" t="str">
        <f t="shared" si="31"/>
        <v>Ergon</v>
      </c>
      <c r="C861" s="32" t="s">
        <v>4</v>
      </c>
      <c r="D861" s="387"/>
      <c r="E861" s="31"/>
      <c r="F861" s="30" t="s">
        <v>207</v>
      </c>
      <c r="G861" s="22">
        <v>9368.5057510000006</v>
      </c>
      <c r="H861" s="22">
        <v>8130.1704289999998</v>
      </c>
      <c r="I861" s="22">
        <v>13758.84944</v>
      </c>
      <c r="J861" s="22">
        <v>9751.1689239999996</v>
      </c>
      <c r="K861" s="22">
        <v>11561.122240000001</v>
      </c>
      <c r="R861" s="24">
        <v>482</v>
      </c>
      <c r="S861" s="24">
        <v>431</v>
      </c>
      <c r="T861" s="24">
        <v>444</v>
      </c>
      <c r="U861" s="24">
        <v>480</v>
      </c>
      <c r="V861" s="24">
        <v>483</v>
      </c>
      <c r="AC861" s="26">
        <v>482</v>
      </c>
      <c r="AD861" s="26">
        <v>431</v>
      </c>
      <c r="AE861" s="26">
        <v>444</v>
      </c>
      <c r="AF861" s="26">
        <v>480</v>
      </c>
      <c r="AG861" s="26">
        <v>483</v>
      </c>
    </row>
    <row r="862" spans="2:33">
      <c r="B862" s="32" t="str">
        <f t="shared" ref="B862:B925" si="32">IF(D862&gt;0,D862,B861)</f>
        <v>Ergon</v>
      </c>
      <c r="C862" s="32" t="s">
        <v>4</v>
      </c>
      <c r="D862" s="387"/>
      <c r="E862" s="31"/>
      <c r="F862" s="30" t="s">
        <v>208</v>
      </c>
      <c r="G862" s="22">
        <v>1987.0907979999999</v>
      </c>
      <c r="H862" s="22">
        <v>2695.4691469999998</v>
      </c>
      <c r="I862" s="22">
        <v>3361.4010360000002</v>
      </c>
      <c r="J862" s="22">
        <v>3776.2962550000002</v>
      </c>
      <c r="K862" s="22">
        <v>3457.845519</v>
      </c>
      <c r="R862" s="24">
        <v>49</v>
      </c>
      <c r="S862" s="24">
        <v>71</v>
      </c>
      <c r="T862" s="24">
        <v>45</v>
      </c>
      <c r="U862" s="24">
        <v>78</v>
      </c>
      <c r="V862" s="24">
        <v>54</v>
      </c>
      <c r="AC862" s="26">
        <v>49</v>
      </c>
      <c r="AD862" s="26">
        <v>71</v>
      </c>
      <c r="AE862" s="26">
        <v>45</v>
      </c>
      <c r="AF862" s="26">
        <v>78</v>
      </c>
      <c r="AG862" s="26">
        <v>54</v>
      </c>
    </row>
    <row r="863" spans="2:33">
      <c r="B863" s="32" t="str">
        <f t="shared" si="32"/>
        <v>Ergon</v>
      </c>
      <c r="C863" s="32" t="s">
        <v>4</v>
      </c>
      <c r="D863" s="387"/>
      <c r="E863" s="31"/>
      <c r="F863" s="30" t="s">
        <v>209</v>
      </c>
      <c r="G863" s="22">
        <v>37.746115779999997</v>
      </c>
      <c r="H863" s="22">
        <v>34.744015920000002</v>
      </c>
      <c r="I863" s="22">
        <v>0</v>
      </c>
      <c r="J863" s="22">
        <v>64.029011499999996</v>
      </c>
      <c r="K863" s="22">
        <v>9.7509372429999992</v>
      </c>
      <c r="R863" s="24">
        <v>4</v>
      </c>
      <c r="S863" s="24">
        <v>5</v>
      </c>
      <c r="T863" s="24">
        <v>0</v>
      </c>
      <c r="U863" s="24">
        <v>6</v>
      </c>
      <c r="V863" s="24">
        <v>1</v>
      </c>
      <c r="AC863" s="26">
        <v>4</v>
      </c>
      <c r="AD863" s="26">
        <v>5</v>
      </c>
      <c r="AE863" s="26">
        <v>0</v>
      </c>
      <c r="AF863" s="26">
        <v>6</v>
      </c>
      <c r="AG863" s="26">
        <v>1</v>
      </c>
    </row>
    <row r="864" spans="2:33">
      <c r="B864" s="32" t="str">
        <f t="shared" si="32"/>
        <v>Ergon</v>
      </c>
      <c r="C864" s="32" t="s">
        <v>4</v>
      </c>
      <c r="D864" s="387"/>
      <c r="E864" s="31"/>
      <c r="F864" s="30" t="s">
        <v>210</v>
      </c>
      <c r="G864" s="22">
        <v>0</v>
      </c>
      <c r="H864" s="22">
        <v>0</v>
      </c>
      <c r="I864" s="22">
        <v>0</v>
      </c>
      <c r="J864" s="22">
        <v>0</v>
      </c>
      <c r="K864" s="22">
        <v>0</v>
      </c>
      <c r="R864" s="24">
        <v>0</v>
      </c>
      <c r="S864" s="24">
        <v>0</v>
      </c>
      <c r="T864" s="24">
        <v>0</v>
      </c>
      <c r="U864" s="24">
        <v>0</v>
      </c>
      <c r="V864" s="24">
        <v>0</v>
      </c>
      <c r="AC864" s="26">
        <v>0</v>
      </c>
      <c r="AD864" s="26">
        <v>0</v>
      </c>
      <c r="AE864" s="26">
        <v>0</v>
      </c>
      <c r="AF864" s="26">
        <v>0</v>
      </c>
      <c r="AG864" s="26">
        <v>0</v>
      </c>
    </row>
    <row r="865" spans="2:33">
      <c r="B865" s="32" t="str">
        <f t="shared" si="32"/>
        <v>Ergon</v>
      </c>
      <c r="C865" s="32" t="s">
        <v>4</v>
      </c>
      <c r="D865" s="387"/>
      <c r="E865" s="31"/>
      <c r="F865" s="30" t="s">
        <v>211</v>
      </c>
      <c r="G865" s="22">
        <v>0</v>
      </c>
      <c r="H865" s="22">
        <v>0</v>
      </c>
      <c r="I865" s="22">
        <v>0</v>
      </c>
      <c r="J865" s="22">
        <v>0</v>
      </c>
      <c r="K865" s="22">
        <v>0</v>
      </c>
      <c r="R865" s="24">
        <v>0</v>
      </c>
      <c r="S865" s="24">
        <v>0</v>
      </c>
      <c r="T865" s="24">
        <v>0</v>
      </c>
      <c r="U865" s="24">
        <v>0</v>
      </c>
      <c r="V865" s="24">
        <v>0</v>
      </c>
      <c r="AC865" s="26">
        <v>0</v>
      </c>
      <c r="AD865" s="26">
        <v>0</v>
      </c>
      <c r="AE865" s="26">
        <v>0</v>
      </c>
      <c r="AF865" s="26">
        <v>0</v>
      </c>
      <c r="AG865" s="26">
        <v>0</v>
      </c>
    </row>
    <row r="866" spans="2:33">
      <c r="B866" s="32" t="str">
        <f t="shared" si="32"/>
        <v>Ergon</v>
      </c>
      <c r="C866" s="32" t="s">
        <v>4</v>
      </c>
      <c r="D866" s="387"/>
      <c r="E866" s="31"/>
      <c r="F866" s="30" t="s">
        <v>209</v>
      </c>
      <c r="G866" s="22">
        <v>0</v>
      </c>
      <c r="H866" s="22">
        <v>18.804937689999999</v>
      </c>
      <c r="I866" s="22">
        <v>0</v>
      </c>
      <c r="J866" s="22">
        <v>0</v>
      </c>
      <c r="K866" s="22">
        <v>64.017138889999998</v>
      </c>
      <c r="R866" s="24">
        <v>0</v>
      </c>
      <c r="S866" s="24">
        <v>1</v>
      </c>
      <c r="T866" s="24">
        <v>0</v>
      </c>
      <c r="U866" s="24">
        <v>0</v>
      </c>
      <c r="V866" s="24">
        <v>2</v>
      </c>
      <c r="AC866" s="26">
        <v>0</v>
      </c>
      <c r="AD866" s="26">
        <v>1</v>
      </c>
      <c r="AE866" s="26">
        <v>0</v>
      </c>
      <c r="AF866" s="26">
        <v>0</v>
      </c>
      <c r="AG866" s="26">
        <v>2</v>
      </c>
    </row>
    <row r="867" spans="2:33">
      <c r="B867" s="32" t="str">
        <f t="shared" si="32"/>
        <v>Ergon</v>
      </c>
      <c r="C867" s="32" t="s">
        <v>4</v>
      </c>
      <c r="D867" s="387"/>
      <c r="E867" s="31"/>
      <c r="F867" s="30" t="s">
        <v>212</v>
      </c>
      <c r="G867" s="22">
        <v>248.62892500000001</v>
      </c>
      <c r="H867" s="22">
        <v>0</v>
      </c>
      <c r="I867" s="22">
        <v>146.910833</v>
      </c>
      <c r="J867" s="22">
        <v>260.75211860000002</v>
      </c>
      <c r="K867" s="22">
        <v>224.99408299999999</v>
      </c>
      <c r="R867" s="24">
        <v>8</v>
      </c>
      <c r="S867" s="24">
        <v>0</v>
      </c>
      <c r="T867" s="24">
        <v>3</v>
      </c>
      <c r="U867" s="24">
        <v>7</v>
      </c>
      <c r="V867" s="24">
        <v>6</v>
      </c>
      <c r="AC867" s="26">
        <v>8</v>
      </c>
      <c r="AD867" s="26">
        <v>0</v>
      </c>
      <c r="AE867" s="26">
        <v>3</v>
      </c>
      <c r="AF867" s="26">
        <v>7</v>
      </c>
      <c r="AG867" s="26">
        <v>6</v>
      </c>
    </row>
    <row r="868" spans="2:33">
      <c r="B868" s="32" t="str">
        <f t="shared" si="32"/>
        <v>Ergon</v>
      </c>
      <c r="C868" s="32" t="s">
        <v>4</v>
      </c>
      <c r="D868" s="387"/>
      <c r="E868" s="31"/>
      <c r="F868" s="30" t="s">
        <v>213</v>
      </c>
      <c r="G868" s="22">
        <v>0</v>
      </c>
      <c r="H868" s="22">
        <v>0</v>
      </c>
      <c r="I868" s="22">
        <v>0</v>
      </c>
      <c r="J868" s="22">
        <v>0</v>
      </c>
      <c r="K868" s="22">
        <v>0</v>
      </c>
      <c r="R868" s="24">
        <v>0</v>
      </c>
      <c r="S868" s="24">
        <v>0</v>
      </c>
      <c r="T868" s="24">
        <v>0</v>
      </c>
      <c r="U868" s="24">
        <v>0</v>
      </c>
      <c r="V868" s="24">
        <v>0</v>
      </c>
      <c r="AC868" s="26">
        <v>0</v>
      </c>
      <c r="AD868" s="26">
        <v>0</v>
      </c>
      <c r="AE868" s="26">
        <v>0</v>
      </c>
      <c r="AF868" s="26">
        <v>0</v>
      </c>
      <c r="AG868" s="26">
        <v>0</v>
      </c>
    </row>
    <row r="869" spans="2:33">
      <c r="B869" s="32" t="str">
        <f t="shared" si="32"/>
        <v>Ergon</v>
      </c>
      <c r="C869" s="32" t="s">
        <v>4</v>
      </c>
      <c r="D869" s="387"/>
      <c r="E869" s="31"/>
      <c r="F869" s="30" t="s">
        <v>214</v>
      </c>
      <c r="G869" s="22">
        <v>0</v>
      </c>
      <c r="H869" s="22">
        <v>0</v>
      </c>
      <c r="I869" s="22">
        <v>0</v>
      </c>
      <c r="J869" s="22">
        <v>0</v>
      </c>
      <c r="K869" s="22">
        <v>0</v>
      </c>
      <c r="R869" s="24">
        <v>0</v>
      </c>
      <c r="S869" s="24">
        <v>0</v>
      </c>
      <c r="T869" s="24">
        <v>0</v>
      </c>
      <c r="U869" s="24">
        <v>0</v>
      </c>
      <c r="V869" s="24">
        <v>0</v>
      </c>
      <c r="AC869" s="26">
        <v>0</v>
      </c>
      <c r="AD869" s="26">
        <v>0</v>
      </c>
      <c r="AE869" s="26">
        <v>0</v>
      </c>
      <c r="AF869" s="26">
        <v>0</v>
      </c>
      <c r="AG869" s="26">
        <v>0</v>
      </c>
    </row>
    <row r="870" spans="2:33">
      <c r="B870" s="32" t="str">
        <f t="shared" si="32"/>
        <v>Ergon</v>
      </c>
      <c r="C870" s="32" t="s">
        <v>4</v>
      </c>
      <c r="D870" s="387"/>
      <c r="E870" s="31"/>
      <c r="F870" s="30" t="s">
        <v>215</v>
      </c>
      <c r="G870" s="22">
        <v>0</v>
      </c>
      <c r="H870" s="22">
        <v>0</v>
      </c>
      <c r="I870" s="22">
        <v>0</v>
      </c>
      <c r="J870" s="22">
        <v>0</v>
      </c>
      <c r="K870" s="22">
        <v>0</v>
      </c>
      <c r="R870" s="24">
        <v>0</v>
      </c>
      <c r="S870" s="24">
        <v>0</v>
      </c>
      <c r="T870" s="24">
        <v>0</v>
      </c>
      <c r="U870" s="24">
        <v>0</v>
      </c>
      <c r="V870" s="24">
        <v>0</v>
      </c>
      <c r="AC870" s="26">
        <v>0</v>
      </c>
      <c r="AD870" s="26">
        <v>0</v>
      </c>
      <c r="AE870" s="26">
        <v>0</v>
      </c>
      <c r="AF870" s="26">
        <v>0</v>
      </c>
      <c r="AG870" s="26">
        <v>0</v>
      </c>
    </row>
    <row r="871" spans="2:33">
      <c r="B871" s="32" t="str">
        <f t="shared" si="32"/>
        <v>Ergon</v>
      </c>
      <c r="C871" s="32" t="s">
        <v>4</v>
      </c>
      <c r="D871" s="387"/>
      <c r="E871" s="31"/>
      <c r="F871" s="30" t="s">
        <v>216</v>
      </c>
      <c r="G871" s="22">
        <v>0</v>
      </c>
      <c r="H871" s="22">
        <v>0</v>
      </c>
      <c r="I871" s="22">
        <v>0</v>
      </c>
      <c r="J871" s="22">
        <v>0</v>
      </c>
      <c r="K871" s="22">
        <v>0</v>
      </c>
      <c r="R871" s="24">
        <v>0</v>
      </c>
      <c r="S871" s="24">
        <v>0</v>
      </c>
      <c r="T871" s="24">
        <v>0</v>
      </c>
      <c r="U871" s="24">
        <v>0</v>
      </c>
      <c r="V871" s="24">
        <v>0</v>
      </c>
      <c r="AC871" s="26">
        <v>0</v>
      </c>
      <c r="AD871" s="26">
        <v>0</v>
      </c>
      <c r="AE871" s="26">
        <v>0</v>
      </c>
      <c r="AF871" s="26">
        <v>0</v>
      </c>
      <c r="AG871" s="26">
        <v>0</v>
      </c>
    </row>
    <row r="872" spans="2:33">
      <c r="B872" s="32" t="str">
        <f t="shared" si="32"/>
        <v>Ergon</v>
      </c>
      <c r="C872" s="32" t="s">
        <v>4</v>
      </c>
      <c r="D872" s="387"/>
      <c r="E872" s="31"/>
      <c r="F872" s="30" t="s">
        <v>217</v>
      </c>
      <c r="G872" s="22">
        <v>0</v>
      </c>
      <c r="H872" s="22">
        <v>0</v>
      </c>
      <c r="I872" s="22">
        <v>0</v>
      </c>
      <c r="J872" s="22">
        <v>0</v>
      </c>
      <c r="K872" s="22">
        <v>0</v>
      </c>
      <c r="R872" s="24">
        <v>0</v>
      </c>
      <c r="S872" s="24">
        <v>0</v>
      </c>
      <c r="T872" s="24">
        <v>0</v>
      </c>
      <c r="U872" s="24">
        <v>0</v>
      </c>
      <c r="V872" s="24">
        <v>0</v>
      </c>
      <c r="AC872" s="26">
        <v>0</v>
      </c>
      <c r="AD872" s="26">
        <v>0</v>
      </c>
      <c r="AE872" s="26">
        <v>0</v>
      </c>
      <c r="AF872" s="26">
        <v>0</v>
      </c>
      <c r="AG872" s="26">
        <v>0</v>
      </c>
    </row>
    <row r="873" spans="2:33">
      <c r="B873" s="32" t="str">
        <f t="shared" si="32"/>
        <v>Ergon</v>
      </c>
      <c r="C873" s="32" t="s">
        <v>4</v>
      </c>
      <c r="D873" s="387"/>
      <c r="E873" s="31"/>
      <c r="F873" s="30" t="s">
        <v>218</v>
      </c>
      <c r="G873" s="22">
        <v>2925.9617079999998</v>
      </c>
      <c r="H873" s="22">
        <v>1479.0743399999999</v>
      </c>
      <c r="I873" s="22">
        <v>2640.5154790000001</v>
      </c>
      <c r="J873" s="22">
        <v>2876.7056400000001</v>
      </c>
      <c r="K873" s="22">
        <v>3783.8993209999999</v>
      </c>
      <c r="R873" s="24">
        <v>33</v>
      </c>
      <c r="S873" s="24">
        <v>15</v>
      </c>
      <c r="T873" s="24">
        <v>16</v>
      </c>
      <c r="U873" s="24">
        <v>23</v>
      </c>
      <c r="V873" s="24">
        <v>25</v>
      </c>
      <c r="AC873" s="26">
        <v>33</v>
      </c>
      <c r="AD873" s="26">
        <v>15</v>
      </c>
      <c r="AE873" s="26">
        <v>16</v>
      </c>
      <c r="AF873" s="26">
        <v>23</v>
      </c>
      <c r="AG873" s="26">
        <v>25</v>
      </c>
    </row>
    <row r="874" spans="2:33">
      <c r="B874" s="32" t="str">
        <f t="shared" si="32"/>
        <v>Ergon</v>
      </c>
      <c r="C874" s="32" t="s">
        <v>4</v>
      </c>
      <c r="D874" s="387"/>
      <c r="E874" s="31"/>
      <c r="F874" s="30" t="s">
        <v>219</v>
      </c>
      <c r="G874" s="22">
        <v>552.2771252</v>
      </c>
      <c r="H874" s="22">
        <v>1186.4912200000001</v>
      </c>
      <c r="I874" s="22">
        <v>1373.907197</v>
      </c>
      <c r="J874" s="22">
        <v>930.8545742</v>
      </c>
      <c r="K874" s="22">
        <v>1209.974224</v>
      </c>
      <c r="R874" s="24">
        <v>5</v>
      </c>
      <c r="S874" s="24">
        <v>9</v>
      </c>
      <c r="T874" s="24">
        <v>8</v>
      </c>
      <c r="U874" s="24">
        <v>6</v>
      </c>
      <c r="V874" s="24">
        <v>7</v>
      </c>
      <c r="AC874" s="26">
        <v>5</v>
      </c>
      <c r="AD874" s="26">
        <v>9</v>
      </c>
      <c r="AE874" s="26">
        <v>8</v>
      </c>
      <c r="AF874" s="26">
        <v>6</v>
      </c>
      <c r="AG874" s="26">
        <v>7</v>
      </c>
    </row>
    <row r="875" spans="2:33">
      <c r="B875" s="32" t="str">
        <f t="shared" si="32"/>
        <v>Ergon</v>
      </c>
      <c r="C875" s="32" t="s">
        <v>4</v>
      </c>
      <c r="D875" s="387"/>
      <c r="E875" s="31"/>
      <c r="F875" s="30" t="s">
        <v>220</v>
      </c>
      <c r="G875" s="22">
        <v>0</v>
      </c>
      <c r="H875" s="22">
        <v>0</v>
      </c>
      <c r="I875" s="22">
        <v>0</v>
      </c>
      <c r="J875" s="22">
        <v>0</v>
      </c>
      <c r="K875" s="22">
        <v>0</v>
      </c>
      <c r="R875" s="24">
        <v>0</v>
      </c>
      <c r="S875" s="24">
        <v>0</v>
      </c>
      <c r="T875" s="24">
        <v>0</v>
      </c>
      <c r="U875" s="24">
        <v>0</v>
      </c>
      <c r="V875" s="24">
        <v>0</v>
      </c>
      <c r="AC875" s="26">
        <v>0</v>
      </c>
      <c r="AD875" s="26">
        <v>0</v>
      </c>
      <c r="AE875" s="26">
        <v>0</v>
      </c>
      <c r="AF875" s="26">
        <v>0</v>
      </c>
      <c r="AG875" s="26">
        <v>0</v>
      </c>
    </row>
    <row r="876" spans="2:33">
      <c r="B876" s="32" t="str">
        <f t="shared" si="32"/>
        <v>Ergon</v>
      </c>
      <c r="C876" s="32" t="s">
        <v>4</v>
      </c>
      <c r="D876" s="387"/>
      <c r="E876" s="31"/>
      <c r="F876" s="30" t="s">
        <v>221</v>
      </c>
      <c r="G876" s="22">
        <v>0</v>
      </c>
      <c r="H876" s="22">
        <v>0</v>
      </c>
      <c r="I876" s="22">
        <v>0</v>
      </c>
      <c r="J876" s="22">
        <v>0</v>
      </c>
      <c r="K876" s="22">
        <v>0</v>
      </c>
      <c r="R876" s="24">
        <v>0</v>
      </c>
      <c r="S876" s="24">
        <v>0</v>
      </c>
      <c r="T876" s="24">
        <v>0</v>
      </c>
      <c r="U876" s="24">
        <v>0</v>
      </c>
      <c r="V876" s="24">
        <v>0</v>
      </c>
      <c r="AC876" s="26">
        <v>0</v>
      </c>
      <c r="AD876" s="26">
        <v>0</v>
      </c>
      <c r="AE876" s="26">
        <v>0</v>
      </c>
      <c r="AF876" s="26">
        <v>0</v>
      </c>
      <c r="AG876" s="26">
        <v>0</v>
      </c>
    </row>
    <row r="877" spans="2:33">
      <c r="B877" s="32" t="str">
        <f t="shared" si="32"/>
        <v>Ergon</v>
      </c>
      <c r="C877" s="32" t="s">
        <v>4</v>
      </c>
      <c r="D877" s="387"/>
      <c r="E877" s="31"/>
      <c r="F877" s="30" t="s">
        <v>222</v>
      </c>
      <c r="G877" s="22">
        <v>0</v>
      </c>
      <c r="H877" s="22">
        <v>0</v>
      </c>
      <c r="I877" s="22">
        <v>0</v>
      </c>
      <c r="J877" s="22">
        <v>0</v>
      </c>
      <c r="K877" s="22">
        <v>0</v>
      </c>
      <c r="R877" s="24">
        <v>0</v>
      </c>
      <c r="S877" s="24">
        <v>0</v>
      </c>
      <c r="T877" s="24">
        <v>0</v>
      </c>
      <c r="U877" s="24">
        <v>0</v>
      </c>
      <c r="V877" s="24">
        <v>0</v>
      </c>
      <c r="AC877" s="26">
        <v>0</v>
      </c>
      <c r="AD877" s="26">
        <v>0</v>
      </c>
      <c r="AE877" s="26">
        <v>0</v>
      </c>
      <c r="AF877" s="26">
        <v>0</v>
      </c>
      <c r="AG877" s="26">
        <v>0</v>
      </c>
    </row>
    <row r="878" spans="2:33">
      <c r="B878" s="32" t="str">
        <f t="shared" si="32"/>
        <v>Ergon</v>
      </c>
      <c r="C878" s="32" t="s">
        <v>4</v>
      </c>
      <c r="D878" s="387"/>
      <c r="E878" s="31"/>
      <c r="F878" s="30" t="s">
        <v>220</v>
      </c>
      <c r="G878" s="22">
        <v>0</v>
      </c>
      <c r="H878" s="22">
        <v>0</v>
      </c>
      <c r="I878" s="22">
        <v>0</v>
      </c>
      <c r="J878" s="22">
        <v>0</v>
      </c>
      <c r="K878" s="22">
        <v>0</v>
      </c>
      <c r="R878" s="24">
        <v>0</v>
      </c>
      <c r="S878" s="24">
        <v>0</v>
      </c>
      <c r="T878" s="24">
        <v>0</v>
      </c>
      <c r="U878" s="24">
        <v>0</v>
      </c>
      <c r="V878" s="24">
        <v>0</v>
      </c>
      <c r="AC878" s="26">
        <v>0</v>
      </c>
      <c r="AD878" s="26">
        <v>0</v>
      </c>
      <c r="AE878" s="26">
        <v>0</v>
      </c>
      <c r="AF878" s="26">
        <v>0</v>
      </c>
      <c r="AG878" s="26">
        <v>0</v>
      </c>
    </row>
    <row r="879" spans="2:33">
      <c r="B879" s="32" t="str">
        <f t="shared" si="32"/>
        <v>Ergon</v>
      </c>
      <c r="C879" s="32" t="s">
        <v>4</v>
      </c>
      <c r="D879" s="387"/>
      <c r="E879" s="31"/>
      <c r="F879" s="30" t="s">
        <v>223</v>
      </c>
      <c r="G879" s="22">
        <v>0</v>
      </c>
      <c r="H879" s="22">
        <v>0</v>
      </c>
      <c r="I879" s="22">
        <v>0</v>
      </c>
      <c r="J879" s="22">
        <v>0</v>
      </c>
      <c r="K879" s="22">
        <v>0</v>
      </c>
      <c r="R879" s="24">
        <v>0</v>
      </c>
      <c r="S879" s="24">
        <v>0</v>
      </c>
      <c r="T879" s="24">
        <v>0</v>
      </c>
      <c r="U879" s="24">
        <v>0</v>
      </c>
      <c r="V879" s="24">
        <v>0</v>
      </c>
      <c r="AC879" s="26">
        <v>0</v>
      </c>
      <c r="AD879" s="26">
        <v>0</v>
      </c>
      <c r="AE879" s="26">
        <v>0</v>
      </c>
      <c r="AF879" s="26">
        <v>0</v>
      </c>
      <c r="AG879" s="26">
        <v>0</v>
      </c>
    </row>
    <row r="880" spans="2:33">
      <c r="B880" s="32" t="str">
        <f t="shared" si="32"/>
        <v>Ergon</v>
      </c>
      <c r="C880" s="32" t="s">
        <v>4</v>
      </c>
      <c r="D880" s="387"/>
      <c r="E880" s="31"/>
      <c r="F880" s="30" t="s">
        <v>224</v>
      </c>
      <c r="G880" s="22">
        <v>0</v>
      </c>
      <c r="H880" s="22">
        <v>0</v>
      </c>
      <c r="I880" s="22">
        <v>0</v>
      </c>
      <c r="J880" s="22">
        <v>0</v>
      </c>
      <c r="K880" s="22">
        <v>0</v>
      </c>
      <c r="R880" s="24">
        <v>0</v>
      </c>
      <c r="S880" s="24">
        <v>0</v>
      </c>
      <c r="T880" s="24">
        <v>0</v>
      </c>
      <c r="U880" s="24">
        <v>0</v>
      </c>
      <c r="V880" s="24">
        <v>0</v>
      </c>
      <c r="AC880" s="26">
        <v>0</v>
      </c>
      <c r="AD880" s="26">
        <v>0</v>
      </c>
      <c r="AE880" s="26">
        <v>0</v>
      </c>
      <c r="AF880" s="26">
        <v>0</v>
      </c>
      <c r="AG880" s="26">
        <v>0</v>
      </c>
    </row>
    <row r="881" spans="2:33">
      <c r="B881" s="32" t="str">
        <f t="shared" si="32"/>
        <v>Ergon</v>
      </c>
      <c r="C881" s="32" t="s">
        <v>4</v>
      </c>
      <c r="D881" s="387"/>
      <c r="E881" s="31"/>
      <c r="F881" s="30" t="s">
        <v>225</v>
      </c>
      <c r="G881" s="22">
        <v>0</v>
      </c>
      <c r="H881" s="22">
        <v>0</v>
      </c>
      <c r="I881" s="22">
        <v>0</v>
      </c>
      <c r="J881" s="22">
        <v>0</v>
      </c>
      <c r="K881" s="22">
        <v>0</v>
      </c>
      <c r="R881" s="24">
        <v>0</v>
      </c>
      <c r="S881" s="24">
        <v>0</v>
      </c>
      <c r="T881" s="24">
        <v>0</v>
      </c>
      <c r="U881" s="24">
        <v>0</v>
      </c>
      <c r="V881" s="24">
        <v>0</v>
      </c>
      <c r="AC881" s="26">
        <v>0</v>
      </c>
      <c r="AD881" s="26">
        <v>0</v>
      </c>
      <c r="AE881" s="26">
        <v>0</v>
      </c>
      <c r="AF881" s="26">
        <v>0</v>
      </c>
      <c r="AG881" s="26">
        <v>0</v>
      </c>
    </row>
    <row r="882" spans="2:33">
      <c r="B882" s="32" t="str">
        <f t="shared" si="32"/>
        <v>Ergon</v>
      </c>
      <c r="C882" s="32" t="s">
        <v>4</v>
      </c>
      <c r="D882" s="387"/>
      <c r="E882" s="31"/>
      <c r="F882" s="30" t="s">
        <v>226</v>
      </c>
      <c r="G882" s="22">
        <v>0</v>
      </c>
      <c r="H882" s="22">
        <v>0</v>
      </c>
      <c r="I882" s="22">
        <v>0</v>
      </c>
      <c r="J882" s="22">
        <v>0</v>
      </c>
      <c r="K882" s="22">
        <v>0</v>
      </c>
      <c r="R882" s="24">
        <v>0</v>
      </c>
      <c r="S882" s="24">
        <v>0</v>
      </c>
      <c r="T882" s="24">
        <v>0</v>
      </c>
      <c r="U882" s="24">
        <v>0</v>
      </c>
      <c r="V882" s="24">
        <v>0</v>
      </c>
      <c r="AC882" s="26">
        <v>0</v>
      </c>
      <c r="AD882" s="26">
        <v>0</v>
      </c>
      <c r="AE882" s="26">
        <v>0</v>
      </c>
      <c r="AF882" s="26">
        <v>0</v>
      </c>
      <c r="AG882" s="26">
        <v>0</v>
      </c>
    </row>
    <row r="883" spans="2:33">
      <c r="B883" s="32" t="str">
        <f t="shared" si="32"/>
        <v>Ergon</v>
      </c>
      <c r="C883" s="32" t="s">
        <v>4</v>
      </c>
      <c r="D883" s="387"/>
      <c r="E883" s="31"/>
      <c r="F883" s="30" t="s">
        <v>227</v>
      </c>
      <c r="G883" s="22">
        <v>0</v>
      </c>
      <c r="H883" s="22">
        <v>0</v>
      </c>
      <c r="I883" s="22">
        <v>0</v>
      </c>
      <c r="J883" s="22">
        <v>0</v>
      </c>
      <c r="K883" s="22">
        <v>0</v>
      </c>
      <c r="R883" s="24">
        <v>0</v>
      </c>
      <c r="S883" s="24">
        <v>0</v>
      </c>
      <c r="T883" s="24">
        <v>0</v>
      </c>
      <c r="U883" s="24">
        <v>0</v>
      </c>
      <c r="V883" s="24">
        <v>0</v>
      </c>
      <c r="AC883" s="26">
        <v>0</v>
      </c>
      <c r="AD883" s="26">
        <v>0</v>
      </c>
      <c r="AE883" s="26">
        <v>0</v>
      </c>
      <c r="AF883" s="26">
        <v>0</v>
      </c>
      <c r="AG883" s="26">
        <v>0</v>
      </c>
    </row>
    <row r="884" spans="2:33">
      <c r="B884" s="32" t="str">
        <f t="shared" si="32"/>
        <v>Ergon</v>
      </c>
      <c r="C884" s="32" t="s">
        <v>4</v>
      </c>
      <c r="D884" s="387"/>
      <c r="E884" s="31"/>
      <c r="F884" s="30" t="s">
        <v>228</v>
      </c>
      <c r="G884" s="22">
        <v>0</v>
      </c>
      <c r="H884" s="22">
        <v>0</v>
      </c>
      <c r="I884" s="22">
        <v>0</v>
      </c>
      <c r="J884" s="22">
        <v>0</v>
      </c>
      <c r="K884" s="22">
        <v>0</v>
      </c>
      <c r="R884" s="24">
        <v>0</v>
      </c>
      <c r="S884" s="24">
        <v>0</v>
      </c>
      <c r="T884" s="24">
        <v>0</v>
      </c>
      <c r="U884" s="24">
        <v>0</v>
      </c>
      <c r="V884" s="24">
        <v>0</v>
      </c>
      <c r="AC884" s="26">
        <v>0</v>
      </c>
      <c r="AD884" s="26">
        <v>0</v>
      </c>
      <c r="AE884" s="26">
        <v>0</v>
      </c>
      <c r="AF884" s="26">
        <v>0</v>
      </c>
      <c r="AG884" s="26">
        <v>0</v>
      </c>
    </row>
    <row r="885" spans="2:33">
      <c r="B885" s="32" t="str">
        <f t="shared" si="32"/>
        <v>Ergon</v>
      </c>
      <c r="C885" s="32" t="s">
        <v>4</v>
      </c>
      <c r="D885" s="387"/>
      <c r="E885" s="31"/>
      <c r="F885" s="30" t="s">
        <v>229</v>
      </c>
      <c r="G885" s="22">
        <v>115.84456</v>
      </c>
      <c r="H885" s="22">
        <v>0</v>
      </c>
      <c r="I885" s="22">
        <v>190.9446332</v>
      </c>
      <c r="J885" s="22">
        <v>0</v>
      </c>
      <c r="K885" s="22">
        <v>182.20773059999999</v>
      </c>
      <c r="R885" s="24">
        <v>2</v>
      </c>
      <c r="S885" s="24">
        <v>0</v>
      </c>
      <c r="T885" s="24">
        <v>2</v>
      </c>
      <c r="U885" s="24">
        <v>0</v>
      </c>
      <c r="V885" s="24">
        <v>2</v>
      </c>
      <c r="AC885" s="26">
        <v>2</v>
      </c>
      <c r="AD885" s="26">
        <v>0</v>
      </c>
      <c r="AE885" s="26">
        <v>2</v>
      </c>
      <c r="AF885" s="26">
        <v>0</v>
      </c>
      <c r="AG885" s="26">
        <v>2</v>
      </c>
    </row>
    <row r="886" spans="2:33">
      <c r="B886" s="32" t="str">
        <f t="shared" si="32"/>
        <v>Ergon</v>
      </c>
      <c r="C886" s="32" t="s">
        <v>4</v>
      </c>
      <c r="D886" s="387"/>
      <c r="E886" s="31"/>
      <c r="F886" s="30" t="s">
        <v>230</v>
      </c>
      <c r="G886" s="22">
        <v>786.32954470000004</v>
      </c>
      <c r="H886" s="22">
        <v>0</v>
      </c>
      <c r="I886" s="22">
        <v>224.90978240000001</v>
      </c>
      <c r="J886" s="22">
        <v>60.724811760000001</v>
      </c>
      <c r="K886" s="22">
        <v>1908.5289210000001</v>
      </c>
      <c r="R886" s="24">
        <v>9</v>
      </c>
      <c r="S886" s="24">
        <v>0</v>
      </c>
      <c r="T886" s="24">
        <v>2</v>
      </c>
      <c r="U886" s="24">
        <v>1</v>
      </c>
      <c r="V886" s="24">
        <v>4</v>
      </c>
      <c r="AC886" s="26">
        <v>10</v>
      </c>
      <c r="AD886" s="26">
        <v>0</v>
      </c>
      <c r="AE886" s="26">
        <v>2</v>
      </c>
      <c r="AF886" s="26">
        <v>1</v>
      </c>
      <c r="AG886" s="26">
        <v>2</v>
      </c>
    </row>
    <row r="887" spans="2:33">
      <c r="B887" s="32" t="str">
        <f t="shared" si="32"/>
        <v>Ergon</v>
      </c>
      <c r="C887" s="32" t="s">
        <v>4</v>
      </c>
      <c r="D887" s="387"/>
      <c r="E887" s="31"/>
      <c r="F887" s="30" t="s">
        <v>231</v>
      </c>
      <c r="G887" s="22">
        <v>1433.6192799999999</v>
      </c>
      <c r="H887" s="22">
        <v>197.2579829</v>
      </c>
      <c r="I887" s="22">
        <v>733.87976700000002</v>
      </c>
      <c r="J887" s="22">
        <v>1876.235469</v>
      </c>
      <c r="K887" s="22">
        <v>3073.772496</v>
      </c>
      <c r="R887" s="24">
        <v>5</v>
      </c>
      <c r="S887" s="24">
        <v>3</v>
      </c>
      <c r="T887" s="24">
        <v>2</v>
      </c>
      <c r="U887" s="24">
        <v>3</v>
      </c>
      <c r="V887" s="24">
        <v>6</v>
      </c>
      <c r="AC887" s="26">
        <v>8</v>
      </c>
      <c r="AD887" s="26">
        <v>5</v>
      </c>
      <c r="AE887" s="26">
        <v>12</v>
      </c>
      <c r="AF887" s="26">
        <v>11</v>
      </c>
      <c r="AG887" s="26">
        <v>13</v>
      </c>
    </row>
    <row r="888" spans="2:33">
      <c r="B888" s="32" t="str">
        <f t="shared" si="32"/>
        <v>Ergon</v>
      </c>
      <c r="C888" s="32" t="s">
        <v>4</v>
      </c>
      <c r="D888" s="387"/>
      <c r="E888" s="31"/>
      <c r="F888" s="30" t="s">
        <v>232</v>
      </c>
      <c r="G888" s="22">
        <v>0</v>
      </c>
      <c r="H888" s="22">
        <v>0</v>
      </c>
      <c r="I888" s="22">
        <v>0</v>
      </c>
      <c r="J888" s="22">
        <v>0</v>
      </c>
      <c r="K888" s="22">
        <v>0</v>
      </c>
      <c r="R888" s="24">
        <v>0</v>
      </c>
      <c r="S888" s="24">
        <v>0</v>
      </c>
      <c r="T888" s="24">
        <v>0</v>
      </c>
      <c r="U888" s="24">
        <v>0</v>
      </c>
      <c r="V888" s="24">
        <v>0</v>
      </c>
      <c r="AC888" s="26">
        <v>1</v>
      </c>
      <c r="AD888" s="26">
        <v>0</v>
      </c>
      <c r="AE888" s="26">
        <v>1</v>
      </c>
      <c r="AF888" s="26">
        <v>1</v>
      </c>
      <c r="AG888" s="26">
        <v>1</v>
      </c>
    </row>
    <row r="889" spans="2:33">
      <c r="B889" s="32" t="str">
        <f t="shared" si="32"/>
        <v>Ergon</v>
      </c>
      <c r="C889" s="32" t="s">
        <v>4</v>
      </c>
      <c r="D889" s="387"/>
      <c r="E889" s="31"/>
      <c r="F889" s="30" t="s">
        <v>233</v>
      </c>
      <c r="G889" s="22">
        <v>0</v>
      </c>
      <c r="H889" s="22">
        <v>0</v>
      </c>
      <c r="I889" s="22">
        <v>0</v>
      </c>
      <c r="J889" s="22">
        <v>0</v>
      </c>
      <c r="K889" s="22">
        <v>0</v>
      </c>
      <c r="R889" s="24">
        <v>0</v>
      </c>
      <c r="S889" s="24">
        <v>0</v>
      </c>
      <c r="T889" s="24">
        <v>0</v>
      </c>
      <c r="U889" s="24">
        <v>0</v>
      </c>
      <c r="V889" s="24">
        <v>0</v>
      </c>
      <c r="AC889" s="26">
        <v>0</v>
      </c>
      <c r="AD889" s="26">
        <v>0</v>
      </c>
      <c r="AE889" s="26">
        <v>0</v>
      </c>
      <c r="AF889" s="26">
        <v>0</v>
      </c>
      <c r="AG889" s="26">
        <v>0</v>
      </c>
    </row>
    <row r="890" spans="2:33">
      <c r="B890" s="32" t="str">
        <f t="shared" si="32"/>
        <v>Ergon</v>
      </c>
      <c r="C890" s="32" t="s">
        <v>4</v>
      </c>
      <c r="D890" s="387"/>
      <c r="E890" s="31"/>
      <c r="F890" s="30" t="s">
        <v>234</v>
      </c>
      <c r="G890" s="22">
        <v>0</v>
      </c>
      <c r="H890" s="22">
        <v>2570.787206</v>
      </c>
      <c r="I890" s="22">
        <v>729.46340480000003</v>
      </c>
      <c r="J890" s="22">
        <v>0</v>
      </c>
      <c r="K890" s="22">
        <v>877.51025589999995</v>
      </c>
      <c r="R890" s="24">
        <v>0</v>
      </c>
      <c r="S890" s="24">
        <v>2</v>
      </c>
      <c r="T890" s="24">
        <v>1</v>
      </c>
      <c r="U890" s="24">
        <v>0</v>
      </c>
      <c r="V890" s="24">
        <v>1</v>
      </c>
      <c r="AC890" s="26">
        <v>10</v>
      </c>
      <c r="AD890" s="26">
        <v>16</v>
      </c>
      <c r="AE890" s="26">
        <v>18</v>
      </c>
      <c r="AF890" s="26">
        <v>15</v>
      </c>
      <c r="AG890" s="26">
        <v>26</v>
      </c>
    </row>
    <row r="891" spans="2:33">
      <c r="B891" s="32" t="str">
        <f t="shared" si="32"/>
        <v>Ergon</v>
      </c>
      <c r="C891" s="32" t="s">
        <v>4</v>
      </c>
      <c r="D891" s="387"/>
      <c r="E891" s="31"/>
      <c r="F891" s="30" t="s">
        <v>235</v>
      </c>
      <c r="G891" s="22">
        <v>2064.204792</v>
      </c>
      <c r="H891" s="22">
        <v>3643.3196809999999</v>
      </c>
      <c r="I891" s="22">
        <v>0</v>
      </c>
      <c r="J891" s="22">
        <v>0</v>
      </c>
      <c r="K891" s="22">
        <v>0</v>
      </c>
      <c r="R891" s="24">
        <v>1</v>
      </c>
      <c r="S891" s="24">
        <v>2</v>
      </c>
      <c r="T891" s="24">
        <v>0</v>
      </c>
      <c r="U891" s="24">
        <v>0</v>
      </c>
      <c r="V891" s="24">
        <v>0</v>
      </c>
      <c r="AC891" s="26">
        <v>6</v>
      </c>
      <c r="AD891" s="26">
        <v>4</v>
      </c>
      <c r="AE891" s="26">
        <v>12</v>
      </c>
      <c r="AF891" s="26">
        <v>13</v>
      </c>
      <c r="AG891" s="26">
        <v>6</v>
      </c>
    </row>
    <row r="892" spans="2:33">
      <c r="B892" s="32" t="str">
        <f t="shared" si="32"/>
        <v>Ergon</v>
      </c>
      <c r="C892" s="32" t="s">
        <v>4</v>
      </c>
      <c r="D892" s="387"/>
      <c r="E892" s="31"/>
      <c r="F892" s="30" t="s">
        <v>236</v>
      </c>
      <c r="G892" s="22">
        <v>0</v>
      </c>
      <c r="H892" s="22">
        <v>0</v>
      </c>
      <c r="I892" s="22">
        <v>0</v>
      </c>
      <c r="J892" s="22">
        <v>0</v>
      </c>
      <c r="K892" s="22">
        <v>0</v>
      </c>
      <c r="R892" s="24">
        <v>0</v>
      </c>
      <c r="S892" s="24">
        <v>0</v>
      </c>
      <c r="T892" s="24">
        <v>0</v>
      </c>
      <c r="U892" s="24">
        <v>0</v>
      </c>
      <c r="V892" s="24">
        <v>0</v>
      </c>
      <c r="AC892" s="26">
        <v>0</v>
      </c>
      <c r="AD892" s="26">
        <v>0</v>
      </c>
      <c r="AE892" s="26">
        <v>0</v>
      </c>
      <c r="AF892" s="26">
        <v>0</v>
      </c>
      <c r="AG892" s="26">
        <v>0</v>
      </c>
    </row>
    <row r="893" spans="2:33">
      <c r="B893" s="32" t="str">
        <f t="shared" si="32"/>
        <v>Ergon</v>
      </c>
      <c r="C893" s="32" t="s">
        <v>4</v>
      </c>
      <c r="D893" s="387"/>
      <c r="E893" s="31"/>
      <c r="F893" s="30" t="s">
        <v>237</v>
      </c>
      <c r="G893" s="22">
        <v>4519.9809699999996</v>
      </c>
      <c r="H893" s="22">
        <v>0</v>
      </c>
      <c r="I893" s="22">
        <v>2263.6979820000001</v>
      </c>
      <c r="J893" s="22">
        <v>0</v>
      </c>
      <c r="K893" s="22">
        <v>8169.3674389999996</v>
      </c>
      <c r="R893" s="24">
        <v>1</v>
      </c>
      <c r="S893" s="24">
        <v>0</v>
      </c>
      <c r="T893" s="24">
        <v>1</v>
      </c>
      <c r="U893" s="24">
        <v>0</v>
      </c>
      <c r="V893" s="24">
        <v>3</v>
      </c>
      <c r="AC893" s="26">
        <v>1</v>
      </c>
      <c r="AD893" s="26">
        <v>3</v>
      </c>
      <c r="AE893" s="26">
        <v>1</v>
      </c>
      <c r="AF893" s="26">
        <v>3</v>
      </c>
      <c r="AG893" s="26">
        <v>0</v>
      </c>
    </row>
    <row r="894" spans="2:33">
      <c r="B894" s="32" t="str">
        <f t="shared" si="32"/>
        <v>Ergon</v>
      </c>
      <c r="C894" s="32" t="s">
        <v>4</v>
      </c>
      <c r="D894" s="387"/>
      <c r="E894" s="31"/>
      <c r="F894" s="30" t="s">
        <v>238</v>
      </c>
      <c r="G894" s="22">
        <v>0</v>
      </c>
      <c r="H894" s="22">
        <v>0</v>
      </c>
      <c r="I894" s="22">
        <v>0</v>
      </c>
      <c r="J894" s="22">
        <v>0</v>
      </c>
      <c r="K894" s="22">
        <v>0</v>
      </c>
      <c r="R894" s="24">
        <v>0</v>
      </c>
      <c r="S894" s="24">
        <v>0</v>
      </c>
      <c r="T894" s="24">
        <v>0</v>
      </c>
      <c r="U894" s="24">
        <v>0</v>
      </c>
      <c r="V894" s="24">
        <v>0</v>
      </c>
      <c r="AC894" s="26">
        <v>0</v>
      </c>
      <c r="AD894" s="26">
        <v>0</v>
      </c>
      <c r="AE894" s="26">
        <v>0</v>
      </c>
      <c r="AF894" s="26">
        <v>0</v>
      </c>
      <c r="AG894" s="26">
        <v>1</v>
      </c>
    </row>
    <row r="895" spans="2:33">
      <c r="B895" s="32" t="str">
        <f t="shared" si="32"/>
        <v>Ergon</v>
      </c>
      <c r="C895" s="32" t="s">
        <v>4</v>
      </c>
      <c r="D895" s="387"/>
      <c r="E895" s="31"/>
      <c r="F895" s="30" t="s">
        <v>239</v>
      </c>
      <c r="G895" s="22">
        <v>0</v>
      </c>
      <c r="H895" s="22">
        <v>0</v>
      </c>
      <c r="I895" s="22">
        <v>0</v>
      </c>
      <c r="J895" s="22">
        <v>0</v>
      </c>
      <c r="K895" s="22">
        <v>0</v>
      </c>
      <c r="R895" s="24">
        <v>0</v>
      </c>
      <c r="S895" s="24">
        <v>0</v>
      </c>
      <c r="T895" s="24">
        <v>0</v>
      </c>
      <c r="U895" s="24">
        <v>0</v>
      </c>
      <c r="V895" s="24">
        <v>0</v>
      </c>
      <c r="AC895" s="26">
        <v>0</v>
      </c>
      <c r="AD895" s="26">
        <v>0</v>
      </c>
      <c r="AE895" s="26">
        <v>0</v>
      </c>
      <c r="AF895" s="26">
        <v>0</v>
      </c>
      <c r="AG895" s="26">
        <v>0</v>
      </c>
    </row>
    <row r="896" spans="2:33">
      <c r="B896" s="32" t="str">
        <f t="shared" si="32"/>
        <v>Ergon</v>
      </c>
      <c r="C896" s="32" t="s">
        <v>4</v>
      </c>
      <c r="D896" s="387"/>
      <c r="E896" s="31"/>
      <c r="F896" s="30" t="s">
        <v>240</v>
      </c>
      <c r="G896" s="22">
        <v>0</v>
      </c>
      <c r="H896" s="22">
        <v>0</v>
      </c>
      <c r="I896" s="22">
        <v>0</v>
      </c>
      <c r="J896" s="22">
        <v>0</v>
      </c>
      <c r="K896" s="22">
        <v>0</v>
      </c>
      <c r="R896" s="24">
        <v>0</v>
      </c>
      <c r="S896" s="24">
        <v>0</v>
      </c>
      <c r="T896" s="24">
        <v>0</v>
      </c>
      <c r="U896" s="24">
        <v>0</v>
      </c>
      <c r="V896" s="24">
        <v>0</v>
      </c>
      <c r="AC896" s="26">
        <v>0</v>
      </c>
      <c r="AD896" s="26">
        <v>0</v>
      </c>
      <c r="AE896" s="26">
        <v>0</v>
      </c>
      <c r="AF896" s="26">
        <v>0</v>
      </c>
      <c r="AG896" s="26">
        <v>0</v>
      </c>
    </row>
    <row r="897" spans="2:33">
      <c r="B897" s="32" t="str">
        <f t="shared" si="32"/>
        <v>Ergon</v>
      </c>
      <c r="C897" s="32" t="s">
        <v>4</v>
      </c>
      <c r="D897" s="387"/>
      <c r="E897" s="31"/>
      <c r="F897" s="30" t="s">
        <v>170</v>
      </c>
    </row>
    <row r="898" spans="2:33" ht="60">
      <c r="B898" s="32" t="str">
        <f t="shared" si="32"/>
        <v>Ergon</v>
      </c>
      <c r="C898" s="32" t="s">
        <v>2</v>
      </c>
      <c r="D898" s="387"/>
      <c r="E898" s="31" t="s">
        <v>545</v>
      </c>
      <c r="F898" s="30" t="s">
        <v>246</v>
      </c>
      <c r="G898" s="22">
        <v>885.45319470000004</v>
      </c>
      <c r="H898" s="22">
        <v>1215.318344</v>
      </c>
      <c r="I898" s="22">
        <v>2203.0442029999999</v>
      </c>
      <c r="J898" s="22">
        <v>2834.740734</v>
      </c>
      <c r="K898" s="22">
        <v>2933.531019</v>
      </c>
      <c r="R898" s="24">
        <v>9243</v>
      </c>
      <c r="S898" s="24">
        <v>11983</v>
      </c>
      <c r="T898" s="24">
        <v>11787</v>
      </c>
      <c r="U898" s="24">
        <v>14900</v>
      </c>
      <c r="V898" s="24">
        <v>15739</v>
      </c>
      <c r="AC898" s="26">
        <v>11887</v>
      </c>
      <c r="AD898" s="26">
        <v>16186</v>
      </c>
      <c r="AE898" s="26">
        <v>18643</v>
      </c>
      <c r="AF898" s="26">
        <v>17872</v>
      </c>
      <c r="AG898" s="26">
        <v>19928</v>
      </c>
    </row>
    <row r="899" spans="2:33">
      <c r="B899" s="32" t="str">
        <f t="shared" si="32"/>
        <v>Ergon</v>
      </c>
      <c r="C899" s="32" t="s">
        <v>2</v>
      </c>
      <c r="D899" s="387"/>
      <c r="E899" s="31"/>
      <c r="F899" s="30" t="s">
        <v>247</v>
      </c>
      <c r="G899" s="22">
        <v>4328.7713960000001</v>
      </c>
      <c r="H899" s="22">
        <v>3690.4788520000002</v>
      </c>
      <c r="I899" s="22">
        <v>7625.3238879999999</v>
      </c>
      <c r="J899" s="22">
        <v>12148.404479999999</v>
      </c>
      <c r="K899" s="22">
        <v>19099.18938</v>
      </c>
      <c r="R899" s="24">
        <v>326</v>
      </c>
      <c r="S899" s="24">
        <v>332</v>
      </c>
      <c r="T899" s="24">
        <v>418</v>
      </c>
      <c r="U899" s="24">
        <v>833</v>
      </c>
      <c r="V899" s="24">
        <v>1049</v>
      </c>
      <c r="AC899" s="26">
        <v>30</v>
      </c>
      <c r="AD899" s="26">
        <v>11</v>
      </c>
      <c r="AE899" s="26">
        <v>57</v>
      </c>
      <c r="AF899" s="26">
        <v>41</v>
      </c>
      <c r="AG899" s="26">
        <v>45</v>
      </c>
    </row>
    <row r="900" spans="2:33">
      <c r="B900" s="32" t="str">
        <f t="shared" si="32"/>
        <v>Ergon</v>
      </c>
      <c r="C900" s="32" t="s">
        <v>2</v>
      </c>
      <c r="D900" s="387"/>
      <c r="E900" s="31"/>
      <c r="F900" s="30" t="s">
        <v>248</v>
      </c>
      <c r="G900" s="22">
        <v>668.73830429999998</v>
      </c>
      <c r="H900" s="22">
        <v>1425.9462229999999</v>
      </c>
      <c r="I900" s="22">
        <v>1248.871191</v>
      </c>
      <c r="J900" s="22">
        <v>1443.2896929999999</v>
      </c>
      <c r="K900" s="22">
        <v>1769.2004119999999</v>
      </c>
      <c r="R900" s="24">
        <v>13</v>
      </c>
      <c r="S900" s="24">
        <v>19</v>
      </c>
      <c r="T900" s="24">
        <v>17</v>
      </c>
      <c r="U900" s="24">
        <v>15</v>
      </c>
      <c r="V900" s="24">
        <v>22</v>
      </c>
      <c r="AC900" s="26">
        <v>16</v>
      </c>
      <c r="AD900" s="26">
        <v>22</v>
      </c>
      <c r="AE900" s="26">
        <v>23</v>
      </c>
      <c r="AF900" s="26">
        <v>26</v>
      </c>
      <c r="AG900" s="26">
        <v>28</v>
      </c>
    </row>
    <row r="901" spans="2:33">
      <c r="B901" s="32" t="str">
        <f t="shared" si="32"/>
        <v>Ergon</v>
      </c>
      <c r="C901" s="32" t="s">
        <v>2</v>
      </c>
      <c r="D901" s="387"/>
      <c r="E901" s="31"/>
      <c r="F901" s="30" t="s">
        <v>249</v>
      </c>
      <c r="G901" s="22">
        <v>418.94059529999998</v>
      </c>
      <c r="H901" s="22">
        <v>2355.0250139999998</v>
      </c>
      <c r="I901" s="22">
        <v>4491.6222390000003</v>
      </c>
      <c r="J901" s="22">
        <v>3537.8157430000001</v>
      </c>
      <c r="K901" s="22">
        <v>5920.0098280000002</v>
      </c>
      <c r="R901" s="24">
        <v>431</v>
      </c>
      <c r="S901" s="24">
        <v>580</v>
      </c>
      <c r="T901" s="24">
        <v>579</v>
      </c>
      <c r="U901" s="24">
        <v>893</v>
      </c>
      <c r="V901" s="24">
        <v>802</v>
      </c>
      <c r="AC901" s="26">
        <v>172</v>
      </c>
      <c r="AD901" s="26">
        <v>207</v>
      </c>
      <c r="AE901" s="26">
        <v>206</v>
      </c>
      <c r="AF901" s="26">
        <v>178</v>
      </c>
      <c r="AG901" s="26">
        <v>280</v>
      </c>
    </row>
    <row r="902" spans="2:33">
      <c r="B902" s="32" t="str">
        <f t="shared" si="32"/>
        <v>Ergon</v>
      </c>
      <c r="C902" s="32" t="s">
        <v>2</v>
      </c>
      <c r="D902" s="387"/>
      <c r="E902" s="31"/>
      <c r="F902" s="30" t="s">
        <v>250</v>
      </c>
      <c r="G902" s="22">
        <v>1918.5533379999999</v>
      </c>
      <c r="H902" s="22">
        <v>805.98604950000004</v>
      </c>
      <c r="I902" s="22">
        <v>1157.84375</v>
      </c>
      <c r="J902" s="22">
        <v>1374.4408550000001</v>
      </c>
      <c r="K902" s="22">
        <v>2246.6225829999998</v>
      </c>
      <c r="R902" s="24">
        <v>85</v>
      </c>
      <c r="S902" s="24">
        <v>51</v>
      </c>
      <c r="T902" s="24">
        <v>40</v>
      </c>
      <c r="U902" s="24">
        <v>54</v>
      </c>
      <c r="V902" s="24">
        <v>62</v>
      </c>
      <c r="AC902" s="26">
        <v>85</v>
      </c>
      <c r="AD902" s="26">
        <v>53</v>
      </c>
      <c r="AE902" s="26">
        <v>43</v>
      </c>
      <c r="AF902" s="26">
        <v>55</v>
      </c>
      <c r="AG902" s="26">
        <v>63</v>
      </c>
    </row>
    <row r="903" spans="2:33">
      <c r="B903" s="32" t="str">
        <f t="shared" si="32"/>
        <v>Ergon</v>
      </c>
      <c r="C903" s="32" t="s">
        <v>2</v>
      </c>
      <c r="D903" s="387"/>
      <c r="E903" s="31"/>
      <c r="F903" s="30" t="s">
        <v>251</v>
      </c>
      <c r="G903" s="22">
        <v>95.217153969999998</v>
      </c>
      <c r="H903" s="22">
        <v>252.08729220000001</v>
      </c>
      <c r="I903" s="22">
        <v>476.86678499999999</v>
      </c>
      <c r="J903" s="22">
        <v>3574.38742</v>
      </c>
      <c r="K903" s="22">
        <v>1032.5670689999999</v>
      </c>
      <c r="R903" s="24">
        <v>1</v>
      </c>
      <c r="S903" s="24">
        <v>3</v>
      </c>
      <c r="T903" s="24">
        <v>10</v>
      </c>
      <c r="U903" s="24">
        <v>26</v>
      </c>
      <c r="V903" s="24">
        <v>18</v>
      </c>
      <c r="AC903" s="26">
        <v>3</v>
      </c>
      <c r="AD903" s="26">
        <v>0</v>
      </c>
      <c r="AE903" s="26">
        <v>0</v>
      </c>
      <c r="AF903" s="26">
        <v>1</v>
      </c>
      <c r="AG903" s="26">
        <v>1</v>
      </c>
    </row>
    <row r="904" spans="2:33">
      <c r="B904" s="32" t="str">
        <f t="shared" si="32"/>
        <v>Ergon</v>
      </c>
      <c r="C904" s="32" t="s">
        <v>2</v>
      </c>
      <c r="D904" s="387"/>
      <c r="E904" s="31"/>
      <c r="F904" s="30" t="s">
        <v>252</v>
      </c>
      <c r="G904" s="22">
        <v>204.03675849999999</v>
      </c>
      <c r="H904" s="22">
        <v>1620.561164</v>
      </c>
      <c r="I904" s="22">
        <v>0</v>
      </c>
      <c r="J904" s="22">
        <v>294.59236979999997</v>
      </c>
      <c r="K904" s="22">
        <v>1229.2465110000001</v>
      </c>
      <c r="R904" s="24">
        <v>1</v>
      </c>
      <c r="S904" s="24">
        <v>9</v>
      </c>
      <c r="T904" s="24">
        <v>0</v>
      </c>
      <c r="U904" s="24">
        <v>1</v>
      </c>
      <c r="V904" s="24">
        <v>10</v>
      </c>
      <c r="AC904" s="26">
        <v>3</v>
      </c>
      <c r="AD904" s="26">
        <v>15</v>
      </c>
      <c r="AE904" s="26">
        <v>3</v>
      </c>
      <c r="AF904" s="26">
        <v>6</v>
      </c>
      <c r="AG904" s="26">
        <v>10</v>
      </c>
    </row>
    <row r="905" spans="2:33">
      <c r="B905" s="32" t="str">
        <f t="shared" si="32"/>
        <v>Ergon</v>
      </c>
      <c r="C905" s="32" t="s">
        <v>2</v>
      </c>
      <c r="D905" s="387"/>
      <c r="E905" s="31"/>
      <c r="F905" s="30" t="s">
        <v>253</v>
      </c>
      <c r="G905" s="22">
        <v>680.25855290000004</v>
      </c>
      <c r="H905" s="22">
        <v>1200.6557600000001</v>
      </c>
      <c r="I905" s="22">
        <v>340.68725599999999</v>
      </c>
      <c r="J905" s="22">
        <v>327.39032029999998</v>
      </c>
      <c r="K905" s="22">
        <v>68.30513114</v>
      </c>
      <c r="R905" s="24">
        <v>6</v>
      </c>
      <c r="S905" s="24">
        <v>12</v>
      </c>
      <c r="T905" s="24">
        <v>6</v>
      </c>
      <c r="U905" s="24">
        <v>2</v>
      </c>
      <c r="V905" s="24">
        <v>1</v>
      </c>
      <c r="AC905" s="26">
        <v>1</v>
      </c>
      <c r="AD905" s="26">
        <v>0</v>
      </c>
      <c r="AE905" s="26">
        <v>1</v>
      </c>
      <c r="AF905" s="26">
        <v>0</v>
      </c>
      <c r="AG905" s="26">
        <v>3</v>
      </c>
    </row>
    <row r="906" spans="2:33">
      <c r="B906" s="32" t="str">
        <f t="shared" si="32"/>
        <v>Ergon</v>
      </c>
      <c r="C906" s="32" t="s">
        <v>2</v>
      </c>
      <c r="D906" s="387"/>
      <c r="E906" s="31"/>
      <c r="F906" s="30" t="s">
        <v>254</v>
      </c>
      <c r="G906" s="22">
        <v>1197.0156500000001</v>
      </c>
      <c r="H906" s="22">
        <v>528.18289789999994</v>
      </c>
      <c r="I906" s="22">
        <v>699.40461800000003</v>
      </c>
      <c r="J906" s="22">
        <v>576.09174529999996</v>
      </c>
      <c r="K906" s="22">
        <v>0</v>
      </c>
      <c r="R906" s="24">
        <v>6</v>
      </c>
      <c r="S906" s="24">
        <v>3</v>
      </c>
      <c r="T906" s="24">
        <v>7</v>
      </c>
      <c r="U906" s="24">
        <v>2</v>
      </c>
      <c r="V906" s="24">
        <v>0</v>
      </c>
      <c r="AC906" s="26">
        <v>9</v>
      </c>
      <c r="AD906" s="26">
        <v>18</v>
      </c>
      <c r="AE906" s="26">
        <v>30</v>
      </c>
      <c r="AF906" s="26">
        <v>29</v>
      </c>
      <c r="AG906" s="26">
        <v>20</v>
      </c>
    </row>
    <row r="907" spans="2:33">
      <c r="B907" s="32" t="str">
        <f t="shared" si="32"/>
        <v>Ergon</v>
      </c>
      <c r="C907" s="32" t="s">
        <v>2</v>
      </c>
      <c r="D907" s="387"/>
      <c r="E907" s="31"/>
      <c r="F907" s="30" t="s">
        <v>255</v>
      </c>
      <c r="G907" s="22">
        <v>0</v>
      </c>
      <c r="H907" s="22">
        <v>0</v>
      </c>
      <c r="I907" s="22">
        <v>121.7713397</v>
      </c>
      <c r="J907" s="22">
        <v>0</v>
      </c>
      <c r="K907" s="22">
        <v>3076.189394</v>
      </c>
      <c r="R907" s="24">
        <v>0</v>
      </c>
      <c r="S907" s="24">
        <v>0</v>
      </c>
      <c r="T907" s="24">
        <v>1</v>
      </c>
      <c r="U907" s="24">
        <v>0</v>
      </c>
      <c r="V907" s="24">
        <v>21</v>
      </c>
      <c r="AC907" s="26">
        <v>0</v>
      </c>
      <c r="AD907" s="26">
        <v>1</v>
      </c>
      <c r="AE907" s="26">
        <v>0</v>
      </c>
      <c r="AF907" s="26">
        <v>1</v>
      </c>
      <c r="AG907" s="26">
        <v>0</v>
      </c>
    </row>
    <row r="908" spans="2:33">
      <c r="B908" s="32" t="str">
        <f t="shared" si="32"/>
        <v>Ergon</v>
      </c>
      <c r="C908" s="32" t="s">
        <v>2</v>
      </c>
      <c r="D908" s="387"/>
      <c r="E908" s="31"/>
      <c r="F908" s="30" t="s">
        <v>256</v>
      </c>
      <c r="G908" s="22">
        <v>0</v>
      </c>
      <c r="H908" s="22">
        <v>0</v>
      </c>
      <c r="I908" s="22">
        <v>147.60162389999999</v>
      </c>
      <c r="J908" s="22">
        <v>0</v>
      </c>
      <c r="K908" s="22">
        <v>1065.346976</v>
      </c>
      <c r="R908" s="24">
        <v>0</v>
      </c>
      <c r="S908" s="24">
        <v>0</v>
      </c>
      <c r="T908" s="24">
        <v>1</v>
      </c>
      <c r="U908" s="24">
        <v>0</v>
      </c>
      <c r="V908" s="24">
        <v>6</v>
      </c>
      <c r="AC908" s="26">
        <v>1</v>
      </c>
      <c r="AD908" s="26">
        <v>4</v>
      </c>
      <c r="AE908" s="26">
        <v>1</v>
      </c>
      <c r="AF908" s="26">
        <v>6</v>
      </c>
      <c r="AG908" s="26">
        <v>2</v>
      </c>
    </row>
    <row r="909" spans="2:33">
      <c r="B909" s="32" t="str">
        <f t="shared" si="32"/>
        <v>Ergon</v>
      </c>
      <c r="C909" s="32" t="s">
        <v>2</v>
      </c>
      <c r="D909" s="387"/>
      <c r="E909" s="31"/>
      <c r="F909" s="30" t="s">
        <v>257</v>
      </c>
      <c r="G909" s="22">
        <v>0</v>
      </c>
      <c r="H909" s="22">
        <v>0</v>
      </c>
      <c r="I909" s="22">
        <v>0</v>
      </c>
      <c r="J909" s="22">
        <v>0</v>
      </c>
      <c r="K909" s="22">
        <v>0</v>
      </c>
      <c r="R909" s="24">
        <v>0</v>
      </c>
      <c r="S909" s="24">
        <v>0</v>
      </c>
      <c r="T909" s="24">
        <v>0</v>
      </c>
      <c r="U909" s="24">
        <v>0</v>
      </c>
      <c r="V909" s="24">
        <v>0</v>
      </c>
      <c r="AC909" s="26">
        <v>0</v>
      </c>
      <c r="AD909" s="26">
        <v>0</v>
      </c>
      <c r="AE909" s="26">
        <v>0</v>
      </c>
      <c r="AF909" s="26">
        <v>0</v>
      </c>
      <c r="AG909" s="26">
        <v>0</v>
      </c>
    </row>
    <row r="910" spans="2:33">
      <c r="B910" s="32" t="str">
        <f t="shared" si="32"/>
        <v>Ergon</v>
      </c>
      <c r="C910" s="32" t="s">
        <v>2</v>
      </c>
      <c r="D910" s="387"/>
      <c r="E910" s="31"/>
      <c r="F910" s="30" t="s">
        <v>258</v>
      </c>
      <c r="G910" s="22">
        <v>0</v>
      </c>
      <c r="H910" s="22">
        <v>0</v>
      </c>
      <c r="I910" s="22">
        <v>0</v>
      </c>
      <c r="J910" s="22">
        <v>0</v>
      </c>
      <c r="K910" s="22">
        <v>0</v>
      </c>
      <c r="R910" s="24">
        <v>0</v>
      </c>
      <c r="S910" s="24">
        <v>0</v>
      </c>
      <c r="T910" s="24">
        <v>0</v>
      </c>
      <c r="U910" s="24">
        <v>0</v>
      </c>
      <c r="V910" s="24">
        <v>0</v>
      </c>
      <c r="AC910" s="26">
        <v>0</v>
      </c>
      <c r="AD910" s="26">
        <v>0</v>
      </c>
      <c r="AE910" s="26">
        <v>0</v>
      </c>
      <c r="AF910" s="26">
        <v>0</v>
      </c>
      <c r="AG910" s="26">
        <v>0</v>
      </c>
    </row>
    <row r="911" spans="2:33">
      <c r="B911" s="32" t="str">
        <f t="shared" si="32"/>
        <v>Ergon</v>
      </c>
      <c r="C911" s="32" t="s">
        <v>2</v>
      </c>
      <c r="D911" s="387"/>
      <c r="E911" s="31"/>
      <c r="F911" s="30" t="s">
        <v>170</v>
      </c>
    </row>
    <row r="912" spans="2:33" ht="45">
      <c r="B912" s="32" t="str">
        <f t="shared" si="32"/>
        <v>Ergon</v>
      </c>
      <c r="C912" s="32" t="s">
        <v>1135</v>
      </c>
      <c r="D912" s="387"/>
      <c r="E912" s="31" t="s">
        <v>547</v>
      </c>
      <c r="F912" s="30" t="s">
        <v>262</v>
      </c>
      <c r="G912" s="22">
        <v>177.12302829999999</v>
      </c>
      <c r="H912" s="22">
        <v>279.72914370000001</v>
      </c>
      <c r="I912" s="22">
        <v>0</v>
      </c>
      <c r="J912" s="22">
        <v>0</v>
      </c>
      <c r="K912" s="22">
        <v>0</v>
      </c>
      <c r="R912" s="24">
        <v>522</v>
      </c>
      <c r="S912" s="24">
        <v>734</v>
      </c>
      <c r="T912" s="24">
        <v>0</v>
      </c>
      <c r="U912" s="24">
        <v>0</v>
      </c>
      <c r="V912" s="24">
        <v>0</v>
      </c>
      <c r="AC912" s="26">
        <v>181</v>
      </c>
      <c r="AD912" s="26">
        <v>115</v>
      </c>
      <c r="AE912" s="26">
        <v>0</v>
      </c>
      <c r="AF912" s="26">
        <v>0</v>
      </c>
      <c r="AG912" s="26">
        <v>0</v>
      </c>
    </row>
    <row r="913" spans="2:33">
      <c r="B913" s="32" t="str">
        <f t="shared" si="32"/>
        <v>Ergon</v>
      </c>
      <c r="C913" s="32" t="s">
        <v>1135</v>
      </c>
      <c r="D913" s="387"/>
      <c r="E913" s="31"/>
      <c r="F913" s="30" t="s">
        <v>263</v>
      </c>
      <c r="G913" s="22">
        <v>237.31402460000001</v>
      </c>
      <c r="H913" s="22">
        <v>296.7158235</v>
      </c>
      <c r="I913" s="22">
        <v>0</v>
      </c>
      <c r="J913" s="22">
        <v>0</v>
      </c>
      <c r="K913" s="22">
        <v>0</v>
      </c>
      <c r="R913" s="24">
        <v>1304</v>
      </c>
      <c r="S913" s="24">
        <v>1145</v>
      </c>
      <c r="T913" s="24">
        <v>0</v>
      </c>
      <c r="U913" s="24">
        <v>0</v>
      </c>
      <c r="V913" s="24">
        <v>0</v>
      </c>
      <c r="AC913" s="26">
        <v>141</v>
      </c>
      <c r="AD913" s="26">
        <v>107</v>
      </c>
      <c r="AE913" s="26">
        <v>0</v>
      </c>
      <c r="AF913" s="26">
        <v>0</v>
      </c>
      <c r="AG913" s="26">
        <v>0</v>
      </c>
    </row>
    <row r="914" spans="2:33">
      <c r="B914" s="32" t="str">
        <f t="shared" si="32"/>
        <v>Ergon</v>
      </c>
      <c r="C914" s="32" t="s">
        <v>1134</v>
      </c>
      <c r="D914" s="387"/>
      <c r="E914" s="31"/>
      <c r="F914" s="30" t="s">
        <v>264</v>
      </c>
      <c r="G914" s="22">
        <v>38.343374609999998</v>
      </c>
      <c r="H914" s="22">
        <v>66.691727639999996</v>
      </c>
      <c r="I914" s="22">
        <v>0</v>
      </c>
      <c r="J914" s="22">
        <v>0</v>
      </c>
      <c r="K914" s="22">
        <v>0</v>
      </c>
      <c r="R914" s="24">
        <v>83</v>
      </c>
      <c r="S914" s="24">
        <v>148</v>
      </c>
      <c r="T914" s="24">
        <v>0</v>
      </c>
      <c r="U914" s="24">
        <v>0</v>
      </c>
      <c r="V914" s="24">
        <v>0</v>
      </c>
      <c r="AC914" s="26">
        <v>19</v>
      </c>
      <c r="AD914" s="26">
        <v>16</v>
      </c>
      <c r="AE914" s="26">
        <v>0</v>
      </c>
      <c r="AF914" s="26">
        <v>0</v>
      </c>
      <c r="AG914" s="26">
        <v>0</v>
      </c>
    </row>
    <row r="915" spans="2:33">
      <c r="B915" s="32" t="str">
        <f t="shared" si="32"/>
        <v>Ergon</v>
      </c>
      <c r="C915" s="32" t="s">
        <v>1134</v>
      </c>
      <c r="D915" s="387"/>
      <c r="E915" s="31"/>
      <c r="F915" s="30" t="s">
        <v>265</v>
      </c>
      <c r="G915" s="22">
        <v>29.578679130000001</v>
      </c>
      <c r="H915" s="22">
        <v>33.581547229999998</v>
      </c>
      <c r="I915" s="22">
        <v>0</v>
      </c>
      <c r="J915" s="22">
        <v>0</v>
      </c>
      <c r="K915" s="22">
        <v>0</v>
      </c>
      <c r="R915" s="24">
        <v>171</v>
      </c>
      <c r="S915" s="24">
        <v>191</v>
      </c>
      <c r="T915" s="24">
        <v>0</v>
      </c>
      <c r="U915" s="24">
        <v>0</v>
      </c>
      <c r="V915" s="24">
        <v>0</v>
      </c>
      <c r="AC915" s="26">
        <v>43</v>
      </c>
      <c r="AD915" s="26">
        <v>58</v>
      </c>
      <c r="AE915" s="26">
        <v>0</v>
      </c>
      <c r="AF915" s="26">
        <v>0</v>
      </c>
      <c r="AG915" s="26">
        <v>0</v>
      </c>
    </row>
    <row r="916" spans="2:33">
      <c r="B916" s="32" t="str">
        <f t="shared" si="32"/>
        <v>Ergon</v>
      </c>
      <c r="C916" s="32" t="s">
        <v>1134</v>
      </c>
      <c r="D916" s="387"/>
      <c r="E916" s="31"/>
      <c r="F916" s="30" t="s">
        <v>266</v>
      </c>
      <c r="G916" s="22">
        <v>37.509478919999999</v>
      </c>
      <c r="H916" s="22">
        <v>61.47137987</v>
      </c>
      <c r="I916" s="22">
        <v>0</v>
      </c>
      <c r="J916" s="22">
        <v>0</v>
      </c>
      <c r="K916" s="22">
        <v>0</v>
      </c>
      <c r="R916" s="24">
        <v>1152</v>
      </c>
      <c r="S916" s="24">
        <v>1518</v>
      </c>
      <c r="T916" s="24">
        <v>0</v>
      </c>
      <c r="U916" s="24">
        <v>0</v>
      </c>
      <c r="V916" s="24">
        <v>0</v>
      </c>
      <c r="AC916" s="26">
        <v>541</v>
      </c>
      <c r="AD916" s="26">
        <v>516</v>
      </c>
      <c r="AE916" s="26">
        <v>0</v>
      </c>
      <c r="AF916" s="26">
        <v>0</v>
      </c>
      <c r="AG916" s="26">
        <v>0</v>
      </c>
    </row>
    <row r="917" spans="2:33">
      <c r="B917" s="32" t="str">
        <f t="shared" si="32"/>
        <v>Ergon</v>
      </c>
      <c r="C917" s="32" t="s">
        <v>1134</v>
      </c>
      <c r="D917" s="387"/>
      <c r="E917" s="31"/>
      <c r="F917" s="30" t="s">
        <v>267</v>
      </c>
      <c r="G917" s="22">
        <v>27.551375180000001</v>
      </c>
      <c r="H917" s="22">
        <v>24.509388529999999</v>
      </c>
      <c r="I917" s="22">
        <v>0</v>
      </c>
      <c r="J917" s="22">
        <v>0</v>
      </c>
      <c r="K917" s="22">
        <v>0</v>
      </c>
      <c r="R917" s="24">
        <v>4327</v>
      </c>
      <c r="S917" s="24">
        <v>1760</v>
      </c>
      <c r="T917" s="24">
        <v>0</v>
      </c>
      <c r="U917" s="24">
        <v>0</v>
      </c>
      <c r="V917" s="24">
        <v>0</v>
      </c>
      <c r="AC917" s="26">
        <v>643</v>
      </c>
      <c r="AD917" s="26">
        <v>512</v>
      </c>
      <c r="AE917" s="26">
        <v>0</v>
      </c>
      <c r="AF917" s="26">
        <v>0</v>
      </c>
      <c r="AG917" s="26">
        <v>0</v>
      </c>
    </row>
    <row r="918" spans="2:33">
      <c r="B918" s="32" t="str">
        <f t="shared" si="32"/>
        <v>Ergon</v>
      </c>
      <c r="C918" s="32" t="s">
        <v>1134</v>
      </c>
      <c r="D918" s="387"/>
      <c r="E918" s="31"/>
      <c r="F918" s="30" t="s">
        <v>268</v>
      </c>
      <c r="G918" s="22">
        <v>94.463316320000004</v>
      </c>
      <c r="H918" s="22">
        <v>125.8752484</v>
      </c>
      <c r="I918" s="22">
        <v>0</v>
      </c>
      <c r="J918" s="22">
        <v>0</v>
      </c>
      <c r="K918" s="22">
        <v>0</v>
      </c>
      <c r="R918" s="24">
        <v>27</v>
      </c>
      <c r="S918" s="24">
        <v>37</v>
      </c>
      <c r="T918" s="24">
        <v>0</v>
      </c>
      <c r="U918" s="24">
        <v>0</v>
      </c>
      <c r="V918" s="24">
        <v>0</v>
      </c>
      <c r="AC918" s="26">
        <v>23</v>
      </c>
      <c r="AD918" s="26">
        <v>11</v>
      </c>
      <c r="AE918" s="26">
        <v>0</v>
      </c>
      <c r="AF918" s="26">
        <v>0</v>
      </c>
      <c r="AG918" s="26">
        <v>0</v>
      </c>
    </row>
    <row r="919" spans="2:33">
      <c r="B919" s="32" t="str">
        <f t="shared" si="32"/>
        <v>Ergon</v>
      </c>
      <c r="C919" s="32" t="s">
        <v>1134</v>
      </c>
      <c r="D919" s="387"/>
      <c r="E919" s="31"/>
      <c r="F919" s="30" t="s">
        <v>269</v>
      </c>
      <c r="G919" s="22">
        <v>276.45825789999998</v>
      </c>
      <c r="H919" s="22">
        <v>572.84026340000003</v>
      </c>
      <c r="I919" s="22">
        <v>0</v>
      </c>
      <c r="J919" s="22">
        <v>0</v>
      </c>
      <c r="K919" s="22">
        <v>0</v>
      </c>
      <c r="R919" s="24">
        <v>130</v>
      </c>
      <c r="S919" s="24">
        <v>225</v>
      </c>
      <c r="T919" s="24">
        <v>0</v>
      </c>
      <c r="U919" s="24">
        <v>0</v>
      </c>
      <c r="V919" s="24">
        <v>0</v>
      </c>
      <c r="AC919" s="26">
        <v>69</v>
      </c>
      <c r="AD919" s="26">
        <v>55</v>
      </c>
      <c r="AE919" s="26">
        <v>0</v>
      </c>
      <c r="AF919" s="26">
        <v>0</v>
      </c>
      <c r="AG919" s="26">
        <v>0</v>
      </c>
    </row>
    <row r="920" spans="2:33">
      <c r="B920" s="32" t="str">
        <f t="shared" si="32"/>
        <v>Ergon</v>
      </c>
      <c r="C920" s="32" t="s">
        <v>1134</v>
      </c>
      <c r="D920" s="387"/>
      <c r="E920" s="31"/>
      <c r="F920" s="30" t="s">
        <v>170</v>
      </c>
    </row>
    <row r="921" spans="2:33" ht="75">
      <c r="B921" s="32" t="str">
        <f t="shared" si="32"/>
        <v>Ergon</v>
      </c>
      <c r="C921" s="32" t="s">
        <v>659</v>
      </c>
      <c r="D921" s="387"/>
      <c r="E921" s="31" t="s">
        <v>548</v>
      </c>
      <c r="F921" s="30" t="s">
        <v>272</v>
      </c>
      <c r="G921" s="22">
        <v>6277.5309370000004</v>
      </c>
      <c r="H921" s="22">
        <v>6032.0887769999999</v>
      </c>
      <c r="I921" s="22">
        <v>13613.695159999999</v>
      </c>
      <c r="J921" s="22">
        <v>11417.90926</v>
      </c>
      <c r="K921" s="22">
        <v>6341.8876250000003</v>
      </c>
      <c r="R921" s="24">
        <v>73</v>
      </c>
      <c r="S921" s="24">
        <v>74</v>
      </c>
      <c r="T921" s="24">
        <v>300</v>
      </c>
      <c r="U921" s="24">
        <v>82</v>
      </c>
      <c r="V921" s="24">
        <v>105</v>
      </c>
      <c r="AC921" s="26">
        <v>49</v>
      </c>
      <c r="AD921" s="26">
        <v>35</v>
      </c>
      <c r="AE921" s="26">
        <v>61</v>
      </c>
      <c r="AF921" s="26">
        <v>34</v>
      </c>
      <c r="AG921" s="26">
        <v>21</v>
      </c>
    </row>
    <row r="922" spans="2:33">
      <c r="B922" s="32" t="str">
        <f t="shared" si="32"/>
        <v>Ergon</v>
      </c>
      <c r="C922" s="32" t="s">
        <v>659</v>
      </c>
      <c r="D922" s="387"/>
      <c r="E922" s="31"/>
      <c r="F922" s="30" t="s">
        <v>273</v>
      </c>
      <c r="G922" s="22">
        <v>0</v>
      </c>
      <c r="H922" s="22">
        <v>0</v>
      </c>
      <c r="I922" s="22">
        <v>0</v>
      </c>
      <c r="J922" s="22">
        <v>0</v>
      </c>
      <c r="K922" s="22">
        <v>0</v>
      </c>
      <c r="R922" s="24">
        <v>0</v>
      </c>
      <c r="S922" s="24">
        <v>0</v>
      </c>
      <c r="T922" s="24">
        <v>0</v>
      </c>
      <c r="U922" s="24">
        <v>0</v>
      </c>
      <c r="V922" s="24">
        <v>0</v>
      </c>
      <c r="AC922" s="26">
        <v>0</v>
      </c>
      <c r="AD922" s="26">
        <v>0</v>
      </c>
      <c r="AE922" s="26">
        <v>0</v>
      </c>
      <c r="AF922" s="26">
        <v>0</v>
      </c>
      <c r="AG922" s="26">
        <v>0</v>
      </c>
    </row>
    <row r="923" spans="2:33">
      <c r="B923" s="32" t="str">
        <f t="shared" si="32"/>
        <v>Ergon</v>
      </c>
      <c r="C923" s="32" t="s">
        <v>659</v>
      </c>
      <c r="D923" s="387"/>
      <c r="E923" s="31"/>
      <c r="F923" s="30" t="s">
        <v>274</v>
      </c>
      <c r="G923" s="22">
        <v>619.95474939999997</v>
      </c>
      <c r="H923" s="22">
        <v>1969.883734</v>
      </c>
      <c r="I923" s="22">
        <v>4481.3525900000004</v>
      </c>
      <c r="J923" s="22">
        <v>7814.7909900000004</v>
      </c>
      <c r="K923" s="22">
        <v>8732.5393550000008</v>
      </c>
      <c r="R923" s="24">
        <v>0</v>
      </c>
      <c r="S923" s="24">
        <v>285</v>
      </c>
      <c r="T923" s="24">
        <v>705</v>
      </c>
      <c r="U923" s="24">
        <v>446</v>
      </c>
      <c r="V923" s="24">
        <v>260</v>
      </c>
      <c r="AC923" s="26">
        <v>242</v>
      </c>
      <c r="AD923" s="26">
        <v>188</v>
      </c>
      <c r="AE923" s="26">
        <v>275</v>
      </c>
      <c r="AF923" s="26">
        <v>316</v>
      </c>
      <c r="AG923" s="26">
        <v>298</v>
      </c>
    </row>
    <row r="924" spans="2:33">
      <c r="B924" s="32" t="str">
        <f t="shared" si="32"/>
        <v>Ergon</v>
      </c>
      <c r="C924" s="32" t="s">
        <v>659</v>
      </c>
      <c r="D924" s="387"/>
      <c r="E924" s="31"/>
      <c r="F924" s="30" t="s">
        <v>275</v>
      </c>
      <c r="G924" s="22">
        <v>56.676877359999999</v>
      </c>
      <c r="H924" s="22">
        <v>275.09525930000001</v>
      </c>
      <c r="I924" s="22">
        <v>824.58214899999996</v>
      </c>
      <c r="J924" s="22">
        <v>40.915606910000001</v>
      </c>
      <c r="K924" s="22">
        <v>87.07162787</v>
      </c>
      <c r="R924" s="24">
        <v>2</v>
      </c>
      <c r="S924" s="24">
        <v>11</v>
      </c>
      <c r="T924" s="24">
        <v>58</v>
      </c>
      <c r="U924" s="24">
        <v>1</v>
      </c>
      <c r="V924" s="24">
        <v>5</v>
      </c>
      <c r="AC924" s="26">
        <v>1</v>
      </c>
      <c r="AD924" s="26">
        <v>9</v>
      </c>
      <c r="AE924" s="26">
        <v>9</v>
      </c>
      <c r="AF924" s="26">
        <v>3</v>
      </c>
      <c r="AG924" s="26">
        <v>12</v>
      </c>
    </row>
    <row r="925" spans="2:33">
      <c r="B925" s="32" t="str">
        <f t="shared" si="32"/>
        <v>Ergon</v>
      </c>
      <c r="C925" s="32" t="s">
        <v>659</v>
      </c>
      <c r="D925" s="387"/>
      <c r="E925" s="31"/>
      <c r="F925" s="30" t="s">
        <v>1140</v>
      </c>
      <c r="G925" s="22">
        <v>286.67395649999997</v>
      </c>
      <c r="H925" s="22">
        <v>2351.2917229999998</v>
      </c>
      <c r="I925" s="22">
        <v>5703.1774139999998</v>
      </c>
      <c r="J925" s="22">
        <v>4871.3941340000001</v>
      </c>
      <c r="K925" s="22">
        <v>3894.0518630000001</v>
      </c>
      <c r="R925" s="24">
        <v>0</v>
      </c>
      <c r="S925" s="24">
        <v>74</v>
      </c>
      <c r="T925" s="24">
        <v>184</v>
      </c>
      <c r="U925" s="24">
        <v>117</v>
      </c>
      <c r="V925" s="24">
        <v>0</v>
      </c>
      <c r="AC925" s="26">
        <v>34</v>
      </c>
      <c r="AD925" s="26">
        <v>57</v>
      </c>
      <c r="AE925" s="26">
        <v>37</v>
      </c>
      <c r="AF925" s="26">
        <v>45</v>
      </c>
      <c r="AG925" s="26">
        <v>45</v>
      </c>
    </row>
    <row r="926" spans="2:33">
      <c r="B926" s="32" t="str">
        <f t="shared" ref="B926:B932" si="33">IF(D926&gt;0,D926,B925)</f>
        <v>Ergon</v>
      </c>
      <c r="C926" s="32" t="s">
        <v>659</v>
      </c>
      <c r="D926" s="387"/>
      <c r="E926" s="31"/>
      <c r="F926" s="30" t="s">
        <v>1141</v>
      </c>
      <c r="G926" s="22">
        <v>355.62240159999999</v>
      </c>
      <c r="H926" s="22">
        <v>333.66100599999999</v>
      </c>
      <c r="I926" s="22">
        <v>508.07618480000002</v>
      </c>
      <c r="J926" s="22">
        <v>595.65991959999997</v>
      </c>
      <c r="K926" s="22">
        <v>1377.4005709999999</v>
      </c>
      <c r="R926" s="24">
        <v>8.8997721940000005</v>
      </c>
      <c r="S926" s="24">
        <v>8.3501684090000001</v>
      </c>
      <c r="T926" s="24">
        <v>12.71506598</v>
      </c>
      <c r="U926" s="24">
        <v>14.906928150000001</v>
      </c>
      <c r="V926" s="24">
        <v>34.470694889999997</v>
      </c>
      <c r="AC926" s="26">
        <v>3</v>
      </c>
      <c r="AD926" s="26">
        <v>1</v>
      </c>
      <c r="AE926" s="26">
        <v>6</v>
      </c>
      <c r="AF926" s="26">
        <v>15</v>
      </c>
      <c r="AG926" s="26">
        <v>8</v>
      </c>
    </row>
    <row r="927" spans="2:33">
      <c r="B927" s="32" t="str">
        <f t="shared" si="33"/>
        <v>Ergon</v>
      </c>
      <c r="C927" s="32" t="s">
        <v>659</v>
      </c>
      <c r="D927" s="387"/>
      <c r="E927" s="31"/>
      <c r="F927" s="30" t="s">
        <v>1142</v>
      </c>
      <c r="G927" s="22">
        <v>212.53829010000001</v>
      </c>
      <c r="H927" s="22">
        <v>917.81781969999997</v>
      </c>
      <c r="I927" s="22">
        <v>0</v>
      </c>
      <c r="J927" s="22">
        <v>613.73410369999999</v>
      </c>
      <c r="K927" s="22">
        <v>0</v>
      </c>
      <c r="R927" s="24">
        <v>1</v>
      </c>
      <c r="S927" s="24">
        <v>3</v>
      </c>
      <c r="T927" s="24">
        <v>0</v>
      </c>
      <c r="U927" s="24">
        <v>2</v>
      </c>
      <c r="V927" s="24">
        <v>0</v>
      </c>
      <c r="AC927" s="26">
        <v>7</v>
      </c>
      <c r="AD927" s="26">
        <v>2</v>
      </c>
      <c r="AE927" s="26">
        <v>2</v>
      </c>
      <c r="AF927" s="26">
        <v>3</v>
      </c>
      <c r="AG927" s="26">
        <v>4</v>
      </c>
    </row>
    <row r="928" spans="2:33" ht="30">
      <c r="B928" s="32" t="str">
        <f t="shared" si="33"/>
        <v>Ergon</v>
      </c>
      <c r="C928" s="32" t="s">
        <v>720</v>
      </c>
      <c r="D928" s="387"/>
      <c r="E928" s="31" t="s">
        <v>567</v>
      </c>
      <c r="F928" s="30" t="s">
        <v>1143</v>
      </c>
      <c r="G928" s="22">
        <v>7611.0245080000004</v>
      </c>
      <c r="H928" s="22">
        <v>1859.093762</v>
      </c>
      <c r="I928" s="22">
        <v>1361.3411309999999</v>
      </c>
      <c r="J928" s="22">
        <v>1177.387504</v>
      </c>
      <c r="K928" s="22">
        <v>2743.0294439999998</v>
      </c>
      <c r="R928" s="24">
        <v>112</v>
      </c>
      <c r="S928" s="24">
        <v>31</v>
      </c>
      <c r="T928" s="24">
        <v>40</v>
      </c>
      <c r="U928" s="24">
        <v>12</v>
      </c>
      <c r="V928" s="24">
        <v>67</v>
      </c>
      <c r="AC928" s="26">
        <v>6</v>
      </c>
      <c r="AD928" s="26">
        <v>5</v>
      </c>
      <c r="AE928" s="26">
        <v>5</v>
      </c>
      <c r="AF928" s="26">
        <v>9</v>
      </c>
      <c r="AG928" s="26">
        <v>13</v>
      </c>
    </row>
    <row r="929" spans="1:51">
      <c r="B929" s="32" t="str">
        <f t="shared" si="33"/>
        <v>Ergon</v>
      </c>
      <c r="C929" s="32" t="s">
        <v>720</v>
      </c>
      <c r="D929" s="387"/>
      <c r="E929" s="31"/>
      <c r="F929" s="30" t="s">
        <v>1144</v>
      </c>
      <c r="G929" s="22">
        <v>408.07351699999998</v>
      </c>
      <c r="H929" s="22">
        <v>936.32422810000003</v>
      </c>
      <c r="I929" s="22">
        <v>817.48591710000005</v>
      </c>
      <c r="J929" s="22">
        <v>1296.2064270000001</v>
      </c>
      <c r="K929" s="22">
        <v>1720.9451160000001</v>
      </c>
      <c r="R929" s="24">
        <v>5</v>
      </c>
      <c r="S929" s="24">
        <v>13</v>
      </c>
      <c r="T929" s="24">
        <v>20</v>
      </c>
      <c r="U929" s="24">
        <v>11</v>
      </c>
      <c r="V929" s="24">
        <v>35</v>
      </c>
      <c r="AC929" s="26">
        <v>4</v>
      </c>
      <c r="AD929" s="26">
        <v>5</v>
      </c>
      <c r="AE929" s="26">
        <v>9</v>
      </c>
      <c r="AF929" s="26">
        <v>13</v>
      </c>
      <c r="AG929" s="26">
        <v>7</v>
      </c>
    </row>
    <row r="930" spans="1:51">
      <c r="B930" s="32" t="str">
        <f t="shared" si="33"/>
        <v>Ergon</v>
      </c>
      <c r="C930" s="32" t="s">
        <v>720</v>
      </c>
      <c r="D930" s="387"/>
      <c r="E930" s="31"/>
      <c r="F930" s="30" t="s">
        <v>1145</v>
      </c>
      <c r="G930" s="22">
        <v>0</v>
      </c>
      <c r="H930" s="22">
        <v>0</v>
      </c>
      <c r="I930" s="22">
        <v>419.81308039999999</v>
      </c>
      <c r="J930" s="22">
        <v>3630.8509570000001</v>
      </c>
      <c r="K930" s="22">
        <v>1515.046325</v>
      </c>
      <c r="R930" s="24">
        <v>0</v>
      </c>
      <c r="S930" s="24">
        <v>0</v>
      </c>
      <c r="T930" s="24">
        <v>1</v>
      </c>
      <c r="U930" s="24">
        <v>3</v>
      </c>
      <c r="V930" s="24">
        <v>3</v>
      </c>
      <c r="AC930" s="26">
        <v>7</v>
      </c>
      <c r="AD930" s="26">
        <v>8</v>
      </c>
      <c r="AE930" s="26">
        <v>9</v>
      </c>
      <c r="AF930" s="26">
        <v>16</v>
      </c>
      <c r="AG930" s="26">
        <v>12</v>
      </c>
    </row>
    <row r="931" spans="1:51">
      <c r="B931" s="32" t="str">
        <f t="shared" si="33"/>
        <v>Ergon</v>
      </c>
      <c r="C931" s="32" t="s">
        <v>720</v>
      </c>
      <c r="D931" s="387"/>
      <c r="E931" s="31"/>
      <c r="F931" s="30" t="s">
        <v>1146</v>
      </c>
      <c r="G931" s="22">
        <v>0</v>
      </c>
      <c r="H931" s="22">
        <v>0</v>
      </c>
      <c r="I931" s="22">
        <v>0</v>
      </c>
      <c r="J931" s="22">
        <v>8153.6292000000003</v>
      </c>
      <c r="K931" s="22">
        <v>0</v>
      </c>
      <c r="R931" s="24">
        <v>0</v>
      </c>
      <c r="S931" s="24">
        <v>0</v>
      </c>
      <c r="T931" s="24">
        <v>0</v>
      </c>
      <c r="U931" s="24">
        <v>1</v>
      </c>
      <c r="V931" s="24">
        <v>0</v>
      </c>
      <c r="AC931" s="26">
        <v>120</v>
      </c>
      <c r="AD931" s="26">
        <v>220</v>
      </c>
      <c r="AE931" s="26">
        <v>29</v>
      </c>
      <c r="AF931" s="26">
        <v>34</v>
      </c>
      <c r="AG931" s="26">
        <v>22</v>
      </c>
    </row>
    <row r="932" spans="1:51">
      <c r="B932" s="32" t="str">
        <f t="shared" si="33"/>
        <v>Ergon</v>
      </c>
      <c r="C932" s="32" t="s">
        <v>720</v>
      </c>
      <c r="D932" s="387"/>
      <c r="E932" s="31"/>
      <c r="F932" s="30" t="s">
        <v>277</v>
      </c>
    </row>
    <row r="933" spans="1:51" ht="103.5" customHeight="1">
      <c r="A933"/>
      <c r="B933" s="32" t="str">
        <f>IF(D933&gt;0,D933,#REF!)</f>
        <v>SA Power</v>
      </c>
      <c r="C933" s="32" t="s">
        <v>1138</v>
      </c>
      <c r="D933" s="385" t="s">
        <v>1218</v>
      </c>
      <c r="E933" s="31" t="s">
        <v>311</v>
      </c>
      <c r="F933" s="44" t="s">
        <v>117</v>
      </c>
      <c r="G933" s="22">
        <v>0</v>
      </c>
      <c r="H933" s="22">
        <v>0</v>
      </c>
      <c r="I933" s="22">
        <v>0</v>
      </c>
      <c r="J933" s="22">
        <v>0</v>
      </c>
      <c r="K933" s="22">
        <v>0</v>
      </c>
      <c r="R933" s="24">
        <v>0</v>
      </c>
      <c r="S933" s="24">
        <v>0</v>
      </c>
      <c r="T933" s="24">
        <v>0</v>
      </c>
      <c r="U933" s="24">
        <v>0</v>
      </c>
      <c r="V933" s="24">
        <v>0</v>
      </c>
      <c r="AC933" s="26">
        <v>0</v>
      </c>
      <c r="AD933" s="26">
        <v>0</v>
      </c>
      <c r="AE933" s="26">
        <v>0</v>
      </c>
      <c r="AF933" s="26">
        <v>0</v>
      </c>
      <c r="AG933" s="26">
        <v>0</v>
      </c>
      <c r="AN933" s="24"/>
      <c r="AO933" s="26"/>
      <c r="AP933" s="26"/>
      <c r="AQ933" s="26"/>
      <c r="AR933" s="26"/>
      <c r="AS933" s="26"/>
      <c r="AT933" s="26"/>
      <c r="AU933" s="26"/>
      <c r="AV933" s="26"/>
      <c r="AW933" s="26"/>
      <c r="AX933" s="26"/>
      <c r="AY933" s="26"/>
    </row>
    <row r="934" spans="1:51">
      <c r="A934"/>
      <c r="B934" s="32" t="str">
        <f t="shared" ref="B934:B997" si="34">IF(D934&gt;0,D934,B933)</f>
        <v>SA Power</v>
      </c>
      <c r="C934" s="32" t="s">
        <v>1</v>
      </c>
      <c r="D934" s="385"/>
      <c r="E934" s="31"/>
      <c r="F934" s="44" t="s">
        <v>119</v>
      </c>
      <c r="G934" s="22">
        <v>0</v>
      </c>
      <c r="H934" s="22">
        <v>0</v>
      </c>
      <c r="I934" s="22">
        <v>0</v>
      </c>
      <c r="J934" s="22">
        <v>0</v>
      </c>
      <c r="K934" s="22">
        <v>0</v>
      </c>
      <c r="R934" s="24">
        <v>0</v>
      </c>
      <c r="S934" s="24">
        <v>0</v>
      </c>
      <c r="T934" s="24">
        <v>0</v>
      </c>
      <c r="U934" s="24">
        <v>0</v>
      </c>
      <c r="V934" s="24">
        <v>0</v>
      </c>
      <c r="AC934" s="26">
        <v>0</v>
      </c>
      <c r="AD934" s="26">
        <v>0</v>
      </c>
      <c r="AE934" s="26">
        <v>0</v>
      </c>
      <c r="AF934" s="26">
        <v>0</v>
      </c>
      <c r="AG934" s="26">
        <v>0</v>
      </c>
      <c r="AN934" s="24"/>
      <c r="AO934" s="26"/>
      <c r="AP934" s="26"/>
      <c r="AQ934" s="26"/>
      <c r="AR934" s="26"/>
      <c r="AS934" s="26"/>
      <c r="AT934" s="26"/>
      <c r="AU934" s="26"/>
      <c r="AV934" s="26"/>
      <c r="AW934" s="26"/>
      <c r="AX934" s="26"/>
      <c r="AY934" s="26"/>
    </row>
    <row r="935" spans="1:51">
      <c r="A935"/>
      <c r="B935" s="32" t="str">
        <f t="shared" si="34"/>
        <v>SA Power</v>
      </c>
      <c r="C935" s="32" t="s">
        <v>1</v>
      </c>
      <c r="D935" s="385"/>
      <c r="E935" s="31"/>
      <c r="F935" s="44" t="s">
        <v>121</v>
      </c>
      <c r="G935" s="22">
        <v>0</v>
      </c>
      <c r="H935" s="22">
        <v>0</v>
      </c>
      <c r="I935" s="22">
        <v>0</v>
      </c>
      <c r="J935" s="22">
        <v>0</v>
      </c>
      <c r="K935" s="22">
        <v>0</v>
      </c>
      <c r="R935" s="24">
        <v>0</v>
      </c>
      <c r="S935" s="24">
        <v>0</v>
      </c>
      <c r="T935" s="24">
        <v>0</v>
      </c>
      <c r="U935" s="24">
        <v>0</v>
      </c>
      <c r="V935" s="24">
        <v>0</v>
      </c>
      <c r="AC935" s="26">
        <v>0</v>
      </c>
      <c r="AD935" s="26">
        <v>0</v>
      </c>
      <c r="AE935" s="26">
        <v>0</v>
      </c>
      <c r="AF935" s="26">
        <v>0</v>
      </c>
      <c r="AG935" s="26">
        <v>0</v>
      </c>
      <c r="AN935" s="24"/>
      <c r="AO935" s="26"/>
      <c r="AP935" s="26"/>
      <c r="AQ935" s="26"/>
      <c r="AR935" s="26"/>
      <c r="AS935" s="26"/>
      <c r="AT935" s="26"/>
      <c r="AU935" s="26"/>
      <c r="AV935" s="26"/>
      <c r="AW935" s="26"/>
      <c r="AX935" s="26"/>
      <c r="AY935" s="26"/>
    </row>
    <row r="936" spans="1:51">
      <c r="A936"/>
      <c r="B936" s="32" t="str">
        <f t="shared" si="34"/>
        <v>SA Power</v>
      </c>
      <c r="C936" s="32" t="s">
        <v>1</v>
      </c>
      <c r="D936" s="385"/>
      <c r="E936" s="31"/>
      <c r="F936" s="44" t="s">
        <v>123</v>
      </c>
      <c r="G936" s="22">
        <v>0</v>
      </c>
      <c r="H936" s="22">
        <v>0</v>
      </c>
      <c r="I936" s="22">
        <v>0</v>
      </c>
      <c r="J936" s="22">
        <v>0</v>
      </c>
      <c r="K936" s="22">
        <v>0</v>
      </c>
      <c r="R936" s="24">
        <v>0</v>
      </c>
      <c r="S936" s="24">
        <v>0</v>
      </c>
      <c r="T936" s="24">
        <v>0</v>
      </c>
      <c r="U936" s="24">
        <v>0</v>
      </c>
      <c r="V936" s="24">
        <v>0</v>
      </c>
      <c r="AC936" s="26">
        <v>0</v>
      </c>
      <c r="AD936" s="26">
        <v>0</v>
      </c>
      <c r="AE936" s="26">
        <v>0</v>
      </c>
      <c r="AF936" s="26">
        <v>0</v>
      </c>
      <c r="AG936" s="26">
        <v>0</v>
      </c>
      <c r="AN936" s="24"/>
      <c r="AO936" s="26"/>
      <c r="AP936" s="26"/>
      <c r="AQ936" s="26"/>
      <c r="AR936" s="26"/>
      <c r="AS936" s="26"/>
      <c r="AT936" s="26"/>
      <c r="AU936" s="26"/>
      <c r="AV936" s="26"/>
      <c r="AW936" s="26"/>
      <c r="AX936" s="26"/>
      <c r="AY936" s="26"/>
    </row>
    <row r="937" spans="1:51">
      <c r="A937"/>
      <c r="B937" s="32" t="str">
        <f t="shared" si="34"/>
        <v>SA Power</v>
      </c>
      <c r="C937" s="32" t="s">
        <v>1</v>
      </c>
      <c r="D937" s="385"/>
      <c r="E937" s="31"/>
      <c r="F937" s="44" t="s">
        <v>125</v>
      </c>
      <c r="G937" s="22">
        <v>0</v>
      </c>
      <c r="H937" s="22">
        <v>0</v>
      </c>
      <c r="I937" s="22">
        <v>0</v>
      </c>
      <c r="J937" s="22">
        <v>0</v>
      </c>
      <c r="K937" s="22">
        <v>0</v>
      </c>
      <c r="R937" s="24">
        <v>0</v>
      </c>
      <c r="S937" s="24">
        <v>0</v>
      </c>
      <c r="T937" s="24">
        <v>0</v>
      </c>
      <c r="U937" s="24">
        <v>0</v>
      </c>
      <c r="V937" s="24">
        <v>0</v>
      </c>
      <c r="AC937" s="26">
        <v>0</v>
      </c>
      <c r="AD937" s="26">
        <v>0</v>
      </c>
      <c r="AE937" s="26">
        <v>0</v>
      </c>
      <c r="AF937" s="26">
        <v>0</v>
      </c>
      <c r="AG937" s="26">
        <v>0</v>
      </c>
      <c r="AN937" s="24"/>
      <c r="AO937" s="26"/>
      <c r="AP937" s="26"/>
      <c r="AQ937" s="26"/>
      <c r="AR937" s="26"/>
      <c r="AS937" s="26"/>
      <c r="AT937" s="26"/>
      <c r="AU937" s="26"/>
      <c r="AV937" s="26"/>
      <c r="AW937" s="26"/>
      <c r="AX937" s="26"/>
      <c r="AY937" s="26"/>
    </row>
    <row r="938" spans="1:51">
      <c r="A938"/>
      <c r="B938" s="32" t="str">
        <f t="shared" si="34"/>
        <v>SA Power</v>
      </c>
      <c r="C938" s="32" t="s">
        <v>1</v>
      </c>
      <c r="D938" s="385"/>
      <c r="E938" s="31"/>
      <c r="F938" s="44" t="s">
        <v>127</v>
      </c>
      <c r="G938" s="22">
        <v>0</v>
      </c>
      <c r="H938" s="22">
        <v>0</v>
      </c>
      <c r="I938" s="22">
        <v>0</v>
      </c>
      <c r="J938" s="22">
        <v>0</v>
      </c>
      <c r="K938" s="22">
        <v>0</v>
      </c>
      <c r="R938" s="24">
        <v>0</v>
      </c>
      <c r="S938" s="24">
        <v>0</v>
      </c>
      <c r="T938" s="24">
        <v>0</v>
      </c>
      <c r="U938" s="24">
        <v>0</v>
      </c>
      <c r="V938" s="24">
        <v>0</v>
      </c>
      <c r="AC938" s="26">
        <v>0</v>
      </c>
      <c r="AD938" s="26">
        <v>0</v>
      </c>
      <c r="AE938" s="26">
        <v>0</v>
      </c>
      <c r="AF938" s="26">
        <v>0</v>
      </c>
      <c r="AG938" s="26">
        <v>0</v>
      </c>
      <c r="AN938" s="24"/>
      <c r="AO938" s="26"/>
      <c r="AP938" s="26"/>
      <c r="AQ938" s="26"/>
      <c r="AR938" s="26"/>
      <c r="AS938" s="26"/>
      <c r="AT938" s="26"/>
      <c r="AU938" s="26"/>
      <c r="AV938" s="26"/>
      <c r="AW938" s="26"/>
      <c r="AX938" s="26"/>
      <c r="AY938" s="26"/>
    </row>
    <row r="939" spans="1:51">
      <c r="A939"/>
      <c r="B939" s="32" t="str">
        <f t="shared" si="34"/>
        <v>SA Power</v>
      </c>
      <c r="C939" s="32" t="s">
        <v>1</v>
      </c>
      <c r="D939" s="385"/>
      <c r="E939" s="31"/>
      <c r="F939" s="44" t="s">
        <v>129</v>
      </c>
      <c r="G939" s="22">
        <v>0</v>
      </c>
      <c r="H939" s="22">
        <v>0</v>
      </c>
      <c r="I939" s="22">
        <v>0</v>
      </c>
      <c r="J939" s="22">
        <v>0</v>
      </c>
      <c r="K939" s="22">
        <v>0</v>
      </c>
      <c r="R939" s="24">
        <v>0</v>
      </c>
      <c r="S939" s="24">
        <v>0</v>
      </c>
      <c r="T939" s="24">
        <v>0</v>
      </c>
      <c r="U939" s="24">
        <v>0</v>
      </c>
      <c r="V939" s="24">
        <v>0</v>
      </c>
      <c r="AC939" s="26">
        <v>0</v>
      </c>
      <c r="AD939" s="26">
        <v>0</v>
      </c>
      <c r="AE939" s="26">
        <v>0</v>
      </c>
      <c r="AF939" s="26">
        <v>0</v>
      </c>
      <c r="AG939" s="26">
        <v>0</v>
      </c>
      <c r="AN939" s="24"/>
      <c r="AO939" s="26"/>
      <c r="AP939" s="26"/>
      <c r="AQ939" s="26"/>
      <c r="AR939" s="26"/>
      <c r="AS939" s="26"/>
      <c r="AT939" s="26"/>
      <c r="AU939" s="26"/>
      <c r="AV939" s="26"/>
      <c r="AW939" s="26"/>
      <c r="AX939" s="26"/>
      <c r="AY939" s="26"/>
    </row>
    <row r="940" spans="1:51">
      <c r="A940"/>
      <c r="B940" s="32" t="str">
        <f t="shared" si="34"/>
        <v>SA Power</v>
      </c>
      <c r="C940" s="32" t="s">
        <v>1</v>
      </c>
      <c r="D940" s="385"/>
      <c r="E940" s="31"/>
      <c r="F940" s="44" t="s">
        <v>131</v>
      </c>
      <c r="G940" s="22">
        <v>0</v>
      </c>
      <c r="H940" s="22">
        <v>0</v>
      </c>
      <c r="I940" s="22">
        <v>0</v>
      </c>
      <c r="J940" s="22">
        <v>0</v>
      </c>
      <c r="K940" s="22">
        <v>0</v>
      </c>
      <c r="R940" s="24">
        <v>0</v>
      </c>
      <c r="S940" s="24">
        <v>0</v>
      </c>
      <c r="T940" s="24">
        <v>0</v>
      </c>
      <c r="U940" s="24">
        <v>0</v>
      </c>
      <c r="V940" s="24">
        <v>0</v>
      </c>
      <c r="AC940" s="26">
        <v>0</v>
      </c>
      <c r="AD940" s="26">
        <v>0</v>
      </c>
      <c r="AE940" s="26">
        <v>0</v>
      </c>
      <c r="AF940" s="26">
        <v>0</v>
      </c>
      <c r="AG940" s="26">
        <v>0</v>
      </c>
      <c r="AN940" s="24"/>
      <c r="AO940" s="26"/>
      <c r="AP940" s="26"/>
      <c r="AQ940" s="26"/>
      <c r="AR940" s="26"/>
      <c r="AS940" s="26"/>
      <c r="AT940" s="26"/>
      <c r="AU940" s="26"/>
      <c r="AV940" s="26"/>
      <c r="AW940" s="26"/>
      <c r="AX940" s="26"/>
      <c r="AY940" s="26"/>
    </row>
    <row r="941" spans="1:51">
      <c r="A941"/>
      <c r="B941" s="32" t="str">
        <f t="shared" si="34"/>
        <v>SA Power</v>
      </c>
      <c r="C941" s="32" t="s">
        <v>1</v>
      </c>
      <c r="D941" s="385"/>
      <c r="E941" s="31"/>
      <c r="F941" s="44" t="s">
        <v>133</v>
      </c>
      <c r="G941" s="22">
        <v>0</v>
      </c>
      <c r="H941" s="22">
        <v>0</v>
      </c>
      <c r="I941" s="22">
        <v>0</v>
      </c>
      <c r="J941" s="22">
        <v>0</v>
      </c>
      <c r="K941" s="22">
        <v>0</v>
      </c>
      <c r="R941" s="24">
        <v>0</v>
      </c>
      <c r="S941" s="24">
        <v>0</v>
      </c>
      <c r="T941" s="24">
        <v>0</v>
      </c>
      <c r="U941" s="24">
        <v>0</v>
      </c>
      <c r="V941" s="24">
        <v>0</v>
      </c>
      <c r="AC941" s="26">
        <v>0</v>
      </c>
      <c r="AD941" s="26">
        <v>0</v>
      </c>
      <c r="AE941" s="26">
        <v>0</v>
      </c>
      <c r="AF941" s="26">
        <v>0</v>
      </c>
      <c r="AG941" s="26">
        <v>0</v>
      </c>
      <c r="AN941" s="24"/>
      <c r="AO941" s="26"/>
      <c r="AP941" s="26"/>
      <c r="AQ941" s="26"/>
      <c r="AR941" s="26"/>
      <c r="AS941" s="26"/>
      <c r="AT941" s="26"/>
      <c r="AU941" s="26"/>
      <c r="AV941" s="26"/>
      <c r="AW941" s="26"/>
      <c r="AX941" s="26"/>
      <c r="AY941" s="26"/>
    </row>
    <row r="942" spans="1:51">
      <c r="A942"/>
      <c r="B942" s="32" t="str">
        <f t="shared" si="34"/>
        <v>SA Power</v>
      </c>
      <c r="C942" s="32" t="s">
        <v>1</v>
      </c>
      <c r="D942" s="385"/>
      <c r="E942" s="31"/>
      <c r="F942" s="44"/>
      <c r="G942" s="22">
        <v>0</v>
      </c>
      <c r="H942" s="22">
        <v>0</v>
      </c>
      <c r="I942" s="22">
        <v>0</v>
      </c>
      <c r="J942" s="22">
        <v>0</v>
      </c>
      <c r="K942" s="22">
        <v>0</v>
      </c>
      <c r="R942" s="24">
        <v>0</v>
      </c>
      <c r="S942" s="24">
        <v>0</v>
      </c>
      <c r="T942" s="24">
        <v>0</v>
      </c>
      <c r="U942" s="24">
        <v>0</v>
      </c>
      <c r="V942" s="24">
        <v>0</v>
      </c>
      <c r="AC942" s="26">
        <v>0</v>
      </c>
      <c r="AD942" s="26">
        <v>0</v>
      </c>
      <c r="AE942" s="26">
        <v>0</v>
      </c>
      <c r="AF942" s="26">
        <v>0</v>
      </c>
      <c r="AG942" s="26">
        <v>0</v>
      </c>
      <c r="AN942" s="24"/>
      <c r="AO942" s="26"/>
      <c r="AP942" s="26"/>
      <c r="AQ942" s="26"/>
      <c r="AR942" s="26"/>
      <c r="AS942" s="26"/>
      <c r="AT942" s="26"/>
      <c r="AU942" s="26"/>
      <c r="AV942" s="26"/>
      <c r="AW942" s="26"/>
      <c r="AX942" s="26"/>
      <c r="AY942" s="26"/>
    </row>
    <row r="943" spans="1:51">
      <c r="A943"/>
      <c r="B943" s="32" t="str">
        <f t="shared" si="34"/>
        <v>SA Power</v>
      </c>
      <c r="C943" s="32" t="s">
        <v>1</v>
      </c>
      <c r="D943" s="385"/>
      <c r="E943" s="31"/>
      <c r="F943" s="44"/>
      <c r="G943" s="22">
        <v>0</v>
      </c>
      <c r="H943" s="22">
        <v>0</v>
      </c>
      <c r="I943" s="22">
        <v>0</v>
      </c>
      <c r="J943" s="22">
        <v>0</v>
      </c>
      <c r="K943" s="22">
        <v>0</v>
      </c>
      <c r="R943" s="24">
        <v>0</v>
      </c>
      <c r="S943" s="24">
        <v>0</v>
      </c>
      <c r="T943" s="24">
        <v>0</v>
      </c>
      <c r="U943" s="24">
        <v>0</v>
      </c>
      <c r="V943" s="24">
        <v>0</v>
      </c>
      <c r="AC943" s="26">
        <v>0</v>
      </c>
      <c r="AD943" s="26">
        <v>0</v>
      </c>
      <c r="AE943" s="26">
        <v>0</v>
      </c>
      <c r="AF943" s="26">
        <v>0</v>
      </c>
      <c r="AG943" s="26">
        <v>0</v>
      </c>
      <c r="AN943" s="24"/>
      <c r="AO943" s="26"/>
      <c r="AP943" s="26"/>
      <c r="AQ943" s="26"/>
      <c r="AR943" s="26"/>
      <c r="AS943" s="26"/>
      <c r="AT943" s="26"/>
      <c r="AU943" s="26"/>
      <c r="AV943" s="26"/>
      <c r="AW943" s="26"/>
      <c r="AX943" s="26"/>
      <c r="AY943" s="26"/>
    </row>
    <row r="944" spans="1:51">
      <c r="A944"/>
      <c r="B944" s="32" t="str">
        <f t="shared" si="34"/>
        <v>SA Power</v>
      </c>
      <c r="C944" s="32" t="s">
        <v>1</v>
      </c>
      <c r="D944" s="385"/>
      <c r="E944" s="31"/>
      <c r="F944" s="44"/>
      <c r="G944" s="22">
        <v>0</v>
      </c>
      <c r="H944" s="22">
        <v>0</v>
      </c>
      <c r="I944" s="22">
        <v>0</v>
      </c>
      <c r="J944" s="22">
        <v>0</v>
      </c>
      <c r="K944" s="22">
        <v>0</v>
      </c>
      <c r="R944" s="24">
        <v>0</v>
      </c>
      <c r="S944" s="24">
        <v>0</v>
      </c>
      <c r="T944" s="24">
        <v>0</v>
      </c>
      <c r="U944" s="24">
        <v>0</v>
      </c>
      <c r="V944" s="24">
        <v>0</v>
      </c>
      <c r="AC944" s="26">
        <v>0</v>
      </c>
      <c r="AD944" s="26">
        <v>0</v>
      </c>
      <c r="AE944" s="26">
        <v>0</v>
      </c>
      <c r="AF944" s="26">
        <v>0</v>
      </c>
      <c r="AG944" s="26">
        <v>0</v>
      </c>
      <c r="AN944" s="24"/>
      <c r="AO944" s="26"/>
      <c r="AP944" s="26"/>
      <c r="AQ944" s="26"/>
      <c r="AR944" s="26"/>
      <c r="AS944" s="26"/>
      <c r="AT944" s="26"/>
      <c r="AU944" s="26"/>
      <c r="AV944" s="26"/>
      <c r="AW944" s="26"/>
      <c r="AX944" s="26"/>
      <c r="AY944" s="26"/>
    </row>
    <row r="945" spans="1:51">
      <c r="A945"/>
      <c r="B945" s="32" t="str">
        <f t="shared" si="34"/>
        <v>SA Power</v>
      </c>
      <c r="C945" s="32" t="s">
        <v>1</v>
      </c>
      <c r="D945" s="385"/>
      <c r="E945" s="31"/>
      <c r="F945" s="44" t="s">
        <v>153</v>
      </c>
      <c r="G945" s="22">
        <v>0</v>
      </c>
      <c r="H945" s="22">
        <v>0</v>
      </c>
      <c r="I945" s="22">
        <v>0</v>
      </c>
      <c r="J945" s="22">
        <v>0</v>
      </c>
      <c r="K945" s="22">
        <v>0</v>
      </c>
      <c r="R945" s="24">
        <v>0</v>
      </c>
      <c r="S945" s="24">
        <v>0</v>
      </c>
      <c r="T945" s="24">
        <v>0</v>
      </c>
      <c r="U945" s="24">
        <v>0</v>
      </c>
      <c r="V945" s="24">
        <v>0</v>
      </c>
      <c r="AC945" s="26">
        <v>0</v>
      </c>
      <c r="AD945" s="26">
        <v>0</v>
      </c>
      <c r="AE945" s="26">
        <v>0</v>
      </c>
      <c r="AF945" s="26">
        <v>0</v>
      </c>
      <c r="AG945" s="26">
        <v>0</v>
      </c>
      <c r="AN945" s="24"/>
      <c r="AO945" s="26"/>
      <c r="AP945" s="26"/>
      <c r="AQ945" s="26"/>
      <c r="AR945" s="26"/>
      <c r="AS945" s="26"/>
      <c r="AT945" s="26"/>
      <c r="AU945" s="26"/>
      <c r="AV945" s="26"/>
      <c r="AW945" s="26"/>
      <c r="AX945" s="26"/>
      <c r="AY945" s="26"/>
    </row>
    <row r="946" spans="1:51">
      <c r="A946"/>
      <c r="B946" s="32" t="str">
        <f t="shared" si="34"/>
        <v>SA Power</v>
      </c>
      <c r="C946" s="32" t="s">
        <v>1</v>
      </c>
      <c r="D946" s="385"/>
      <c r="E946" s="31"/>
      <c r="F946" s="44" t="s">
        <v>155</v>
      </c>
      <c r="G946" s="22">
        <v>0</v>
      </c>
      <c r="H946" s="22">
        <v>0</v>
      </c>
      <c r="I946" s="22">
        <v>0</v>
      </c>
      <c r="J946" s="22">
        <v>0</v>
      </c>
      <c r="K946" s="22">
        <v>0</v>
      </c>
      <c r="R946" s="24">
        <v>0</v>
      </c>
      <c r="S946" s="24">
        <v>0</v>
      </c>
      <c r="T946" s="24">
        <v>0</v>
      </c>
      <c r="U946" s="24">
        <v>0</v>
      </c>
      <c r="V946" s="24">
        <v>0</v>
      </c>
      <c r="AC946" s="26">
        <v>0</v>
      </c>
      <c r="AD946" s="26">
        <v>0</v>
      </c>
      <c r="AE946" s="26">
        <v>0</v>
      </c>
      <c r="AF946" s="26">
        <v>0</v>
      </c>
      <c r="AG946" s="26">
        <v>0</v>
      </c>
      <c r="AN946" s="24"/>
      <c r="AO946" s="26"/>
      <c r="AP946" s="26"/>
      <c r="AQ946" s="26"/>
      <c r="AR946" s="26"/>
      <c r="AS946" s="26"/>
      <c r="AT946" s="26"/>
      <c r="AU946" s="26"/>
      <c r="AV946" s="26"/>
      <c r="AW946" s="26"/>
      <c r="AX946" s="26"/>
      <c r="AY946" s="26"/>
    </row>
    <row r="947" spans="1:51">
      <c r="A947"/>
      <c r="B947" s="32" t="str">
        <f t="shared" si="34"/>
        <v>SA Power</v>
      </c>
      <c r="C947" s="32" t="s">
        <v>1</v>
      </c>
      <c r="D947" s="385"/>
      <c r="E947" s="31"/>
      <c r="F947" s="44" t="s">
        <v>157</v>
      </c>
      <c r="G947" s="22">
        <v>0</v>
      </c>
      <c r="H947" s="22">
        <v>0</v>
      </c>
      <c r="I947" s="22">
        <v>0</v>
      </c>
      <c r="J947" s="22">
        <v>0</v>
      </c>
      <c r="K947" s="22">
        <v>0</v>
      </c>
      <c r="R947" s="24">
        <v>0</v>
      </c>
      <c r="S947" s="24">
        <v>0</v>
      </c>
      <c r="T947" s="24">
        <v>0</v>
      </c>
      <c r="U947" s="24">
        <v>0</v>
      </c>
      <c r="V947" s="24">
        <v>0</v>
      </c>
      <c r="AC947" s="26">
        <v>0</v>
      </c>
      <c r="AD947" s="26">
        <v>0</v>
      </c>
      <c r="AE947" s="26">
        <v>0</v>
      </c>
      <c r="AF947" s="26">
        <v>0</v>
      </c>
      <c r="AG947" s="26">
        <v>0</v>
      </c>
      <c r="AN947" s="24"/>
      <c r="AO947" s="26"/>
      <c r="AP947" s="26"/>
      <c r="AQ947" s="26"/>
      <c r="AR947" s="26"/>
      <c r="AS947" s="26"/>
      <c r="AT947" s="26"/>
      <c r="AU947" s="26"/>
      <c r="AV947" s="26"/>
      <c r="AW947" s="26"/>
      <c r="AX947" s="26"/>
      <c r="AY947" s="26"/>
    </row>
    <row r="948" spans="1:51">
      <c r="A948"/>
      <c r="B948" s="32" t="str">
        <f t="shared" si="34"/>
        <v>SA Power</v>
      </c>
      <c r="C948" s="32" t="s">
        <v>1</v>
      </c>
      <c r="D948" s="385"/>
      <c r="E948" s="31"/>
      <c r="F948" s="44" t="s">
        <v>159</v>
      </c>
      <c r="G948" s="22">
        <v>0</v>
      </c>
      <c r="H948" s="22">
        <v>0</v>
      </c>
      <c r="I948" s="22">
        <v>0</v>
      </c>
      <c r="J948" s="22">
        <v>0</v>
      </c>
      <c r="K948" s="22">
        <v>0</v>
      </c>
      <c r="R948" s="24">
        <v>0</v>
      </c>
      <c r="S948" s="24">
        <v>0</v>
      </c>
      <c r="T948" s="24">
        <v>0</v>
      </c>
      <c r="U948" s="24">
        <v>0</v>
      </c>
      <c r="V948" s="24">
        <v>0</v>
      </c>
      <c r="AC948" s="26">
        <v>0</v>
      </c>
      <c r="AD948" s="26">
        <v>0</v>
      </c>
      <c r="AE948" s="26">
        <v>0</v>
      </c>
      <c r="AF948" s="26">
        <v>0</v>
      </c>
      <c r="AG948" s="26">
        <v>0</v>
      </c>
      <c r="AN948" s="24"/>
      <c r="AO948" s="26"/>
      <c r="AP948" s="26"/>
      <c r="AQ948" s="26"/>
      <c r="AR948" s="26"/>
      <c r="AS948" s="26"/>
      <c r="AT948" s="26"/>
      <c r="AU948" s="26"/>
      <c r="AV948" s="26"/>
      <c r="AW948" s="26"/>
      <c r="AX948" s="26"/>
      <c r="AY948" s="26"/>
    </row>
    <row r="949" spans="1:51">
      <c r="A949"/>
      <c r="B949" s="32" t="str">
        <f t="shared" si="34"/>
        <v>SA Power</v>
      </c>
      <c r="C949" s="32" t="s">
        <v>1</v>
      </c>
      <c r="D949" s="385"/>
      <c r="E949" s="31"/>
      <c r="F949" s="44" t="s">
        <v>161</v>
      </c>
      <c r="G949" s="22">
        <v>0</v>
      </c>
      <c r="H949" s="22">
        <v>0</v>
      </c>
      <c r="I949" s="22">
        <v>0</v>
      </c>
      <c r="J949" s="22">
        <v>0</v>
      </c>
      <c r="K949" s="22">
        <v>0</v>
      </c>
      <c r="R949" s="24">
        <v>0</v>
      </c>
      <c r="S949" s="24">
        <v>0</v>
      </c>
      <c r="T949" s="24">
        <v>0</v>
      </c>
      <c r="U949" s="24">
        <v>0</v>
      </c>
      <c r="V949" s="24">
        <v>0</v>
      </c>
      <c r="AC949" s="26">
        <v>0</v>
      </c>
      <c r="AD949" s="26">
        <v>0</v>
      </c>
      <c r="AE949" s="26">
        <v>0</v>
      </c>
      <c r="AF949" s="26">
        <v>0</v>
      </c>
      <c r="AG949" s="26">
        <v>0</v>
      </c>
      <c r="AN949" s="24"/>
      <c r="AO949" s="26"/>
      <c r="AP949" s="26"/>
      <c r="AQ949" s="26"/>
      <c r="AR949" s="26"/>
      <c r="AS949" s="26"/>
      <c r="AT949" s="26"/>
      <c r="AU949" s="26"/>
      <c r="AV949" s="26"/>
      <c r="AW949" s="26"/>
      <c r="AX949" s="26"/>
      <c r="AY949" s="26"/>
    </row>
    <row r="950" spans="1:51">
      <c r="A950"/>
      <c r="B950" s="32" t="str">
        <f t="shared" si="34"/>
        <v>SA Power</v>
      </c>
      <c r="C950" s="32" t="s">
        <v>1</v>
      </c>
      <c r="D950" s="385"/>
      <c r="E950" s="31"/>
      <c r="F950" s="44" t="s">
        <v>163</v>
      </c>
      <c r="G950" s="22">
        <v>0</v>
      </c>
      <c r="H950" s="22">
        <v>0</v>
      </c>
      <c r="I950" s="22">
        <v>0</v>
      </c>
      <c r="J950" s="22">
        <v>0</v>
      </c>
      <c r="K950" s="22">
        <v>0</v>
      </c>
      <c r="R950" s="24">
        <v>0</v>
      </c>
      <c r="S950" s="24">
        <v>0</v>
      </c>
      <c r="T950" s="24">
        <v>0</v>
      </c>
      <c r="U950" s="24">
        <v>0</v>
      </c>
      <c r="V950" s="24">
        <v>0</v>
      </c>
      <c r="AC950" s="26">
        <v>0</v>
      </c>
      <c r="AD950" s="26">
        <v>0</v>
      </c>
      <c r="AE950" s="26">
        <v>0</v>
      </c>
      <c r="AF950" s="26">
        <v>0</v>
      </c>
      <c r="AG950" s="26">
        <v>0</v>
      </c>
      <c r="AN950" s="24"/>
      <c r="AO950" s="26"/>
      <c r="AP950" s="26"/>
      <c r="AQ950" s="26"/>
      <c r="AR950" s="26"/>
      <c r="AS950" s="26"/>
      <c r="AT950" s="26"/>
      <c r="AU950" s="26"/>
      <c r="AV950" s="26"/>
      <c r="AW950" s="26"/>
      <c r="AX950" s="26"/>
      <c r="AY950" s="26"/>
    </row>
    <row r="951" spans="1:51">
      <c r="A951"/>
      <c r="B951" s="32" t="str">
        <f t="shared" si="34"/>
        <v>SA Power</v>
      </c>
      <c r="C951" s="32" t="s">
        <v>1</v>
      </c>
      <c r="D951" s="385"/>
      <c r="E951" s="31"/>
      <c r="F951" s="44" t="s">
        <v>165</v>
      </c>
      <c r="G951" s="22">
        <v>0</v>
      </c>
      <c r="H951" s="22">
        <v>0</v>
      </c>
      <c r="I951" s="22">
        <v>0</v>
      </c>
      <c r="J951" s="22">
        <v>0</v>
      </c>
      <c r="K951" s="22">
        <v>0</v>
      </c>
      <c r="R951" s="24">
        <v>0</v>
      </c>
      <c r="S951" s="24">
        <v>0</v>
      </c>
      <c r="T951" s="24">
        <v>0</v>
      </c>
      <c r="U951" s="24">
        <v>0</v>
      </c>
      <c r="V951" s="24">
        <v>0</v>
      </c>
      <c r="AC951" s="26">
        <v>0</v>
      </c>
      <c r="AD951" s="26">
        <v>0</v>
      </c>
      <c r="AE951" s="26">
        <v>0</v>
      </c>
      <c r="AF951" s="26">
        <v>0</v>
      </c>
      <c r="AG951" s="26">
        <v>0</v>
      </c>
      <c r="AN951" s="24"/>
      <c r="AO951" s="26"/>
      <c r="AP951" s="26"/>
      <c r="AQ951" s="26"/>
      <c r="AR951" s="26"/>
      <c r="AS951" s="26"/>
      <c r="AT951" s="26"/>
      <c r="AU951" s="26"/>
      <c r="AV951" s="26"/>
      <c r="AW951" s="26"/>
      <c r="AX951" s="26"/>
      <c r="AY951" s="26"/>
    </row>
    <row r="952" spans="1:51">
      <c r="A952"/>
      <c r="B952" s="32" t="str">
        <f t="shared" si="34"/>
        <v>SA Power</v>
      </c>
      <c r="C952" s="32" t="s">
        <v>1</v>
      </c>
      <c r="D952" s="385"/>
      <c r="E952" s="31"/>
      <c r="F952" s="44" t="s">
        <v>166</v>
      </c>
      <c r="G952" s="22">
        <v>0</v>
      </c>
      <c r="H952" s="22">
        <v>0</v>
      </c>
      <c r="I952" s="22">
        <v>0</v>
      </c>
      <c r="J952" s="22">
        <v>0</v>
      </c>
      <c r="K952" s="22">
        <v>0</v>
      </c>
      <c r="R952" s="24">
        <v>0</v>
      </c>
      <c r="S952" s="24">
        <v>0</v>
      </c>
      <c r="T952" s="24">
        <v>0</v>
      </c>
      <c r="U952" s="24">
        <v>0</v>
      </c>
      <c r="V952" s="24">
        <v>0</v>
      </c>
      <c r="AC952" s="26">
        <v>0</v>
      </c>
      <c r="AD952" s="26">
        <v>0</v>
      </c>
      <c r="AE952" s="26">
        <v>0</v>
      </c>
      <c r="AF952" s="26">
        <v>0</v>
      </c>
      <c r="AG952" s="26">
        <v>0</v>
      </c>
      <c r="AN952" s="24"/>
      <c r="AO952" s="26"/>
      <c r="AP952" s="26"/>
      <c r="AQ952" s="26"/>
      <c r="AR952" s="26"/>
      <c r="AS952" s="26"/>
      <c r="AT952" s="26"/>
      <c r="AU952" s="26"/>
      <c r="AV952" s="26"/>
      <c r="AW952" s="26"/>
      <c r="AX952" s="26"/>
      <c r="AY952" s="26"/>
    </row>
    <row r="953" spans="1:51">
      <c r="A953"/>
      <c r="B953" s="32" t="str">
        <f t="shared" si="34"/>
        <v>SA Power</v>
      </c>
      <c r="C953" s="32" t="s">
        <v>1</v>
      </c>
      <c r="D953" s="385"/>
      <c r="E953" s="31"/>
      <c r="F953" s="44" t="s">
        <v>167</v>
      </c>
      <c r="G953" s="22">
        <v>0</v>
      </c>
      <c r="H953" s="22">
        <v>0</v>
      </c>
      <c r="I953" s="22">
        <v>0</v>
      </c>
      <c r="J953" s="22">
        <v>0</v>
      </c>
      <c r="K953" s="22">
        <v>0</v>
      </c>
      <c r="R953" s="24">
        <v>0</v>
      </c>
      <c r="S953" s="24">
        <v>0</v>
      </c>
      <c r="T953" s="24">
        <v>0</v>
      </c>
      <c r="U953" s="24">
        <v>0</v>
      </c>
      <c r="V953" s="24">
        <v>0</v>
      </c>
      <c r="AC953" s="26">
        <v>0</v>
      </c>
      <c r="AD953" s="26">
        <v>0</v>
      </c>
      <c r="AE953" s="26">
        <v>0</v>
      </c>
      <c r="AF953" s="26">
        <v>0</v>
      </c>
      <c r="AG953" s="26">
        <v>0</v>
      </c>
      <c r="AN953" s="24"/>
      <c r="AO953" s="26"/>
      <c r="AP953" s="26"/>
      <c r="AQ953" s="26"/>
      <c r="AR953" s="26"/>
      <c r="AS953" s="26"/>
      <c r="AT953" s="26"/>
      <c r="AU953" s="26"/>
      <c r="AV953" s="26"/>
      <c r="AW953" s="26"/>
      <c r="AX953" s="26"/>
      <c r="AY953" s="26"/>
    </row>
    <row r="954" spans="1:51">
      <c r="B954" s="32" t="str">
        <f t="shared" si="34"/>
        <v>SA Power</v>
      </c>
      <c r="C954" s="32" t="s">
        <v>1</v>
      </c>
      <c r="D954" s="385"/>
      <c r="E954" s="31"/>
      <c r="F954" s="44" t="s">
        <v>168</v>
      </c>
      <c r="G954" s="22">
        <v>0</v>
      </c>
      <c r="H954" s="22">
        <v>0</v>
      </c>
      <c r="I954" s="22">
        <v>0</v>
      </c>
      <c r="J954" s="22">
        <v>0</v>
      </c>
      <c r="K954" s="22">
        <v>0</v>
      </c>
      <c r="R954" s="24">
        <v>0</v>
      </c>
      <c r="S954" s="24">
        <v>0</v>
      </c>
      <c r="T954" s="24">
        <v>0</v>
      </c>
      <c r="U954" s="24">
        <v>0</v>
      </c>
      <c r="V954" s="24">
        <v>0</v>
      </c>
      <c r="AC954" s="26">
        <v>0</v>
      </c>
      <c r="AD954" s="26">
        <v>0</v>
      </c>
      <c r="AE954" s="26">
        <v>0</v>
      </c>
      <c r="AF954" s="26">
        <v>0</v>
      </c>
      <c r="AG954" s="26">
        <v>0</v>
      </c>
      <c r="AN954" s="24"/>
      <c r="AO954" s="26"/>
      <c r="AP954" s="26"/>
      <c r="AQ954" s="26"/>
      <c r="AR954" s="26"/>
      <c r="AS954" s="26"/>
      <c r="AT954" s="26"/>
      <c r="AU954" s="26"/>
      <c r="AV954" s="26"/>
      <c r="AW954" s="26"/>
      <c r="AX954" s="26"/>
      <c r="AY954" s="26"/>
    </row>
    <row r="955" spans="1:51">
      <c r="B955" s="32" t="str">
        <f t="shared" si="34"/>
        <v>SA Power</v>
      </c>
      <c r="C955" s="32" t="s">
        <v>1</v>
      </c>
      <c r="D955" s="385"/>
      <c r="E955" s="31"/>
      <c r="F955" s="44" t="s">
        <v>1219</v>
      </c>
      <c r="G955" s="22">
        <v>3258.4952969415372</v>
      </c>
      <c r="H955" s="22">
        <v>2804.297822715132</v>
      </c>
      <c r="I955" s="22">
        <v>3735.2581664696331</v>
      </c>
      <c r="J955" s="22">
        <v>7160.1285424590569</v>
      </c>
      <c r="K955" s="22">
        <v>17733.919513547957</v>
      </c>
      <c r="R955" s="24">
        <v>492</v>
      </c>
      <c r="S955" s="24">
        <v>416</v>
      </c>
      <c r="T955" s="24">
        <v>540</v>
      </c>
      <c r="U955" s="24">
        <v>926</v>
      </c>
      <c r="V955" s="24">
        <v>2223</v>
      </c>
      <c r="AC955" s="26">
        <v>67</v>
      </c>
      <c r="AD955" s="26">
        <v>82</v>
      </c>
      <c r="AE955" s="26">
        <v>106</v>
      </c>
      <c r="AF955" s="26">
        <v>72</v>
      </c>
      <c r="AG955" s="26">
        <v>132</v>
      </c>
      <c r="AN955" s="24"/>
      <c r="AO955" s="26"/>
      <c r="AP955" s="26"/>
      <c r="AQ955" s="26"/>
      <c r="AR955" s="26"/>
      <c r="AS955" s="26"/>
      <c r="AT955" s="26"/>
      <c r="AU955" s="26"/>
      <c r="AV955" s="26"/>
      <c r="AW955" s="26"/>
      <c r="AX955" s="26"/>
      <c r="AY955" s="26"/>
    </row>
    <row r="956" spans="1:51">
      <c r="B956" s="32" t="str">
        <f t="shared" si="34"/>
        <v>SA Power</v>
      </c>
      <c r="C956" s="32" t="s">
        <v>1</v>
      </c>
      <c r="D956" s="385"/>
      <c r="E956" s="31"/>
      <c r="F956" s="44" t="s">
        <v>1220</v>
      </c>
      <c r="G956" s="22">
        <v>590.84766911658619</v>
      </c>
      <c r="H956" s="22">
        <v>733.11368423559281</v>
      </c>
      <c r="I956" s="22">
        <v>884.89869389603803</v>
      </c>
      <c r="J956" s="22">
        <v>966.45992690207549</v>
      </c>
      <c r="K956" s="22">
        <v>1382.1496500517376</v>
      </c>
      <c r="R956" s="24">
        <v>101</v>
      </c>
      <c r="S956" s="24">
        <v>71</v>
      </c>
      <c r="T956" s="24">
        <v>91</v>
      </c>
      <c r="U956" s="24">
        <v>206</v>
      </c>
      <c r="V956" s="24">
        <v>190</v>
      </c>
      <c r="AC956" s="26">
        <v>0</v>
      </c>
      <c r="AD956" s="26">
        <v>3</v>
      </c>
      <c r="AE956" s="26">
        <v>7</v>
      </c>
      <c r="AF956" s="26">
        <v>6</v>
      </c>
      <c r="AG956" s="26">
        <v>9</v>
      </c>
      <c r="AN956" s="24"/>
      <c r="AO956" s="26"/>
      <c r="AP956" s="26"/>
      <c r="AQ956" s="26"/>
      <c r="AR956" s="26"/>
      <c r="AS956" s="26"/>
      <c r="AT956" s="26"/>
      <c r="AU956" s="26"/>
      <c r="AV956" s="26"/>
      <c r="AW956" s="26"/>
      <c r="AX956" s="26"/>
      <c r="AY956" s="26"/>
    </row>
    <row r="957" spans="1:51">
      <c r="B957" s="32" t="str">
        <f t="shared" si="34"/>
        <v>SA Power</v>
      </c>
      <c r="C957" s="32" t="s">
        <v>1</v>
      </c>
      <c r="D957" s="385"/>
      <c r="E957" s="31"/>
      <c r="F957" s="44" t="s">
        <v>1221</v>
      </c>
      <c r="G957" s="22">
        <v>47.070110432387551</v>
      </c>
      <c r="H957" s="22">
        <v>64.835564269378153</v>
      </c>
      <c r="I957" s="22">
        <v>99.207526945855747</v>
      </c>
      <c r="J957" s="22">
        <v>5.0971634342723657</v>
      </c>
      <c r="K957" s="22">
        <v>216.75082987485413</v>
      </c>
      <c r="R957" s="24">
        <v>2</v>
      </c>
      <c r="S957" s="24">
        <v>6</v>
      </c>
      <c r="T957" s="24">
        <v>5</v>
      </c>
      <c r="U957" s="24">
        <v>1</v>
      </c>
      <c r="V957" s="24">
        <v>15</v>
      </c>
      <c r="AC957" s="26">
        <v>0</v>
      </c>
      <c r="AD957" s="26">
        <v>0</v>
      </c>
      <c r="AE957" s="26">
        <v>0</v>
      </c>
      <c r="AF957" s="26">
        <v>0</v>
      </c>
      <c r="AG957" s="26">
        <v>0</v>
      </c>
      <c r="AN957" s="24"/>
      <c r="AO957" s="26"/>
      <c r="AP957" s="26"/>
      <c r="AQ957" s="26"/>
      <c r="AR957" s="26"/>
      <c r="AS957" s="26"/>
      <c r="AT957" s="26"/>
      <c r="AU957" s="26"/>
      <c r="AV957" s="26"/>
      <c r="AW957" s="26"/>
      <c r="AX957" s="26"/>
      <c r="AY957" s="26"/>
    </row>
    <row r="958" spans="1:51">
      <c r="B958" s="32" t="str">
        <f t="shared" si="34"/>
        <v>SA Power</v>
      </c>
      <c r="C958" s="32" t="s">
        <v>1</v>
      </c>
      <c r="D958" s="385"/>
      <c r="E958" s="31"/>
      <c r="F958" s="44" t="s">
        <v>1222</v>
      </c>
      <c r="G958" s="22">
        <v>0</v>
      </c>
      <c r="H958" s="22">
        <v>0</v>
      </c>
      <c r="I958" s="22">
        <v>0</v>
      </c>
      <c r="J958" s="22">
        <v>0</v>
      </c>
      <c r="K958" s="22">
        <v>0</v>
      </c>
      <c r="R958" s="24">
        <v>0</v>
      </c>
      <c r="S958" s="24">
        <v>0</v>
      </c>
      <c r="T958" s="24">
        <v>0</v>
      </c>
      <c r="U958" s="24">
        <v>0</v>
      </c>
      <c r="V958" s="24">
        <v>0</v>
      </c>
      <c r="AC958" s="26">
        <v>0</v>
      </c>
      <c r="AD958" s="26">
        <v>0</v>
      </c>
      <c r="AE958" s="26">
        <v>0</v>
      </c>
      <c r="AF958" s="26">
        <v>0</v>
      </c>
      <c r="AG958" s="26">
        <v>0</v>
      </c>
      <c r="AN958" s="24"/>
      <c r="AO958" s="26"/>
      <c r="AP958" s="26"/>
      <c r="AQ958" s="26"/>
      <c r="AR958" s="26"/>
      <c r="AS958" s="26"/>
      <c r="AT958" s="26"/>
      <c r="AU958" s="26"/>
      <c r="AV958" s="26"/>
      <c r="AW958" s="26"/>
      <c r="AX958" s="26"/>
      <c r="AY958" s="26"/>
    </row>
    <row r="959" spans="1:51">
      <c r="B959" s="32" t="str">
        <f t="shared" si="34"/>
        <v>SA Power</v>
      </c>
      <c r="C959" s="32" t="s">
        <v>1</v>
      </c>
      <c r="D959" s="385"/>
      <c r="E959" s="31"/>
      <c r="F959" s="44" t="s">
        <v>1223</v>
      </c>
      <c r="G959" s="22">
        <v>0</v>
      </c>
      <c r="H959" s="22">
        <v>0</v>
      </c>
      <c r="I959" s="22">
        <v>0</v>
      </c>
      <c r="J959" s="22">
        <v>0</v>
      </c>
      <c r="K959" s="22">
        <v>0</v>
      </c>
      <c r="R959" s="24">
        <v>0</v>
      </c>
      <c r="S959" s="24">
        <v>0</v>
      </c>
      <c r="T959" s="24">
        <v>0</v>
      </c>
      <c r="U959" s="24">
        <v>0</v>
      </c>
      <c r="V959" s="24">
        <v>0</v>
      </c>
      <c r="AC959" s="26">
        <v>0</v>
      </c>
      <c r="AD959" s="26">
        <v>0</v>
      </c>
      <c r="AE959" s="26">
        <v>0</v>
      </c>
      <c r="AF959" s="26">
        <v>0</v>
      </c>
      <c r="AG959" s="26">
        <v>0</v>
      </c>
      <c r="AN959" s="24"/>
      <c r="AO959" s="26"/>
      <c r="AP959" s="26"/>
      <c r="AQ959" s="26"/>
      <c r="AR959" s="26"/>
      <c r="AS959" s="26"/>
      <c r="AT959" s="26"/>
      <c r="AU959" s="26"/>
      <c r="AV959" s="26"/>
      <c r="AW959" s="26"/>
      <c r="AX959" s="26"/>
      <c r="AY959" s="26"/>
    </row>
    <row r="960" spans="1:51">
      <c r="B960" s="32" t="str">
        <f t="shared" si="34"/>
        <v>SA Power</v>
      </c>
      <c r="C960" s="32" t="s">
        <v>1</v>
      </c>
      <c r="D960" s="385"/>
      <c r="E960" s="31"/>
      <c r="F960" s="44" t="s">
        <v>1224</v>
      </c>
      <c r="G960" s="22">
        <v>673.66113311488903</v>
      </c>
      <c r="H960" s="22">
        <v>454.68997954191934</v>
      </c>
      <c r="I960" s="22">
        <v>229.42346849734074</v>
      </c>
      <c r="J960" s="22">
        <v>1274.3458508632943</v>
      </c>
      <c r="K960" s="22">
        <v>2742.4138146505175</v>
      </c>
      <c r="R960" s="24">
        <v>1232</v>
      </c>
      <c r="S960" s="24">
        <v>917</v>
      </c>
      <c r="T960" s="24">
        <v>1811</v>
      </c>
      <c r="U960" s="24">
        <v>3005</v>
      </c>
      <c r="V960" s="24">
        <v>3210</v>
      </c>
      <c r="AC960" s="26">
        <v>0</v>
      </c>
      <c r="AD960" s="26">
        <v>0</v>
      </c>
      <c r="AE960" s="26">
        <v>0</v>
      </c>
      <c r="AF960" s="26">
        <v>0</v>
      </c>
      <c r="AG960" s="26">
        <v>0</v>
      </c>
      <c r="AN960" s="24"/>
      <c r="AO960" s="26"/>
      <c r="AP960" s="26"/>
      <c r="AQ960" s="26"/>
      <c r="AR960" s="26"/>
      <c r="AS960" s="26"/>
      <c r="AT960" s="26"/>
      <c r="AU960" s="26"/>
      <c r="AV960" s="26"/>
      <c r="AW960" s="26"/>
      <c r="AX960" s="26"/>
      <c r="AY960" s="26"/>
    </row>
    <row r="961" spans="2:51">
      <c r="B961" s="32" t="str">
        <f t="shared" si="34"/>
        <v>SA Power</v>
      </c>
      <c r="C961" s="32" t="s">
        <v>1</v>
      </c>
      <c r="D961" s="385"/>
      <c r="E961" s="31"/>
      <c r="F961" s="44" t="s">
        <v>170</v>
      </c>
      <c r="G961" s="22">
        <v>0</v>
      </c>
      <c r="H961" s="22">
        <v>0</v>
      </c>
      <c r="I961" s="22">
        <v>0</v>
      </c>
      <c r="J961" s="22">
        <v>0</v>
      </c>
      <c r="K961" s="22">
        <v>0</v>
      </c>
      <c r="R961" s="24">
        <v>0</v>
      </c>
      <c r="S961" s="24">
        <v>0</v>
      </c>
      <c r="T961" s="24">
        <v>0</v>
      </c>
      <c r="U961" s="24">
        <v>0</v>
      </c>
      <c r="V961" s="24">
        <v>0</v>
      </c>
      <c r="AC961" s="26">
        <v>0</v>
      </c>
      <c r="AD961" s="26">
        <v>0</v>
      </c>
      <c r="AE961" s="26">
        <v>0</v>
      </c>
      <c r="AF961" s="26">
        <v>0</v>
      </c>
      <c r="AG961" s="26">
        <v>0</v>
      </c>
      <c r="AN961" s="24"/>
      <c r="AO961" s="26"/>
      <c r="AP961" s="26"/>
      <c r="AQ961" s="26"/>
      <c r="AR961" s="26"/>
      <c r="AS961" s="26"/>
      <c r="AT961" s="26"/>
      <c r="AU961" s="26"/>
      <c r="AV961" s="26"/>
      <c r="AW961" s="26"/>
      <c r="AX961" s="26"/>
      <c r="AY961" s="26"/>
    </row>
    <row r="962" spans="2:51" ht="60">
      <c r="B962" s="32" t="str">
        <f t="shared" si="34"/>
        <v>SA Power</v>
      </c>
      <c r="C962" s="32" t="s">
        <v>1131</v>
      </c>
      <c r="D962" s="385"/>
      <c r="E962" s="31" t="s">
        <v>660</v>
      </c>
      <c r="F962" s="44" t="s">
        <v>171</v>
      </c>
      <c r="G962" s="22">
        <v>1126.3554934345248</v>
      </c>
      <c r="H962" s="22">
        <v>1359.7450735221428</v>
      </c>
      <c r="I962" s="22">
        <v>1396.8044778806786</v>
      </c>
      <c r="J962" s="22">
        <v>1654.6540601955755</v>
      </c>
      <c r="K962" s="22">
        <v>1801.4975285617536</v>
      </c>
      <c r="R962" s="24">
        <v>2469</v>
      </c>
      <c r="S962" s="24">
        <v>3081</v>
      </c>
      <c r="T962" s="24">
        <v>3040</v>
      </c>
      <c r="U962" s="24">
        <v>3247</v>
      </c>
      <c r="V962" s="24">
        <v>2665</v>
      </c>
      <c r="AC962" s="26">
        <v>2463</v>
      </c>
      <c r="AD962" s="26">
        <v>3063</v>
      </c>
      <c r="AE962" s="26">
        <v>3011</v>
      </c>
      <c r="AF962" s="26">
        <v>3171</v>
      </c>
      <c r="AG962" s="26">
        <v>2622</v>
      </c>
      <c r="AN962" s="24"/>
      <c r="AO962" s="26"/>
      <c r="AP962" s="26"/>
      <c r="AQ962" s="26"/>
      <c r="AR962" s="26"/>
      <c r="AS962" s="26"/>
      <c r="AT962" s="26"/>
      <c r="AU962" s="26"/>
      <c r="AV962" s="26"/>
      <c r="AW962" s="26"/>
      <c r="AX962" s="26"/>
      <c r="AY962" s="26"/>
    </row>
    <row r="963" spans="2:51">
      <c r="B963" s="32" t="str">
        <f t="shared" si="34"/>
        <v>SA Power</v>
      </c>
      <c r="C963" s="32" t="s">
        <v>1131</v>
      </c>
      <c r="D963" s="385"/>
      <c r="E963" s="31"/>
      <c r="F963" s="44" t="s">
        <v>172</v>
      </c>
      <c r="G963" s="22">
        <v>3799.9020241522635</v>
      </c>
      <c r="H963" s="22">
        <v>3100.9376634765808</v>
      </c>
      <c r="I963" s="22">
        <v>3466.8817456229899</v>
      </c>
      <c r="J963" s="22">
        <v>4438.7161691684723</v>
      </c>
      <c r="K963" s="22">
        <v>5717.380196975686</v>
      </c>
      <c r="R963" s="24">
        <v>1789</v>
      </c>
      <c r="S963" s="24">
        <v>1472</v>
      </c>
      <c r="T963" s="24">
        <v>1786</v>
      </c>
      <c r="U963" s="24">
        <v>2637</v>
      </c>
      <c r="V963" s="24">
        <v>3110</v>
      </c>
      <c r="AC963" s="26">
        <v>675</v>
      </c>
      <c r="AD963" s="26">
        <v>750</v>
      </c>
      <c r="AE963" s="26">
        <v>706</v>
      </c>
      <c r="AF963" s="26">
        <v>795</v>
      </c>
      <c r="AG963" s="26">
        <v>751</v>
      </c>
      <c r="AN963" s="24"/>
      <c r="AO963" s="26"/>
      <c r="AP963" s="26"/>
      <c r="AQ963" s="26"/>
      <c r="AR963" s="26"/>
      <c r="AS963" s="26"/>
      <c r="AT963" s="26"/>
      <c r="AU963" s="26"/>
      <c r="AV963" s="26"/>
      <c r="AW963" s="26"/>
      <c r="AX963" s="26"/>
      <c r="AY963" s="26"/>
    </row>
    <row r="964" spans="2:51">
      <c r="B964" s="32" t="str">
        <f t="shared" si="34"/>
        <v>SA Power</v>
      </c>
      <c r="C964" s="32" t="s">
        <v>1131</v>
      </c>
      <c r="D964" s="385"/>
      <c r="E964" s="31"/>
      <c r="F964" s="44" t="s">
        <v>173</v>
      </c>
      <c r="G964" s="22">
        <v>665.05219677895536</v>
      </c>
      <c r="H964" s="22">
        <v>880.20782333897341</v>
      </c>
      <c r="I964" s="22">
        <v>821.15937347176305</v>
      </c>
      <c r="J964" s="22">
        <v>1112.4876010313394</v>
      </c>
      <c r="K964" s="22">
        <v>2108.1458457546596</v>
      </c>
      <c r="R964" s="24">
        <v>460</v>
      </c>
      <c r="S964" s="24">
        <v>486</v>
      </c>
      <c r="T964" s="24">
        <v>555</v>
      </c>
      <c r="U964" s="24">
        <v>727</v>
      </c>
      <c r="V964" s="24">
        <v>1303</v>
      </c>
      <c r="AC964" s="26">
        <v>132</v>
      </c>
      <c r="AD964" s="26">
        <v>189</v>
      </c>
      <c r="AE964" s="26">
        <v>233</v>
      </c>
      <c r="AF964" s="26">
        <v>203</v>
      </c>
      <c r="AG964" s="26">
        <v>298</v>
      </c>
      <c r="AN964" s="24"/>
      <c r="AO964" s="26"/>
      <c r="AP964" s="26"/>
      <c r="AQ964" s="26"/>
      <c r="AR964" s="26"/>
      <c r="AS964" s="26"/>
      <c r="AT964" s="26"/>
      <c r="AU964" s="26"/>
      <c r="AV964" s="26"/>
      <c r="AW964" s="26"/>
      <c r="AX964" s="26"/>
      <c r="AY964" s="26"/>
    </row>
    <row r="965" spans="2:51">
      <c r="B965" s="32" t="str">
        <f t="shared" si="34"/>
        <v>SA Power</v>
      </c>
      <c r="C965" s="32" t="s">
        <v>1131</v>
      </c>
      <c r="D965" s="385"/>
      <c r="E965" s="31"/>
      <c r="F965" s="44" t="s">
        <v>174</v>
      </c>
      <c r="G965" s="22">
        <v>1769.2707665224416</v>
      </c>
      <c r="H965" s="22">
        <v>1441.8163504605157</v>
      </c>
      <c r="I965" s="22">
        <v>1293.0222368531417</v>
      </c>
      <c r="J965" s="22">
        <v>1538.4607828703556</v>
      </c>
      <c r="K965" s="22">
        <v>1534.8103701679756</v>
      </c>
      <c r="R965" s="24">
        <v>477</v>
      </c>
      <c r="S965" s="24">
        <v>536</v>
      </c>
      <c r="T965" s="24">
        <v>364</v>
      </c>
      <c r="U965" s="24">
        <v>393</v>
      </c>
      <c r="V965" s="24">
        <v>304</v>
      </c>
      <c r="AC965" s="26">
        <v>23</v>
      </c>
      <c r="AD965" s="26">
        <v>42</v>
      </c>
      <c r="AE965" s="26">
        <v>46</v>
      </c>
      <c r="AF965" s="26">
        <v>28</v>
      </c>
      <c r="AG965" s="26">
        <v>29</v>
      </c>
      <c r="AN965" s="24"/>
      <c r="AO965" s="26"/>
      <c r="AP965" s="26"/>
      <c r="AQ965" s="26"/>
      <c r="AR965" s="26"/>
      <c r="AS965" s="26"/>
      <c r="AT965" s="26"/>
      <c r="AU965" s="26"/>
      <c r="AV965" s="26"/>
      <c r="AW965" s="26"/>
      <c r="AX965" s="26"/>
      <c r="AY965" s="26"/>
    </row>
    <row r="966" spans="2:51">
      <c r="B966" s="32" t="str">
        <f t="shared" si="34"/>
        <v>SA Power</v>
      </c>
      <c r="C966" s="32" t="s">
        <v>1131</v>
      </c>
      <c r="D966" s="385"/>
      <c r="E966" s="31"/>
      <c r="F966" s="44" t="s">
        <v>175</v>
      </c>
      <c r="G966" s="22">
        <v>0</v>
      </c>
      <c r="H966" s="22">
        <v>0</v>
      </c>
      <c r="I966" s="22">
        <v>0</v>
      </c>
      <c r="J966" s="22">
        <v>0</v>
      </c>
      <c r="K966" s="22">
        <v>0</v>
      </c>
      <c r="R966" s="24">
        <v>0</v>
      </c>
      <c r="S966" s="24">
        <v>0</v>
      </c>
      <c r="T966" s="24">
        <v>0</v>
      </c>
      <c r="U966" s="24">
        <v>0</v>
      </c>
      <c r="V966" s="24">
        <v>0</v>
      </c>
      <c r="AC966" s="26">
        <v>0</v>
      </c>
      <c r="AD966" s="26">
        <v>0</v>
      </c>
      <c r="AE966" s="26">
        <v>0</v>
      </c>
      <c r="AF966" s="26">
        <v>0</v>
      </c>
      <c r="AG966" s="26">
        <v>0</v>
      </c>
      <c r="AN966" s="24"/>
      <c r="AO966" s="26"/>
      <c r="AP966" s="26"/>
      <c r="AQ966" s="26"/>
      <c r="AR966" s="26"/>
      <c r="AS966" s="26"/>
      <c r="AT966" s="26"/>
      <c r="AU966" s="26"/>
      <c r="AV966" s="26"/>
      <c r="AW966" s="26"/>
      <c r="AX966" s="26"/>
      <c r="AY966" s="26"/>
    </row>
    <row r="967" spans="2:51">
      <c r="B967" s="32" t="str">
        <f t="shared" si="34"/>
        <v>SA Power</v>
      </c>
      <c r="C967" s="32" t="s">
        <v>1131</v>
      </c>
      <c r="D967" s="385"/>
      <c r="E967" s="31"/>
      <c r="F967" s="44" t="s">
        <v>176</v>
      </c>
      <c r="G967" s="22">
        <v>0</v>
      </c>
      <c r="H967" s="22">
        <v>0</v>
      </c>
      <c r="I967" s="22">
        <v>0</v>
      </c>
      <c r="J967" s="22">
        <v>0</v>
      </c>
      <c r="K967" s="22">
        <v>0</v>
      </c>
      <c r="R967" s="24">
        <v>0</v>
      </c>
      <c r="S967" s="24">
        <v>0</v>
      </c>
      <c r="T967" s="24">
        <v>0</v>
      </c>
      <c r="U967" s="24">
        <v>0</v>
      </c>
      <c r="V967" s="24">
        <v>0</v>
      </c>
      <c r="AC967" s="26">
        <v>0</v>
      </c>
      <c r="AD967" s="26">
        <v>0</v>
      </c>
      <c r="AE967" s="26">
        <v>0</v>
      </c>
      <c r="AF967" s="26">
        <v>0</v>
      </c>
      <c r="AG967" s="26">
        <v>0</v>
      </c>
      <c r="AN967" s="24"/>
      <c r="AO967" s="26"/>
      <c r="AP967" s="26"/>
      <c r="AQ967" s="26"/>
      <c r="AR967" s="26"/>
      <c r="AS967" s="26"/>
      <c r="AT967" s="26"/>
      <c r="AU967" s="26"/>
      <c r="AV967" s="26"/>
      <c r="AW967" s="26"/>
      <c r="AX967" s="26"/>
      <c r="AY967" s="26"/>
    </row>
    <row r="968" spans="2:51">
      <c r="B968" s="32" t="str">
        <f t="shared" si="34"/>
        <v>SA Power</v>
      </c>
      <c r="C968" s="32" t="s">
        <v>1131</v>
      </c>
      <c r="D968" s="385"/>
      <c r="E968" s="31"/>
      <c r="F968" s="44" t="s">
        <v>170</v>
      </c>
      <c r="G968" s="22">
        <v>0</v>
      </c>
      <c r="H968" s="22">
        <v>0</v>
      </c>
      <c r="I968" s="22">
        <v>0</v>
      </c>
      <c r="J968" s="22">
        <v>0</v>
      </c>
      <c r="K968" s="22">
        <v>0</v>
      </c>
      <c r="R968" s="24">
        <v>0</v>
      </c>
      <c r="S968" s="24">
        <v>0</v>
      </c>
      <c r="T968" s="24">
        <v>0</v>
      </c>
      <c r="U968" s="24">
        <v>0</v>
      </c>
      <c r="V968" s="24">
        <v>0</v>
      </c>
      <c r="AC968" s="26">
        <v>0</v>
      </c>
      <c r="AD968" s="26">
        <v>0</v>
      </c>
      <c r="AE968" s="26">
        <v>0</v>
      </c>
      <c r="AF968" s="26">
        <v>0</v>
      </c>
      <c r="AG968" s="26">
        <v>0</v>
      </c>
      <c r="AN968" s="24"/>
      <c r="AO968" s="26"/>
      <c r="AP968" s="26"/>
      <c r="AQ968" s="26"/>
      <c r="AR968" s="26"/>
      <c r="AS968" s="26"/>
      <c r="AT968" s="26"/>
      <c r="AU968" s="26"/>
      <c r="AV968" s="26"/>
      <c r="AW968" s="26"/>
      <c r="AX968" s="26"/>
      <c r="AY968" s="26"/>
    </row>
    <row r="969" spans="2:51" ht="75">
      <c r="B969" s="32" t="str">
        <f t="shared" si="34"/>
        <v>SA Power</v>
      </c>
      <c r="C969" s="32" t="s">
        <v>1132</v>
      </c>
      <c r="D969" s="385"/>
      <c r="E969" s="31" t="s">
        <v>538</v>
      </c>
      <c r="F969" s="44" t="s">
        <v>171</v>
      </c>
      <c r="G969" s="22">
        <v>410.2673356757598</v>
      </c>
      <c r="H969" s="22">
        <v>610.89565285394633</v>
      </c>
      <c r="I969" s="22">
        <v>622.98921465579576</v>
      </c>
      <c r="J969" s="22">
        <v>586.42698666192075</v>
      </c>
      <c r="K969" s="22">
        <v>702.77806263708908</v>
      </c>
      <c r="R969" s="24">
        <v>15.779999999999752</v>
      </c>
      <c r="S969" s="24">
        <v>25.579999999999647</v>
      </c>
      <c r="T969" s="24">
        <v>24.299999999999628</v>
      </c>
      <c r="U969" s="24">
        <v>19.279999999999678</v>
      </c>
      <c r="V969" s="24">
        <v>17.739999999999721</v>
      </c>
      <c r="AC969" s="26">
        <v>789</v>
      </c>
      <c r="AD969" s="26">
        <v>1035</v>
      </c>
      <c r="AE969" s="26">
        <v>1084</v>
      </c>
      <c r="AF969" s="26">
        <v>963</v>
      </c>
      <c r="AG969" s="26">
        <v>863</v>
      </c>
      <c r="AN969" s="24"/>
      <c r="AO969" s="26"/>
      <c r="AP969" s="26"/>
      <c r="AQ969" s="26"/>
      <c r="AR969" s="26"/>
      <c r="AS969" s="26"/>
      <c r="AT969" s="26"/>
      <c r="AU969" s="26"/>
      <c r="AV969" s="26"/>
      <c r="AW969" s="26"/>
      <c r="AX969" s="26"/>
      <c r="AY969" s="26"/>
    </row>
    <row r="970" spans="2:51">
      <c r="B970" s="32" t="str">
        <f t="shared" si="34"/>
        <v>SA Power</v>
      </c>
      <c r="C970" s="32" t="s">
        <v>1132</v>
      </c>
      <c r="D970" s="385"/>
      <c r="E970" s="31"/>
      <c r="F970" s="44" t="s">
        <v>172</v>
      </c>
      <c r="G970" s="22">
        <v>1263.2252942099221</v>
      </c>
      <c r="H970" s="22">
        <v>1667.7254122924173</v>
      </c>
      <c r="I970" s="22">
        <v>2035.3917321262045</v>
      </c>
      <c r="J970" s="22">
        <v>3392.9356032755404</v>
      </c>
      <c r="K970" s="22">
        <v>2266.0513519530728</v>
      </c>
      <c r="R970" s="24">
        <v>41.199999999999996</v>
      </c>
      <c r="S970" s="24">
        <v>126.10000000000009</v>
      </c>
      <c r="T970" s="24">
        <v>85.189999999999984</v>
      </c>
      <c r="U970" s="24">
        <v>98.483000000000004</v>
      </c>
      <c r="V970" s="24">
        <v>128.41</v>
      </c>
      <c r="AC970" s="26">
        <v>165</v>
      </c>
      <c r="AD970" s="26">
        <v>201</v>
      </c>
      <c r="AE970" s="26">
        <v>183</v>
      </c>
      <c r="AF970" s="26">
        <v>193</v>
      </c>
      <c r="AG970" s="26">
        <v>179</v>
      </c>
      <c r="AN970" s="24"/>
      <c r="AO970" s="26"/>
      <c r="AP970" s="26"/>
      <c r="AQ970" s="26"/>
      <c r="AR970" s="26"/>
      <c r="AS970" s="26"/>
      <c r="AT970" s="26"/>
      <c r="AU970" s="26"/>
      <c r="AV970" s="26"/>
      <c r="AW970" s="26"/>
      <c r="AX970" s="26"/>
      <c r="AY970" s="26"/>
    </row>
    <row r="971" spans="2:51">
      <c r="B971" s="32" t="str">
        <f t="shared" si="34"/>
        <v>SA Power</v>
      </c>
      <c r="C971" s="32" t="s">
        <v>1132</v>
      </c>
      <c r="D971" s="385"/>
      <c r="E971" s="31"/>
      <c r="F971" s="44" t="s">
        <v>177</v>
      </c>
      <c r="G971" s="22">
        <v>145.45970550428424</v>
      </c>
      <c r="H971" s="22">
        <v>208.9199311086571</v>
      </c>
      <c r="I971" s="22">
        <v>264.93793113127919</v>
      </c>
      <c r="J971" s="22">
        <v>117.9628744872084</v>
      </c>
      <c r="K971" s="22">
        <v>135.77186104113159</v>
      </c>
      <c r="R971" s="24">
        <v>9.06</v>
      </c>
      <c r="S971" s="24">
        <v>1.2200000000000006</v>
      </c>
      <c r="T971" s="24">
        <v>29.26</v>
      </c>
      <c r="U971" s="24">
        <v>6.7600000000000007</v>
      </c>
      <c r="V971" s="24">
        <v>1.1400000000000006</v>
      </c>
      <c r="AC971" s="26">
        <v>27</v>
      </c>
      <c r="AD971" s="26">
        <v>55</v>
      </c>
      <c r="AE971" s="26">
        <v>51</v>
      </c>
      <c r="AF971" s="26">
        <v>36</v>
      </c>
      <c r="AG971" s="26">
        <v>45</v>
      </c>
      <c r="AN971" s="24"/>
      <c r="AO971" s="26"/>
      <c r="AP971" s="26"/>
      <c r="AQ971" s="26"/>
      <c r="AR971" s="26"/>
      <c r="AS971" s="26"/>
      <c r="AT971" s="26"/>
      <c r="AU971" s="26"/>
      <c r="AV971" s="26"/>
      <c r="AW971" s="26"/>
      <c r="AX971" s="26"/>
      <c r="AY971" s="26"/>
    </row>
    <row r="972" spans="2:51">
      <c r="B972" s="32" t="str">
        <f t="shared" si="34"/>
        <v>SA Power</v>
      </c>
      <c r="C972" s="32" t="s">
        <v>1132</v>
      </c>
      <c r="D972" s="385"/>
      <c r="E972" s="31"/>
      <c r="F972" s="44" t="s">
        <v>178</v>
      </c>
      <c r="G972" s="22">
        <v>0</v>
      </c>
      <c r="H972" s="22">
        <v>0</v>
      </c>
      <c r="I972" s="22">
        <v>0</v>
      </c>
      <c r="J972" s="22">
        <v>0</v>
      </c>
      <c r="K972" s="22">
        <v>0</v>
      </c>
      <c r="R972" s="24">
        <v>0</v>
      </c>
      <c r="S972" s="24">
        <v>0</v>
      </c>
      <c r="T972" s="24">
        <v>0</v>
      </c>
      <c r="U972" s="24">
        <v>0</v>
      </c>
      <c r="V972" s="24">
        <v>0</v>
      </c>
      <c r="AC972" s="26">
        <v>0</v>
      </c>
      <c r="AD972" s="26">
        <v>0</v>
      </c>
      <c r="AE972" s="26">
        <v>0</v>
      </c>
      <c r="AF972" s="26">
        <v>0</v>
      </c>
      <c r="AG972" s="26">
        <v>0</v>
      </c>
      <c r="AN972" s="24"/>
      <c r="AO972" s="26"/>
      <c r="AP972" s="26"/>
      <c r="AQ972" s="26"/>
      <c r="AR972" s="26"/>
      <c r="AS972" s="26"/>
      <c r="AT972" s="26"/>
      <c r="AU972" s="26"/>
      <c r="AV972" s="26"/>
      <c r="AW972" s="26"/>
      <c r="AX972" s="26"/>
      <c r="AY972" s="26"/>
    </row>
    <row r="973" spans="2:51">
      <c r="B973" s="32" t="str">
        <f t="shared" si="34"/>
        <v>SA Power</v>
      </c>
      <c r="C973" s="32" t="s">
        <v>1132</v>
      </c>
      <c r="D973" s="385"/>
      <c r="E973" s="31"/>
      <c r="F973" s="44" t="s">
        <v>179</v>
      </c>
      <c r="G973" s="22">
        <v>0</v>
      </c>
      <c r="H973" s="22">
        <v>0</v>
      </c>
      <c r="I973" s="22">
        <v>0</v>
      </c>
      <c r="J973" s="22">
        <v>0</v>
      </c>
      <c r="K973" s="22">
        <v>0</v>
      </c>
      <c r="R973" s="24">
        <v>0</v>
      </c>
      <c r="S973" s="24">
        <v>0</v>
      </c>
      <c r="T973" s="24">
        <v>0</v>
      </c>
      <c r="U973" s="24">
        <v>0</v>
      </c>
      <c r="V973" s="24">
        <v>0</v>
      </c>
      <c r="AC973" s="26">
        <v>0</v>
      </c>
      <c r="AD973" s="26">
        <v>0</v>
      </c>
      <c r="AE973" s="26">
        <v>0</v>
      </c>
      <c r="AF973" s="26">
        <v>0</v>
      </c>
      <c r="AG973" s="26">
        <v>0</v>
      </c>
      <c r="AN973" s="24"/>
      <c r="AO973" s="26"/>
      <c r="AP973" s="26"/>
      <c r="AQ973" s="26"/>
      <c r="AR973" s="26"/>
      <c r="AS973" s="26"/>
      <c r="AT973" s="26"/>
      <c r="AU973" s="26"/>
      <c r="AV973" s="26"/>
      <c r="AW973" s="26"/>
      <c r="AX973" s="26"/>
      <c r="AY973" s="26"/>
    </row>
    <row r="974" spans="2:51">
      <c r="B974" s="32" t="str">
        <f t="shared" si="34"/>
        <v>SA Power</v>
      </c>
      <c r="C974" s="32" t="s">
        <v>1132</v>
      </c>
      <c r="D974" s="385"/>
      <c r="E974" s="31"/>
      <c r="F974" s="44" t="s">
        <v>174</v>
      </c>
      <c r="G974" s="22">
        <v>2.0786060929622292</v>
      </c>
      <c r="H974" s="22">
        <v>63.252063800311582</v>
      </c>
      <c r="I974" s="22">
        <v>542.78709814091621</v>
      </c>
      <c r="J974" s="22">
        <v>16.135044662410035</v>
      </c>
      <c r="K974" s="22">
        <v>37.318672574644182</v>
      </c>
      <c r="R974" s="24">
        <v>0.54499999999999993</v>
      </c>
      <c r="S974" s="24">
        <v>4.7599999999999989</v>
      </c>
      <c r="T974" s="24">
        <v>20.16</v>
      </c>
      <c r="U974" s="24">
        <v>3.2499999999999996</v>
      </c>
      <c r="V974" s="24">
        <v>0.64499999999999991</v>
      </c>
      <c r="AC974" s="26">
        <v>1</v>
      </c>
      <c r="AD974" s="26">
        <v>3</v>
      </c>
      <c r="AE974" s="26">
        <v>3</v>
      </c>
      <c r="AF974" s="26">
        <v>5</v>
      </c>
      <c r="AG974" s="26">
        <v>6</v>
      </c>
      <c r="AN974" s="24"/>
      <c r="AO974" s="26"/>
      <c r="AP974" s="26"/>
      <c r="AQ974" s="26"/>
      <c r="AR974" s="26"/>
      <c r="AS974" s="26"/>
      <c r="AT974" s="26"/>
      <c r="AU974" s="26"/>
      <c r="AV974" s="26"/>
      <c r="AW974" s="26"/>
      <c r="AX974" s="26"/>
      <c r="AY974" s="26"/>
    </row>
    <row r="975" spans="2:51">
      <c r="B975" s="32" t="str">
        <f t="shared" si="34"/>
        <v>SA Power</v>
      </c>
      <c r="C975" s="32" t="s">
        <v>1132</v>
      </c>
      <c r="D975" s="385"/>
      <c r="E975" s="31"/>
      <c r="F975" s="44" t="s">
        <v>175</v>
      </c>
      <c r="G975" s="22">
        <v>0</v>
      </c>
      <c r="H975" s="22">
        <v>0</v>
      </c>
      <c r="I975" s="22">
        <v>0</v>
      </c>
      <c r="J975" s="22">
        <v>0</v>
      </c>
      <c r="K975" s="22">
        <v>0</v>
      </c>
      <c r="R975" s="24">
        <v>0</v>
      </c>
      <c r="S975" s="24">
        <v>0</v>
      </c>
      <c r="T975" s="24">
        <v>0</v>
      </c>
      <c r="U975" s="24">
        <v>0</v>
      </c>
      <c r="V975" s="24">
        <v>0</v>
      </c>
      <c r="AC975" s="26">
        <v>0</v>
      </c>
      <c r="AD975" s="26">
        <v>0</v>
      </c>
      <c r="AE975" s="26">
        <v>0</v>
      </c>
      <c r="AF975" s="26">
        <v>0</v>
      </c>
      <c r="AG975" s="26">
        <v>0</v>
      </c>
      <c r="AN975" s="24"/>
      <c r="AO975" s="26"/>
      <c r="AP975" s="26"/>
      <c r="AQ975" s="26"/>
      <c r="AR975" s="26"/>
      <c r="AS975" s="26"/>
      <c r="AT975" s="26"/>
      <c r="AU975" s="26"/>
      <c r="AV975" s="26"/>
      <c r="AW975" s="26"/>
      <c r="AX975" s="26"/>
      <c r="AY975" s="26"/>
    </row>
    <row r="976" spans="2:51">
      <c r="B976" s="32" t="str">
        <f t="shared" si="34"/>
        <v>SA Power</v>
      </c>
      <c r="C976" s="32" t="s">
        <v>1132</v>
      </c>
      <c r="D976" s="385"/>
      <c r="E976" s="31"/>
      <c r="F976" s="44" t="s">
        <v>176</v>
      </c>
      <c r="G976" s="22">
        <v>0</v>
      </c>
      <c r="H976" s="22">
        <v>0</v>
      </c>
      <c r="I976" s="22">
        <v>0</v>
      </c>
      <c r="J976" s="22">
        <v>0</v>
      </c>
      <c r="K976" s="22">
        <v>0</v>
      </c>
      <c r="R976" s="24">
        <v>0</v>
      </c>
      <c r="S976" s="24">
        <v>0</v>
      </c>
      <c r="T976" s="24">
        <v>0</v>
      </c>
      <c r="U976" s="24">
        <v>0</v>
      </c>
      <c r="V976" s="24">
        <v>0</v>
      </c>
      <c r="AC976" s="26">
        <v>0</v>
      </c>
      <c r="AD976" s="26">
        <v>0</v>
      </c>
      <c r="AE976" s="26">
        <v>0</v>
      </c>
      <c r="AF976" s="26">
        <v>0</v>
      </c>
      <c r="AG976" s="26">
        <v>0</v>
      </c>
      <c r="AN976" s="24"/>
      <c r="AO976" s="26"/>
      <c r="AP976" s="26"/>
      <c r="AQ976" s="26"/>
      <c r="AR976" s="26"/>
      <c r="AS976" s="26"/>
      <c r="AT976" s="26"/>
      <c r="AU976" s="26"/>
      <c r="AV976" s="26"/>
      <c r="AW976" s="26"/>
      <c r="AX976" s="26"/>
      <c r="AY976" s="26"/>
    </row>
    <row r="977" spans="2:51">
      <c r="B977" s="32" t="str">
        <f t="shared" si="34"/>
        <v>SA Power</v>
      </c>
      <c r="C977" s="32" t="s">
        <v>1132</v>
      </c>
      <c r="D977" s="385"/>
      <c r="E977" s="31"/>
      <c r="F977" s="44" t="s">
        <v>170</v>
      </c>
      <c r="G977" s="22">
        <v>0</v>
      </c>
      <c r="H977" s="22">
        <v>0</v>
      </c>
      <c r="I977" s="22">
        <v>0</v>
      </c>
      <c r="J977" s="22">
        <v>0</v>
      </c>
      <c r="K977" s="22">
        <v>0</v>
      </c>
      <c r="R977" s="24">
        <v>0</v>
      </c>
      <c r="S977" s="24">
        <v>0</v>
      </c>
      <c r="T977" s="24">
        <v>0</v>
      </c>
      <c r="U977" s="24">
        <v>0</v>
      </c>
      <c r="V977" s="24">
        <v>0</v>
      </c>
      <c r="AC977" s="26">
        <v>0</v>
      </c>
      <c r="AD977" s="26">
        <v>0</v>
      </c>
      <c r="AE977" s="26">
        <v>0</v>
      </c>
      <c r="AF977" s="26">
        <v>0</v>
      </c>
      <c r="AG977" s="26">
        <v>0</v>
      </c>
      <c r="AN977" s="24"/>
      <c r="AO977" s="26"/>
      <c r="AP977" s="26"/>
      <c r="AQ977" s="26"/>
      <c r="AR977" s="26"/>
      <c r="AS977" s="26"/>
      <c r="AT977" s="26"/>
      <c r="AU977" s="26"/>
      <c r="AV977" s="26"/>
      <c r="AW977" s="26"/>
      <c r="AX977" s="26"/>
      <c r="AY977" s="26"/>
    </row>
    <row r="978" spans="2:51" ht="60">
      <c r="B978" s="32" t="str">
        <f t="shared" si="34"/>
        <v>SA Power</v>
      </c>
      <c r="C978" s="32" t="s">
        <v>1133</v>
      </c>
      <c r="D978" s="385"/>
      <c r="E978" s="31" t="s">
        <v>539</v>
      </c>
      <c r="F978" s="44" t="s">
        <v>171</v>
      </c>
      <c r="G978" s="22">
        <v>1004.5554619511162</v>
      </c>
      <c r="H978" s="22">
        <v>1266.9369562291756</v>
      </c>
      <c r="I978" s="22">
        <v>1296.5224607333503</v>
      </c>
      <c r="J978" s="22">
        <v>1419.735363542758</v>
      </c>
      <c r="K978" s="22">
        <v>1451.3039799296962</v>
      </c>
      <c r="R978" s="24">
        <v>4.7699999999999712</v>
      </c>
      <c r="S978" s="24">
        <v>6.9799999999999409</v>
      </c>
      <c r="T978" s="24">
        <v>8.8099999999999064</v>
      </c>
      <c r="U978" s="24">
        <v>8.2099999999999191</v>
      </c>
      <c r="V978" s="24">
        <v>10.799999999999866</v>
      </c>
      <c r="AC978" s="26">
        <v>493</v>
      </c>
      <c r="AD978" s="26">
        <v>684</v>
      </c>
      <c r="AE978" s="26">
        <v>917</v>
      </c>
      <c r="AF978" s="26">
        <v>856</v>
      </c>
      <c r="AG978" s="26">
        <v>1058</v>
      </c>
      <c r="AN978" s="24"/>
      <c r="AO978" s="26"/>
      <c r="AP978" s="26"/>
      <c r="AQ978" s="26"/>
      <c r="AR978" s="26"/>
      <c r="AS978" s="26"/>
      <c r="AT978" s="26"/>
      <c r="AU978" s="26"/>
      <c r="AV978" s="26"/>
      <c r="AW978" s="26"/>
      <c r="AX978" s="26"/>
      <c r="AY978" s="26"/>
    </row>
    <row r="979" spans="2:51">
      <c r="B979" s="32" t="str">
        <f t="shared" si="34"/>
        <v>SA Power</v>
      </c>
      <c r="C979" s="32" t="s">
        <v>1133</v>
      </c>
      <c r="D979" s="385"/>
      <c r="E979" s="31"/>
      <c r="F979" s="44" t="s">
        <v>172</v>
      </c>
      <c r="G979" s="22">
        <v>1526.6960711455515</v>
      </c>
      <c r="H979" s="22">
        <v>1758.573832179788</v>
      </c>
      <c r="I979" s="22">
        <v>3108.4385255241559</v>
      </c>
      <c r="J979" s="22">
        <v>4454.0150067637405</v>
      </c>
      <c r="K979" s="22">
        <v>4583.3373859276371</v>
      </c>
      <c r="R979" s="24">
        <v>2.1500000000000008</v>
      </c>
      <c r="S979" s="24">
        <v>2.0200000000000009</v>
      </c>
      <c r="T979" s="24">
        <v>3.6850000000000005</v>
      </c>
      <c r="U979" s="24">
        <v>4.6700000000000008</v>
      </c>
      <c r="V979" s="24">
        <v>2.4400000000000008</v>
      </c>
      <c r="AC979" s="26">
        <v>97</v>
      </c>
      <c r="AD979" s="26">
        <v>97</v>
      </c>
      <c r="AE979" s="26">
        <v>103</v>
      </c>
      <c r="AF979" s="26">
        <v>89</v>
      </c>
      <c r="AG979" s="26">
        <v>117</v>
      </c>
      <c r="AN979" s="24"/>
      <c r="AO979" s="26"/>
      <c r="AP979" s="26"/>
      <c r="AQ979" s="26"/>
      <c r="AR979" s="26"/>
      <c r="AS979" s="26"/>
      <c r="AT979" s="26"/>
      <c r="AU979" s="26"/>
      <c r="AV979" s="26"/>
      <c r="AW979" s="26"/>
      <c r="AX979" s="26"/>
      <c r="AY979" s="26"/>
    </row>
    <row r="980" spans="2:51">
      <c r="B980" s="32" t="str">
        <f t="shared" si="34"/>
        <v>SA Power</v>
      </c>
      <c r="C980" s="32" t="s">
        <v>1133</v>
      </c>
      <c r="D980" s="385"/>
      <c r="E980" s="31"/>
      <c r="F980" s="44" t="s">
        <v>181</v>
      </c>
      <c r="G980" s="22">
        <v>24.070357133661052</v>
      </c>
      <c r="H980" s="22">
        <v>19.407703648858092</v>
      </c>
      <c r="I980" s="22">
        <v>15.791779784766266</v>
      </c>
      <c r="J980" s="22">
        <v>75.983154799347872</v>
      </c>
      <c r="K980" s="22">
        <v>47.740209723316489</v>
      </c>
      <c r="R980" s="24">
        <v>0.05</v>
      </c>
      <c r="S980" s="24">
        <v>0.03</v>
      </c>
      <c r="T980" s="24">
        <v>0.04</v>
      </c>
      <c r="U980" s="24">
        <v>0.02</v>
      </c>
      <c r="V980" s="24">
        <v>0.02</v>
      </c>
      <c r="AC980" s="26">
        <v>5</v>
      </c>
      <c r="AD980" s="26">
        <v>3</v>
      </c>
      <c r="AE980" s="26">
        <v>4</v>
      </c>
      <c r="AF980" s="26">
        <v>2</v>
      </c>
      <c r="AG980" s="26">
        <v>2</v>
      </c>
      <c r="AN980" s="24"/>
      <c r="AO980" s="26"/>
      <c r="AP980" s="26"/>
      <c r="AQ980" s="26"/>
      <c r="AR980" s="26"/>
      <c r="AS980" s="26"/>
      <c r="AT980" s="26"/>
      <c r="AU980" s="26"/>
      <c r="AV980" s="26"/>
      <c r="AW980" s="26"/>
      <c r="AX980" s="26"/>
      <c r="AY980" s="26"/>
    </row>
    <row r="981" spans="2:51">
      <c r="B981" s="32" t="str">
        <f t="shared" si="34"/>
        <v>SA Power</v>
      </c>
      <c r="C981" s="32" t="s">
        <v>1133</v>
      </c>
      <c r="D981" s="385"/>
      <c r="E981" s="31"/>
      <c r="F981" s="44" t="s">
        <v>182</v>
      </c>
      <c r="G981" s="22">
        <v>62.239356662570842</v>
      </c>
      <c r="H981" s="22">
        <v>106.29716263476698</v>
      </c>
      <c r="I981" s="22">
        <v>135.33889205031215</v>
      </c>
      <c r="J981" s="22">
        <v>57.559067680499162</v>
      </c>
      <c r="K981" s="22">
        <v>169.0980753843217</v>
      </c>
      <c r="R981" s="24">
        <v>0.12</v>
      </c>
      <c r="S981" s="24">
        <v>0.21000000000000002</v>
      </c>
      <c r="T981" s="24">
        <v>9.9999999999999992E-2</v>
      </c>
      <c r="U981" s="24">
        <v>0.08</v>
      </c>
      <c r="V981" s="24">
        <v>9.9999999999999992E-2</v>
      </c>
      <c r="AC981" s="26">
        <v>0</v>
      </c>
      <c r="AD981" s="26">
        <v>2</v>
      </c>
      <c r="AE981" s="26">
        <v>1</v>
      </c>
      <c r="AF981" s="26">
        <v>2</v>
      </c>
      <c r="AG981" s="26">
        <v>1</v>
      </c>
      <c r="AN981" s="24"/>
      <c r="AO981" s="26"/>
      <c r="AP981" s="26"/>
      <c r="AQ981" s="26"/>
      <c r="AR981" s="26"/>
      <c r="AS981" s="26"/>
      <c r="AT981" s="26"/>
      <c r="AU981" s="26"/>
      <c r="AV981" s="26"/>
      <c r="AW981" s="26"/>
      <c r="AX981" s="26"/>
      <c r="AY981" s="26"/>
    </row>
    <row r="982" spans="2:51">
      <c r="B982" s="32" t="str">
        <f t="shared" si="34"/>
        <v>SA Power</v>
      </c>
      <c r="C982" s="32" t="s">
        <v>1133</v>
      </c>
      <c r="D982" s="385"/>
      <c r="E982" s="31"/>
      <c r="F982" s="44" t="s">
        <v>183</v>
      </c>
      <c r="G982" s="22">
        <v>0</v>
      </c>
      <c r="H982" s="22">
        <v>0</v>
      </c>
      <c r="I982" s="22">
        <v>0</v>
      </c>
      <c r="J982" s="22">
        <v>0</v>
      </c>
      <c r="K982" s="22">
        <v>0</v>
      </c>
      <c r="R982" s="24">
        <v>0</v>
      </c>
      <c r="S982" s="24">
        <v>0</v>
      </c>
      <c r="T982" s="24">
        <v>0</v>
      </c>
      <c r="U982" s="24">
        <v>0</v>
      </c>
      <c r="V982" s="24">
        <v>0</v>
      </c>
      <c r="AC982" s="26">
        <v>0</v>
      </c>
      <c r="AD982" s="26">
        <v>0</v>
      </c>
      <c r="AE982" s="26">
        <v>0</v>
      </c>
      <c r="AF982" s="26">
        <v>0</v>
      </c>
      <c r="AG982" s="26">
        <v>0</v>
      </c>
      <c r="AN982" s="24"/>
      <c r="AO982" s="26"/>
      <c r="AP982" s="26"/>
      <c r="AQ982" s="26"/>
      <c r="AR982" s="26"/>
      <c r="AS982" s="26"/>
      <c r="AT982" s="26"/>
      <c r="AU982" s="26"/>
      <c r="AV982" s="26"/>
      <c r="AW982" s="26"/>
      <c r="AX982" s="26"/>
      <c r="AY982" s="26"/>
    </row>
    <row r="983" spans="2:51">
      <c r="B983" s="32" t="str">
        <f t="shared" si="34"/>
        <v>SA Power</v>
      </c>
      <c r="C983" s="32" t="s">
        <v>1133</v>
      </c>
      <c r="D983" s="385"/>
      <c r="E983" s="31"/>
      <c r="F983" s="44" t="s">
        <v>175</v>
      </c>
      <c r="G983" s="22">
        <v>0</v>
      </c>
      <c r="H983" s="22">
        <v>0</v>
      </c>
      <c r="I983" s="22">
        <v>0</v>
      </c>
      <c r="J983" s="22">
        <v>0</v>
      </c>
      <c r="K983" s="22">
        <v>0</v>
      </c>
      <c r="R983" s="24">
        <v>0</v>
      </c>
      <c r="S983" s="24">
        <v>0</v>
      </c>
      <c r="T983" s="24">
        <v>0</v>
      </c>
      <c r="U983" s="24">
        <v>0</v>
      </c>
      <c r="V983" s="24">
        <v>0</v>
      </c>
      <c r="AC983" s="26">
        <v>0</v>
      </c>
      <c r="AD983" s="26">
        <v>0</v>
      </c>
      <c r="AE983" s="26">
        <v>0</v>
      </c>
      <c r="AF983" s="26">
        <v>0</v>
      </c>
      <c r="AG983" s="26">
        <v>0</v>
      </c>
      <c r="AN983" s="24"/>
      <c r="AO983" s="26"/>
      <c r="AP983" s="26"/>
      <c r="AQ983" s="26"/>
      <c r="AR983" s="26"/>
      <c r="AS983" s="26"/>
      <c r="AT983" s="26"/>
      <c r="AU983" s="26"/>
      <c r="AV983" s="26"/>
      <c r="AW983" s="26"/>
      <c r="AX983" s="26"/>
      <c r="AY983" s="26"/>
    </row>
    <row r="984" spans="2:51">
      <c r="B984" s="32" t="str">
        <f t="shared" si="34"/>
        <v>SA Power</v>
      </c>
      <c r="C984" s="32" t="s">
        <v>1133</v>
      </c>
      <c r="D984" s="385"/>
      <c r="E984" s="31"/>
      <c r="F984" s="44" t="s">
        <v>184</v>
      </c>
      <c r="G984" s="22">
        <v>0</v>
      </c>
      <c r="H984" s="22">
        <v>0</v>
      </c>
      <c r="I984" s="22">
        <v>0</v>
      </c>
      <c r="J984" s="22">
        <v>0</v>
      </c>
      <c r="K984" s="22">
        <v>0</v>
      </c>
      <c r="R984" s="24">
        <v>0</v>
      </c>
      <c r="S984" s="24">
        <v>0</v>
      </c>
      <c r="T984" s="24">
        <v>0</v>
      </c>
      <c r="U984" s="24">
        <v>0</v>
      </c>
      <c r="V984" s="24">
        <v>0</v>
      </c>
      <c r="AC984" s="26">
        <v>0</v>
      </c>
      <c r="AD984" s="26">
        <v>0</v>
      </c>
      <c r="AE984" s="26">
        <v>0</v>
      </c>
      <c r="AF984" s="26">
        <v>0</v>
      </c>
      <c r="AG984" s="26">
        <v>0</v>
      </c>
      <c r="AN984" s="24"/>
      <c r="AO984" s="26"/>
      <c r="AP984" s="26"/>
      <c r="AQ984" s="26"/>
      <c r="AR984" s="26"/>
      <c r="AS984" s="26"/>
      <c r="AT984" s="26"/>
      <c r="AU984" s="26"/>
      <c r="AV984" s="26"/>
      <c r="AW984" s="26"/>
      <c r="AX984" s="26"/>
      <c r="AY984" s="26"/>
    </row>
    <row r="985" spans="2:51">
      <c r="B985" s="32" t="str">
        <f t="shared" si="34"/>
        <v>SA Power</v>
      </c>
      <c r="C985" s="32" t="s">
        <v>1133</v>
      </c>
      <c r="D985" s="385"/>
      <c r="E985" s="31"/>
      <c r="F985" s="44" t="s">
        <v>170</v>
      </c>
      <c r="G985" s="22">
        <v>0</v>
      </c>
      <c r="H985" s="22">
        <v>0</v>
      </c>
      <c r="I985" s="22">
        <v>0</v>
      </c>
      <c r="J985" s="22">
        <v>0</v>
      </c>
      <c r="K985" s="22">
        <v>0</v>
      </c>
      <c r="R985" s="24">
        <v>0</v>
      </c>
      <c r="S985" s="24">
        <v>0</v>
      </c>
      <c r="T985" s="24">
        <v>0</v>
      </c>
      <c r="U985" s="24">
        <v>0</v>
      </c>
      <c r="V985" s="24">
        <v>0</v>
      </c>
      <c r="AC985" s="26">
        <v>0</v>
      </c>
      <c r="AD985" s="26">
        <v>0</v>
      </c>
      <c r="AE985" s="26">
        <v>0</v>
      </c>
      <c r="AF985" s="26">
        <v>0</v>
      </c>
      <c r="AG985" s="26">
        <v>0</v>
      </c>
      <c r="AN985" s="24"/>
      <c r="AO985" s="26"/>
      <c r="AP985" s="26"/>
      <c r="AQ985" s="26"/>
      <c r="AR985" s="26"/>
      <c r="AS985" s="26"/>
      <c r="AT985" s="26"/>
      <c r="AU985" s="26"/>
      <c r="AV985" s="26"/>
      <c r="AW985" s="26"/>
      <c r="AX985" s="26"/>
      <c r="AY985" s="26"/>
    </row>
    <row r="986" spans="2:51" ht="75">
      <c r="B986" s="32" t="str">
        <f t="shared" si="34"/>
        <v>SA Power</v>
      </c>
      <c r="C986" s="32" t="s">
        <v>719</v>
      </c>
      <c r="D986" s="385"/>
      <c r="E986" s="31" t="s">
        <v>541</v>
      </c>
      <c r="F986" s="44" t="s">
        <v>186</v>
      </c>
      <c r="G986" s="22">
        <v>2165.6982522828657</v>
      </c>
      <c r="H986" s="22">
        <v>2567.2658926921586</v>
      </c>
      <c r="I986" s="22">
        <v>2739.7996894628541</v>
      </c>
      <c r="J986" s="22">
        <v>2882.0465909388286</v>
      </c>
      <c r="K986" s="22">
        <v>3788.8257669625841</v>
      </c>
      <c r="R986" s="24">
        <v>6129</v>
      </c>
      <c r="S986" s="24">
        <v>6920</v>
      </c>
      <c r="T986" s="24">
        <v>7370</v>
      </c>
      <c r="U986" s="24">
        <v>6930</v>
      </c>
      <c r="V986" s="24">
        <v>7195</v>
      </c>
      <c r="AC986" s="26">
        <v>5456</v>
      </c>
      <c r="AD986" s="26">
        <v>6465</v>
      </c>
      <c r="AE986" s="26">
        <v>6569</v>
      </c>
      <c r="AF986" s="26">
        <v>6063</v>
      </c>
      <c r="AG986" s="26">
        <v>5982</v>
      </c>
      <c r="AN986" s="24"/>
      <c r="AO986" s="26"/>
      <c r="AP986" s="26"/>
      <c r="AQ986" s="26"/>
      <c r="AR986" s="26"/>
      <c r="AS986" s="26"/>
      <c r="AT986" s="26"/>
      <c r="AU986" s="26"/>
      <c r="AV986" s="26"/>
      <c r="AW986" s="26"/>
      <c r="AX986" s="26"/>
      <c r="AY986" s="26"/>
    </row>
    <row r="987" spans="2:51">
      <c r="B987" s="32" t="str">
        <f t="shared" si="34"/>
        <v>SA Power</v>
      </c>
      <c r="C987" s="32" t="s">
        <v>719</v>
      </c>
      <c r="D987" s="385"/>
      <c r="E987" s="31"/>
      <c r="F987" s="44" t="s">
        <v>187</v>
      </c>
      <c r="G987" s="22">
        <v>0</v>
      </c>
      <c r="H987" s="22">
        <v>0</v>
      </c>
      <c r="I987" s="22">
        <v>0</v>
      </c>
      <c r="J987" s="22">
        <v>0</v>
      </c>
      <c r="K987" s="22">
        <v>0</v>
      </c>
      <c r="R987" s="24">
        <v>0</v>
      </c>
      <c r="S987" s="24">
        <v>0</v>
      </c>
      <c r="T987" s="24">
        <v>0</v>
      </c>
      <c r="U987" s="24">
        <v>0</v>
      </c>
      <c r="V987" s="24">
        <v>0</v>
      </c>
      <c r="AC987" s="26">
        <v>0</v>
      </c>
      <c r="AD987" s="26">
        <v>0</v>
      </c>
      <c r="AE987" s="26">
        <v>0</v>
      </c>
      <c r="AF987" s="26">
        <v>0</v>
      </c>
      <c r="AG987" s="26">
        <v>0</v>
      </c>
      <c r="AN987" s="24"/>
      <c r="AO987" s="26"/>
      <c r="AP987" s="26"/>
      <c r="AQ987" s="26"/>
      <c r="AR987" s="26"/>
      <c r="AS987" s="26"/>
      <c r="AT987" s="26"/>
      <c r="AU987" s="26"/>
      <c r="AV987" s="26"/>
      <c r="AW987" s="26"/>
      <c r="AX987" s="26"/>
      <c r="AY987" s="26"/>
    </row>
    <row r="988" spans="2:51">
      <c r="B988" s="32" t="str">
        <f t="shared" si="34"/>
        <v>SA Power</v>
      </c>
      <c r="C988" s="32" t="s">
        <v>719</v>
      </c>
      <c r="D988" s="385"/>
      <c r="E988" s="31"/>
      <c r="F988" s="44" t="s">
        <v>188</v>
      </c>
      <c r="G988" s="22">
        <v>0</v>
      </c>
      <c r="H988" s="22">
        <v>0</v>
      </c>
      <c r="I988" s="22">
        <v>0</v>
      </c>
      <c r="J988" s="22">
        <v>0</v>
      </c>
      <c r="K988" s="22">
        <v>0</v>
      </c>
      <c r="R988" s="24">
        <v>0</v>
      </c>
      <c r="S988" s="24">
        <v>0</v>
      </c>
      <c r="T988" s="24">
        <v>0</v>
      </c>
      <c r="U988" s="24">
        <v>0</v>
      </c>
      <c r="V988" s="24">
        <v>0</v>
      </c>
      <c r="AC988" s="26">
        <v>0</v>
      </c>
      <c r="AD988" s="26">
        <v>0</v>
      </c>
      <c r="AE988" s="26">
        <v>0</v>
      </c>
      <c r="AF988" s="26">
        <v>0</v>
      </c>
      <c r="AG988" s="26">
        <v>0</v>
      </c>
      <c r="AN988" s="24"/>
      <c r="AO988" s="26"/>
      <c r="AP988" s="26"/>
      <c r="AQ988" s="26"/>
      <c r="AR988" s="26"/>
      <c r="AS988" s="26"/>
      <c r="AT988" s="26"/>
      <c r="AU988" s="26"/>
      <c r="AV988" s="26"/>
      <c r="AW988" s="26"/>
      <c r="AX988" s="26"/>
      <c r="AY988" s="26"/>
    </row>
    <row r="989" spans="2:51">
      <c r="B989" s="32" t="str">
        <f t="shared" si="34"/>
        <v>SA Power</v>
      </c>
      <c r="C989" s="32" t="s">
        <v>719</v>
      </c>
      <c r="D989" s="385"/>
      <c r="E989" s="31"/>
      <c r="F989" s="44" t="s">
        <v>189</v>
      </c>
      <c r="G989" s="22">
        <v>267.670570506871</v>
      </c>
      <c r="H989" s="22">
        <v>317.30252606307579</v>
      </c>
      <c r="I989" s="22">
        <v>338.62692791113921</v>
      </c>
      <c r="J989" s="22">
        <v>356.208005621653</v>
      </c>
      <c r="K989" s="22">
        <v>468.28183636616211</v>
      </c>
      <c r="R989" s="24">
        <v>677</v>
      </c>
      <c r="S989" s="24">
        <v>769</v>
      </c>
      <c r="T989" s="24">
        <v>820</v>
      </c>
      <c r="U989" s="24">
        <v>769</v>
      </c>
      <c r="V989" s="24">
        <v>803</v>
      </c>
      <c r="AC989" s="26">
        <v>606</v>
      </c>
      <c r="AD989" s="26">
        <v>719</v>
      </c>
      <c r="AE989" s="26">
        <v>725</v>
      </c>
      <c r="AF989" s="26">
        <v>673</v>
      </c>
      <c r="AG989" s="26">
        <v>664</v>
      </c>
      <c r="AN989" s="24"/>
      <c r="AO989" s="26"/>
      <c r="AP989" s="26"/>
      <c r="AQ989" s="26"/>
      <c r="AR989" s="26"/>
      <c r="AS989" s="26"/>
      <c r="AT989" s="26"/>
      <c r="AU989" s="26"/>
      <c r="AV989" s="26"/>
      <c r="AW989" s="26"/>
      <c r="AX989" s="26"/>
      <c r="AY989" s="26"/>
    </row>
    <row r="990" spans="2:51">
      <c r="B990" s="32" t="str">
        <f t="shared" si="34"/>
        <v>SA Power</v>
      </c>
      <c r="C990" s="32" t="s">
        <v>719</v>
      </c>
      <c r="D990" s="385"/>
      <c r="E990" s="31"/>
      <c r="F990" s="44" t="s">
        <v>190</v>
      </c>
      <c r="G990" s="22">
        <v>0</v>
      </c>
      <c r="H990" s="22">
        <v>0</v>
      </c>
      <c r="I990" s="22">
        <v>0</v>
      </c>
      <c r="J990" s="22">
        <v>0</v>
      </c>
      <c r="K990" s="22">
        <v>0</v>
      </c>
      <c r="R990" s="24">
        <v>0</v>
      </c>
      <c r="S990" s="24">
        <v>0</v>
      </c>
      <c r="T990" s="24">
        <v>0</v>
      </c>
      <c r="U990" s="24">
        <v>0</v>
      </c>
      <c r="V990" s="24">
        <v>0</v>
      </c>
      <c r="AC990" s="26">
        <v>0</v>
      </c>
      <c r="AD990" s="26">
        <v>0</v>
      </c>
      <c r="AE990" s="26">
        <v>0</v>
      </c>
      <c r="AF990" s="26">
        <v>0</v>
      </c>
      <c r="AG990" s="26">
        <v>0</v>
      </c>
      <c r="AN990" s="24"/>
      <c r="AO990" s="26"/>
      <c r="AP990" s="26"/>
      <c r="AQ990" s="26"/>
      <c r="AR990" s="26"/>
      <c r="AS990" s="26"/>
      <c r="AT990" s="26"/>
      <c r="AU990" s="26"/>
      <c r="AV990" s="26"/>
      <c r="AW990" s="26"/>
      <c r="AX990" s="26"/>
      <c r="AY990" s="26"/>
    </row>
    <row r="991" spans="2:51">
      <c r="B991" s="32" t="str">
        <f t="shared" si="34"/>
        <v>SA Power</v>
      </c>
      <c r="C991" s="32" t="s">
        <v>719</v>
      </c>
      <c r="D991" s="385"/>
      <c r="E991" s="31"/>
      <c r="F991" s="44" t="s">
        <v>191</v>
      </c>
      <c r="G991" s="22">
        <v>0</v>
      </c>
      <c r="H991" s="22">
        <v>0</v>
      </c>
      <c r="I991" s="22">
        <v>0</v>
      </c>
      <c r="J991" s="22">
        <v>0</v>
      </c>
      <c r="K991" s="22">
        <v>0</v>
      </c>
      <c r="R991" s="24">
        <v>0</v>
      </c>
      <c r="S991" s="24">
        <v>0</v>
      </c>
      <c r="T991" s="24">
        <v>0</v>
      </c>
      <c r="U991" s="24">
        <v>0</v>
      </c>
      <c r="V991" s="24">
        <v>0</v>
      </c>
      <c r="AC991" s="26">
        <v>0</v>
      </c>
      <c r="AD991" s="26">
        <v>0</v>
      </c>
      <c r="AE991" s="26">
        <v>0</v>
      </c>
      <c r="AF991" s="26">
        <v>0</v>
      </c>
      <c r="AG991" s="26">
        <v>0</v>
      </c>
      <c r="AN991" s="24"/>
      <c r="AO991" s="26"/>
      <c r="AP991" s="26"/>
      <c r="AQ991" s="26"/>
      <c r="AR991" s="26"/>
      <c r="AS991" s="26"/>
      <c r="AT991" s="26"/>
      <c r="AU991" s="26"/>
      <c r="AV991" s="26"/>
      <c r="AW991" s="26"/>
      <c r="AX991" s="26"/>
      <c r="AY991" s="26"/>
    </row>
    <row r="992" spans="2:51">
      <c r="B992" s="32" t="str">
        <f t="shared" si="34"/>
        <v>SA Power</v>
      </c>
      <c r="C992" s="32" t="s">
        <v>719</v>
      </c>
      <c r="D992" s="385"/>
      <c r="E992" s="31"/>
      <c r="F992" s="44" t="s">
        <v>192</v>
      </c>
      <c r="G992" s="22">
        <v>0</v>
      </c>
      <c r="H992" s="22">
        <v>0</v>
      </c>
      <c r="I992" s="22">
        <v>0</v>
      </c>
      <c r="J992" s="22">
        <v>0</v>
      </c>
      <c r="K992" s="22">
        <v>0</v>
      </c>
      <c r="R992" s="24">
        <v>0</v>
      </c>
      <c r="S992" s="24">
        <v>0</v>
      </c>
      <c r="T992" s="24">
        <v>0</v>
      </c>
      <c r="U992" s="24">
        <v>0</v>
      </c>
      <c r="V992" s="24">
        <v>0</v>
      </c>
      <c r="AC992" s="26">
        <v>0</v>
      </c>
      <c r="AD992" s="26">
        <v>0</v>
      </c>
      <c r="AE992" s="26">
        <v>0</v>
      </c>
      <c r="AF992" s="26">
        <v>0</v>
      </c>
      <c r="AG992" s="26">
        <v>0</v>
      </c>
      <c r="AN992" s="24"/>
      <c r="AO992" s="26"/>
      <c r="AP992" s="26"/>
      <c r="AQ992" s="26"/>
      <c r="AR992" s="26"/>
      <c r="AS992" s="26"/>
      <c r="AT992" s="26"/>
      <c r="AU992" s="26"/>
      <c r="AV992" s="26"/>
      <c r="AW992" s="26"/>
      <c r="AX992" s="26"/>
      <c r="AY992" s="26"/>
    </row>
    <row r="993" spans="2:51">
      <c r="B993" s="32" t="str">
        <f t="shared" si="34"/>
        <v>SA Power</v>
      </c>
      <c r="C993" s="32" t="s">
        <v>719</v>
      </c>
      <c r="D993" s="385"/>
      <c r="E993" s="31"/>
      <c r="F993" s="44" t="s">
        <v>193</v>
      </c>
      <c r="G993" s="22">
        <v>0</v>
      </c>
      <c r="H993" s="22">
        <v>0</v>
      </c>
      <c r="I993" s="22">
        <v>0</v>
      </c>
      <c r="J993" s="22">
        <v>0</v>
      </c>
      <c r="K993" s="22">
        <v>0</v>
      </c>
      <c r="R993" s="24">
        <v>0</v>
      </c>
      <c r="S993" s="24">
        <v>0</v>
      </c>
      <c r="T993" s="24">
        <v>0</v>
      </c>
      <c r="U993" s="24">
        <v>0</v>
      </c>
      <c r="V993" s="24">
        <v>0</v>
      </c>
      <c r="AC993" s="26">
        <v>0</v>
      </c>
      <c r="AD993" s="26">
        <v>0</v>
      </c>
      <c r="AE993" s="26">
        <v>0</v>
      </c>
      <c r="AF993" s="26">
        <v>0</v>
      </c>
      <c r="AG993" s="26">
        <v>0</v>
      </c>
      <c r="AN993" s="24"/>
      <c r="AO993" s="26"/>
      <c r="AP993" s="26"/>
      <c r="AQ993" s="26"/>
      <c r="AR993" s="26"/>
      <c r="AS993" s="26"/>
      <c r="AT993" s="26"/>
      <c r="AU993" s="26"/>
      <c r="AV993" s="26"/>
      <c r="AW993" s="26"/>
      <c r="AX993" s="26"/>
      <c r="AY993" s="26"/>
    </row>
    <row r="994" spans="2:51">
      <c r="B994" s="32" t="str">
        <f t="shared" si="34"/>
        <v>SA Power</v>
      </c>
      <c r="C994" s="32" t="s">
        <v>719</v>
      </c>
      <c r="D994" s="385"/>
      <c r="E994" s="31"/>
      <c r="F994" s="44" t="s">
        <v>194</v>
      </c>
      <c r="G994" s="22">
        <v>0</v>
      </c>
      <c r="H994" s="22">
        <v>0</v>
      </c>
      <c r="I994" s="22">
        <v>0</v>
      </c>
      <c r="J994" s="22">
        <v>0</v>
      </c>
      <c r="K994" s="22">
        <v>0</v>
      </c>
      <c r="R994" s="24">
        <v>0</v>
      </c>
      <c r="S994" s="24">
        <v>0</v>
      </c>
      <c r="T994" s="24">
        <v>0</v>
      </c>
      <c r="U994" s="24">
        <v>0</v>
      </c>
      <c r="V994" s="24">
        <v>0</v>
      </c>
      <c r="AC994" s="26">
        <v>0</v>
      </c>
      <c r="AD994" s="26">
        <v>0</v>
      </c>
      <c r="AE994" s="26">
        <v>0</v>
      </c>
      <c r="AF994" s="26">
        <v>0</v>
      </c>
      <c r="AG994" s="26">
        <v>0</v>
      </c>
      <c r="AN994" s="24"/>
      <c r="AO994" s="26"/>
      <c r="AP994" s="26"/>
      <c r="AQ994" s="26"/>
      <c r="AR994" s="26"/>
      <c r="AS994" s="26"/>
      <c r="AT994" s="26"/>
      <c r="AU994" s="26"/>
      <c r="AV994" s="26"/>
      <c r="AW994" s="26"/>
      <c r="AX994" s="26"/>
      <c r="AY994" s="26"/>
    </row>
    <row r="995" spans="2:51">
      <c r="B995" s="32" t="str">
        <f t="shared" si="34"/>
        <v>SA Power</v>
      </c>
      <c r="C995" s="32" t="s">
        <v>719</v>
      </c>
      <c r="D995" s="385"/>
      <c r="E995" s="31"/>
      <c r="F995" s="44" t="s">
        <v>195</v>
      </c>
      <c r="G995" s="22">
        <v>0</v>
      </c>
      <c r="H995" s="22">
        <v>0</v>
      </c>
      <c r="I995" s="22">
        <v>0</v>
      </c>
      <c r="J995" s="22">
        <v>0</v>
      </c>
      <c r="K995" s="22">
        <v>0</v>
      </c>
      <c r="R995" s="24">
        <v>0</v>
      </c>
      <c r="S995" s="24">
        <v>0</v>
      </c>
      <c r="T995" s="24">
        <v>0</v>
      </c>
      <c r="U995" s="24">
        <v>0</v>
      </c>
      <c r="V995" s="24">
        <v>0</v>
      </c>
      <c r="AC995" s="26">
        <v>0</v>
      </c>
      <c r="AD995" s="26">
        <v>0</v>
      </c>
      <c r="AE995" s="26">
        <v>0</v>
      </c>
      <c r="AF995" s="26">
        <v>0</v>
      </c>
      <c r="AG995" s="26">
        <v>0</v>
      </c>
      <c r="AN995" s="24"/>
      <c r="AO995" s="26"/>
      <c r="AP995" s="26"/>
      <c r="AQ995" s="26"/>
      <c r="AR995" s="26"/>
      <c r="AS995" s="26"/>
      <c r="AT995" s="26"/>
      <c r="AU995" s="26"/>
      <c r="AV995" s="26"/>
      <c r="AW995" s="26"/>
      <c r="AX995" s="26"/>
      <c r="AY995" s="26"/>
    </row>
    <row r="996" spans="2:51">
      <c r="B996" s="32" t="str">
        <f t="shared" si="34"/>
        <v>SA Power</v>
      </c>
      <c r="C996" s="32" t="s">
        <v>719</v>
      </c>
      <c r="D996" s="385"/>
      <c r="E996" s="31"/>
      <c r="F996" s="44" t="s">
        <v>196</v>
      </c>
      <c r="G996" s="22">
        <v>0</v>
      </c>
      <c r="H996" s="22">
        <v>0</v>
      </c>
      <c r="I996" s="22">
        <v>0</v>
      </c>
      <c r="J996" s="22">
        <v>0</v>
      </c>
      <c r="K996" s="22">
        <v>0</v>
      </c>
      <c r="R996" s="24">
        <v>0</v>
      </c>
      <c r="S996" s="24">
        <v>0</v>
      </c>
      <c r="T996" s="24">
        <v>0</v>
      </c>
      <c r="U996" s="24">
        <v>0</v>
      </c>
      <c r="V996" s="24">
        <v>0</v>
      </c>
      <c r="AC996" s="26">
        <v>0</v>
      </c>
      <c r="AD996" s="26">
        <v>0</v>
      </c>
      <c r="AE996" s="26">
        <v>0</v>
      </c>
      <c r="AF996" s="26">
        <v>0</v>
      </c>
      <c r="AG996" s="26">
        <v>0</v>
      </c>
      <c r="AN996" s="24"/>
      <c r="AO996" s="26"/>
      <c r="AP996" s="26"/>
      <c r="AQ996" s="26"/>
      <c r="AR996" s="26"/>
      <c r="AS996" s="26"/>
      <c r="AT996" s="26"/>
      <c r="AU996" s="26"/>
      <c r="AV996" s="26"/>
      <c r="AW996" s="26"/>
      <c r="AX996" s="26"/>
      <c r="AY996" s="26"/>
    </row>
    <row r="997" spans="2:51">
      <c r="B997" s="32" t="str">
        <f t="shared" si="34"/>
        <v>SA Power</v>
      </c>
      <c r="C997" s="32" t="s">
        <v>719</v>
      </c>
      <c r="D997" s="385"/>
      <c r="E997" s="31"/>
      <c r="F997" s="44" t="s">
        <v>197</v>
      </c>
      <c r="G997" s="22">
        <v>0</v>
      </c>
      <c r="H997" s="22">
        <v>0</v>
      </c>
      <c r="I997" s="22">
        <v>0</v>
      </c>
      <c r="J997" s="22">
        <v>0</v>
      </c>
      <c r="K997" s="22">
        <v>0</v>
      </c>
      <c r="R997" s="24">
        <v>0</v>
      </c>
      <c r="S997" s="24">
        <v>0</v>
      </c>
      <c r="T997" s="24">
        <v>0</v>
      </c>
      <c r="U997" s="24">
        <v>0</v>
      </c>
      <c r="V997" s="24">
        <v>0</v>
      </c>
      <c r="AC997" s="26">
        <v>0</v>
      </c>
      <c r="AD997" s="26">
        <v>0</v>
      </c>
      <c r="AE997" s="26">
        <v>0</v>
      </c>
      <c r="AF997" s="26">
        <v>0</v>
      </c>
      <c r="AG997" s="26">
        <v>0</v>
      </c>
      <c r="AN997" s="24"/>
      <c r="AO997" s="26"/>
      <c r="AP997" s="26"/>
      <c r="AQ997" s="26"/>
      <c r="AR997" s="26"/>
      <c r="AS997" s="26"/>
      <c r="AT997" s="26"/>
      <c r="AU997" s="26"/>
      <c r="AV997" s="26"/>
      <c r="AW997" s="26"/>
      <c r="AX997" s="26"/>
      <c r="AY997" s="26"/>
    </row>
    <row r="998" spans="2:51">
      <c r="B998" s="32" t="str">
        <f t="shared" ref="B998:B1061" si="35">IF(D998&gt;0,D998,B997)</f>
        <v>SA Power</v>
      </c>
      <c r="C998" s="32" t="s">
        <v>719</v>
      </c>
      <c r="D998" s="385"/>
      <c r="E998" s="31"/>
      <c r="F998" s="44" t="s">
        <v>198</v>
      </c>
      <c r="G998" s="22">
        <v>0</v>
      </c>
      <c r="H998" s="22">
        <v>0</v>
      </c>
      <c r="I998" s="22">
        <v>0</v>
      </c>
      <c r="J998" s="22">
        <v>0</v>
      </c>
      <c r="K998" s="22">
        <v>0</v>
      </c>
      <c r="R998" s="24">
        <v>0</v>
      </c>
      <c r="S998" s="24">
        <v>0</v>
      </c>
      <c r="T998" s="24">
        <v>0</v>
      </c>
      <c r="U998" s="24">
        <v>0</v>
      </c>
      <c r="V998" s="24">
        <v>0</v>
      </c>
      <c r="AC998" s="26">
        <v>0</v>
      </c>
      <c r="AD998" s="26">
        <v>0</v>
      </c>
      <c r="AE998" s="26">
        <v>0</v>
      </c>
      <c r="AF998" s="26">
        <v>0</v>
      </c>
      <c r="AG998" s="26">
        <v>0</v>
      </c>
      <c r="AN998" s="24"/>
      <c r="AO998" s="26"/>
      <c r="AP998" s="26"/>
      <c r="AQ998" s="26"/>
      <c r="AR998" s="26"/>
      <c r="AS998" s="26"/>
      <c r="AT998" s="26"/>
      <c r="AU998" s="26"/>
      <c r="AV998" s="26"/>
      <c r="AW998" s="26"/>
      <c r="AX998" s="26"/>
      <c r="AY998" s="26"/>
    </row>
    <row r="999" spans="2:51">
      <c r="B999" s="32" t="str">
        <f t="shared" si="35"/>
        <v>SA Power</v>
      </c>
      <c r="C999" s="32" t="s">
        <v>719</v>
      </c>
      <c r="D999" s="385"/>
      <c r="E999" s="31"/>
      <c r="F999" s="44" t="s">
        <v>199</v>
      </c>
      <c r="G999" s="22">
        <v>0</v>
      </c>
      <c r="H999" s="22">
        <v>0</v>
      </c>
      <c r="I999" s="22">
        <v>0</v>
      </c>
      <c r="J999" s="22">
        <v>0</v>
      </c>
      <c r="K999" s="22">
        <v>0</v>
      </c>
      <c r="R999" s="24">
        <v>0</v>
      </c>
      <c r="S999" s="24">
        <v>0</v>
      </c>
      <c r="T999" s="24">
        <v>0</v>
      </c>
      <c r="U999" s="24">
        <v>0</v>
      </c>
      <c r="V999" s="24">
        <v>0</v>
      </c>
      <c r="AC999" s="26">
        <v>0</v>
      </c>
      <c r="AD999" s="26">
        <v>0</v>
      </c>
      <c r="AE999" s="26">
        <v>0</v>
      </c>
      <c r="AF999" s="26">
        <v>0</v>
      </c>
      <c r="AG999" s="26">
        <v>0</v>
      </c>
      <c r="AN999" s="24"/>
      <c r="AO999" s="26"/>
      <c r="AP999" s="26"/>
      <c r="AQ999" s="26"/>
      <c r="AR999" s="26"/>
      <c r="AS999" s="26"/>
      <c r="AT999" s="26"/>
      <c r="AU999" s="26"/>
      <c r="AV999" s="26"/>
      <c r="AW999" s="26"/>
      <c r="AX999" s="26"/>
      <c r="AY999" s="26"/>
    </row>
    <row r="1000" spans="2:51">
      <c r="B1000" s="32" t="str">
        <f t="shared" si="35"/>
        <v>SA Power</v>
      </c>
      <c r="C1000" s="32" t="s">
        <v>719</v>
      </c>
      <c r="D1000" s="385"/>
      <c r="E1000" s="31"/>
      <c r="F1000" s="44" t="s">
        <v>200</v>
      </c>
      <c r="G1000" s="22">
        <v>0</v>
      </c>
      <c r="H1000" s="22">
        <v>0</v>
      </c>
      <c r="I1000" s="22">
        <v>0</v>
      </c>
      <c r="J1000" s="22">
        <v>0</v>
      </c>
      <c r="K1000" s="22">
        <v>0</v>
      </c>
      <c r="R1000" s="24">
        <v>0</v>
      </c>
      <c r="S1000" s="24">
        <v>0</v>
      </c>
      <c r="T1000" s="24">
        <v>0</v>
      </c>
      <c r="U1000" s="24">
        <v>0</v>
      </c>
      <c r="V1000" s="24">
        <v>0</v>
      </c>
      <c r="AC1000" s="26">
        <v>0</v>
      </c>
      <c r="AD1000" s="26">
        <v>0</v>
      </c>
      <c r="AE1000" s="26">
        <v>0</v>
      </c>
      <c r="AF1000" s="26">
        <v>0</v>
      </c>
      <c r="AG1000" s="26">
        <v>0</v>
      </c>
      <c r="AN1000" s="24"/>
      <c r="AO1000" s="26"/>
      <c r="AP1000" s="26"/>
      <c r="AQ1000" s="26"/>
      <c r="AR1000" s="26"/>
      <c r="AS1000" s="26"/>
      <c r="AT1000" s="26"/>
      <c r="AU1000" s="26"/>
      <c r="AV1000" s="26"/>
      <c r="AW1000" s="26"/>
      <c r="AX1000" s="26"/>
      <c r="AY1000" s="26"/>
    </row>
    <row r="1001" spans="2:51">
      <c r="B1001" s="32" t="str">
        <f t="shared" si="35"/>
        <v>SA Power</v>
      </c>
      <c r="C1001" s="32" t="s">
        <v>719</v>
      </c>
      <c r="D1001" s="385"/>
      <c r="E1001" s="31"/>
      <c r="F1001" s="44" t="s">
        <v>170</v>
      </c>
      <c r="G1001" s="22">
        <v>0</v>
      </c>
      <c r="H1001" s="22">
        <v>0</v>
      </c>
      <c r="I1001" s="22">
        <v>0</v>
      </c>
      <c r="J1001" s="22">
        <v>0</v>
      </c>
      <c r="K1001" s="22">
        <v>0</v>
      </c>
      <c r="R1001" s="24">
        <v>0</v>
      </c>
      <c r="S1001" s="24">
        <v>0</v>
      </c>
      <c r="T1001" s="24">
        <v>0</v>
      </c>
      <c r="U1001" s="24">
        <v>0</v>
      </c>
      <c r="V1001" s="24">
        <v>0</v>
      </c>
      <c r="AC1001" s="26">
        <v>0</v>
      </c>
      <c r="AD1001" s="26">
        <v>0</v>
      </c>
      <c r="AE1001" s="26">
        <v>0</v>
      </c>
      <c r="AF1001" s="26">
        <v>0</v>
      </c>
      <c r="AG1001" s="26">
        <v>0</v>
      </c>
      <c r="AN1001" s="24"/>
      <c r="AO1001" s="26"/>
      <c r="AP1001" s="26"/>
      <c r="AQ1001" s="26"/>
      <c r="AR1001" s="26"/>
      <c r="AS1001" s="26"/>
      <c r="AT1001" s="26"/>
      <c r="AU1001" s="26"/>
      <c r="AV1001" s="26"/>
      <c r="AW1001" s="26"/>
      <c r="AX1001" s="26"/>
      <c r="AY1001" s="26"/>
    </row>
    <row r="1002" spans="2:51" ht="90">
      <c r="B1002" s="32" t="str">
        <f t="shared" si="35"/>
        <v>SA Power</v>
      </c>
      <c r="C1002" s="32" t="s">
        <v>4</v>
      </c>
      <c r="D1002" s="385"/>
      <c r="E1002" s="31" t="s">
        <v>544</v>
      </c>
      <c r="F1002" s="44" t="s">
        <v>203</v>
      </c>
      <c r="G1002" s="22">
        <v>1538.4437609645904</v>
      </c>
      <c r="H1002" s="22">
        <v>1981.3472859293017</v>
      </c>
      <c r="I1002" s="22">
        <v>1758.6967655510362</v>
      </c>
      <c r="J1002" s="22">
        <v>1510.9488285333698</v>
      </c>
      <c r="K1002" s="22">
        <v>2244.9381808048424</v>
      </c>
      <c r="R1002" s="24">
        <v>189.90975103734439</v>
      </c>
      <c r="S1002" s="24">
        <v>197.75726141078837</v>
      </c>
      <c r="T1002" s="24">
        <v>202.46576763485479</v>
      </c>
      <c r="U1002" s="24">
        <v>155.38070539419087</v>
      </c>
      <c r="V1002" s="24">
        <v>185.20124481327801</v>
      </c>
      <c r="AC1002" s="26">
        <v>121</v>
      </c>
      <c r="AD1002" s="26">
        <v>126</v>
      </c>
      <c r="AE1002" s="26">
        <v>129</v>
      </c>
      <c r="AF1002" s="26">
        <v>99</v>
      </c>
      <c r="AG1002" s="26">
        <v>118</v>
      </c>
      <c r="AN1002" s="24"/>
      <c r="AO1002" s="26"/>
      <c r="AP1002" s="26"/>
      <c r="AQ1002" s="26"/>
      <c r="AR1002" s="26"/>
      <c r="AS1002" s="26"/>
      <c r="AT1002" s="26"/>
      <c r="AU1002" s="26"/>
      <c r="AV1002" s="26"/>
      <c r="AW1002" s="26"/>
      <c r="AX1002" s="26"/>
      <c r="AY1002" s="26"/>
    </row>
    <row r="1003" spans="2:51">
      <c r="B1003" s="32" t="str">
        <f t="shared" si="35"/>
        <v>SA Power</v>
      </c>
      <c r="C1003" s="32" t="s">
        <v>4</v>
      </c>
      <c r="D1003" s="385"/>
      <c r="E1003" s="31"/>
      <c r="F1003" s="44" t="s">
        <v>204</v>
      </c>
      <c r="G1003" s="22">
        <v>114.42970122877119</v>
      </c>
      <c r="H1003" s="22">
        <v>157.24978459756363</v>
      </c>
      <c r="I1003" s="22">
        <v>149.96639086094109</v>
      </c>
      <c r="J1003" s="22">
        <v>137.35898441212453</v>
      </c>
      <c r="K1003" s="22">
        <v>171.22409853596255</v>
      </c>
      <c r="R1003" s="24">
        <v>14.125518672199171</v>
      </c>
      <c r="S1003" s="24">
        <v>15.695020746887964</v>
      </c>
      <c r="T1003" s="24">
        <v>17.264522821576762</v>
      </c>
      <c r="U1003" s="24">
        <v>14.125518672199171</v>
      </c>
      <c r="V1003" s="24">
        <v>14.125518672199171</v>
      </c>
      <c r="AC1003" s="26">
        <v>9</v>
      </c>
      <c r="AD1003" s="26">
        <v>10</v>
      </c>
      <c r="AE1003" s="26">
        <v>11</v>
      </c>
      <c r="AF1003" s="26">
        <v>9</v>
      </c>
      <c r="AG1003" s="26">
        <v>9</v>
      </c>
      <c r="AN1003" s="24"/>
      <c r="AO1003" s="26"/>
      <c r="AP1003" s="26"/>
      <c r="AQ1003" s="26"/>
      <c r="AR1003" s="26"/>
      <c r="AS1003" s="26"/>
      <c r="AT1003" s="26"/>
      <c r="AU1003" s="26"/>
      <c r="AV1003" s="26"/>
      <c r="AW1003" s="26"/>
      <c r="AX1003" s="26"/>
      <c r="AY1003" s="26"/>
    </row>
    <row r="1004" spans="2:51">
      <c r="B1004" s="32" t="str">
        <f t="shared" si="35"/>
        <v>SA Power</v>
      </c>
      <c r="C1004" s="32" t="s">
        <v>4</v>
      </c>
      <c r="D1004" s="385"/>
      <c r="E1004" s="31"/>
      <c r="F1004" s="44" t="s">
        <v>205</v>
      </c>
      <c r="G1004" s="22">
        <v>0</v>
      </c>
      <c r="H1004" s="22">
        <v>0</v>
      </c>
      <c r="I1004" s="22">
        <v>0</v>
      </c>
      <c r="J1004" s="22">
        <v>0</v>
      </c>
      <c r="K1004" s="22">
        <v>0</v>
      </c>
      <c r="R1004" s="24">
        <v>0</v>
      </c>
      <c r="S1004" s="24">
        <v>0</v>
      </c>
      <c r="T1004" s="24">
        <v>0</v>
      </c>
      <c r="U1004" s="24">
        <v>0</v>
      </c>
      <c r="V1004" s="24">
        <v>0</v>
      </c>
      <c r="AC1004" s="26">
        <v>0</v>
      </c>
      <c r="AD1004" s="26">
        <v>0</v>
      </c>
      <c r="AE1004" s="26">
        <v>0</v>
      </c>
      <c r="AF1004" s="26">
        <v>0</v>
      </c>
      <c r="AG1004" s="26">
        <v>0</v>
      </c>
      <c r="AN1004" s="24"/>
      <c r="AO1004" s="26"/>
      <c r="AP1004" s="26"/>
      <c r="AQ1004" s="26"/>
      <c r="AR1004" s="26"/>
      <c r="AS1004" s="26"/>
      <c r="AT1004" s="26"/>
      <c r="AU1004" s="26"/>
      <c r="AV1004" s="26"/>
      <c r="AW1004" s="26"/>
      <c r="AX1004" s="26"/>
      <c r="AY1004" s="26"/>
    </row>
    <row r="1005" spans="2:51">
      <c r="B1005" s="32" t="str">
        <f t="shared" si="35"/>
        <v>SA Power</v>
      </c>
      <c r="C1005" s="32" t="s">
        <v>4</v>
      </c>
      <c r="D1005" s="385"/>
      <c r="E1005" s="31"/>
      <c r="F1005" s="44" t="s">
        <v>206</v>
      </c>
      <c r="G1005" s="22">
        <v>317.86028119103105</v>
      </c>
      <c r="H1005" s="22">
        <v>345.94952611463992</v>
      </c>
      <c r="I1005" s="22">
        <v>340.83270650213888</v>
      </c>
      <c r="J1005" s="22">
        <v>259.45585944512413</v>
      </c>
      <c r="K1005" s="22">
        <v>418.5477964212418</v>
      </c>
      <c r="R1005" s="24">
        <v>39.237551867219921</v>
      </c>
      <c r="S1005" s="24">
        <v>34.529045643153523</v>
      </c>
      <c r="T1005" s="24">
        <v>39.237551867219921</v>
      </c>
      <c r="U1005" s="24">
        <v>26.681535269709542</v>
      </c>
      <c r="V1005" s="24">
        <v>34.529045643153523</v>
      </c>
      <c r="AC1005" s="26">
        <v>25</v>
      </c>
      <c r="AD1005" s="26">
        <v>22</v>
      </c>
      <c r="AE1005" s="26">
        <v>25</v>
      </c>
      <c r="AF1005" s="26">
        <v>17</v>
      </c>
      <c r="AG1005" s="26">
        <v>22</v>
      </c>
      <c r="AN1005" s="24"/>
      <c r="AO1005" s="26"/>
      <c r="AP1005" s="26"/>
      <c r="AQ1005" s="26"/>
      <c r="AR1005" s="26"/>
      <c r="AS1005" s="26"/>
      <c r="AT1005" s="26"/>
      <c r="AU1005" s="26"/>
      <c r="AV1005" s="26"/>
      <c r="AW1005" s="26"/>
      <c r="AX1005" s="26"/>
      <c r="AY1005" s="26"/>
    </row>
    <row r="1006" spans="2:51">
      <c r="B1006" s="32" t="str">
        <f t="shared" si="35"/>
        <v>SA Power</v>
      </c>
      <c r="C1006" s="32" t="s">
        <v>4</v>
      </c>
      <c r="D1006" s="385"/>
      <c r="E1006" s="31"/>
      <c r="F1006" s="44" t="s">
        <v>207</v>
      </c>
      <c r="G1006" s="22">
        <v>495.86203865800854</v>
      </c>
      <c r="H1006" s="22">
        <v>770.52394452806175</v>
      </c>
      <c r="I1006" s="22">
        <v>327.19939824205335</v>
      </c>
      <c r="J1006" s="22">
        <v>549.43593764849811</v>
      </c>
      <c r="K1006" s="22">
        <v>684.89639414385022</v>
      </c>
      <c r="R1006" s="24">
        <v>61.210580912863072</v>
      </c>
      <c r="S1006" s="24">
        <v>76.905601659751042</v>
      </c>
      <c r="T1006" s="24">
        <v>37.668049792531122</v>
      </c>
      <c r="U1006" s="24">
        <v>56.502074688796682</v>
      </c>
      <c r="V1006" s="24">
        <v>56.502074688796682</v>
      </c>
      <c r="AC1006" s="26">
        <v>39</v>
      </c>
      <c r="AD1006" s="26">
        <v>49</v>
      </c>
      <c r="AE1006" s="26">
        <v>24</v>
      </c>
      <c r="AF1006" s="26">
        <v>36</v>
      </c>
      <c r="AG1006" s="26">
        <v>36</v>
      </c>
      <c r="AN1006" s="24"/>
      <c r="AO1006" s="26"/>
      <c r="AP1006" s="26"/>
      <c r="AQ1006" s="26"/>
      <c r="AR1006" s="26"/>
      <c r="AS1006" s="26"/>
      <c r="AT1006" s="26"/>
      <c r="AU1006" s="26"/>
      <c r="AV1006" s="26"/>
      <c r="AW1006" s="26"/>
      <c r="AX1006" s="26"/>
      <c r="AY1006" s="26"/>
    </row>
    <row r="1007" spans="2:51">
      <c r="B1007" s="32" t="str">
        <f t="shared" si="35"/>
        <v>SA Power</v>
      </c>
      <c r="C1007" s="32" t="s">
        <v>4</v>
      </c>
      <c r="D1007" s="385"/>
      <c r="E1007" s="31"/>
      <c r="F1007" s="44" t="s">
        <v>208</v>
      </c>
      <c r="G1007" s="22">
        <v>0</v>
      </c>
      <c r="H1007" s="22">
        <v>0</v>
      </c>
      <c r="I1007" s="22">
        <v>0</v>
      </c>
      <c r="J1007" s="22">
        <v>0</v>
      </c>
      <c r="K1007" s="22">
        <v>0</v>
      </c>
      <c r="R1007" s="24">
        <v>0</v>
      </c>
      <c r="S1007" s="24">
        <v>0</v>
      </c>
      <c r="T1007" s="24">
        <v>0</v>
      </c>
      <c r="U1007" s="24">
        <v>0</v>
      </c>
      <c r="V1007" s="24">
        <v>0</v>
      </c>
      <c r="AC1007" s="26">
        <v>0</v>
      </c>
      <c r="AD1007" s="26">
        <v>0</v>
      </c>
      <c r="AE1007" s="26">
        <v>0</v>
      </c>
      <c r="AF1007" s="26">
        <v>0</v>
      </c>
      <c r="AG1007" s="26">
        <v>0</v>
      </c>
      <c r="AN1007" s="24"/>
      <c r="AO1007" s="26"/>
      <c r="AP1007" s="26"/>
      <c r="AQ1007" s="26"/>
      <c r="AR1007" s="26"/>
      <c r="AS1007" s="26"/>
      <c r="AT1007" s="26"/>
      <c r="AU1007" s="26"/>
      <c r="AV1007" s="26"/>
      <c r="AW1007" s="26"/>
      <c r="AX1007" s="26"/>
      <c r="AY1007" s="26"/>
    </row>
    <row r="1008" spans="2:51">
      <c r="B1008" s="32" t="str">
        <f t="shared" si="35"/>
        <v>SA Power</v>
      </c>
      <c r="C1008" s="32" t="s">
        <v>4</v>
      </c>
      <c r="D1008" s="385"/>
      <c r="E1008" s="31"/>
      <c r="F1008" s="44" t="s">
        <v>209</v>
      </c>
      <c r="G1008" s="22">
        <v>25.428822495282486</v>
      </c>
      <c r="H1008" s="22">
        <v>47.17493537926908</v>
      </c>
      <c r="I1008" s="22">
        <v>109.06646608068444</v>
      </c>
      <c r="J1008" s="22">
        <v>45.786328137374845</v>
      </c>
      <c r="K1008" s="22">
        <v>57.074699511987518</v>
      </c>
      <c r="R1008" s="24">
        <v>3.1390041493775933</v>
      </c>
      <c r="S1008" s="24">
        <v>4.7085062240663902</v>
      </c>
      <c r="T1008" s="24">
        <v>12.556016597510373</v>
      </c>
      <c r="U1008" s="24">
        <v>4.7085062240663902</v>
      </c>
      <c r="V1008" s="24">
        <v>4.7085062240663902</v>
      </c>
      <c r="AC1008" s="26">
        <v>2</v>
      </c>
      <c r="AD1008" s="26">
        <v>3</v>
      </c>
      <c r="AE1008" s="26">
        <v>8</v>
      </c>
      <c r="AF1008" s="26">
        <v>3</v>
      </c>
      <c r="AG1008" s="26">
        <v>3</v>
      </c>
      <c r="AN1008" s="24"/>
      <c r="AO1008" s="26"/>
      <c r="AP1008" s="26"/>
      <c r="AQ1008" s="26"/>
      <c r="AR1008" s="26"/>
      <c r="AS1008" s="26"/>
      <c r="AT1008" s="26"/>
      <c r="AU1008" s="26"/>
      <c r="AV1008" s="26"/>
      <c r="AW1008" s="26"/>
      <c r="AX1008" s="26"/>
      <c r="AY1008" s="26"/>
    </row>
    <row r="1009" spans="2:51">
      <c r="B1009" s="32" t="str">
        <f t="shared" si="35"/>
        <v>SA Power</v>
      </c>
      <c r="C1009" s="32" t="s">
        <v>4</v>
      </c>
      <c r="D1009" s="385"/>
      <c r="E1009" s="31"/>
      <c r="F1009" s="44" t="s">
        <v>210</v>
      </c>
      <c r="G1009" s="22">
        <v>12.714411247641243</v>
      </c>
      <c r="H1009" s="22">
        <v>0</v>
      </c>
      <c r="I1009" s="22">
        <v>13.633308260085554</v>
      </c>
      <c r="J1009" s="22">
        <v>15.262109379124949</v>
      </c>
      <c r="K1009" s="22">
        <v>114.14939902397504</v>
      </c>
      <c r="R1009" s="24">
        <v>1.5695020746887967</v>
      </c>
      <c r="S1009" s="24">
        <v>0</v>
      </c>
      <c r="T1009" s="24">
        <v>1.5695020746887967</v>
      </c>
      <c r="U1009" s="24">
        <v>1.5695020746887967</v>
      </c>
      <c r="V1009" s="24">
        <v>9.4170124481327804</v>
      </c>
      <c r="AC1009" s="26">
        <v>1</v>
      </c>
      <c r="AD1009" s="26">
        <v>0</v>
      </c>
      <c r="AE1009" s="26">
        <v>1</v>
      </c>
      <c r="AF1009" s="26">
        <v>1</v>
      </c>
      <c r="AG1009" s="26">
        <v>6</v>
      </c>
      <c r="AN1009" s="24"/>
      <c r="AO1009" s="26"/>
      <c r="AP1009" s="26"/>
      <c r="AQ1009" s="26"/>
      <c r="AR1009" s="26"/>
      <c r="AS1009" s="26"/>
      <c r="AT1009" s="26"/>
      <c r="AU1009" s="26"/>
      <c r="AV1009" s="26"/>
      <c r="AW1009" s="26"/>
      <c r="AX1009" s="26"/>
      <c r="AY1009" s="26"/>
    </row>
    <row r="1010" spans="2:51">
      <c r="B1010" s="32" t="str">
        <f t="shared" si="35"/>
        <v>SA Power</v>
      </c>
      <c r="C1010" s="32" t="s">
        <v>4</v>
      </c>
      <c r="D1010" s="385"/>
      <c r="E1010" s="31"/>
      <c r="F1010" s="44" t="s">
        <v>211</v>
      </c>
      <c r="G1010" s="22">
        <v>0</v>
      </c>
      <c r="H1010" s="22">
        <v>0</v>
      </c>
      <c r="I1010" s="22">
        <v>0</v>
      </c>
      <c r="J1010" s="22">
        <v>0</v>
      </c>
      <c r="K1010" s="22">
        <v>0</v>
      </c>
      <c r="R1010" s="24">
        <v>0</v>
      </c>
      <c r="S1010" s="24">
        <v>0</v>
      </c>
      <c r="T1010" s="24">
        <v>0</v>
      </c>
      <c r="U1010" s="24">
        <v>0</v>
      </c>
      <c r="V1010" s="24">
        <v>0</v>
      </c>
      <c r="AC1010" s="26">
        <v>0</v>
      </c>
      <c r="AD1010" s="26">
        <v>0</v>
      </c>
      <c r="AE1010" s="26">
        <v>0</v>
      </c>
      <c r="AF1010" s="26">
        <v>0</v>
      </c>
      <c r="AG1010" s="26">
        <v>0</v>
      </c>
      <c r="AN1010" s="24"/>
      <c r="AO1010" s="26"/>
      <c r="AP1010" s="26"/>
      <c r="AQ1010" s="26"/>
      <c r="AR1010" s="26"/>
      <c r="AS1010" s="26"/>
      <c r="AT1010" s="26"/>
      <c r="AU1010" s="26"/>
      <c r="AV1010" s="26"/>
      <c r="AW1010" s="26"/>
      <c r="AX1010" s="26"/>
      <c r="AY1010" s="26"/>
    </row>
    <row r="1011" spans="2:51">
      <c r="B1011" s="32" t="str">
        <f t="shared" si="35"/>
        <v>SA Power</v>
      </c>
      <c r="C1011" s="32" t="s">
        <v>4</v>
      </c>
      <c r="D1011" s="385"/>
      <c r="E1011" s="31"/>
      <c r="F1011" s="44" t="s">
        <v>209</v>
      </c>
      <c r="G1011" s="22">
        <v>0</v>
      </c>
      <c r="H1011" s="22">
        <v>0</v>
      </c>
      <c r="I1011" s="22">
        <v>0</v>
      </c>
      <c r="J1011" s="22">
        <v>0</v>
      </c>
      <c r="K1011" s="22">
        <v>0</v>
      </c>
      <c r="R1011" s="24">
        <v>0</v>
      </c>
      <c r="S1011" s="24">
        <v>0</v>
      </c>
      <c r="T1011" s="24">
        <v>0</v>
      </c>
      <c r="U1011" s="24">
        <v>0</v>
      </c>
      <c r="V1011" s="24">
        <v>0</v>
      </c>
      <c r="AC1011" s="26">
        <v>0</v>
      </c>
      <c r="AD1011" s="26">
        <v>0</v>
      </c>
      <c r="AE1011" s="26">
        <v>0</v>
      </c>
      <c r="AF1011" s="26">
        <v>0</v>
      </c>
      <c r="AG1011" s="26">
        <v>0</v>
      </c>
      <c r="AN1011" s="24"/>
      <c r="AO1011" s="26"/>
      <c r="AP1011" s="26"/>
      <c r="AQ1011" s="26"/>
      <c r="AR1011" s="26"/>
      <c r="AS1011" s="26"/>
      <c r="AT1011" s="26"/>
      <c r="AU1011" s="26"/>
      <c r="AV1011" s="26"/>
      <c r="AW1011" s="26"/>
      <c r="AX1011" s="26"/>
      <c r="AY1011" s="26"/>
    </row>
    <row r="1012" spans="2:51">
      <c r="B1012" s="32" t="str">
        <f t="shared" si="35"/>
        <v>SA Power</v>
      </c>
      <c r="C1012" s="32" t="s">
        <v>4</v>
      </c>
      <c r="D1012" s="385"/>
      <c r="E1012" s="31"/>
      <c r="F1012" s="44" t="s">
        <v>212</v>
      </c>
      <c r="G1012" s="22">
        <v>0</v>
      </c>
      <c r="H1012" s="22">
        <v>0</v>
      </c>
      <c r="I1012" s="22">
        <v>0</v>
      </c>
      <c r="J1012" s="22">
        <v>0</v>
      </c>
      <c r="K1012" s="22">
        <v>0</v>
      </c>
      <c r="R1012" s="24">
        <v>0</v>
      </c>
      <c r="S1012" s="24">
        <v>0</v>
      </c>
      <c r="T1012" s="24">
        <v>0</v>
      </c>
      <c r="U1012" s="24">
        <v>0</v>
      </c>
      <c r="V1012" s="24">
        <v>0</v>
      </c>
      <c r="AC1012" s="26">
        <v>0</v>
      </c>
      <c r="AD1012" s="26">
        <v>0</v>
      </c>
      <c r="AE1012" s="26">
        <v>0</v>
      </c>
      <c r="AF1012" s="26">
        <v>0</v>
      </c>
      <c r="AG1012" s="26">
        <v>0</v>
      </c>
      <c r="AN1012" s="24"/>
      <c r="AO1012" s="26"/>
      <c r="AP1012" s="26"/>
      <c r="AQ1012" s="26"/>
      <c r="AR1012" s="26"/>
      <c r="AS1012" s="26"/>
      <c r="AT1012" s="26"/>
      <c r="AU1012" s="26"/>
      <c r="AV1012" s="26"/>
      <c r="AW1012" s="26"/>
      <c r="AX1012" s="26"/>
      <c r="AY1012" s="26"/>
    </row>
    <row r="1013" spans="2:51">
      <c r="B1013" s="32" t="str">
        <f t="shared" si="35"/>
        <v>SA Power</v>
      </c>
      <c r="C1013" s="32" t="s">
        <v>4</v>
      </c>
      <c r="D1013" s="385"/>
      <c r="E1013" s="31"/>
      <c r="F1013" s="44" t="s">
        <v>213</v>
      </c>
      <c r="G1013" s="22">
        <v>0</v>
      </c>
      <c r="H1013" s="22">
        <v>0</v>
      </c>
      <c r="I1013" s="22">
        <v>0</v>
      </c>
      <c r="J1013" s="22">
        <v>0</v>
      </c>
      <c r="K1013" s="22">
        <v>0</v>
      </c>
      <c r="R1013" s="24">
        <v>0</v>
      </c>
      <c r="S1013" s="24">
        <v>0</v>
      </c>
      <c r="T1013" s="24">
        <v>0</v>
      </c>
      <c r="U1013" s="24">
        <v>0</v>
      </c>
      <c r="V1013" s="24">
        <v>0</v>
      </c>
      <c r="AC1013" s="26">
        <v>0</v>
      </c>
      <c r="AD1013" s="26">
        <v>0</v>
      </c>
      <c r="AE1013" s="26">
        <v>0</v>
      </c>
      <c r="AF1013" s="26">
        <v>0</v>
      </c>
      <c r="AG1013" s="26">
        <v>0</v>
      </c>
      <c r="AN1013" s="24"/>
      <c r="AO1013" s="26"/>
      <c r="AP1013" s="26"/>
      <c r="AQ1013" s="26"/>
      <c r="AR1013" s="26"/>
      <c r="AS1013" s="26"/>
      <c r="AT1013" s="26"/>
      <c r="AU1013" s="26"/>
      <c r="AV1013" s="26"/>
      <c r="AW1013" s="26"/>
      <c r="AX1013" s="26"/>
      <c r="AY1013" s="26"/>
    </row>
    <row r="1014" spans="2:51">
      <c r="B1014" s="32" t="str">
        <f t="shared" si="35"/>
        <v>SA Power</v>
      </c>
      <c r="C1014" s="32" t="s">
        <v>4</v>
      </c>
      <c r="D1014" s="385"/>
      <c r="E1014" s="31"/>
      <c r="F1014" s="44" t="s">
        <v>214</v>
      </c>
      <c r="G1014" s="22">
        <v>0</v>
      </c>
      <c r="H1014" s="22">
        <v>0</v>
      </c>
      <c r="I1014" s="22">
        <v>0</v>
      </c>
      <c r="J1014" s="22">
        <v>0</v>
      </c>
      <c r="K1014" s="22">
        <v>35.968451832654495</v>
      </c>
      <c r="R1014" s="24">
        <v>0</v>
      </c>
      <c r="S1014" s="24">
        <v>0</v>
      </c>
      <c r="T1014" s="24">
        <v>0</v>
      </c>
      <c r="U1014" s="24">
        <v>0</v>
      </c>
      <c r="V1014" s="24">
        <v>1</v>
      </c>
      <c r="AC1014" s="26">
        <v>0</v>
      </c>
      <c r="AD1014" s="26">
        <v>0</v>
      </c>
      <c r="AE1014" s="26">
        <v>0</v>
      </c>
      <c r="AF1014" s="26">
        <v>0</v>
      </c>
      <c r="AG1014" s="26">
        <v>0</v>
      </c>
      <c r="AN1014" s="24"/>
      <c r="AO1014" s="26"/>
      <c r="AP1014" s="26"/>
      <c r="AQ1014" s="26"/>
      <c r="AR1014" s="26"/>
      <c r="AS1014" s="26"/>
      <c r="AT1014" s="26"/>
      <c r="AU1014" s="26"/>
      <c r="AV1014" s="26"/>
      <c r="AW1014" s="26"/>
      <c r="AX1014" s="26"/>
      <c r="AY1014" s="26"/>
    </row>
    <row r="1015" spans="2:51">
      <c r="B1015" s="32" t="str">
        <f t="shared" si="35"/>
        <v>SA Power</v>
      </c>
      <c r="C1015" s="32" t="s">
        <v>4</v>
      </c>
      <c r="D1015" s="385"/>
      <c r="E1015" s="31"/>
      <c r="F1015" s="44" t="s">
        <v>215</v>
      </c>
      <c r="G1015" s="22">
        <v>33.589222079503173</v>
      </c>
      <c r="H1015" s="22">
        <v>65.687740839730878</v>
      </c>
      <c r="I1015" s="22">
        <v>0</v>
      </c>
      <c r="J1015" s="22">
        <v>27.667871759160885</v>
      </c>
      <c r="K1015" s="22">
        <v>0</v>
      </c>
      <c r="R1015" s="24">
        <v>4.1500000000000004</v>
      </c>
      <c r="S1015" s="24">
        <v>4.1500000000000004</v>
      </c>
      <c r="T1015" s="24">
        <v>0</v>
      </c>
      <c r="U1015" s="24">
        <v>2.0750000000000002</v>
      </c>
      <c r="V1015" s="24">
        <v>0</v>
      </c>
      <c r="AC1015" s="26">
        <v>2</v>
      </c>
      <c r="AD1015" s="26">
        <v>2</v>
      </c>
      <c r="AE1015" s="26">
        <v>0</v>
      </c>
      <c r="AF1015" s="26">
        <v>1</v>
      </c>
      <c r="AG1015" s="26">
        <v>0</v>
      </c>
      <c r="AN1015" s="24"/>
      <c r="AO1015" s="26"/>
      <c r="AP1015" s="26"/>
      <c r="AQ1015" s="26"/>
      <c r="AR1015" s="26"/>
      <c r="AS1015" s="26"/>
      <c r="AT1015" s="26"/>
      <c r="AU1015" s="26"/>
      <c r="AV1015" s="26"/>
      <c r="AW1015" s="26"/>
      <c r="AX1015" s="26"/>
      <c r="AY1015" s="26"/>
    </row>
    <row r="1016" spans="2:51">
      <c r="B1016" s="32" t="str">
        <f t="shared" si="35"/>
        <v>SA Power</v>
      </c>
      <c r="C1016" s="32" t="s">
        <v>4</v>
      </c>
      <c r="D1016" s="385"/>
      <c r="E1016" s="31"/>
      <c r="F1016" s="44" t="s">
        <v>216</v>
      </c>
      <c r="G1016" s="22">
        <v>0</v>
      </c>
      <c r="H1016" s="22">
        <v>0</v>
      </c>
      <c r="I1016" s="22">
        <v>0</v>
      </c>
      <c r="J1016" s="22">
        <v>0</v>
      </c>
      <c r="K1016" s="22">
        <v>0</v>
      </c>
      <c r="R1016" s="24">
        <v>0</v>
      </c>
      <c r="S1016" s="24">
        <v>0</v>
      </c>
      <c r="T1016" s="24">
        <v>0</v>
      </c>
      <c r="U1016" s="24">
        <v>0</v>
      </c>
      <c r="V1016" s="24">
        <v>0</v>
      </c>
      <c r="AC1016" s="26">
        <v>0</v>
      </c>
      <c r="AD1016" s="26">
        <v>0</v>
      </c>
      <c r="AE1016" s="26">
        <v>0</v>
      </c>
      <c r="AF1016" s="26">
        <v>0</v>
      </c>
      <c r="AG1016" s="26">
        <v>0</v>
      </c>
      <c r="AN1016" s="24"/>
      <c r="AO1016" s="26"/>
      <c r="AP1016" s="26"/>
      <c r="AQ1016" s="26"/>
      <c r="AR1016" s="26"/>
      <c r="AS1016" s="26"/>
      <c r="AT1016" s="26"/>
      <c r="AU1016" s="26"/>
      <c r="AV1016" s="26"/>
      <c r="AW1016" s="26"/>
      <c r="AX1016" s="26"/>
      <c r="AY1016" s="26"/>
    </row>
    <row r="1017" spans="2:51">
      <c r="B1017" s="32" t="str">
        <f t="shared" si="35"/>
        <v>SA Power</v>
      </c>
      <c r="C1017" s="32" t="s">
        <v>4</v>
      </c>
      <c r="D1017" s="385"/>
      <c r="E1017" s="31"/>
      <c r="F1017" s="44" t="s">
        <v>217</v>
      </c>
      <c r="G1017" s="22">
        <v>18.575188680256982</v>
      </c>
      <c r="H1017" s="22">
        <v>16.658547899774575</v>
      </c>
      <c r="I1017" s="22">
        <v>0</v>
      </c>
      <c r="J1017" s="22">
        <v>0</v>
      </c>
      <c r="K1017" s="22">
        <v>0</v>
      </c>
      <c r="R1017" s="24">
        <v>1</v>
      </c>
      <c r="S1017" s="24">
        <v>1</v>
      </c>
      <c r="T1017" s="24">
        <v>0</v>
      </c>
      <c r="U1017" s="24">
        <v>0</v>
      </c>
      <c r="V1017" s="24">
        <v>0</v>
      </c>
      <c r="AC1017" s="26">
        <v>0</v>
      </c>
      <c r="AD1017" s="26">
        <v>0</v>
      </c>
      <c r="AE1017" s="26">
        <v>0</v>
      </c>
      <c r="AF1017" s="26">
        <v>0</v>
      </c>
      <c r="AG1017" s="26">
        <v>0</v>
      </c>
      <c r="AN1017" s="24"/>
      <c r="AO1017" s="26"/>
      <c r="AP1017" s="26"/>
      <c r="AQ1017" s="26"/>
      <c r="AR1017" s="26"/>
      <c r="AS1017" s="26"/>
      <c r="AT1017" s="26"/>
      <c r="AU1017" s="26"/>
      <c r="AV1017" s="26"/>
      <c r="AW1017" s="26"/>
      <c r="AX1017" s="26"/>
      <c r="AY1017" s="26"/>
    </row>
    <row r="1018" spans="2:51">
      <c r="B1018" s="32" t="str">
        <f t="shared" si="35"/>
        <v>SA Power</v>
      </c>
      <c r="C1018" s="32" t="s">
        <v>4</v>
      </c>
      <c r="D1018" s="385"/>
      <c r="E1018" s="31"/>
      <c r="F1018" s="44" t="s">
        <v>218</v>
      </c>
      <c r="G1018" s="22">
        <v>302.30299871552859</v>
      </c>
      <c r="H1018" s="22">
        <v>525.50192671784703</v>
      </c>
      <c r="I1018" s="22">
        <v>351.59156817451293</v>
      </c>
      <c r="J1018" s="22">
        <v>332.01446110993072</v>
      </c>
      <c r="K1018" s="22">
        <v>197.96059802730318</v>
      </c>
      <c r="R1018" s="24">
        <v>37.35</v>
      </c>
      <c r="S1018" s="24">
        <v>33.200000000000003</v>
      </c>
      <c r="T1018" s="24">
        <v>24.9</v>
      </c>
      <c r="U1018" s="24">
        <v>24.9</v>
      </c>
      <c r="V1018" s="24">
        <v>12.45</v>
      </c>
      <c r="AC1018" s="26">
        <v>21</v>
      </c>
      <c r="AD1018" s="26">
        <v>20</v>
      </c>
      <c r="AE1018" s="26">
        <v>13</v>
      </c>
      <c r="AF1018" s="26">
        <v>13</v>
      </c>
      <c r="AG1018" s="26">
        <v>8</v>
      </c>
      <c r="AN1018" s="24"/>
      <c r="AO1018" s="26"/>
      <c r="AP1018" s="26"/>
      <c r="AQ1018" s="26"/>
      <c r="AR1018" s="26"/>
      <c r="AS1018" s="26"/>
      <c r="AT1018" s="26"/>
      <c r="AU1018" s="26"/>
      <c r="AV1018" s="26"/>
      <c r="AW1018" s="26"/>
      <c r="AX1018" s="26"/>
      <c r="AY1018" s="26"/>
    </row>
    <row r="1019" spans="2:51">
      <c r="B1019" s="32" t="str">
        <f t="shared" si="35"/>
        <v>SA Power</v>
      </c>
      <c r="C1019" s="32" t="s">
        <v>4</v>
      </c>
      <c r="D1019" s="385"/>
      <c r="E1019" s="31"/>
      <c r="F1019" s="44" t="s">
        <v>219</v>
      </c>
      <c r="G1019" s="22">
        <v>16.794611039751587</v>
      </c>
      <c r="H1019" s="22">
        <v>32.843870419865439</v>
      </c>
      <c r="I1019" s="22">
        <v>0</v>
      </c>
      <c r="J1019" s="22">
        <v>0</v>
      </c>
      <c r="K1019" s="22">
        <v>0</v>
      </c>
      <c r="R1019" s="24">
        <v>2.0750000000000002</v>
      </c>
      <c r="S1019" s="24">
        <v>2.0750000000000002</v>
      </c>
      <c r="T1019" s="24">
        <v>0</v>
      </c>
      <c r="U1019" s="24">
        <v>0</v>
      </c>
      <c r="V1019" s="24">
        <v>0</v>
      </c>
      <c r="AC1019" s="26">
        <v>1</v>
      </c>
      <c r="AD1019" s="26">
        <v>2</v>
      </c>
      <c r="AE1019" s="26">
        <v>0</v>
      </c>
      <c r="AF1019" s="26">
        <v>0</v>
      </c>
      <c r="AG1019" s="26">
        <v>0</v>
      </c>
      <c r="AN1019" s="24"/>
      <c r="AO1019" s="26"/>
      <c r="AP1019" s="26"/>
      <c r="AQ1019" s="26"/>
      <c r="AR1019" s="26"/>
      <c r="AS1019" s="26"/>
      <c r="AT1019" s="26"/>
      <c r="AU1019" s="26"/>
      <c r="AV1019" s="26"/>
      <c r="AW1019" s="26"/>
      <c r="AX1019" s="26"/>
      <c r="AY1019" s="26"/>
    </row>
    <row r="1020" spans="2:51">
      <c r="B1020" s="32" t="str">
        <f t="shared" si="35"/>
        <v>SA Power</v>
      </c>
      <c r="C1020" s="32" t="s">
        <v>4</v>
      </c>
      <c r="D1020" s="385"/>
      <c r="E1020" s="31"/>
      <c r="F1020" s="44" t="s">
        <v>220</v>
      </c>
      <c r="G1020" s="22">
        <v>0</v>
      </c>
      <c r="H1020" s="22">
        <v>0</v>
      </c>
      <c r="I1020" s="22">
        <v>0</v>
      </c>
      <c r="J1020" s="22">
        <v>0</v>
      </c>
      <c r="K1020" s="22">
        <v>0</v>
      </c>
      <c r="R1020" s="24">
        <v>0</v>
      </c>
      <c r="S1020" s="24">
        <v>0</v>
      </c>
      <c r="T1020" s="24">
        <v>0</v>
      </c>
      <c r="U1020" s="24">
        <v>0</v>
      </c>
      <c r="V1020" s="24">
        <v>0</v>
      </c>
      <c r="AC1020" s="26">
        <v>0</v>
      </c>
      <c r="AD1020" s="26">
        <v>0</v>
      </c>
      <c r="AE1020" s="26">
        <v>0</v>
      </c>
      <c r="AF1020" s="26">
        <v>0</v>
      </c>
      <c r="AG1020" s="26">
        <v>0</v>
      </c>
      <c r="AN1020" s="24"/>
      <c r="AO1020" s="26"/>
      <c r="AP1020" s="26"/>
      <c r="AQ1020" s="26"/>
      <c r="AR1020" s="26"/>
      <c r="AS1020" s="26"/>
      <c r="AT1020" s="26"/>
      <c r="AU1020" s="26"/>
      <c r="AV1020" s="26"/>
      <c r="AW1020" s="26"/>
      <c r="AX1020" s="26"/>
      <c r="AY1020" s="26"/>
    </row>
    <row r="1021" spans="2:51">
      <c r="B1021" s="32" t="str">
        <f t="shared" si="35"/>
        <v>SA Power</v>
      </c>
      <c r="C1021" s="32" t="s">
        <v>4</v>
      </c>
      <c r="D1021" s="385"/>
      <c r="E1021" s="31"/>
      <c r="F1021" s="44" t="s">
        <v>221</v>
      </c>
      <c r="G1021" s="22">
        <v>0</v>
      </c>
      <c r="H1021" s="22">
        <v>0</v>
      </c>
      <c r="I1021" s="22">
        <v>0</v>
      </c>
      <c r="J1021" s="22">
        <v>0</v>
      </c>
      <c r="K1021" s="22">
        <v>0</v>
      </c>
      <c r="R1021" s="24">
        <v>0</v>
      </c>
      <c r="S1021" s="24">
        <v>0</v>
      </c>
      <c r="T1021" s="24">
        <v>0</v>
      </c>
      <c r="U1021" s="24">
        <v>0</v>
      </c>
      <c r="V1021" s="24">
        <v>0</v>
      </c>
      <c r="AC1021" s="26">
        <v>0</v>
      </c>
      <c r="AD1021" s="26">
        <v>0</v>
      </c>
      <c r="AE1021" s="26">
        <v>0</v>
      </c>
      <c r="AF1021" s="26">
        <v>0</v>
      </c>
      <c r="AG1021" s="26">
        <v>0</v>
      </c>
      <c r="AN1021" s="24"/>
      <c r="AO1021" s="26"/>
      <c r="AP1021" s="26"/>
      <c r="AQ1021" s="26"/>
      <c r="AR1021" s="26"/>
      <c r="AS1021" s="26"/>
      <c r="AT1021" s="26"/>
      <c r="AU1021" s="26"/>
      <c r="AV1021" s="26"/>
      <c r="AW1021" s="26"/>
      <c r="AX1021" s="26"/>
      <c r="AY1021" s="26"/>
    </row>
    <row r="1022" spans="2:51">
      <c r="B1022" s="32" t="str">
        <f t="shared" si="35"/>
        <v>SA Power</v>
      </c>
      <c r="C1022" s="32" t="s">
        <v>4</v>
      </c>
      <c r="D1022" s="385"/>
      <c r="E1022" s="31"/>
      <c r="F1022" s="44" t="s">
        <v>222</v>
      </c>
      <c r="G1022" s="22">
        <v>0</v>
      </c>
      <c r="H1022" s="22">
        <v>0</v>
      </c>
      <c r="I1022" s="22">
        <v>0</v>
      </c>
      <c r="J1022" s="22">
        <v>0</v>
      </c>
      <c r="K1022" s="22">
        <v>0</v>
      </c>
      <c r="R1022" s="24">
        <v>0</v>
      </c>
      <c r="S1022" s="24">
        <v>0</v>
      </c>
      <c r="T1022" s="24">
        <v>0</v>
      </c>
      <c r="U1022" s="24">
        <v>0</v>
      </c>
      <c r="V1022" s="24">
        <v>0</v>
      </c>
      <c r="AC1022" s="26">
        <v>0</v>
      </c>
      <c r="AD1022" s="26">
        <v>0</v>
      </c>
      <c r="AE1022" s="26">
        <v>0</v>
      </c>
      <c r="AF1022" s="26">
        <v>0</v>
      </c>
      <c r="AG1022" s="26">
        <v>0</v>
      </c>
      <c r="AN1022" s="24"/>
      <c r="AO1022" s="26"/>
      <c r="AP1022" s="26"/>
      <c r="AQ1022" s="26"/>
      <c r="AR1022" s="26"/>
      <c r="AS1022" s="26"/>
      <c r="AT1022" s="26"/>
      <c r="AU1022" s="26"/>
      <c r="AV1022" s="26"/>
      <c r="AW1022" s="26"/>
      <c r="AX1022" s="26"/>
      <c r="AY1022" s="26"/>
    </row>
    <row r="1023" spans="2:51">
      <c r="B1023" s="32" t="str">
        <f t="shared" si="35"/>
        <v>SA Power</v>
      </c>
      <c r="C1023" s="32" t="s">
        <v>4</v>
      </c>
      <c r="D1023" s="385"/>
      <c r="E1023" s="31"/>
      <c r="F1023" s="44" t="s">
        <v>220</v>
      </c>
      <c r="G1023" s="22">
        <v>0</v>
      </c>
      <c r="H1023" s="22">
        <v>0</v>
      </c>
      <c r="I1023" s="22">
        <v>0</v>
      </c>
      <c r="J1023" s="22">
        <v>0</v>
      </c>
      <c r="K1023" s="22">
        <v>0</v>
      </c>
      <c r="R1023" s="24">
        <v>0</v>
      </c>
      <c r="S1023" s="24">
        <v>0</v>
      </c>
      <c r="T1023" s="24">
        <v>0</v>
      </c>
      <c r="U1023" s="24">
        <v>0</v>
      </c>
      <c r="V1023" s="24">
        <v>0</v>
      </c>
      <c r="AC1023" s="26">
        <v>0</v>
      </c>
      <c r="AD1023" s="26">
        <v>0</v>
      </c>
      <c r="AE1023" s="26">
        <v>0</v>
      </c>
      <c r="AF1023" s="26">
        <v>0</v>
      </c>
      <c r="AG1023" s="26">
        <v>0</v>
      </c>
      <c r="AN1023" s="24"/>
      <c r="AO1023" s="26"/>
      <c r="AP1023" s="26"/>
      <c r="AQ1023" s="26"/>
      <c r="AR1023" s="26"/>
      <c r="AS1023" s="26"/>
      <c r="AT1023" s="26"/>
      <c r="AU1023" s="26"/>
      <c r="AV1023" s="26"/>
      <c r="AW1023" s="26"/>
      <c r="AX1023" s="26"/>
      <c r="AY1023" s="26"/>
    </row>
    <row r="1024" spans="2:51">
      <c r="B1024" s="32" t="str">
        <f t="shared" si="35"/>
        <v>SA Power</v>
      </c>
      <c r="C1024" s="32" t="s">
        <v>4</v>
      </c>
      <c r="D1024" s="385"/>
      <c r="E1024" s="31"/>
      <c r="F1024" s="44" t="s">
        <v>223</v>
      </c>
      <c r="G1024" s="22">
        <v>0</v>
      </c>
      <c r="H1024" s="22">
        <v>0</v>
      </c>
      <c r="I1024" s="22">
        <v>0</v>
      </c>
      <c r="J1024" s="22">
        <v>0</v>
      </c>
      <c r="K1024" s="22">
        <v>0</v>
      </c>
      <c r="R1024" s="24">
        <v>0</v>
      </c>
      <c r="S1024" s="24">
        <v>0</v>
      </c>
      <c r="T1024" s="24">
        <v>0</v>
      </c>
      <c r="U1024" s="24">
        <v>0</v>
      </c>
      <c r="V1024" s="24">
        <v>0</v>
      </c>
      <c r="AC1024" s="26">
        <v>0</v>
      </c>
      <c r="AD1024" s="26">
        <v>0</v>
      </c>
      <c r="AE1024" s="26">
        <v>0</v>
      </c>
      <c r="AF1024" s="26">
        <v>0</v>
      </c>
      <c r="AG1024" s="26">
        <v>0</v>
      </c>
      <c r="AN1024" s="24"/>
      <c r="AO1024" s="26"/>
      <c r="AP1024" s="26"/>
      <c r="AQ1024" s="26"/>
      <c r="AR1024" s="26"/>
      <c r="AS1024" s="26"/>
      <c r="AT1024" s="26"/>
      <c r="AU1024" s="26"/>
      <c r="AV1024" s="26"/>
      <c r="AW1024" s="26"/>
      <c r="AX1024" s="26"/>
      <c r="AY1024" s="26"/>
    </row>
    <row r="1025" spans="2:51">
      <c r="B1025" s="32" t="str">
        <f t="shared" si="35"/>
        <v>SA Power</v>
      </c>
      <c r="C1025" s="32" t="s">
        <v>4</v>
      </c>
      <c r="D1025" s="385"/>
      <c r="E1025" s="31"/>
      <c r="F1025" s="44" t="s">
        <v>224</v>
      </c>
      <c r="G1025" s="22">
        <v>0</v>
      </c>
      <c r="H1025" s="22">
        <v>0</v>
      </c>
      <c r="I1025" s="22">
        <v>0</v>
      </c>
      <c r="J1025" s="22">
        <v>0</v>
      </c>
      <c r="K1025" s="22">
        <v>0</v>
      </c>
      <c r="R1025" s="24">
        <v>0</v>
      </c>
      <c r="S1025" s="24">
        <v>0</v>
      </c>
      <c r="T1025" s="24">
        <v>0</v>
      </c>
      <c r="U1025" s="24">
        <v>0</v>
      </c>
      <c r="V1025" s="24">
        <v>0</v>
      </c>
      <c r="AC1025" s="26">
        <v>0</v>
      </c>
      <c r="AD1025" s="26">
        <v>0</v>
      </c>
      <c r="AE1025" s="26">
        <v>0</v>
      </c>
      <c r="AF1025" s="26">
        <v>0</v>
      </c>
      <c r="AG1025" s="26">
        <v>0</v>
      </c>
      <c r="AN1025" s="24"/>
      <c r="AO1025" s="26"/>
      <c r="AP1025" s="26"/>
      <c r="AQ1025" s="26"/>
      <c r="AR1025" s="26"/>
      <c r="AS1025" s="26"/>
      <c r="AT1025" s="26"/>
      <c r="AU1025" s="26"/>
      <c r="AV1025" s="26"/>
      <c r="AW1025" s="26"/>
      <c r="AX1025" s="26"/>
      <c r="AY1025" s="26"/>
    </row>
    <row r="1026" spans="2:51">
      <c r="B1026" s="32" t="str">
        <f t="shared" si="35"/>
        <v>SA Power</v>
      </c>
      <c r="C1026" s="32" t="s">
        <v>4</v>
      </c>
      <c r="D1026" s="385"/>
      <c r="E1026" s="31"/>
      <c r="F1026" s="44" t="s">
        <v>225</v>
      </c>
      <c r="G1026" s="22">
        <v>0</v>
      </c>
      <c r="H1026" s="22">
        <v>0</v>
      </c>
      <c r="I1026" s="22">
        <v>0</v>
      </c>
      <c r="J1026" s="22">
        <v>0</v>
      </c>
      <c r="K1026" s="22">
        <v>0</v>
      </c>
      <c r="R1026" s="24">
        <v>0</v>
      </c>
      <c r="S1026" s="24">
        <v>0</v>
      </c>
      <c r="T1026" s="24">
        <v>0</v>
      </c>
      <c r="U1026" s="24">
        <v>0</v>
      </c>
      <c r="V1026" s="24">
        <v>0</v>
      </c>
      <c r="AC1026" s="26">
        <v>0</v>
      </c>
      <c r="AD1026" s="26">
        <v>0</v>
      </c>
      <c r="AE1026" s="26">
        <v>0</v>
      </c>
      <c r="AF1026" s="26">
        <v>0</v>
      </c>
      <c r="AG1026" s="26">
        <v>0</v>
      </c>
      <c r="AN1026" s="24"/>
      <c r="AO1026" s="26"/>
      <c r="AP1026" s="26"/>
      <c r="AQ1026" s="26"/>
      <c r="AR1026" s="26"/>
      <c r="AS1026" s="26"/>
      <c r="AT1026" s="26"/>
      <c r="AU1026" s="26"/>
      <c r="AV1026" s="26"/>
      <c r="AW1026" s="26"/>
      <c r="AX1026" s="26"/>
      <c r="AY1026" s="26"/>
    </row>
    <row r="1027" spans="2:51">
      <c r="B1027" s="32" t="str">
        <f t="shared" si="35"/>
        <v>SA Power</v>
      </c>
      <c r="C1027" s="32" t="s">
        <v>4</v>
      </c>
      <c r="D1027" s="385"/>
      <c r="E1027" s="31"/>
      <c r="F1027" s="44" t="s">
        <v>226</v>
      </c>
      <c r="G1027" s="22">
        <v>0</v>
      </c>
      <c r="H1027" s="22">
        <v>0</v>
      </c>
      <c r="I1027" s="22">
        <v>0</v>
      </c>
      <c r="J1027" s="22">
        <v>0</v>
      </c>
      <c r="K1027" s="22">
        <v>0</v>
      </c>
      <c r="R1027" s="24">
        <v>0</v>
      </c>
      <c r="S1027" s="24">
        <v>0</v>
      </c>
      <c r="T1027" s="24">
        <v>0</v>
      </c>
      <c r="U1027" s="24">
        <v>0</v>
      </c>
      <c r="V1027" s="24">
        <v>0</v>
      </c>
      <c r="AC1027" s="26">
        <v>0</v>
      </c>
      <c r="AD1027" s="26">
        <v>0</v>
      </c>
      <c r="AE1027" s="26">
        <v>0</v>
      </c>
      <c r="AF1027" s="26">
        <v>0</v>
      </c>
      <c r="AG1027" s="26">
        <v>0</v>
      </c>
      <c r="AN1027" s="24"/>
      <c r="AO1027" s="26"/>
      <c r="AP1027" s="26"/>
      <c r="AQ1027" s="26"/>
      <c r="AR1027" s="26"/>
      <c r="AS1027" s="26"/>
      <c r="AT1027" s="26"/>
      <c r="AU1027" s="26"/>
      <c r="AV1027" s="26"/>
      <c r="AW1027" s="26"/>
      <c r="AX1027" s="26"/>
      <c r="AY1027" s="26"/>
    </row>
    <row r="1028" spans="2:51">
      <c r="B1028" s="32" t="str">
        <f t="shared" si="35"/>
        <v>SA Power</v>
      </c>
      <c r="C1028" s="32" t="s">
        <v>4</v>
      </c>
      <c r="D1028" s="385"/>
      <c r="E1028" s="31"/>
      <c r="F1028" s="44" t="s">
        <v>227</v>
      </c>
      <c r="G1028" s="22">
        <v>0</v>
      </c>
      <c r="H1028" s="22">
        <v>0</v>
      </c>
      <c r="I1028" s="22">
        <v>0</v>
      </c>
      <c r="J1028" s="22">
        <v>0</v>
      </c>
      <c r="K1028" s="22">
        <v>0</v>
      </c>
      <c r="R1028" s="24">
        <v>0</v>
      </c>
      <c r="S1028" s="24">
        <v>0</v>
      </c>
      <c r="T1028" s="24">
        <v>0</v>
      </c>
      <c r="U1028" s="24">
        <v>0</v>
      </c>
      <c r="V1028" s="24">
        <v>0</v>
      </c>
      <c r="AC1028" s="26">
        <v>0</v>
      </c>
      <c r="AD1028" s="26">
        <v>0</v>
      </c>
      <c r="AE1028" s="26">
        <v>0</v>
      </c>
      <c r="AF1028" s="26">
        <v>0</v>
      </c>
      <c r="AG1028" s="26">
        <v>0</v>
      </c>
      <c r="AN1028" s="24"/>
      <c r="AO1028" s="26"/>
      <c r="AP1028" s="26"/>
      <c r="AQ1028" s="26"/>
      <c r="AR1028" s="26"/>
      <c r="AS1028" s="26"/>
      <c r="AT1028" s="26"/>
      <c r="AU1028" s="26"/>
      <c r="AV1028" s="26"/>
      <c r="AW1028" s="26"/>
      <c r="AX1028" s="26"/>
      <c r="AY1028" s="26"/>
    </row>
    <row r="1029" spans="2:51">
      <c r="B1029" s="32" t="str">
        <f t="shared" si="35"/>
        <v>SA Power</v>
      </c>
      <c r="C1029" s="32" t="s">
        <v>4</v>
      </c>
      <c r="D1029" s="385"/>
      <c r="E1029" s="31"/>
      <c r="F1029" s="44" t="s">
        <v>228</v>
      </c>
      <c r="G1029" s="22">
        <v>0</v>
      </c>
      <c r="H1029" s="22">
        <v>0</v>
      </c>
      <c r="I1029" s="22">
        <v>29.299297347876074</v>
      </c>
      <c r="J1029" s="22">
        <v>0</v>
      </c>
      <c r="K1029" s="22">
        <v>0</v>
      </c>
      <c r="R1029" s="24">
        <v>0</v>
      </c>
      <c r="S1029" s="24">
        <v>0</v>
      </c>
      <c r="T1029" s="24">
        <v>2.0750000000000002</v>
      </c>
      <c r="U1029" s="24">
        <v>0</v>
      </c>
      <c r="V1029" s="24">
        <v>0</v>
      </c>
      <c r="AC1029" s="26">
        <v>0</v>
      </c>
      <c r="AD1029" s="26">
        <v>0</v>
      </c>
      <c r="AE1029" s="26">
        <v>1</v>
      </c>
      <c r="AF1029" s="26">
        <v>0</v>
      </c>
      <c r="AG1029" s="26">
        <v>0</v>
      </c>
      <c r="AN1029" s="24"/>
      <c r="AO1029" s="26"/>
      <c r="AP1029" s="26"/>
      <c r="AQ1029" s="26"/>
      <c r="AR1029" s="26"/>
      <c r="AS1029" s="26"/>
      <c r="AT1029" s="26"/>
      <c r="AU1029" s="26"/>
      <c r="AV1029" s="26"/>
      <c r="AW1029" s="26"/>
      <c r="AX1029" s="26"/>
      <c r="AY1029" s="26"/>
    </row>
    <row r="1030" spans="2:51">
      <c r="B1030" s="32" t="str">
        <f t="shared" si="35"/>
        <v>SA Power</v>
      </c>
      <c r="C1030" s="32" t="s">
        <v>4</v>
      </c>
      <c r="D1030" s="385"/>
      <c r="E1030" s="31"/>
      <c r="F1030" s="44" t="s">
        <v>229</v>
      </c>
      <c r="G1030" s="22">
        <v>283.1740514619209</v>
      </c>
      <c r="H1030" s="22">
        <v>61.096887190637503</v>
      </c>
      <c r="I1030" s="22">
        <v>227.99968312309352</v>
      </c>
      <c r="J1030" s="22">
        <v>32.850020059277398</v>
      </c>
      <c r="K1030" s="22">
        <v>131.9737320182021</v>
      </c>
      <c r="R1030" s="24">
        <v>3.0750000000000002</v>
      </c>
      <c r="S1030" s="24">
        <v>1</v>
      </c>
      <c r="T1030" s="24">
        <v>5.15</v>
      </c>
      <c r="U1030" s="24">
        <v>2.0750000000000002</v>
      </c>
      <c r="V1030" s="24">
        <v>8.3000000000000007</v>
      </c>
      <c r="AC1030" s="26">
        <v>1</v>
      </c>
      <c r="AD1030" s="26">
        <v>0</v>
      </c>
      <c r="AE1030" s="26">
        <v>2</v>
      </c>
      <c r="AF1030" s="26">
        <v>1</v>
      </c>
      <c r="AG1030" s="26">
        <v>4</v>
      </c>
      <c r="AN1030" s="24"/>
      <c r="AO1030" s="26"/>
      <c r="AP1030" s="26"/>
      <c r="AQ1030" s="26"/>
      <c r="AR1030" s="26"/>
      <c r="AS1030" s="26"/>
      <c r="AT1030" s="26"/>
      <c r="AU1030" s="26"/>
      <c r="AV1030" s="26"/>
      <c r="AW1030" s="26"/>
      <c r="AX1030" s="26"/>
      <c r="AY1030" s="26"/>
    </row>
    <row r="1031" spans="2:51">
      <c r="B1031" s="32" t="str">
        <f t="shared" si="35"/>
        <v>SA Power</v>
      </c>
      <c r="C1031" s="32" t="s">
        <v>4</v>
      </c>
      <c r="D1031" s="385"/>
      <c r="E1031" s="31"/>
      <c r="F1031" s="44" t="s">
        <v>230</v>
      </c>
      <c r="G1031" s="22">
        <v>0</v>
      </c>
      <c r="H1031" s="22">
        <v>4.743121006368485E-2</v>
      </c>
      <c r="I1031" s="22">
        <v>83.394120618436887</v>
      </c>
      <c r="J1031" s="22">
        <v>127.95598492620954</v>
      </c>
      <c r="K1031" s="22">
        <v>4.0174934111460878</v>
      </c>
      <c r="R1031" s="24">
        <v>0</v>
      </c>
      <c r="S1031" s="24">
        <v>0</v>
      </c>
      <c r="T1031" s="24">
        <v>2</v>
      </c>
      <c r="U1031" s="24">
        <v>0</v>
      </c>
      <c r="V1031" s="24">
        <v>0</v>
      </c>
      <c r="AC1031" s="26">
        <v>0</v>
      </c>
      <c r="AD1031" s="26">
        <v>0</v>
      </c>
      <c r="AE1031" s="26">
        <v>2</v>
      </c>
      <c r="AF1031" s="26">
        <v>0</v>
      </c>
      <c r="AG1031" s="26">
        <v>0</v>
      </c>
      <c r="AN1031" s="24"/>
      <c r="AO1031" s="26"/>
      <c r="AP1031" s="26"/>
      <c r="AQ1031" s="26"/>
      <c r="AR1031" s="26"/>
      <c r="AS1031" s="26"/>
      <c r="AT1031" s="26"/>
      <c r="AU1031" s="26"/>
      <c r="AV1031" s="26"/>
      <c r="AW1031" s="26"/>
      <c r="AX1031" s="26"/>
      <c r="AY1031" s="26"/>
    </row>
    <row r="1032" spans="2:51">
      <c r="B1032" s="32" t="str">
        <f t="shared" si="35"/>
        <v>SA Power</v>
      </c>
      <c r="C1032" s="32" t="s">
        <v>4</v>
      </c>
      <c r="D1032" s="385"/>
      <c r="E1032" s="31"/>
      <c r="F1032" s="44" t="s">
        <v>231</v>
      </c>
      <c r="G1032" s="22">
        <v>173.91962982451983</v>
      </c>
      <c r="H1032" s="22">
        <v>1032.8121209151295</v>
      </c>
      <c r="I1032" s="22">
        <v>1280.4564459424378</v>
      </c>
      <c r="J1032" s="22">
        <v>642.73378146180562</v>
      </c>
      <c r="K1032" s="22">
        <v>3008.2065644486011</v>
      </c>
      <c r="R1032" s="24">
        <v>4</v>
      </c>
      <c r="S1032" s="24">
        <v>2</v>
      </c>
      <c r="T1032" s="24">
        <v>2</v>
      </c>
      <c r="U1032" s="24">
        <v>8</v>
      </c>
      <c r="V1032" s="24">
        <v>5</v>
      </c>
      <c r="AC1032" s="26">
        <v>3</v>
      </c>
      <c r="AD1032" s="26">
        <v>2</v>
      </c>
      <c r="AE1032" s="26">
        <v>1</v>
      </c>
      <c r="AF1032" s="26">
        <v>1</v>
      </c>
      <c r="AG1032" s="26">
        <v>2</v>
      </c>
      <c r="AN1032" s="24"/>
      <c r="AO1032" s="26"/>
      <c r="AP1032" s="26"/>
      <c r="AQ1032" s="26"/>
      <c r="AR1032" s="26"/>
      <c r="AS1032" s="26"/>
      <c r="AT1032" s="26"/>
      <c r="AU1032" s="26"/>
      <c r="AV1032" s="26"/>
      <c r="AW1032" s="26"/>
      <c r="AX1032" s="26"/>
      <c r="AY1032" s="26"/>
    </row>
    <row r="1033" spans="2:51">
      <c r="B1033" s="32" t="str">
        <f t="shared" si="35"/>
        <v>SA Power</v>
      </c>
      <c r="C1033" s="32" t="s">
        <v>4</v>
      </c>
      <c r="D1033" s="385"/>
      <c r="E1033" s="31"/>
      <c r="F1033" s="44" t="s">
        <v>232</v>
      </c>
      <c r="G1033" s="22">
        <v>0</v>
      </c>
      <c r="H1033" s="22">
        <v>0</v>
      </c>
      <c r="I1033" s="22">
        <v>0</v>
      </c>
      <c r="J1033" s="22">
        <v>0</v>
      </c>
      <c r="K1033" s="22">
        <v>0</v>
      </c>
      <c r="R1033" s="24">
        <v>0</v>
      </c>
      <c r="S1033" s="24">
        <v>0</v>
      </c>
      <c r="T1033" s="24">
        <v>0</v>
      </c>
      <c r="U1033" s="24">
        <v>0</v>
      </c>
      <c r="V1033" s="24">
        <v>0</v>
      </c>
      <c r="AC1033" s="26">
        <v>0</v>
      </c>
      <c r="AD1033" s="26">
        <v>0</v>
      </c>
      <c r="AE1033" s="26">
        <v>0</v>
      </c>
      <c r="AF1033" s="26">
        <v>0</v>
      </c>
      <c r="AG1033" s="26">
        <v>0</v>
      </c>
      <c r="AN1033" s="24"/>
      <c r="AO1033" s="26"/>
      <c r="AP1033" s="26"/>
      <c r="AQ1033" s="26"/>
      <c r="AR1033" s="26"/>
      <c r="AS1033" s="26"/>
      <c r="AT1033" s="26"/>
      <c r="AU1033" s="26"/>
      <c r="AV1033" s="26"/>
      <c r="AW1033" s="26"/>
      <c r="AX1033" s="26"/>
      <c r="AY1033" s="26"/>
    </row>
    <row r="1034" spans="2:51">
      <c r="B1034" s="32" t="str">
        <f t="shared" si="35"/>
        <v>SA Power</v>
      </c>
      <c r="C1034" s="32" t="s">
        <v>4</v>
      </c>
      <c r="D1034" s="385"/>
      <c r="E1034" s="31"/>
      <c r="F1034" s="44" t="s">
        <v>233</v>
      </c>
      <c r="G1034" s="22">
        <v>0</v>
      </c>
      <c r="H1034" s="22">
        <v>0</v>
      </c>
      <c r="I1034" s="22">
        <v>0</v>
      </c>
      <c r="J1034" s="22">
        <v>0</v>
      </c>
      <c r="K1034" s="22">
        <v>0</v>
      </c>
      <c r="R1034" s="24">
        <v>0</v>
      </c>
      <c r="S1034" s="24">
        <v>0</v>
      </c>
      <c r="T1034" s="24">
        <v>0</v>
      </c>
      <c r="U1034" s="24">
        <v>0</v>
      </c>
      <c r="V1034" s="24">
        <v>0</v>
      </c>
      <c r="AC1034" s="26">
        <v>0</v>
      </c>
      <c r="AD1034" s="26">
        <v>0</v>
      </c>
      <c r="AE1034" s="26">
        <v>0</v>
      </c>
      <c r="AF1034" s="26">
        <v>0</v>
      </c>
      <c r="AG1034" s="26">
        <v>0</v>
      </c>
      <c r="AN1034" s="24"/>
      <c r="AO1034" s="26"/>
      <c r="AP1034" s="26"/>
      <c r="AQ1034" s="26"/>
      <c r="AR1034" s="26"/>
      <c r="AS1034" s="26"/>
      <c r="AT1034" s="26"/>
      <c r="AU1034" s="26"/>
      <c r="AV1034" s="26"/>
      <c r="AW1034" s="26"/>
      <c r="AX1034" s="26"/>
      <c r="AY1034" s="26"/>
    </row>
    <row r="1035" spans="2:51">
      <c r="B1035" s="32" t="str">
        <f t="shared" si="35"/>
        <v>SA Power</v>
      </c>
      <c r="C1035" s="32" t="s">
        <v>4</v>
      </c>
      <c r="D1035" s="385"/>
      <c r="E1035" s="31"/>
      <c r="F1035" s="44" t="s">
        <v>234</v>
      </c>
      <c r="G1035" s="22">
        <v>593.89121347696835</v>
      </c>
      <c r="H1035" s="22">
        <v>1325.1615731260038</v>
      </c>
      <c r="I1035" s="22">
        <v>2953.8987888909624</v>
      </c>
      <c r="J1035" s="22">
        <v>198.45229234521346</v>
      </c>
      <c r="K1035" s="22">
        <v>55.300162405759202</v>
      </c>
      <c r="R1035" s="24">
        <v>1</v>
      </c>
      <c r="S1035" s="24">
        <v>2</v>
      </c>
      <c r="T1035" s="24">
        <v>2</v>
      </c>
      <c r="U1035" s="24">
        <v>1</v>
      </c>
      <c r="V1035" s="24">
        <v>0</v>
      </c>
      <c r="AC1035" s="26">
        <v>1</v>
      </c>
      <c r="AD1035" s="26">
        <v>1</v>
      </c>
      <c r="AE1035" s="26">
        <v>2</v>
      </c>
      <c r="AF1035" s="26">
        <v>0</v>
      </c>
      <c r="AG1035" s="26">
        <v>0</v>
      </c>
      <c r="AN1035" s="24"/>
      <c r="AO1035" s="26"/>
      <c r="AP1035" s="26"/>
      <c r="AQ1035" s="26"/>
      <c r="AR1035" s="26"/>
      <c r="AS1035" s="26"/>
      <c r="AT1035" s="26"/>
      <c r="AU1035" s="26"/>
      <c r="AV1035" s="26"/>
      <c r="AW1035" s="26"/>
      <c r="AX1035" s="26"/>
      <c r="AY1035" s="26"/>
    </row>
    <row r="1036" spans="2:51">
      <c r="B1036" s="32" t="str">
        <f t="shared" si="35"/>
        <v>SA Power</v>
      </c>
      <c r="C1036" s="32" t="s">
        <v>4</v>
      </c>
      <c r="D1036" s="385"/>
      <c r="E1036" s="31"/>
      <c r="F1036" s="44" t="s">
        <v>235</v>
      </c>
      <c r="G1036" s="22">
        <v>380.76792589048711</v>
      </c>
      <c r="H1036" s="22">
        <v>43.186239354803241</v>
      </c>
      <c r="I1036" s="22">
        <v>3756.2600040040334</v>
      </c>
      <c r="J1036" s="22">
        <v>714.70969775648121</v>
      </c>
      <c r="K1036" s="22">
        <v>1276.7245335368891</v>
      </c>
      <c r="R1036" s="24">
        <v>1</v>
      </c>
      <c r="S1036" s="24">
        <v>0</v>
      </c>
      <c r="T1036" s="24">
        <v>1</v>
      </c>
      <c r="U1036" s="24">
        <v>0</v>
      </c>
      <c r="V1036" s="24">
        <v>2</v>
      </c>
      <c r="AC1036" s="26">
        <v>1</v>
      </c>
      <c r="AD1036" s="26">
        <v>0</v>
      </c>
      <c r="AE1036" s="26">
        <v>0</v>
      </c>
      <c r="AF1036" s="26">
        <v>1</v>
      </c>
      <c r="AG1036" s="26">
        <v>1</v>
      </c>
      <c r="AN1036" s="24"/>
      <c r="AO1036" s="26"/>
      <c r="AP1036" s="26"/>
      <c r="AQ1036" s="26"/>
      <c r="AR1036" s="26"/>
      <c r="AS1036" s="26"/>
      <c r="AT1036" s="26"/>
      <c r="AU1036" s="26"/>
      <c r="AV1036" s="26"/>
      <c r="AW1036" s="26"/>
      <c r="AX1036" s="26"/>
      <c r="AY1036" s="26"/>
    </row>
    <row r="1037" spans="2:51">
      <c r="B1037" s="32" t="str">
        <f t="shared" si="35"/>
        <v>SA Power</v>
      </c>
      <c r="C1037" s="32" t="s">
        <v>4</v>
      </c>
      <c r="D1037" s="385"/>
      <c r="E1037" s="31"/>
      <c r="F1037" s="44" t="s">
        <v>236</v>
      </c>
      <c r="G1037" s="22">
        <v>0</v>
      </c>
      <c r="H1037" s="22">
        <v>0</v>
      </c>
      <c r="I1037" s="22">
        <v>0</v>
      </c>
      <c r="J1037" s="22">
        <v>0</v>
      </c>
      <c r="K1037" s="22">
        <v>0</v>
      </c>
      <c r="R1037" s="24">
        <v>0</v>
      </c>
      <c r="S1037" s="24">
        <v>0</v>
      </c>
      <c r="T1037" s="24">
        <v>0</v>
      </c>
      <c r="U1037" s="24">
        <v>0</v>
      </c>
      <c r="V1037" s="24">
        <v>0</v>
      </c>
      <c r="AC1037" s="26">
        <v>0</v>
      </c>
      <c r="AD1037" s="26">
        <v>0</v>
      </c>
      <c r="AE1037" s="26">
        <v>0</v>
      </c>
      <c r="AF1037" s="26">
        <v>0</v>
      </c>
      <c r="AG1037" s="26">
        <v>0</v>
      </c>
      <c r="AN1037" s="24"/>
      <c r="AO1037" s="26"/>
      <c r="AP1037" s="26"/>
      <c r="AQ1037" s="26"/>
      <c r="AR1037" s="26"/>
      <c r="AS1037" s="26"/>
      <c r="AT1037" s="26"/>
      <c r="AU1037" s="26"/>
      <c r="AV1037" s="26"/>
      <c r="AW1037" s="26"/>
      <c r="AX1037" s="26"/>
      <c r="AY1037" s="26"/>
    </row>
    <row r="1038" spans="2:51">
      <c r="B1038" s="32" t="str">
        <f t="shared" si="35"/>
        <v>SA Power</v>
      </c>
      <c r="C1038" s="32" t="s">
        <v>4</v>
      </c>
      <c r="D1038" s="385"/>
      <c r="E1038" s="31"/>
      <c r="F1038" s="44" t="s">
        <v>237</v>
      </c>
      <c r="G1038" s="22">
        <v>0</v>
      </c>
      <c r="H1038" s="22">
        <v>0</v>
      </c>
      <c r="I1038" s="22">
        <v>0</v>
      </c>
      <c r="J1038" s="22">
        <v>0</v>
      </c>
      <c r="K1038" s="22">
        <v>0</v>
      </c>
      <c r="R1038" s="24">
        <v>0</v>
      </c>
      <c r="S1038" s="24">
        <v>0</v>
      </c>
      <c r="T1038" s="24">
        <v>0</v>
      </c>
      <c r="U1038" s="24">
        <v>0</v>
      </c>
      <c r="V1038" s="24">
        <v>0</v>
      </c>
      <c r="AC1038" s="26">
        <v>0</v>
      </c>
      <c r="AD1038" s="26">
        <v>0</v>
      </c>
      <c r="AE1038" s="26">
        <v>0</v>
      </c>
      <c r="AF1038" s="26">
        <v>0</v>
      </c>
      <c r="AG1038" s="26">
        <v>0</v>
      </c>
      <c r="AN1038" s="24"/>
      <c r="AO1038" s="26"/>
      <c r="AP1038" s="26"/>
      <c r="AQ1038" s="26"/>
      <c r="AR1038" s="26"/>
      <c r="AS1038" s="26"/>
      <c r="AT1038" s="26"/>
      <c r="AU1038" s="26"/>
      <c r="AV1038" s="26"/>
      <c r="AW1038" s="26"/>
      <c r="AX1038" s="26"/>
      <c r="AY1038" s="26"/>
    </row>
    <row r="1039" spans="2:51">
      <c r="B1039" s="32" t="str">
        <f t="shared" si="35"/>
        <v>SA Power</v>
      </c>
      <c r="C1039" s="32" t="s">
        <v>4</v>
      </c>
      <c r="D1039" s="385"/>
      <c r="E1039" s="31"/>
      <c r="F1039" s="44" t="s">
        <v>238</v>
      </c>
      <c r="G1039" s="22">
        <v>0</v>
      </c>
      <c r="H1039" s="22">
        <v>0</v>
      </c>
      <c r="I1039" s="22">
        <v>0</v>
      </c>
      <c r="J1039" s="22">
        <v>0</v>
      </c>
      <c r="K1039" s="22">
        <v>0</v>
      </c>
      <c r="R1039" s="24">
        <v>0</v>
      </c>
      <c r="S1039" s="24">
        <v>0</v>
      </c>
      <c r="T1039" s="24">
        <v>0</v>
      </c>
      <c r="U1039" s="24">
        <v>0</v>
      </c>
      <c r="V1039" s="24">
        <v>0</v>
      </c>
      <c r="AC1039" s="26">
        <v>0</v>
      </c>
      <c r="AD1039" s="26">
        <v>0</v>
      </c>
      <c r="AE1039" s="26">
        <v>0</v>
      </c>
      <c r="AF1039" s="26">
        <v>0</v>
      </c>
      <c r="AG1039" s="26">
        <v>0</v>
      </c>
      <c r="AN1039" s="24"/>
      <c r="AO1039" s="26"/>
      <c r="AP1039" s="26"/>
      <c r="AQ1039" s="26"/>
      <c r="AR1039" s="26"/>
      <c r="AS1039" s="26"/>
      <c r="AT1039" s="26"/>
      <c r="AU1039" s="26"/>
      <c r="AV1039" s="26"/>
      <c r="AW1039" s="26"/>
      <c r="AX1039" s="26"/>
      <c r="AY1039" s="26"/>
    </row>
    <row r="1040" spans="2:51">
      <c r="B1040" s="32" t="str">
        <f t="shared" si="35"/>
        <v>SA Power</v>
      </c>
      <c r="C1040" s="32" t="s">
        <v>4</v>
      </c>
      <c r="D1040" s="385"/>
      <c r="E1040" s="31"/>
      <c r="F1040" s="44" t="s">
        <v>239</v>
      </c>
      <c r="G1040" s="22">
        <v>0</v>
      </c>
      <c r="H1040" s="22">
        <v>0</v>
      </c>
      <c r="I1040" s="22">
        <v>0</v>
      </c>
      <c r="J1040" s="22">
        <v>0</v>
      </c>
      <c r="K1040" s="22">
        <v>0</v>
      </c>
      <c r="R1040" s="24">
        <v>0</v>
      </c>
      <c r="S1040" s="24">
        <v>0</v>
      </c>
      <c r="T1040" s="24">
        <v>0</v>
      </c>
      <c r="U1040" s="24">
        <v>0</v>
      </c>
      <c r="V1040" s="24">
        <v>0</v>
      </c>
      <c r="AC1040" s="26">
        <v>0</v>
      </c>
      <c r="AD1040" s="26">
        <v>0</v>
      </c>
      <c r="AE1040" s="26">
        <v>0</v>
      </c>
      <c r="AF1040" s="26">
        <v>0</v>
      </c>
      <c r="AG1040" s="26">
        <v>0</v>
      </c>
      <c r="AN1040" s="24"/>
      <c r="AO1040" s="26"/>
      <c r="AP1040" s="26"/>
      <c r="AQ1040" s="26"/>
      <c r="AR1040" s="26"/>
      <c r="AS1040" s="26"/>
      <c r="AT1040" s="26"/>
      <c r="AU1040" s="26"/>
      <c r="AV1040" s="26"/>
      <c r="AW1040" s="26"/>
      <c r="AX1040" s="26"/>
      <c r="AY1040" s="26"/>
    </row>
    <row r="1041" spans="2:51">
      <c r="B1041" s="32" t="str">
        <f t="shared" si="35"/>
        <v>SA Power</v>
      </c>
      <c r="C1041" s="32" t="s">
        <v>4</v>
      </c>
      <c r="D1041" s="385"/>
      <c r="E1041" s="31"/>
      <c r="F1041" s="44" t="s">
        <v>240</v>
      </c>
      <c r="G1041" s="22">
        <v>0</v>
      </c>
      <c r="H1041" s="22">
        <v>0</v>
      </c>
      <c r="I1041" s="22">
        <v>0</v>
      </c>
      <c r="J1041" s="22">
        <v>0</v>
      </c>
      <c r="K1041" s="22">
        <v>0</v>
      </c>
      <c r="R1041" s="24">
        <v>0</v>
      </c>
      <c r="S1041" s="24">
        <v>0</v>
      </c>
      <c r="T1041" s="24">
        <v>0</v>
      </c>
      <c r="U1041" s="24">
        <v>0</v>
      </c>
      <c r="V1041" s="24">
        <v>0</v>
      </c>
      <c r="AC1041" s="26">
        <v>0</v>
      </c>
      <c r="AD1041" s="26">
        <v>0</v>
      </c>
      <c r="AE1041" s="26">
        <v>0</v>
      </c>
      <c r="AF1041" s="26">
        <v>0</v>
      </c>
      <c r="AG1041" s="26">
        <v>0</v>
      </c>
      <c r="AN1041" s="24"/>
      <c r="AO1041" s="26"/>
      <c r="AP1041" s="26"/>
      <c r="AQ1041" s="26"/>
      <c r="AR1041" s="26"/>
      <c r="AS1041" s="26"/>
      <c r="AT1041" s="26"/>
      <c r="AU1041" s="26"/>
      <c r="AV1041" s="26"/>
      <c r="AW1041" s="26"/>
      <c r="AX1041" s="26"/>
      <c r="AY1041" s="26"/>
    </row>
    <row r="1042" spans="2:51">
      <c r="B1042" s="32" t="str">
        <f t="shared" si="35"/>
        <v>SA Power</v>
      </c>
      <c r="C1042" s="32" t="s">
        <v>4</v>
      </c>
      <c r="D1042" s="385"/>
      <c r="E1042" s="31"/>
      <c r="F1042" s="44" t="s">
        <v>170</v>
      </c>
      <c r="G1042" s="22">
        <v>0</v>
      </c>
      <c r="H1042" s="22">
        <v>0</v>
      </c>
      <c r="I1042" s="22">
        <v>0</v>
      </c>
      <c r="J1042" s="22">
        <v>0</v>
      </c>
      <c r="K1042" s="22">
        <v>0</v>
      </c>
      <c r="R1042" s="24">
        <v>0</v>
      </c>
      <c r="S1042" s="24">
        <v>0</v>
      </c>
      <c r="T1042" s="24">
        <v>0</v>
      </c>
      <c r="U1042" s="24">
        <v>0</v>
      </c>
      <c r="V1042" s="24">
        <v>0</v>
      </c>
      <c r="AC1042" s="26">
        <v>0</v>
      </c>
      <c r="AD1042" s="26">
        <v>0</v>
      </c>
      <c r="AE1042" s="26">
        <v>0</v>
      </c>
      <c r="AF1042" s="26">
        <v>0</v>
      </c>
      <c r="AG1042" s="26">
        <v>0</v>
      </c>
      <c r="AN1042" s="24"/>
      <c r="AO1042" s="26"/>
      <c r="AP1042" s="26"/>
      <c r="AQ1042" s="26"/>
      <c r="AR1042" s="26"/>
      <c r="AS1042" s="26"/>
      <c r="AT1042" s="26"/>
      <c r="AU1042" s="26"/>
      <c r="AV1042" s="26"/>
      <c r="AW1042" s="26"/>
      <c r="AX1042" s="26"/>
      <c r="AY1042" s="26"/>
    </row>
    <row r="1043" spans="2:51" ht="60">
      <c r="B1043" s="32" t="str">
        <f t="shared" si="35"/>
        <v>SA Power</v>
      </c>
      <c r="C1043" s="32" t="s">
        <v>2</v>
      </c>
      <c r="D1043" s="385"/>
      <c r="E1043" s="31" t="s">
        <v>545</v>
      </c>
      <c r="F1043" s="44" t="s">
        <v>246</v>
      </c>
      <c r="G1043" s="22">
        <v>0</v>
      </c>
      <c r="H1043" s="22">
        <v>0</v>
      </c>
      <c r="I1043" s="22">
        <v>0</v>
      </c>
      <c r="J1043" s="22">
        <v>0</v>
      </c>
      <c r="K1043" s="22">
        <v>0</v>
      </c>
      <c r="R1043" s="24">
        <v>0</v>
      </c>
      <c r="S1043" s="24">
        <v>0</v>
      </c>
      <c r="T1043" s="24">
        <v>0</v>
      </c>
      <c r="U1043" s="24">
        <v>0</v>
      </c>
      <c r="V1043" s="24">
        <v>0</v>
      </c>
      <c r="AC1043" s="26">
        <v>0</v>
      </c>
      <c r="AD1043" s="26">
        <v>0</v>
      </c>
      <c r="AE1043" s="26">
        <v>0</v>
      </c>
      <c r="AF1043" s="26">
        <v>0</v>
      </c>
      <c r="AG1043" s="26">
        <v>0</v>
      </c>
      <c r="AN1043" s="24"/>
      <c r="AO1043" s="26"/>
      <c r="AP1043" s="26"/>
      <c r="AQ1043" s="26"/>
      <c r="AR1043" s="26"/>
      <c r="AS1043" s="26"/>
      <c r="AT1043" s="26"/>
      <c r="AU1043" s="26"/>
      <c r="AV1043" s="26"/>
      <c r="AW1043" s="26"/>
      <c r="AX1043" s="26"/>
      <c r="AY1043" s="26"/>
    </row>
    <row r="1044" spans="2:51">
      <c r="B1044" s="32" t="str">
        <f t="shared" si="35"/>
        <v>SA Power</v>
      </c>
      <c r="C1044" s="32" t="s">
        <v>2</v>
      </c>
      <c r="D1044" s="385"/>
      <c r="E1044" s="31"/>
      <c r="F1044" s="44" t="s">
        <v>247</v>
      </c>
      <c r="G1044" s="22">
        <v>583.47109970007011</v>
      </c>
      <c r="H1044" s="22">
        <v>618.4554857910374</v>
      </c>
      <c r="I1044" s="22">
        <v>978.12997148206068</v>
      </c>
      <c r="J1044" s="22">
        <v>2611.6558565666087</v>
      </c>
      <c r="K1044" s="22">
        <v>2532.7375186312011</v>
      </c>
      <c r="R1044" s="24">
        <v>17</v>
      </c>
      <c r="S1044" s="24">
        <v>18</v>
      </c>
      <c r="T1044" s="24">
        <v>25</v>
      </c>
      <c r="U1044" s="24">
        <v>49</v>
      </c>
      <c r="V1044" s="24">
        <v>45</v>
      </c>
      <c r="AC1044" s="26">
        <v>12</v>
      </c>
      <c r="AD1044" s="26">
        <v>13</v>
      </c>
      <c r="AE1044" s="26">
        <v>16</v>
      </c>
      <c r="AF1044" s="26">
        <v>13</v>
      </c>
      <c r="AG1044" s="26">
        <v>8</v>
      </c>
      <c r="AN1044" s="24"/>
      <c r="AO1044" s="26"/>
      <c r="AP1044" s="26"/>
      <c r="AQ1044" s="26"/>
      <c r="AR1044" s="26"/>
      <c r="AS1044" s="26"/>
      <c r="AT1044" s="26"/>
      <c r="AU1044" s="26"/>
      <c r="AV1044" s="26"/>
      <c r="AW1044" s="26"/>
      <c r="AX1044" s="26"/>
      <c r="AY1044" s="26"/>
    </row>
    <row r="1045" spans="2:51">
      <c r="B1045" s="32" t="str">
        <f t="shared" si="35"/>
        <v>SA Power</v>
      </c>
      <c r="C1045" s="32" t="s">
        <v>2</v>
      </c>
      <c r="D1045" s="385"/>
      <c r="E1045" s="31"/>
      <c r="F1045" s="44" t="s">
        <v>248</v>
      </c>
      <c r="G1045" s="22">
        <v>139.15804632176352</v>
      </c>
      <c r="H1045" s="22">
        <v>280.10465632379965</v>
      </c>
      <c r="I1045" s="22">
        <v>2050.4611243435293</v>
      </c>
      <c r="J1045" s="22">
        <v>9691.3971497109542</v>
      </c>
      <c r="K1045" s="22">
        <v>4691.5794465505696</v>
      </c>
      <c r="R1045" s="24">
        <v>1</v>
      </c>
      <c r="S1045" s="24">
        <v>2</v>
      </c>
      <c r="T1045" s="24">
        <v>1</v>
      </c>
      <c r="U1045" s="24">
        <v>20</v>
      </c>
      <c r="V1045" s="24">
        <v>18</v>
      </c>
      <c r="AC1045" s="26">
        <v>2</v>
      </c>
      <c r="AD1045" s="26">
        <v>1</v>
      </c>
      <c r="AE1045" s="26">
        <v>9</v>
      </c>
      <c r="AF1045" s="26">
        <v>2</v>
      </c>
      <c r="AG1045" s="26">
        <v>0</v>
      </c>
      <c r="AN1045" s="24"/>
      <c r="AO1045" s="26"/>
      <c r="AP1045" s="26"/>
      <c r="AQ1045" s="26"/>
      <c r="AR1045" s="26"/>
      <c r="AS1045" s="26"/>
      <c r="AT1045" s="26"/>
      <c r="AU1045" s="26"/>
      <c r="AV1045" s="26"/>
      <c r="AW1045" s="26"/>
      <c r="AX1045" s="26"/>
      <c r="AY1045" s="26"/>
    </row>
    <row r="1046" spans="2:51">
      <c r="B1046" s="32" t="str">
        <f t="shared" si="35"/>
        <v>SA Power</v>
      </c>
      <c r="C1046" s="32" t="s">
        <v>2</v>
      </c>
      <c r="D1046" s="385"/>
      <c r="E1046" s="31"/>
      <c r="F1046" s="44" t="s">
        <v>249</v>
      </c>
      <c r="G1046" s="22">
        <v>0</v>
      </c>
      <c r="H1046" s="22">
        <v>0</v>
      </c>
      <c r="I1046" s="22">
        <v>0</v>
      </c>
      <c r="J1046" s="22">
        <v>0</v>
      </c>
      <c r="K1046" s="22">
        <v>0</v>
      </c>
      <c r="R1046" s="24">
        <v>0</v>
      </c>
      <c r="S1046" s="24">
        <v>0</v>
      </c>
      <c r="T1046" s="24">
        <v>0</v>
      </c>
      <c r="U1046" s="24">
        <v>0</v>
      </c>
      <c r="V1046" s="24">
        <v>0</v>
      </c>
      <c r="AC1046" s="26">
        <v>0</v>
      </c>
      <c r="AD1046" s="26">
        <v>0</v>
      </c>
      <c r="AE1046" s="26">
        <v>0</v>
      </c>
      <c r="AF1046" s="26">
        <v>0</v>
      </c>
      <c r="AG1046" s="26">
        <v>0</v>
      </c>
      <c r="AN1046" s="24"/>
      <c r="AO1046" s="26"/>
      <c r="AP1046" s="26"/>
      <c r="AQ1046" s="26"/>
      <c r="AR1046" s="26"/>
      <c r="AS1046" s="26"/>
      <c r="AT1046" s="26"/>
      <c r="AU1046" s="26"/>
      <c r="AV1046" s="26"/>
      <c r="AW1046" s="26"/>
      <c r="AX1046" s="26"/>
      <c r="AY1046" s="26"/>
    </row>
    <row r="1047" spans="2:51">
      <c r="B1047" s="32" t="str">
        <f t="shared" si="35"/>
        <v>SA Power</v>
      </c>
      <c r="C1047" s="32" t="s">
        <v>2</v>
      </c>
      <c r="D1047" s="385"/>
      <c r="E1047" s="31"/>
      <c r="F1047" s="44" t="s">
        <v>250</v>
      </c>
      <c r="G1047" s="22">
        <v>0</v>
      </c>
      <c r="H1047" s="22">
        <v>0</v>
      </c>
      <c r="I1047" s="22">
        <v>0</v>
      </c>
      <c r="J1047" s="22">
        <v>0</v>
      </c>
      <c r="K1047" s="22">
        <v>0</v>
      </c>
      <c r="R1047" s="24">
        <v>0</v>
      </c>
      <c r="S1047" s="24">
        <v>0</v>
      </c>
      <c r="T1047" s="24">
        <v>0</v>
      </c>
      <c r="U1047" s="24">
        <v>0</v>
      </c>
      <c r="V1047" s="24">
        <v>0</v>
      </c>
      <c r="AC1047" s="26">
        <v>0</v>
      </c>
      <c r="AD1047" s="26">
        <v>0</v>
      </c>
      <c r="AE1047" s="26">
        <v>0</v>
      </c>
      <c r="AF1047" s="26">
        <v>0</v>
      </c>
      <c r="AG1047" s="26">
        <v>0</v>
      </c>
      <c r="AN1047" s="24"/>
      <c r="AO1047" s="26"/>
      <c r="AP1047" s="26"/>
      <c r="AQ1047" s="26"/>
      <c r="AR1047" s="26"/>
      <c r="AS1047" s="26"/>
      <c r="AT1047" s="26"/>
      <c r="AU1047" s="26"/>
      <c r="AV1047" s="26"/>
      <c r="AW1047" s="26"/>
      <c r="AX1047" s="26"/>
      <c r="AY1047" s="26"/>
    </row>
    <row r="1048" spans="2:51">
      <c r="B1048" s="32" t="str">
        <f t="shared" si="35"/>
        <v>SA Power</v>
      </c>
      <c r="C1048" s="32" t="s">
        <v>2</v>
      </c>
      <c r="D1048" s="385"/>
      <c r="E1048" s="31"/>
      <c r="F1048" s="44" t="s">
        <v>251</v>
      </c>
      <c r="G1048" s="22">
        <v>366.45808446141427</v>
      </c>
      <c r="H1048" s="22">
        <v>389.14631785449706</v>
      </c>
      <c r="I1048" s="22">
        <v>557.54784799552363</v>
      </c>
      <c r="J1048" s="22">
        <v>668.74693940420491</v>
      </c>
      <c r="K1048" s="22">
        <v>768.50831073448421</v>
      </c>
      <c r="R1048" s="24">
        <v>2</v>
      </c>
      <c r="S1048" s="24">
        <v>14</v>
      </c>
      <c r="T1048" s="24">
        <v>6</v>
      </c>
      <c r="U1048" s="24">
        <v>20</v>
      </c>
      <c r="V1048" s="24">
        <v>8</v>
      </c>
      <c r="AC1048" s="26">
        <v>2</v>
      </c>
      <c r="AD1048" s="26">
        <v>2</v>
      </c>
      <c r="AE1048" s="26">
        <v>2</v>
      </c>
      <c r="AF1048" s="26">
        <v>2</v>
      </c>
      <c r="AG1048" s="26">
        <v>2</v>
      </c>
      <c r="AN1048" s="24"/>
      <c r="AO1048" s="26"/>
      <c r="AP1048" s="26"/>
      <c r="AQ1048" s="26"/>
      <c r="AR1048" s="26"/>
      <c r="AS1048" s="26"/>
      <c r="AT1048" s="26"/>
      <c r="AU1048" s="26"/>
      <c r="AV1048" s="26"/>
      <c r="AW1048" s="26"/>
      <c r="AX1048" s="26"/>
      <c r="AY1048" s="26"/>
    </row>
    <row r="1049" spans="2:51">
      <c r="B1049" s="32" t="str">
        <f t="shared" si="35"/>
        <v>SA Power</v>
      </c>
      <c r="C1049" s="32" t="s">
        <v>2</v>
      </c>
      <c r="D1049" s="385"/>
      <c r="E1049" s="31"/>
      <c r="F1049" s="44" t="s">
        <v>252</v>
      </c>
      <c r="G1049" s="22">
        <v>381.37805398127989</v>
      </c>
      <c r="H1049" s="22">
        <v>597.37950250540052</v>
      </c>
      <c r="I1049" s="22">
        <v>998.96362270859333</v>
      </c>
      <c r="J1049" s="22">
        <v>941.09317472137332</v>
      </c>
      <c r="K1049" s="22">
        <v>1058.5960468423257</v>
      </c>
      <c r="R1049" s="24">
        <v>1</v>
      </c>
      <c r="S1049" s="24">
        <v>8</v>
      </c>
      <c r="T1049" s="24">
        <v>4</v>
      </c>
      <c r="U1049" s="24">
        <v>6</v>
      </c>
      <c r="V1049" s="24">
        <v>5</v>
      </c>
      <c r="AC1049" s="26">
        <v>1</v>
      </c>
      <c r="AD1049" s="26">
        <v>1</v>
      </c>
      <c r="AE1049" s="26">
        <v>1</v>
      </c>
      <c r="AF1049" s="26">
        <v>1</v>
      </c>
      <c r="AG1049" s="26">
        <v>3</v>
      </c>
      <c r="AN1049" s="24"/>
      <c r="AO1049" s="26"/>
      <c r="AP1049" s="26"/>
      <c r="AQ1049" s="26"/>
      <c r="AR1049" s="26"/>
      <c r="AS1049" s="26"/>
      <c r="AT1049" s="26"/>
      <c r="AU1049" s="26"/>
      <c r="AV1049" s="26"/>
      <c r="AW1049" s="26"/>
      <c r="AX1049" s="26"/>
      <c r="AY1049" s="26"/>
    </row>
    <row r="1050" spans="2:51">
      <c r="B1050" s="32" t="str">
        <f t="shared" si="35"/>
        <v>SA Power</v>
      </c>
      <c r="C1050" s="32" t="s">
        <v>2</v>
      </c>
      <c r="D1050" s="385"/>
      <c r="E1050" s="31"/>
      <c r="F1050" s="44" t="s">
        <v>253</v>
      </c>
      <c r="G1050" s="22">
        <v>302.00672164049928</v>
      </c>
      <c r="H1050" s="22">
        <v>421.71165268073997</v>
      </c>
      <c r="I1050" s="22">
        <v>682.73455773198259</v>
      </c>
      <c r="J1050" s="22">
        <v>596.9038433541142</v>
      </c>
      <c r="K1050" s="22">
        <v>293.44191534715804</v>
      </c>
      <c r="R1050" s="24">
        <v>2</v>
      </c>
      <c r="S1050" s="24">
        <v>6</v>
      </c>
      <c r="T1050" s="24">
        <v>9</v>
      </c>
      <c r="U1050" s="24">
        <v>6</v>
      </c>
      <c r="V1050" s="24">
        <v>17</v>
      </c>
      <c r="AC1050" s="26">
        <v>0</v>
      </c>
      <c r="AD1050" s="26">
        <v>0</v>
      </c>
      <c r="AE1050" s="26">
        <v>0</v>
      </c>
      <c r="AF1050" s="26">
        <v>0</v>
      </c>
      <c r="AG1050" s="26">
        <v>0</v>
      </c>
      <c r="AN1050" s="24"/>
      <c r="AO1050" s="26"/>
      <c r="AP1050" s="26"/>
      <c r="AQ1050" s="26"/>
      <c r="AR1050" s="26"/>
      <c r="AS1050" s="26"/>
      <c r="AT1050" s="26"/>
      <c r="AU1050" s="26"/>
      <c r="AV1050" s="26"/>
      <c r="AW1050" s="26"/>
      <c r="AX1050" s="26"/>
      <c r="AY1050" s="26"/>
    </row>
    <row r="1051" spans="2:51">
      <c r="B1051" s="32" t="str">
        <f t="shared" si="35"/>
        <v>SA Power</v>
      </c>
      <c r="C1051" s="32" t="s">
        <v>2</v>
      </c>
      <c r="D1051" s="385"/>
      <c r="E1051" s="31"/>
      <c r="F1051" s="44" t="s">
        <v>254</v>
      </c>
      <c r="G1051" s="22">
        <v>976.93069446779566</v>
      </c>
      <c r="H1051" s="22">
        <v>1896.1794020075897</v>
      </c>
      <c r="I1051" s="22">
        <v>1585.0496842581472</v>
      </c>
      <c r="J1051" s="22">
        <v>3650.9373901557606</v>
      </c>
      <c r="K1051" s="22">
        <v>2537.6921834723266</v>
      </c>
      <c r="R1051" s="24">
        <v>7</v>
      </c>
      <c r="S1051" s="24">
        <v>7</v>
      </c>
      <c r="T1051" s="24">
        <v>6</v>
      </c>
      <c r="U1051" s="24">
        <v>7</v>
      </c>
      <c r="V1051" s="24">
        <v>5</v>
      </c>
      <c r="AC1051" s="26">
        <v>0</v>
      </c>
      <c r="AD1051" s="26">
        <v>1</v>
      </c>
      <c r="AE1051" s="26">
        <v>0</v>
      </c>
      <c r="AF1051" s="26">
        <v>0</v>
      </c>
      <c r="AG1051" s="26">
        <v>1</v>
      </c>
      <c r="AN1051" s="24"/>
      <c r="AO1051" s="26"/>
      <c r="AP1051" s="26"/>
      <c r="AQ1051" s="26"/>
      <c r="AR1051" s="26"/>
      <c r="AS1051" s="26"/>
      <c r="AT1051" s="26"/>
      <c r="AU1051" s="26"/>
      <c r="AV1051" s="26"/>
      <c r="AW1051" s="26"/>
      <c r="AX1051" s="26"/>
      <c r="AY1051" s="26"/>
    </row>
    <row r="1052" spans="2:51">
      <c r="B1052" s="32" t="str">
        <f t="shared" si="35"/>
        <v>SA Power</v>
      </c>
      <c r="C1052" s="32" t="s">
        <v>2</v>
      </c>
      <c r="D1052" s="385"/>
      <c r="E1052" s="31"/>
      <c r="F1052" s="44" t="s">
        <v>255</v>
      </c>
      <c r="G1052" s="22">
        <v>0</v>
      </c>
      <c r="H1052" s="22">
        <v>0</v>
      </c>
      <c r="I1052" s="22">
        <v>0</v>
      </c>
      <c r="J1052" s="22">
        <v>0</v>
      </c>
      <c r="K1052" s="22">
        <v>0</v>
      </c>
      <c r="R1052" s="24">
        <v>0</v>
      </c>
      <c r="S1052" s="24">
        <v>0</v>
      </c>
      <c r="T1052" s="24">
        <v>0</v>
      </c>
      <c r="U1052" s="24">
        <v>0</v>
      </c>
      <c r="V1052" s="24">
        <v>0</v>
      </c>
      <c r="AC1052" s="26">
        <v>0</v>
      </c>
      <c r="AD1052" s="26">
        <v>0</v>
      </c>
      <c r="AE1052" s="26">
        <v>0</v>
      </c>
      <c r="AF1052" s="26">
        <v>0</v>
      </c>
      <c r="AG1052" s="26">
        <v>0</v>
      </c>
      <c r="AN1052" s="24"/>
      <c r="AO1052" s="26"/>
      <c r="AP1052" s="26"/>
      <c r="AQ1052" s="26"/>
      <c r="AR1052" s="26"/>
      <c r="AS1052" s="26"/>
      <c r="AT1052" s="26"/>
      <c r="AU1052" s="26"/>
      <c r="AV1052" s="26"/>
      <c r="AW1052" s="26"/>
      <c r="AX1052" s="26"/>
      <c r="AY1052" s="26"/>
    </row>
    <row r="1053" spans="2:51">
      <c r="B1053" s="32" t="str">
        <f t="shared" si="35"/>
        <v>SA Power</v>
      </c>
      <c r="C1053" s="32" t="s">
        <v>2</v>
      </c>
      <c r="D1053" s="385"/>
      <c r="E1053" s="31"/>
      <c r="F1053" s="44" t="s">
        <v>256</v>
      </c>
      <c r="G1053" s="22">
        <v>0</v>
      </c>
      <c r="H1053" s="22">
        <v>0</v>
      </c>
      <c r="I1053" s="22">
        <v>0</v>
      </c>
      <c r="J1053" s="22">
        <v>0</v>
      </c>
      <c r="K1053" s="22">
        <v>0</v>
      </c>
      <c r="R1053" s="24">
        <v>0</v>
      </c>
      <c r="S1053" s="24">
        <v>0</v>
      </c>
      <c r="T1053" s="24">
        <v>0</v>
      </c>
      <c r="U1053" s="24">
        <v>0</v>
      </c>
      <c r="V1053" s="24">
        <v>0</v>
      </c>
      <c r="AC1053" s="26">
        <v>0</v>
      </c>
      <c r="AD1053" s="26">
        <v>0</v>
      </c>
      <c r="AE1053" s="26">
        <v>0</v>
      </c>
      <c r="AF1053" s="26">
        <v>0</v>
      </c>
      <c r="AG1053" s="26">
        <v>0</v>
      </c>
      <c r="AN1053" s="24"/>
      <c r="AO1053" s="26"/>
      <c r="AP1053" s="26"/>
      <c r="AQ1053" s="26"/>
      <c r="AR1053" s="26"/>
      <c r="AS1053" s="26"/>
      <c r="AT1053" s="26"/>
      <c r="AU1053" s="26"/>
      <c r="AV1053" s="26"/>
      <c r="AW1053" s="26"/>
      <c r="AX1053" s="26"/>
      <c r="AY1053" s="26"/>
    </row>
    <row r="1054" spans="2:51">
      <c r="B1054" s="32" t="str">
        <f t="shared" si="35"/>
        <v>SA Power</v>
      </c>
      <c r="C1054" s="32" t="s">
        <v>2</v>
      </c>
      <c r="D1054" s="385"/>
      <c r="E1054" s="31"/>
      <c r="F1054" s="44" t="s">
        <v>257</v>
      </c>
      <c r="G1054" s="22">
        <v>0</v>
      </c>
      <c r="H1054" s="22">
        <v>0</v>
      </c>
      <c r="I1054" s="22">
        <v>0</v>
      </c>
      <c r="J1054" s="22">
        <v>0</v>
      </c>
      <c r="K1054" s="22">
        <v>0</v>
      </c>
      <c r="R1054" s="24">
        <v>0</v>
      </c>
      <c r="S1054" s="24">
        <v>0</v>
      </c>
      <c r="T1054" s="24">
        <v>0</v>
      </c>
      <c r="U1054" s="24">
        <v>0</v>
      </c>
      <c r="V1054" s="24">
        <v>0</v>
      </c>
      <c r="AC1054" s="26">
        <v>0</v>
      </c>
      <c r="AD1054" s="26">
        <v>0</v>
      </c>
      <c r="AE1054" s="26">
        <v>0</v>
      </c>
      <c r="AF1054" s="26">
        <v>0</v>
      </c>
      <c r="AG1054" s="26">
        <v>0</v>
      </c>
      <c r="AN1054" s="24"/>
      <c r="AO1054" s="26"/>
      <c r="AP1054" s="26"/>
      <c r="AQ1054" s="26"/>
      <c r="AR1054" s="26"/>
      <c r="AS1054" s="26"/>
      <c r="AT1054" s="26"/>
      <c r="AU1054" s="26"/>
      <c r="AV1054" s="26"/>
      <c r="AW1054" s="26"/>
      <c r="AX1054" s="26"/>
      <c r="AY1054" s="26"/>
    </row>
    <row r="1055" spans="2:51">
      <c r="B1055" s="32" t="str">
        <f t="shared" si="35"/>
        <v>SA Power</v>
      </c>
      <c r="C1055" s="32" t="s">
        <v>2</v>
      </c>
      <c r="D1055" s="385"/>
      <c r="E1055" s="31"/>
      <c r="F1055" s="44" t="s">
        <v>258</v>
      </c>
      <c r="G1055" s="22">
        <v>0</v>
      </c>
      <c r="H1055" s="22">
        <v>0</v>
      </c>
      <c r="I1055" s="22">
        <v>0</v>
      </c>
      <c r="J1055" s="22">
        <v>0</v>
      </c>
      <c r="K1055" s="22">
        <v>0</v>
      </c>
      <c r="R1055" s="24">
        <v>0</v>
      </c>
      <c r="S1055" s="24">
        <v>0</v>
      </c>
      <c r="T1055" s="24">
        <v>0</v>
      </c>
      <c r="U1055" s="24">
        <v>0</v>
      </c>
      <c r="V1055" s="24">
        <v>0</v>
      </c>
      <c r="AC1055" s="26">
        <v>0</v>
      </c>
      <c r="AD1055" s="26">
        <v>0</v>
      </c>
      <c r="AE1055" s="26">
        <v>0</v>
      </c>
      <c r="AF1055" s="26">
        <v>0</v>
      </c>
      <c r="AG1055" s="26">
        <v>0</v>
      </c>
      <c r="AN1055" s="24"/>
      <c r="AO1055" s="26"/>
      <c r="AP1055" s="26"/>
      <c r="AQ1055" s="26"/>
      <c r="AR1055" s="26"/>
      <c r="AS1055" s="26"/>
      <c r="AT1055" s="26"/>
      <c r="AU1055" s="26"/>
      <c r="AV1055" s="26"/>
      <c r="AW1055" s="26"/>
      <c r="AX1055" s="26"/>
      <c r="AY1055" s="26"/>
    </row>
    <row r="1056" spans="2:51">
      <c r="B1056" s="32" t="str">
        <f t="shared" si="35"/>
        <v>SA Power</v>
      </c>
      <c r="C1056" s="32" t="s">
        <v>2</v>
      </c>
      <c r="D1056" s="385"/>
      <c r="E1056" s="31"/>
      <c r="F1056" s="44" t="s">
        <v>1225</v>
      </c>
      <c r="G1056" s="22">
        <v>709.30362293879114</v>
      </c>
      <c r="H1056" s="22">
        <v>958.89923762687363</v>
      </c>
      <c r="I1056" s="22">
        <v>1039.0716932688943</v>
      </c>
      <c r="J1056" s="22">
        <v>810.8641021572007</v>
      </c>
      <c r="K1056" s="22">
        <v>1459.8200202793043</v>
      </c>
      <c r="R1056" s="24">
        <v>209</v>
      </c>
      <c r="S1056" s="24">
        <v>93</v>
      </c>
      <c r="T1056" s="24">
        <v>93</v>
      </c>
      <c r="U1056" s="24">
        <v>172</v>
      </c>
      <c r="V1056" s="24">
        <v>199</v>
      </c>
      <c r="AC1056" s="26">
        <v>83</v>
      </c>
      <c r="AD1056" s="26">
        <v>104</v>
      </c>
      <c r="AE1056" s="26">
        <v>113</v>
      </c>
      <c r="AF1056" s="26">
        <v>97</v>
      </c>
      <c r="AG1056" s="26">
        <v>92</v>
      </c>
      <c r="AN1056" s="24"/>
      <c r="AO1056" s="26"/>
      <c r="AP1056" s="26"/>
      <c r="AQ1056" s="26"/>
      <c r="AR1056" s="26"/>
      <c r="AS1056" s="26"/>
      <c r="AT1056" s="26"/>
      <c r="AU1056" s="26"/>
      <c r="AV1056" s="26"/>
      <c r="AW1056" s="26"/>
      <c r="AX1056" s="26"/>
      <c r="AY1056" s="26"/>
    </row>
    <row r="1057" spans="2:51">
      <c r="B1057" s="32" t="str">
        <f t="shared" si="35"/>
        <v>SA Power</v>
      </c>
      <c r="C1057" s="32" t="s">
        <v>2</v>
      </c>
      <c r="D1057" s="385"/>
      <c r="E1057" s="31"/>
      <c r="F1057" s="44" t="s">
        <v>1226</v>
      </c>
      <c r="G1057" s="22">
        <v>86.200288069065536</v>
      </c>
      <c r="H1057" s="22">
        <v>152.01691126293321</v>
      </c>
      <c r="I1057" s="22">
        <v>32.217575733352625</v>
      </c>
      <c r="J1057" s="22">
        <v>176.62515291874723</v>
      </c>
      <c r="K1057" s="22">
        <v>202.54070766594265</v>
      </c>
      <c r="R1057" s="24">
        <v>5</v>
      </c>
      <c r="S1057" s="24">
        <v>9</v>
      </c>
      <c r="T1057" s="24">
        <v>2</v>
      </c>
      <c r="U1057" s="24">
        <v>11</v>
      </c>
      <c r="V1057" s="24">
        <v>12</v>
      </c>
      <c r="AC1057" s="26">
        <v>4</v>
      </c>
      <c r="AD1057" s="26">
        <v>5</v>
      </c>
      <c r="AE1057" s="26">
        <v>1</v>
      </c>
      <c r="AF1057" s="26">
        <v>3</v>
      </c>
      <c r="AG1057" s="26">
        <v>3</v>
      </c>
      <c r="AN1057" s="24"/>
      <c r="AO1057" s="26"/>
      <c r="AP1057" s="26"/>
      <c r="AQ1057" s="26"/>
      <c r="AR1057" s="26"/>
      <c r="AS1057" s="26"/>
      <c r="AT1057" s="26"/>
      <c r="AU1057" s="26"/>
      <c r="AV1057" s="26"/>
      <c r="AW1057" s="26"/>
      <c r="AX1057" s="26"/>
      <c r="AY1057" s="26"/>
    </row>
    <row r="1058" spans="2:51">
      <c r="B1058" s="32" t="str">
        <f t="shared" si="35"/>
        <v>SA Power</v>
      </c>
      <c r="C1058" s="32" t="s">
        <v>2</v>
      </c>
      <c r="D1058" s="385"/>
      <c r="E1058" s="31"/>
      <c r="F1058" s="44" t="s">
        <v>1227</v>
      </c>
      <c r="G1058" s="22">
        <v>6.7890190644265651</v>
      </c>
      <c r="H1058" s="22">
        <v>32.493826399577323</v>
      </c>
      <c r="I1058" s="22">
        <v>16.450380413538102</v>
      </c>
      <c r="J1058" s="22">
        <v>49.943179038760348</v>
      </c>
      <c r="K1058" s="22">
        <v>49.338879439328934</v>
      </c>
      <c r="R1058" s="24">
        <v>6</v>
      </c>
      <c r="S1058" s="24">
        <v>12</v>
      </c>
      <c r="T1058" s="24">
        <v>7</v>
      </c>
      <c r="U1058" s="24">
        <v>5</v>
      </c>
      <c r="V1058" s="24">
        <v>11</v>
      </c>
      <c r="AC1058" s="26">
        <v>5</v>
      </c>
      <c r="AD1058" s="26">
        <v>16</v>
      </c>
      <c r="AE1058" s="26">
        <v>4</v>
      </c>
      <c r="AF1058" s="26">
        <v>8</v>
      </c>
      <c r="AG1058" s="26">
        <v>5</v>
      </c>
      <c r="AN1058" s="24"/>
      <c r="AO1058" s="26"/>
      <c r="AP1058" s="26"/>
      <c r="AQ1058" s="26"/>
      <c r="AR1058" s="26"/>
      <c r="AS1058" s="26"/>
      <c r="AT1058" s="26"/>
      <c r="AU1058" s="26"/>
      <c r="AV1058" s="26"/>
      <c r="AW1058" s="26"/>
      <c r="AX1058" s="26"/>
      <c r="AY1058" s="26"/>
    </row>
    <row r="1059" spans="2:51">
      <c r="B1059" s="32" t="str">
        <f t="shared" si="35"/>
        <v>SA Power</v>
      </c>
      <c r="C1059" s="32" t="s">
        <v>2</v>
      </c>
      <c r="D1059" s="385"/>
      <c r="E1059" s="31"/>
      <c r="F1059" s="44" t="s">
        <v>1228</v>
      </c>
      <c r="G1059" s="22">
        <v>84.708101739648711</v>
      </c>
      <c r="H1059" s="22">
        <v>112.20588913767291</v>
      </c>
      <c r="I1059" s="22">
        <v>77.056380393354004</v>
      </c>
      <c r="J1059" s="22">
        <v>79.545881755677968</v>
      </c>
      <c r="K1059" s="22">
        <v>41.050991286168617</v>
      </c>
      <c r="R1059" s="24">
        <v>22</v>
      </c>
      <c r="S1059" s="24">
        <v>28</v>
      </c>
      <c r="T1059" s="24">
        <v>22</v>
      </c>
      <c r="U1059" s="24">
        <v>28</v>
      </c>
      <c r="V1059" s="24">
        <v>19</v>
      </c>
      <c r="AC1059" s="26">
        <v>22</v>
      </c>
      <c r="AD1059" s="26">
        <v>28</v>
      </c>
      <c r="AE1059" s="26">
        <v>21</v>
      </c>
      <c r="AF1059" s="26">
        <v>27</v>
      </c>
      <c r="AG1059" s="26">
        <v>19</v>
      </c>
      <c r="AN1059" s="24"/>
      <c r="AO1059" s="26"/>
      <c r="AP1059" s="26"/>
      <c r="AQ1059" s="26"/>
      <c r="AR1059" s="26"/>
      <c r="AS1059" s="26"/>
      <c r="AT1059" s="26"/>
      <c r="AU1059" s="26"/>
      <c r="AV1059" s="26"/>
      <c r="AW1059" s="26"/>
      <c r="AX1059" s="26"/>
      <c r="AY1059" s="26"/>
    </row>
    <row r="1060" spans="2:51">
      <c r="B1060" s="32" t="str">
        <f t="shared" si="35"/>
        <v>SA Power</v>
      </c>
      <c r="C1060" s="32" t="s">
        <v>2</v>
      </c>
      <c r="D1060" s="385"/>
      <c r="E1060" s="31"/>
      <c r="F1060" s="44" t="s">
        <v>170</v>
      </c>
      <c r="G1060" s="22">
        <v>0</v>
      </c>
      <c r="H1060" s="22">
        <v>0</v>
      </c>
      <c r="I1060" s="22">
        <v>0</v>
      </c>
      <c r="J1060" s="22">
        <v>0</v>
      </c>
      <c r="K1060" s="22">
        <v>0</v>
      </c>
      <c r="R1060" s="24">
        <v>0</v>
      </c>
      <c r="S1060" s="24">
        <v>0</v>
      </c>
      <c r="T1060" s="24">
        <v>0</v>
      </c>
      <c r="U1060" s="24">
        <v>0</v>
      </c>
      <c r="V1060" s="24">
        <v>0</v>
      </c>
      <c r="AC1060" s="26">
        <v>0</v>
      </c>
      <c r="AD1060" s="26">
        <v>0</v>
      </c>
      <c r="AE1060" s="26">
        <v>0</v>
      </c>
      <c r="AF1060" s="26">
        <v>0</v>
      </c>
      <c r="AG1060" s="26">
        <v>0</v>
      </c>
      <c r="AN1060" s="24"/>
      <c r="AO1060" s="26"/>
      <c r="AP1060" s="26"/>
      <c r="AQ1060" s="26"/>
      <c r="AR1060" s="26"/>
      <c r="AS1060" s="26"/>
      <c r="AT1060" s="26"/>
      <c r="AU1060" s="26"/>
      <c r="AV1060" s="26"/>
      <c r="AW1060" s="26"/>
      <c r="AX1060" s="26"/>
      <c r="AY1060" s="26"/>
    </row>
    <row r="1061" spans="2:51" ht="45">
      <c r="B1061" s="32" t="str">
        <f t="shared" si="35"/>
        <v>SA Power</v>
      </c>
      <c r="C1061" s="32" t="s">
        <v>1135</v>
      </c>
      <c r="D1061" s="385"/>
      <c r="E1061" s="31" t="s">
        <v>547</v>
      </c>
      <c r="F1061" s="44" t="s">
        <v>262</v>
      </c>
      <c r="G1061" s="22">
        <v>0</v>
      </c>
      <c r="H1061" s="22">
        <v>0</v>
      </c>
      <c r="I1061" s="22">
        <v>0</v>
      </c>
      <c r="J1061" s="22">
        <v>0</v>
      </c>
      <c r="K1061" s="22">
        <v>0</v>
      </c>
      <c r="R1061" s="24">
        <v>0</v>
      </c>
      <c r="S1061" s="24">
        <v>0</v>
      </c>
      <c r="T1061" s="24">
        <v>0</v>
      </c>
      <c r="U1061" s="24">
        <v>0</v>
      </c>
      <c r="V1061" s="24">
        <v>0</v>
      </c>
      <c r="AC1061" s="26">
        <v>0</v>
      </c>
      <c r="AD1061" s="26">
        <v>0</v>
      </c>
      <c r="AE1061" s="26">
        <v>0</v>
      </c>
      <c r="AF1061" s="26">
        <v>0</v>
      </c>
      <c r="AG1061" s="26">
        <v>0</v>
      </c>
      <c r="AN1061" s="24"/>
      <c r="AO1061" s="26"/>
      <c r="AP1061" s="26"/>
      <c r="AQ1061" s="26"/>
      <c r="AR1061" s="26"/>
      <c r="AS1061" s="26"/>
      <c r="AT1061" s="26"/>
      <c r="AU1061" s="26"/>
      <c r="AV1061" s="26"/>
      <c r="AW1061" s="26"/>
      <c r="AX1061" s="26"/>
      <c r="AY1061" s="26"/>
    </row>
    <row r="1062" spans="2:51">
      <c r="B1062" s="32" t="str">
        <f t="shared" ref="B1062:B1125" si="36">IF(D1062&gt;0,D1062,B1061)</f>
        <v>SA Power</v>
      </c>
      <c r="C1062" s="32" t="s">
        <v>1135</v>
      </c>
      <c r="D1062" s="385"/>
      <c r="E1062" s="31"/>
      <c r="F1062" s="44" t="s">
        <v>263</v>
      </c>
      <c r="G1062" s="22">
        <v>0</v>
      </c>
      <c r="H1062" s="22">
        <v>0</v>
      </c>
      <c r="I1062" s="22">
        <v>0</v>
      </c>
      <c r="J1062" s="22">
        <v>0</v>
      </c>
      <c r="K1062" s="22">
        <v>0</v>
      </c>
      <c r="R1062" s="24">
        <v>0</v>
      </c>
      <c r="S1062" s="24">
        <v>0</v>
      </c>
      <c r="T1062" s="24">
        <v>0</v>
      </c>
      <c r="U1062" s="24">
        <v>0</v>
      </c>
      <c r="V1062" s="24">
        <v>0</v>
      </c>
      <c r="AC1062" s="26">
        <v>0</v>
      </c>
      <c r="AD1062" s="26">
        <v>0</v>
      </c>
      <c r="AE1062" s="26">
        <v>0</v>
      </c>
      <c r="AF1062" s="26">
        <v>0</v>
      </c>
      <c r="AG1062" s="26">
        <v>0</v>
      </c>
      <c r="AN1062" s="24"/>
      <c r="AO1062" s="26"/>
      <c r="AP1062" s="26"/>
      <c r="AQ1062" s="26"/>
      <c r="AR1062" s="26"/>
      <c r="AS1062" s="26"/>
      <c r="AT1062" s="26"/>
      <c r="AU1062" s="26"/>
      <c r="AV1062" s="26"/>
      <c r="AW1062" s="26"/>
      <c r="AX1062" s="26"/>
      <c r="AY1062" s="26"/>
    </row>
    <row r="1063" spans="2:51">
      <c r="B1063" s="32" t="str">
        <f t="shared" si="36"/>
        <v>SA Power</v>
      </c>
      <c r="C1063" s="32" t="s">
        <v>1134</v>
      </c>
      <c r="D1063" s="385"/>
      <c r="E1063" s="31"/>
      <c r="F1063" s="44" t="s">
        <v>264</v>
      </c>
      <c r="G1063" s="22">
        <v>0</v>
      </c>
      <c r="H1063" s="22">
        <v>0</v>
      </c>
      <c r="I1063" s="22">
        <v>0</v>
      </c>
      <c r="J1063" s="22">
        <v>0</v>
      </c>
      <c r="K1063" s="22">
        <v>0</v>
      </c>
      <c r="R1063" s="24">
        <v>0</v>
      </c>
      <c r="S1063" s="24">
        <v>0</v>
      </c>
      <c r="T1063" s="24">
        <v>0</v>
      </c>
      <c r="U1063" s="24">
        <v>0</v>
      </c>
      <c r="V1063" s="24">
        <v>0</v>
      </c>
      <c r="AC1063" s="26">
        <v>0</v>
      </c>
      <c r="AD1063" s="26">
        <v>0</v>
      </c>
      <c r="AE1063" s="26">
        <v>0</v>
      </c>
      <c r="AF1063" s="26">
        <v>0</v>
      </c>
      <c r="AG1063" s="26">
        <v>0</v>
      </c>
      <c r="AN1063" s="24"/>
      <c r="AO1063" s="26"/>
      <c r="AP1063" s="26"/>
      <c r="AQ1063" s="26"/>
      <c r="AR1063" s="26"/>
      <c r="AS1063" s="26"/>
      <c r="AT1063" s="26"/>
      <c r="AU1063" s="26"/>
      <c r="AV1063" s="26"/>
      <c r="AW1063" s="26"/>
      <c r="AX1063" s="26"/>
      <c r="AY1063" s="26"/>
    </row>
    <row r="1064" spans="2:51">
      <c r="B1064" s="32" t="str">
        <f t="shared" si="36"/>
        <v>SA Power</v>
      </c>
      <c r="C1064" s="32" t="s">
        <v>1134</v>
      </c>
      <c r="D1064" s="385"/>
      <c r="E1064" s="31"/>
      <c r="F1064" s="44" t="s">
        <v>265</v>
      </c>
      <c r="G1064" s="22">
        <v>0</v>
      </c>
      <c r="H1064" s="22">
        <v>0</v>
      </c>
      <c r="I1064" s="22">
        <v>0</v>
      </c>
      <c r="J1064" s="22">
        <v>0</v>
      </c>
      <c r="K1064" s="22">
        <v>0</v>
      </c>
      <c r="R1064" s="24">
        <v>0</v>
      </c>
      <c r="S1064" s="24">
        <v>0</v>
      </c>
      <c r="T1064" s="24">
        <v>0</v>
      </c>
      <c r="U1064" s="24">
        <v>0</v>
      </c>
      <c r="V1064" s="24">
        <v>0</v>
      </c>
      <c r="AC1064" s="26">
        <v>0</v>
      </c>
      <c r="AD1064" s="26">
        <v>0</v>
      </c>
      <c r="AE1064" s="26">
        <v>0</v>
      </c>
      <c r="AF1064" s="26">
        <v>0</v>
      </c>
      <c r="AG1064" s="26">
        <v>0</v>
      </c>
      <c r="AN1064" s="24"/>
      <c r="AO1064" s="26"/>
      <c r="AP1064" s="26"/>
      <c r="AQ1064" s="26"/>
      <c r="AR1064" s="26"/>
      <c r="AS1064" s="26"/>
      <c r="AT1064" s="26"/>
      <c r="AU1064" s="26"/>
      <c r="AV1064" s="26"/>
      <c r="AW1064" s="26"/>
      <c r="AX1064" s="26"/>
      <c r="AY1064" s="26"/>
    </row>
    <row r="1065" spans="2:51">
      <c r="B1065" s="32" t="str">
        <f t="shared" si="36"/>
        <v>SA Power</v>
      </c>
      <c r="C1065" s="32" t="s">
        <v>1134</v>
      </c>
      <c r="D1065" s="385"/>
      <c r="E1065" s="31"/>
      <c r="F1065" s="44" t="s">
        <v>266</v>
      </c>
      <c r="G1065" s="22">
        <v>0</v>
      </c>
      <c r="H1065" s="22">
        <v>0</v>
      </c>
      <c r="I1065" s="22">
        <v>0</v>
      </c>
      <c r="J1065" s="22">
        <v>0</v>
      </c>
      <c r="K1065" s="22">
        <v>0</v>
      </c>
      <c r="R1065" s="24">
        <v>0</v>
      </c>
      <c r="S1065" s="24">
        <v>0</v>
      </c>
      <c r="T1065" s="24">
        <v>0</v>
      </c>
      <c r="U1065" s="24">
        <v>0</v>
      </c>
      <c r="V1065" s="24">
        <v>0</v>
      </c>
      <c r="AC1065" s="26">
        <v>0</v>
      </c>
      <c r="AD1065" s="26">
        <v>0</v>
      </c>
      <c r="AE1065" s="26">
        <v>0</v>
      </c>
      <c r="AF1065" s="26">
        <v>0</v>
      </c>
      <c r="AG1065" s="26">
        <v>0</v>
      </c>
      <c r="AN1065" s="24"/>
      <c r="AO1065" s="26"/>
      <c r="AP1065" s="26"/>
      <c r="AQ1065" s="26"/>
      <c r="AR1065" s="26"/>
      <c r="AS1065" s="26"/>
      <c r="AT1065" s="26"/>
      <c r="AU1065" s="26"/>
      <c r="AV1065" s="26"/>
      <c r="AW1065" s="26"/>
      <c r="AX1065" s="26"/>
      <c r="AY1065" s="26"/>
    </row>
    <row r="1066" spans="2:51">
      <c r="B1066" s="32" t="str">
        <f t="shared" si="36"/>
        <v>SA Power</v>
      </c>
      <c r="C1066" s="32" t="s">
        <v>1134</v>
      </c>
      <c r="D1066" s="385"/>
      <c r="E1066" s="31"/>
      <c r="F1066" s="44" t="s">
        <v>267</v>
      </c>
      <c r="G1066" s="22">
        <v>0</v>
      </c>
      <c r="H1066" s="22">
        <v>0</v>
      </c>
      <c r="I1066" s="22">
        <v>0</v>
      </c>
      <c r="J1066" s="22">
        <v>0</v>
      </c>
      <c r="K1066" s="22">
        <v>0</v>
      </c>
      <c r="R1066" s="24">
        <v>0</v>
      </c>
      <c r="S1066" s="24">
        <v>0</v>
      </c>
      <c r="T1066" s="24">
        <v>0</v>
      </c>
      <c r="U1066" s="24">
        <v>0</v>
      </c>
      <c r="V1066" s="24">
        <v>0</v>
      </c>
      <c r="AC1066" s="26">
        <v>0</v>
      </c>
      <c r="AD1066" s="26">
        <v>0</v>
      </c>
      <c r="AE1066" s="26">
        <v>0</v>
      </c>
      <c r="AF1066" s="26">
        <v>0</v>
      </c>
      <c r="AG1066" s="26">
        <v>0</v>
      </c>
      <c r="AN1066" s="24"/>
      <c r="AO1066" s="26"/>
      <c r="AP1066" s="26"/>
      <c r="AQ1066" s="26"/>
      <c r="AR1066" s="26"/>
      <c r="AS1066" s="26"/>
      <c r="AT1066" s="26"/>
      <c r="AU1066" s="26"/>
      <c r="AV1066" s="26"/>
      <c r="AW1066" s="26"/>
      <c r="AX1066" s="26"/>
      <c r="AY1066" s="26"/>
    </row>
    <row r="1067" spans="2:51">
      <c r="B1067" s="32" t="str">
        <f t="shared" si="36"/>
        <v>SA Power</v>
      </c>
      <c r="C1067" s="32" t="s">
        <v>1134</v>
      </c>
      <c r="D1067" s="385"/>
      <c r="E1067" s="31"/>
      <c r="F1067" s="44" t="s">
        <v>268</v>
      </c>
      <c r="G1067" s="22">
        <v>0</v>
      </c>
      <c r="H1067" s="22">
        <v>0</v>
      </c>
      <c r="I1067" s="22">
        <v>0</v>
      </c>
      <c r="J1067" s="22">
        <v>0</v>
      </c>
      <c r="K1067" s="22">
        <v>0</v>
      </c>
      <c r="R1067" s="24">
        <v>0</v>
      </c>
      <c r="S1067" s="24">
        <v>0</v>
      </c>
      <c r="T1067" s="24">
        <v>0</v>
      </c>
      <c r="U1067" s="24">
        <v>0</v>
      </c>
      <c r="V1067" s="24">
        <v>0</v>
      </c>
      <c r="AC1067" s="26">
        <v>0</v>
      </c>
      <c r="AD1067" s="26">
        <v>0</v>
      </c>
      <c r="AE1067" s="26">
        <v>0</v>
      </c>
      <c r="AF1067" s="26">
        <v>0</v>
      </c>
      <c r="AG1067" s="26">
        <v>0</v>
      </c>
      <c r="AN1067" s="24"/>
      <c r="AO1067" s="26"/>
      <c r="AP1067" s="26"/>
      <c r="AQ1067" s="26"/>
      <c r="AR1067" s="26"/>
      <c r="AS1067" s="26"/>
      <c r="AT1067" s="26"/>
      <c r="AU1067" s="26"/>
      <c r="AV1067" s="26"/>
      <c r="AW1067" s="26"/>
      <c r="AX1067" s="26"/>
      <c r="AY1067" s="26"/>
    </row>
    <row r="1068" spans="2:51">
      <c r="B1068" s="32" t="str">
        <f t="shared" si="36"/>
        <v>SA Power</v>
      </c>
      <c r="C1068" s="32" t="s">
        <v>1134</v>
      </c>
      <c r="D1068" s="385"/>
      <c r="E1068" s="31"/>
      <c r="F1068" s="44" t="s">
        <v>269</v>
      </c>
      <c r="G1068" s="22">
        <v>0</v>
      </c>
      <c r="H1068" s="22">
        <v>0</v>
      </c>
      <c r="I1068" s="22">
        <v>0</v>
      </c>
      <c r="J1068" s="22">
        <v>0</v>
      </c>
      <c r="K1068" s="22">
        <v>0</v>
      </c>
      <c r="R1068" s="24">
        <v>0</v>
      </c>
      <c r="S1068" s="24">
        <v>0</v>
      </c>
      <c r="T1068" s="24">
        <v>0</v>
      </c>
      <c r="U1068" s="24">
        <v>0</v>
      </c>
      <c r="V1068" s="24">
        <v>0</v>
      </c>
      <c r="AC1068" s="26">
        <v>0</v>
      </c>
      <c r="AD1068" s="26">
        <v>0</v>
      </c>
      <c r="AE1068" s="26">
        <v>0</v>
      </c>
      <c r="AF1068" s="26">
        <v>0</v>
      </c>
      <c r="AG1068" s="26">
        <v>0</v>
      </c>
      <c r="AN1068" s="24"/>
      <c r="AO1068" s="26"/>
      <c r="AP1068" s="26"/>
      <c r="AQ1068" s="26"/>
      <c r="AR1068" s="26"/>
      <c r="AS1068" s="26"/>
      <c r="AT1068" s="26"/>
      <c r="AU1068" s="26"/>
      <c r="AV1068" s="26"/>
      <c r="AW1068" s="26"/>
      <c r="AX1068" s="26"/>
      <c r="AY1068" s="26"/>
    </row>
    <row r="1069" spans="2:51">
      <c r="B1069" s="32" t="str">
        <f t="shared" si="36"/>
        <v>SA Power</v>
      </c>
      <c r="C1069" s="32" t="s">
        <v>1134</v>
      </c>
      <c r="D1069" s="385"/>
      <c r="E1069" s="31"/>
      <c r="F1069" s="44" t="s">
        <v>170</v>
      </c>
      <c r="G1069" s="22">
        <v>0</v>
      </c>
      <c r="H1069" s="22">
        <v>0</v>
      </c>
      <c r="I1069" s="22">
        <v>0</v>
      </c>
      <c r="J1069" s="22">
        <v>0</v>
      </c>
      <c r="K1069" s="22">
        <v>0</v>
      </c>
      <c r="R1069" s="24">
        <v>0</v>
      </c>
      <c r="S1069" s="24">
        <v>0</v>
      </c>
      <c r="T1069" s="24">
        <v>0</v>
      </c>
      <c r="U1069" s="24">
        <v>0</v>
      </c>
      <c r="V1069" s="24">
        <v>0</v>
      </c>
      <c r="AC1069" s="26">
        <v>0</v>
      </c>
      <c r="AD1069" s="26">
        <v>0</v>
      </c>
      <c r="AE1069" s="26">
        <v>0</v>
      </c>
      <c r="AF1069" s="26">
        <v>0</v>
      </c>
      <c r="AG1069" s="26">
        <v>0</v>
      </c>
      <c r="AN1069" s="24"/>
      <c r="AO1069" s="26"/>
      <c r="AP1069" s="26"/>
      <c r="AQ1069" s="26"/>
      <c r="AR1069" s="26"/>
      <c r="AS1069" s="26"/>
      <c r="AT1069" s="26"/>
      <c r="AU1069" s="26"/>
      <c r="AV1069" s="26"/>
      <c r="AW1069" s="26"/>
      <c r="AX1069" s="26"/>
      <c r="AY1069" s="26"/>
    </row>
    <row r="1070" spans="2:51" ht="75">
      <c r="B1070" s="32" t="str">
        <f t="shared" si="36"/>
        <v>SA Power</v>
      </c>
      <c r="C1070" s="32" t="s">
        <v>659</v>
      </c>
      <c r="D1070" s="385"/>
      <c r="E1070" s="31" t="s">
        <v>548</v>
      </c>
      <c r="F1070" s="44" t="s">
        <v>272</v>
      </c>
      <c r="G1070" s="22">
        <v>0</v>
      </c>
      <c r="H1070" s="22">
        <v>0</v>
      </c>
      <c r="I1070" s="22">
        <v>0</v>
      </c>
      <c r="J1070" s="22">
        <v>0</v>
      </c>
      <c r="K1070" s="22">
        <v>0</v>
      </c>
      <c r="R1070" s="24">
        <v>0</v>
      </c>
      <c r="S1070" s="24">
        <v>0</v>
      </c>
      <c r="T1070" s="24">
        <v>0</v>
      </c>
      <c r="U1070" s="24">
        <v>0</v>
      </c>
      <c r="V1070" s="24">
        <v>0</v>
      </c>
      <c r="AC1070" s="26">
        <v>0</v>
      </c>
      <c r="AD1070" s="26">
        <v>0</v>
      </c>
      <c r="AE1070" s="26">
        <v>0</v>
      </c>
      <c r="AF1070" s="26">
        <v>0</v>
      </c>
      <c r="AG1070" s="26">
        <v>0</v>
      </c>
      <c r="AN1070" s="24"/>
      <c r="AO1070" s="26"/>
      <c r="AP1070" s="26"/>
      <c r="AQ1070" s="26"/>
      <c r="AR1070" s="26"/>
      <c r="AS1070" s="26"/>
      <c r="AT1070" s="26"/>
      <c r="AU1070" s="26"/>
      <c r="AV1070" s="26"/>
      <c r="AW1070" s="26"/>
      <c r="AX1070" s="26"/>
      <c r="AY1070" s="26"/>
    </row>
    <row r="1071" spans="2:51">
      <c r="B1071" s="32" t="str">
        <f t="shared" si="36"/>
        <v>SA Power</v>
      </c>
      <c r="C1071" s="32" t="s">
        <v>659</v>
      </c>
      <c r="D1071" s="385"/>
      <c r="E1071" s="31"/>
      <c r="F1071" s="44" t="s">
        <v>273</v>
      </c>
      <c r="G1071" s="22">
        <v>0</v>
      </c>
      <c r="H1071" s="22">
        <v>0</v>
      </c>
      <c r="I1071" s="22">
        <v>0</v>
      </c>
      <c r="J1071" s="22">
        <v>0</v>
      </c>
      <c r="K1071" s="22">
        <v>0</v>
      </c>
      <c r="R1071" s="24">
        <v>0</v>
      </c>
      <c r="S1071" s="24">
        <v>0</v>
      </c>
      <c r="T1071" s="24">
        <v>0</v>
      </c>
      <c r="U1071" s="24">
        <v>0</v>
      </c>
      <c r="V1071" s="24">
        <v>0</v>
      </c>
      <c r="AC1071" s="26">
        <v>0</v>
      </c>
      <c r="AD1071" s="26">
        <v>0</v>
      </c>
      <c r="AE1071" s="26">
        <v>0</v>
      </c>
      <c r="AF1071" s="26">
        <v>0</v>
      </c>
      <c r="AG1071" s="26">
        <v>0</v>
      </c>
      <c r="AN1071" s="24"/>
      <c r="AO1071" s="26"/>
      <c r="AP1071" s="26"/>
      <c r="AQ1071" s="26"/>
      <c r="AR1071" s="26"/>
      <c r="AS1071" s="26"/>
      <c r="AT1071" s="26"/>
      <c r="AU1071" s="26"/>
      <c r="AV1071" s="26"/>
      <c r="AW1071" s="26"/>
      <c r="AX1071" s="26"/>
      <c r="AY1071" s="26"/>
    </row>
    <row r="1072" spans="2:51">
      <c r="B1072" s="32" t="str">
        <f t="shared" si="36"/>
        <v>SA Power</v>
      </c>
      <c r="C1072" s="32" t="s">
        <v>659</v>
      </c>
      <c r="D1072" s="385"/>
      <c r="E1072" s="31"/>
      <c r="F1072" s="44" t="s">
        <v>274</v>
      </c>
      <c r="G1072" s="22">
        <v>636.43242756378902</v>
      </c>
      <c r="H1072" s="22">
        <v>1430.0304477348175</v>
      </c>
      <c r="I1072" s="22">
        <v>2275.4161506607206</v>
      </c>
      <c r="J1072" s="22">
        <v>3486.7102832062474</v>
      </c>
      <c r="K1072" s="22">
        <v>1339.4380789032537</v>
      </c>
      <c r="R1072" s="24">
        <v>28</v>
      </c>
      <c r="S1072" s="24">
        <v>34</v>
      </c>
      <c r="T1072" s="24">
        <v>40</v>
      </c>
      <c r="U1072" s="24">
        <v>39</v>
      </c>
      <c r="V1072" s="24">
        <v>27</v>
      </c>
      <c r="AC1072" s="26">
        <v>36</v>
      </c>
      <c r="AD1072" s="26">
        <v>63</v>
      </c>
      <c r="AE1072" s="26">
        <v>63</v>
      </c>
      <c r="AF1072" s="26">
        <v>47</v>
      </c>
      <c r="AG1072" s="26">
        <v>49</v>
      </c>
      <c r="AN1072" s="24"/>
      <c r="AO1072" s="26"/>
      <c r="AP1072" s="26"/>
      <c r="AQ1072" s="26"/>
      <c r="AR1072" s="26"/>
      <c r="AS1072" s="26"/>
      <c r="AT1072" s="26"/>
      <c r="AU1072" s="26"/>
      <c r="AV1072" s="26"/>
      <c r="AW1072" s="26"/>
      <c r="AX1072" s="26"/>
      <c r="AY1072" s="26"/>
    </row>
    <row r="1073" spans="2:51">
      <c r="B1073" s="32" t="str">
        <f t="shared" si="36"/>
        <v>SA Power</v>
      </c>
      <c r="C1073" s="32" t="s">
        <v>659</v>
      </c>
      <c r="D1073" s="385"/>
      <c r="E1073" s="31"/>
      <c r="F1073" s="44" t="s">
        <v>275</v>
      </c>
      <c r="G1073" s="22">
        <v>0</v>
      </c>
      <c r="H1073" s="22">
        <v>0</v>
      </c>
      <c r="I1073" s="22">
        <v>0</v>
      </c>
      <c r="J1073" s="22">
        <v>0</v>
      </c>
      <c r="K1073" s="22">
        <v>0</v>
      </c>
      <c r="R1073" s="24">
        <v>0</v>
      </c>
      <c r="S1073" s="24">
        <v>0</v>
      </c>
      <c r="T1073" s="24">
        <v>0</v>
      </c>
      <c r="U1073" s="24">
        <v>0</v>
      </c>
      <c r="V1073" s="24">
        <v>0</v>
      </c>
      <c r="AC1073" s="26">
        <v>0</v>
      </c>
      <c r="AD1073" s="26">
        <v>0</v>
      </c>
      <c r="AE1073" s="26">
        <v>0</v>
      </c>
      <c r="AF1073" s="26">
        <v>0</v>
      </c>
      <c r="AG1073" s="26">
        <v>0</v>
      </c>
      <c r="AN1073" s="24"/>
      <c r="AO1073" s="26"/>
      <c r="AP1073" s="26"/>
      <c r="AQ1073" s="26"/>
      <c r="AR1073" s="26"/>
      <c r="AS1073" s="26"/>
      <c r="AT1073" s="26"/>
      <c r="AU1073" s="26"/>
      <c r="AV1073" s="26"/>
      <c r="AW1073" s="26"/>
      <c r="AX1073" s="26"/>
      <c r="AY1073" s="26"/>
    </row>
    <row r="1074" spans="2:51">
      <c r="B1074" s="32" t="str">
        <f t="shared" si="36"/>
        <v>SA Power</v>
      </c>
      <c r="C1074" s="32" t="s">
        <v>659</v>
      </c>
      <c r="D1074" s="385"/>
      <c r="E1074" s="31"/>
      <c r="F1074" s="44" t="s">
        <v>1229</v>
      </c>
      <c r="G1074" s="22">
        <v>212.40129405471836</v>
      </c>
      <c r="H1074" s="22">
        <v>887.60356214390583</v>
      </c>
      <c r="I1074" s="22">
        <v>1519.9743551560603</v>
      </c>
      <c r="J1074" s="22">
        <v>3032.4388932622132</v>
      </c>
      <c r="K1074" s="22">
        <v>2425.4346236826564</v>
      </c>
      <c r="R1074" s="24">
        <v>7</v>
      </c>
      <c r="S1074" s="24">
        <v>9</v>
      </c>
      <c r="T1074" s="24">
        <v>20</v>
      </c>
      <c r="U1074" s="24">
        <v>26</v>
      </c>
      <c r="V1074" s="24">
        <v>17</v>
      </c>
      <c r="AC1074" s="26">
        <v>14</v>
      </c>
      <c r="AD1074" s="26">
        <v>14</v>
      </c>
      <c r="AE1074" s="26">
        <v>15</v>
      </c>
      <c r="AF1074" s="26">
        <v>15</v>
      </c>
      <c r="AG1074" s="26">
        <v>15</v>
      </c>
      <c r="AN1074" s="24"/>
      <c r="AO1074" s="26"/>
      <c r="AP1074" s="26"/>
      <c r="AQ1074" s="26"/>
      <c r="AR1074" s="26"/>
      <c r="AS1074" s="26"/>
      <c r="AT1074" s="26"/>
      <c r="AU1074" s="26"/>
      <c r="AV1074" s="26"/>
      <c r="AW1074" s="26"/>
      <c r="AX1074" s="26"/>
      <c r="AY1074" s="26"/>
    </row>
    <row r="1075" spans="2:51">
      <c r="B1075" s="32" t="str">
        <f t="shared" si="36"/>
        <v>SA Power</v>
      </c>
      <c r="C1075" s="32" t="s">
        <v>659</v>
      </c>
      <c r="D1075" s="385"/>
      <c r="E1075" s="31"/>
      <c r="F1075" s="44" t="s">
        <v>170</v>
      </c>
      <c r="G1075" s="22">
        <v>0</v>
      </c>
      <c r="H1075" s="22">
        <v>0</v>
      </c>
      <c r="I1075" s="22">
        <v>0</v>
      </c>
      <c r="J1075" s="22">
        <v>0</v>
      </c>
      <c r="K1075" s="22">
        <v>0</v>
      </c>
      <c r="R1075" s="24">
        <v>0</v>
      </c>
      <c r="S1075" s="24">
        <v>0</v>
      </c>
      <c r="T1075" s="24">
        <v>0</v>
      </c>
      <c r="U1075" s="24">
        <v>0</v>
      </c>
      <c r="V1075" s="24">
        <v>0</v>
      </c>
      <c r="AC1075" s="26">
        <v>0</v>
      </c>
      <c r="AD1075" s="26">
        <v>0</v>
      </c>
      <c r="AE1075" s="26">
        <v>0</v>
      </c>
      <c r="AF1075" s="26">
        <v>0</v>
      </c>
      <c r="AG1075" s="26">
        <v>0</v>
      </c>
      <c r="AN1075" s="24"/>
      <c r="AO1075" s="26"/>
      <c r="AP1075" s="26"/>
      <c r="AQ1075" s="26"/>
      <c r="AR1075" s="26"/>
      <c r="AS1075" s="26"/>
      <c r="AT1075" s="26"/>
      <c r="AU1075" s="26"/>
      <c r="AV1075" s="26"/>
      <c r="AW1075" s="26"/>
      <c r="AX1075" s="26"/>
      <c r="AY1075" s="26"/>
    </row>
    <row r="1076" spans="2:51">
      <c r="B1076" s="32" t="str">
        <f t="shared" si="36"/>
        <v>SA Power</v>
      </c>
      <c r="C1076" s="32" t="s">
        <v>659</v>
      </c>
      <c r="D1076" s="385"/>
      <c r="E1076" s="31"/>
      <c r="F1076" s="44" t="s">
        <v>1230</v>
      </c>
      <c r="G1076" s="22">
        <v>0</v>
      </c>
      <c r="H1076" s="22">
        <v>368.14883067011232</v>
      </c>
      <c r="I1076" s="22">
        <v>486.18177115838876</v>
      </c>
      <c r="J1076" s="22">
        <v>873.03818051506278</v>
      </c>
      <c r="K1076" s="22">
        <v>797.4444718595787</v>
      </c>
      <c r="R1076" s="24">
        <v>0</v>
      </c>
      <c r="S1076" s="24">
        <v>4</v>
      </c>
      <c r="T1076" s="24">
        <v>8</v>
      </c>
      <c r="U1076" s="24">
        <v>12</v>
      </c>
      <c r="V1076" s="24">
        <v>14</v>
      </c>
      <c r="AC1076" s="26">
        <v>0</v>
      </c>
      <c r="AD1076" s="26">
        <v>0</v>
      </c>
      <c r="AE1076" s="26">
        <v>0</v>
      </c>
      <c r="AF1076" s="26">
        <v>0</v>
      </c>
      <c r="AG1076" s="26">
        <v>0</v>
      </c>
      <c r="AN1076" s="24"/>
      <c r="AO1076" s="26"/>
      <c r="AP1076" s="26"/>
      <c r="AQ1076" s="26"/>
      <c r="AR1076" s="26"/>
      <c r="AS1076" s="26"/>
      <c r="AT1076" s="26"/>
      <c r="AU1076" s="26"/>
      <c r="AV1076" s="26"/>
      <c r="AW1076" s="26"/>
      <c r="AX1076" s="26"/>
      <c r="AY1076" s="26"/>
    </row>
    <row r="1077" spans="2:51" ht="30">
      <c r="B1077" s="32" t="str">
        <f t="shared" si="36"/>
        <v>SA Power</v>
      </c>
      <c r="C1077" s="32" t="s">
        <v>720</v>
      </c>
      <c r="D1077" s="385"/>
      <c r="E1077" s="31" t="s">
        <v>567</v>
      </c>
      <c r="F1077" s="44" t="s">
        <v>1231</v>
      </c>
      <c r="G1077" s="22">
        <v>3255.3929873833399</v>
      </c>
      <c r="H1077" s="22">
        <v>2923.1613685749649</v>
      </c>
      <c r="I1077" s="22">
        <v>6887.1699999393386</v>
      </c>
      <c r="J1077" s="22">
        <v>6276.1100209010438</v>
      </c>
      <c r="K1077" s="22">
        <v>7617.8197490985012</v>
      </c>
      <c r="R1077" s="24">
        <v>52</v>
      </c>
      <c r="S1077" s="24">
        <v>52</v>
      </c>
      <c r="T1077" s="24">
        <v>53</v>
      </c>
      <c r="U1077" s="24">
        <v>52</v>
      </c>
      <c r="V1077" s="24">
        <v>52</v>
      </c>
      <c r="AC1077" s="26">
        <v>7</v>
      </c>
      <c r="AD1077" s="26">
        <v>7</v>
      </c>
      <c r="AE1077" s="26">
        <v>7</v>
      </c>
      <c r="AF1077" s="26">
        <v>8</v>
      </c>
      <c r="AG1077" s="26">
        <v>8</v>
      </c>
      <c r="AN1077" s="24"/>
      <c r="AO1077" s="26"/>
      <c r="AP1077" s="26"/>
      <c r="AQ1077" s="26"/>
      <c r="AR1077" s="26"/>
      <c r="AS1077" s="26"/>
      <c r="AT1077" s="26"/>
      <c r="AU1077" s="26"/>
      <c r="AV1077" s="26"/>
      <c r="AW1077" s="26"/>
      <c r="AX1077" s="26"/>
      <c r="AY1077" s="26"/>
    </row>
    <row r="1078" spans="2:51" ht="75">
      <c r="B1078" s="32" t="str">
        <f t="shared" si="36"/>
        <v>Essential</v>
      </c>
      <c r="C1078" s="32" t="s">
        <v>1138</v>
      </c>
      <c r="D1078" s="383" t="s">
        <v>0</v>
      </c>
      <c r="E1078" s="3" t="s">
        <v>311</v>
      </c>
      <c r="F1078" t="s">
        <v>117</v>
      </c>
      <c r="G1078" s="22">
        <v>163.33274473019162</v>
      </c>
      <c r="H1078" s="22">
        <v>2.0305083981268202</v>
      </c>
      <c r="I1078" s="22">
        <v>1.3750253086670332</v>
      </c>
      <c r="J1078" s="22">
        <v>7.6582616674873947</v>
      </c>
      <c r="K1078" s="22">
        <v>3.8127653464520641</v>
      </c>
      <c r="L1078" s="22">
        <v>948.56150421280552</v>
      </c>
      <c r="M1078" s="22">
        <v>998.69551449976382</v>
      </c>
      <c r="N1078" s="22">
        <v>1011.3599155466457</v>
      </c>
      <c r="O1078" s="22">
        <v>1024.6789621509959</v>
      </c>
      <c r="P1078" s="22">
        <v>1037.0906357541</v>
      </c>
      <c r="Q1078" s="22">
        <v>1048.7125730374983</v>
      </c>
      <c r="R1078" s="24">
        <v>266</v>
      </c>
      <c r="S1078" s="24">
        <v>3</v>
      </c>
      <c r="T1078" s="24">
        <v>1</v>
      </c>
      <c r="U1078" s="24">
        <v>7</v>
      </c>
      <c r="V1078" s="24">
        <v>4</v>
      </c>
      <c r="W1078" s="24">
        <v>1130</v>
      </c>
      <c r="X1078" s="24">
        <v>1280</v>
      </c>
      <c r="Y1078" s="24">
        <v>1280</v>
      </c>
      <c r="Z1078" s="24">
        <v>1280</v>
      </c>
      <c r="AA1078" s="24">
        <v>1280</v>
      </c>
      <c r="AB1078" s="24">
        <v>1280</v>
      </c>
      <c r="AC1078" s="26">
        <v>0</v>
      </c>
      <c r="AD1078" s="26">
        <v>0</v>
      </c>
      <c r="AE1078" s="26">
        <v>1</v>
      </c>
      <c r="AF1078" s="26">
        <v>0</v>
      </c>
      <c r="AG1078" s="26">
        <v>0</v>
      </c>
      <c r="AH1078" s="26">
        <v>1</v>
      </c>
      <c r="AI1078" s="26">
        <v>0</v>
      </c>
      <c r="AJ1078" s="26">
        <v>0</v>
      </c>
      <c r="AK1078" s="26">
        <v>1</v>
      </c>
      <c r="AL1078" s="26">
        <v>0</v>
      </c>
      <c r="AM1078" s="26">
        <v>1</v>
      </c>
    </row>
    <row r="1079" spans="2:51">
      <c r="B1079" s="32" t="str">
        <f t="shared" si="36"/>
        <v>Essential</v>
      </c>
      <c r="C1079" s="32" t="s">
        <v>1</v>
      </c>
      <c r="D1079" s="384"/>
      <c r="F1079" t="s">
        <v>312</v>
      </c>
      <c r="G1079" s="22">
        <v>4920.4501044032668</v>
      </c>
      <c r="H1079" s="22">
        <v>5337.9809666311739</v>
      </c>
      <c r="I1079" s="22">
        <v>9863.5148808381873</v>
      </c>
      <c r="J1079" s="22">
        <v>9576.4738756294773</v>
      </c>
      <c r="K1079" s="22">
        <v>9538.2679750409134</v>
      </c>
      <c r="L1079" s="22">
        <v>8475.2467542051254</v>
      </c>
      <c r="M1079" s="22">
        <v>7108.7430145883818</v>
      </c>
      <c r="N1079" s="22">
        <v>7615.7546596649872</v>
      </c>
      <c r="O1079" s="22">
        <v>8148.2489201461285</v>
      </c>
      <c r="P1079" s="22">
        <v>8695.2486299505326</v>
      </c>
      <c r="Q1079" s="22">
        <v>9254.2582483248261</v>
      </c>
      <c r="R1079" s="24">
        <v>1202</v>
      </c>
      <c r="S1079" s="24">
        <v>1183</v>
      </c>
      <c r="T1079" s="24">
        <v>1076</v>
      </c>
      <c r="U1079" s="24">
        <v>1313</v>
      </c>
      <c r="V1079" s="24">
        <v>1501</v>
      </c>
      <c r="W1079" s="24">
        <v>1514.4556451612902</v>
      </c>
      <c r="X1079" s="24">
        <v>1366.661448844719</v>
      </c>
      <c r="Y1079" s="24">
        <v>1445.8007205726922</v>
      </c>
      <c r="Z1079" s="24">
        <v>1526.7843397350034</v>
      </c>
      <c r="AA1079" s="24">
        <v>1609.7799742802295</v>
      </c>
      <c r="AB1079" s="24">
        <v>1694.2846203626414</v>
      </c>
      <c r="AC1079" s="26">
        <v>14.860217757599132</v>
      </c>
      <c r="AD1079" s="26">
        <v>30.82675354846636</v>
      </c>
      <c r="AE1079" s="26">
        <v>27.357447219737242</v>
      </c>
      <c r="AF1079" s="26">
        <v>26.285815554893613</v>
      </c>
      <c r="AG1079" s="26">
        <v>60.351351351351354</v>
      </c>
      <c r="AH1079" s="26">
        <v>66.229838709677423</v>
      </c>
      <c r="AI1079" s="26">
        <v>63.290595030514389</v>
      </c>
      <c r="AJ1079" s="26">
        <v>63.290595030514389</v>
      </c>
      <c r="AK1079" s="26">
        <v>63.290595030514389</v>
      </c>
      <c r="AL1079" s="26">
        <v>63.290595030514389</v>
      </c>
      <c r="AM1079" s="26">
        <v>63.290595030514389</v>
      </c>
    </row>
    <row r="1080" spans="2:51">
      <c r="B1080" s="32" t="str">
        <f t="shared" si="36"/>
        <v>Essential</v>
      </c>
      <c r="C1080" s="32" t="s">
        <v>1</v>
      </c>
      <c r="D1080" s="384"/>
      <c r="F1080" t="s">
        <v>313</v>
      </c>
      <c r="G1080" s="22">
        <v>4830.3919494141883</v>
      </c>
      <c r="H1080" s="22">
        <v>6082.5007126110086</v>
      </c>
      <c r="I1080" s="22">
        <v>12366.060942612186</v>
      </c>
      <c r="J1080" s="22">
        <v>12311.567328303547</v>
      </c>
      <c r="K1080" s="22">
        <v>9512.849539397901</v>
      </c>
      <c r="L1080" s="22">
        <v>12552.260498939369</v>
      </c>
      <c r="M1080" s="22">
        <v>10528.400732976379</v>
      </c>
      <c r="N1080" s="22">
        <v>11279.310108191878</v>
      </c>
      <c r="O1080" s="22">
        <v>12067.960499808263</v>
      </c>
      <c r="P1080" s="22">
        <v>12878.094180801374</v>
      </c>
      <c r="Q1080" s="22">
        <v>13706.015131629771</v>
      </c>
      <c r="R1080" s="24">
        <v>1180</v>
      </c>
      <c r="S1080" s="24">
        <v>1348</v>
      </c>
      <c r="T1080" s="24">
        <v>1349</v>
      </c>
      <c r="U1080" s="24">
        <v>1688</v>
      </c>
      <c r="V1080" s="24">
        <v>1497</v>
      </c>
      <c r="W1080" s="24">
        <v>2242.983870967742</v>
      </c>
      <c r="X1080" s="24">
        <v>2024.0933411461147</v>
      </c>
      <c r="Y1080" s="24">
        <v>2141.3025249298184</v>
      </c>
      <c r="Z1080" s="24">
        <v>2261.2432786745826</v>
      </c>
      <c r="AA1080" s="24">
        <v>2384.1639269223224</v>
      </c>
      <c r="AB1080" s="24">
        <v>2509.3194960472938</v>
      </c>
      <c r="AC1080" s="26">
        <v>19.921860750279713</v>
      </c>
      <c r="AD1080" s="26">
        <v>41.326870278309983</v>
      </c>
      <c r="AE1080" s="26">
        <v>36.675859188942745</v>
      </c>
      <c r="AF1080" s="26">
        <v>35.239211546838845</v>
      </c>
      <c r="AG1080" s="26">
        <v>84.965517241379317</v>
      </c>
      <c r="AH1080" s="26">
        <v>90.882056451612897</v>
      </c>
      <c r="AI1080" s="26">
        <v>87.923786846496114</v>
      </c>
      <c r="AJ1080" s="26">
        <v>87.923786846496114</v>
      </c>
      <c r="AK1080" s="26">
        <v>87.923786846496114</v>
      </c>
      <c r="AL1080" s="26">
        <v>87.923786846496114</v>
      </c>
      <c r="AM1080" s="26">
        <v>87.923786846496114</v>
      </c>
    </row>
    <row r="1081" spans="2:51">
      <c r="B1081" s="32" t="str">
        <f t="shared" si="36"/>
        <v>Essential</v>
      </c>
      <c r="C1081" s="32" t="s">
        <v>1</v>
      </c>
      <c r="D1081" s="384"/>
      <c r="F1081" t="s">
        <v>314</v>
      </c>
      <c r="G1081" s="22">
        <v>3033.3224021321303</v>
      </c>
      <c r="H1081" s="22">
        <v>3050.2748380749567</v>
      </c>
      <c r="I1081" s="22">
        <v>6233.4480659572182</v>
      </c>
      <c r="J1081" s="22">
        <v>5404.5446624839624</v>
      </c>
      <c r="K1081" s="22">
        <v>6481.7010889685098</v>
      </c>
      <c r="L1081" s="22">
        <v>8664.6837564857051</v>
      </c>
      <c r="M1081" s="22">
        <v>7267.636201503381</v>
      </c>
      <c r="N1081" s="22">
        <v>7785.9804683844195</v>
      </c>
      <c r="O1081" s="22">
        <v>8330.3769329385104</v>
      </c>
      <c r="P1081" s="22">
        <v>8889.6030696870348</v>
      </c>
      <c r="Q1081" s="22">
        <v>9461.1075580541456</v>
      </c>
      <c r="R1081" s="24">
        <v>741</v>
      </c>
      <c r="S1081" s="24">
        <v>676</v>
      </c>
      <c r="T1081" s="24">
        <v>680</v>
      </c>
      <c r="U1081" s="24">
        <v>741</v>
      </c>
      <c r="V1081" s="24">
        <v>1020</v>
      </c>
      <c r="W1081" s="24">
        <v>1548.3064516129032</v>
      </c>
      <c r="X1081" s="24">
        <v>1397.2087892950872</v>
      </c>
      <c r="Y1081" s="24">
        <v>1478.1169660276698</v>
      </c>
      <c r="Z1081" s="24">
        <v>1560.9107146756305</v>
      </c>
      <c r="AA1081" s="24">
        <v>1645.7614508676397</v>
      </c>
      <c r="AB1081" s="24">
        <v>1732.1549277176857</v>
      </c>
      <c r="AC1081" s="26">
        <v>32.658957927951448</v>
      </c>
      <c r="AD1081" s="26">
        <v>67.749319937108908</v>
      </c>
      <c r="AE1081" s="26">
        <v>60.124671948946073</v>
      </c>
      <c r="AF1081" s="26">
        <v>57.7694996340255</v>
      </c>
      <c r="AG1081" s="26">
        <v>141.94</v>
      </c>
      <c r="AH1081" s="26">
        <v>122.0888034508627</v>
      </c>
      <c r="AI1081" s="26">
        <v>132.01440172543136</v>
      </c>
      <c r="AJ1081" s="26">
        <v>132.01440172543136</v>
      </c>
      <c r="AK1081" s="26">
        <v>132.01440172543136</v>
      </c>
      <c r="AL1081" s="26">
        <v>132.01440172543136</v>
      </c>
      <c r="AM1081" s="26">
        <v>132.01440172543136</v>
      </c>
    </row>
    <row r="1082" spans="2:51">
      <c r="B1082" s="32" t="str">
        <f t="shared" si="36"/>
        <v>Essential</v>
      </c>
      <c r="C1082" s="32" t="s">
        <v>1</v>
      </c>
      <c r="D1082" s="384"/>
      <c r="F1082" t="s">
        <v>315</v>
      </c>
      <c r="G1082" s="22">
        <v>816.6637236509581</v>
      </c>
      <c r="H1082" s="22">
        <v>1243.1223637420862</v>
      </c>
      <c r="I1082" s="22">
        <v>2612.5480864673632</v>
      </c>
      <c r="J1082" s="22">
        <v>2549.8364561462795</v>
      </c>
      <c r="K1082" s="22">
        <v>2281.9400598515599</v>
      </c>
      <c r="L1082" s="22">
        <v>2722.950997998264</v>
      </c>
      <c r="M1082" s="22">
        <v>4896.5341443870002</v>
      </c>
      <c r="N1082" s="22">
        <v>3594.2400364101841</v>
      </c>
      <c r="O1082" s="22">
        <v>4249.8224807760953</v>
      </c>
      <c r="P1082" s="22">
        <v>5265.3009467394177</v>
      </c>
      <c r="Q1082" s="22">
        <v>4102.4625848987671</v>
      </c>
      <c r="R1082" s="24">
        <v>105</v>
      </c>
      <c r="S1082" s="24">
        <v>145</v>
      </c>
      <c r="T1082" s="24">
        <v>150</v>
      </c>
      <c r="U1082" s="24">
        <v>184</v>
      </c>
      <c r="V1082" s="24">
        <v>189</v>
      </c>
      <c r="W1082" s="24">
        <v>256.08870967741933</v>
      </c>
      <c r="X1082" s="24">
        <v>472.3533921498543</v>
      </c>
      <c r="Y1082" s="24">
        <v>312.94598176397028</v>
      </c>
      <c r="Z1082" s="24">
        <v>413.01094579809666</v>
      </c>
      <c r="AA1082" s="24">
        <v>447.52353977910593</v>
      </c>
      <c r="AB1082" s="24">
        <v>390.86952781642333</v>
      </c>
      <c r="AC1082" s="26">
        <v>5.8675887202787367</v>
      </c>
      <c r="AD1082" s="26">
        <v>12.172009478885128</v>
      </c>
      <c r="AE1082" s="26">
        <v>10.802146465186501</v>
      </c>
      <c r="AF1082" s="26">
        <v>10.379010413514949</v>
      </c>
      <c r="AG1082" s="26">
        <v>26.000000000000004</v>
      </c>
      <c r="AH1082" s="26">
        <v>23.548387096774192</v>
      </c>
      <c r="AI1082" s="26">
        <v>24.774193548387096</v>
      </c>
      <c r="AJ1082" s="26">
        <v>24.774193548387096</v>
      </c>
      <c r="AK1082" s="26">
        <v>24.774193548387096</v>
      </c>
      <c r="AL1082" s="26">
        <v>24.774193548387096</v>
      </c>
      <c r="AM1082" s="26">
        <v>24.774193548387096</v>
      </c>
    </row>
    <row r="1083" spans="2:51">
      <c r="B1083" s="32" t="str">
        <f t="shared" si="36"/>
        <v>Essential</v>
      </c>
      <c r="C1083" s="32" t="s">
        <v>1</v>
      </c>
      <c r="D1083" s="384"/>
      <c r="F1083" t="s">
        <v>316</v>
      </c>
      <c r="G1083" s="22">
        <v>194.44374372641863</v>
      </c>
      <c r="H1083" s="22">
        <v>120.02560753371868</v>
      </c>
      <c r="I1083" s="22">
        <v>156.7528851880418</v>
      </c>
      <c r="J1083" s="22">
        <v>69.289034134409775</v>
      </c>
      <c r="K1083" s="22">
        <v>36.221270791294607</v>
      </c>
      <c r="L1083" s="22">
        <v>563.36917199964091</v>
      </c>
      <c r="M1083" s="22">
        <v>1161.4941663676138</v>
      </c>
      <c r="N1083" s="22">
        <v>506.23675288735194</v>
      </c>
      <c r="O1083" s="22">
        <v>541.63287282604017</v>
      </c>
      <c r="P1083" s="22">
        <v>577.99320339029771</v>
      </c>
      <c r="Q1083" s="22">
        <v>615.15186023850151</v>
      </c>
      <c r="R1083" s="24">
        <v>25</v>
      </c>
      <c r="S1083" s="24">
        <v>14</v>
      </c>
      <c r="T1083" s="24">
        <v>9.0000000000000018</v>
      </c>
      <c r="U1083" s="24">
        <v>5</v>
      </c>
      <c r="V1083" s="24">
        <v>3</v>
      </c>
      <c r="W1083" s="24">
        <v>52.983870967741936</v>
      </c>
      <c r="X1083" s="24">
        <v>120.18576127578297</v>
      </c>
      <c r="Y1083" s="24">
        <v>50.581949407790979</v>
      </c>
      <c r="Z1083" s="24">
        <v>53.4151955592421</v>
      </c>
      <c r="AA1083" s="24">
        <v>56.318832919424935</v>
      </c>
      <c r="AB1083" s="24">
        <v>59.275263686156542</v>
      </c>
      <c r="AC1083" s="26">
        <v>0.83822696003981967</v>
      </c>
      <c r="AD1083" s="26">
        <v>1.7388584969835899</v>
      </c>
      <c r="AE1083" s="26">
        <v>1.5431637807409286</v>
      </c>
      <c r="AF1083" s="26">
        <v>1.4827157733592782</v>
      </c>
      <c r="AG1083" s="26">
        <v>5</v>
      </c>
      <c r="AH1083" s="26">
        <v>0</v>
      </c>
      <c r="AI1083" s="26">
        <v>2.5</v>
      </c>
      <c r="AJ1083" s="26">
        <v>2.5</v>
      </c>
      <c r="AK1083" s="26">
        <v>2.5</v>
      </c>
      <c r="AL1083" s="26">
        <v>2.5</v>
      </c>
      <c r="AM1083" s="26">
        <v>2.5</v>
      </c>
    </row>
    <row r="1084" spans="2:51">
      <c r="B1084" s="32" t="str">
        <f t="shared" si="36"/>
        <v>Essential</v>
      </c>
      <c r="C1084" s="32" t="s">
        <v>1</v>
      </c>
      <c r="D1084" s="384"/>
      <c r="F1084" t="s">
        <v>317</v>
      </c>
      <c r="G1084" s="22">
        <v>0</v>
      </c>
      <c r="H1084" s="22">
        <v>0</v>
      </c>
      <c r="I1084" s="22">
        <v>0</v>
      </c>
      <c r="J1084" s="22">
        <v>0</v>
      </c>
      <c r="K1084" s="22">
        <v>0</v>
      </c>
      <c r="L1084" s="22">
        <v>0</v>
      </c>
      <c r="M1084" s="22">
        <v>0</v>
      </c>
      <c r="N1084" s="22">
        <v>0</v>
      </c>
      <c r="O1084" s="22">
        <v>0</v>
      </c>
      <c r="P1084" s="22">
        <v>0</v>
      </c>
      <c r="Q1084" s="22">
        <v>0</v>
      </c>
      <c r="R1084" s="24">
        <v>0</v>
      </c>
      <c r="S1084" s="24">
        <v>0</v>
      </c>
      <c r="T1084" s="24">
        <v>0</v>
      </c>
      <c r="U1084" s="24">
        <v>0</v>
      </c>
      <c r="V1084" s="24">
        <v>0</v>
      </c>
      <c r="W1084" s="24">
        <v>0</v>
      </c>
      <c r="X1084" s="24">
        <v>0</v>
      </c>
      <c r="Y1084" s="24">
        <v>0</v>
      </c>
      <c r="Z1084" s="24">
        <v>0</v>
      </c>
      <c r="AA1084" s="24">
        <v>0</v>
      </c>
      <c r="AB1084" s="24">
        <v>0</v>
      </c>
      <c r="AC1084" s="26">
        <v>0</v>
      </c>
      <c r="AD1084" s="26">
        <v>0</v>
      </c>
      <c r="AE1084" s="26">
        <v>0</v>
      </c>
      <c r="AF1084" s="26">
        <v>0</v>
      </c>
      <c r="AG1084" s="26">
        <v>0</v>
      </c>
      <c r="AH1084" s="26">
        <v>0</v>
      </c>
      <c r="AI1084" s="26">
        <v>0</v>
      </c>
      <c r="AJ1084" s="26">
        <v>0</v>
      </c>
      <c r="AK1084" s="26">
        <v>0</v>
      </c>
      <c r="AL1084" s="26">
        <v>0</v>
      </c>
      <c r="AM1084" s="26">
        <v>0</v>
      </c>
    </row>
    <row r="1085" spans="2:51">
      <c r="B1085" s="32" t="str">
        <f t="shared" si="36"/>
        <v>Essential</v>
      </c>
      <c r="C1085" s="32" t="s">
        <v>1</v>
      </c>
      <c r="D1085" s="384"/>
      <c r="F1085" t="s">
        <v>318</v>
      </c>
      <c r="G1085" s="22">
        <v>839.99697289812843</v>
      </c>
      <c r="H1085" s="22">
        <v>817.61804831239954</v>
      </c>
      <c r="I1085" s="22">
        <v>1947.0358370725191</v>
      </c>
      <c r="J1085" s="22">
        <v>1356.6063525263387</v>
      </c>
      <c r="K1085" s="22">
        <v>1189.582788093044</v>
      </c>
      <c r="L1085" s="22">
        <v>405.23045705237331</v>
      </c>
      <c r="M1085" s="22">
        <v>1307.0040055491395</v>
      </c>
      <c r="N1085" s="22">
        <v>1400.2224901131858</v>
      </c>
      <c r="O1085" s="22">
        <v>1498.1261743443538</v>
      </c>
      <c r="P1085" s="22">
        <v>1598.6968111336435</v>
      </c>
      <c r="Q1085" s="22">
        <v>1701.4755736879119</v>
      </c>
      <c r="R1085" s="24">
        <v>171</v>
      </c>
      <c r="S1085" s="24">
        <v>151</v>
      </c>
      <c r="T1085" s="24">
        <v>177</v>
      </c>
      <c r="U1085" s="24">
        <v>155</v>
      </c>
      <c r="V1085" s="24">
        <v>156</v>
      </c>
      <c r="W1085" s="24">
        <v>60.342741935483879</v>
      </c>
      <c r="X1085" s="24">
        <v>209.3937920534355</v>
      </c>
      <c r="Y1085" s="24">
        <v>221.51915947451525</v>
      </c>
      <c r="Z1085" s="24">
        <v>233.92710961091689</v>
      </c>
      <c r="AA1085" s="24">
        <v>246.64333180039679</v>
      </c>
      <c r="AB1085" s="24">
        <v>259.59075802968539</v>
      </c>
      <c r="AC1085" s="26">
        <v>0.22153401858149827</v>
      </c>
      <c r="AD1085" s="26">
        <v>0.50158645716565653</v>
      </c>
      <c r="AE1085" s="26">
        <v>0.41798871430471374</v>
      </c>
      <c r="AF1085" s="26">
        <v>0.40126916573252519</v>
      </c>
      <c r="AG1085" s="26">
        <v>2.0810810810810811</v>
      </c>
      <c r="AH1085" s="26">
        <v>2.943548387096774</v>
      </c>
      <c r="AI1085" s="26">
        <v>2.5123147340889274</v>
      </c>
      <c r="AJ1085" s="26">
        <v>2.5123147340889274</v>
      </c>
      <c r="AK1085" s="26">
        <v>2.5123147340889274</v>
      </c>
      <c r="AL1085" s="26">
        <v>2.5123147340889274</v>
      </c>
      <c r="AM1085" s="26">
        <v>2.5123147340889274</v>
      </c>
    </row>
    <row r="1086" spans="2:51">
      <c r="B1086" s="32" t="str">
        <f t="shared" si="36"/>
        <v>Essential</v>
      </c>
      <c r="C1086" s="32" t="s">
        <v>1</v>
      </c>
      <c r="D1086" s="384"/>
      <c r="F1086" t="s">
        <v>319</v>
      </c>
      <c r="G1086" s="22">
        <v>648.41871592136238</v>
      </c>
      <c r="H1086" s="22">
        <v>671.42144364726846</v>
      </c>
      <c r="I1086" s="22">
        <v>1507.0277382990687</v>
      </c>
      <c r="J1086" s="22">
        <v>866.47760580714544</v>
      </c>
      <c r="K1086" s="22">
        <v>724.42541582589206</v>
      </c>
      <c r="L1086" s="22">
        <v>286.6264208419226</v>
      </c>
      <c r="M1086" s="22">
        <v>924.46624782743993</v>
      </c>
      <c r="N1086" s="22">
        <v>990.40127349469219</v>
      </c>
      <c r="O1086" s="22">
        <v>1059.6502208777133</v>
      </c>
      <c r="P1086" s="22">
        <v>1130.7855493384307</v>
      </c>
      <c r="Q1086" s="22">
        <v>1203.4827228524261</v>
      </c>
      <c r="R1086" s="24">
        <v>132</v>
      </c>
      <c r="S1086" s="24">
        <v>124</v>
      </c>
      <c r="T1086" s="24">
        <v>137</v>
      </c>
      <c r="U1086" s="24">
        <v>99</v>
      </c>
      <c r="V1086" s="24">
        <v>95</v>
      </c>
      <c r="W1086" s="24">
        <v>42.681451612903224</v>
      </c>
      <c r="X1086" s="24">
        <v>148.10780413535679</v>
      </c>
      <c r="Y1086" s="24">
        <v>156.68428353075467</v>
      </c>
      <c r="Z1086" s="24">
        <v>165.46063850528267</v>
      </c>
      <c r="AA1086" s="24">
        <v>174.4550395661343</v>
      </c>
      <c r="AB1086" s="24">
        <v>183.61297519172871</v>
      </c>
      <c r="AC1086" s="26">
        <v>0.53587736464448799</v>
      </c>
      <c r="AD1086" s="26">
        <v>1.2133072407045011</v>
      </c>
      <c r="AE1086" s="26">
        <v>1.0110893672537509</v>
      </c>
      <c r="AF1086" s="26">
        <v>0.97064579256360073</v>
      </c>
      <c r="AG1086" s="26">
        <v>3.0344827586206895</v>
      </c>
      <c r="AH1086" s="26">
        <v>4.783266129032258</v>
      </c>
      <c r="AI1086" s="26">
        <v>3.9088744438264733</v>
      </c>
      <c r="AJ1086" s="26">
        <v>3.9088744438264733</v>
      </c>
      <c r="AK1086" s="26">
        <v>3.9088744438264733</v>
      </c>
      <c r="AL1086" s="26">
        <v>3.9088744438264733</v>
      </c>
      <c r="AM1086" s="26">
        <v>3.9088744438264733</v>
      </c>
    </row>
    <row r="1087" spans="2:51">
      <c r="B1087" s="32" t="str">
        <f t="shared" si="36"/>
        <v>Essential</v>
      </c>
      <c r="C1087" s="32" t="s">
        <v>1</v>
      </c>
      <c r="D1087" s="384"/>
      <c r="F1087" t="s">
        <v>321</v>
      </c>
      <c r="G1087" s="22">
        <v>1267.363853846299</v>
      </c>
      <c r="H1087" s="22">
        <v>1424.0632232196099</v>
      </c>
      <c r="I1087" s="22">
        <v>2783.0512247420756</v>
      </c>
      <c r="J1087" s="22">
        <v>1382.8632496720097</v>
      </c>
      <c r="K1087" s="22">
        <v>983.69345938463243</v>
      </c>
      <c r="L1087" s="22">
        <v>247.09174210510565</v>
      </c>
      <c r="M1087" s="22">
        <v>796.9536619202072</v>
      </c>
      <c r="N1087" s="22">
        <v>853.7942012885278</v>
      </c>
      <c r="O1087" s="22">
        <v>913.49156972216679</v>
      </c>
      <c r="P1087" s="22">
        <v>974.81512874002669</v>
      </c>
      <c r="Q1087" s="22">
        <v>1037.4851059072635</v>
      </c>
      <c r="R1087" s="24">
        <v>258</v>
      </c>
      <c r="S1087" s="24">
        <v>263</v>
      </c>
      <c r="T1087" s="24">
        <v>253</v>
      </c>
      <c r="U1087" s="24">
        <v>158</v>
      </c>
      <c r="V1087" s="24">
        <v>129</v>
      </c>
      <c r="W1087" s="24">
        <v>36.79435483870968</v>
      </c>
      <c r="X1087" s="24">
        <v>127.67914149599727</v>
      </c>
      <c r="Y1087" s="24">
        <v>135.07265821616784</v>
      </c>
      <c r="Z1087" s="24">
        <v>142.63848147007127</v>
      </c>
      <c r="AA1087" s="24">
        <v>150.39227548804683</v>
      </c>
      <c r="AB1087" s="24">
        <v>158.28704757907647</v>
      </c>
      <c r="AC1087" s="26">
        <v>1.3680683499594291</v>
      </c>
      <c r="AD1087" s="26">
        <v>3.0975132451911604</v>
      </c>
      <c r="AE1087" s="26">
        <v>2.5812610376592997</v>
      </c>
      <c r="AF1087" s="26">
        <v>2.4780105961529277</v>
      </c>
      <c r="AG1087" s="26">
        <v>9.06</v>
      </c>
      <c r="AH1087" s="26">
        <v>5.9555513878469615</v>
      </c>
      <c r="AI1087" s="26">
        <v>7.5077756939234819</v>
      </c>
      <c r="AJ1087" s="26">
        <v>7.5077756939234819</v>
      </c>
      <c r="AK1087" s="26">
        <v>7.5077756939234819</v>
      </c>
      <c r="AL1087" s="26">
        <v>7.5077756939234819</v>
      </c>
      <c r="AM1087" s="26">
        <v>7.5077756939234819</v>
      </c>
    </row>
    <row r="1088" spans="2:51">
      <c r="B1088" s="32" t="str">
        <f t="shared" si="36"/>
        <v>Essential</v>
      </c>
      <c r="C1088" s="32" t="s">
        <v>1</v>
      </c>
      <c r="D1088" s="384"/>
      <c r="F1088" t="s">
        <v>323</v>
      </c>
      <c r="G1088" s="22">
        <v>387.25006645303591</v>
      </c>
      <c r="H1088" s="22">
        <v>436.78491764150266</v>
      </c>
      <c r="I1088" s="22">
        <v>383.17371934854668</v>
      </c>
      <c r="J1088" s="22">
        <v>577.65173720476366</v>
      </c>
      <c r="K1088" s="22">
        <v>475.32474652435735</v>
      </c>
      <c r="L1088" s="22">
        <v>54.360183263123261</v>
      </c>
      <c r="M1088" s="22">
        <v>175.32980562244555</v>
      </c>
      <c r="N1088" s="22">
        <v>187.83472428347616</v>
      </c>
      <c r="O1088" s="22">
        <v>200.96814533887675</v>
      </c>
      <c r="P1088" s="22">
        <v>214.45932832280587</v>
      </c>
      <c r="Q1088" s="22">
        <v>228.24672329959805</v>
      </c>
      <c r="R1088" s="24">
        <v>43</v>
      </c>
      <c r="S1088" s="24">
        <v>44</v>
      </c>
      <c r="T1088" s="24">
        <v>19</v>
      </c>
      <c r="U1088" s="24">
        <v>36.000000000000007</v>
      </c>
      <c r="V1088" s="24">
        <v>34</v>
      </c>
      <c r="W1088" s="24">
        <v>4.415322580645161</v>
      </c>
      <c r="X1088" s="24">
        <v>15.321496979519669</v>
      </c>
      <c r="Y1088" s="24">
        <v>16.208718985940141</v>
      </c>
      <c r="Z1088" s="24">
        <v>17.116617776408553</v>
      </c>
      <c r="AA1088" s="24">
        <v>18.047073058565619</v>
      </c>
      <c r="AB1088" s="24">
        <v>18.994445709489177</v>
      </c>
      <c r="AC1088" s="26">
        <v>0.20743639921722112</v>
      </c>
      <c r="AD1088" s="26">
        <v>0.4696673189823875</v>
      </c>
      <c r="AE1088" s="26">
        <v>0.39138943248532287</v>
      </c>
      <c r="AF1088" s="26">
        <v>0.37573385518590996</v>
      </c>
      <c r="AG1088" s="26">
        <v>1</v>
      </c>
      <c r="AH1088" s="26">
        <v>0</v>
      </c>
      <c r="AI1088" s="26">
        <v>0.5</v>
      </c>
      <c r="AJ1088" s="26">
        <v>0.5</v>
      </c>
      <c r="AK1088" s="26">
        <v>0.5</v>
      </c>
      <c r="AL1088" s="26">
        <v>0.5</v>
      </c>
      <c r="AM1088" s="26">
        <v>0.5</v>
      </c>
    </row>
    <row r="1089" spans="2:39">
      <c r="B1089" s="32" t="str">
        <f t="shared" si="36"/>
        <v>Essential</v>
      </c>
      <c r="C1089" s="32" t="s">
        <v>1</v>
      </c>
      <c r="D1089" s="384"/>
      <c r="F1089" t="s">
        <v>325</v>
      </c>
      <c r="G1089" s="22">
        <v>9.0058154989078112</v>
      </c>
      <c r="H1089" s="22">
        <v>0</v>
      </c>
      <c r="I1089" s="22">
        <v>0</v>
      </c>
      <c r="J1089" s="22">
        <v>64.18352635608484</v>
      </c>
      <c r="K1089" s="22">
        <v>13.980139603657568</v>
      </c>
      <c r="L1089" s="22">
        <v>0</v>
      </c>
      <c r="M1089" s="22">
        <v>0</v>
      </c>
      <c r="N1089" s="22">
        <v>0</v>
      </c>
      <c r="O1089" s="22">
        <v>0</v>
      </c>
      <c r="P1089" s="22">
        <v>0</v>
      </c>
      <c r="Q1089" s="22">
        <v>0</v>
      </c>
      <c r="R1089" s="24">
        <v>1</v>
      </c>
      <c r="S1089" s="24">
        <v>0</v>
      </c>
      <c r="T1089" s="24">
        <v>0</v>
      </c>
      <c r="U1089" s="24">
        <v>4</v>
      </c>
      <c r="V1089" s="24">
        <v>1</v>
      </c>
      <c r="W1089" s="24">
        <v>0</v>
      </c>
      <c r="X1089" s="24">
        <v>0</v>
      </c>
      <c r="Y1089" s="24">
        <v>0</v>
      </c>
      <c r="Z1089" s="24">
        <v>0</v>
      </c>
      <c r="AA1089" s="24">
        <v>0</v>
      </c>
      <c r="AB1089" s="24">
        <v>0</v>
      </c>
      <c r="AC1089" s="26">
        <v>0</v>
      </c>
      <c r="AD1089" s="26">
        <v>0</v>
      </c>
      <c r="AE1089" s="26">
        <v>0</v>
      </c>
      <c r="AF1089" s="26">
        <v>0</v>
      </c>
      <c r="AG1089" s="26">
        <v>0</v>
      </c>
      <c r="AH1089" s="26">
        <v>0</v>
      </c>
      <c r="AI1089" s="26">
        <v>0</v>
      </c>
      <c r="AJ1089" s="26">
        <v>0</v>
      </c>
      <c r="AK1089" s="26">
        <v>0</v>
      </c>
      <c r="AL1089" s="26">
        <v>0</v>
      </c>
      <c r="AM1089" s="26">
        <v>0</v>
      </c>
    </row>
    <row r="1090" spans="2:39">
      <c r="B1090" s="32" t="str">
        <f t="shared" si="36"/>
        <v>Essential</v>
      </c>
      <c r="C1090" s="32" t="s">
        <v>1</v>
      </c>
      <c r="D1090" s="384"/>
      <c r="F1090" t="s">
        <v>327</v>
      </c>
      <c r="G1090" s="22">
        <v>0</v>
      </c>
      <c r="H1090" s="22">
        <v>0</v>
      </c>
      <c r="I1090" s="22">
        <v>0</v>
      </c>
      <c r="J1090" s="22">
        <v>0</v>
      </c>
      <c r="K1090" s="22">
        <v>0</v>
      </c>
      <c r="L1090" s="22">
        <v>0</v>
      </c>
      <c r="M1090" s="22">
        <v>0</v>
      </c>
      <c r="N1090" s="22">
        <v>0</v>
      </c>
      <c r="O1090" s="22">
        <v>0</v>
      </c>
      <c r="P1090" s="22">
        <v>0</v>
      </c>
      <c r="Q1090" s="22">
        <v>0</v>
      </c>
      <c r="R1090" s="24">
        <v>0</v>
      </c>
      <c r="S1090" s="24">
        <v>0</v>
      </c>
      <c r="T1090" s="24">
        <v>0</v>
      </c>
      <c r="U1090" s="24">
        <v>0</v>
      </c>
      <c r="V1090" s="24">
        <v>0</v>
      </c>
      <c r="W1090" s="24">
        <v>0</v>
      </c>
      <c r="X1090" s="24">
        <v>0</v>
      </c>
      <c r="Y1090" s="24">
        <v>0</v>
      </c>
      <c r="Z1090" s="24">
        <v>0</v>
      </c>
      <c r="AA1090" s="24">
        <v>0</v>
      </c>
      <c r="AB1090" s="24">
        <v>0</v>
      </c>
      <c r="AC1090" s="26">
        <v>0</v>
      </c>
      <c r="AD1090" s="26">
        <v>0</v>
      </c>
      <c r="AE1090" s="26">
        <v>0</v>
      </c>
      <c r="AF1090" s="26">
        <v>0</v>
      </c>
      <c r="AG1090" s="26">
        <v>0</v>
      </c>
      <c r="AH1090" s="26">
        <v>0</v>
      </c>
      <c r="AI1090" s="26">
        <v>0</v>
      </c>
      <c r="AJ1090" s="26">
        <v>0</v>
      </c>
      <c r="AK1090" s="26">
        <v>0</v>
      </c>
      <c r="AL1090" s="26">
        <v>0</v>
      </c>
      <c r="AM1090" s="26">
        <v>0</v>
      </c>
    </row>
    <row r="1091" spans="2:39">
      <c r="B1091" s="32" t="str">
        <f t="shared" si="36"/>
        <v>Essential</v>
      </c>
      <c r="C1091" s="32" t="s">
        <v>1</v>
      </c>
      <c r="D1091" s="384"/>
      <c r="F1091" t="s">
        <v>329</v>
      </c>
      <c r="G1091" s="22">
        <v>167.01694197974487</v>
      </c>
      <c r="H1091" s="22">
        <v>438.58981399539317</v>
      </c>
      <c r="I1091" s="22">
        <v>583.01073087482212</v>
      </c>
      <c r="J1091" s="22">
        <v>612.66093339899169</v>
      </c>
      <c r="K1091" s="22">
        <v>366.02547325939815</v>
      </c>
      <c r="L1091" s="22">
        <v>672.08953852588741</v>
      </c>
      <c r="M1091" s="22">
        <v>1608.7232539870563</v>
      </c>
      <c r="N1091" s="22">
        <v>1723.4610384031089</v>
      </c>
      <c r="O1091" s="22">
        <v>1843.9655914151806</v>
      </c>
      <c r="P1091" s="22">
        <v>1967.7527576245454</v>
      </c>
      <c r="Q1091" s="22">
        <v>2094.2577909948122</v>
      </c>
      <c r="R1091" s="24">
        <v>34</v>
      </c>
      <c r="S1091" s="24">
        <v>81</v>
      </c>
      <c r="T1091" s="24">
        <v>53</v>
      </c>
      <c r="U1091" s="24">
        <v>70</v>
      </c>
      <c r="V1091" s="24">
        <v>48</v>
      </c>
      <c r="W1091" s="24">
        <v>100.08064516129032</v>
      </c>
      <c r="X1091" s="24">
        <v>257.73192820121545</v>
      </c>
      <c r="Y1091" s="24">
        <v>272.65641232720895</v>
      </c>
      <c r="Z1091" s="24">
        <v>287.92871282054568</v>
      </c>
      <c r="AA1091" s="24">
        <v>303.58044935098388</v>
      </c>
      <c r="AB1091" s="24">
        <v>319.5167629092482</v>
      </c>
      <c r="AC1091" s="26">
        <v>0</v>
      </c>
      <c r="AD1091" s="26">
        <v>0</v>
      </c>
      <c r="AE1091" s="26">
        <v>0</v>
      </c>
      <c r="AF1091" s="26">
        <v>0</v>
      </c>
      <c r="AG1091" s="26">
        <v>0</v>
      </c>
      <c r="AH1091" s="26">
        <v>0</v>
      </c>
      <c r="AI1091" s="26">
        <v>0</v>
      </c>
      <c r="AJ1091" s="26">
        <v>0</v>
      </c>
      <c r="AK1091" s="26">
        <v>0</v>
      </c>
      <c r="AL1091" s="26">
        <v>0</v>
      </c>
      <c r="AM1091" s="26">
        <v>0</v>
      </c>
    </row>
    <row r="1092" spans="2:39">
      <c r="B1092" s="32" t="str">
        <f t="shared" si="36"/>
        <v>Essential</v>
      </c>
      <c r="C1092" s="32" t="s">
        <v>1</v>
      </c>
      <c r="D1092" s="384"/>
      <c r="F1092" t="s">
        <v>331</v>
      </c>
      <c r="G1092" s="22">
        <v>1075.7855968695328</v>
      </c>
      <c r="H1092" s="22">
        <v>1635.2360966247991</v>
      </c>
      <c r="I1092" s="22">
        <v>4015.0739013077377</v>
      </c>
      <c r="J1092" s="22">
        <v>4559.9478042982091</v>
      </c>
      <c r="K1092" s="22">
        <v>4316.0503721837367</v>
      </c>
      <c r="L1092" s="22">
        <v>859.87926252576756</v>
      </c>
      <c r="M1092" s="22">
        <v>2058.2194573069687</v>
      </c>
      <c r="N1092" s="22">
        <v>2205.016328545154</v>
      </c>
      <c r="O1092" s="22">
        <v>2359.1912713694214</v>
      </c>
      <c r="P1092" s="22">
        <v>2517.5660281372857</v>
      </c>
      <c r="Q1092" s="22">
        <v>2679.4180561257144</v>
      </c>
      <c r="R1092" s="24">
        <v>219</v>
      </c>
      <c r="S1092" s="24">
        <v>302</v>
      </c>
      <c r="T1092" s="24">
        <v>365</v>
      </c>
      <c r="U1092" s="24">
        <v>521</v>
      </c>
      <c r="V1092" s="24">
        <v>566.00000000000011</v>
      </c>
      <c r="W1092" s="24">
        <v>128.04435483870967</v>
      </c>
      <c r="X1092" s="24">
        <v>329.74526108096677</v>
      </c>
      <c r="Y1092" s="24">
        <v>348.83982165392905</v>
      </c>
      <c r="Z1092" s="24">
        <v>368.37938257922741</v>
      </c>
      <c r="AA1092" s="24">
        <v>388.40439843434694</v>
      </c>
      <c r="AB1092" s="24">
        <v>408.79350548683215</v>
      </c>
      <c r="AC1092" s="26">
        <v>0</v>
      </c>
      <c r="AD1092" s="26">
        <v>0</v>
      </c>
      <c r="AE1092" s="26">
        <v>0</v>
      </c>
      <c r="AF1092" s="26">
        <v>0</v>
      </c>
      <c r="AG1092" s="26">
        <v>0</v>
      </c>
      <c r="AH1092" s="26">
        <v>0</v>
      </c>
      <c r="AI1092" s="26">
        <v>0</v>
      </c>
      <c r="AJ1092" s="26">
        <v>0</v>
      </c>
      <c r="AK1092" s="26">
        <v>0</v>
      </c>
      <c r="AL1092" s="26">
        <v>0</v>
      </c>
      <c r="AM1092" s="26">
        <v>0</v>
      </c>
    </row>
    <row r="1093" spans="2:39">
      <c r="B1093" s="32" t="str">
        <f t="shared" si="36"/>
        <v>Essential</v>
      </c>
      <c r="C1093" s="32" t="s">
        <v>1</v>
      </c>
      <c r="D1093" s="384"/>
      <c r="F1093" t="s">
        <v>333</v>
      </c>
      <c r="G1093" s="22">
        <v>3143.8483196187267</v>
      </c>
      <c r="H1093" s="22">
        <v>3698.2326291216482</v>
      </c>
      <c r="I1093" s="22">
        <v>6523.1200643164057</v>
      </c>
      <c r="J1093" s="22">
        <v>9951.3640182093368</v>
      </c>
      <c r="K1093" s="22">
        <v>9592.9176116733925</v>
      </c>
      <c r="L1093" s="22">
        <v>3044.1702627349018</v>
      </c>
      <c r="M1093" s="22">
        <v>7286.5700327649029</v>
      </c>
      <c r="N1093" s="22">
        <v>7806.2647033552585</v>
      </c>
      <c r="O1093" s="22">
        <v>8352.0794434687596</v>
      </c>
      <c r="P1093" s="22">
        <v>8912.7624904170589</v>
      </c>
      <c r="Q1093" s="22">
        <v>9485.7558768588551</v>
      </c>
      <c r="R1093" s="24">
        <v>640</v>
      </c>
      <c r="S1093" s="24">
        <v>683</v>
      </c>
      <c r="T1093" s="24">
        <v>593</v>
      </c>
      <c r="U1093" s="24">
        <v>1137</v>
      </c>
      <c r="V1093" s="24">
        <v>1258</v>
      </c>
      <c r="W1093" s="24">
        <v>453.30645161290323</v>
      </c>
      <c r="X1093" s="24">
        <v>1167.374027734917</v>
      </c>
      <c r="Y1093" s="24">
        <v>1234.9731617173584</v>
      </c>
      <c r="Z1093" s="24">
        <v>1304.1476992460009</v>
      </c>
      <c r="AA1093" s="24">
        <v>1375.0408588250448</v>
      </c>
      <c r="AB1093" s="24">
        <v>1447.2229849418889</v>
      </c>
      <c r="AC1093" s="26">
        <v>0</v>
      </c>
      <c r="AD1093" s="26">
        <v>0</v>
      </c>
      <c r="AE1093" s="26">
        <v>0</v>
      </c>
      <c r="AF1093" s="26">
        <v>0</v>
      </c>
      <c r="AG1093" s="26">
        <v>0</v>
      </c>
      <c r="AH1093" s="26">
        <v>0</v>
      </c>
      <c r="AI1093" s="26">
        <v>0</v>
      </c>
      <c r="AJ1093" s="26">
        <v>0</v>
      </c>
      <c r="AK1093" s="26">
        <v>0</v>
      </c>
      <c r="AL1093" s="26">
        <v>0</v>
      </c>
      <c r="AM1093" s="26">
        <v>0</v>
      </c>
    </row>
    <row r="1094" spans="2:39">
      <c r="B1094" s="32" t="str">
        <f t="shared" si="36"/>
        <v>Essential</v>
      </c>
      <c r="C1094" s="32" t="s">
        <v>1</v>
      </c>
      <c r="D1094" s="384"/>
      <c r="F1094" t="s">
        <v>334</v>
      </c>
      <c r="G1094" s="22">
        <v>504.3256679388374</v>
      </c>
      <c r="H1094" s="22">
        <v>1548.6010716380547</v>
      </c>
      <c r="I1094" s="22">
        <v>2601.5478839980278</v>
      </c>
      <c r="J1094" s="22">
        <v>2021.7810802166728</v>
      </c>
      <c r="K1094" s="22">
        <v>2796.0279207315139</v>
      </c>
      <c r="L1094" s="22">
        <v>3624.0122175415504</v>
      </c>
      <c r="M1094" s="22">
        <v>8674.488134243933</v>
      </c>
      <c r="N1094" s="22">
        <v>9293.1722658991221</v>
      </c>
      <c r="O1094" s="22">
        <v>9942.9517184151882</v>
      </c>
      <c r="P1094" s="22">
        <v>10610.431536210785</v>
      </c>
      <c r="Q1094" s="22">
        <v>11292.566520070068</v>
      </c>
      <c r="R1094" s="24">
        <v>56</v>
      </c>
      <c r="S1094" s="24">
        <v>156</v>
      </c>
      <c r="T1094" s="24">
        <v>129</v>
      </c>
      <c r="U1094" s="24">
        <v>126</v>
      </c>
      <c r="V1094" s="24">
        <v>200</v>
      </c>
      <c r="W1094" s="24">
        <v>294.35483870967744</v>
      </c>
      <c r="X1094" s="24">
        <v>758.03508294475114</v>
      </c>
      <c r="Y1094" s="24">
        <v>801.93062449179115</v>
      </c>
      <c r="Z1094" s="24">
        <v>846.84915535454593</v>
      </c>
      <c r="AA1094" s="24">
        <v>892.88367456171727</v>
      </c>
      <c r="AB1094" s="24">
        <v>939.75518502720058</v>
      </c>
      <c r="AC1094" s="26">
        <v>0</v>
      </c>
      <c r="AD1094" s="26">
        <v>0</v>
      </c>
      <c r="AE1094" s="26">
        <v>0</v>
      </c>
      <c r="AF1094" s="26">
        <v>0</v>
      </c>
      <c r="AG1094" s="26">
        <v>0</v>
      </c>
      <c r="AH1094" s="26">
        <v>0</v>
      </c>
      <c r="AI1094" s="26">
        <v>0</v>
      </c>
      <c r="AJ1094" s="26">
        <v>0</v>
      </c>
      <c r="AK1094" s="26">
        <v>0</v>
      </c>
      <c r="AL1094" s="26">
        <v>0</v>
      </c>
      <c r="AM1094" s="26">
        <v>0</v>
      </c>
    </row>
    <row r="1095" spans="2:39">
      <c r="B1095" s="32" t="str">
        <f t="shared" si="36"/>
        <v>Essential</v>
      </c>
      <c r="C1095" s="32" t="s">
        <v>1</v>
      </c>
      <c r="D1095" s="384"/>
      <c r="F1095" t="s">
        <v>335</v>
      </c>
      <c r="G1095" s="22">
        <v>504.3256679388374</v>
      </c>
      <c r="H1095" s="22">
        <v>0</v>
      </c>
      <c r="I1095" s="22">
        <v>625.17817367394468</v>
      </c>
      <c r="J1095" s="22">
        <v>561.60585561574248</v>
      </c>
      <c r="K1095" s="22">
        <v>419.40418810972704</v>
      </c>
      <c r="L1095" s="22">
        <v>36.240122175415507</v>
      </c>
      <c r="M1095" s="22">
        <v>86.744881342439328</v>
      </c>
      <c r="N1095" s="22">
        <v>92.931722658991191</v>
      </c>
      <c r="O1095" s="22">
        <v>99.429517184151891</v>
      </c>
      <c r="P1095" s="22">
        <v>106.10431536210785</v>
      </c>
      <c r="Q1095" s="22">
        <v>4587.2760498484013</v>
      </c>
      <c r="R1095" s="24">
        <v>56</v>
      </c>
      <c r="S1095" s="24">
        <v>0</v>
      </c>
      <c r="T1095" s="24">
        <v>31</v>
      </c>
      <c r="U1095" s="24">
        <v>35</v>
      </c>
      <c r="V1095" s="24">
        <v>30</v>
      </c>
      <c r="W1095" s="24">
        <v>2.943548387096774</v>
      </c>
      <c r="X1095" s="24">
        <v>7.5803508294475117</v>
      </c>
      <c r="Y1095" s="24">
        <v>8.0193062449179102</v>
      </c>
      <c r="Z1095" s="24">
        <v>8.4684915535454586</v>
      </c>
      <c r="AA1095" s="24">
        <v>8.9288367456171738</v>
      </c>
      <c r="AB1095" s="24">
        <v>63.866511020926843</v>
      </c>
      <c r="AC1095" s="26">
        <v>0</v>
      </c>
      <c r="AD1095" s="26">
        <v>0</v>
      </c>
      <c r="AE1095" s="26">
        <v>0</v>
      </c>
      <c r="AF1095" s="26">
        <v>0</v>
      </c>
      <c r="AG1095" s="26">
        <v>0</v>
      </c>
      <c r="AH1095" s="26">
        <v>0</v>
      </c>
      <c r="AI1095" s="26">
        <v>0</v>
      </c>
      <c r="AJ1095" s="26">
        <v>0</v>
      </c>
      <c r="AK1095" s="26">
        <v>0</v>
      </c>
      <c r="AL1095" s="26">
        <v>0</v>
      </c>
      <c r="AM1095" s="26">
        <v>0</v>
      </c>
    </row>
    <row r="1096" spans="2:39">
      <c r="B1096" s="32" t="str">
        <f t="shared" si="36"/>
        <v>Essential</v>
      </c>
      <c r="C1096" s="32" t="s">
        <v>1</v>
      </c>
      <c r="D1096" s="384"/>
      <c r="F1096" t="s">
        <v>336</v>
      </c>
      <c r="G1096" s="22">
        <v>0</v>
      </c>
      <c r="H1096" s="22">
        <v>0</v>
      </c>
      <c r="I1096" s="22">
        <v>0</v>
      </c>
      <c r="J1096" s="22">
        <v>0</v>
      </c>
      <c r="K1096" s="22">
        <v>0</v>
      </c>
      <c r="L1096" s="22">
        <v>0</v>
      </c>
      <c r="M1096" s="22">
        <v>0</v>
      </c>
      <c r="N1096" s="22">
        <v>0</v>
      </c>
      <c r="O1096" s="22">
        <v>0</v>
      </c>
      <c r="P1096" s="22">
        <v>0</v>
      </c>
      <c r="Q1096" s="22">
        <v>0</v>
      </c>
      <c r="R1096" s="24">
        <v>0</v>
      </c>
      <c r="S1096" s="24">
        <v>0</v>
      </c>
      <c r="T1096" s="24">
        <v>0</v>
      </c>
      <c r="U1096" s="24">
        <v>0</v>
      </c>
      <c r="V1096" s="24">
        <v>0</v>
      </c>
      <c r="W1096" s="24">
        <v>0</v>
      </c>
      <c r="X1096" s="24">
        <v>0</v>
      </c>
      <c r="Y1096" s="24">
        <v>0</v>
      </c>
      <c r="Z1096" s="24">
        <v>0</v>
      </c>
      <c r="AA1096" s="24">
        <v>0</v>
      </c>
      <c r="AB1096" s="24">
        <v>0</v>
      </c>
      <c r="AC1096" s="26">
        <v>0</v>
      </c>
      <c r="AD1096" s="26">
        <v>0</v>
      </c>
      <c r="AE1096" s="26">
        <v>0</v>
      </c>
      <c r="AF1096" s="26">
        <v>0</v>
      </c>
      <c r="AG1096" s="26">
        <v>0</v>
      </c>
      <c r="AH1096" s="26">
        <v>0</v>
      </c>
      <c r="AI1096" s="26">
        <v>0</v>
      </c>
      <c r="AJ1096" s="26">
        <v>0</v>
      </c>
      <c r="AK1096" s="26">
        <v>0</v>
      </c>
      <c r="AL1096" s="26">
        <v>0</v>
      </c>
      <c r="AM1096" s="26">
        <v>0</v>
      </c>
    </row>
    <row r="1097" spans="2:39">
      <c r="B1097" s="32" t="str">
        <f t="shared" si="36"/>
        <v>Essential</v>
      </c>
      <c r="C1097" s="32" t="s">
        <v>1</v>
      </c>
      <c r="D1097" s="384"/>
      <c r="F1097" t="s">
        <v>1513</v>
      </c>
      <c r="G1097" s="22">
        <v>245.61314997021299</v>
      </c>
      <c r="H1097" s="22">
        <v>234.63652600576586</v>
      </c>
      <c r="I1097" s="22">
        <v>476.67544033790489</v>
      </c>
      <c r="J1097" s="22">
        <v>459.49570004924374</v>
      </c>
      <c r="K1097" s="22">
        <v>381.27653464520637</v>
      </c>
      <c r="L1097" s="22">
        <v>335.77398379214361</v>
      </c>
      <c r="M1097" s="22">
        <v>328.51379196459828</v>
      </c>
      <c r="N1097" s="22">
        <v>351.94413932031415</v>
      </c>
      <c r="O1097" s="22">
        <v>376.55210564446656</v>
      </c>
      <c r="P1097" s="22">
        <v>401.83040709700333</v>
      </c>
      <c r="Q1097" s="22">
        <v>427.66371814791</v>
      </c>
      <c r="R1097" s="24">
        <v>60</v>
      </c>
      <c r="S1097" s="24">
        <v>52</v>
      </c>
      <c r="T1097" s="24">
        <v>52</v>
      </c>
      <c r="U1097" s="24">
        <v>63</v>
      </c>
      <c r="V1097" s="24">
        <v>60</v>
      </c>
      <c r="W1097" s="24">
        <v>60</v>
      </c>
      <c r="X1097" s="24">
        <v>63.157035494243019</v>
      </c>
      <c r="Y1097" s="24">
        <v>66.814270281788438</v>
      </c>
      <c r="Z1097" s="24">
        <v>70.556737235992742</v>
      </c>
      <c r="AA1097" s="24">
        <v>74.392184735643156</v>
      </c>
      <c r="AB1097" s="24">
        <v>78.297367644378099</v>
      </c>
      <c r="AC1097" s="26">
        <v>4.5264255842150263</v>
      </c>
      <c r="AD1097" s="26">
        <v>9.3898358837113847</v>
      </c>
      <c r="AE1097" s="26">
        <v>8.3330844160010145</v>
      </c>
      <c r="AF1097" s="26">
        <v>8.0066651761401033</v>
      </c>
      <c r="AG1097" s="26">
        <v>17</v>
      </c>
      <c r="AH1097" s="26">
        <v>1.471774193548387</v>
      </c>
      <c r="AI1097" s="26">
        <v>9.2358870967741939</v>
      </c>
      <c r="AJ1097" s="26">
        <v>9.2358870967741939</v>
      </c>
      <c r="AK1097" s="26">
        <v>9.2358870967741939</v>
      </c>
      <c r="AL1097" s="26">
        <v>9.2358870967741939</v>
      </c>
      <c r="AM1097" s="26">
        <v>9.2358870967741939</v>
      </c>
    </row>
    <row r="1098" spans="2:39" ht="60">
      <c r="B1098" s="32" t="str">
        <f t="shared" si="36"/>
        <v>Essential</v>
      </c>
      <c r="C1098" s="32" t="s">
        <v>1131</v>
      </c>
      <c r="D1098" s="384"/>
      <c r="E1098" s="3" t="s">
        <v>660</v>
      </c>
      <c r="F1098" t="s">
        <v>1446</v>
      </c>
      <c r="G1098" s="22">
        <v>362.00769548686651</v>
      </c>
      <c r="H1098" s="22">
        <v>335.22717666189908</v>
      </c>
      <c r="I1098" s="22">
        <v>228.03762985361232</v>
      </c>
      <c r="J1098" s="22">
        <v>182.55507428705948</v>
      </c>
      <c r="K1098" s="22">
        <v>206.11056883474066</v>
      </c>
      <c r="L1098" s="22">
        <v>283.21889253114841</v>
      </c>
      <c r="M1098" s="22">
        <v>229.76530048982733</v>
      </c>
      <c r="N1098" s="22">
        <v>233.10748597567297</v>
      </c>
      <c r="O1098" s="22">
        <v>236.57716360696983</v>
      </c>
      <c r="P1098" s="22">
        <v>239.81653539979112</v>
      </c>
      <c r="Q1098" s="22">
        <v>242.85300981563327</v>
      </c>
      <c r="R1098" s="24">
        <v>465</v>
      </c>
      <c r="S1098" s="24">
        <v>134</v>
      </c>
      <c r="T1098" s="24">
        <v>22</v>
      </c>
      <c r="U1098" s="24">
        <v>40</v>
      </c>
      <c r="V1098" s="24">
        <v>73</v>
      </c>
      <c r="W1098" s="24">
        <v>107.43951612903226</v>
      </c>
      <c r="X1098" s="24">
        <v>203</v>
      </c>
      <c r="Y1098" s="24">
        <v>203</v>
      </c>
      <c r="Z1098" s="24">
        <v>203</v>
      </c>
      <c r="AA1098" s="24">
        <v>203</v>
      </c>
      <c r="AB1098" s="24">
        <v>203</v>
      </c>
      <c r="AC1098" s="26">
        <v>285.00000000000006</v>
      </c>
      <c r="AD1098" s="26">
        <v>358</v>
      </c>
      <c r="AE1098" s="26">
        <v>273</v>
      </c>
      <c r="AF1098" s="26">
        <v>310</v>
      </c>
      <c r="AG1098" s="26">
        <v>279</v>
      </c>
      <c r="AH1098" s="26">
        <v>300</v>
      </c>
      <c r="AI1098" s="26">
        <v>290</v>
      </c>
      <c r="AJ1098" s="26">
        <v>290</v>
      </c>
      <c r="AK1098" s="26">
        <v>290</v>
      </c>
      <c r="AL1098" s="26">
        <v>290</v>
      </c>
      <c r="AM1098" s="26">
        <v>290</v>
      </c>
    </row>
    <row r="1099" spans="2:39">
      <c r="B1099" s="32" t="str">
        <f t="shared" si="36"/>
        <v>Essential</v>
      </c>
      <c r="C1099" s="32" t="s">
        <v>1131</v>
      </c>
      <c r="D1099" s="384"/>
      <c r="F1099" t="s">
        <v>1447</v>
      </c>
      <c r="G1099" s="22">
        <v>1082.5197861816944</v>
      </c>
      <c r="H1099" s="22">
        <v>566.63399637253826</v>
      </c>
      <c r="I1099" s="22">
        <v>5053.1065706198187</v>
      </c>
      <c r="J1099" s="22">
        <v>5620.4143496128445</v>
      </c>
      <c r="K1099" s="22">
        <v>4446.9061084207751</v>
      </c>
      <c r="L1099" s="22">
        <v>3951.4855074380093</v>
      </c>
      <c r="M1099" s="22">
        <v>4957.265044814767</v>
      </c>
      <c r="N1099" s="22">
        <v>5029.3738412559578</v>
      </c>
      <c r="O1099" s="22">
        <v>5104.2333243969515</v>
      </c>
      <c r="P1099" s="22">
        <v>5174.123880200973</v>
      </c>
      <c r="Q1099" s="22">
        <v>5239.6368556112648</v>
      </c>
      <c r="R1099" s="24">
        <v>927</v>
      </c>
      <c r="S1099" s="24">
        <v>151</v>
      </c>
      <c r="T1099" s="24">
        <v>325</v>
      </c>
      <c r="U1099" s="24">
        <v>821.00000000000011</v>
      </c>
      <c r="V1099" s="24">
        <v>1050</v>
      </c>
      <c r="W1099" s="24">
        <v>999.33467741935488</v>
      </c>
      <c r="X1099" s="24">
        <v>2919.8630136986303</v>
      </c>
      <c r="Y1099" s="24">
        <v>2919.8630136986303</v>
      </c>
      <c r="Z1099" s="24">
        <v>2919.8630136986303</v>
      </c>
      <c r="AA1099" s="24">
        <v>2919.8630136986303</v>
      </c>
      <c r="AB1099" s="24">
        <v>2919.8630136986303</v>
      </c>
      <c r="AC1099" s="26">
        <v>915</v>
      </c>
      <c r="AD1099" s="26">
        <v>1168</v>
      </c>
      <c r="AE1099" s="26">
        <v>1014</v>
      </c>
      <c r="AF1099" s="26">
        <v>977</v>
      </c>
      <c r="AG1099" s="26">
        <v>1123</v>
      </c>
      <c r="AH1099" s="26">
        <v>972.8427419354839</v>
      </c>
      <c r="AI1099" s="26">
        <v>1047.921370967742</v>
      </c>
      <c r="AJ1099" s="26">
        <v>1047.921370967742</v>
      </c>
      <c r="AK1099" s="26">
        <v>1047.921370967742</v>
      </c>
      <c r="AL1099" s="26">
        <v>1047.921370967742</v>
      </c>
      <c r="AM1099" s="26">
        <v>1047.921370967742</v>
      </c>
    </row>
    <row r="1100" spans="2:39">
      <c r="B1100" s="32" t="str">
        <f t="shared" si="36"/>
        <v>Essential</v>
      </c>
      <c r="C1100" s="32" t="s">
        <v>1131</v>
      </c>
      <c r="D1100" s="384"/>
      <c r="F1100" t="s">
        <v>1514</v>
      </c>
      <c r="G1100" s="22">
        <v>1339.428473301406</v>
      </c>
      <c r="H1100" s="22">
        <v>2131.4444366861044</v>
      </c>
      <c r="I1100" s="22">
        <v>761.85299064729588</v>
      </c>
      <c r="J1100" s="22">
        <v>753.03968143412055</v>
      </c>
      <c r="K1100" s="22">
        <v>808.91339686511242</v>
      </c>
      <c r="L1100" s="22">
        <v>663.43055647707376</v>
      </c>
      <c r="M1100" s="22">
        <v>901.75011767582896</v>
      </c>
      <c r="N1100" s="22">
        <v>914.86705112370271</v>
      </c>
      <c r="O1100" s="22">
        <v>928.48434758077872</v>
      </c>
      <c r="P1100" s="22">
        <v>941.19777249370077</v>
      </c>
      <c r="Q1100" s="22">
        <v>953.1148946873825</v>
      </c>
      <c r="R1100" s="24">
        <v>1147</v>
      </c>
      <c r="S1100" s="24">
        <v>568.00000000000011</v>
      </c>
      <c r="T1100" s="24">
        <v>49</v>
      </c>
      <c r="U1100" s="24">
        <v>110</v>
      </c>
      <c r="V1100" s="24">
        <v>191</v>
      </c>
      <c r="W1100" s="24">
        <v>167.78225806451613</v>
      </c>
      <c r="X1100" s="24">
        <v>531.1369863013698</v>
      </c>
      <c r="Y1100" s="24">
        <v>531.1369863013698</v>
      </c>
      <c r="Z1100" s="24">
        <v>531.1369863013698</v>
      </c>
      <c r="AA1100" s="24">
        <v>531.1369863013698</v>
      </c>
      <c r="AB1100" s="24">
        <v>531.1369863013698</v>
      </c>
      <c r="AC1100" s="26">
        <v>253</v>
      </c>
      <c r="AD1100" s="26">
        <v>265</v>
      </c>
      <c r="AE1100" s="26">
        <v>274</v>
      </c>
      <c r="AF1100" s="26">
        <v>384</v>
      </c>
      <c r="AG1100" s="26">
        <v>410.00000000000006</v>
      </c>
      <c r="AH1100" s="26">
        <v>314.95967741935482</v>
      </c>
      <c r="AI1100" s="26">
        <v>362.47983870967744</v>
      </c>
      <c r="AJ1100" s="26">
        <v>362.47983870967744</v>
      </c>
      <c r="AK1100" s="26">
        <v>362.47983870967744</v>
      </c>
      <c r="AL1100" s="26">
        <v>362.47983870967744</v>
      </c>
      <c r="AM1100" s="26">
        <v>362.47983870967744</v>
      </c>
    </row>
    <row r="1101" spans="2:39">
      <c r="B1101" s="32" t="str">
        <f t="shared" si="36"/>
        <v>Essential</v>
      </c>
      <c r="C1101" s="32" t="s">
        <v>1131</v>
      </c>
      <c r="D1101" s="384"/>
      <c r="F1101" t="s">
        <v>1451</v>
      </c>
      <c r="G1101" s="22">
        <v>228.88228488847045</v>
      </c>
      <c r="H1101" s="22">
        <v>195.13223716140396</v>
      </c>
      <c r="I1101" s="22">
        <v>932.88121303750506</v>
      </c>
      <c r="J1101" s="22">
        <v>328.59913371670717</v>
      </c>
      <c r="K1101" s="22">
        <v>999.49508722600285</v>
      </c>
      <c r="L1101" s="22">
        <v>861.29581016321845</v>
      </c>
      <c r="M1101" s="22">
        <v>2733.4345190412141</v>
      </c>
      <c r="N1101" s="22">
        <v>3095.3000555394606</v>
      </c>
      <c r="O1101" s="22">
        <v>6325.8176882086373</v>
      </c>
      <c r="P1101" s="22">
        <v>6213.6409560339662</v>
      </c>
      <c r="Q1101" s="22">
        <v>4401.5616699736702</v>
      </c>
      <c r="R1101" s="24">
        <v>98</v>
      </c>
      <c r="S1101" s="24">
        <v>26.000000000000004</v>
      </c>
      <c r="T1101" s="24">
        <v>30</v>
      </c>
      <c r="U1101" s="24">
        <v>24</v>
      </c>
      <c r="V1101" s="24">
        <v>118.00000000000001</v>
      </c>
      <c r="W1101" s="24">
        <v>108.91129032258064</v>
      </c>
      <c r="X1101" s="24">
        <v>682.09878640136412</v>
      </c>
      <c r="Y1101" s="24">
        <v>713.11496640136409</v>
      </c>
      <c r="Z1101" s="24">
        <v>1297.9433982338699</v>
      </c>
      <c r="AA1101" s="24">
        <v>1269.8437088967</v>
      </c>
      <c r="AB1101" s="24">
        <v>961.68028181818181</v>
      </c>
      <c r="AC1101" s="26">
        <v>71.000000000000014</v>
      </c>
      <c r="AD1101" s="26">
        <v>197</v>
      </c>
      <c r="AE1101" s="26">
        <v>84</v>
      </c>
      <c r="AF1101" s="26">
        <v>74</v>
      </c>
      <c r="AG1101" s="26">
        <v>92</v>
      </c>
      <c r="AH1101" s="26">
        <v>126.57258064516131</v>
      </c>
      <c r="AI1101" s="26">
        <v>109.28629032258064</v>
      </c>
      <c r="AJ1101" s="26">
        <v>109.28629032258064</v>
      </c>
      <c r="AK1101" s="26">
        <v>109.28629032258064</v>
      </c>
      <c r="AL1101" s="26">
        <v>109.28629032258064</v>
      </c>
      <c r="AM1101" s="26">
        <v>109.28629032258064</v>
      </c>
    </row>
    <row r="1102" spans="2:39">
      <c r="B1102" s="32" t="str">
        <f t="shared" si="36"/>
        <v>Essential</v>
      </c>
      <c r="C1102" s="32" t="s">
        <v>1131</v>
      </c>
      <c r="D1102" s="384"/>
      <c r="F1102" t="s">
        <v>1452</v>
      </c>
      <c r="G1102" s="22">
        <v>0</v>
      </c>
      <c r="H1102" s="22">
        <v>312.71191852789093</v>
      </c>
      <c r="I1102" s="22">
        <v>0</v>
      </c>
      <c r="J1102" s="22">
        <v>45.638768571764871</v>
      </c>
      <c r="K1102" s="22">
        <v>42.351486746864524</v>
      </c>
      <c r="L1102" s="22">
        <v>0</v>
      </c>
      <c r="M1102" s="22">
        <v>3607.5599784488918</v>
      </c>
      <c r="N1102" s="22">
        <v>64.201121305436132</v>
      </c>
      <c r="O1102" s="22">
        <v>65.156719936536703</v>
      </c>
      <c r="P1102" s="22">
        <v>66.048889059951435</v>
      </c>
      <c r="Q1102" s="22">
        <v>1073.6604953092537</v>
      </c>
      <c r="R1102" s="24">
        <v>0</v>
      </c>
      <c r="S1102" s="24">
        <v>25</v>
      </c>
      <c r="T1102" s="24">
        <v>0</v>
      </c>
      <c r="U1102" s="24">
        <v>2</v>
      </c>
      <c r="V1102" s="24">
        <v>3</v>
      </c>
      <c r="W1102" s="24">
        <v>0</v>
      </c>
      <c r="X1102" s="24">
        <v>581.04830027116918</v>
      </c>
      <c r="Y1102" s="24">
        <v>11.181818181818182</v>
      </c>
      <c r="Z1102" s="24">
        <v>11.181818181818182</v>
      </c>
      <c r="AA1102" s="24">
        <v>65.182235980021659</v>
      </c>
      <c r="AB1102" s="24">
        <v>12.181818181818183</v>
      </c>
      <c r="AC1102" s="26">
        <v>1</v>
      </c>
      <c r="AD1102" s="26">
        <v>0</v>
      </c>
      <c r="AE1102" s="26">
        <v>4</v>
      </c>
      <c r="AF1102" s="26">
        <v>7</v>
      </c>
      <c r="AG1102" s="26">
        <v>1</v>
      </c>
      <c r="AH1102" s="26">
        <v>1.471774193548387</v>
      </c>
      <c r="AI1102" s="26">
        <v>1.2358870967741935</v>
      </c>
      <c r="AJ1102" s="26">
        <v>1.2358870967741935</v>
      </c>
      <c r="AK1102" s="26">
        <v>1.2358870967741935</v>
      </c>
      <c r="AL1102" s="26">
        <v>1.2358870967741935</v>
      </c>
      <c r="AM1102" s="26">
        <v>1.2358870967741935</v>
      </c>
    </row>
    <row r="1103" spans="2:39">
      <c r="B1103" s="32" t="str">
        <f t="shared" si="36"/>
        <v>Essential</v>
      </c>
      <c r="C1103" s="32" t="s">
        <v>1131</v>
      </c>
      <c r="D1103" s="384"/>
      <c r="F1103" t="s">
        <v>1453</v>
      </c>
      <c r="G1103" s="22">
        <v>0</v>
      </c>
      <c r="H1103" s="22">
        <v>0</v>
      </c>
      <c r="I1103" s="22">
        <v>0</v>
      </c>
      <c r="J1103" s="22">
        <v>0</v>
      </c>
      <c r="K1103" s="22">
        <v>0</v>
      </c>
      <c r="L1103" s="22">
        <v>0</v>
      </c>
      <c r="M1103" s="22">
        <v>0</v>
      </c>
      <c r="N1103" s="22">
        <v>0</v>
      </c>
      <c r="O1103" s="22">
        <v>0</v>
      </c>
      <c r="P1103" s="22">
        <v>0</v>
      </c>
      <c r="Q1103" s="22">
        <v>0</v>
      </c>
      <c r="R1103" s="24">
        <v>0</v>
      </c>
      <c r="S1103" s="24">
        <v>0</v>
      </c>
      <c r="T1103" s="24">
        <v>0</v>
      </c>
      <c r="U1103" s="24">
        <v>0</v>
      </c>
      <c r="V1103" s="24">
        <v>0</v>
      </c>
      <c r="W1103" s="24">
        <v>0</v>
      </c>
      <c r="X1103" s="24">
        <v>0</v>
      </c>
      <c r="Y1103" s="24">
        <v>0</v>
      </c>
      <c r="Z1103" s="24">
        <v>0</v>
      </c>
      <c r="AA1103" s="24">
        <v>0</v>
      </c>
      <c r="AB1103" s="24">
        <v>0</v>
      </c>
      <c r="AC1103" s="26">
        <v>0</v>
      </c>
      <c r="AD1103" s="26">
        <v>0</v>
      </c>
      <c r="AE1103" s="26">
        <v>0</v>
      </c>
      <c r="AF1103" s="26">
        <v>0</v>
      </c>
      <c r="AG1103" s="26">
        <v>0</v>
      </c>
      <c r="AH1103" s="26">
        <v>0</v>
      </c>
      <c r="AI1103" s="26">
        <v>0</v>
      </c>
      <c r="AJ1103" s="26">
        <v>0</v>
      </c>
      <c r="AK1103" s="26">
        <v>0</v>
      </c>
      <c r="AL1103" s="26">
        <v>0</v>
      </c>
      <c r="AM1103" s="26">
        <v>0</v>
      </c>
    </row>
    <row r="1104" spans="2:39">
      <c r="B1104" s="32" t="str">
        <f t="shared" si="36"/>
        <v>Essential</v>
      </c>
      <c r="C1104" s="32" t="s">
        <v>1131</v>
      </c>
      <c r="D1104" s="384"/>
    </row>
    <row r="1105" spans="2:39" ht="75">
      <c r="B1105" s="32" t="str">
        <f t="shared" si="36"/>
        <v>Essential</v>
      </c>
      <c r="C1105" s="32" t="s">
        <v>1132</v>
      </c>
      <c r="D1105" s="384"/>
      <c r="E1105" s="3" t="s">
        <v>538</v>
      </c>
      <c r="F1105" t="s">
        <v>1446</v>
      </c>
      <c r="G1105" s="22">
        <v>92.24138321175279</v>
      </c>
      <c r="H1105" s="22">
        <v>419.07806912325634</v>
      </c>
      <c r="I1105" s="22">
        <v>1457.404439845883</v>
      </c>
      <c r="J1105" s="22">
        <v>1384.4859303818578</v>
      </c>
      <c r="K1105" s="22">
        <v>1123.5309575804356</v>
      </c>
      <c r="L1105" s="22">
        <v>944.51020953719262</v>
      </c>
      <c r="M1105" s="22">
        <v>1329.8808080999947</v>
      </c>
      <c r="N1105" s="22">
        <v>1349.2253667659943</v>
      </c>
      <c r="O1105" s="22">
        <v>1369.3078495530758</v>
      </c>
      <c r="P1105" s="22">
        <v>1388.0573228999629</v>
      </c>
      <c r="Q1105" s="22">
        <v>1405.6324268921946</v>
      </c>
      <c r="R1105" s="24">
        <v>0.4</v>
      </c>
      <c r="S1105" s="24">
        <v>11.9</v>
      </c>
      <c r="T1105" s="24">
        <v>25.1</v>
      </c>
      <c r="U1105" s="24">
        <v>24.299999999999997</v>
      </c>
      <c r="V1105" s="24">
        <v>25.8</v>
      </c>
      <c r="W1105" s="24">
        <v>21.194000000000003</v>
      </c>
      <c r="X1105" s="24">
        <v>29</v>
      </c>
      <c r="Y1105" s="24">
        <v>29</v>
      </c>
      <c r="Z1105" s="24">
        <v>29</v>
      </c>
      <c r="AA1105" s="24">
        <v>29</v>
      </c>
      <c r="AB1105" s="24">
        <v>29</v>
      </c>
      <c r="AC1105" s="26">
        <v>98</v>
      </c>
      <c r="AD1105" s="26">
        <v>52.000000000000007</v>
      </c>
      <c r="AE1105" s="26">
        <v>25</v>
      </c>
      <c r="AF1105" s="26">
        <v>69</v>
      </c>
      <c r="AG1105" s="26">
        <v>63</v>
      </c>
      <c r="AH1105" s="26">
        <v>60.342741935483879</v>
      </c>
      <c r="AI1105" s="26">
        <v>61.671370967741936</v>
      </c>
      <c r="AJ1105" s="26">
        <v>61.671370967741936</v>
      </c>
      <c r="AK1105" s="26">
        <v>61.671370967741936</v>
      </c>
      <c r="AL1105" s="26">
        <v>61.671370967741936</v>
      </c>
      <c r="AM1105" s="26">
        <v>61.671370967741936</v>
      </c>
    </row>
    <row r="1106" spans="2:39">
      <c r="B1106" s="32" t="str">
        <f t="shared" si="36"/>
        <v>Essential</v>
      </c>
      <c r="C1106" s="32" t="s">
        <v>1132</v>
      </c>
      <c r="D1106" s="384"/>
      <c r="F1106" t="s">
        <v>1447</v>
      </c>
      <c r="G1106" s="22">
        <v>5350.0002262816615</v>
      </c>
      <c r="H1106" s="22">
        <v>5222.6283740318413</v>
      </c>
      <c r="I1106" s="22">
        <v>10346.990883686705</v>
      </c>
      <c r="J1106" s="22">
        <v>12055.852792954782</v>
      </c>
      <c r="K1106" s="22">
        <v>10111.77861822392</v>
      </c>
      <c r="L1106" s="22">
        <v>7004.9465549732759</v>
      </c>
      <c r="M1106" s="22">
        <v>11877.211355099955</v>
      </c>
      <c r="N1106" s="22">
        <v>12049.978275599746</v>
      </c>
      <c r="O1106" s="22">
        <v>12229.335621870576</v>
      </c>
      <c r="P1106" s="22">
        <v>12396.787814865187</v>
      </c>
      <c r="Q1106" s="22">
        <v>12553.751674657879</v>
      </c>
      <c r="R1106" s="24">
        <v>23.2</v>
      </c>
      <c r="S1106" s="24">
        <v>148.29999999999998</v>
      </c>
      <c r="T1106" s="24">
        <v>178.2</v>
      </c>
      <c r="U1106" s="24">
        <v>211.60000000000002</v>
      </c>
      <c r="V1106" s="24">
        <v>232.2</v>
      </c>
      <c r="W1106" s="24">
        <v>157.185</v>
      </c>
      <c r="X1106" s="24">
        <v>259</v>
      </c>
      <c r="Y1106" s="24">
        <v>259</v>
      </c>
      <c r="Z1106" s="24">
        <v>259</v>
      </c>
      <c r="AA1106" s="24">
        <v>259</v>
      </c>
      <c r="AB1106" s="24">
        <v>259</v>
      </c>
      <c r="AC1106" s="26">
        <v>292</v>
      </c>
      <c r="AD1106" s="26">
        <v>230</v>
      </c>
      <c r="AE1106" s="26">
        <v>174.00000000000003</v>
      </c>
      <c r="AF1106" s="26">
        <v>188</v>
      </c>
      <c r="AG1106" s="26">
        <v>170</v>
      </c>
      <c r="AH1106" s="26">
        <v>164.83870967741936</v>
      </c>
      <c r="AI1106" s="26">
        <v>167.41935483870969</v>
      </c>
      <c r="AJ1106" s="26">
        <v>167.41935483870969</v>
      </c>
      <c r="AK1106" s="26">
        <v>167.41935483870969</v>
      </c>
      <c r="AL1106" s="26">
        <v>167.41935483870969</v>
      </c>
      <c r="AM1106" s="26">
        <v>167.41935483870969</v>
      </c>
    </row>
    <row r="1107" spans="2:39">
      <c r="B1107" s="32" t="str">
        <f t="shared" si="36"/>
        <v>Essential</v>
      </c>
      <c r="C1107" s="32" t="s">
        <v>1132</v>
      </c>
      <c r="D1107" s="384"/>
      <c r="F1107" t="s">
        <v>1448</v>
      </c>
      <c r="G1107" s="22">
        <v>0</v>
      </c>
      <c r="H1107" s="22">
        <v>7.0433288928278381</v>
      </c>
      <c r="I1107" s="22">
        <v>0</v>
      </c>
      <c r="J1107" s="22">
        <v>393.12563455287324</v>
      </c>
      <c r="K1107" s="22">
        <v>230.80287113086473</v>
      </c>
      <c r="L1107" s="22">
        <v>964.16336620445236</v>
      </c>
      <c r="M1107" s="22">
        <v>275.14775339999892</v>
      </c>
      <c r="N1107" s="22">
        <v>279.15007588261955</v>
      </c>
      <c r="O1107" s="22">
        <v>283.30507232132607</v>
      </c>
      <c r="P1107" s="22">
        <v>287.18427370344062</v>
      </c>
      <c r="Q1107" s="22">
        <v>290.82050211562648</v>
      </c>
      <c r="R1107" s="24">
        <v>0</v>
      </c>
      <c r="S1107" s="24">
        <v>0.2</v>
      </c>
      <c r="T1107" s="24">
        <v>0</v>
      </c>
      <c r="U1107" s="24">
        <v>6.8999999999999995</v>
      </c>
      <c r="V1107" s="24">
        <v>5.3</v>
      </c>
      <c r="W1107" s="24">
        <v>21.635000000000002</v>
      </c>
      <c r="X1107" s="24">
        <v>6</v>
      </c>
      <c r="Y1107" s="24">
        <v>6</v>
      </c>
      <c r="Z1107" s="24">
        <v>6</v>
      </c>
      <c r="AA1107" s="24">
        <v>6</v>
      </c>
      <c r="AB1107" s="24">
        <v>6</v>
      </c>
      <c r="AC1107" s="26">
        <v>28</v>
      </c>
      <c r="AD1107" s="26">
        <v>20</v>
      </c>
      <c r="AE1107" s="26">
        <v>20</v>
      </c>
      <c r="AF1107" s="26">
        <v>25</v>
      </c>
      <c r="AG1107" s="26">
        <v>21</v>
      </c>
      <c r="AH1107" s="26">
        <v>23.548387096774192</v>
      </c>
      <c r="AI1107" s="26">
        <v>22.274193548387096</v>
      </c>
      <c r="AJ1107" s="26">
        <v>22.274193548387096</v>
      </c>
      <c r="AK1107" s="26">
        <v>22.274193548387096</v>
      </c>
      <c r="AL1107" s="26">
        <v>22.274193548387096</v>
      </c>
      <c r="AM1107" s="26">
        <v>22.274193548387096</v>
      </c>
    </row>
    <row r="1108" spans="2:39">
      <c r="B1108" s="32" t="str">
        <f t="shared" si="36"/>
        <v>Essential</v>
      </c>
      <c r="C1108" s="32" t="s">
        <v>1132</v>
      </c>
      <c r="D1108" s="384"/>
      <c r="F1108" t="s">
        <v>1449</v>
      </c>
      <c r="G1108" s="22">
        <v>0</v>
      </c>
      <c r="H1108" s="22">
        <v>0</v>
      </c>
      <c r="I1108" s="22">
        <v>0</v>
      </c>
      <c r="J1108" s="22">
        <v>0</v>
      </c>
      <c r="K1108" s="22">
        <v>0</v>
      </c>
      <c r="L1108" s="22">
        <v>0</v>
      </c>
      <c r="M1108" s="22">
        <v>0</v>
      </c>
      <c r="N1108" s="22">
        <v>0</v>
      </c>
      <c r="O1108" s="22">
        <v>0</v>
      </c>
      <c r="P1108" s="22">
        <v>0</v>
      </c>
      <c r="Q1108" s="22">
        <v>0</v>
      </c>
      <c r="R1108" s="24">
        <v>0</v>
      </c>
      <c r="S1108" s="24">
        <v>0</v>
      </c>
      <c r="T1108" s="24">
        <v>0</v>
      </c>
      <c r="U1108" s="24">
        <v>0</v>
      </c>
      <c r="V1108" s="24">
        <v>0</v>
      </c>
      <c r="W1108" s="24">
        <v>0</v>
      </c>
      <c r="X1108" s="24">
        <v>0</v>
      </c>
      <c r="Y1108" s="24">
        <v>0</v>
      </c>
      <c r="Z1108" s="24">
        <v>0</v>
      </c>
      <c r="AA1108" s="24">
        <v>0</v>
      </c>
      <c r="AB1108" s="24">
        <v>0</v>
      </c>
      <c r="AC1108" s="26">
        <v>0</v>
      </c>
      <c r="AD1108" s="26">
        <v>0</v>
      </c>
      <c r="AE1108" s="26">
        <v>0</v>
      </c>
      <c r="AF1108" s="26">
        <v>0</v>
      </c>
      <c r="AG1108" s="26">
        <v>0</v>
      </c>
      <c r="AH1108" s="26">
        <v>0</v>
      </c>
      <c r="AI1108" s="26">
        <v>0</v>
      </c>
      <c r="AJ1108" s="26">
        <v>0</v>
      </c>
      <c r="AK1108" s="26">
        <v>0</v>
      </c>
      <c r="AL1108" s="26">
        <v>0</v>
      </c>
      <c r="AM1108" s="26">
        <v>0</v>
      </c>
    </row>
    <row r="1109" spans="2:39">
      <c r="B1109" s="32" t="str">
        <f t="shared" si="36"/>
        <v>Essential</v>
      </c>
      <c r="C1109" s="32" t="s">
        <v>1132</v>
      </c>
      <c r="D1109" s="384"/>
      <c r="F1109" t="s">
        <v>1450</v>
      </c>
      <c r="G1109" s="22">
        <v>922.41383211752782</v>
      </c>
      <c r="H1109" s="22">
        <v>1820.7005187959962</v>
      </c>
      <c r="I1109" s="22">
        <v>2932.2280562636288</v>
      </c>
      <c r="J1109" s="22">
        <v>387.42816158833881</v>
      </c>
      <c r="K1109" s="22">
        <v>2133.8378651721455</v>
      </c>
      <c r="L1109" s="22">
        <v>3253.2436206574998</v>
      </c>
      <c r="M1109" s="22">
        <v>2522.1877394999901</v>
      </c>
      <c r="N1109" s="22">
        <v>2558.8756955906792</v>
      </c>
      <c r="O1109" s="22">
        <v>2596.9631629454884</v>
      </c>
      <c r="P1109" s="22">
        <v>2632.5225089482055</v>
      </c>
      <c r="Q1109" s="22">
        <v>2665.8546027265756</v>
      </c>
      <c r="R1109" s="24">
        <v>4</v>
      </c>
      <c r="S1109" s="24">
        <v>51.7</v>
      </c>
      <c r="T1109" s="24">
        <v>50.5</v>
      </c>
      <c r="U1109" s="24">
        <v>6.8</v>
      </c>
      <c r="V1109" s="24">
        <v>49</v>
      </c>
      <c r="W1109" s="24">
        <v>73</v>
      </c>
      <c r="X1109" s="24">
        <v>55</v>
      </c>
      <c r="Y1109" s="24">
        <v>55</v>
      </c>
      <c r="Z1109" s="24">
        <v>55</v>
      </c>
      <c r="AA1109" s="24">
        <v>55</v>
      </c>
      <c r="AB1109" s="24">
        <v>55</v>
      </c>
      <c r="AC1109" s="26">
        <v>137</v>
      </c>
      <c r="AD1109" s="26">
        <v>125</v>
      </c>
      <c r="AE1109" s="26">
        <v>102.00000000000001</v>
      </c>
      <c r="AF1109" s="26">
        <v>123</v>
      </c>
      <c r="AG1109" s="26">
        <v>129</v>
      </c>
      <c r="AH1109" s="26">
        <v>128.04435483870967</v>
      </c>
      <c r="AI1109" s="26">
        <v>128.52217741935482</v>
      </c>
      <c r="AJ1109" s="26">
        <v>128.52217741935482</v>
      </c>
      <c r="AK1109" s="26">
        <v>128.52217741935482</v>
      </c>
      <c r="AL1109" s="26">
        <v>128.52217741935482</v>
      </c>
      <c r="AM1109" s="26">
        <v>128.52217741935482</v>
      </c>
    </row>
    <row r="1110" spans="2:39">
      <c r="B1110" s="32" t="str">
        <f t="shared" si="36"/>
        <v>Essential</v>
      </c>
      <c r="C1110" s="32" t="s">
        <v>1132</v>
      </c>
      <c r="D1110" s="384"/>
      <c r="F1110" t="s">
        <v>1451</v>
      </c>
      <c r="G1110" s="22">
        <v>0</v>
      </c>
      <c r="H1110" s="22">
        <v>11.269326228524541</v>
      </c>
      <c r="I1110" s="22">
        <v>0</v>
      </c>
      <c r="J1110" s="22">
        <v>419.33401018973149</v>
      </c>
      <c r="K1110" s="22">
        <v>118.44977537282115</v>
      </c>
      <c r="L1110" s="22">
        <v>0</v>
      </c>
      <c r="M1110" s="22">
        <v>890.7523765972436</v>
      </c>
      <c r="N1110" s="22">
        <v>1547.9188697596744</v>
      </c>
      <c r="O1110" s="22">
        <v>1890.6979893326077</v>
      </c>
      <c r="P1110" s="22">
        <v>3175.8205598058453</v>
      </c>
      <c r="Q1110" s="22">
        <v>1848.9471584140167</v>
      </c>
      <c r="R1110" s="24">
        <v>0</v>
      </c>
      <c r="S1110" s="24">
        <v>0.2</v>
      </c>
      <c r="T1110" s="24">
        <v>0</v>
      </c>
      <c r="U1110" s="24">
        <v>4.5999999999999996</v>
      </c>
      <c r="V1110" s="24">
        <v>1.7</v>
      </c>
      <c r="W1110" s="24">
        <v>0</v>
      </c>
      <c r="X1110" s="24">
        <v>16.536836274990939</v>
      </c>
      <c r="Y1110" s="24">
        <v>20.672326941657605</v>
      </c>
      <c r="Z1110" s="24">
        <v>35.010677519616081</v>
      </c>
      <c r="AA1110" s="24">
        <v>47.555360608516104</v>
      </c>
      <c r="AB1110" s="24">
        <v>33.311726</v>
      </c>
      <c r="AC1110" s="26">
        <v>27</v>
      </c>
      <c r="AD1110" s="26">
        <v>33</v>
      </c>
      <c r="AE1110" s="26">
        <v>10</v>
      </c>
      <c r="AF1110" s="26">
        <v>17</v>
      </c>
      <c r="AG1110" s="26">
        <v>25</v>
      </c>
      <c r="AH1110" s="26">
        <v>23.548387096774192</v>
      </c>
      <c r="AI1110" s="26">
        <v>24.274193548387096</v>
      </c>
      <c r="AJ1110" s="26">
        <v>24.274193548387096</v>
      </c>
      <c r="AK1110" s="26">
        <v>24.274193548387096</v>
      </c>
      <c r="AL1110" s="26">
        <v>24.274193548387096</v>
      </c>
      <c r="AM1110" s="26">
        <v>24.274193548387096</v>
      </c>
    </row>
    <row r="1111" spans="2:39">
      <c r="B1111" s="32" t="str">
        <f t="shared" si="36"/>
        <v>Essential</v>
      </c>
      <c r="C1111" s="32" t="s">
        <v>1132</v>
      </c>
      <c r="D1111" s="384"/>
      <c r="F1111" t="s">
        <v>1452</v>
      </c>
      <c r="G1111" s="22">
        <v>0</v>
      </c>
      <c r="H1111" s="22">
        <v>0</v>
      </c>
      <c r="I1111" s="22">
        <v>0</v>
      </c>
      <c r="J1111" s="22">
        <v>0</v>
      </c>
      <c r="K1111" s="22">
        <v>20.902901536380199</v>
      </c>
      <c r="L1111" s="22">
        <v>0</v>
      </c>
      <c r="M1111" s="22">
        <v>0</v>
      </c>
      <c r="N1111" s="22">
        <v>0</v>
      </c>
      <c r="O1111" s="22">
        <v>0</v>
      </c>
      <c r="P1111" s="22">
        <v>0</v>
      </c>
      <c r="Q1111" s="22">
        <v>0</v>
      </c>
      <c r="R1111" s="24">
        <v>0</v>
      </c>
      <c r="S1111" s="24">
        <v>0</v>
      </c>
      <c r="T1111" s="24">
        <v>0</v>
      </c>
      <c r="U1111" s="24">
        <v>0</v>
      </c>
      <c r="V1111" s="24">
        <v>0.3</v>
      </c>
      <c r="W1111" s="24">
        <v>0</v>
      </c>
      <c r="X1111" s="24">
        <v>0</v>
      </c>
      <c r="Y1111" s="24">
        <v>0</v>
      </c>
      <c r="Z1111" s="24">
        <v>0</v>
      </c>
      <c r="AA1111" s="24">
        <v>0</v>
      </c>
      <c r="AB1111" s="24">
        <v>0</v>
      </c>
      <c r="AC1111" s="26">
        <v>1</v>
      </c>
      <c r="AD1111" s="26">
        <v>1</v>
      </c>
      <c r="AE1111" s="26">
        <v>0</v>
      </c>
      <c r="AF1111" s="26">
        <v>0</v>
      </c>
      <c r="AG1111" s="26">
        <v>0</v>
      </c>
      <c r="AH1111" s="26">
        <v>0</v>
      </c>
      <c r="AI1111" s="26">
        <v>0</v>
      </c>
      <c r="AJ1111" s="26">
        <v>0</v>
      </c>
      <c r="AK1111" s="26">
        <v>0</v>
      </c>
      <c r="AL1111" s="26">
        <v>0</v>
      </c>
      <c r="AM1111" s="26">
        <v>0</v>
      </c>
    </row>
    <row r="1112" spans="2:39">
      <c r="B1112" s="32" t="str">
        <f t="shared" si="36"/>
        <v>Essential</v>
      </c>
      <c r="C1112" s="32" t="s">
        <v>1132</v>
      </c>
      <c r="D1112" s="384"/>
      <c r="F1112" t="s">
        <v>1453</v>
      </c>
      <c r="G1112" s="22">
        <v>0</v>
      </c>
      <c r="H1112" s="22">
        <v>0</v>
      </c>
      <c r="I1112" s="22">
        <v>0</v>
      </c>
      <c r="J1112" s="22">
        <v>0</v>
      </c>
      <c r="K1112" s="22">
        <v>0</v>
      </c>
      <c r="L1112" s="22">
        <v>0</v>
      </c>
      <c r="M1112" s="22">
        <v>0</v>
      </c>
      <c r="N1112" s="22">
        <v>0</v>
      </c>
      <c r="O1112" s="22">
        <v>0</v>
      </c>
      <c r="P1112" s="22">
        <v>0</v>
      </c>
      <c r="Q1112" s="22">
        <v>0</v>
      </c>
      <c r="R1112" s="24">
        <v>0</v>
      </c>
      <c r="S1112" s="24">
        <v>0</v>
      </c>
      <c r="T1112" s="24">
        <v>0</v>
      </c>
      <c r="U1112" s="24">
        <v>0</v>
      </c>
      <c r="V1112" s="24">
        <v>0</v>
      </c>
      <c r="W1112" s="24">
        <v>0</v>
      </c>
      <c r="X1112" s="24">
        <v>0</v>
      </c>
      <c r="Y1112" s="24">
        <v>0</v>
      </c>
      <c r="Z1112" s="24">
        <v>0</v>
      </c>
      <c r="AA1112" s="24">
        <v>0</v>
      </c>
      <c r="AB1112" s="24">
        <v>0</v>
      </c>
      <c r="AC1112" s="26">
        <v>0</v>
      </c>
      <c r="AD1112" s="26">
        <v>0</v>
      </c>
      <c r="AE1112" s="26">
        <v>0</v>
      </c>
      <c r="AF1112" s="26">
        <v>0</v>
      </c>
      <c r="AG1112" s="26">
        <v>0</v>
      </c>
      <c r="AH1112" s="26">
        <v>0</v>
      </c>
      <c r="AI1112" s="26">
        <v>0</v>
      </c>
      <c r="AJ1112" s="26">
        <v>0</v>
      </c>
      <c r="AK1112" s="26">
        <v>0</v>
      </c>
      <c r="AL1112" s="26">
        <v>0</v>
      </c>
      <c r="AM1112" s="26">
        <v>0</v>
      </c>
    </row>
    <row r="1113" spans="2:39">
      <c r="B1113" s="32" t="str">
        <f t="shared" si="36"/>
        <v>Essential</v>
      </c>
      <c r="C1113" s="32" t="s">
        <v>1132</v>
      </c>
      <c r="D1113" s="384"/>
    </row>
    <row r="1114" spans="2:39" ht="60">
      <c r="B1114" s="32" t="str">
        <f t="shared" si="36"/>
        <v>Essential</v>
      </c>
      <c r="C1114" s="32" t="s">
        <v>1133</v>
      </c>
      <c r="D1114" s="384"/>
      <c r="E1114" s="3" t="s">
        <v>539</v>
      </c>
      <c r="F1114" t="s">
        <v>1446</v>
      </c>
      <c r="G1114" s="22">
        <v>5529.704297511722</v>
      </c>
      <c r="H1114" s="22">
        <v>0</v>
      </c>
      <c r="I1114" s="22">
        <v>3531.0071954002883</v>
      </c>
      <c r="J1114" s="22">
        <v>2616.811998716978</v>
      </c>
      <c r="K1114" s="22">
        <v>1666.6016717413665</v>
      </c>
      <c r="L1114" s="22">
        <v>566.36850269895547</v>
      </c>
      <c r="M1114" s="22">
        <v>3155.3574875492791</v>
      </c>
      <c r="N1114" s="22">
        <v>5260.5975704156217</v>
      </c>
      <c r="O1114" s="22">
        <v>6045.2852369602342</v>
      </c>
      <c r="P1114" s="22">
        <v>6128.3508156600765</v>
      </c>
      <c r="Q1114" s="22">
        <v>5694.8955011212802</v>
      </c>
      <c r="R1114" s="24">
        <v>1</v>
      </c>
      <c r="S1114" s="24">
        <v>0</v>
      </c>
      <c r="T1114" s="24">
        <v>0.9</v>
      </c>
      <c r="U1114" s="24">
        <v>0.5</v>
      </c>
      <c r="V1114" s="24">
        <v>2</v>
      </c>
      <c r="W1114" s="24">
        <v>0.58870967741935498</v>
      </c>
      <c r="X1114" s="24">
        <v>11</v>
      </c>
      <c r="Y1114" s="24">
        <v>19</v>
      </c>
      <c r="Z1114" s="24">
        <v>22</v>
      </c>
      <c r="AA1114" s="24">
        <v>22</v>
      </c>
      <c r="AB1114" s="24">
        <v>22</v>
      </c>
      <c r="AC1114" s="26">
        <v>19</v>
      </c>
      <c r="AD1114" s="26">
        <v>4</v>
      </c>
      <c r="AE1114" s="26">
        <v>16</v>
      </c>
      <c r="AF1114" s="26">
        <v>14</v>
      </c>
      <c r="AG1114" s="26">
        <v>7</v>
      </c>
      <c r="AH1114" s="26">
        <v>8.8306451612903221</v>
      </c>
      <c r="AI1114" s="26">
        <v>7.915322580645161</v>
      </c>
      <c r="AJ1114" s="26">
        <v>7.915322580645161</v>
      </c>
      <c r="AK1114" s="26">
        <v>7.915322580645161</v>
      </c>
      <c r="AL1114" s="26">
        <v>7.915322580645161</v>
      </c>
      <c r="AM1114" s="26">
        <v>7.915322580645161</v>
      </c>
    </row>
    <row r="1115" spans="2:39">
      <c r="B1115" s="32" t="str">
        <f t="shared" si="36"/>
        <v>Essential</v>
      </c>
      <c r="C1115" s="32" t="s">
        <v>1133</v>
      </c>
      <c r="D1115" s="384"/>
      <c r="F1115" t="s">
        <v>1447</v>
      </c>
      <c r="G1115" s="22">
        <v>0</v>
      </c>
      <c r="H1115" s="22">
        <v>7465.3497253720079</v>
      </c>
      <c r="I1115" s="22">
        <v>1177.002398466763</v>
      </c>
      <c r="J1115" s="22">
        <v>0</v>
      </c>
      <c r="K1115" s="22">
        <v>1374.9463791866274</v>
      </c>
      <c r="L1115" s="22">
        <v>2123.8818851210872</v>
      </c>
      <c r="M1115" s="22">
        <v>1979.2696967354564</v>
      </c>
      <c r="N1115" s="22">
        <v>1910.427538729884</v>
      </c>
      <c r="O1115" s="22">
        <v>1896.0212788648009</v>
      </c>
      <c r="P1115" s="22">
        <v>1922.0736649115693</v>
      </c>
      <c r="Q1115" s="22">
        <v>1786.1263162607654</v>
      </c>
      <c r="R1115" s="24">
        <v>0</v>
      </c>
      <c r="S1115" s="24">
        <v>0.2</v>
      </c>
      <c r="T1115" s="24">
        <v>0.2</v>
      </c>
      <c r="U1115" s="24">
        <v>0</v>
      </c>
      <c r="V1115" s="24">
        <v>1.1000000000000001</v>
      </c>
      <c r="W1115" s="24">
        <v>1.4717741935483899</v>
      </c>
      <c r="X1115" s="24">
        <v>4.5999999999999996</v>
      </c>
      <c r="Y1115" s="24">
        <v>4.5999999999999996</v>
      </c>
      <c r="Z1115" s="24">
        <v>4.5999999999999996</v>
      </c>
      <c r="AA1115" s="24">
        <v>4.5999999999999996</v>
      </c>
      <c r="AB1115" s="24">
        <v>4.5999999999999996</v>
      </c>
      <c r="AC1115" s="26">
        <v>5</v>
      </c>
      <c r="AD1115" s="26">
        <v>4</v>
      </c>
      <c r="AE1115" s="26">
        <v>2</v>
      </c>
      <c r="AF1115" s="26">
        <v>5</v>
      </c>
      <c r="AG1115" s="26">
        <v>5</v>
      </c>
      <c r="AH1115" s="26">
        <v>4.415322580645161</v>
      </c>
      <c r="AI1115" s="26">
        <v>4.7076612903225801</v>
      </c>
      <c r="AJ1115" s="26">
        <v>4.7076612903225801</v>
      </c>
      <c r="AK1115" s="26">
        <v>4.7076612903225801</v>
      </c>
      <c r="AL1115" s="26">
        <v>4.7076612903225801</v>
      </c>
      <c r="AM1115" s="26">
        <v>4.7076612903225801</v>
      </c>
    </row>
    <row r="1116" spans="2:39">
      <c r="B1116" s="32" t="str">
        <f t="shared" si="36"/>
        <v>Essential</v>
      </c>
      <c r="C1116" s="32" t="s">
        <v>1133</v>
      </c>
      <c r="D1116" s="384"/>
      <c r="F1116" t="s">
        <v>1454</v>
      </c>
      <c r="G1116" s="22">
        <v>0</v>
      </c>
      <c r="H1116" s="22">
        <v>0</v>
      </c>
      <c r="I1116" s="22">
        <v>0</v>
      </c>
      <c r="J1116" s="22">
        <v>1570.0871992301868</v>
      </c>
      <c r="K1116" s="22">
        <v>624.97562690301243</v>
      </c>
      <c r="L1116" s="22">
        <v>212.38818851210868</v>
      </c>
      <c r="M1116" s="22">
        <v>0</v>
      </c>
      <c r="N1116" s="22">
        <v>0</v>
      </c>
      <c r="O1116" s="22">
        <v>0</v>
      </c>
      <c r="P1116" s="22">
        <v>0</v>
      </c>
      <c r="Q1116" s="22">
        <v>0</v>
      </c>
      <c r="R1116" s="24">
        <v>0</v>
      </c>
      <c r="S1116" s="24">
        <v>0</v>
      </c>
      <c r="T1116" s="24">
        <v>0</v>
      </c>
      <c r="U1116" s="24">
        <v>0.2</v>
      </c>
      <c r="V1116" s="24">
        <v>0.5</v>
      </c>
      <c r="W1116" s="24">
        <v>0.14717741935483902</v>
      </c>
      <c r="X1116" s="24">
        <v>0</v>
      </c>
      <c r="Y1116" s="24">
        <v>0</v>
      </c>
      <c r="Z1116" s="24">
        <v>0</v>
      </c>
      <c r="AA1116" s="24">
        <v>0</v>
      </c>
      <c r="AB1116" s="24">
        <v>0</v>
      </c>
      <c r="AC1116" s="26">
        <v>1</v>
      </c>
      <c r="AD1116" s="26">
        <v>3</v>
      </c>
      <c r="AE1116" s="26">
        <v>2</v>
      </c>
      <c r="AF1116" s="26">
        <v>3</v>
      </c>
      <c r="AG1116" s="26">
        <v>4</v>
      </c>
      <c r="AH1116" s="26">
        <v>0</v>
      </c>
      <c r="AI1116" s="26">
        <v>2</v>
      </c>
      <c r="AJ1116" s="26">
        <v>2</v>
      </c>
      <c r="AK1116" s="26">
        <v>2</v>
      </c>
      <c r="AL1116" s="26">
        <v>2</v>
      </c>
      <c r="AM1116" s="26">
        <v>2</v>
      </c>
    </row>
    <row r="1117" spans="2:39">
      <c r="B1117" s="32" t="str">
        <f t="shared" si="36"/>
        <v>Essential</v>
      </c>
      <c r="C1117" s="32" t="s">
        <v>1133</v>
      </c>
      <c r="D1117" s="384"/>
      <c r="F1117" t="s">
        <v>1455</v>
      </c>
      <c r="G1117" s="22">
        <v>0</v>
      </c>
      <c r="H1117" s="22">
        <v>0</v>
      </c>
      <c r="I1117" s="22">
        <v>0</v>
      </c>
      <c r="J1117" s="22">
        <v>0</v>
      </c>
      <c r="K1117" s="22">
        <v>0</v>
      </c>
      <c r="L1117" s="22">
        <v>0</v>
      </c>
      <c r="M1117" s="22">
        <v>0</v>
      </c>
      <c r="N1117" s="22">
        <v>0</v>
      </c>
      <c r="O1117" s="22">
        <v>1634.565163822306</v>
      </c>
      <c r="P1117" s="22">
        <v>0</v>
      </c>
      <c r="Q1117" s="22">
        <v>0</v>
      </c>
      <c r="R1117" s="24">
        <v>0</v>
      </c>
      <c r="S1117" s="24">
        <v>0</v>
      </c>
      <c r="T1117" s="24">
        <v>0</v>
      </c>
      <c r="U1117" s="24">
        <v>0</v>
      </c>
      <c r="V1117" s="24">
        <v>0</v>
      </c>
      <c r="W1117" s="24">
        <v>0</v>
      </c>
      <c r="X1117" s="24">
        <v>0</v>
      </c>
      <c r="Y1117" s="24">
        <v>0</v>
      </c>
      <c r="Z1117" s="24">
        <v>3.10175</v>
      </c>
      <c r="AA1117" s="24">
        <v>0</v>
      </c>
      <c r="AB1117" s="24">
        <v>0</v>
      </c>
      <c r="AC1117" s="26">
        <v>0</v>
      </c>
      <c r="AD1117" s="26">
        <v>0</v>
      </c>
      <c r="AE1117" s="26">
        <v>0</v>
      </c>
      <c r="AF1117" s="26">
        <v>2</v>
      </c>
      <c r="AG1117" s="26">
        <v>0</v>
      </c>
      <c r="AH1117" s="26">
        <v>0</v>
      </c>
      <c r="AI1117" s="26">
        <v>0</v>
      </c>
      <c r="AJ1117" s="26">
        <v>0</v>
      </c>
      <c r="AK1117" s="26">
        <v>0</v>
      </c>
      <c r="AL1117" s="26">
        <v>0</v>
      </c>
      <c r="AM1117" s="26">
        <v>0</v>
      </c>
    </row>
    <row r="1118" spans="2:39">
      <c r="B1118" s="32" t="str">
        <f t="shared" si="36"/>
        <v>Essential</v>
      </c>
      <c r="C1118" s="32" t="s">
        <v>1133</v>
      </c>
      <c r="D1118" s="384"/>
      <c r="F1118" t="s">
        <v>1456</v>
      </c>
      <c r="G1118" s="22">
        <v>0</v>
      </c>
      <c r="H1118" s="22">
        <v>0</v>
      </c>
      <c r="I1118" s="22">
        <v>0</v>
      </c>
      <c r="J1118" s="22">
        <v>0</v>
      </c>
      <c r="K1118" s="22">
        <v>0</v>
      </c>
      <c r="L1118" s="22">
        <v>0</v>
      </c>
      <c r="M1118" s="22">
        <v>529.15819780996026</v>
      </c>
      <c r="N1118" s="22">
        <v>966.34504044491871</v>
      </c>
      <c r="O1118" s="22">
        <v>435.86015385361924</v>
      </c>
      <c r="P1118" s="22">
        <v>3313.8047565362872</v>
      </c>
      <c r="Q1118" s="22">
        <v>0</v>
      </c>
      <c r="R1118" s="24">
        <v>0</v>
      </c>
      <c r="S1118" s="24">
        <v>0</v>
      </c>
      <c r="T1118" s="24">
        <v>0</v>
      </c>
      <c r="U1118" s="24">
        <v>0</v>
      </c>
      <c r="V1118" s="24">
        <v>0</v>
      </c>
      <c r="W1118" s="24">
        <v>0</v>
      </c>
      <c r="X1118" s="24">
        <v>1.5508399100887695</v>
      </c>
      <c r="Y1118" s="24">
        <v>1.9644049999999997</v>
      </c>
      <c r="Z1118" s="24">
        <v>2.377942</v>
      </c>
      <c r="AA1118" s="24">
        <v>0</v>
      </c>
      <c r="AB1118" s="24">
        <v>0</v>
      </c>
      <c r="AC1118" s="26">
        <v>0</v>
      </c>
      <c r="AD1118" s="26">
        <v>0</v>
      </c>
      <c r="AE1118" s="26">
        <v>0</v>
      </c>
      <c r="AF1118" s="26">
        <v>0</v>
      </c>
      <c r="AG1118" s="26">
        <v>0</v>
      </c>
      <c r="AH1118" s="26">
        <v>0</v>
      </c>
      <c r="AI1118" s="26">
        <v>0</v>
      </c>
      <c r="AJ1118" s="26">
        <v>0</v>
      </c>
      <c r="AK1118" s="26">
        <v>0</v>
      </c>
      <c r="AL1118" s="26">
        <v>0</v>
      </c>
      <c r="AM1118" s="26">
        <v>0</v>
      </c>
    </row>
    <row r="1119" spans="2:39">
      <c r="B1119" s="32" t="str">
        <f t="shared" si="36"/>
        <v>Essential</v>
      </c>
      <c r="C1119" s="32" t="s">
        <v>1133</v>
      </c>
      <c r="D1119" s="384"/>
      <c r="F1119" t="s">
        <v>1452</v>
      </c>
      <c r="G1119" s="22">
        <v>0</v>
      </c>
      <c r="H1119" s="22">
        <v>0</v>
      </c>
      <c r="I1119" s="22">
        <v>0</v>
      </c>
      <c r="J1119" s="22">
        <v>0</v>
      </c>
      <c r="K1119" s="22">
        <v>0</v>
      </c>
      <c r="L1119" s="22">
        <v>0</v>
      </c>
      <c r="M1119" s="22">
        <v>0</v>
      </c>
      <c r="N1119" s="22">
        <v>0</v>
      </c>
      <c r="O1119" s="22">
        <v>0</v>
      </c>
      <c r="P1119" s="22">
        <v>0</v>
      </c>
      <c r="Q1119" s="22">
        <v>0</v>
      </c>
      <c r="R1119" s="24">
        <v>0</v>
      </c>
      <c r="S1119" s="24">
        <v>0</v>
      </c>
      <c r="T1119" s="24">
        <v>0</v>
      </c>
      <c r="U1119" s="24">
        <v>0</v>
      </c>
      <c r="V1119" s="24">
        <v>0</v>
      </c>
      <c r="W1119" s="24">
        <v>0</v>
      </c>
      <c r="X1119" s="24">
        <v>0</v>
      </c>
      <c r="Y1119" s="24">
        <v>0</v>
      </c>
      <c r="Z1119" s="24">
        <v>0</v>
      </c>
      <c r="AA1119" s="24">
        <v>0</v>
      </c>
      <c r="AB1119" s="24">
        <v>0</v>
      </c>
      <c r="AC1119" s="26">
        <v>0</v>
      </c>
      <c r="AD1119" s="26">
        <v>0</v>
      </c>
      <c r="AE1119" s="26">
        <v>0</v>
      </c>
      <c r="AF1119" s="26">
        <v>0</v>
      </c>
      <c r="AG1119" s="26">
        <v>0</v>
      </c>
      <c r="AH1119" s="26">
        <v>0</v>
      </c>
      <c r="AI1119" s="26">
        <v>0</v>
      </c>
      <c r="AJ1119" s="26">
        <v>0</v>
      </c>
      <c r="AK1119" s="26">
        <v>0</v>
      </c>
      <c r="AL1119" s="26">
        <v>0</v>
      </c>
      <c r="AM1119" s="26">
        <v>0</v>
      </c>
    </row>
    <row r="1120" spans="2:39">
      <c r="B1120" s="32" t="str">
        <f t="shared" si="36"/>
        <v>Essential</v>
      </c>
      <c r="C1120" s="32" t="s">
        <v>1133</v>
      </c>
      <c r="D1120" s="384"/>
      <c r="F1120" t="s">
        <v>1457</v>
      </c>
      <c r="G1120" s="22">
        <v>0</v>
      </c>
      <c r="H1120" s="22">
        <v>0</v>
      </c>
      <c r="I1120" s="22">
        <v>0</v>
      </c>
      <c r="J1120" s="22">
        <v>0</v>
      </c>
      <c r="K1120" s="22">
        <v>0</v>
      </c>
      <c r="L1120" s="22">
        <v>0</v>
      </c>
      <c r="M1120" s="22">
        <v>0</v>
      </c>
      <c r="N1120" s="22">
        <v>0</v>
      </c>
      <c r="O1120" s="22">
        <v>0</v>
      </c>
      <c r="P1120" s="22">
        <v>0</v>
      </c>
      <c r="Q1120" s="22">
        <v>0</v>
      </c>
      <c r="R1120" s="24">
        <v>0</v>
      </c>
      <c r="S1120" s="24">
        <v>0</v>
      </c>
      <c r="T1120" s="24">
        <v>0</v>
      </c>
      <c r="U1120" s="24">
        <v>0</v>
      </c>
      <c r="V1120" s="24">
        <v>0</v>
      </c>
      <c r="W1120" s="24">
        <v>0</v>
      </c>
      <c r="X1120" s="24">
        <v>0</v>
      </c>
      <c r="Y1120" s="24">
        <v>0</v>
      </c>
      <c r="Z1120" s="24">
        <v>0</v>
      </c>
      <c r="AA1120" s="24">
        <v>0</v>
      </c>
      <c r="AB1120" s="24">
        <v>0</v>
      </c>
      <c r="AC1120" s="26">
        <v>0</v>
      </c>
      <c r="AD1120" s="26">
        <v>0</v>
      </c>
      <c r="AE1120" s="26">
        <v>0</v>
      </c>
      <c r="AF1120" s="26">
        <v>0</v>
      </c>
      <c r="AG1120" s="26">
        <v>0</v>
      </c>
      <c r="AH1120" s="26">
        <v>0</v>
      </c>
      <c r="AI1120" s="26">
        <v>0</v>
      </c>
      <c r="AJ1120" s="26">
        <v>0</v>
      </c>
      <c r="AK1120" s="26">
        <v>0</v>
      </c>
      <c r="AL1120" s="26">
        <v>0</v>
      </c>
      <c r="AM1120" s="26">
        <v>0</v>
      </c>
    </row>
    <row r="1121" spans="2:39">
      <c r="B1121" s="32" t="str">
        <f t="shared" si="36"/>
        <v>Essential</v>
      </c>
      <c r="C1121" s="32" t="s">
        <v>1133</v>
      </c>
      <c r="D1121" s="384"/>
    </row>
    <row r="1122" spans="2:39" ht="75">
      <c r="B1122" s="32" t="str">
        <f t="shared" si="36"/>
        <v>Essential</v>
      </c>
      <c r="C1122" s="32" t="s">
        <v>719</v>
      </c>
      <c r="D1122" s="384"/>
      <c r="E1122" s="3" t="s">
        <v>541</v>
      </c>
      <c r="F1122" t="s">
        <v>1458</v>
      </c>
      <c r="G1122" s="22">
        <v>2456.544548422246</v>
      </c>
      <c r="H1122" s="22">
        <v>2830.3955615261239</v>
      </c>
      <c r="I1122" s="22">
        <v>5579.6902834906032</v>
      </c>
      <c r="J1122" s="22">
        <v>5451.8560038765199</v>
      </c>
      <c r="K1122" s="22">
        <v>5117.3796601512304</v>
      </c>
      <c r="L1122" s="22">
        <v>4304.5649571691538</v>
      </c>
      <c r="M1122" s="22">
        <v>2884.1598504848639</v>
      </c>
      <c r="N1122" s="22">
        <v>5851.9632975005898</v>
      </c>
      <c r="O1122" s="22">
        <v>6928.7439905340889</v>
      </c>
      <c r="P1122" s="22">
        <v>7024.08242919233</v>
      </c>
      <c r="Q1122" s="22">
        <v>7112.7964230671869</v>
      </c>
      <c r="R1122" s="24">
        <v>556.22031870711442</v>
      </c>
      <c r="S1122" s="24">
        <v>3068.9043624662072</v>
      </c>
      <c r="T1122" s="24">
        <v>16625.014237168973</v>
      </c>
      <c r="U1122" s="24">
        <v>23838.820488014619</v>
      </c>
      <c r="V1122" s="24">
        <v>16944.751636238376</v>
      </c>
      <c r="W1122" s="24">
        <v>104.65498702261772</v>
      </c>
      <c r="X1122" s="24">
        <v>7719</v>
      </c>
      <c r="Y1122" s="24">
        <v>7719</v>
      </c>
      <c r="Z1122" s="24">
        <v>7719</v>
      </c>
      <c r="AA1122" s="24">
        <v>7719</v>
      </c>
      <c r="AB1122" s="24">
        <v>7719</v>
      </c>
      <c r="AC1122" s="26">
        <v>939.99048751486328</v>
      </c>
      <c r="AD1122" s="26">
        <v>845.27323162274615</v>
      </c>
      <c r="AE1122" s="26">
        <v>694.75510204081638</v>
      </c>
      <c r="AF1122" s="26">
        <v>657.23684210526312</v>
      </c>
      <c r="AG1122" s="26">
        <v>823.6488340192044</v>
      </c>
      <c r="AH1122" s="26">
        <v>619.68624340988299</v>
      </c>
      <c r="AI1122" s="26">
        <v>2140.7783933518003</v>
      </c>
      <c r="AJ1122" s="26">
        <v>2140.7783933518003</v>
      </c>
      <c r="AK1122" s="26">
        <v>2140.7783933518003</v>
      </c>
      <c r="AL1122" s="26">
        <v>2140.7783933518003</v>
      </c>
      <c r="AM1122" s="26">
        <v>2140.7783933518003</v>
      </c>
    </row>
    <row r="1123" spans="2:39">
      <c r="B1123" s="32" t="str">
        <f t="shared" si="36"/>
        <v>Essential</v>
      </c>
      <c r="C1123" s="32" t="s">
        <v>719</v>
      </c>
      <c r="D1123" s="384"/>
      <c r="F1123" t="s">
        <v>1459</v>
      </c>
      <c r="G1123" s="22">
        <v>57.130097027708921</v>
      </c>
      <c r="H1123" s="22">
        <v>124.06056004448023</v>
      </c>
      <c r="I1123" s="22">
        <v>240.43256356220073</v>
      </c>
      <c r="J1123" s="22">
        <v>330.19560423922758</v>
      </c>
      <c r="K1123" s="22">
        <v>308.85870993473611</v>
      </c>
      <c r="L1123" s="22">
        <v>500.64990591981604</v>
      </c>
      <c r="M1123" s="22">
        <v>305.34206889703722</v>
      </c>
      <c r="N1123" s="22">
        <v>619.53937125501761</v>
      </c>
      <c r="O1123" s="22">
        <v>733.53667431849419</v>
      </c>
      <c r="P1123" s="22">
        <v>743.63002476175302</v>
      </c>
      <c r="Q1123" s="22">
        <v>753.02205427263971</v>
      </c>
      <c r="R1123" s="24">
        <v>10.779681292885519</v>
      </c>
      <c r="S1123" s="24">
        <v>112.09563753379285</v>
      </c>
      <c r="T1123" s="24">
        <v>596.98576283102886</v>
      </c>
      <c r="U1123" s="24">
        <v>1203.1795119853812</v>
      </c>
      <c r="V1123" s="24">
        <v>852.24836376162591</v>
      </c>
      <c r="W1123" s="24">
        <v>10.143400074156471</v>
      </c>
      <c r="X1123" s="24">
        <v>681</v>
      </c>
      <c r="Y1123" s="24">
        <v>681</v>
      </c>
      <c r="Z1123" s="24">
        <v>681</v>
      </c>
      <c r="AA1123" s="24">
        <v>681</v>
      </c>
      <c r="AB1123" s="24">
        <v>681</v>
      </c>
      <c r="AC1123" s="26">
        <v>88.009512485136739</v>
      </c>
      <c r="AD1123" s="26">
        <v>76.726768377253819</v>
      </c>
      <c r="AE1123" s="26">
        <v>72.244897959183675</v>
      </c>
      <c r="AF1123" s="26">
        <v>82.763157894736864</v>
      </c>
      <c r="AG1123" s="26">
        <v>59.351165980795614</v>
      </c>
      <c r="AH1123" s="26">
        <v>60.273434009471906</v>
      </c>
      <c r="AI1123" s="26">
        <v>208.22160664819947</v>
      </c>
      <c r="AJ1123" s="26">
        <v>208.22160664819947</v>
      </c>
      <c r="AK1123" s="26">
        <v>208.22160664819947</v>
      </c>
      <c r="AL1123" s="26">
        <v>208.22160664819947</v>
      </c>
      <c r="AM1123" s="26">
        <v>208.22160664819947</v>
      </c>
    </row>
    <row r="1124" spans="2:39">
      <c r="B1124" s="32" t="str">
        <f t="shared" si="36"/>
        <v>Essential</v>
      </c>
      <c r="C1124" s="32" t="s">
        <v>719</v>
      </c>
      <c r="D1124" s="384"/>
      <c r="F1124" t="s">
        <v>1460</v>
      </c>
      <c r="G1124" s="22">
        <v>0</v>
      </c>
      <c r="H1124" s="22">
        <v>0</v>
      </c>
      <c r="I1124" s="22">
        <v>0</v>
      </c>
      <c r="J1124" s="22">
        <v>0</v>
      </c>
      <c r="K1124" s="22">
        <v>0</v>
      </c>
      <c r="L1124" s="22">
        <v>0</v>
      </c>
      <c r="M1124" s="22">
        <v>0</v>
      </c>
      <c r="N1124" s="22">
        <v>0</v>
      </c>
      <c r="O1124" s="22">
        <v>0</v>
      </c>
      <c r="P1124" s="22">
        <v>0</v>
      </c>
      <c r="Q1124" s="22">
        <v>0</v>
      </c>
      <c r="R1124" s="24">
        <v>0</v>
      </c>
      <c r="S1124" s="24">
        <v>0</v>
      </c>
      <c r="T1124" s="24">
        <v>0</v>
      </c>
      <c r="U1124" s="24">
        <v>0</v>
      </c>
      <c r="V1124" s="24">
        <v>0</v>
      </c>
      <c r="W1124" s="24">
        <v>0</v>
      </c>
      <c r="X1124" s="24">
        <v>0</v>
      </c>
      <c r="Y1124" s="24">
        <v>0</v>
      </c>
      <c r="Z1124" s="24">
        <v>0</v>
      </c>
      <c r="AA1124" s="24">
        <v>0</v>
      </c>
      <c r="AB1124" s="24">
        <v>0</v>
      </c>
      <c r="AC1124" s="26">
        <v>0</v>
      </c>
      <c r="AD1124" s="26">
        <v>0</v>
      </c>
      <c r="AE1124" s="26">
        <v>0</v>
      </c>
      <c r="AF1124" s="26">
        <v>0</v>
      </c>
      <c r="AG1124" s="26">
        <v>0</v>
      </c>
      <c r="AH1124" s="26">
        <v>0</v>
      </c>
      <c r="AI1124" s="26">
        <v>0</v>
      </c>
      <c r="AJ1124" s="26">
        <v>0</v>
      </c>
      <c r="AK1124" s="26">
        <v>0</v>
      </c>
      <c r="AL1124" s="26">
        <v>0</v>
      </c>
      <c r="AM1124" s="26">
        <v>0</v>
      </c>
    </row>
    <row r="1125" spans="2:39">
      <c r="B1125" s="32" t="str">
        <f t="shared" si="36"/>
        <v>Essential</v>
      </c>
      <c r="C1125" s="32" t="s">
        <v>719</v>
      </c>
      <c r="D1125" s="384"/>
      <c r="F1125" t="s">
        <v>1461</v>
      </c>
      <c r="G1125" s="22">
        <v>0</v>
      </c>
      <c r="H1125" s="22">
        <v>0</v>
      </c>
      <c r="I1125" s="22">
        <v>0</v>
      </c>
      <c r="J1125" s="22">
        <v>0</v>
      </c>
      <c r="K1125" s="22">
        <v>0</v>
      </c>
      <c r="L1125" s="22">
        <v>0</v>
      </c>
      <c r="M1125" s="22">
        <v>0</v>
      </c>
      <c r="N1125" s="22">
        <v>0</v>
      </c>
      <c r="O1125" s="22">
        <v>0</v>
      </c>
      <c r="P1125" s="22">
        <v>0</v>
      </c>
      <c r="Q1125" s="22">
        <v>0</v>
      </c>
      <c r="R1125" s="24">
        <v>0</v>
      </c>
      <c r="S1125" s="24">
        <v>0</v>
      </c>
      <c r="T1125" s="24">
        <v>0</v>
      </c>
      <c r="U1125" s="24">
        <v>0</v>
      </c>
      <c r="V1125" s="24">
        <v>0</v>
      </c>
      <c r="W1125" s="24">
        <v>0</v>
      </c>
      <c r="X1125" s="24">
        <v>0</v>
      </c>
      <c r="Y1125" s="24">
        <v>0</v>
      </c>
      <c r="Z1125" s="24">
        <v>0</v>
      </c>
      <c r="AA1125" s="24">
        <v>0</v>
      </c>
      <c r="AB1125" s="24">
        <v>0</v>
      </c>
      <c r="AC1125" s="26">
        <v>0</v>
      </c>
      <c r="AD1125" s="26">
        <v>0</v>
      </c>
      <c r="AE1125" s="26">
        <v>0</v>
      </c>
      <c r="AF1125" s="26">
        <v>0</v>
      </c>
      <c r="AG1125" s="26">
        <v>0</v>
      </c>
      <c r="AH1125" s="26">
        <v>0</v>
      </c>
      <c r="AI1125" s="26">
        <v>0</v>
      </c>
      <c r="AJ1125" s="26">
        <v>0</v>
      </c>
      <c r="AK1125" s="26">
        <v>0</v>
      </c>
      <c r="AL1125" s="26">
        <v>0</v>
      </c>
      <c r="AM1125" s="26">
        <v>0</v>
      </c>
    </row>
    <row r="1126" spans="2:39">
      <c r="B1126" s="32" t="str">
        <f t="shared" ref="B1126:B1189" si="37">IF(D1126&gt;0,D1126,B1125)</f>
        <v>Essential</v>
      </c>
      <c r="C1126" s="32" t="s">
        <v>719</v>
      </c>
      <c r="D1126" s="384"/>
      <c r="F1126" t="s">
        <v>1462</v>
      </c>
      <c r="G1126" s="22">
        <v>0</v>
      </c>
      <c r="H1126" s="22">
        <v>0</v>
      </c>
      <c r="I1126" s="22">
        <v>0</v>
      </c>
      <c r="J1126" s="22">
        <v>0</v>
      </c>
      <c r="K1126" s="22">
        <v>0</v>
      </c>
      <c r="L1126" s="22">
        <v>0</v>
      </c>
      <c r="M1126" s="22">
        <v>0</v>
      </c>
      <c r="N1126" s="22">
        <v>0</v>
      </c>
      <c r="O1126" s="22">
        <v>0</v>
      </c>
      <c r="P1126" s="22">
        <v>0</v>
      </c>
      <c r="Q1126" s="22">
        <v>0</v>
      </c>
      <c r="R1126" s="24">
        <v>0</v>
      </c>
      <c r="S1126" s="24">
        <v>0</v>
      </c>
      <c r="T1126" s="24">
        <v>0</v>
      </c>
      <c r="U1126" s="24">
        <v>0</v>
      </c>
      <c r="V1126" s="24">
        <v>0</v>
      </c>
      <c r="W1126" s="24">
        <v>0</v>
      </c>
      <c r="X1126" s="24">
        <v>0</v>
      </c>
      <c r="Y1126" s="24">
        <v>0</v>
      </c>
      <c r="Z1126" s="24">
        <v>0</v>
      </c>
      <c r="AA1126" s="24">
        <v>0</v>
      </c>
      <c r="AB1126" s="24">
        <v>0</v>
      </c>
      <c r="AC1126" s="26">
        <v>0</v>
      </c>
      <c r="AD1126" s="26">
        <v>0</v>
      </c>
      <c r="AE1126" s="26">
        <v>0</v>
      </c>
      <c r="AF1126" s="26">
        <v>0</v>
      </c>
      <c r="AG1126" s="26">
        <v>0</v>
      </c>
      <c r="AH1126" s="26">
        <v>0</v>
      </c>
      <c r="AI1126" s="26">
        <v>0</v>
      </c>
      <c r="AJ1126" s="26">
        <v>0</v>
      </c>
      <c r="AK1126" s="26">
        <v>0</v>
      </c>
      <c r="AL1126" s="26">
        <v>0</v>
      </c>
      <c r="AM1126" s="26">
        <v>0</v>
      </c>
    </row>
    <row r="1127" spans="2:39">
      <c r="B1127" s="32" t="str">
        <f t="shared" si="37"/>
        <v>Essential</v>
      </c>
      <c r="C1127" s="32" t="s">
        <v>719</v>
      </c>
      <c r="D1127" s="384"/>
      <c r="F1127" t="s">
        <v>1463</v>
      </c>
      <c r="G1127" s="22">
        <v>0</v>
      </c>
      <c r="H1127" s="22">
        <v>0</v>
      </c>
      <c r="I1127" s="22">
        <v>0</v>
      </c>
      <c r="J1127" s="22">
        <v>0</v>
      </c>
      <c r="K1127" s="22">
        <v>0</v>
      </c>
      <c r="L1127" s="22">
        <v>0</v>
      </c>
      <c r="M1127" s="22">
        <v>0</v>
      </c>
      <c r="N1127" s="22">
        <v>0</v>
      </c>
      <c r="O1127" s="22">
        <v>0</v>
      </c>
      <c r="P1127" s="22">
        <v>0</v>
      </c>
      <c r="Q1127" s="22">
        <v>0</v>
      </c>
      <c r="R1127" s="24">
        <v>0</v>
      </c>
      <c r="S1127" s="24">
        <v>0</v>
      </c>
      <c r="T1127" s="24">
        <v>0</v>
      </c>
      <c r="U1127" s="24">
        <v>0</v>
      </c>
      <c r="V1127" s="24">
        <v>0</v>
      </c>
      <c r="W1127" s="24">
        <v>0</v>
      </c>
      <c r="X1127" s="24">
        <v>0</v>
      </c>
      <c r="Y1127" s="24">
        <v>0</v>
      </c>
      <c r="Z1127" s="24">
        <v>0</v>
      </c>
      <c r="AA1127" s="24">
        <v>0</v>
      </c>
      <c r="AB1127" s="24">
        <v>0</v>
      </c>
      <c r="AC1127" s="26">
        <v>0</v>
      </c>
      <c r="AD1127" s="26">
        <v>0</v>
      </c>
      <c r="AE1127" s="26">
        <v>0</v>
      </c>
      <c r="AF1127" s="26">
        <v>0</v>
      </c>
      <c r="AG1127" s="26">
        <v>0</v>
      </c>
      <c r="AH1127" s="26">
        <v>0</v>
      </c>
      <c r="AI1127" s="26">
        <v>0</v>
      </c>
      <c r="AJ1127" s="26">
        <v>0</v>
      </c>
      <c r="AK1127" s="26">
        <v>0</v>
      </c>
      <c r="AL1127" s="26">
        <v>0</v>
      </c>
      <c r="AM1127" s="26">
        <v>0</v>
      </c>
    </row>
    <row r="1128" spans="2:39">
      <c r="B1128" s="32" t="str">
        <f t="shared" si="37"/>
        <v>Essential</v>
      </c>
      <c r="C1128" s="32" t="s">
        <v>719</v>
      </c>
      <c r="D1128" s="384"/>
      <c r="F1128" t="s">
        <v>1464</v>
      </c>
      <c r="G1128" s="22">
        <v>0</v>
      </c>
      <c r="H1128" s="22">
        <v>0</v>
      </c>
      <c r="I1128" s="22">
        <v>0</v>
      </c>
      <c r="J1128" s="22">
        <v>0</v>
      </c>
      <c r="K1128" s="22">
        <v>0</v>
      </c>
      <c r="L1128" s="22">
        <v>0</v>
      </c>
      <c r="M1128" s="22">
        <v>0</v>
      </c>
      <c r="N1128" s="22">
        <v>0</v>
      </c>
      <c r="O1128" s="22">
        <v>0</v>
      </c>
      <c r="P1128" s="22">
        <v>0</v>
      </c>
      <c r="Q1128" s="22">
        <v>0</v>
      </c>
      <c r="R1128" s="24">
        <v>0</v>
      </c>
      <c r="S1128" s="24">
        <v>0</v>
      </c>
      <c r="T1128" s="24">
        <v>0</v>
      </c>
      <c r="U1128" s="24">
        <v>0</v>
      </c>
      <c r="V1128" s="24">
        <v>0</v>
      </c>
      <c r="W1128" s="24">
        <v>0</v>
      </c>
      <c r="X1128" s="24">
        <v>0</v>
      </c>
      <c r="Y1128" s="24">
        <v>0</v>
      </c>
      <c r="Z1128" s="24">
        <v>0</v>
      </c>
      <c r="AA1128" s="24">
        <v>0</v>
      </c>
      <c r="AB1128" s="24">
        <v>0</v>
      </c>
      <c r="AC1128" s="26">
        <v>0</v>
      </c>
      <c r="AD1128" s="26">
        <v>0</v>
      </c>
      <c r="AE1128" s="26">
        <v>0</v>
      </c>
      <c r="AF1128" s="26">
        <v>0</v>
      </c>
      <c r="AG1128" s="26">
        <v>0</v>
      </c>
      <c r="AH1128" s="26">
        <v>0</v>
      </c>
      <c r="AI1128" s="26">
        <v>0</v>
      </c>
      <c r="AJ1128" s="26">
        <v>0</v>
      </c>
      <c r="AK1128" s="26">
        <v>0</v>
      </c>
      <c r="AL1128" s="26">
        <v>0</v>
      </c>
      <c r="AM1128" s="26">
        <v>0</v>
      </c>
    </row>
    <row r="1129" spans="2:39">
      <c r="B1129" s="32" t="str">
        <f t="shared" si="37"/>
        <v>Essential</v>
      </c>
      <c r="C1129" s="32" t="s">
        <v>719</v>
      </c>
      <c r="D1129" s="384"/>
      <c r="F1129" t="s">
        <v>1465</v>
      </c>
      <c r="G1129" s="22">
        <v>0</v>
      </c>
      <c r="H1129" s="22">
        <v>0</v>
      </c>
      <c r="I1129" s="22">
        <v>0</v>
      </c>
      <c r="J1129" s="22">
        <v>0</v>
      </c>
      <c r="K1129" s="22">
        <v>0</v>
      </c>
      <c r="L1129" s="22">
        <v>0</v>
      </c>
      <c r="M1129" s="22">
        <v>0</v>
      </c>
      <c r="N1129" s="22">
        <v>0</v>
      </c>
      <c r="O1129" s="22">
        <v>0</v>
      </c>
      <c r="P1129" s="22">
        <v>0</v>
      </c>
      <c r="Q1129" s="22">
        <v>0</v>
      </c>
      <c r="R1129" s="24">
        <v>0</v>
      </c>
      <c r="S1129" s="24">
        <v>0</v>
      </c>
      <c r="T1129" s="24">
        <v>0</v>
      </c>
      <c r="U1129" s="24">
        <v>0</v>
      </c>
      <c r="V1129" s="24">
        <v>0</v>
      </c>
      <c r="W1129" s="24">
        <v>0</v>
      </c>
      <c r="X1129" s="24">
        <v>0</v>
      </c>
      <c r="Y1129" s="24">
        <v>0</v>
      </c>
      <c r="Z1129" s="24">
        <v>0</v>
      </c>
      <c r="AA1129" s="24">
        <v>0</v>
      </c>
      <c r="AB1129" s="24">
        <v>0</v>
      </c>
      <c r="AC1129" s="26">
        <v>0</v>
      </c>
      <c r="AD1129" s="26">
        <v>0</v>
      </c>
      <c r="AE1129" s="26">
        <v>0</v>
      </c>
      <c r="AF1129" s="26">
        <v>0</v>
      </c>
      <c r="AG1129" s="26">
        <v>0</v>
      </c>
      <c r="AH1129" s="26">
        <v>0</v>
      </c>
      <c r="AI1129" s="26">
        <v>0</v>
      </c>
      <c r="AJ1129" s="26">
        <v>0</v>
      </c>
      <c r="AK1129" s="26">
        <v>0</v>
      </c>
      <c r="AL1129" s="26">
        <v>0</v>
      </c>
      <c r="AM1129" s="26">
        <v>0</v>
      </c>
    </row>
    <row r="1130" spans="2:39">
      <c r="B1130" s="32" t="str">
        <f t="shared" si="37"/>
        <v>Essential</v>
      </c>
      <c r="C1130" s="32" t="s">
        <v>719</v>
      </c>
      <c r="D1130" s="384"/>
      <c r="F1130" t="s">
        <v>1466</v>
      </c>
      <c r="G1130" s="22">
        <v>0</v>
      </c>
      <c r="H1130" s="22">
        <v>0</v>
      </c>
      <c r="I1130" s="22">
        <v>0</v>
      </c>
      <c r="J1130" s="22">
        <v>0</v>
      </c>
      <c r="K1130" s="22">
        <v>0</v>
      </c>
      <c r="L1130" s="22">
        <v>0</v>
      </c>
      <c r="M1130" s="22">
        <v>0</v>
      </c>
      <c r="N1130" s="22">
        <v>0</v>
      </c>
      <c r="O1130" s="22">
        <v>0</v>
      </c>
      <c r="P1130" s="22">
        <v>0</v>
      </c>
      <c r="Q1130" s="22">
        <v>0</v>
      </c>
      <c r="R1130" s="24">
        <v>0</v>
      </c>
      <c r="S1130" s="24">
        <v>0</v>
      </c>
      <c r="T1130" s="24">
        <v>0</v>
      </c>
      <c r="U1130" s="24">
        <v>0</v>
      </c>
      <c r="V1130" s="24">
        <v>0</v>
      </c>
      <c r="W1130" s="24">
        <v>0</v>
      </c>
      <c r="X1130" s="24">
        <v>0</v>
      </c>
      <c r="Y1130" s="24">
        <v>0</v>
      </c>
      <c r="Z1130" s="24">
        <v>0</v>
      </c>
      <c r="AA1130" s="24">
        <v>0</v>
      </c>
      <c r="AB1130" s="24">
        <v>0</v>
      </c>
      <c r="AC1130" s="26">
        <v>0</v>
      </c>
      <c r="AD1130" s="26">
        <v>0</v>
      </c>
      <c r="AE1130" s="26">
        <v>0</v>
      </c>
      <c r="AF1130" s="26">
        <v>0</v>
      </c>
      <c r="AG1130" s="26">
        <v>0</v>
      </c>
      <c r="AH1130" s="26">
        <v>0</v>
      </c>
      <c r="AI1130" s="26">
        <v>0</v>
      </c>
      <c r="AJ1130" s="26">
        <v>0</v>
      </c>
      <c r="AK1130" s="26">
        <v>0</v>
      </c>
      <c r="AL1130" s="26">
        <v>0</v>
      </c>
      <c r="AM1130" s="26">
        <v>0</v>
      </c>
    </row>
    <row r="1131" spans="2:39">
      <c r="B1131" s="32" t="str">
        <f t="shared" si="37"/>
        <v>Essential</v>
      </c>
      <c r="C1131" s="32" t="s">
        <v>719</v>
      </c>
      <c r="D1131" s="384"/>
      <c r="F1131" t="s">
        <v>1467</v>
      </c>
      <c r="G1131" s="22">
        <v>0</v>
      </c>
      <c r="H1131" s="22">
        <v>0</v>
      </c>
      <c r="I1131" s="22">
        <v>0</v>
      </c>
      <c r="J1131" s="22">
        <v>0</v>
      </c>
      <c r="K1131" s="22">
        <v>0</v>
      </c>
      <c r="L1131" s="22">
        <v>0</v>
      </c>
      <c r="M1131" s="22">
        <v>0</v>
      </c>
      <c r="N1131" s="22">
        <v>0</v>
      </c>
      <c r="O1131" s="22">
        <v>0</v>
      </c>
      <c r="P1131" s="22">
        <v>0</v>
      </c>
      <c r="Q1131" s="22">
        <v>0</v>
      </c>
      <c r="R1131" s="24">
        <v>0</v>
      </c>
      <c r="S1131" s="24">
        <v>0</v>
      </c>
      <c r="T1131" s="24">
        <v>0</v>
      </c>
      <c r="U1131" s="24">
        <v>0</v>
      </c>
      <c r="V1131" s="24">
        <v>0</v>
      </c>
      <c r="W1131" s="24">
        <v>0</v>
      </c>
      <c r="X1131" s="24">
        <v>0</v>
      </c>
      <c r="Y1131" s="24">
        <v>0</v>
      </c>
      <c r="Z1131" s="24">
        <v>0</v>
      </c>
      <c r="AA1131" s="24">
        <v>0</v>
      </c>
      <c r="AB1131" s="24">
        <v>0</v>
      </c>
      <c r="AC1131" s="26">
        <v>0</v>
      </c>
      <c r="AD1131" s="26">
        <v>0</v>
      </c>
      <c r="AE1131" s="26">
        <v>0</v>
      </c>
      <c r="AF1131" s="26">
        <v>0</v>
      </c>
      <c r="AG1131" s="26">
        <v>0</v>
      </c>
      <c r="AH1131" s="26">
        <v>0</v>
      </c>
      <c r="AI1131" s="26">
        <v>0</v>
      </c>
      <c r="AJ1131" s="26">
        <v>0</v>
      </c>
      <c r="AK1131" s="26">
        <v>0</v>
      </c>
      <c r="AL1131" s="26">
        <v>0</v>
      </c>
      <c r="AM1131" s="26">
        <v>0</v>
      </c>
    </row>
    <row r="1132" spans="2:39">
      <c r="B1132" s="32" t="str">
        <f t="shared" si="37"/>
        <v>Essential</v>
      </c>
      <c r="C1132" s="32" t="s">
        <v>719</v>
      </c>
      <c r="D1132" s="384"/>
      <c r="F1132" t="s">
        <v>1468</v>
      </c>
      <c r="G1132" s="22">
        <v>0</v>
      </c>
      <c r="H1132" s="22">
        <v>0</v>
      </c>
      <c r="I1132" s="22">
        <v>0</v>
      </c>
      <c r="J1132" s="22">
        <v>0</v>
      </c>
      <c r="K1132" s="22">
        <v>0</v>
      </c>
      <c r="L1132" s="22">
        <v>0</v>
      </c>
      <c r="M1132" s="22">
        <v>0</v>
      </c>
      <c r="N1132" s="22">
        <v>0</v>
      </c>
      <c r="O1132" s="22">
        <v>0</v>
      </c>
      <c r="P1132" s="22">
        <v>0</v>
      </c>
      <c r="Q1132" s="22">
        <v>0</v>
      </c>
      <c r="R1132" s="24">
        <v>0</v>
      </c>
      <c r="S1132" s="24">
        <v>0</v>
      </c>
      <c r="T1132" s="24">
        <v>0</v>
      </c>
      <c r="U1132" s="24">
        <v>0</v>
      </c>
      <c r="V1132" s="24">
        <v>0</v>
      </c>
      <c r="W1132" s="24">
        <v>0</v>
      </c>
      <c r="X1132" s="24">
        <v>0</v>
      </c>
      <c r="Y1132" s="24">
        <v>0</v>
      </c>
      <c r="Z1132" s="24">
        <v>0</v>
      </c>
      <c r="AA1132" s="24">
        <v>0</v>
      </c>
      <c r="AB1132" s="24">
        <v>0</v>
      </c>
      <c r="AC1132" s="26">
        <v>0</v>
      </c>
      <c r="AD1132" s="26">
        <v>0</v>
      </c>
      <c r="AE1132" s="26">
        <v>0</v>
      </c>
      <c r="AF1132" s="26">
        <v>0</v>
      </c>
      <c r="AG1132" s="26">
        <v>0</v>
      </c>
      <c r="AH1132" s="26">
        <v>0</v>
      </c>
      <c r="AI1132" s="26">
        <v>0</v>
      </c>
      <c r="AJ1132" s="26">
        <v>0</v>
      </c>
      <c r="AK1132" s="26">
        <v>0</v>
      </c>
      <c r="AL1132" s="26">
        <v>0</v>
      </c>
      <c r="AM1132" s="26">
        <v>0</v>
      </c>
    </row>
    <row r="1133" spans="2:39">
      <c r="B1133" s="32" t="str">
        <f t="shared" si="37"/>
        <v>Essential</v>
      </c>
      <c r="C1133" s="32" t="s">
        <v>719</v>
      </c>
      <c r="D1133" s="384"/>
      <c r="F1133" t="s">
        <v>1469</v>
      </c>
      <c r="G1133" s="22">
        <v>0</v>
      </c>
      <c r="H1133" s="22">
        <v>0</v>
      </c>
      <c r="I1133" s="22">
        <v>0</v>
      </c>
      <c r="J1133" s="22">
        <v>0</v>
      </c>
      <c r="K1133" s="22">
        <v>0</v>
      </c>
      <c r="L1133" s="22">
        <v>0</v>
      </c>
      <c r="M1133" s="22">
        <v>0</v>
      </c>
      <c r="N1133" s="22">
        <v>0</v>
      </c>
      <c r="O1133" s="22">
        <v>0</v>
      </c>
      <c r="P1133" s="22">
        <v>0</v>
      </c>
      <c r="Q1133" s="22">
        <v>0</v>
      </c>
      <c r="R1133" s="24">
        <v>0</v>
      </c>
      <c r="S1133" s="24">
        <v>0</v>
      </c>
      <c r="T1133" s="24">
        <v>0</v>
      </c>
      <c r="U1133" s="24">
        <v>0</v>
      </c>
      <c r="V1133" s="24">
        <v>0</v>
      </c>
      <c r="W1133" s="24">
        <v>0</v>
      </c>
      <c r="X1133" s="24">
        <v>0</v>
      </c>
      <c r="Y1133" s="24">
        <v>0</v>
      </c>
      <c r="Z1133" s="24">
        <v>0</v>
      </c>
      <c r="AA1133" s="24">
        <v>0</v>
      </c>
      <c r="AB1133" s="24">
        <v>0</v>
      </c>
      <c r="AC1133" s="26">
        <v>0</v>
      </c>
      <c r="AD1133" s="26">
        <v>0</v>
      </c>
      <c r="AE1133" s="26">
        <v>0</v>
      </c>
      <c r="AF1133" s="26">
        <v>0</v>
      </c>
      <c r="AG1133" s="26">
        <v>0</v>
      </c>
      <c r="AH1133" s="26">
        <v>0</v>
      </c>
      <c r="AI1133" s="26">
        <v>0</v>
      </c>
      <c r="AJ1133" s="26">
        <v>0</v>
      </c>
      <c r="AK1133" s="26">
        <v>0</v>
      </c>
      <c r="AL1133" s="26">
        <v>0</v>
      </c>
      <c r="AM1133" s="26">
        <v>0</v>
      </c>
    </row>
    <row r="1134" spans="2:39">
      <c r="B1134" s="32" t="str">
        <f t="shared" si="37"/>
        <v>Essential</v>
      </c>
      <c r="C1134" s="32" t="s">
        <v>719</v>
      </c>
      <c r="D1134" s="384"/>
      <c r="F1134" t="s">
        <v>1470</v>
      </c>
      <c r="G1134" s="22">
        <v>0</v>
      </c>
      <c r="H1134" s="22">
        <v>0</v>
      </c>
      <c r="I1134" s="22">
        <v>0</v>
      </c>
      <c r="J1134" s="22">
        <v>0</v>
      </c>
      <c r="K1134" s="22">
        <v>0</v>
      </c>
      <c r="L1134" s="22">
        <v>0</v>
      </c>
      <c r="M1134" s="22">
        <v>0</v>
      </c>
      <c r="N1134" s="22">
        <v>0</v>
      </c>
      <c r="O1134" s="22">
        <v>0</v>
      </c>
      <c r="P1134" s="22">
        <v>0</v>
      </c>
      <c r="Q1134" s="22">
        <v>0</v>
      </c>
      <c r="R1134" s="24">
        <v>0</v>
      </c>
      <c r="S1134" s="24">
        <v>0</v>
      </c>
      <c r="T1134" s="24">
        <v>0</v>
      </c>
      <c r="U1134" s="24">
        <v>0</v>
      </c>
      <c r="V1134" s="24">
        <v>0</v>
      </c>
      <c r="W1134" s="24">
        <v>0</v>
      </c>
      <c r="X1134" s="24">
        <v>0</v>
      </c>
      <c r="Y1134" s="24">
        <v>0</v>
      </c>
      <c r="Z1134" s="24">
        <v>0</v>
      </c>
      <c r="AA1134" s="24">
        <v>0</v>
      </c>
      <c r="AB1134" s="24">
        <v>0</v>
      </c>
      <c r="AC1134" s="26">
        <v>0</v>
      </c>
      <c r="AD1134" s="26">
        <v>0</v>
      </c>
      <c r="AE1134" s="26">
        <v>0</v>
      </c>
      <c r="AF1134" s="26">
        <v>0</v>
      </c>
      <c r="AG1134" s="26">
        <v>0</v>
      </c>
      <c r="AH1134" s="26">
        <v>0</v>
      </c>
      <c r="AI1134" s="26">
        <v>0</v>
      </c>
      <c r="AJ1134" s="26">
        <v>0</v>
      </c>
      <c r="AK1134" s="26">
        <v>0</v>
      </c>
      <c r="AL1134" s="26">
        <v>0</v>
      </c>
      <c r="AM1134" s="26">
        <v>0</v>
      </c>
    </row>
    <row r="1135" spans="2:39">
      <c r="B1135" s="32" t="str">
        <f t="shared" si="37"/>
        <v>Essential</v>
      </c>
      <c r="C1135" s="32" t="s">
        <v>719</v>
      </c>
      <c r="D1135" s="384"/>
      <c r="F1135" t="s">
        <v>1471</v>
      </c>
      <c r="G1135" s="22">
        <v>0</v>
      </c>
      <c r="H1135" s="22">
        <v>0</v>
      </c>
      <c r="I1135" s="22">
        <v>0</v>
      </c>
      <c r="J1135" s="22">
        <v>0</v>
      </c>
      <c r="K1135" s="22">
        <v>0</v>
      </c>
      <c r="L1135" s="22">
        <v>0</v>
      </c>
      <c r="M1135" s="22">
        <v>0</v>
      </c>
      <c r="N1135" s="22">
        <v>0</v>
      </c>
      <c r="O1135" s="22">
        <v>0</v>
      </c>
      <c r="P1135" s="22">
        <v>0</v>
      </c>
      <c r="Q1135" s="22">
        <v>0</v>
      </c>
      <c r="R1135" s="24">
        <v>0</v>
      </c>
      <c r="S1135" s="24">
        <v>0</v>
      </c>
      <c r="T1135" s="24">
        <v>0</v>
      </c>
      <c r="U1135" s="24">
        <v>0</v>
      </c>
      <c r="V1135" s="24">
        <v>0</v>
      </c>
      <c r="W1135" s="24">
        <v>0</v>
      </c>
      <c r="X1135" s="24">
        <v>0</v>
      </c>
      <c r="Y1135" s="24">
        <v>0</v>
      </c>
      <c r="Z1135" s="24">
        <v>0</v>
      </c>
      <c r="AA1135" s="24">
        <v>0</v>
      </c>
      <c r="AB1135" s="24">
        <v>0</v>
      </c>
      <c r="AC1135" s="26">
        <v>0</v>
      </c>
      <c r="AD1135" s="26">
        <v>0</v>
      </c>
      <c r="AE1135" s="26">
        <v>0</v>
      </c>
      <c r="AF1135" s="26">
        <v>0</v>
      </c>
      <c r="AG1135" s="26">
        <v>0</v>
      </c>
      <c r="AH1135" s="26">
        <v>0</v>
      </c>
      <c r="AI1135" s="26">
        <v>0</v>
      </c>
      <c r="AJ1135" s="26">
        <v>0</v>
      </c>
      <c r="AK1135" s="26">
        <v>0</v>
      </c>
      <c r="AL1135" s="26">
        <v>0</v>
      </c>
      <c r="AM1135" s="26">
        <v>0</v>
      </c>
    </row>
    <row r="1136" spans="2:39">
      <c r="B1136" s="32" t="str">
        <f t="shared" si="37"/>
        <v>Essential</v>
      </c>
      <c r="C1136" s="32" t="s">
        <v>719</v>
      </c>
      <c r="D1136" s="384"/>
      <c r="F1136" t="s">
        <v>1472</v>
      </c>
      <c r="G1136" s="22">
        <v>0</v>
      </c>
      <c r="H1136" s="22">
        <v>0</v>
      </c>
      <c r="I1136" s="22">
        <v>0</v>
      </c>
      <c r="J1136" s="22">
        <v>0</v>
      </c>
      <c r="K1136" s="22">
        <v>0</v>
      </c>
      <c r="L1136" s="22">
        <v>0</v>
      </c>
      <c r="M1136" s="22">
        <v>0</v>
      </c>
      <c r="N1136" s="22">
        <v>0</v>
      </c>
      <c r="O1136" s="22">
        <v>0</v>
      </c>
      <c r="P1136" s="22">
        <v>0</v>
      </c>
      <c r="Q1136" s="22">
        <v>0</v>
      </c>
      <c r="R1136" s="24">
        <v>0</v>
      </c>
      <c r="S1136" s="24">
        <v>0</v>
      </c>
      <c r="T1136" s="24">
        <v>0</v>
      </c>
      <c r="U1136" s="24">
        <v>0</v>
      </c>
      <c r="V1136" s="24">
        <v>0</v>
      </c>
      <c r="W1136" s="24">
        <v>0</v>
      </c>
      <c r="X1136" s="24">
        <v>0</v>
      </c>
      <c r="Y1136" s="24">
        <v>0</v>
      </c>
      <c r="Z1136" s="24">
        <v>0</v>
      </c>
      <c r="AA1136" s="24">
        <v>0</v>
      </c>
      <c r="AB1136" s="24">
        <v>0</v>
      </c>
      <c r="AC1136" s="26">
        <v>0</v>
      </c>
      <c r="AD1136" s="26">
        <v>0</v>
      </c>
      <c r="AE1136" s="26">
        <v>0</v>
      </c>
      <c r="AF1136" s="26">
        <v>0</v>
      </c>
      <c r="AG1136" s="26">
        <v>0</v>
      </c>
      <c r="AH1136" s="26">
        <v>0</v>
      </c>
      <c r="AI1136" s="26">
        <v>0</v>
      </c>
      <c r="AJ1136" s="26">
        <v>0</v>
      </c>
      <c r="AK1136" s="26">
        <v>0</v>
      </c>
      <c r="AL1136" s="26">
        <v>0</v>
      </c>
      <c r="AM1136" s="26">
        <v>0</v>
      </c>
    </row>
    <row r="1137" spans="2:39">
      <c r="B1137" s="32" t="str">
        <f t="shared" si="37"/>
        <v>Essential</v>
      </c>
      <c r="C1137" s="32" t="s">
        <v>719</v>
      </c>
      <c r="D1137" s="384"/>
    </row>
    <row r="1138" spans="2:39" ht="90">
      <c r="B1138" s="32" t="str">
        <f t="shared" si="37"/>
        <v>Essential</v>
      </c>
      <c r="C1138" s="32" t="s">
        <v>4</v>
      </c>
      <c r="D1138" s="384"/>
      <c r="E1138" s="3" t="s">
        <v>544</v>
      </c>
      <c r="F1138" t="s">
        <v>1473</v>
      </c>
      <c r="G1138" s="22">
        <v>60.530086925434958</v>
      </c>
      <c r="H1138" s="22">
        <v>189.59801054394225</v>
      </c>
      <c r="I1138" s="22">
        <v>346.23006279986822</v>
      </c>
      <c r="J1138" s="22">
        <v>517.58213249119672</v>
      </c>
      <c r="K1138" s="22">
        <v>540.05745737527002</v>
      </c>
      <c r="L1138" s="22">
        <v>335.65737943100532</v>
      </c>
      <c r="M1138" s="22">
        <v>609.80288306850196</v>
      </c>
      <c r="N1138" s="22">
        <v>616.35348896720166</v>
      </c>
      <c r="O1138" s="22">
        <v>632.34080111111768</v>
      </c>
      <c r="P1138" s="22">
        <v>616.43947637147846</v>
      </c>
      <c r="Q1138" s="22">
        <v>599.14288748213107</v>
      </c>
      <c r="R1138" s="24">
        <v>66</v>
      </c>
      <c r="S1138" s="24">
        <v>81</v>
      </c>
      <c r="T1138" s="24">
        <v>147</v>
      </c>
      <c r="U1138" s="24">
        <v>196</v>
      </c>
      <c r="V1138" s="24">
        <v>255</v>
      </c>
      <c r="W1138" s="24">
        <v>223.70967741935482</v>
      </c>
      <c r="X1138" s="24">
        <v>189.17570498915404</v>
      </c>
      <c r="Y1138" s="24">
        <v>189.17570498915404</v>
      </c>
      <c r="Z1138" s="24">
        <v>189.17570498915404</v>
      </c>
      <c r="AA1138" s="24">
        <v>189.17570498915404</v>
      </c>
      <c r="AB1138" s="24">
        <v>189.17570498915404</v>
      </c>
      <c r="AC1138" s="26">
        <v>343</v>
      </c>
      <c r="AD1138" s="26">
        <v>269</v>
      </c>
      <c r="AE1138" s="26">
        <v>240</v>
      </c>
      <c r="AF1138" s="26">
        <v>360</v>
      </c>
      <c r="AG1138" s="26">
        <v>334</v>
      </c>
      <c r="AH1138" s="26">
        <v>313.48790322580652</v>
      </c>
      <c r="AI1138" s="26">
        <v>323.74395161290323</v>
      </c>
      <c r="AJ1138" s="26">
        <v>323.74395161290323</v>
      </c>
      <c r="AK1138" s="26">
        <v>323.74395161290323</v>
      </c>
      <c r="AL1138" s="26">
        <v>323.74395161290323</v>
      </c>
      <c r="AM1138" s="26">
        <v>323.74395161290323</v>
      </c>
    </row>
    <row r="1139" spans="2:39">
      <c r="B1139" s="32" t="str">
        <f t="shared" si="37"/>
        <v>Essential</v>
      </c>
      <c r="C1139" s="32" t="s">
        <v>4</v>
      </c>
      <c r="D1139" s="384"/>
      <c r="F1139" t="s">
        <v>1474</v>
      </c>
      <c r="G1139" s="22">
        <v>2.7513675875197707</v>
      </c>
      <c r="H1139" s="22">
        <v>7.0221485386645277</v>
      </c>
      <c r="I1139" s="22">
        <v>0</v>
      </c>
      <c r="J1139" s="22">
        <v>7.9221754973142362</v>
      </c>
      <c r="K1139" s="22">
        <v>25.414468582365647</v>
      </c>
      <c r="L1139" s="22">
        <v>6.6248166992961588</v>
      </c>
      <c r="M1139" s="22">
        <v>28.696606262047148</v>
      </c>
      <c r="N1139" s="22">
        <v>29.004870069044784</v>
      </c>
      <c r="O1139" s="22">
        <v>29.757214169934947</v>
      </c>
      <c r="P1139" s="22">
        <v>29.008916535128396</v>
      </c>
      <c r="Q1139" s="22">
        <v>28.194959410923822</v>
      </c>
      <c r="R1139" s="24">
        <v>1</v>
      </c>
      <c r="S1139" s="24">
        <v>1</v>
      </c>
      <c r="T1139" s="24">
        <v>0</v>
      </c>
      <c r="U1139" s="24">
        <v>1</v>
      </c>
      <c r="V1139" s="24">
        <v>4</v>
      </c>
      <c r="W1139" s="24">
        <v>1.471774193548387</v>
      </c>
      <c r="X1139" s="24">
        <v>2.9674620390455533</v>
      </c>
      <c r="Y1139" s="24">
        <v>2.9674620390455533</v>
      </c>
      <c r="Z1139" s="24">
        <v>2.9674620390455533</v>
      </c>
      <c r="AA1139" s="24">
        <v>2.9674620390455533</v>
      </c>
      <c r="AB1139" s="24">
        <v>2.9674620390455533</v>
      </c>
      <c r="AC1139" s="26">
        <v>0</v>
      </c>
      <c r="AD1139" s="26">
        <v>2</v>
      </c>
      <c r="AE1139" s="26">
        <v>4</v>
      </c>
      <c r="AF1139" s="26">
        <v>2</v>
      </c>
      <c r="AG1139" s="26">
        <v>5</v>
      </c>
      <c r="AH1139" s="26">
        <v>2.943548387096774</v>
      </c>
      <c r="AI1139" s="26">
        <v>3.9717741935483875</v>
      </c>
      <c r="AJ1139" s="26">
        <v>3.9717741935483875</v>
      </c>
      <c r="AK1139" s="26">
        <v>3.9717741935483875</v>
      </c>
      <c r="AL1139" s="26">
        <v>3.9717741935483875</v>
      </c>
      <c r="AM1139" s="26">
        <v>3.9717741935483875</v>
      </c>
    </row>
    <row r="1140" spans="2:39">
      <c r="B1140" s="32" t="str">
        <f t="shared" si="37"/>
        <v>Essential</v>
      </c>
      <c r="C1140" s="32" t="s">
        <v>4</v>
      </c>
      <c r="D1140" s="384"/>
      <c r="F1140" t="s">
        <v>1475</v>
      </c>
      <c r="G1140" s="22">
        <v>0</v>
      </c>
      <c r="H1140" s="22">
        <v>0</v>
      </c>
      <c r="I1140" s="22">
        <v>0</v>
      </c>
      <c r="J1140" s="22">
        <v>0</v>
      </c>
      <c r="K1140" s="22">
        <v>0</v>
      </c>
      <c r="L1140" s="22">
        <v>0</v>
      </c>
      <c r="M1140" s="22">
        <v>0</v>
      </c>
      <c r="N1140" s="22">
        <v>0</v>
      </c>
      <c r="O1140" s="22">
        <v>0</v>
      </c>
      <c r="P1140" s="22">
        <v>0</v>
      </c>
      <c r="Q1140" s="22">
        <v>0</v>
      </c>
      <c r="R1140" s="24">
        <v>0</v>
      </c>
      <c r="S1140" s="24">
        <v>0</v>
      </c>
      <c r="T1140" s="24">
        <v>0</v>
      </c>
      <c r="U1140" s="24">
        <v>0</v>
      </c>
      <c r="V1140" s="24">
        <v>0</v>
      </c>
      <c r="W1140" s="24">
        <v>0</v>
      </c>
      <c r="X1140" s="24">
        <v>0</v>
      </c>
      <c r="Y1140" s="24">
        <v>0</v>
      </c>
      <c r="Z1140" s="24">
        <v>0</v>
      </c>
      <c r="AA1140" s="24">
        <v>0</v>
      </c>
      <c r="AB1140" s="24">
        <v>0</v>
      </c>
      <c r="AC1140" s="26">
        <v>0</v>
      </c>
      <c r="AD1140" s="26">
        <v>0</v>
      </c>
      <c r="AE1140" s="26">
        <v>0</v>
      </c>
      <c r="AF1140" s="26">
        <v>0</v>
      </c>
      <c r="AG1140" s="26">
        <v>0</v>
      </c>
      <c r="AH1140" s="26">
        <v>0</v>
      </c>
      <c r="AI1140" s="26">
        <v>0</v>
      </c>
      <c r="AJ1140" s="26">
        <v>0</v>
      </c>
      <c r="AK1140" s="26">
        <v>0</v>
      </c>
      <c r="AL1140" s="26">
        <v>0</v>
      </c>
      <c r="AM1140" s="26">
        <v>0</v>
      </c>
    </row>
    <row r="1141" spans="2:39">
      <c r="B1141" s="32" t="str">
        <f t="shared" si="37"/>
        <v>Essential</v>
      </c>
      <c r="C1141" s="32" t="s">
        <v>4</v>
      </c>
      <c r="D1141" s="384"/>
      <c r="F1141" t="s">
        <v>1476</v>
      </c>
      <c r="G1141" s="22">
        <v>20.176695641811651</v>
      </c>
      <c r="H1141" s="22">
        <v>74.902917745754948</v>
      </c>
      <c r="I1141" s="22">
        <v>221.39881566794293</v>
      </c>
      <c r="J1141" s="22">
        <v>174.28786094091319</v>
      </c>
      <c r="K1141" s="22">
        <v>203.31574865892517</v>
      </c>
      <c r="L1141" s="22">
        <v>136.91287845212062</v>
      </c>
      <c r="M1141" s="22">
        <v>229.57285009637718</v>
      </c>
      <c r="N1141" s="22">
        <v>232.03896055235828</v>
      </c>
      <c r="O1141" s="22">
        <v>238.05771335947958</v>
      </c>
      <c r="P1141" s="22">
        <v>232.07133228102717</v>
      </c>
      <c r="Q1141" s="22">
        <v>225.55967528739058</v>
      </c>
      <c r="R1141" s="24">
        <v>11</v>
      </c>
      <c r="S1141" s="24">
        <v>16</v>
      </c>
      <c r="T1141" s="24">
        <v>47</v>
      </c>
      <c r="U1141" s="24">
        <v>33</v>
      </c>
      <c r="V1141" s="24">
        <v>48</v>
      </c>
      <c r="W1141" s="24">
        <v>45.625</v>
      </c>
      <c r="X1141" s="24">
        <v>35.609544468546638</v>
      </c>
      <c r="Y1141" s="24">
        <v>35.609544468546638</v>
      </c>
      <c r="Z1141" s="24">
        <v>35.609544468546638</v>
      </c>
      <c r="AA1141" s="24">
        <v>35.609544468546638</v>
      </c>
      <c r="AB1141" s="24">
        <v>35.609544468546638</v>
      </c>
      <c r="AC1141" s="26">
        <v>45</v>
      </c>
      <c r="AD1141" s="26">
        <v>54</v>
      </c>
      <c r="AE1141" s="26">
        <v>42</v>
      </c>
      <c r="AF1141" s="26">
        <v>68</v>
      </c>
      <c r="AG1141" s="26">
        <v>63</v>
      </c>
      <c r="AH1141" s="26">
        <v>79.475806451612897</v>
      </c>
      <c r="AI1141" s="26">
        <v>71.237903225806448</v>
      </c>
      <c r="AJ1141" s="26">
        <v>71.237903225806448</v>
      </c>
      <c r="AK1141" s="26">
        <v>71.237903225806448</v>
      </c>
      <c r="AL1141" s="26">
        <v>71.237903225806448</v>
      </c>
      <c r="AM1141" s="26">
        <v>71.237903225806448</v>
      </c>
    </row>
    <row r="1142" spans="2:39">
      <c r="B1142" s="32" t="str">
        <f t="shared" si="37"/>
        <v>Essential</v>
      </c>
      <c r="C1142" s="32" t="s">
        <v>4</v>
      </c>
      <c r="D1142" s="384"/>
      <c r="F1142" t="s">
        <v>1477</v>
      </c>
      <c r="G1142" s="22">
        <v>201.76695641811651</v>
      </c>
      <c r="H1142" s="22">
        <v>386.21816962654901</v>
      </c>
      <c r="I1142" s="22">
        <v>871.46342337381805</v>
      </c>
      <c r="J1142" s="22">
        <v>1082.6973179662789</v>
      </c>
      <c r="K1142" s="22">
        <v>1514.27875303262</v>
      </c>
      <c r="L1142" s="22">
        <v>1048.9293107218916</v>
      </c>
      <c r="M1142" s="22">
        <v>1705.9412210690296</v>
      </c>
      <c r="N1142" s="22">
        <v>1724.2667307310012</v>
      </c>
      <c r="O1142" s="22">
        <v>1768.9916993358809</v>
      </c>
      <c r="P1142" s="22">
        <v>1724.5072829840672</v>
      </c>
      <c r="Q1142" s="22">
        <v>1676.1195747762213</v>
      </c>
      <c r="R1142" s="24">
        <v>44</v>
      </c>
      <c r="S1142" s="24">
        <v>33</v>
      </c>
      <c r="T1142" s="24">
        <v>74</v>
      </c>
      <c r="U1142" s="24">
        <v>82</v>
      </c>
      <c r="V1142" s="24">
        <v>143.00000000000003</v>
      </c>
      <c r="W1142" s="24">
        <v>139.81854838709677</v>
      </c>
      <c r="X1142" s="24">
        <v>105.84490238611714</v>
      </c>
      <c r="Y1142" s="24">
        <v>105.84490238611714</v>
      </c>
      <c r="Z1142" s="24">
        <v>105.84490238611714</v>
      </c>
      <c r="AA1142" s="24">
        <v>105.84490238611714</v>
      </c>
      <c r="AB1142" s="24">
        <v>105.84490238611714</v>
      </c>
      <c r="AC1142" s="26">
        <v>76</v>
      </c>
      <c r="AD1142" s="26">
        <v>70</v>
      </c>
      <c r="AE1142" s="26">
        <v>54</v>
      </c>
      <c r="AF1142" s="26">
        <v>79</v>
      </c>
      <c r="AG1142" s="26">
        <v>76</v>
      </c>
      <c r="AH1142" s="26">
        <v>97.137096774193552</v>
      </c>
      <c r="AI1142" s="26">
        <v>86.568548387096769</v>
      </c>
      <c r="AJ1142" s="26">
        <v>86.568548387096769</v>
      </c>
      <c r="AK1142" s="26">
        <v>86.568548387096769</v>
      </c>
      <c r="AL1142" s="26">
        <v>86.568548387096769</v>
      </c>
      <c r="AM1142" s="26">
        <v>86.568548387096769</v>
      </c>
    </row>
    <row r="1143" spans="2:39">
      <c r="B1143" s="32" t="str">
        <f t="shared" si="37"/>
        <v>Essential</v>
      </c>
      <c r="C1143" s="32" t="s">
        <v>4</v>
      </c>
      <c r="D1143" s="384"/>
      <c r="F1143" t="s">
        <v>1478</v>
      </c>
      <c r="G1143" s="22">
        <v>0</v>
      </c>
      <c r="H1143" s="22">
        <v>0</v>
      </c>
      <c r="I1143" s="22">
        <v>0</v>
      </c>
      <c r="J1143" s="22">
        <v>0</v>
      </c>
      <c r="K1143" s="22">
        <v>33.885958109820862</v>
      </c>
      <c r="L1143" s="22">
        <v>0</v>
      </c>
      <c r="M1143" s="22">
        <v>38.262141682729535</v>
      </c>
      <c r="N1143" s="22">
        <v>38.67316009205971</v>
      </c>
      <c r="O1143" s="22">
        <v>39.676285559913268</v>
      </c>
      <c r="P1143" s="22">
        <v>38.67855538017119</v>
      </c>
      <c r="Q1143" s="22">
        <v>37.593279214565086</v>
      </c>
      <c r="R1143" s="24">
        <v>0</v>
      </c>
      <c r="S1143" s="24">
        <v>0</v>
      </c>
      <c r="T1143" s="24">
        <v>0</v>
      </c>
      <c r="U1143" s="24">
        <v>0</v>
      </c>
      <c r="V1143" s="24">
        <v>2</v>
      </c>
      <c r="W1143" s="24">
        <v>0</v>
      </c>
      <c r="X1143" s="24">
        <v>1.4837310195227766</v>
      </c>
      <c r="Y1143" s="24">
        <v>1.4837310195227766</v>
      </c>
      <c r="Z1143" s="24">
        <v>1.4837310195227766</v>
      </c>
      <c r="AA1143" s="24">
        <v>1.4837310195227766</v>
      </c>
      <c r="AB1143" s="24">
        <v>1.4837310195227766</v>
      </c>
      <c r="AC1143" s="26">
        <v>0</v>
      </c>
      <c r="AD1143" s="26">
        <v>0</v>
      </c>
      <c r="AE1143" s="26">
        <v>0</v>
      </c>
      <c r="AF1143" s="26">
        <v>0</v>
      </c>
      <c r="AG1143" s="26">
        <v>0</v>
      </c>
      <c r="AH1143" s="26">
        <v>0</v>
      </c>
      <c r="AI1143" s="26">
        <v>0</v>
      </c>
      <c r="AJ1143" s="26">
        <v>0</v>
      </c>
      <c r="AK1143" s="26">
        <v>0</v>
      </c>
      <c r="AL1143" s="26">
        <v>0</v>
      </c>
      <c r="AM1143" s="26">
        <v>0</v>
      </c>
    </row>
    <row r="1144" spans="2:39">
      <c r="B1144" s="32" t="str">
        <f t="shared" si="37"/>
        <v>Essential</v>
      </c>
      <c r="C1144" s="32" t="s">
        <v>4</v>
      </c>
      <c r="D1144" s="384"/>
      <c r="F1144" t="s">
        <v>1479</v>
      </c>
      <c r="G1144" s="22">
        <v>0</v>
      </c>
      <c r="H1144" s="22">
        <v>7.0221485386645277</v>
      </c>
      <c r="I1144" s="22">
        <v>14.131839297953805</v>
      </c>
      <c r="J1144" s="22">
        <v>39.610877486571177</v>
      </c>
      <c r="K1144" s="22">
        <v>31.768085727957057</v>
      </c>
      <c r="L1144" s="22">
        <v>13.249633398592318</v>
      </c>
      <c r="M1144" s="22">
        <v>35.87075782755894</v>
      </c>
      <c r="N1144" s="22">
        <v>36.256087586305974</v>
      </c>
      <c r="O1144" s="22">
        <v>37.196517712418682</v>
      </c>
      <c r="P1144" s="22">
        <v>36.261145668910501</v>
      </c>
      <c r="Q1144" s="22">
        <v>35.243699263654769</v>
      </c>
      <c r="R1144" s="24">
        <v>0</v>
      </c>
      <c r="S1144" s="24">
        <v>1</v>
      </c>
      <c r="T1144" s="24">
        <v>2</v>
      </c>
      <c r="U1144" s="24">
        <v>5</v>
      </c>
      <c r="V1144" s="24">
        <v>5</v>
      </c>
      <c r="W1144" s="24">
        <v>2.943548387096774</v>
      </c>
      <c r="X1144" s="24">
        <v>3.7093275488069417</v>
      </c>
      <c r="Y1144" s="24">
        <v>3.7093275488069417</v>
      </c>
      <c r="Z1144" s="24">
        <v>3.7093275488069417</v>
      </c>
      <c r="AA1144" s="24">
        <v>3.7093275488069417</v>
      </c>
      <c r="AB1144" s="24">
        <v>3.7093275488069417</v>
      </c>
      <c r="AC1144" s="26">
        <v>3</v>
      </c>
      <c r="AD1144" s="26">
        <v>3</v>
      </c>
      <c r="AE1144" s="26">
        <v>3</v>
      </c>
      <c r="AF1144" s="26">
        <v>3</v>
      </c>
      <c r="AG1144" s="26">
        <v>4</v>
      </c>
      <c r="AH1144" s="26">
        <v>1.471774193548387</v>
      </c>
      <c r="AI1144" s="26">
        <v>2.7358870967741935</v>
      </c>
      <c r="AJ1144" s="26">
        <v>2.7358870967741935</v>
      </c>
      <c r="AK1144" s="26">
        <v>2.7358870967741935</v>
      </c>
      <c r="AL1144" s="26">
        <v>2.7358870967741935</v>
      </c>
      <c r="AM1144" s="26">
        <v>2.7358870967741935</v>
      </c>
    </row>
    <row r="1145" spans="2:39">
      <c r="B1145" s="32" t="str">
        <f t="shared" si="37"/>
        <v>Essential</v>
      </c>
      <c r="C1145" s="32" t="s">
        <v>4</v>
      </c>
      <c r="D1145" s="384"/>
      <c r="F1145" t="s">
        <v>1480</v>
      </c>
      <c r="G1145" s="22">
        <v>0</v>
      </c>
      <c r="H1145" s="22">
        <v>0</v>
      </c>
      <c r="I1145" s="22">
        <v>70.65919648976903</v>
      </c>
      <c r="J1145" s="22">
        <v>95.066105967770838</v>
      </c>
      <c r="K1145" s="22">
        <v>50.828937164731293</v>
      </c>
      <c r="L1145" s="22">
        <v>92.747433790146218</v>
      </c>
      <c r="M1145" s="22">
        <v>57.393212524094295</v>
      </c>
      <c r="N1145" s="22">
        <v>58.009740138089569</v>
      </c>
      <c r="O1145" s="22">
        <v>59.514428339869895</v>
      </c>
      <c r="P1145" s="22">
        <v>58.017833070256792</v>
      </c>
      <c r="Q1145" s="22">
        <v>56.389918821847644</v>
      </c>
      <c r="R1145" s="24">
        <v>0</v>
      </c>
      <c r="S1145" s="24">
        <v>0</v>
      </c>
      <c r="T1145" s="24">
        <v>5</v>
      </c>
      <c r="U1145" s="24">
        <v>6</v>
      </c>
      <c r="V1145" s="24">
        <v>4</v>
      </c>
      <c r="W1145" s="24">
        <v>10.302419354838708</v>
      </c>
      <c r="X1145" s="24">
        <v>2.9674620390455533</v>
      </c>
      <c r="Y1145" s="24">
        <v>2.9674620390455533</v>
      </c>
      <c r="Z1145" s="24">
        <v>2.9674620390455533</v>
      </c>
      <c r="AA1145" s="24">
        <v>2.9674620390455533</v>
      </c>
      <c r="AB1145" s="24">
        <v>2.9674620390455533</v>
      </c>
      <c r="AC1145" s="26">
        <v>6</v>
      </c>
      <c r="AD1145" s="26">
        <v>1</v>
      </c>
      <c r="AE1145" s="26">
        <v>6</v>
      </c>
      <c r="AF1145" s="26">
        <v>6</v>
      </c>
      <c r="AG1145" s="26">
        <v>3</v>
      </c>
      <c r="AH1145" s="26">
        <v>5.887096774193548</v>
      </c>
      <c r="AI1145" s="26">
        <v>4.443548387096774</v>
      </c>
      <c r="AJ1145" s="26">
        <v>4.443548387096774</v>
      </c>
      <c r="AK1145" s="26">
        <v>4.443548387096774</v>
      </c>
      <c r="AL1145" s="26">
        <v>4.443548387096774</v>
      </c>
      <c r="AM1145" s="26">
        <v>4.443548387096774</v>
      </c>
    </row>
    <row r="1146" spans="2:39">
      <c r="B1146" s="32" t="str">
        <f t="shared" si="37"/>
        <v>Essential</v>
      </c>
      <c r="C1146" s="32" t="s">
        <v>4</v>
      </c>
      <c r="D1146" s="384"/>
      <c r="F1146" t="s">
        <v>1481</v>
      </c>
      <c r="G1146" s="22">
        <v>0</v>
      </c>
      <c r="H1146" s="22">
        <v>0</v>
      </c>
      <c r="I1146" s="22">
        <v>0</v>
      </c>
      <c r="J1146" s="22">
        <v>0</v>
      </c>
      <c r="K1146" s="22">
        <v>0</v>
      </c>
      <c r="L1146" s="22">
        <v>0</v>
      </c>
      <c r="M1146" s="22">
        <v>0</v>
      </c>
      <c r="N1146" s="22">
        <v>0</v>
      </c>
      <c r="O1146" s="22">
        <v>0</v>
      </c>
      <c r="P1146" s="22">
        <v>0</v>
      </c>
      <c r="Q1146" s="22">
        <v>0</v>
      </c>
      <c r="R1146" s="24">
        <v>0</v>
      </c>
      <c r="S1146" s="24">
        <v>0</v>
      </c>
      <c r="T1146" s="24">
        <v>0</v>
      </c>
      <c r="U1146" s="24">
        <v>0</v>
      </c>
      <c r="V1146" s="24">
        <v>0</v>
      </c>
      <c r="W1146" s="24">
        <v>0</v>
      </c>
      <c r="X1146" s="24">
        <v>0</v>
      </c>
      <c r="Y1146" s="24">
        <v>0</v>
      </c>
      <c r="Z1146" s="24">
        <v>0</v>
      </c>
      <c r="AA1146" s="24">
        <v>0</v>
      </c>
      <c r="AB1146" s="24">
        <v>0</v>
      </c>
      <c r="AC1146" s="26">
        <v>0</v>
      </c>
      <c r="AD1146" s="26">
        <v>0</v>
      </c>
      <c r="AE1146" s="26">
        <v>0</v>
      </c>
      <c r="AF1146" s="26">
        <v>1</v>
      </c>
      <c r="AG1146" s="26">
        <v>0</v>
      </c>
      <c r="AH1146" s="26">
        <v>0</v>
      </c>
      <c r="AI1146" s="26">
        <v>0</v>
      </c>
      <c r="AJ1146" s="26">
        <v>0</v>
      </c>
      <c r="AK1146" s="26">
        <v>0</v>
      </c>
      <c r="AL1146" s="26">
        <v>0</v>
      </c>
      <c r="AM1146" s="26">
        <v>0</v>
      </c>
    </row>
    <row r="1147" spans="2:39">
      <c r="B1147" s="32" t="str">
        <f t="shared" si="37"/>
        <v>Essential</v>
      </c>
      <c r="C1147" s="32" t="s">
        <v>4</v>
      </c>
      <c r="D1147" s="384"/>
      <c r="F1147" t="s">
        <v>1479</v>
      </c>
      <c r="G1147" s="22">
        <v>0</v>
      </c>
      <c r="H1147" s="22">
        <v>0</v>
      </c>
      <c r="I1147" s="22">
        <v>0</v>
      </c>
      <c r="J1147" s="22">
        <v>0</v>
      </c>
      <c r="K1147" s="22">
        <v>0</v>
      </c>
      <c r="L1147" s="22">
        <v>0</v>
      </c>
      <c r="M1147" s="22">
        <v>0</v>
      </c>
      <c r="N1147" s="22">
        <v>0</v>
      </c>
      <c r="O1147" s="22">
        <v>0</v>
      </c>
      <c r="P1147" s="22">
        <v>0</v>
      </c>
      <c r="Q1147" s="22">
        <v>0</v>
      </c>
      <c r="R1147" s="24">
        <v>0</v>
      </c>
      <c r="S1147" s="24">
        <v>0</v>
      </c>
      <c r="T1147" s="24">
        <v>0</v>
      </c>
      <c r="U1147" s="24">
        <v>0</v>
      </c>
      <c r="V1147" s="24">
        <v>0</v>
      </c>
      <c r="W1147" s="24">
        <v>0</v>
      </c>
      <c r="X1147" s="24">
        <v>0</v>
      </c>
      <c r="Y1147" s="24">
        <v>0</v>
      </c>
      <c r="Z1147" s="24">
        <v>0</v>
      </c>
      <c r="AA1147" s="24">
        <v>0</v>
      </c>
      <c r="AB1147" s="24">
        <v>0</v>
      </c>
      <c r="AC1147" s="26">
        <v>0</v>
      </c>
      <c r="AD1147" s="26">
        <v>0</v>
      </c>
      <c r="AE1147" s="26">
        <v>0</v>
      </c>
      <c r="AF1147" s="26">
        <v>0</v>
      </c>
      <c r="AG1147" s="26">
        <v>0</v>
      </c>
      <c r="AH1147" s="26">
        <v>0</v>
      </c>
      <c r="AI1147" s="26">
        <v>0</v>
      </c>
      <c r="AJ1147" s="26">
        <v>0</v>
      </c>
      <c r="AK1147" s="26">
        <v>0</v>
      </c>
      <c r="AL1147" s="26">
        <v>0</v>
      </c>
      <c r="AM1147" s="26">
        <v>0</v>
      </c>
    </row>
    <row r="1148" spans="2:39">
      <c r="B1148" s="32" t="str">
        <f t="shared" si="37"/>
        <v>Essential</v>
      </c>
      <c r="C1148" s="32" t="s">
        <v>4</v>
      </c>
      <c r="D1148" s="384"/>
      <c r="F1148" t="s">
        <v>1482</v>
      </c>
      <c r="G1148" s="22">
        <v>0</v>
      </c>
      <c r="H1148" s="22">
        <v>0</v>
      </c>
      <c r="I1148" s="22">
        <v>0</v>
      </c>
      <c r="J1148" s="22">
        <v>0</v>
      </c>
      <c r="K1148" s="22">
        <v>0</v>
      </c>
      <c r="L1148" s="22">
        <v>0</v>
      </c>
      <c r="M1148" s="22">
        <v>0</v>
      </c>
      <c r="N1148" s="22">
        <v>0</v>
      </c>
      <c r="O1148" s="22">
        <v>0</v>
      </c>
      <c r="P1148" s="22">
        <v>0</v>
      </c>
      <c r="Q1148" s="22">
        <v>0</v>
      </c>
      <c r="R1148" s="24">
        <v>0</v>
      </c>
      <c r="S1148" s="24">
        <v>0</v>
      </c>
      <c r="T1148" s="24">
        <v>0</v>
      </c>
      <c r="U1148" s="24">
        <v>0</v>
      </c>
      <c r="V1148" s="24">
        <v>0</v>
      </c>
      <c r="W1148" s="24">
        <v>0</v>
      </c>
      <c r="X1148" s="24">
        <v>0</v>
      </c>
      <c r="Y1148" s="24">
        <v>0</v>
      </c>
      <c r="Z1148" s="24">
        <v>0</v>
      </c>
      <c r="AA1148" s="24">
        <v>0</v>
      </c>
      <c r="AB1148" s="24">
        <v>0</v>
      </c>
      <c r="AC1148" s="26">
        <v>0</v>
      </c>
      <c r="AD1148" s="26">
        <v>0</v>
      </c>
      <c r="AE1148" s="26">
        <v>0</v>
      </c>
      <c r="AF1148" s="26">
        <v>0</v>
      </c>
      <c r="AG1148" s="26">
        <v>0</v>
      </c>
      <c r="AH1148" s="26">
        <v>0</v>
      </c>
      <c r="AI1148" s="26">
        <v>0</v>
      </c>
      <c r="AJ1148" s="26">
        <v>0</v>
      </c>
      <c r="AK1148" s="26">
        <v>0</v>
      </c>
      <c r="AL1148" s="26">
        <v>0</v>
      </c>
      <c r="AM1148" s="26">
        <v>0</v>
      </c>
    </row>
    <row r="1149" spans="2:39">
      <c r="B1149" s="32" t="str">
        <f t="shared" si="37"/>
        <v>Essential</v>
      </c>
      <c r="C1149" s="32" t="s">
        <v>4</v>
      </c>
      <c r="D1149" s="384"/>
      <c r="F1149" t="s">
        <v>1483</v>
      </c>
      <c r="G1149" s="22">
        <v>0</v>
      </c>
      <c r="H1149" s="22">
        <v>0</v>
      </c>
      <c r="I1149" s="22">
        <v>0</v>
      </c>
      <c r="J1149" s="22">
        <v>0</v>
      </c>
      <c r="K1149" s="22">
        <v>0</v>
      </c>
      <c r="L1149" s="22">
        <v>0</v>
      </c>
      <c r="M1149" s="22">
        <v>0</v>
      </c>
      <c r="N1149" s="22">
        <v>0</v>
      </c>
      <c r="O1149" s="22">
        <v>0</v>
      </c>
      <c r="P1149" s="22">
        <v>0</v>
      </c>
      <c r="Q1149" s="22">
        <v>0</v>
      </c>
      <c r="R1149" s="24">
        <v>0</v>
      </c>
      <c r="S1149" s="24">
        <v>0</v>
      </c>
      <c r="T1149" s="24">
        <v>0</v>
      </c>
      <c r="U1149" s="24">
        <v>0</v>
      </c>
      <c r="V1149" s="24">
        <v>0</v>
      </c>
      <c r="W1149" s="24">
        <v>0</v>
      </c>
      <c r="X1149" s="24">
        <v>0</v>
      </c>
      <c r="Y1149" s="24">
        <v>0</v>
      </c>
      <c r="Z1149" s="24">
        <v>0</v>
      </c>
      <c r="AA1149" s="24">
        <v>0</v>
      </c>
      <c r="AB1149" s="24">
        <v>0</v>
      </c>
      <c r="AC1149" s="26">
        <v>0</v>
      </c>
      <c r="AD1149" s="26">
        <v>0</v>
      </c>
      <c r="AE1149" s="26">
        <v>0</v>
      </c>
      <c r="AF1149" s="26">
        <v>0</v>
      </c>
      <c r="AG1149" s="26">
        <v>0</v>
      </c>
      <c r="AH1149" s="26">
        <v>0</v>
      </c>
      <c r="AI1149" s="26">
        <v>0</v>
      </c>
      <c r="AJ1149" s="26">
        <v>0</v>
      </c>
      <c r="AK1149" s="26">
        <v>0</v>
      </c>
      <c r="AL1149" s="26">
        <v>0</v>
      </c>
      <c r="AM1149" s="26">
        <v>0</v>
      </c>
    </row>
    <row r="1150" spans="2:39">
      <c r="B1150" s="32" t="str">
        <f t="shared" si="37"/>
        <v>Essential</v>
      </c>
      <c r="C1150" s="32" t="s">
        <v>4</v>
      </c>
      <c r="D1150" s="384"/>
      <c r="F1150" t="s">
        <v>1484</v>
      </c>
      <c r="G1150" s="22">
        <v>0</v>
      </c>
      <c r="H1150" s="22">
        <v>0</v>
      </c>
      <c r="I1150" s="22">
        <v>0</v>
      </c>
      <c r="J1150" s="22">
        <v>0</v>
      </c>
      <c r="K1150" s="22">
        <v>0</v>
      </c>
      <c r="L1150" s="22">
        <v>0</v>
      </c>
      <c r="M1150" s="22">
        <v>0</v>
      </c>
      <c r="N1150" s="22">
        <v>0</v>
      </c>
      <c r="O1150" s="22">
        <v>0</v>
      </c>
      <c r="P1150" s="22">
        <v>0</v>
      </c>
      <c r="Q1150" s="22">
        <v>0</v>
      </c>
      <c r="R1150" s="24">
        <v>0</v>
      </c>
      <c r="S1150" s="24">
        <v>0</v>
      </c>
      <c r="T1150" s="24">
        <v>0</v>
      </c>
      <c r="U1150" s="24">
        <v>0</v>
      </c>
      <c r="V1150" s="24">
        <v>0</v>
      </c>
      <c r="W1150" s="24">
        <v>0</v>
      </c>
      <c r="X1150" s="24">
        <v>0</v>
      </c>
      <c r="Y1150" s="24">
        <v>0</v>
      </c>
      <c r="Z1150" s="24">
        <v>0</v>
      </c>
      <c r="AA1150" s="24">
        <v>0</v>
      </c>
      <c r="AB1150" s="24">
        <v>0</v>
      </c>
      <c r="AC1150" s="26">
        <v>0</v>
      </c>
      <c r="AD1150" s="26">
        <v>0</v>
      </c>
      <c r="AE1150" s="26">
        <v>0</v>
      </c>
      <c r="AF1150" s="26">
        <v>0</v>
      </c>
      <c r="AG1150" s="26">
        <v>0</v>
      </c>
      <c r="AH1150" s="26">
        <v>0</v>
      </c>
      <c r="AI1150" s="26">
        <v>0</v>
      </c>
      <c r="AJ1150" s="26">
        <v>0</v>
      </c>
      <c r="AK1150" s="26">
        <v>0</v>
      </c>
      <c r="AL1150" s="26">
        <v>0</v>
      </c>
      <c r="AM1150" s="26">
        <v>0</v>
      </c>
    </row>
    <row r="1151" spans="2:39">
      <c r="B1151" s="32" t="str">
        <f t="shared" si="37"/>
        <v>Essential</v>
      </c>
      <c r="C1151" s="32" t="s">
        <v>4</v>
      </c>
      <c r="D1151" s="384"/>
      <c r="F1151" t="s">
        <v>1485</v>
      </c>
      <c r="G1151" s="22">
        <v>0</v>
      </c>
      <c r="H1151" s="22">
        <v>0</v>
      </c>
      <c r="I1151" s="22">
        <v>0</v>
      </c>
      <c r="J1151" s="22">
        <v>0</v>
      </c>
      <c r="K1151" s="22">
        <v>0</v>
      </c>
      <c r="L1151" s="22">
        <v>0</v>
      </c>
      <c r="M1151" s="22">
        <v>0</v>
      </c>
      <c r="N1151" s="22">
        <v>0</v>
      </c>
      <c r="O1151" s="22">
        <v>0</v>
      </c>
      <c r="P1151" s="22">
        <v>0</v>
      </c>
      <c r="Q1151" s="22">
        <v>0</v>
      </c>
      <c r="R1151" s="24">
        <v>0</v>
      </c>
      <c r="S1151" s="24">
        <v>0</v>
      </c>
      <c r="T1151" s="24">
        <v>0</v>
      </c>
      <c r="U1151" s="24">
        <v>0</v>
      </c>
      <c r="V1151" s="24">
        <v>0</v>
      </c>
      <c r="W1151" s="24">
        <v>0</v>
      </c>
      <c r="X1151" s="24">
        <v>0</v>
      </c>
      <c r="Y1151" s="24">
        <v>0</v>
      </c>
      <c r="Z1151" s="24">
        <v>0</v>
      </c>
      <c r="AA1151" s="24">
        <v>0</v>
      </c>
      <c r="AB1151" s="24">
        <v>0</v>
      </c>
      <c r="AC1151" s="26">
        <v>0</v>
      </c>
      <c r="AD1151" s="26">
        <v>0</v>
      </c>
      <c r="AE1151" s="26">
        <v>0</v>
      </c>
      <c r="AF1151" s="26">
        <v>0</v>
      </c>
      <c r="AG1151" s="26">
        <v>0</v>
      </c>
      <c r="AH1151" s="26">
        <v>0</v>
      </c>
      <c r="AI1151" s="26">
        <v>0</v>
      </c>
      <c r="AJ1151" s="26">
        <v>0</v>
      </c>
      <c r="AK1151" s="26">
        <v>0</v>
      </c>
      <c r="AL1151" s="26">
        <v>0</v>
      </c>
      <c r="AM1151" s="26">
        <v>0</v>
      </c>
    </row>
    <row r="1152" spans="2:39">
      <c r="B1152" s="32" t="str">
        <f t="shared" si="37"/>
        <v>Essential</v>
      </c>
      <c r="C1152" s="32" t="s">
        <v>4</v>
      </c>
      <c r="D1152" s="384"/>
      <c r="F1152" t="s">
        <v>1486</v>
      </c>
      <c r="G1152" s="22">
        <v>0</v>
      </c>
      <c r="H1152" s="22">
        <v>0</v>
      </c>
      <c r="I1152" s="22">
        <v>0</v>
      </c>
      <c r="J1152" s="22">
        <v>0</v>
      </c>
      <c r="K1152" s="22">
        <v>0</v>
      </c>
      <c r="L1152" s="22">
        <v>0</v>
      </c>
      <c r="M1152" s="22">
        <v>0</v>
      </c>
      <c r="N1152" s="22">
        <v>0</v>
      </c>
      <c r="O1152" s="22">
        <v>0</v>
      </c>
      <c r="P1152" s="22">
        <v>0</v>
      </c>
      <c r="Q1152" s="22">
        <v>0</v>
      </c>
      <c r="R1152" s="24">
        <v>0</v>
      </c>
      <c r="S1152" s="24">
        <v>0</v>
      </c>
      <c r="T1152" s="24">
        <v>0</v>
      </c>
      <c r="U1152" s="24">
        <v>0</v>
      </c>
      <c r="V1152" s="24">
        <v>0</v>
      </c>
      <c r="W1152" s="24">
        <v>0</v>
      </c>
      <c r="X1152" s="24">
        <v>0</v>
      </c>
      <c r="Y1152" s="24">
        <v>0</v>
      </c>
      <c r="Z1152" s="24">
        <v>0</v>
      </c>
      <c r="AA1152" s="24">
        <v>0</v>
      </c>
      <c r="AB1152" s="24">
        <v>0</v>
      </c>
      <c r="AC1152" s="26">
        <v>0</v>
      </c>
      <c r="AD1152" s="26">
        <v>0</v>
      </c>
      <c r="AE1152" s="26">
        <v>0</v>
      </c>
      <c r="AF1152" s="26">
        <v>0</v>
      </c>
      <c r="AG1152" s="26">
        <v>0</v>
      </c>
      <c r="AH1152" s="26">
        <v>0</v>
      </c>
      <c r="AI1152" s="26">
        <v>0</v>
      </c>
      <c r="AJ1152" s="26">
        <v>0</v>
      </c>
      <c r="AK1152" s="26">
        <v>0</v>
      </c>
      <c r="AL1152" s="26">
        <v>0</v>
      </c>
      <c r="AM1152" s="26">
        <v>0</v>
      </c>
    </row>
    <row r="1153" spans="2:39">
      <c r="B1153" s="32" t="str">
        <f t="shared" si="37"/>
        <v>Essential</v>
      </c>
      <c r="C1153" s="32" t="s">
        <v>4</v>
      </c>
      <c r="D1153" s="384"/>
      <c r="F1153" t="s">
        <v>1487</v>
      </c>
      <c r="G1153" s="22">
        <v>0</v>
      </c>
      <c r="H1153" s="22">
        <v>0</v>
      </c>
      <c r="I1153" s="22">
        <v>0</v>
      </c>
      <c r="J1153" s="22">
        <v>0</v>
      </c>
      <c r="K1153" s="22">
        <v>0</v>
      </c>
      <c r="L1153" s="22">
        <v>0</v>
      </c>
      <c r="M1153" s="22">
        <v>0</v>
      </c>
      <c r="N1153" s="22">
        <v>0</v>
      </c>
      <c r="O1153" s="22">
        <v>0</v>
      </c>
      <c r="P1153" s="22">
        <v>0</v>
      </c>
      <c r="Q1153" s="22">
        <v>0</v>
      </c>
      <c r="R1153" s="24">
        <v>0</v>
      </c>
      <c r="S1153" s="24">
        <v>0</v>
      </c>
      <c r="T1153" s="24">
        <v>0</v>
      </c>
      <c r="U1153" s="24">
        <v>0</v>
      </c>
      <c r="V1153" s="24">
        <v>0</v>
      </c>
      <c r="W1153" s="24">
        <v>0</v>
      </c>
      <c r="X1153" s="24">
        <v>0</v>
      </c>
      <c r="Y1153" s="24">
        <v>0</v>
      </c>
      <c r="Z1153" s="24">
        <v>0</v>
      </c>
      <c r="AA1153" s="24">
        <v>0</v>
      </c>
      <c r="AB1153" s="24">
        <v>0</v>
      </c>
      <c r="AC1153" s="26">
        <v>0</v>
      </c>
      <c r="AD1153" s="26">
        <v>0</v>
      </c>
      <c r="AE1153" s="26">
        <v>0</v>
      </c>
      <c r="AF1153" s="26">
        <v>0</v>
      </c>
      <c r="AG1153" s="26">
        <v>0</v>
      </c>
      <c r="AH1153" s="26">
        <v>0</v>
      </c>
      <c r="AI1153" s="26">
        <v>0</v>
      </c>
      <c r="AJ1153" s="26">
        <v>0</v>
      </c>
      <c r="AK1153" s="26">
        <v>0</v>
      </c>
      <c r="AL1153" s="26">
        <v>0</v>
      </c>
      <c r="AM1153" s="26">
        <v>0</v>
      </c>
    </row>
    <row r="1154" spans="2:39">
      <c r="B1154" s="32" t="str">
        <f t="shared" si="37"/>
        <v>Essential</v>
      </c>
      <c r="C1154" s="32" t="s">
        <v>4</v>
      </c>
      <c r="D1154" s="384"/>
      <c r="F1154" t="s">
        <v>1488</v>
      </c>
      <c r="G1154" s="22">
        <v>183.51993710012007</v>
      </c>
      <c r="H1154" s="22">
        <v>1818.2654628261064</v>
      </c>
      <c r="I1154" s="22">
        <v>1915.2913156548914</v>
      </c>
      <c r="J1154" s="22">
        <v>1431.5922705873502</v>
      </c>
      <c r="K1154" s="22">
        <v>1117.2773364840245</v>
      </c>
      <c r="L1154" s="22">
        <v>840.70083701950273</v>
      </c>
      <c r="M1154" s="22">
        <v>1805.1451931311142</v>
      </c>
      <c r="N1154" s="22">
        <v>1824.5363686707119</v>
      </c>
      <c r="O1154" s="22">
        <v>1871.8621856994168</v>
      </c>
      <c r="P1154" s="22">
        <v>1824.7909095294217</v>
      </c>
      <c r="Q1154" s="22">
        <v>1773.589357096514</v>
      </c>
      <c r="R1154" s="24">
        <v>10.005202754399388</v>
      </c>
      <c r="S1154" s="24">
        <v>38.839938791124695</v>
      </c>
      <c r="T1154" s="24">
        <v>40.659066564651901</v>
      </c>
      <c r="U1154" s="24">
        <v>27.106044376434603</v>
      </c>
      <c r="V1154" s="24">
        <v>26.377352716143839</v>
      </c>
      <c r="W1154" s="24">
        <v>28.0156082631982</v>
      </c>
      <c r="X1154" s="24">
        <v>28</v>
      </c>
      <c r="Y1154" s="24">
        <v>28</v>
      </c>
      <c r="Z1154" s="24">
        <v>28</v>
      </c>
      <c r="AA1154" s="24">
        <v>28</v>
      </c>
      <c r="AB1154" s="24">
        <v>28</v>
      </c>
      <c r="AC1154" s="26">
        <v>0.90956388676358069</v>
      </c>
      <c r="AD1154" s="26">
        <v>5.4573833205814841</v>
      </c>
      <c r="AE1154" s="26">
        <v>4.3669472073450706</v>
      </c>
      <c r="AF1154" s="26">
        <v>3.6382555470543227</v>
      </c>
      <c r="AG1154" s="26">
        <v>2.7286916602907421</v>
      </c>
      <c r="AH1154" s="26">
        <v>2.18347360367253</v>
      </c>
      <c r="AI1154" s="26">
        <v>3.1834736036725322</v>
      </c>
      <c r="AJ1154" s="26">
        <v>3.1834736036725322</v>
      </c>
      <c r="AK1154" s="26">
        <v>2.18347360367253</v>
      </c>
      <c r="AL1154" s="26">
        <v>3.1834736036725322</v>
      </c>
      <c r="AM1154" s="26">
        <v>3.1834736036725322</v>
      </c>
    </row>
    <row r="1155" spans="2:39">
      <c r="B1155" s="32" t="str">
        <f t="shared" si="37"/>
        <v>Essential</v>
      </c>
      <c r="C1155" s="32" t="s">
        <v>4</v>
      </c>
      <c r="D1155" s="384"/>
      <c r="F1155" t="s">
        <v>1489</v>
      </c>
      <c r="G1155" s="22">
        <v>36.684901166930281</v>
      </c>
      <c r="H1155" s="22">
        <v>280.88594154658108</v>
      </c>
      <c r="I1155" s="22">
        <v>188.42452397271742</v>
      </c>
      <c r="J1155" s="22">
        <v>105.62900663085648</v>
      </c>
      <c r="K1155" s="22">
        <v>84.714895274552163</v>
      </c>
      <c r="L1155" s="22">
        <v>120.03320850596876</v>
      </c>
      <c r="M1155" s="22">
        <v>257.87788473301629</v>
      </c>
      <c r="N1155" s="22">
        <v>260.64805266724454</v>
      </c>
      <c r="O1155" s="22">
        <v>267.40888367134528</v>
      </c>
      <c r="P1155" s="22">
        <v>260.68441564706023</v>
      </c>
      <c r="Q1155" s="22">
        <v>253.36990815664481</v>
      </c>
      <c r="R1155" s="24">
        <v>1</v>
      </c>
      <c r="S1155" s="24">
        <v>3</v>
      </c>
      <c r="T1155" s="24">
        <v>2</v>
      </c>
      <c r="U1155" s="24">
        <v>1</v>
      </c>
      <c r="V1155" s="24">
        <v>1</v>
      </c>
      <c r="W1155" s="24">
        <v>2</v>
      </c>
      <c r="X1155" s="24">
        <v>2</v>
      </c>
      <c r="Y1155" s="24">
        <v>2</v>
      </c>
      <c r="Z1155" s="24">
        <v>2</v>
      </c>
      <c r="AA1155" s="24">
        <v>2</v>
      </c>
      <c r="AB1155" s="24">
        <v>2</v>
      </c>
      <c r="AC1155" s="26">
        <v>0</v>
      </c>
      <c r="AD1155" s="26">
        <v>0</v>
      </c>
      <c r="AE1155" s="26">
        <v>2</v>
      </c>
      <c r="AF1155" s="26">
        <v>0</v>
      </c>
      <c r="AG1155" s="26">
        <v>0</v>
      </c>
      <c r="AH1155" s="26">
        <v>1</v>
      </c>
      <c r="AI1155" s="26">
        <v>0</v>
      </c>
      <c r="AJ1155" s="26">
        <v>0</v>
      </c>
      <c r="AK1155" s="26">
        <v>1</v>
      </c>
      <c r="AL1155" s="26">
        <v>0</v>
      </c>
      <c r="AM1155" s="26">
        <v>0</v>
      </c>
    </row>
    <row r="1156" spans="2:39">
      <c r="B1156" s="32" t="str">
        <f t="shared" si="37"/>
        <v>Essential</v>
      </c>
      <c r="C1156" s="32" t="s">
        <v>4</v>
      </c>
      <c r="D1156" s="384"/>
      <c r="F1156" t="s">
        <v>1490</v>
      </c>
      <c r="G1156" s="22">
        <v>0</v>
      </c>
      <c r="H1156" s="22">
        <v>0</v>
      </c>
      <c r="I1156" s="22">
        <v>0</v>
      </c>
      <c r="J1156" s="22">
        <v>0</v>
      </c>
      <c r="K1156" s="22">
        <v>0</v>
      </c>
      <c r="L1156" s="22">
        <v>0</v>
      </c>
      <c r="M1156" s="22">
        <v>0</v>
      </c>
      <c r="N1156" s="22">
        <v>0</v>
      </c>
      <c r="O1156" s="22">
        <v>0</v>
      </c>
      <c r="P1156" s="22">
        <v>0</v>
      </c>
      <c r="Q1156" s="22">
        <v>0</v>
      </c>
      <c r="R1156" s="24">
        <v>0</v>
      </c>
      <c r="S1156" s="24">
        <v>0</v>
      </c>
      <c r="T1156" s="24">
        <v>0</v>
      </c>
      <c r="U1156" s="24">
        <v>0</v>
      </c>
      <c r="V1156" s="24">
        <v>0</v>
      </c>
      <c r="W1156" s="24">
        <v>0</v>
      </c>
      <c r="X1156" s="24">
        <v>0</v>
      </c>
      <c r="Y1156" s="24">
        <v>0</v>
      </c>
      <c r="Z1156" s="24">
        <v>0</v>
      </c>
      <c r="AA1156" s="24">
        <v>0</v>
      </c>
      <c r="AB1156" s="24">
        <v>0</v>
      </c>
      <c r="AC1156" s="26">
        <v>0</v>
      </c>
      <c r="AD1156" s="26">
        <v>0</v>
      </c>
      <c r="AE1156" s="26">
        <v>0</v>
      </c>
      <c r="AF1156" s="26">
        <v>0</v>
      </c>
      <c r="AG1156" s="26">
        <v>0</v>
      </c>
      <c r="AH1156" s="26">
        <v>0</v>
      </c>
      <c r="AI1156" s="26">
        <v>0</v>
      </c>
      <c r="AJ1156" s="26">
        <v>0</v>
      </c>
      <c r="AK1156" s="26">
        <v>0</v>
      </c>
      <c r="AL1156" s="26">
        <v>0</v>
      </c>
      <c r="AM1156" s="26">
        <v>0</v>
      </c>
    </row>
    <row r="1157" spans="2:39">
      <c r="B1157" s="32" t="str">
        <f t="shared" si="37"/>
        <v>Essential</v>
      </c>
      <c r="C1157" s="32" t="s">
        <v>4</v>
      </c>
      <c r="D1157" s="384"/>
      <c r="F1157" t="s">
        <v>1491</v>
      </c>
      <c r="G1157" s="22">
        <v>0</v>
      </c>
      <c r="H1157" s="22">
        <v>0</v>
      </c>
      <c r="I1157" s="22">
        <v>0</v>
      </c>
      <c r="J1157" s="22">
        <v>0</v>
      </c>
      <c r="K1157" s="22">
        <v>0</v>
      </c>
      <c r="L1157" s="22">
        <v>0</v>
      </c>
      <c r="M1157" s="22">
        <v>0</v>
      </c>
      <c r="N1157" s="22">
        <v>0</v>
      </c>
      <c r="O1157" s="22">
        <v>0</v>
      </c>
      <c r="P1157" s="22">
        <v>0</v>
      </c>
      <c r="Q1157" s="22">
        <v>0</v>
      </c>
      <c r="R1157" s="24">
        <v>0</v>
      </c>
      <c r="S1157" s="24">
        <v>0</v>
      </c>
      <c r="T1157" s="24">
        <v>0</v>
      </c>
      <c r="U1157" s="24">
        <v>0</v>
      </c>
      <c r="V1157" s="24">
        <v>0</v>
      </c>
      <c r="W1157" s="24">
        <v>0</v>
      </c>
      <c r="X1157" s="24">
        <v>0</v>
      </c>
      <c r="Y1157" s="24">
        <v>0</v>
      </c>
      <c r="Z1157" s="24">
        <v>0</v>
      </c>
      <c r="AA1157" s="24">
        <v>0</v>
      </c>
      <c r="AB1157" s="24">
        <v>0</v>
      </c>
      <c r="AC1157" s="26">
        <v>0</v>
      </c>
      <c r="AD1157" s="26">
        <v>0</v>
      </c>
      <c r="AE1157" s="26">
        <v>0</v>
      </c>
      <c r="AF1157" s="26">
        <v>0</v>
      </c>
      <c r="AG1157" s="26">
        <v>0</v>
      </c>
      <c r="AH1157" s="26">
        <v>0</v>
      </c>
      <c r="AI1157" s="26">
        <v>0</v>
      </c>
      <c r="AJ1157" s="26">
        <v>0</v>
      </c>
      <c r="AK1157" s="26">
        <v>0</v>
      </c>
      <c r="AL1157" s="26">
        <v>0</v>
      </c>
      <c r="AM1157" s="26">
        <v>0</v>
      </c>
    </row>
    <row r="1158" spans="2:39">
      <c r="B1158" s="32" t="str">
        <f t="shared" si="37"/>
        <v>Essential</v>
      </c>
      <c r="C1158" s="32" t="s">
        <v>4</v>
      </c>
      <c r="D1158" s="384"/>
      <c r="F1158" t="s">
        <v>1492</v>
      </c>
      <c r="G1158" s="22">
        <v>0</v>
      </c>
      <c r="H1158" s="22">
        <v>0</v>
      </c>
      <c r="I1158" s="22">
        <v>0</v>
      </c>
      <c r="J1158" s="22">
        <v>0</v>
      </c>
      <c r="K1158" s="22">
        <v>0</v>
      </c>
      <c r="L1158" s="22">
        <v>0</v>
      </c>
      <c r="M1158" s="22">
        <v>0</v>
      </c>
      <c r="N1158" s="22">
        <v>0</v>
      </c>
      <c r="O1158" s="22">
        <v>0</v>
      </c>
      <c r="P1158" s="22">
        <v>0</v>
      </c>
      <c r="Q1158" s="22">
        <v>0</v>
      </c>
      <c r="R1158" s="24">
        <v>0</v>
      </c>
      <c r="S1158" s="24">
        <v>0</v>
      </c>
      <c r="T1158" s="24">
        <v>0</v>
      </c>
      <c r="U1158" s="24">
        <v>0</v>
      </c>
      <c r="V1158" s="24">
        <v>0</v>
      </c>
      <c r="W1158" s="24">
        <v>0</v>
      </c>
      <c r="X1158" s="24">
        <v>0</v>
      </c>
      <c r="Y1158" s="24">
        <v>0</v>
      </c>
      <c r="Z1158" s="24">
        <v>0</v>
      </c>
      <c r="AA1158" s="24">
        <v>0</v>
      </c>
      <c r="AB1158" s="24">
        <v>0</v>
      </c>
      <c r="AC1158" s="26">
        <v>0</v>
      </c>
      <c r="AD1158" s="26">
        <v>0</v>
      </c>
      <c r="AE1158" s="26">
        <v>0</v>
      </c>
      <c r="AF1158" s="26">
        <v>0</v>
      </c>
      <c r="AG1158" s="26">
        <v>0</v>
      </c>
      <c r="AH1158" s="26">
        <v>0</v>
      </c>
      <c r="AI1158" s="26">
        <v>0</v>
      </c>
      <c r="AJ1158" s="26">
        <v>0</v>
      </c>
      <c r="AK1158" s="26">
        <v>0</v>
      </c>
      <c r="AL1158" s="26">
        <v>0</v>
      </c>
      <c r="AM1158" s="26">
        <v>0</v>
      </c>
    </row>
    <row r="1159" spans="2:39">
      <c r="B1159" s="32" t="str">
        <f t="shared" si="37"/>
        <v>Essential</v>
      </c>
      <c r="C1159" s="32" t="s">
        <v>4</v>
      </c>
      <c r="D1159" s="384"/>
      <c r="F1159" t="s">
        <v>1490</v>
      </c>
      <c r="G1159" s="22">
        <v>0</v>
      </c>
      <c r="H1159" s="22">
        <v>0</v>
      </c>
      <c r="I1159" s="22">
        <v>0</v>
      </c>
      <c r="J1159" s="22">
        <v>0</v>
      </c>
      <c r="K1159" s="22">
        <v>0</v>
      </c>
      <c r="L1159" s="22">
        <v>0</v>
      </c>
      <c r="M1159" s="22">
        <v>0</v>
      </c>
      <c r="N1159" s="22">
        <v>0</v>
      </c>
      <c r="O1159" s="22">
        <v>0</v>
      </c>
      <c r="P1159" s="22">
        <v>0</v>
      </c>
      <c r="Q1159" s="22">
        <v>0</v>
      </c>
      <c r="R1159" s="24">
        <v>0</v>
      </c>
      <c r="S1159" s="24">
        <v>0</v>
      </c>
      <c r="T1159" s="24">
        <v>0</v>
      </c>
      <c r="U1159" s="24">
        <v>0</v>
      </c>
      <c r="V1159" s="24">
        <v>0</v>
      </c>
      <c r="W1159" s="24">
        <v>0</v>
      </c>
      <c r="X1159" s="24">
        <v>0</v>
      </c>
      <c r="Y1159" s="24">
        <v>0</v>
      </c>
      <c r="Z1159" s="24">
        <v>0</v>
      </c>
      <c r="AA1159" s="24">
        <v>0</v>
      </c>
      <c r="AB1159" s="24">
        <v>0</v>
      </c>
      <c r="AC1159" s="26">
        <v>0</v>
      </c>
      <c r="AD1159" s="26">
        <v>0</v>
      </c>
      <c r="AE1159" s="26">
        <v>0</v>
      </c>
      <c r="AF1159" s="26">
        <v>0</v>
      </c>
      <c r="AG1159" s="26">
        <v>0</v>
      </c>
      <c r="AH1159" s="26">
        <v>0</v>
      </c>
      <c r="AI1159" s="26">
        <v>0</v>
      </c>
      <c r="AJ1159" s="26">
        <v>0</v>
      </c>
      <c r="AK1159" s="26">
        <v>0</v>
      </c>
      <c r="AL1159" s="26">
        <v>0</v>
      </c>
      <c r="AM1159" s="26">
        <v>0</v>
      </c>
    </row>
    <row r="1160" spans="2:39">
      <c r="B1160" s="32" t="str">
        <f t="shared" si="37"/>
        <v>Essential</v>
      </c>
      <c r="C1160" s="32" t="s">
        <v>4</v>
      </c>
      <c r="D1160" s="384"/>
      <c r="F1160" t="s">
        <v>1493</v>
      </c>
      <c r="G1160" s="22">
        <v>0</v>
      </c>
      <c r="H1160" s="22">
        <v>0</v>
      </c>
      <c r="I1160" s="22">
        <v>0</v>
      </c>
      <c r="J1160" s="22">
        <v>0</v>
      </c>
      <c r="K1160" s="22">
        <v>0</v>
      </c>
      <c r="L1160" s="22">
        <v>0</v>
      </c>
      <c r="M1160" s="22">
        <v>0</v>
      </c>
      <c r="N1160" s="22">
        <v>0</v>
      </c>
      <c r="O1160" s="22">
        <v>0</v>
      </c>
      <c r="P1160" s="22">
        <v>0</v>
      </c>
      <c r="Q1160" s="22">
        <v>0</v>
      </c>
      <c r="R1160" s="24">
        <v>0</v>
      </c>
      <c r="S1160" s="24">
        <v>0</v>
      </c>
      <c r="T1160" s="24">
        <v>0</v>
      </c>
      <c r="U1160" s="24">
        <v>0</v>
      </c>
      <c r="V1160" s="24">
        <v>0</v>
      </c>
      <c r="W1160" s="24">
        <v>0</v>
      </c>
      <c r="X1160" s="24">
        <v>0</v>
      </c>
      <c r="Y1160" s="24">
        <v>0</v>
      </c>
      <c r="Z1160" s="24">
        <v>0</v>
      </c>
      <c r="AA1160" s="24">
        <v>0</v>
      </c>
      <c r="AB1160" s="24">
        <v>0</v>
      </c>
      <c r="AC1160" s="26">
        <v>0</v>
      </c>
      <c r="AD1160" s="26">
        <v>0</v>
      </c>
      <c r="AE1160" s="26">
        <v>0</v>
      </c>
      <c r="AF1160" s="26">
        <v>0</v>
      </c>
      <c r="AG1160" s="26">
        <v>0</v>
      </c>
      <c r="AH1160" s="26">
        <v>0</v>
      </c>
      <c r="AI1160" s="26">
        <v>0</v>
      </c>
      <c r="AJ1160" s="26">
        <v>0</v>
      </c>
      <c r="AK1160" s="26">
        <v>0</v>
      </c>
      <c r="AL1160" s="26">
        <v>0</v>
      </c>
      <c r="AM1160" s="26">
        <v>0</v>
      </c>
    </row>
    <row r="1161" spans="2:39">
      <c r="B1161" s="32" t="str">
        <f t="shared" si="37"/>
        <v>Essential</v>
      </c>
      <c r="C1161" s="32" t="s">
        <v>4</v>
      </c>
      <c r="D1161" s="384"/>
      <c r="F1161" t="s">
        <v>1494</v>
      </c>
      <c r="G1161" s="22">
        <v>0</v>
      </c>
      <c r="H1161" s="22">
        <v>0</v>
      </c>
      <c r="I1161" s="22">
        <v>0</v>
      </c>
      <c r="J1161" s="22">
        <v>0</v>
      </c>
      <c r="K1161" s="22">
        <v>0</v>
      </c>
      <c r="L1161" s="22">
        <v>0</v>
      </c>
      <c r="M1161" s="22">
        <v>0</v>
      </c>
      <c r="N1161" s="22">
        <v>0</v>
      </c>
      <c r="O1161" s="22">
        <v>0</v>
      </c>
      <c r="P1161" s="22">
        <v>0</v>
      </c>
      <c r="Q1161" s="22">
        <v>0</v>
      </c>
      <c r="R1161" s="24">
        <v>0</v>
      </c>
      <c r="S1161" s="24">
        <v>0</v>
      </c>
      <c r="T1161" s="24">
        <v>0</v>
      </c>
      <c r="U1161" s="24">
        <v>0</v>
      </c>
      <c r="V1161" s="24">
        <v>0</v>
      </c>
      <c r="W1161" s="24">
        <v>0</v>
      </c>
      <c r="X1161" s="24">
        <v>0</v>
      </c>
      <c r="Y1161" s="24">
        <v>0</v>
      </c>
      <c r="Z1161" s="24">
        <v>0</v>
      </c>
      <c r="AA1161" s="24">
        <v>0</v>
      </c>
      <c r="AB1161" s="24">
        <v>0</v>
      </c>
      <c r="AC1161" s="26">
        <v>0</v>
      </c>
      <c r="AD1161" s="26">
        <v>0</v>
      </c>
      <c r="AE1161" s="26">
        <v>0</v>
      </c>
      <c r="AF1161" s="26">
        <v>0</v>
      </c>
      <c r="AG1161" s="26">
        <v>0</v>
      </c>
      <c r="AH1161" s="26">
        <v>0</v>
      </c>
      <c r="AI1161" s="26">
        <v>0</v>
      </c>
      <c r="AJ1161" s="26">
        <v>0</v>
      </c>
      <c r="AK1161" s="26">
        <v>0</v>
      </c>
      <c r="AL1161" s="26">
        <v>0</v>
      </c>
      <c r="AM1161" s="26">
        <v>0</v>
      </c>
    </row>
    <row r="1162" spans="2:39">
      <c r="B1162" s="32" t="str">
        <f t="shared" si="37"/>
        <v>Essential</v>
      </c>
      <c r="C1162" s="32" t="s">
        <v>4</v>
      </c>
      <c r="D1162" s="384"/>
      <c r="F1162" t="s">
        <v>1495</v>
      </c>
      <c r="G1162" s="22">
        <v>0</v>
      </c>
      <c r="H1162" s="22">
        <v>0</v>
      </c>
      <c r="I1162" s="22">
        <v>0</v>
      </c>
      <c r="J1162" s="22">
        <v>0</v>
      </c>
      <c r="K1162" s="22">
        <v>0</v>
      </c>
      <c r="L1162" s="22">
        <v>0</v>
      </c>
      <c r="M1162" s="22">
        <v>0</v>
      </c>
      <c r="N1162" s="22">
        <v>0</v>
      </c>
      <c r="O1162" s="22">
        <v>0</v>
      </c>
      <c r="P1162" s="22">
        <v>0</v>
      </c>
      <c r="Q1162" s="22">
        <v>0</v>
      </c>
      <c r="R1162" s="24">
        <v>0</v>
      </c>
      <c r="S1162" s="24">
        <v>0</v>
      </c>
      <c r="T1162" s="24">
        <v>0</v>
      </c>
      <c r="U1162" s="24">
        <v>0</v>
      </c>
      <c r="V1162" s="24">
        <v>0</v>
      </c>
      <c r="W1162" s="24">
        <v>0</v>
      </c>
      <c r="X1162" s="24">
        <v>0</v>
      </c>
      <c r="Y1162" s="24">
        <v>0</v>
      </c>
      <c r="Z1162" s="24">
        <v>0</v>
      </c>
      <c r="AA1162" s="24">
        <v>0</v>
      </c>
      <c r="AB1162" s="24">
        <v>0</v>
      </c>
      <c r="AC1162" s="26">
        <v>0</v>
      </c>
      <c r="AD1162" s="26">
        <v>0</v>
      </c>
      <c r="AE1162" s="26">
        <v>0</v>
      </c>
      <c r="AF1162" s="26">
        <v>0</v>
      </c>
      <c r="AG1162" s="26">
        <v>0</v>
      </c>
      <c r="AH1162" s="26">
        <v>0</v>
      </c>
      <c r="AI1162" s="26">
        <v>0</v>
      </c>
      <c r="AJ1162" s="26">
        <v>0</v>
      </c>
      <c r="AK1162" s="26">
        <v>0</v>
      </c>
      <c r="AL1162" s="26">
        <v>0</v>
      </c>
      <c r="AM1162" s="26">
        <v>0</v>
      </c>
    </row>
    <row r="1163" spans="2:39">
      <c r="B1163" s="32" t="str">
        <f t="shared" si="37"/>
        <v>Essential</v>
      </c>
      <c r="C1163" s="32" t="s">
        <v>4</v>
      </c>
      <c r="D1163" s="384"/>
      <c r="F1163" t="s">
        <v>1496</v>
      </c>
      <c r="G1163" s="22">
        <v>0</v>
      </c>
      <c r="H1163" s="22">
        <v>0</v>
      </c>
      <c r="I1163" s="22">
        <v>0</v>
      </c>
      <c r="J1163" s="22">
        <v>0</v>
      </c>
      <c r="K1163" s="22">
        <v>0</v>
      </c>
      <c r="L1163" s="22">
        <v>0</v>
      </c>
      <c r="M1163" s="22">
        <v>0</v>
      </c>
      <c r="N1163" s="22">
        <v>0</v>
      </c>
      <c r="O1163" s="22">
        <v>0</v>
      </c>
      <c r="P1163" s="22">
        <v>0</v>
      </c>
      <c r="Q1163" s="22">
        <v>0</v>
      </c>
      <c r="R1163" s="24">
        <v>0</v>
      </c>
      <c r="S1163" s="24">
        <v>0</v>
      </c>
      <c r="T1163" s="24">
        <v>0</v>
      </c>
      <c r="U1163" s="24">
        <v>0</v>
      </c>
      <c r="V1163" s="24">
        <v>0</v>
      </c>
      <c r="W1163" s="24">
        <v>0</v>
      </c>
      <c r="X1163" s="24">
        <v>0</v>
      </c>
      <c r="Y1163" s="24">
        <v>0</v>
      </c>
      <c r="Z1163" s="24">
        <v>0</v>
      </c>
      <c r="AA1163" s="24">
        <v>0</v>
      </c>
      <c r="AB1163" s="24">
        <v>0</v>
      </c>
      <c r="AC1163" s="26">
        <v>0</v>
      </c>
      <c r="AD1163" s="26">
        <v>0</v>
      </c>
      <c r="AE1163" s="26">
        <v>0</v>
      </c>
      <c r="AF1163" s="26">
        <v>0</v>
      </c>
      <c r="AG1163" s="26">
        <v>0</v>
      </c>
      <c r="AH1163" s="26">
        <v>0</v>
      </c>
      <c r="AI1163" s="26">
        <v>0</v>
      </c>
      <c r="AJ1163" s="26">
        <v>0</v>
      </c>
      <c r="AK1163" s="26">
        <v>0</v>
      </c>
      <c r="AL1163" s="26">
        <v>0</v>
      </c>
      <c r="AM1163" s="26">
        <v>0</v>
      </c>
    </row>
    <row r="1164" spans="2:39">
      <c r="B1164" s="32" t="str">
        <f t="shared" si="37"/>
        <v>Essential</v>
      </c>
      <c r="C1164" s="32" t="s">
        <v>4</v>
      </c>
      <c r="D1164" s="384"/>
      <c r="F1164" t="s">
        <v>1274</v>
      </c>
      <c r="G1164" s="22">
        <v>0</v>
      </c>
      <c r="H1164" s="22">
        <v>0</v>
      </c>
      <c r="I1164" s="22">
        <v>0</v>
      </c>
      <c r="J1164" s="22">
        <v>0</v>
      </c>
      <c r="K1164" s="22">
        <v>0</v>
      </c>
      <c r="L1164" s="22">
        <v>0</v>
      </c>
      <c r="M1164" s="22">
        <v>0</v>
      </c>
      <c r="N1164" s="22">
        <v>0</v>
      </c>
      <c r="O1164" s="22">
        <v>0</v>
      </c>
      <c r="P1164" s="22">
        <v>0</v>
      </c>
      <c r="Q1164" s="22">
        <v>0</v>
      </c>
      <c r="R1164" s="24">
        <v>0</v>
      </c>
      <c r="S1164" s="24">
        <v>0</v>
      </c>
      <c r="T1164" s="24">
        <v>0</v>
      </c>
      <c r="U1164" s="24">
        <v>0</v>
      </c>
      <c r="V1164" s="24">
        <v>0</v>
      </c>
      <c r="W1164" s="24">
        <v>0</v>
      </c>
      <c r="X1164" s="24">
        <v>0</v>
      </c>
      <c r="Y1164" s="24">
        <v>0</v>
      </c>
      <c r="Z1164" s="24">
        <v>0</v>
      </c>
      <c r="AA1164" s="24">
        <v>0</v>
      </c>
      <c r="AB1164" s="24">
        <v>0</v>
      </c>
      <c r="AC1164" s="26">
        <v>0</v>
      </c>
      <c r="AD1164" s="26">
        <v>0</v>
      </c>
      <c r="AE1164" s="26">
        <v>0</v>
      </c>
      <c r="AF1164" s="26">
        <v>0</v>
      </c>
      <c r="AG1164" s="26">
        <v>0</v>
      </c>
      <c r="AH1164" s="26">
        <v>0</v>
      </c>
      <c r="AI1164" s="26">
        <v>0</v>
      </c>
      <c r="AJ1164" s="26">
        <v>0</v>
      </c>
      <c r="AK1164" s="26">
        <v>0</v>
      </c>
      <c r="AL1164" s="26">
        <v>0</v>
      </c>
      <c r="AM1164" s="26">
        <v>0</v>
      </c>
    </row>
    <row r="1165" spans="2:39">
      <c r="B1165" s="32" t="str">
        <f t="shared" si="37"/>
        <v>Essential</v>
      </c>
      <c r="C1165" s="32" t="s">
        <v>4</v>
      </c>
      <c r="D1165" s="384"/>
      <c r="F1165" t="s">
        <v>1497</v>
      </c>
      <c r="G1165" s="22">
        <v>0</v>
      </c>
      <c r="H1165" s="22">
        <v>0</v>
      </c>
      <c r="I1165" s="22">
        <v>0</v>
      </c>
      <c r="J1165" s="22">
        <v>0</v>
      </c>
      <c r="K1165" s="22">
        <v>0</v>
      </c>
      <c r="L1165" s="22">
        <v>0</v>
      </c>
      <c r="M1165" s="22">
        <v>0</v>
      </c>
      <c r="N1165" s="22">
        <v>0</v>
      </c>
      <c r="O1165" s="22">
        <v>0</v>
      </c>
      <c r="P1165" s="22">
        <v>0</v>
      </c>
      <c r="Q1165" s="22">
        <v>0</v>
      </c>
      <c r="R1165" s="24">
        <v>0</v>
      </c>
      <c r="S1165" s="24">
        <v>0</v>
      </c>
      <c r="T1165" s="24">
        <v>0</v>
      </c>
      <c r="U1165" s="24">
        <v>0</v>
      </c>
      <c r="V1165" s="24">
        <v>0</v>
      </c>
      <c r="W1165" s="24">
        <v>0</v>
      </c>
      <c r="X1165" s="24">
        <v>0</v>
      </c>
      <c r="Y1165" s="24">
        <v>0</v>
      </c>
      <c r="Z1165" s="24">
        <v>0</v>
      </c>
      <c r="AA1165" s="24">
        <v>0</v>
      </c>
      <c r="AB1165" s="24">
        <v>0</v>
      </c>
      <c r="AC1165" s="26">
        <v>0</v>
      </c>
      <c r="AD1165" s="26">
        <v>0</v>
      </c>
      <c r="AE1165" s="26">
        <v>0</v>
      </c>
      <c r="AF1165" s="26">
        <v>0</v>
      </c>
      <c r="AG1165" s="26">
        <v>0</v>
      </c>
      <c r="AH1165" s="26">
        <v>0</v>
      </c>
      <c r="AI1165" s="26">
        <v>0</v>
      </c>
      <c r="AJ1165" s="26">
        <v>0</v>
      </c>
      <c r="AK1165" s="26">
        <v>0</v>
      </c>
      <c r="AL1165" s="26">
        <v>0</v>
      </c>
      <c r="AM1165" s="26">
        <v>0</v>
      </c>
    </row>
    <row r="1166" spans="2:39">
      <c r="B1166" s="32" t="str">
        <f t="shared" si="37"/>
        <v>Essential</v>
      </c>
      <c r="C1166" s="32" t="s">
        <v>4</v>
      </c>
      <c r="D1166" s="384"/>
      <c r="F1166" t="s">
        <v>1498</v>
      </c>
      <c r="G1166" s="22">
        <v>18.247019317996461</v>
      </c>
      <c r="H1166" s="22">
        <v>147.93612799996052</v>
      </c>
      <c r="I1166" s="22">
        <v>110.27231705182234</v>
      </c>
      <c r="J1166" s="22">
        <v>152.84282887549793</v>
      </c>
      <c r="K1166" s="22">
        <v>68.731197359705547</v>
      </c>
      <c r="L1166" s="22">
        <v>59.548226775264183</v>
      </c>
      <c r="M1166" s="22">
        <v>0</v>
      </c>
      <c r="N1166" s="22">
        <v>129.30696048159271</v>
      </c>
      <c r="O1166" s="22">
        <v>132.66099477620548</v>
      </c>
      <c r="P1166" s="22">
        <v>0</v>
      </c>
      <c r="Q1166" s="22">
        <v>0</v>
      </c>
      <c r="R1166" s="24">
        <v>0.99479724560061211</v>
      </c>
      <c r="S1166" s="24">
        <v>3.1600612088752897</v>
      </c>
      <c r="T1166" s="24">
        <v>2.3409334353481297</v>
      </c>
      <c r="U1166" s="24">
        <v>2.8939556235654171</v>
      </c>
      <c r="V1166" s="24">
        <v>1.6226472838561601</v>
      </c>
      <c r="W1166" s="24">
        <v>1.9843917368018398</v>
      </c>
      <c r="X1166" s="24">
        <v>0</v>
      </c>
      <c r="Y1166" s="24">
        <v>1.9843917368018398</v>
      </c>
      <c r="Z1166" s="24">
        <v>1.9843917368018398</v>
      </c>
      <c r="AA1166" s="24">
        <v>0</v>
      </c>
      <c r="AB1166" s="24">
        <v>0</v>
      </c>
      <c r="AC1166" s="26">
        <v>9.0436113236419285E-2</v>
      </c>
      <c r="AD1166" s="26">
        <v>0.54261667941851566</v>
      </c>
      <c r="AE1166" s="26">
        <v>0</v>
      </c>
      <c r="AF1166" s="26">
        <v>0.36174445294567714</v>
      </c>
      <c r="AG1166" s="26">
        <v>0</v>
      </c>
      <c r="AH1166" s="26">
        <v>0.31652639632746749</v>
      </c>
      <c r="AI1166" s="26">
        <v>0</v>
      </c>
      <c r="AJ1166" s="26">
        <v>0.31652639632746749</v>
      </c>
      <c r="AK1166" s="26">
        <v>0.31652639632746749</v>
      </c>
      <c r="AL1166" s="26">
        <v>0</v>
      </c>
      <c r="AM1166" s="26">
        <v>0.31652639632746749</v>
      </c>
    </row>
    <row r="1167" spans="2:39">
      <c r="B1167" s="32" t="str">
        <f t="shared" si="37"/>
        <v>Essential</v>
      </c>
      <c r="C1167" s="32" t="s">
        <v>4</v>
      </c>
      <c r="D1167" s="384"/>
      <c r="F1167" t="s">
        <v>1277</v>
      </c>
      <c r="G1167" s="22">
        <v>0</v>
      </c>
      <c r="H1167" s="22">
        <v>93.628647182193689</v>
      </c>
      <c r="I1167" s="22">
        <v>0</v>
      </c>
      <c r="J1167" s="22">
        <v>0</v>
      </c>
      <c r="K1167" s="22">
        <v>84.714895274552163</v>
      </c>
      <c r="L1167" s="22">
        <v>0</v>
      </c>
      <c r="M1167" s="22">
        <v>384.80431415057512</v>
      </c>
      <c r="N1167" s="22">
        <v>0</v>
      </c>
      <c r="O1167" s="22">
        <v>0</v>
      </c>
      <c r="P1167" s="22">
        <v>388.99220798505098</v>
      </c>
      <c r="Q1167" s="22">
        <v>0</v>
      </c>
      <c r="R1167" s="24">
        <v>0</v>
      </c>
      <c r="S1167" s="24">
        <v>1</v>
      </c>
      <c r="T1167" s="24">
        <v>0</v>
      </c>
      <c r="U1167" s="24">
        <v>0</v>
      </c>
      <c r="V1167" s="24">
        <v>1</v>
      </c>
      <c r="W1167" s="24">
        <v>0</v>
      </c>
      <c r="X1167" s="24">
        <v>2.9843917368018369</v>
      </c>
      <c r="Y1167" s="24">
        <v>0</v>
      </c>
      <c r="Z1167" s="24">
        <v>0</v>
      </c>
      <c r="AA1167" s="24">
        <v>2.9843917368018369</v>
      </c>
      <c r="AB1167" s="24">
        <v>0</v>
      </c>
      <c r="AC1167" s="26">
        <v>0</v>
      </c>
      <c r="AD1167" s="26">
        <v>0</v>
      </c>
      <c r="AE1167" s="26">
        <v>0.63305279265493497</v>
      </c>
      <c r="AF1167" s="26">
        <v>0</v>
      </c>
      <c r="AG1167" s="26">
        <v>0.27130833970925783</v>
      </c>
      <c r="AH1167" s="26">
        <v>0</v>
      </c>
      <c r="AI1167" s="26">
        <v>0</v>
      </c>
      <c r="AJ1167" s="26">
        <v>0</v>
      </c>
      <c r="AK1167" s="26">
        <v>0</v>
      </c>
      <c r="AL1167" s="26">
        <v>0.31652639632746749</v>
      </c>
      <c r="AM1167" s="26">
        <v>0</v>
      </c>
    </row>
    <row r="1168" spans="2:39">
      <c r="B1168" s="32" t="str">
        <f t="shared" si="37"/>
        <v>Essential</v>
      </c>
      <c r="C1168" s="32" t="s">
        <v>4</v>
      </c>
      <c r="D1168" s="384"/>
      <c r="F1168" t="s">
        <v>1499</v>
      </c>
      <c r="G1168" s="22">
        <v>618.74578440951905</v>
      </c>
      <c r="H1168" s="22">
        <v>2218.0362030808251</v>
      </c>
      <c r="I1168" s="22">
        <v>6098.4692264135538</v>
      </c>
      <c r="J1168" s="22">
        <v>1583.9528455667614</v>
      </c>
      <c r="K1168" s="22">
        <v>421.45019519788093</v>
      </c>
      <c r="L1168" s="22">
        <v>90.024906379476562</v>
      </c>
      <c r="M1168" s="22">
        <v>689.0175772083519</v>
      </c>
      <c r="N1168" s="22">
        <v>3261.6933508216721</v>
      </c>
      <c r="O1168" s="22">
        <v>2115.3236699910703</v>
      </c>
      <c r="P1168" s="22">
        <v>2392.8240409729142</v>
      </c>
      <c r="Q1168" s="22">
        <v>3323.0765958307475</v>
      </c>
      <c r="R1168" s="24">
        <v>7</v>
      </c>
      <c r="S1168" s="24">
        <v>6</v>
      </c>
      <c r="T1168" s="24">
        <v>14</v>
      </c>
      <c r="U1168" s="24">
        <v>3</v>
      </c>
      <c r="V1168" s="24">
        <v>2</v>
      </c>
      <c r="W1168" s="24">
        <v>1</v>
      </c>
      <c r="X1168" s="24">
        <v>1</v>
      </c>
      <c r="Y1168" s="24">
        <v>5</v>
      </c>
      <c r="Z1168" s="24">
        <v>3</v>
      </c>
      <c r="AA1168" s="24">
        <v>3</v>
      </c>
      <c r="AB1168" s="24">
        <v>6.9843917368018369</v>
      </c>
      <c r="AC1168" s="26">
        <v>2</v>
      </c>
      <c r="AD1168" s="26">
        <v>0</v>
      </c>
      <c r="AE1168" s="26">
        <v>0</v>
      </c>
      <c r="AF1168" s="26">
        <v>1</v>
      </c>
      <c r="AG1168" s="26">
        <v>0</v>
      </c>
      <c r="AH1168" s="26">
        <v>1</v>
      </c>
      <c r="AI1168" s="26">
        <v>1.3165263963274676</v>
      </c>
      <c r="AJ1168" s="26">
        <v>1</v>
      </c>
      <c r="AK1168" s="26">
        <v>1</v>
      </c>
      <c r="AL1168" s="26">
        <v>1</v>
      </c>
      <c r="AM1168" s="26">
        <v>1</v>
      </c>
    </row>
    <row r="1169" spans="2:39">
      <c r="B1169" s="32" t="str">
        <f t="shared" si="37"/>
        <v>Essential</v>
      </c>
      <c r="C1169" s="32" t="s">
        <v>4</v>
      </c>
      <c r="D1169" s="384"/>
      <c r="F1169" t="s">
        <v>1500</v>
      </c>
      <c r="G1169" s="22">
        <v>0</v>
      </c>
      <c r="H1169" s="22">
        <v>0</v>
      </c>
      <c r="I1169" s="22">
        <v>0</v>
      </c>
      <c r="J1169" s="22">
        <v>817.11853144317047</v>
      </c>
      <c r="K1169" s="22">
        <v>411.41566674078848</v>
      </c>
      <c r="L1169" s="22">
        <v>436.91888477458031</v>
      </c>
      <c r="M1169" s="22">
        <v>1066.3367266319733</v>
      </c>
      <c r="N1169" s="22">
        <v>0</v>
      </c>
      <c r="O1169" s="22">
        <v>0</v>
      </c>
      <c r="P1169" s="22">
        <v>2287.2582744594029</v>
      </c>
      <c r="Q1169" s="22">
        <v>4025.5599896960271</v>
      </c>
      <c r="R1169" s="24">
        <v>0</v>
      </c>
      <c r="S1169" s="24">
        <v>0</v>
      </c>
      <c r="T1169" s="24">
        <v>0</v>
      </c>
      <c r="U1169" s="24">
        <v>1</v>
      </c>
      <c r="V1169" s="24">
        <v>1</v>
      </c>
      <c r="W1169" s="24">
        <v>1</v>
      </c>
      <c r="X1169" s="24">
        <v>1</v>
      </c>
      <c r="Y1169" s="24">
        <v>0</v>
      </c>
      <c r="Z1169" s="24">
        <v>0</v>
      </c>
      <c r="AA1169" s="24">
        <v>2</v>
      </c>
      <c r="AB1169" s="24">
        <v>4</v>
      </c>
      <c r="AC1169" s="26">
        <v>0</v>
      </c>
      <c r="AD1169" s="26">
        <v>0</v>
      </c>
      <c r="AE1169" s="26">
        <v>0</v>
      </c>
      <c r="AF1169" s="26">
        <v>0</v>
      </c>
      <c r="AG1169" s="26">
        <v>0</v>
      </c>
      <c r="AH1169" s="26">
        <v>0</v>
      </c>
      <c r="AI1169" s="26">
        <v>0</v>
      </c>
      <c r="AJ1169" s="26">
        <v>0</v>
      </c>
      <c r="AK1169" s="26">
        <v>0</v>
      </c>
      <c r="AL1169" s="26">
        <v>0</v>
      </c>
      <c r="AM1169" s="26">
        <v>0</v>
      </c>
    </row>
    <row r="1170" spans="2:39">
      <c r="B1170" s="32" t="str">
        <f t="shared" si="37"/>
        <v>Essential</v>
      </c>
      <c r="C1170" s="32" t="s">
        <v>4</v>
      </c>
      <c r="D1170" s="384"/>
      <c r="F1170" t="s">
        <v>1501</v>
      </c>
      <c r="G1170" s="22">
        <v>0</v>
      </c>
      <c r="H1170" s="22">
        <v>0</v>
      </c>
      <c r="I1170" s="22">
        <v>0</v>
      </c>
      <c r="J1170" s="22">
        <v>0</v>
      </c>
      <c r="K1170" s="22">
        <v>0</v>
      </c>
      <c r="L1170" s="22">
        <v>0</v>
      </c>
      <c r="M1170" s="22">
        <v>0</v>
      </c>
      <c r="N1170" s="22">
        <v>0</v>
      </c>
      <c r="O1170" s="22">
        <v>0</v>
      </c>
      <c r="P1170" s="22">
        <v>0</v>
      </c>
      <c r="Q1170" s="22">
        <v>0</v>
      </c>
      <c r="R1170" s="24">
        <v>0</v>
      </c>
      <c r="S1170" s="24">
        <v>0</v>
      </c>
      <c r="T1170" s="24">
        <v>0</v>
      </c>
      <c r="U1170" s="24">
        <v>0</v>
      </c>
      <c r="V1170" s="24">
        <v>0</v>
      </c>
      <c r="W1170" s="24">
        <v>0</v>
      </c>
      <c r="X1170" s="24">
        <v>0</v>
      </c>
      <c r="Y1170" s="24">
        <v>0</v>
      </c>
      <c r="Z1170" s="24">
        <v>0</v>
      </c>
      <c r="AA1170" s="24">
        <v>0</v>
      </c>
      <c r="AB1170" s="24">
        <v>0</v>
      </c>
      <c r="AC1170" s="26">
        <v>0</v>
      </c>
      <c r="AD1170" s="26">
        <v>0</v>
      </c>
      <c r="AE1170" s="26">
        <v>0</v>
      </c>
      <c r="AF1170" s="26">
        <v>0</v>
      </c>
      <c r="AG1170" s="26">
        <v>0</v>
      </c>
      <c r="AH1170" s="26">
        <v>0</v>
      </c>
      <c r="AI1170" s="26">
        <v>0</v>
      </c>
      <c r="AJ1170" s="26">
        <v>0</v>
      </c>
      <c r="AK1170" s="26">
        <v>0</v>
      </c>
      <c r="AL1170" s="26">
        <v>0</v>
      </c>
      <c r="AM1170" s="26">
        <v>0</v>
      </c>
    </row>
    <row r="1171" spans="2:39">
      <c r="B1171" s="32" t="str">
        <f t="shared" si="37"/>
        <v>Essential</v>
      </c>
      <c r="C1171" s="32" t="s">
        <v>4</v>
      </c>
      <c r="D1171" s="384"/>
      <c r="F1171" t="s">
        <v>1502</v>
      </c>
      <c r="G1171" s="22">
        <v>845.57764898868572</v>
      </c>
      <c r="H1171" s="22">
        <v>1369.9635371969803</v>
      </c>
      <c r="I1171" s="22">
        <v>1796.0659007285888</v>
      </c>
      <c r="J1171" s="22">
        <v>4852.4269713394433</v>
      </c>
      <c r="K1171" s="22">
        <v>2719.3572118720413</v>
      </c>
      <c r="L1171" s="22">
        <v>2594.6259926613538</v>
      </c>
      <c r="M1171" s="22">
        <v>689.0175772083519</v>
      </c>
      <c r="N1171" s="22">
        <v>3914.3072059420069</v>
      </c>
      <c r="O1171" s="22">
        <v>3732.9241235136537</v>
      </c>
      <c r="P1171" s="22">
        <v>1477.9207311891528</v>
      </c>
      <c r="Q1171" s="22">
        <v>1610.223995878411</v>
      </c>
      <c r="R1171" s="24">
        <v>9</v>
      </c>
      <c r="S1171" s="24">
        <v>4</v>
      </c>
      <c r="T1171" s="24">
        <v>4</v>
      </c>
      <c r="U1171" s="24">
        <v>8</v>
      </c>
      <c r="V1171" s="24">
        <v>11</v>
      </c>
      <c r="W1171" s="24">
        <v>8</v>
      </c>
      <c r="X1171" s="24">
        <v>1</v>
      </c>
      <c r="Y1171" s="24">
        <v>5</v>
      </c>
      <c r="Z1171" s="24">
        <v>5</v>
      </c>
      <c r="AA1171" s="24">
        <v>2</v>
      </c>
      <c r="AB1171" s="24">
        <v>2</v>
      </c>
      <c r="AC1171" s="26">
        <v>0</v>
      </c>
      <c r="AD1171" s="26">
        <v>4</v>
      </c>
      <c r="AE1171" s="26">
        <v>0</v>
      </c>
      <c r="AF1171" s="26">
        <v>1</v>
      </c>
      <c r="AG1171" s="26">
        <v>1</v>
      </c>
      <c r="AH1171" s="26">
        <v>1</v>
      </c>
      <c r="AI1171" s="26">
        <v>1</v>
      </c>
      <c r="AJ1171" s="26">
        <v>1</v>
      </c>
      <c r="AK1171" s="26">
        <v>1</v>
      </c>
      <c r="AL1171" s="26">
        <v>1</v>
      </c>
      <c r="AM1171" s="26">
        <v>1</v>
      </c>
    </row>
    <row r="1172" spans="2:39">
      <c r="B1172" s="32" t="str">
        <f t="shared" si="37"/>
        <v>Essential</v>
      </c>
      <c r="C1172" s="32" t="s">
        <v>4</v>
      </c>
      <c r="D1172" s="384"/>
      <c r="F1172" t="s">
        <v>1503</v>
      </c>
      <c r="G1172" s="22">
        <v>644.54570793010112</v>
      </c>
      <c r="H1172" s="22">
        <v>2536.0634527872671</v>
      </c>
      <c r="I1172" s="22">
        <v>3324.8600900392325</v>
      </c>
      <c r="J1172" s="22">
        <v>3695.88997298911</v>
      </c>
      <c r="K1172" s="22">
        <v>2212.6135247888747</v>
      </c>
      <c r="L1172" s="22">
        <v>1539.2988402058293</v>
      </c>
      <c r="M1172" s="22">
        <v>2132.6734532639466</v>
      </c>
      <c r="N1172" s="22">
        <v>0</v>
      </c>
      <c r="O1172" s="22">
        <v>5055.0014172580723</v>
      </c>
      <c r="P1172" s="22">
        <v>3729.9904168107191</v>
      </c>
      <c r="Q1172" s="22">
        <v>2012.7799948480135</v>
      </c>
      <c r="R1172" s="24">
        <v>4</v>
      </c>
      <c r="S1172" s="24">
        <v>4</v>
      </c>
      <c r="T1172" s="24">
        <v>4</v>
      </c>
      <c r="U1172" s="24">
        <v>4</v>
      </c>
      <c r="V1172" s="24">
        <v>6</v>
      </c>
      <c r="W1172" s="24">
        <v>3</v>
      </c>
      <c r="X1172" s="24">
        <v>2</v>
      </c>
      <c r="Y1172" s="24">
        <v>0</v>
      </c>
      <c r="Z1172" s="24">
        <v>5</v>
      </c>
      <c r="AA1172" s="24">
        <v>3</v>
      </c>
      <c r="AB1172" s="24">
        <v>2</v>
      </c>
      <c r="AC1172" s="26">
        <v>0</v>
      </c>
      <c r="AD1172" s="26">
        <v>0</v>
      </c>
      <c r="AE1172" s="26">
        <v>0</v>
      </c>
      <c r="AF1172" s="26">
        <v>0</v>
      </c>
      <c r="AG1172" s="26">
        <v>0</v>
      </c>
      <c r="AH1172" s="26">
        <v>0</v>
      </c>
      <c r="AI1172" s="26">
        <v>0</v>
      </c>
      <c r="AJ1172" s="26">
        <v>0</v>
      </c>
      <c r="AK1172" s="26">
        <v>0</v>
      </c>
      <c r="AL1172" s="26">
        <v>0</v>
      </c>
      <c r="AM1172" s="26">
        <v>0</v>
      </c>
    </row>
    <row r="1173" spans="2:39">
      <c r="B1173" s="32" t="str">
        <f t="shared" si="37"/>
        <v>Essential</v>
      </c>
      <c r="C1173" s="32" t="s">
        <v>4</v>
      </c>
      <c r="D1173" s="384"/>
      <c r="F1173" t="s">
        <v>1504</v>
      </c>
      <c r="G1173" s="22">
        <v>0</v>
      </c>
      <c r="H1173" s="22">
        <v>0</v>
      </c>
      <c r="I1173" s="22">
        <v>0</v>
      </c>
      <c r="J1173" s="22">
        <v>0</v>
      </c>
      <c r="K1173" s="22">
        <v>0</v>
      </c>
      <c r="L1173" s="22">
        <v>0</v>
      </c>
      <c r="M1173" s="22">
        <v>0</v>
      </c>
      <c r="N1173" s="22">
        <v>0</v>
      </c>
      <c r="O1173" s="22">
        <v>0</v>
      </c>
      <c r="P1173" s="22">
        <v>0</v>
      </c>
      <c r="Q1173" s="22">
        <v>0</v>
      </c>
      <c r="R1173" s="24">
        <v>0</v>
      </c>
      <c r="S1173" s="24">
        <v>0</v>
      </c>
      <c r="T1173" s="24">
        <v>0</v>
      </c>
      <c r="U1173" s="24">
        <v>0</v>
      </c>
      <c r="V1173" s="24">
        <v>0</v>
      </c>
      <c r="W1173" s="24">
        <v>0</v>
      </c>
      <c r="X1173" s="24">
        <v>0</v>
      </c>
      <c r="Y1173" s="24">
        <v>0</v>
      </c>
      <c r="Z1173" s="24">
        <v>0</v>
      </c>
      <c r="AA1173" s="24">
        <v>0</v>
      </c>
      <c r="AB1173" s="24">
        <v>0</v>
      </c>
      <c r="AC1173" s="26">
        <v>0</v>
      </c>
      <c r="AD1173" s="26">
        <v>0</v>
      </c>
      <c r="AE1173" s="26">
        <v>0</v>
      </c>
      <c r="AF1173" s="26">
        <v>0</v>
      </c>
      <c r="AG1173" s="26">
        <v>0</v>
      </c>
      <c r="AH1173" s="26">
        <v>0</v>
      </c>
      <c r="AI1173" s="26">
        <v>0</v>
      </c>
      <c r="AJ1173" s="26">
        <v>0</v>
      </c>
      <c r="AK1173" s="26">
        <v>0</v>
      </c>
      <c r="AL1173" s="26">
        <v>0</v>
      </c>
      <c r="AM1173" s="26">
        <v>0</v>
      </c>
    </row>
    <row r="1174" spans="2:39">
      <c r="B1174" s="32" t="str">
        <f t="shared" si="37"/>
        <v>Essential</v>
      </c>
      <c r="C1174" s="32" t="s">
        <v>4</v>
      </c>
      <c r="D1174" s="384"/>
      <c r="F1174" t="s">
        <v>1505</v>
      </c>
      <c r="G1174" s="22">
        <v>0</v>
      </c>
      <c r="H1174" s="22">
        <v>0</v>
      </c>
      <c r="I1174" s="22">
        <v>0</v>
      </c>
      <c r="J1174" s="22">
        <v>0</v>
      </c>
      <c r="K1174" s="22">
        <v>521.79547976880497</v>
      </c>
      <c r="L1174" s="22">
        <v>0</v>
      </c>
      <c r="M1174" s="22">
        <v>3412.2775252223146</v>
      </c>
      <c r="N1174" s="22">
        <v>1696.1997892415363</v>
      </c>
      <c r="O1174" s="22">
        <v>0</v>
      </c>
      <c r="P1174" s="22">
        <v>0</v>
      </c>
      <c r="Q1174" s="22">
        <v>1610.223995878411</v>
      </c>
      <c r="R1174" s="24">
        <v>0</v>
      </c>
      <c r="S1174" s="24">
        <v>0</v>
      </c>
      <c r="T1174" s="24">
        <v>0</v>
      </c>
      <c r="U1174" s="24">
        <v>0</v>
      </c>
      <c r="V1174" s="24">
        <v>1</v>
      </c>
      <c r="W1174" s="24">
        <v>0</v>
      </c>
      <c r="X1174" s="24">
        <v>2</v>
      </c>
      <c r="Y1174" s="24">
        <v>1</v>
      </c>
      <c r="Z1174" s="24">
        <v>0</v>
      </c>
      <c r="AA1174" s="24">
        <v>0</v>
      </c>
      <c r="AB1174" s="24">
        <v>1</v>
      </c>
      <c r="AC1174" s="26">
        <v>0</v>
      </c>
      <c r="AD1174" s="26">
        <v>0</v>
      </c>
      <c r="AE1174" s="26">
        <v>0</v>
      </c>
      <c r="AF1174" s="26">
        <v>0</v>
      </c>
      <c r="AG1174" s="26">
        <v>0</v>
      </c>
      <c r="AH1174" s="26">
        <v>0</v>
      </c>
      <c r="AI1174" s="26">
        <v>0</v>
      </c>
      <c r="AJ1174" s="26">
        <v>0</v>
      </c>
      <c r="AK1174" s="26">
        <v>0</v>
      </c>
      <c r="AL1174" s="26">
        <v>0</v>
      </c>
      <c r="AM1174" s="26">
        <v>0</v>
      </c>
    </row>
    <row r="1175" spans="2:39">
      <c r="B1175" s="32" t="str">
        <f t="shared" si="37"/>
        <v>Essential</v>
      </c>
      <c r="C1175" s="32" t="s">
        <v>4</v>
      </c>
      <c r="D1175" s="384"/>
      <c r="F1175" t="s">
        <v>1506</v>
      </c>
      <c r="G1175" s="22">
        <v>0</v>
      </c>
      <c r="H1175" s="22">
        <v>0</v>
      </c>
      <c r="I1175" s="22">
        <v>0</v>
      </c>
      <c r="J1175" s="22">
        <v>0</v>
      </c>
      <c r="K1175" s="22">
        <v>0</v>
      </c>
      <c r="L1175" s="22">
        <v>0</v>
      </c>
      <c r="M1175" s="22">
        <v>0</v>
      </c>
      <c r="N1175" s="22">
        <v>0</v>
      </c>
      <c r="O1175" s="22">
        <v>0</v>
      </c>
      <c r="P1175" s="22">
        <v>0</v>
      </c>
      <c r="Q1175" s="22">
        <v>0</v>
      </c>
      <c r="R1175" s="24">
        <v>0</v>
      </c>
      <c r="S1175" s="24">
        <v>0</v>
      </c>
      <c r="T1175" s="24">
        <v>0</v>
      </c>
      <c r="U1175" s="24">
        <v>0</v>
      </c>
      <c r="V1175" s="24">
        <v>0</v>
      </c>
      <c r="W1175" s="24">
        <v>0</v>
      </c>
      <c r="X1175" s="24">
        <v>0</v>
      </c>
      <c r="Y1175" s="24">
        <v>0</v>
      </c>
      <c r="Z1175" s="24">
        <v>0</v>
      </c>
      <c r="AA1175" s="24">
        <v>0</v>
      </c>
      <c r="AB1175" s="24">
        <v>0</v>
      </c>
      <c r="AC1175" s="26">
        <v>0</v>
      </c>
      <c r="AD1175" s="26">
        <v>0</v>
      </c>
      <c r="AE1175" s="26">
        <v>0</v>
      </c>
      <c r="AF1175" s="26">
        <v>0</v>
      </c>
      <c r="AG1175" s="26">
        <v>0</v>
      </c>
      <c r="AH1175" s="26">
        <v>0</v>
      </c>
      <c r="AI1175" s="26">
        <v>0</v>
      </c>
      <c r="AJ1175" s="26">
        <v>0</v>
      </c>
      <c r="AK1175" s="26">
        <v>0</v>
      </c>
      <c r="AL1175" s="26">
        <v>0</v>
      </c>
      <c r="AM1175" s="26">
        <v>0</v>
      </c>
    </row>
    <row r="1176" spans="2:39">
      <c r="B1176" s="32" t="str">
        <f t="shared" si="37"/>
        <v>Essential</v>
      </c>
      <c r="C1176" s="32" t="s">
        <v>4</v>
      </c>
      <c r="D1176" s="384"/>
      <c r="F1176" t="s">
        <v>1507</v>
      </c>
      <c r="G1176" s="22">
        <v>0</v>
      </c>
      <c r="H1176" s="22">
        <v>0</v>
      </c>
      <c r="I1176" s="22">
        <v>0</v>
      </c>
      <c r="J1176" s="22">
        <v>0</v>
      </c>
      <c r="K1176" s="22">
        <v>0</v>
      </c>
      <c r="L1176" s="22">
        <v>0</v>
      </c>
      <c r="M1176" s="22">
        <v>0</v>
      </c>
      <c r="N1176" s="22">
        <v>0</v>
      </c>
      <c r="O1176" s="22">
        <v>0</v>
      </c>
      <c r="P1176" s="22">
        <v>0</v>
      </c>
      <c r="Q1176" s="22">
        <v>0</v>
      </c>
      <c r="R1176" s="24">
        <v>0</v>
      </c>
      <c r="S1176" s="24">
        <v>0</v>
      </c>
      <c r="T1176" s="24">
        <v>0</v>
      </c>
      <c r="U1176" s="24">
        <v>0</v>
      </c>
      <c r="V1176" s="24">
        <v>0</v>
      </c>
      <c r="W1176" s="24">
        <v>0</v>
      </c>
      <c r="X1176" s="24">
        <v>0</v>
      </c>
      <c r="Y1176" s="24">
        <v>0</v>
      </c>
      <c r="Z1176" s="24">
        <v>0</v>
      </c>
      <c r="AA1176" s="24">
        <v>0</v>
      </c>
      <c r="AB1176" s="24">
        <v>0</v>
      </c>
      <c r="AC1176" s="26">
        <v>0</v>
      </c>
      <c r="AD1176" s="26">
        <v>0</v>
      </c>
      <c r="AE1176" s="26">
        <v>0</v>
      </c>
      <c r="AF1176" s="26">
        <v>0</v>
      </c>
      <c r="AG1176" s="26">
        <v>0</v>
      </c>
      <c r="AH1176" s="26">
        <v>0</v>
      </c>
      <c r="AI1176" s="26">
        <v>0</v>
      </c>
      <c r="AJ1176" s="26">
        <v>0</v>
      </c>
      <c r="AK1176" s="26">
        <v>0</v>
      </c>
      <c r="AL1176" s="26">
        <v>0</v>
      </c>
      <c r="AM1176" s="26">
        <v>0</v>
      </c>
    </row>
    <row r="1177" spans="2:39">
      <c r="B1177" s="32" t="str">
        <f t="shared" si="37"/>
        <v>Essential</v>
      </c>
      <c r="C1177" s="32" t="s">
        <v>4</v>
      </c>
      <c r="D1177" s="384"/>
      <c r="F1177" t="s">
        <v>1287</v>
      </c>
      <c r="G1177" s="22">
        <v>0</v>
      </c>
      <c r="H1177" s="22">
        <v>0</v>
      </c>
      <c r="I1177" s="22">
        <v>0</v>
      </c>
      <c r="J1177" s="22">
        <v>0</v>
      </c>
      <c r="K1177" s="22">
        <v>0</v>
      </c>
      <c r="L1177" s="22">
        <v>0</v>
      </c>
      <c r="M1177" s="22">
        <v>0</v>
      </c>
      <c r="N1177" s="22">
        <v>0</v>
      </c>
      <c r="O1177" s="22">
        <v>0</v>
      </c>
      <c r="P1177" s="22">
        <v>0</v>
      </c>
      <c r="Q1177" s="22">
        <v>0</v>
      </c>
      <c r="R1177" s="24">
        <v>0</v>
      </c>
      <c r="S1177" s="24">
        <v>0</v>
      </c>
      <c r="T1177" s="24">
        <v>0</v>
      </c>
      <c r="U1177" s="24">
        <v>0</v>
      </c>
      <c r="V1177" s="24">
        <v>0</v>
      </c>
      <c r="W1177" s="24">
        <v>0</v>
      </c>
      <c r="X1177" s="24">
        <v>0</v>
      </c>
      <c r="Y1177" s="24">
        <v>0</v>
      </c>
      <c r="Z1177" s="24">
        <v>0</v>
      </c>
      <c r="AA1177" s="24">
        <v>0</v>
      </c>
      <c r="AB1177" s="24">
        <v>0</v>
      </c>
      <c r="AC1177" s="26">
        <v>0</v>
      </c>
      <c r="AD1177" s="26">
        <v>0</v>
      </c>
      <c r="AE1177" s="26">
        <v>0</v>
      </c>
      <c r="AF1177" s="26">
        <v>0</v>
      </c>
      <c r="AG1177" s="26">
        <v>0</v>
      </c>
      <c r="AH1177" s="26">
        <v>0</v>
      </c>
      <c r="AI1177" s="26">
        <v>0</v>
      </c>
      <c r="AJ1177" s="26">
        <v>0</v>
      </c>
      <c r="AK1177" s="26">
        <v>0</v>
      </c>
      <c r="AL1177" s="26">
        <v>0</v>
      </c>
      <c r="AM1177" s="26">
        <v>0</v>
      </c>
    </row>
    <row r="1178" spans="2:39">
      <c r="B1178" s="32" t="str">
        <f t="shared" si="37"/>
        <v>Essential</v>
      </c>
      <c r="C1178" s="32" t="s">
        <v>4</v>
      </c>
      <c r="D1178" s="384"/>
      <c r="F1178" t="s">
        <v>303</v>
      </c>
      <c r="G1178" s="22">
        <v>935.46497975672207</v>
      </c>
      <c r="H1178" s="22">
        <v>2387.5305031459393</v>
      </c>
      <c r="I1178" s="22">
        <v>2402.4126806521467</v>
      </c>
      <c r="J1178" s="22">
        <v>2693.5396690868401</v>
      </c>
      <c r="K1178" s="22">
        <v>2160.2298295010801</v>
      </c>
      <c r="L1178" s="22">
        <v>1530.4234084511015</v>
      </c>
      <c r="M1178" s="22">
        <v>3771.4640642203631</v>
      </c>
      <c r="N1178" s="22">
        <v>3909.7207900086669</v>
      </c>
      <c r="O1178" s="22">
        <v>4111.4115864469331</v>
      </c>
      <c r="P1178" s="22">
        <v>4105.7795464411984</v>
      </c>
      <c r="Q1178" s="22">
        <v>4180.6034845846389</v>
      </c>
      <c r="R1178" s="24">
        <v>34</v>
      </c>
      <c r="S1178" s="24">
        <v>34</v>
      </c>
      <c r="T1178" s="24">
        <v>34</v>
      </c>
      <c r="U1178" s="24">
        <v>34</v>
      </c>
      <c r="V1178" s="24">
        <v>34</v>
      </c>
      <c r="W1178" s="24">
        <v>34</v>
      </c>
      <c r="X1178" s="24">
        <v>39</v>
      </c>
      <c r="Y1178" s="24">
        <v>40</v>
      </c>
      <c r="Z1178" s="24">
        <v>41</v>
      </c>
      <c r="AA1178" s="24">
        <v>42</v>
      </c>
      <c r="AB1178" s="24">
        <v>44</v>
      </c>
      <c r="AC1178" s="26">
        <v>9</v>
      </c>
      <c r="AD1178" s="26">
        <v>9</v>
      </c>
      <c r="AE1178" s="26">
        <v>9</v>
      </c>
      <c r="AF1178" s="26">
        <v>9</v>
      </c>
      <c r="AG1178" s="26">
        <v>9</v>
      </c>
      <c r="AH1178" s="26">
        <v>9</v>
      </c>
      <c r="AI1178" s="26">
        <v>9</v>
      </c>
      <c r="AJ1178" s="26">
        <v>9</v>
      </c>
      <c r="AK1178" s="26">
        <v>9</v>
      </c>
      <c r="AL1178" s="26">
        <v>9</v>
      </c>
      <c r="AM1178" s="26">
        <v>9</v>
      </c>
    </row>
    <row r="1179" spans="2:39" ht="60">
      <c r="B1179" s="32" t="str">
        <f t="shared" si="37"/>
        <v>Essential</v>
      </c>
      <c r="C1179" s="32" t="s">
        <v>2</v>
      </c>
      <c r="D1179" s="384"/>
      <c r="E1179" s="3" t="s">
        <v>545</v>
      </c>
      <c r="F1179" t="s">
        <v>340</v>
      </c>
      <c r="G1179" s="22">
        <v>237.06813005753253</v>
      </c>
      <c r="H1179" s="22">
        <v>1897.3989207215457</v>
      </c>
      <c r="I1179" s="22">
        <v>3935.6312914051714</v>
      </c>
      <c r="J1179" s="22">
        <v>1575.8329160239864</v>
      </c>
      <c r="K1179" s="22">
        <v>746.00885314231368</v>
      </c>
      <c r="L1179" s="22">
        <v>266.48451816501336</v>
      </c>
      <c r="M1179" s="22">
        <v>1628.0695053493585</v>
      </c>
      <c r="N1179" s="22">
        <v>1919.9270115572899</v>
      </c>
      <c r="O1179" s="22">
        <v>2008.6191062766416</v>
      </c>
      <c r="P1179" s="22">
        <v>1822.8573654638567</v>
      </c>
      <c r="Q1179" s="22">
        <v>1878.9748771776503</v>
      </c>
      <c r="R1179" s="24">
        <v>59.000000000000007</v>
      </c>
      <c r="S1179" s="24">
        <v>947.00000000000011</v>
      </c>
      <c r="T1179" s="24">
        <v>2548</v>
      </c>
      <c r="U1179" s="24">
        <v>927</v>
      </c>
      <c r="V1179" s="24">
        <v>149.00000000000003</v>
      </c>
      <c r="W1179" s="24">
        <v>121.74193548387098</v>
      </c>
      <c r="X1179" s="24">
        <v>1651.1681415929204</v>
      </c>
      <c r="Y1179" s="24">
        <v>1804.7964601769916</v>
      </c>
      <c r="Z1179" s="24">
        <v>1793.0265486725664</v>
      </c>
      <c r="AA1179" s="24">
        <v>1619.5752212389382</v>
      </c>
      <c r="AB1179" s="24">
        <v>1628.8672566371683</v>
      </c>
      <c r="AC1179" s="26">
        <v>343</v>
      </c>
      <c r="AD1179" s="26">
        <v>870</v>
      </c>
      <c r="AE1179" s="26">
        <v>251</v>
      </c>
      <c r="AF1179" s="26">
        <v>236.00000000000003</v>
      </c>
      <c r="AG1179" s="26">
        <v>282</v>
      </c>
      <c r="AH1179" s="26">
        <v>192.33064516129031</v>
      </c>
      <c r="AI1179" s="26">
        <v>236.90120967741936</v>
      </c>
      <c r="AJ1179" s="26">
        <v>236.90120967741936</v>
      </c>
      <c r="AK1179" s="26">
        <v>236.90120967741936</v>
      </c>
      <c r="AL1179" s="26">
        <v>236.90120967741936</v>
      </c>
      <c r="AM1179" s="26">
        <v>236.90120967741936</v>
      </c>
    </row>
    <row r="1180" spans="2:39">
      <c r="B1180" s="32" t="str">
        <f t="shared" si="37"/>
        <v>Essential</v>
      </c>
      <c r="C1180" s="32" t="s">
        <v>2</v>
      </c>
      <c r="D1180" s="384"/>
      <c r="F1180" t="s">
        <v>341</v>
      </c>
      <c r="G1180" s="22">
        <v>2127.0921229503701</v>
      </c>
      <c r="H1180" s="22">
        <v>812.34711785414243</v>
      </c>
      <c r="I1180" s="22">
        <v>1189.6463088252779</v>
      </c>
      <c r="J1180" s="22">
        <v>1327.2392550090046</v>
      </c>
      <c r="K1180" s="22">
        <v>2810.4706402857919</v>
      </c>
      <c r="L1180" s="22">
        <v>1179.0094997076346</v>
      </c>
      <c r="M1180" s="22">
        <v>1385.7348809038319</v>
      </c>
      <c r="N1180" s="22">
        <v>2046.629460569899</v>
      </c>
      <c r="O1180" s="22">
        <v>2282.8304204218857</v>
      </c>
      <c r="P1180" s="22">
        <v>2312.5856383468727</v>
      </c>
      <c r="Q1180" s="22">
        <v>2245.6706299816683</v>
      </c>
      <c r="R1180" s="24">
        <v>132</v>
      </c>
      <c r="S1180" s="24">
        <v>66</v>
      </c>
      <c r="T1180" s="24">
        <v>96</v>
      </c>
      <c r="U1180" s="24">
        <v>119.00000000000001</v>
      </c>
      <c r="V1180" s="24">
        <v>158</v>
      </c>
      <c r="W1180" s="24">
        <v>105.30645161290322</v>
      </c>
      <c r="X1180" s="24">
        <v>177.87719298245614</v>
      </c>
      <c r="Y1180" s="24">
        <v>257.5497076023392</v>
      </c>
      <c r="Z1180" s="24">
        <v>257.5497076023392</v>
      </c>
      <c r="AA1180" s="24">
        <v>257.5497076023392</v>
      </c>
      <c r="AB1180" s="24">
        <v>257.5497076023392</v>
      </c>
      <c r="AC1180" s="26">
        <v>141</v>
      </c>
      <c r="AD1180" s="26">
        <v>135</v>
      </c>
      <c r="AE1180" s="26">
        <v>132</v>
      </c>
      <c r="AF1180" s="26">
        <v>125</v>
      </c>
      <c r="AG1180" s="26">
        <v>97</v>
      </c>
      <c r="AH1180" s="26">
        <v>100.60887096774195</v>
      </c>
      <c r="AI1180" s="26">
        <v>98.304435483870975</v>
      </c>
      <c r="AJ1180" s="26">
        <v>98.304435483870975</v>
      </c>
      <c r="AK1180" s="26">
        <v>98.304435483870975</v>
      </c>
      <c r="AL1180" s="26">
        <v>98.304435483870975</v>
      </c>
      <c r="AM1180" s="26">
        <v>98.304435483870975</v>
      </c>
    </row>
    <row r="1181" spans="2:39">
      <c r="B1181" s="32" t="str">
        <f t="shared" si="37"/>
        <v>Essential</v>
      </c>
      <c r="C1181" s="32" t="s">
        <v>2</v>
      </c>
      <c r="D1181" s="384"/>
      <c r="F1181" t="s">
        <v>342</v>
      </c>
      <c r="G1181" s="22">
        <v>6678.291899122537</v>
      </c>
      <c r="H1181" s="22">
        <v>9228.4417218015533</v>
      </c>
      <c r="I1181" s="22">
        <v>5851.6803185075005</v>
      </c>
      <c r="J1181" s="22">
        <v>11459.117510206232</v>
      </c>
      <c r="K1181" s="22">
        <v>12788.125628851889</v>
      </c>
      <c r="L1181" s="22">
        <v>23072.300638836572</v>
      </c>
      <c r="M1181" s="22">
        <v>19327.299871592499</v>
      </c>
      <c r="N1181" s="22">
        <v>22802.120963606052</v>
      </c>
      <c r="O1181" s="22">
        <v>20573.850224425441</v>
      </c>
      <c r="P1181" s="22">
        <v>15127.4663424109</v>
      </c>
      <c r="Q1181" s="22">
        <v>14294.056547139273</v>
      </c>
      <c r="R1181" s="24">
        <v>107</v>
      </c>
      <c r="S1181" s="24">
        <v>56</v>
      </c>
      <c r="T1181" s="24">
        <v>57</v>
      </c>
      <c r="U1181" s="24">
        <v>66</v>
      </c>
      <c r="V1181" s="24">
        <v>74</v>
      </c>
      <c r="W1181" s="24">
        <v>187</v>
      </c>
      <c r="X1181" s="24">
        <v>169.39473684210532</v>
      </c>
      <c r="Y1181" s="24">
        <v>174.39473684210529</v>
      </c>
      <c r="Z1181" s="24">
        <v>149.90789473684211</v>
      </c>
      <c r="AA1181" s="24">
        <v>143.90789473684211</v>
      </c>
      <c r="AB1181" s="24">
        <v>98.34210526315789</v>
      </c>
      <c r="AC1181" s="26">
        <v>3</v>
      </c>
      <c r="AD1181" s="26">
        <v>1</v>
      </c>
      <c r="AE1181" s="26">
        <v>3</v>
      </c>
      <c r="AF1181" s="26">
        <v>5</v>
      </c>
      <c r="AG1181" s="26">
        <v>6</v>
      </c>
      <c r="AH1181" s="26">
        <v>0</v>
      </c>
      <c r="AI1181" s="26">
        <v>1.5</v>
      </c>
      <c r="AJ1181" s="26">
        <v>1.5</v>
      </c>
      <c r="AK1181" s="26">
        <v>1.5</v>
      </c>
      <c r="AL1181" s="26">
        <v>1.5</v>
      </c>
      <c r="AM1181" s="26">
        <v>1.5</v>
      </c>
    </row>
    <row r="1182" spans="2:39">
      <c r="B1182" s="32" t="str">
        <f t="shared" si="37"/>
        <v>Essential</v>
      </c>
      <c r="C1182" s="32" t="s">
        <v>2</v>
      </c>
      <c r="D1182" s="384"/>
      <c r="F1182" t="s">
        <v>343</v>
      </c>
      <c r="G1182" s="22">
        <v>70.61324642868243</v>
      </c>
      <c r="H1182" s="22">
        <v>224.40198428808145</v>
      </c>
      <c r="I1182" s="22">
        <v>551.82620128686233</v>
      </c>
      <c r="J1182" s="22">
        <v>569.07153057890969</v>
      </c>
      <c r="K1182" s="22">
        <v>597.10124971240782</v>
      </c>
      <c r="L1182" s="22">
        <v>487.85523316299441</v>
      </c>
      <c r="M1182" s="22">
        <v>349.59006658801184</v>
      </c>
      <c r="N1182" s="22">
        <v>529.80533217557365</v>
      </c>
      <c r="O1182" s="22">
        <v>576.77124549293285</v>
      </c>
      <c r="P1182" s="22">
        <v>579.78375301027017</v>
      </c>
      <c r="Q1182" s="22">
        <v>576.31247420395925</v>
      </c>
      <c r="R1182" s="24">
        <v>3</v>
      </c>
      <c r="S1182" s="24">
        <v>14</v>
      </c>
      <c r="T1182" s="24">
        <v>36</v>
      </c>
      <c r="U1182" s="24">
        <v>34</v>
      </c>
      <c r="V1182" s="24">
        <v>33</v>
      </c>
      <c r="W1182" s="24">
        <v>36.850806451612904</v>
      </c>
      <c r="X1182" s="24">
        <v>38.614035087719294</v>
      </c>
      <c r="Y1182" s="24">
        <v>56.251461988304101</v>
      </c>
      <c r="Z1182" s="24">
        <v>56.251461988304101</v>
      </c>
      <c r="AA1182" s="24">
        <v>56.251461988304101</v>
      </c>
      <c r="AB1182" s="24">
        <v>56.251461988304101</v>
      </c>
      <c r="AC1182" s="26">
        <v>31</v>
      </c>
      <c r="AD1182" s="26">
        <v>17</v>
      </c>
      <c r="AE1182" s="26">
        <v>19.000000000000004</v>
      </c>
      <c r="AF1182" s="26">
        <v>29</v>
      </c>
      <c r="AG1182" s="26">
        <v>22</v>
      </c>
      <c r="AH1182" s="26">
        <v>30.435483870967744</v>
      </c>
      <c r="AI1182" s="26">
        <v>25.217741935483872</v>
      </c>
      <c r="AJ1182" s="26">
        <v>25.217741935483872</v>
      </c>
      <c r="AK1182" s="26">
        <v>25.217741935483872</v>
      </c>
      <c r="AL1182" s="26">
        <v>25.217741935483872</v>
      </c>
      <c r="AM1182" s="26">
        <v>25.217741935483872</v>
      </c>
    </row>
    <row r="1183" spans="2:39">
      <c r="B1183" s="32" t="str">
        <f t="shared" si="37"/>
        <v>Essential</v>
      </c>
      <c r="C1183" s="32" t="s">
        <v>2</v>
      </c>
      <c r="D1183" s="384"/>
      <c r="F1183" t="s">
        <v>344</v>
      </c>
      <c r="G1183" s="22">
        <v>6392.9559186674851</v>
      </c>
      <c r="H1183" s="22">
        <v>11315.995518122661</v>
      </c>
      <c r="I1183" s="22">
        <v>6782.8713220654099</v>
      </c>
      <c r="J1183" s="22">
        <v>6311.9364117756204</v>
      </c>
      <c r="K1183" s="22">
        <v>6441.4393006012942</v>
      </c>
      <c r="L1183" s="22">
        <v>12373.452928921182</v>
      </c>
      <c r="M1183" s="22">
        <v>4876.7229920294458</v>
      </c>
      <c r="N1183" s="22">
        <v>5989.7724590804592</v>
      </c>
      <c r="O1183" s="22">
        <v>5728.226701720183</v>
      </c>
      <c r="P1183" s="22">
        <v>5115.2316485673009</v>
      </c>
      <c r="Q1183" s="22">
        <v>4435.3879339575387</v>
      </c>
      <c r="R1183" s="24">
        <v>22</v>
      </c>
      <c r="S1183" s="24">
        <v>18</v>
      </c>
      <c r="T1183" s="24">
        <v>53.000000000000007</v>
      </c>
      <c r="U1183" s="24">
        <v>56</v>
      </c>
      <c r="V1183" s="24">
        <v>64</v>
      </c>
      <c r="W1183" s="24">
        <v>92.096774193548399</v>
      </c>
      <c r="X1183" s="24">
        <v>84.631578947368411</v>
      </c>
      <c r="Y1183" s="24">
        <v>97.631578947368396</v>
      </c>
      <c r="Z1183" s="24">
        <v>86.552631578947413</v>
      </c>
      <c r="AA1183" s="24">
        <v>86.552631578947413</v>
      </c>
      <c r="AB1183" s="24">
        <v>68.947368421052602</v>
      </c>
      <c r="AC1183" s="26">
        <v>2</v>
      </c>
      <c r="AD1183" s="26">
        <v>7</v>
      </c>
      <c r="AE1183" s="26">
        <v>3</v>
      </c>
      <c r="AF1183" s="26">
        <v>4</v>
      </c>
      <c r="AG1183" s="26">
        <v>0</v>
      </c>
      <c r="AH1183" s="26">
        <v>0</v>
      </c>
      <c r="AI1183" s="26">
        <v>0</v>
      </c>
      <c r="AJ1183" s="26">
        <v>0</v>
      </c>
      <c r="AK1183" s="26">
        <v>0</v>
      </c>
      <c r="AL1183" s="26">
        <v>0</v>
      </c>
      <c r="AM1183" s="26">
        <v>0</v>
      </c>
    </row>
    <row r="1184" spans="2:39">
      <c r="B1184" s="32" t="str">
        <f t="shared" si="37"/>
        <v>Essential</v>
      </c>
      <c r="C1184" s="32" t="s">
        <v>2</v>
      </c>
      <c r="D1184" s="384"/>
      <c r="F1184" t="s">
        <v>345</v>
      </c>
      <c r="G1184" s="22">
        <v>197.38364455229112</v>
      </c>
      <c r="H1184" s="22">
        <v>24.04306974515158</v>
      </c>
      <c r="I1184" s="22">
        <v>109.90241543658229</v>
      </c>
      <c r="J1184" s="22">
        <v>632.20692767833657</v>
      </c>
      <c r="K1184" s="22">
        <v>596.10718182853509</v>
      </c>
      <c r="L1184" s="22">
        <v>241.75665515783544</v>
      </c>
      <c r="M1184" s="22">
        <v>257.62681446828412</v>
      </c>
      <c r="N1184" s="22">
        <v>360.44127050972469</v>
      </c>
      <c r="O1184" s="22">
        <v>423.12425631133237</v>
      </c>
      <c r="P1184" s="22">
        <v>435.33906281413044</v>
      </c>
      <c r="Q1184" s="22">
        <v>402.95748319597215</v>
      </c>
      <c r="R1184" s="24">
        <v>9.0000000000000018</v>
      </c>
      <c r="S1184" s="24">
        <v>1</v>
      </c>
      <c r="T1184" s="24">
        <v>6</v>
      </c>
      <c r="U1184" s="24">
        <v>12</v>
      </c>
      <c r="V1184" s="24">
        <v>14</v>
      </c>
      <c r="W1184" s="24">
        <v>11.358870967741936</v>
      </c>
      <c r="X1184" s="24">
        <v>13.824561403508772</v>
      </c>
      <c r="Y1184" s="24">
        <v>18.690058479532162</v>
      </c>
      <c r="Z1184" s="24">
        <v>18.690058479532162</v>
      </c>
      <c r="AA1184" s="24">
        <v>18.690058479532162</v>
      </c>
      <c r="AB1184" s="24">
        <v>18.690058479532162</v>
      </c>
      <c r="AC1184" s="26">
        <v>4</v>
      </c>
      <c r="AD1184" s="26">
        <v>7</v>
      </c>
      <c r="AE1184" s="26">
        <v>5</v>
      </c>
      <c r="AF1184" s="26">
        <v>2</v>
      </c>
      <c r="AG1184" s="26">
        <v>5</v>
      </c>
      <c r="AH1184" s="26">
        <v>2.471774193548387</v>
      </c>
      <c r="AI1184" s="26">
        <v>3.2358870967741935</v>
      </c>
      <c r="AJ1184" s="26">
        <v>3.2358870967741935</v>
      </c>
      <c r="AK1184" s="26">
        <v>3.2358870967741935</v>
      </c>
      <c r="AL1184" s="26">
        <v>3.2358870967741935</v>
      </c>
      <c r="AM1184" s="26">
        <v>3.2358870967741935</v>
      </c>
    </row>
    <row r="1185" spans="2:39">
      <c r="B1185" s="32" t="str">
        <f t="shared" si="37"/>
        <v>Essential</v>
      </c>
      <c r="C1185" s="32" t="s">
        <v>2</v>
      </c>
      <c r="D1185" s="384"/>
      <c r="F1185" t="s">
        <v>346</v>
      </c>
      <c r="G1185" s="22">
        <v>375.55580303653767</v>
      </c>
      <c r="H1185" s="22">
        <v>1230.752349052477</v>
      </c>
      <c r="I1185" s="22">
        <v>4262.1493247907811</v>
      </c>
      <c r="J1185" s="22">
        <v>2815.5672995096447</v>
      </c>
      <c r="K1185" s="22">
        <v>2497.5358692405089</v>
      </c>
      <c r="L1185" s="22">
        <v>3524.8118469902893</v>
      </c>
      <c r="M1185" s="22">
        <v>2433.7601739420993</v>
      </c>
      <c r="N1185" s="22">
        <v>1283.8734487200068</v>
      </c>
      <c r="O1185" s="22">
        <v>2077.3750958413043</v>
      </c>
      <c r="P1185" s="22">
        <v>2000.2280379332738</v>
      </c>
      <c r="Q1185" s="22">
        <v>1754.7211108758302</v>
      </c>
      <c r="R1185" s="24">
        <v>11</v>
      </c>
      <c r="S1185" s="24">
        <v>14</v>
      </c>
      <c r="T1185" s="24">
        <v>20.999999999999996</v>
      </c>
      <c r="U1185" s="24">
        <v>17</v>
      </c>
      <c r="V1185" s="24">
        <v>20</v>
      </c>
      <c r="W1185" s="24">
        <v>24.41532258064516</v>
      </c>
      <c r="X1185" s="24">
        <v>23.973684210526322</v>
      </c>
      <c r="Y1185" s="24">
        <v>14.97368421052632</v>
      </c>
      <c r="Z1185" s="24">
        <v>18.539473684210531</v>
      </c>
      <c r="AA1185" s="24">
        <v>17.539473684210527</v>
      </c>
      <c r="AB1185" s="24">
        <v>16.710526315789469</v>
      </c>
      <c r="AC1185" s="26">
        <v>1</v>
      </c>
      <c r="AD1185" s="26">
        <v>0</v>
      </c>
      <c r="AE1185" s="26">
        <v>1</v>
      </c>
      <c r="AF1185" s="26">
        <v>2</v>
      </c>
      <c r="AG1185" s="26">
        <v>2</v>
      </c>
      <c r="AH1185" s="26">
        <v>1.471774193548387</v>
      </c>
      <c r="AI1185" s="26">
        <v>1.7358870967741935</v>
      </c>
      <c r="AJ1185" s="26">
        <v>1.7358870967741935</v>
      </c>
      <c r="AK1185" s="26">
        <v>1.7358870967741935</v>
      </c>
      <c r="AL1185" s="26">
        <v>1.7358870967741935</v>
      </c>
      <c r="AM1185" s="26">
        <v>1.7358870967741935</v>
      </c>
    </row>
    <row r="1186" spans="2:39">
      <c r="B1186" s="32" t="str">
        <f t="shared" si="37"/>
        <v>Essential</v>
      </c>
      <c r="C1186" s="32" t="s">
        <v>2</v>
      </c>
      <c r="D1186" s="384"/>
      <c r="F1186" t="s">
        <v>347</v>
      </c>
      <c r="G1186" s="22">
        <v>1417.1609535078373</v>
      </c>
      <c r="H1186" s="22">
        <v>1485.4728545623707</v>
      </c>
      <c r="I1186" s="22">
        <v>2413.133089434516</v>
      </c>
      <c r="J1186" s="22">
        <v>6009.6313803082094</v>
      </c>
      <c r="K1186" s="22">
        <v>1288.6905737391339</v>
      </c>
      <c r="L1186" s="22">
        <v>1270.762418200288</v>
      </c>
      <c r="M1186" s="22">
        <v>2024.4477146140853</v>
      </c>
      <c r="N1186" s="22">
        <v>2590.5776146348339</v>
      </c>
      <c r="O1186" s="22">
        <v>3309.4475897757643</v>
      </c>
      <c r="P1186" s="22">
        <v>3486.0055746755552</v>
      </c>
      <c r="Q1186" s="22">
        <v>2991.1260125528133</v>
      </c>
      <c r="R1186" s="24">
        <v>50</v>
      </c>
      <c r="S1186" s="24">
        <v>32</v>
      </c>
      <c r="T1186" s="24">
        <v>62</v>
      </c>
      <c r="U1186" s="24">
        <v>60</v>
      </c>
      <c r="V1186" s="24">
        <v>15</v>
      </c>
      <c r="W1186" s="24">
        <v>42</v>
      </c>
      <c r="X1186" s="24">
        <v>45.684210526315795</v>
      </c>
      <c r="Y1186" s="24">
        <v>47.508771929824562</v>
      </c>
      <c r="Z1186" s="24">
        <v>47.508771929824562</v>
      </c>
      <c r="AA1186" s="24">
        <v>47.508771929824562</v>
      </c>
      <c r="AB1186" s="24">
        <v>47.508771929824562</v>
      </c>
      <c r="AC1186" s="26">
        <v>0</v>
      </c>
      <c r="AD1186" s="26">
        <v>1</v>
      </c>
      <c r="AE1186" s="26">
        <v>2</v>
      </c>
      <c r="AF1186" s="26">
        <v>7</v>
      </c>
      <c r="AG1186" s="26">
        <v>5</v>
      </c>
      <c r="AH1186" s="26">
        <v>2.471774193548387</v>
      </c>
      <c r="AI1186" s="26">
        <v>3.9717741935483866</v>
      </c>
      <c r="AJ1186" s="26">
        <v>3.9717741935483866</v>
      </c>
      <c r="AK1186" s="26">
        <v>3.9717741935483866</v>
      </c>
      <c r="AL1186" s="26">
        <v>3.9717741935483866</v>
      </c>
      <c r="AM1186" s="26">
        <v>3.9717741935483866</v>
      </c>
    </row>
    <row r="1187" spans="2:39">
      <c r="B1187" s="32" t="str">
        <f t="shared" si="37"/>
        <v>Essential</v>
      </c>
      <c r="C1187" s="32" t="s">
        <v>2</v>
      </c>
      <c r="D1187" s="384"/>
      <c r="F1187" t="s">
        <v>348</v>
      </c>
      <c r="G1187" s="22">
        <v>1277.2592809299219</v>
      </c>
      <c r="H1187" s="22">
        <v>4177.8924034566671</v>
      </c>
      <c r="I1187" s="22">
        <v>2221.1895497711557</v>
      </c>
      <c r="J1187" s="22">
        <v>6680.1337397378202</v>
      </c>
      <c r="K1187" s="22">
        <v>5259.1501558917653</v>
      </c>
      <c r="L1187" s="22">
        <v>2734.2593493046902</v>
      </c>
      <c r="M1187" s="22">
        <v>1818.16576657717</v>
      </c>
      <c r="N1187" s="22">
        <v>2853.2824032608546</v>
      </c>
      <c r="O1187" s="22">
        <v>4300.5654331046899</v>
      </c>
      <c r="P1187" s="22">
        <v>2880.7464884734491</v>
      </c>
      <c r="Q1187" s="22">
        <v>3983.2613531117463</v>
      </c>
      <c r="R1187" s="24">
        <v>26</v>
      </c>
      <c r="S1187" s="24">
        <v>33</v>
      </c>
      <c r="T1187" s="24">
        <v>22</v>
      </c>
      <c r="U1187" s="24">
        <v>25</v>
      </c>
      <c r="V1187" s="24">
        <v>22</v>
      </c>
      <c r="W1187" s="24">
        <v>32.471774193548384</v>
      </c>
      <c r="X1187" s="24">
        <v>15</v>
      </c>
      <c r="Y1187" s="24">
        <v>19</v>
      </c>
      <c r="Z1187" s="24">
        <v>22</v>
      </c>
      <c r="AA1187" s="24">
        <v>14</v>
      </c>
      <c r="AB1187" s="24">
        <v>23</v>
      </c>
      <c r="AC1187" s="26">
        <v>0</v>
      </c>
      <c r="AD1187" s="26">
        <v>0</v>
      </c>
      <c r="AE1187" s="26">
        <v>1</v>
      </c>
      <c r="AF1187" s="26">
        <v>1</v>
      </c>
      <c r="AG1187" s="26">
        <v>1</v>
      </c>
      <c r="AH1187" s="26">
        <v>0</v>
      </c>
      <c r="AI1187" s="26">
        <v>0.5</v>
      </c>
      <c r="AJ1187" s="26">
        <v>0.5</v>
      </c>
      <c r="AK1187" s="26">
        <v>0.5</v>
      </c>
      <c r="AL1187" s="26">
        <v>0.5</v>
      </c>
      <c r="AM1187" s="26">
        <v>0.5</v>
      </c>
    </row>
    <row r="1188" spans="2:39">
      <c r="B1188" s="32" t="str">
        <f t="shared" si="37"/>
        <v>Essential</v>
      </c>
      <c r="C1188" s="32" t="s">
        <v>2</v>
      </c>
      <c r="D1188" s="384"/>
      <c r="F1188" t="s">
        <v>349</v>
      </c>
      <c r="G1188" s="22">
        <v>0</v>
      </c>
      <c r="H1188" s="22">
        <v>0</v>
      </c>
      <c r="I1188" s="22">
        <v>48.410541469371339</v>
      </c>
      <c r="J1188" s="22">
        <v>0</v>
      </c>
      <c r="K1188" s="22">
        <v>1033.8115295735845</v>
      </c>
      <c r="L1188" s="22">
        <v>79.131725675475806</v>
      </c>
      <c r="M1188" s="22">
        <v>115.54698329649304</v>
      </c>
      <c r="N1188" s="22">
        <v>144.43414646779513</v>
      </c>
      <c r="O1188" s="22">
        <v>188.66996738781864</v>
      </c>
      <c r="P1188" s="22">
        <v>199.88853185325971</v>
      </c>
      <c r="Q1188" s="22">
        <v>168.23712547304268</v>
      </c>
      <c r="R1188" s="24">
        <v>0</v>
      </c>
      <c r="S1188" s="24">
        <v>0</v>
      </c>
      <c r="T1188" s="24">
        <v>1</v>
      </c>
      <c r="U1188" s="24">
        <v>0</v>
      </c>
      <c r="V1188" s="24">
        <v>9</v>
      </c>
      <c r="W1188" s="24">
        <v>2</v>
      </c>
      <c r="X1188" s="24">
        <v>2</v>
      </c>
      <c r="Y1188" s="24">
        <v>2</v>
      </c>
      <c r="Z1188" s="24">
        <v>2</v>
      </c>
      <c r="AA1188" s="24">
        <v>2</v>
      </c>
      <c r="AB1188" s="24">
        <v>2</v>
      </c>
      <c r="AC1188" s="26">
        <v>1</v>
      </c>
      <c r="AD1188" s="26">
        <v>0</v>
      </c>
      <c r="AE1188" s="26">
        <v>0</v>
      </c>
      <c r="AF1188" s="26">
        <v>1</v>
      </c>
      <c r="AG1188" s="26">
        <v>0</v>
      </c>
      <c r="AH1188" s="26">
        <v>0</v>
      </c>
      <c r="AI1188" s="26">
        <v>0</v>
      </c>
      <c r="AJ1188" s="26">
        <v>0</v>
      </c>
      <c r="AK1188" s="26">
        <v>0</v>
      </c>
      <c r="AL1188" s="26">
        <v>0</v>
      </c>
      <c r="AM1188" s="26">
        <v>0</v>
      </c>
    </row>
    <row r="1189" spans="2:39">
      <c r="B1189" s="32" t="str">
        <f t="shared" si="37"/>
        <v>Essential</v>
      </c>
      <c r="C1189" s="32" t="s">
        <v>2</v>
      </c>
      <c r="D1189" s="384"/>
      <c r="F1189" t="s">
        <v>350</v>
      </c>
      <c r="G1189" s="22">
        <v>194.01406798935525</v>
      </c>
      <c r="H1189" s="22">
        <v>499.91874913156704</v>
      </c>
      <c r="I1189" s="22">
        <v>0</v>
      </c>
      <c r="J1189" s="22">
        <v>1081.4196868453585</v>
      </c>
      <c r="K1189" s="22">
        <v>2432.4977166437288</v>
      </c>
      <c r="L1189" s="22">
        <v>217.22434499150225</v>
      </c>
      <c r="M1189" s="22">
        <v>84.961017129774291</v>
      </c>
      <c r="N1189" s="22">
        <v>502.68747054967918</v>
      </c>
      <c r="O1189" s="22">
        <v>397.68669596451974</v>
      </c>
      <c r="P1189" s="22">
        <v>146.97686165680861</v>
      </c>
      <c r="Q1189" s="22">
        <v>354.6174703598449</v>
      </c>
      <c r="R1189" s="24">
        <v>3</v>
      </c>
      <c r="S1189" s="24">
        <v>3</v>
      </c>
      <c r="T1189" s="24">
        <v>0</v>
      </c>
      <c r="U1189" s="24">
        <v>3</v>
      </c>
      <c r="V1189" s="24">
        <v>8</v>
      </c>
      <c r="W1189" s="24">
        <v>2</v>
      </c>
      <c r="X1189" s="24">
        <v>1</v>
      </c>
      <c r="Y1189" s="24">
        <v>3</v>
      </c>
      <c r="Z1189" s="24">
        <v>2</v>
      </c>
      <c r="AA1189" s="24">
        <v>1</v>
      </c>
      <c r="AB1189" s="24">
        <v>2</v>
      </c>
      <c r="AC1189" s="26">
        <v>0</v>
      </c>
      <c r="AD1189" s="26">
        <v>1</v>
      </c>
      <c r="AE1189" s="26">
        <v>1</v>
      </c>
      <c r="AF1189" s="26">
        <v>2</v>
      </c>
      <c r="AG1189" s="26">
        <v>1</v>
      </c>
      <c r="AH1189" s="26">
        <v>1</v>
      </c>
      <c r="AI1189" s="26">
        <v>1</v>
      </c>
      <c r="AJ1189" s="26">
        <v>1</v>
      </c>
      <c r="AK1189" s="26">
        <v>1</v>
      </c>
      <c r="AL1189" s="26">
        <v>1</v>
      </c>
      <c r="AM1189" s="26">
        <v>1</v>
      </c>
    </row>
    <row r="1190" spans="2:39">
      <c r="B1190" s="32" t="str">
        <f t="shared" ref="B1190:B1213" si="38">IF(D1190&gt;0,D1190,B1189)</f>
        <v>Essential</v>
      </c>
      <c r="C1190" s="32" t="s">
        <v>2</v>
      </c>
      <c r="D1190" s="384"/>
      <c r="F1190" t="s">
        <v>351</v>
      </c>
      <c r="G1190" s="22">
        <v>0</v>
      </c>
      <c r="H1190" s="22">
        <v>0</v>
      </c>
      <c r="I1190" s="22">
        <v>0</v>
      </c>
      <c r="J1190" s="22">
        <v>0</v>
      </c>
      <c r="K1190" s="22">
        <v>0</v>
      </c>
      <c r="L1190" s="22">
        <v>0</v>
      </c>
      <c r="M1190" s="22">
        <v>0</v>
      </c>
      <c r="N1190" s="22">
        <v>0</v>
      </c>
      <c r="O1190" s="22">
        <v>0</v>
      </c>
      <c r="P1190" s="22">
        <v>0</v>
      </c>
      <c r="Q1190" s="22">
        <v>0</v>
      </c>
      <c r="R1190" s="24">
        <v>0</v>
      </c>
      <c r="S1190" s="24">
        <v>0</v>
      </c>
      <c r="T1190" s="24">
        <v>0</v>
      </c>
      <c r="U1190" s="24">
        <v>0</v>
      </c>
      <c r="V1190" s="24">
        <v>0</v>
      </c>
      <c r="W1190" s="24">
        <v>0</v>
      </c>
      <c r="X1190" s="24">
        <v>0</v>
      </c>
      <c r="Y1190" s="24">
        <v>0</v>
      </c>
      <c r="Z1190" s="24">
        <v>0</v>
      </c>
      <c r="AA1190" s="24">
        <v>0</v>
      </c>
      <c r="AB1190" s="24">
        <v>0</v>
      </c>
      <c r="AC1190" s="26">
        <v>0</v>
      </c>
      <c r="AD1190" s="26">
        <v>0</v>
      </c>
      <c r="AE1190" s="26">
        <v>0</v>
      </c>
      <c r="AF1190" s="26">
        <v>0</v>
      </c>
      <c r="AG1190" s="26">
        <v>0</v>
      </c>
      <c r="AH1190" s="26">
        <v>0</v>
      </c>
      <c r="AI1190" s="26">
        <v>0</v>
      </c>
      <c r="AJ1190" s="26">
        <v>0</v>
      </c>
      <c r="AK1190" s="26">
        <v>0</v>
      </c>
      <c r="AL1190" s="26">
        <v>0</v>
      </c>
      <c r="AM1190" s="26">
        <v>0</v>
      </c>
    </row>
    <row r="1191" spans="2:39">
      <c r="B1191" s="32" t="str">
        <f t="shared" si="38"/>
        <v>Essential</v>
      </c>
      <c r="C1191" s="32" t="s">
        <v>2</v>
      </c>
      <c r="D1191" s="384"/>
      <c r="F1191" t="s">
        <v>352</v>
      </c>
      <c r="G1191" s="22">
        <v>0</v>
      </c>
      <c r="H1191" s="22">
        <v>0</v>
      </c>
      <c r="I1191" s="22">
        <v>0</v>
      </c>
      <c r="J1191" s="22">
        <v>0</v>
      </c>
      <c r="K1191" s="22">
        <v>0</v>
      </c>
      <c r="L1191" s="22">
        <v>0</v>
      </c>
      <c r="M1191" s="22">
        <v>0</v>
      </c>
      <c r="N1191" s="22">
        <v>0</v>
      </c>
      <c r="O1191" s="22">
        <v>0</v>
      </c>
      <c r="P1191" s="22">
        <v>0</v>
      </c>
      <c r="Q1191" s="22">
        <v>0</v>
      </c>
      <c r="R1191" s="24">
        <v>0</v>
      </c>
      <c r="S1191" s="24">
        <v>0</v>
      </c>
      <c r="T1191" s="24">
        <v>0</v>
      </c>
      <c r="U1191" s="24">
        <v>0</v>
      </c>
      <c r="V1191" s="24">
        <v>0</v>
      </c>
      <c r="W1191" s="24">
        <v>0</v>
      </c>
      <c r="X1191" s="24">
        <v>0</v>
      </c>
      <c r="Y1191" s="24">
        <v>0</v>
      </c>
      <c r="Z1191" s="24">
        <v>0</v>
      </c>
      <c r="AA1191" s="24">
        <v>0</v>
      </c>
      <c r="AB1191" s="24">
        <v>0</v>
      </c>
      <c r="AC1191" s="26">
        <v>0</v>
      </c>
      <c r="AD1191" s="26">
        <v>0</v>
      </c>
      <c r="AE1191" s="26">
        <v>0</v>
      </c>
      <c r="AF1191" s="26">
        <v>0</v>
      </c>
      <c r="AG1191" s="26">
        <v>0</v>
      </c>
      <c r="AH1191" s="26">
        <v>0</v>
      </c>
      <c r="AI1191" s="26">
        <v>0</v>
      </c>
      <c r="AJ1191" s="26">
        <v>0</v>
      </c>
      <c r="AK1191" s="26">
        <v>0</v>
      </c>
      <c r="AL1191" s="26">
        <v>0</v>
      </c>
      <c r="AM1191" s="26">
        <v>0</v>
      </c>
    </row>
    <row r="1192" spans="2:39">
      <c r="B1192" s="32" t="str">
        <f t="shared" si="38"/>
        <v>Essential</v>
      </c>
      <c r="C1192" s="32" t="s">
        <v>2</v>
      </c>
      <c r="D1192" s="384"/>
      <c r="F1192" t="s">
        <v>1508</v>
      </c>
      <c r="G1192" s="22">
        <v>58.844372023902018</v>
      </c>
      <c r="H1192" s="22">
        <v>2388.2782613517234</v>
      </c>
      <c r="I1192" s="22">
        <v>4136.6048032380277</v>
      </c>
      <c r="J1192" s="22">
        <v>421.58205304633077</v>
      </c>
      <c r="K1192" s="22">
        <v>225.22390066577742</v>
      </c>
      <c r="L1192" s="22">
        <v>37.160238005062496</v>
      </c>
      <c r="M1192" s="22">
        <v>1553.4070919273877</v>
      </c>
      <c r="N1192" s="22">
        <v>1823.3082750876588</v>
      </c>
      <c r="O1192" s="22">
        <v>1868.1425771282454</v>
      </c>
      <c r="P1192" s="22">
        <v>1665.3080063654556</v>
      </c>
      <c r="Q1192" s="22">
        <v>1756.2229555252834</v>
      </c>
      <c r="R1192" s="24">
        <v>10</v>
      </c>
      <c r="S1192" s="24">
        <v>596</v>
      </c>
      <c r="T1192" s="24">
        <v>1355</v>
      </c>
      <c r="U1192" s="24">
        <v>124</v>
      </c>
      <c r="V1192" s="24">
        <v>72.000000000000014</v>
      </c>
      <c r="W1192" s="24">
        <v>11.774193548387096</v>
      </c>
      <c r="X1192" s="24">
        <v>847.11504424778764</v>
      </c>
      <c r="Y1192" s="24">
        <v>926.12389380530976</v>
      </c>
      <c r="Z1192" s="24">
        <v>920.07079646017701</v>
      </c>
      <c r="AA1192" s="24">
        <v>830.86725663716823</v>
      </c>
      <c r="AB1192" s="24">
        <v>835.6460176991153</v>
      </c>
      <c r="AC1192" s="26">
        <v>125</v>
      </c>
      <c r="AD1192" s="26">
        <v>434</v>
      </c>
      <c r="AE1192" s="26">
        <v>80</v>
      </c>
      <c r="AF1192" s="26">
        <v>103.00000000000001</v>
      </c>
      <c r="AG1192" s="26">
        <v>79</v>
      </c>
      <c r="AH1192" s="26">
        <v>55.927419354838712</v>
      </c>
      <c r="AI1192" s="26">
        <v>67.463709677419374</v>
      </c>
      <c r="AJ1192" s="26">
        <v>67.463709677419374</v>
      </c>
      <c r="AK1192" s="26">
        <v>67.463709677419374</v>
      </c>
      <c r="AL1192" s="26">
        <v>67.463709677419374</v>
      </c>
      <c r="AM1192" s="26">
        <v>67.463709677419374</v>
      </c>
    </row>
    <row r="1193" spans="2:39">
      <c r="B1193" s="32" t="str">
        <f t="shared" si="38"/>
        <v>Essential</v>
      </c>
      <c r="C1193" s="32" t="s">
        <v>2</v>
      </c>
      <c r="D1193" s="384"/>
      <c r="F1193" t="s">
        <v>1509</v>
      </c>
      <c r="G1193" s="22">
        <v>0</v>
      </c>
      <c r="H1193" s="22">
        <v>45.080755772159222</v>
      </c>
      <c r="I1193" s="22">
        <v>328.18082387312768</v>
      </c>
      <c r="J1193" s="22">
        <v>46.748009914411675</v>
      </c>
      <c r="K1193" s="22">
        <v>50.831783136373375</v>
      </c>
      <c r="L1193" s="22">
        <v>5.806287188291015</v>
      </c>
      <c r="M1193" s="22">
        <v>350.5953506086118</v>
      </c>
      <c r="N1193" s="22">
        <v>411.51054819686749</v>
      </c>
      <c r="O1193" s="22">
        <v>421.62940108797204</v>
      </c>
      <c r="P1193" s="22">
        <v>375.85076532553683</v>
      </c>
      <c r="Q1193" s="22">
        <v>396.3697642678589</v>
      </c>
      <c r="R1193" s="24">
        <v>0</v>
      </c>
      <c r="S1193" s="24">
        <v>9.0000000000000018</v>
      </c>
      <c r="T1193" s="24">
        <v>86</v>
      </c>
      <c r="U1193" s="24">
        <v>11</v>
      </c>
      <c r="V1193" s="24">
        <v>13.000000000000002</v>
      </c>
      <c r="W1193" s="24">
        <v>1.471774193548387</v>
      </c>
      <c r="X1193" s="24">
        <v>152.95132743362834</v>
      </c>
      <c r="Y1193" s="24">
        <v>167.21681415929206</v>
      </c>
      <c r="Z1193" s="24">
        <v>166.12389380530973</v>
      </c>
      <c r="AA1193" s="24">
        <v>150.01769911504425</v>
      </c>
      <c r="AB1193" s="24">
        <v>150.88053097345133</v>
      </c>
      <c r="AC1193" s="26">
        <v>24</v>
      </c>
      <c r="AD1193" s="26">
        <v>22</v>
      </c>
      <c r="AE1193" s="26">
        <v>5</v>
      </c>
      <c r="AF1193" s="26">
        <v>5</v>
      </c>
      <c r="AG1193" s="26">
        <v>6</v>
      </c>
      <c r="AH1193" s="26">
        <v>0</v>
      </c>
      <c r="AI1193" s="26">
        <v>3</v>
      </c>
      <c r="AJ1193" s="26">
        <v>3</v>
      </c>
      <c r="AK1193" s="26">
        <v>3</v>
      </c>
      <c r="AL1193" s="26">
        <v>3</v>
      </c>
      <c r="AM1193" s="26">
        <v>3</v>
      </c>
    </row>
    <row r="1194" spans="2:39">
      <c r="B1194" s="32" t="str">
        <f t="shared" si="38"/>
        <v>Essential</v>
      </c>
      <c r="C1194" s="32" t="s">
        <v>2</v>
      </c>
      <c r="D1194" s="384"/>
      <c r="F1194" t="s">
        <v>1510</v>
      </c>
      <c r="G1194" s="22">
        <v>0</v>
      </c>
      <c r="H1194" s="22">
        <v>6.0107674362878951</v>
      </c>
      <c r="I1194" s="22">
        <v>18.317069239430381</v>
      </c>
      <c r="J1194" s="22">
        <v>20.399131599016005</v>
      </c>
      <c r="K1194" s="22">
        <v>4.6921645972036954</v>
      </c>
      <c r="L1194" s="22">
        <v>0</v>
      </c>
      <c r="M1194" s="22">
        <v>32.362647748487234</v>
      </c>
      <c r="N1194" s="22">
        <v>37.985589064326227</v>
      </c>
      <c r="O1194" s="22">
        <v>38.919637023505103</v>
      </c>
      <c r="P1194" s="22">
        <v>34.693916799280316</v>
      </c>
      <c r="Q1194" s="22">
        <v>36.587978240110068</v>
      </c>
      <c r="R1194" s="24">
        <v>0</v>
      </c>
      <c r="S1194" s="24">
        <v>1</v>
      </c>
      <c r="T1194" s="24">
        <v>4</v>
      </c>
      <c r="U1194" s="24">
        <v>4</v>
      </c>
      <c r="V1194" s="24">
        <v>1</v>
      </c>
      <c r="W1194" s="24">
        <v>0</v>
      </c>
      <c r="X1194" s="24">
        <v>11.765486725663715</v>
      </c>
      <c r="Y1194" s="24">
        <v>12.862831858407082</v>
      </c>
      <c r="Z1194" s="24">
        <v>12.778761061946902</v>
      </c>
      <c r="AA1194" s="24">
        <v>11.539823008849558</v>
      </c>
      <c r="AB1194" s="24">
        <v>11.606194690265488</v>
      </c>
      <c r="AC1194" s="26">
        <v>4</v>
      </c>
      <c r="AD1194" s="26">
        <v>2</v>
      </c>
      <c r="AE1194" s="26">
        <v>2</v>
      </c>
      <c r="AF1194" s="26">
        <v>2</v>
      </c>
      <c r="AG1194" s="26">
        <v>3</v>
      </c>
      <c r="AH1194" s="26">
        <v>0</v>
      </c>
      <c r="AI1194" s="26">
        <v>1.5</v>
      </c>
      <c r="AJ1194" s="26">
        <v>1.5</v>
      </c>
      <c r="AK1194" s="26">
        <v>1.5</v>
      </c>
      <c r="AL1194" s="26">
        <v>1.5</v>
      </c>
      <c r="AM1194" s="26">
        <v>1.5</v>
      </c>
    </row>
    <row r="1195" spans="2:39">
      <c r="B1195" s="32" t="str">
        <f t="shared" si="38"/>
        <v>Essential</v>
      </c>
      <c r="C1195" s="32" t="s">
        <v>2</v>
      </c>
      <c r="D1195" s="384"/>
    </row>
    <row r="1196" spans="2:39">
      <c r="B1196" s="32" t="str">
        <f t="shared" si="38"/>
        <v>Essential</v>
      </c>
      <c r="C1196" s="32" t="s">
        <v>2</v>
      </c>
      <c r="D1196" s="384"/>
    </row>
    <row r="1197" spans="2:39">
      <c r="B1197" s="32" t="str">
        <f t="shared" si="38"/>
        <v>Essential</v>
      </c>
      <c r="C1197" s="32" t="s">
        <v>2</v>
      </c>
      <c r="D1197" s="384"/>
    </row>
    <row r="1198" spans="2:39">
      <c r="B1198" s="32" t="str">
        <f t="shared" si="38"/>
        <v>Essential</v>
      </c>
      <c r="C1198" s="32" t="s">
        <v>2</v>
      </c>
      <c r="D1198" s="384"/>
    </row>
    <row r="1199" spans="2:39" ht="45">
      <c r="B1199" s="32" t="str">
        <f t="shared" si="38"/>
        <v>Essential</v>
      </c>
      <c r="C1199" s="32" t="s">
        <v>1135</v>
      </c>
      <c r="D1199" s="384"/>
      <c r="E1199" s="3" t="s">
        <v>547</v>
      </c>
      <c r="F1199" t="s">
        <v>262</v>
      </c>
      <c r="G1199" s="22">
        <v>188.62268043956865</v>
      </c>
      <c r="H1199" s="22">
        <v>216.22493192682734</v>
      </c>
      <c r="I1199" s="22">
        <v>209.26077218481504</v>
      </c>
      <c r="J1199" s="22">
        <v>202.54358000574007</v>
      </c>
      <c r="K1199" s="22">
        <v>154.66136844392921</v>
      </c>
      <c r="L1199" s="22">
        <v>91.728457134396507</v>
      </c>
      <c r="M1199" s="22">
        <v>326.29918743381819</v>
      </c>
      <c r="N1199" s="22">
        <v>332.49513666962622</v>
      </c>
      <c r="O1199" s="22">
        <v>338.62320180953094</v>
      </c>
      <c r="P1199" s="22">
        <v>344.88767236441259</v>
      </c>
      <c r="Q1199" s="22">
        <v>350.65392426721542</v>
      </c>
      <c r="R1199" s="24">
        <v>823</v>
      </c>
      <c r="S1199" s="24">
        <v>823</v>
      </c>
      <c r="T1199" s="24">
        <v>966</v>
      </c>
      <c r="U1199" s="24">
        <v>4085</v>
      </c>
      <c r="V1199" s="24">
        <v>3030</v>
      </c>
      <c r="W1199" s="24">
        <v>617</v>
      </c>
      <c r="X1199" s="24">
        <v>707</v>
      </c>
      <c r="Y1199" s="24">
        <v>719</v>
      </c>
      <c r="Z1199" s="24">
        <v>731</v>
      </c>
      <c r="AA1199" s="24">
        <v>743.50010000000009</v>
      </c>
      <c r="AB1199" s="24">
        <v>755</v>
      </c>
      <c r="AC1199" s="26">
        <v>823</v>
      </c>
      <c r="AD1199" s="26">
        <v>823</v>
      </c>
      <c r="AE1199" s="26">
        <v>865</v>
      </c>
      <c r="AF1199" s="26">
        <v>661</v>
      </c>
      <c r="AG1199" s="26">
        <v>579</v>
      </c>
      <c r="AH1199" s="26">
        <v>617</v>
      </c>
      <c r="AI1199" s="26">
        <v>707</v>
      </c>
      <c r="AJ1199" s="26">
        <v>719</v>
      </c>
      <c r="AK1199" s="26">
        <v>731</v>
      </c>
      <c r="AL1199" s="26">
        <v>743.50010000000009</v>
      </c>
      <c r="AM1199" s="26">
        <v>755</v>
      </c>
    </row>
    <row r="1200" spans="2:39">
      <c r="B1200" s="32" t="str">
        <f t="shared" si="38"/>
        <v>Essential</v>
      </c>
      <c r="C1200" s="32" t="s">
        <v>1135</v>
      </c>
      <c r="D1200" s="384"/>
      <c r="F1200" t="s">
        <v>263</v>
      </c>
      <c r="G1200" s="22">
        <v>684.84743229362698</v>
      </c>
      <c r="H1200" s="22">
        <v>677.49445949138328</v>
      </c>
      <c r="I1200" s="22">
        <v>651.09796550984993</v>
      </c>
      <c r="J1200" s="22">
        <v>905.65017987050339</v>
      </c>
      <c r="K1200" s="22">
        <v>884.92103324613447</v>
      </c>
      <c r="L1200" s="22">
        <v>332.10344206550076</v>
      </c>
      <c r="M1200" s="22">
        <v>984.96369977953941</v>
      </c>
      <c r="N1200" s="22">
        <v>1003.3790401786501</v>
      </c>
      <c r="O1200" s="22">
        <v>1021.9872745775789</v>
      </c>
      <c r="P1200" s="22">
        <v>1040.8938620613749</v>
      </c>
      <c r="Q1200" s="22">
        <v>1059.607401345045</v>
      </c>
      <c r="R1200" s="24">
        <v>3447</v>
      </c>
      <c r="S1200" s="24">
        <v>3447</v>
      </c>
      <c r="T1200" s="24">
        <v>5046</v>
      </c>
      <c r="U1200" s="24">
        <v>27586</v>
      </c>
      <c r="V1200" s="24">
        <v>23018</v>
      </c>
      <c r="W1200" s="24">
        <v>2685</v>
      </c>
      <c r="X1200" s="24">
        <v>2675</v>
      </c>
      <c r="Y1200" s="24">
        <v>2720</v>
      </c>
      <c r="Z1200" s="24">
        <v>2766</v>
      </c>
      <c r="AA1200" s="24">
        <v>2813.2986000000001</v>
      </c>
      <c r="AB1200" s="24">
        <v>2860</v>
      </c>
      <c r="AC1200" s="26">
        <v>3447</v>
      </c>
      <c r="AD1200" s="26">
        <v>3447</v>
      </c>
      <c r="AE1200" s="26">
        <v>2648</v>
      </c>
      <c r="AF1200" s="26">
        <v>2488</v>
      </c>
      <c r="AG1200" s="26">
        <v>2136</v>
      </c>
      <c r="AH1200" s="26">
        <v>2685</v>
      </c>
      <c r="AI1200" s="26">
        <v>2675</v>
      </c>
      <c r="AJ1200" s="26">
        <v>2720</v>
      </c>
      <c r="AK1200" s="26">
        <v>2766</v>
      </c>
      <c r="AL1200" s="26">
        <v>2813.2986000000001</v>
      </c>
      <c r="AM1200" s="26">
        <v>2860</v>
      </c>
    </row>
    <row r="1201" spans="2:39">
      <c r="B1201" s="32" t="str">
        <f t="shared" si="38"/>
        <v>Essential</v>
      </c>
      <c r="C1201" s="32" t="s">
        <v>1134</v>
      </c>
      <c r="D1201" s="384"/>
      <c r="F1201" t="s">
        <v>264</v>
      </c>
      <c r="G1201" s="22">
        <v>0</v>
      </c>
      <c r="H1201" s="22">
        <v>0</v>
      </c>
      <c r="I1201" s="22">
        <v>0</v>
      </c>
      <c r="J1201" s="22">
        <v>0</v>
      </c>
      <c r="K1201" s="22">
        <v>0</v>
      </c>
      <c r="L1201" s="22">
        <v>0</v>
      </c>
      <c r="M1201" s="22">
        <v>0</v>
      </c>
      <c r="N1201" s="22">
        <v>0</v>
      </c>
      <c r="O1201" s="22">
        <v>0</v>
      </c>
      <c r="P1201" s="22">
        <v>0</v>
      </c>
      <c r="Q1201" s="22">
        <v>0</v>
      </c>
      <c r="R1201" s="24">
        <v>0</v>
      </c>
      <c r="S1201" s="24">
        <v>0</v>
      </c>
      <c r="T1201" s="24">
        <v>0</v>
      </c>
      <c r="U1201" s="24">
        <v>0</v>
      </c>
      <c r="V1201" s="24">
        <v>0</v>
      </c>
      <c r="W1201" s="24">
        <v>0</v>
      </c>
      <c r="X1201" s="24">
        <v>0</v>
      </c>
      <c r="Y1201" s="24">
        <v>0</v>
      </c>
      <c r="Z1201" s="24">
        <v>0</v>
      </c>
      <c r="AA1201" s="24">
        <v>0</v>
      </c>
      <c r="AB1201" s="24">
        <v>0</v>
      </c>
      <c r="AC1201" s="26">
        <v>0</v>
      </c>
      <c r="AD1201" s="26">
        <v>0</v>
      </c>
      <c r="AE1201" s="26">
        <v>0</v>
      </c>
      <c r="AF1201" s="26">
        <v>0</v>
      </c>
      <c r="AG1201" s="26">
        <v>0</v>
      </c>
      <c r="AH1201" s="26">
        <v>0</v>
      </c>
      <c r="AI1201" s="26">
        <v>0</v>
      </c>
      <c r="AJ1201" s="26">
        <v>0</v>
      </c>
      <c r="AK1201" s="26">
        <v>0</v>
      </c>
      <c r="AL1201" s="26">
        <v>0</v>
      </c>
      <c r="AM1201" s="26">
        <v>0</v>
      </c>
    </row>
    <row r="1202" spans="2:39">
      <c r="B1202" s="32" t="str">
        <f t="shared" si="38"/>
        <v>Essential</v>
      </c>
      <c r="C1202" s="32" t="s">
        <v>1134</v>
      </c>
      <c r="D1202" s="384"/>
      <c r="F1202" t="s">
        <v>265</v>
      </c>
      <c r="G1202" s="22">
        <v>0</v>
      </c>
      <c r="H1202" s="22">
        <v>0</v>
      </c>
      <c r="I1202" s="22">
        <v>0</v>
      </c>
      <c r="J1202" s="22">
        <v>0</v>
      </c>
      <c r="K1202" s="22">
        <v>0</v>
      </c>
      <c r="L1202" s="22">
        <v>0</v>
      </c>
      <c r="M1202" s="22">
        <v>0</v>
      </c>
      <c r="N1202" s="22">
        <v>0</v>
      </c>
      <c r="O1202" s="22">
        <v>0</v>
      </c>
      <c r="P1202" s="22">
        <v>0</v>
      </c>
      <c r="Q1202" s="22">
        <v>0</v>
      </c>
      <c r="R1202" s="24">
        <v>0</v>
      </c>
      <c r="S1202" s="24">
        <v>0</v>
      </c>
      <c r="T1202" s="24">
        <v>0</v>
      </c>
      <c r="U1202" s="24">
        <v>0</v>
      </c>
      <c r="V1202" s="24">
        <v>0</v>
      </c>
      <c r="W1202" s="24">
        <v>0</v>
      </c>
      <c r="X1202" s="24">
        <v>0</v>
      </c>
      <c r="Y1202" s="24">
        <v>0</v>
      </c>
      <c r="Z1202" s="24">
        <v>0</v>
      </c>
      <c r="AA1202" s="24">
        <v>0</v>
      </c>
      <c r="AB1202" s="24">
        <v>0</v>
      </c>
      <c r="AC1202" s="26">
        <v>0</v>
      </c>
      <c r="AD1202" s="26">
        <v>0</v>
      </c>
      <c r="AE1202" s="26">
        <v>0</v>
      </c>
      <c r="AF1202" s="26">
        <v>0</v>
      </c>
      <c r="AG1202" s="26">
        <v>0</v>
      </c>
      <c r="AH1202" s="26">
        <v>0</v>
      </c>
      <c r="AI1202" s="26">
        <v>0</v>
      </c>
      <c r="AJ1202" s="26">
        <v>0</v>
      </c>
      <c r="AK1202" s="26">
        <v>0</v>
      </c>
      <c r="AL1202" s="26">
        <v>0</v>
      </c>
      <c r="AM1202" s="26">
        <v>0</v>
      </c>
    </row>
    <row r="1203" spans="2:39">
      <c r="B1203" s="32" t="str">
        <f t="shared" si="38"/>
        <v>Essential</v>
      </c>
      <c r="C1203" s="32" t="s">
        <v>1134</v>
      </c>
      <c r="D1203" s="384"/>
      <c r="F1203" t="s">
        <v>266</v>
      </c>
      <c r="G1203" s="22">
        <v>0</v>
      </c>
      <c r="H1203" s="22">
        <v>0</v>
      </c>
      <c r="I1203" s="22">
        <v>0</v>
      </c>
      <c r="J1203" s="22">
        <v>0</v>
      </c>
      <c r="K1203" s="22">
        <v>0</v>
      </c>
      <c r="L1203" s="22">
        <v>0</v>
      </c>
      <c r="M1203" s="22">
        <v>0</v>
      </c>
      <c r="N1203" s="22">
        <v>0</v>
      </c>
      <c r="O1203" s="22">
        <v>0</v>
      </c>
      <c r="P1203" s="22">
        <v>0</v>
      </c>
      <c r="Q1203" s="22">
        <v>0</v>
      </c>
      <c r="R1203" s="24">
        <v>0</v>
      </c>
      <c r="S1203" s="24">
        <v>0</v>
      </c>
      <c r="T1203" s="24">
        <v>0</v>
      </c>
      <c r="U1203" s="24">
        <v>0</v>
      </c>
      <c r="V1203" s="24">
        <v>0</v>
      </c>
      <c r="W1203" s="24">
        <v>0</v>
      </c>
      <c r="X1203" s="24">
        <v>0</v>
      </c>
      <c r="Y1203" s="24">
        <v>0</v>
      </c>
      <c r="Z1203" s="24">
        <v>0</v>
      </c>
      <c r="AA1203" s="24">
        <v>0</v>
      </c>
      <c r="AB1203" s="24">
        <v>0</v>
      </c>
      <c r="AC1203" s="26">
        <v>0</v>
      </c>
      <c r="AD1203" s="26">
        <v>0</v>
      </c>
      <c r="AE1203" s="26">
        <v>0</v>
      </c>
      <c r="AF1203" s="26">
        <v>0</v>
      </c>
      <c r="AG1203" s="26">
        <v>0</v>
      </c>
      <c r="AH1203" s="26">
        <v>0</v>
      </c>
      <c r="AI1203" s="26">
        <v>0</v>
      </c>
      <c r="AJ1203" s="26">
        <v>0</v>
      </c>
      <c r="AK1203" s="26">
        <v>0</v>
      </c>
      <c r="AL1203" s="26">
        <v>0</v>
      </c>
      <c r="AM1203" s="26">
        <v>0</v>
      </c>
    </row>
    <row r="1204" spans="2:39">
      <c r="B1204" s="32" t="str">
        <f t="shared" si="38"/>
        <v>Essential</v>
      </c>
      <c r="C1204" s="32" t="s">
        <v>1134</v>
      </c>
      <c r="D1204" s="384"/>
      <c r="F1204" t="s">
        <v>267</v>
      </c>
      <c r="G1204" s="22">
        <v>0</v>
      </c>
      <c r="H1204" s="22">
        <v>0</v>
      </c>
      <c r="I1204" s="22">
        <v>0</v>
      </c>
      <c r="J1204" s="22">
        <v>0</v>
      </c>
      <c r="K1204" s="22">
        <v>0</v>
      </c>
      <c r="L1204" s="22">
        <v>0</v>
      </c>
      <c r="M1204" s="22">
        <v>0</v>
      </c>
      <c r="N1204" s="22">
        <v>0</v>
      </c>
      <c r="O1204" s="22">
        <v>0</v>
      </c>
      <c r="P1204" s="22">
        <v>0</v>
      </c>
      <c r="Q1204" s="22">
        <v>0</v>
      </c>
      <c r="R1204" s="24">
        <v>0</v>
      </c>
      <c r="S1204" s="24">
        <v>0</v>
      </c>
      <c r="T1204" s="24">
        <v>0</v>
      </c>
      <c r="U1204" s="24">
        <v>0</v>
      </c>
      <c r="V1204" s="24">
        <v>0</v>
      </c>
      <c r="W1204" s="24">
        <v>0</v>
      </c>
      <c r="X1204" s="24">
        <v>0</v>
      </c>
      <c r="Y1204" s="24">
        <v>0</v>
      </c>
      <c r="Z1204" s="24">
        <v>0</v>
      </c>
      <c r="AA1204" s="24">
        <v>0</v>
      </c>
      <c r="AB1204" s="24">
        <v>0</v>
      </c>
      <c r="AC1204" s="26">
        <v>0</v>
      </c>
      <c r="AD1204" s="26">
        <v>0</v>
      </c>
      <c r="AE1204" s="26">
        <v>0</v>
      </c>
      <c r="AF1204" s="26">
        <v>0</v>
      </c>
      <c r="AG1204" s="26">
        <v>0</v>
      </c>
      <c r="AH1204" s="26">
        <v>0</v>
      </c>
      <c r="AI1204" s="26">
        <v>0</v>
      </c>
      <c r="AJ1204" s="26">
        <v>0</v>
      </c>
      <c r="AK1204" s="26">
        <v>0</v>
      </c>
      <c r="AL1204" s="26">
        <v>0</v>
      </c>
      <c r="AM1204" s="26">
        <v>0</v>
      </c>
    </row>
    <row r="1205" spans="2:39">
      <c r="B1205" s="32" t="str">
        <f t="shared" si="38"/>
        <v>Essential</v>
      </c>
      <c r="C1205" s="32" t="s">
        <v>1134</v>
      </c>
      <c r="D1205" s="384"/>
      <c r="F1205" t="s">
        <v>268</v>
      </c>
      <c r="G1205" s="22">
        <v>128.64897870379986</v>
      </c>
      <c r="H1205" s="22">
        <v>204.28907043929388</v>
      </c>
      <c r="I1205" s="22">
        <v>171.11903243039532</v>
      </c>
      <c r="J1205" s="22">
        <v>50.258075682339886</v>
      </c>
      <c r="K1205" s="22">
        <v>79.225188211104737</v>
      </c>
      <c r="L1205" s="22">
        <v>139.02708727665041</v>
      </c>
      <c r="M1205" s="22">
        <v>428.11145771956086</v>
      </c>
      <c r="N1205" s="22">
        <v>443.89961260864072</v>
      </c>
      <c r="O1205" s="22">
        <v>459.84458216025922</v>
      </c>
      <c r="P1205" s="22">
        <v>475.96341463814218</v>
      </c>
      <c r="Q1205" s="22">
        <v>492.36526975892934</v>
      </c>
      <c r="R1205" s="24">
        <v>43</v>
      </c>
      <c r="S1205" s="24">
        <v>41</v>
      </c>
      <c r="T1205" s="24">
        <v>52</v>
      </c>
      <c r="U1205" s="24">
        <v>40</v>
      </c>
      <c r="V1205" s="24">
        <v>75</v>
      </c>
      <c r="W1205" s="24">
        <v>54</v>
      </c>
      <c r="X1205" s="24">
        <v>56</v>
      </c>
      <c r="Y1205" s="24">
        <v>58</v>
      </c>
      <c r="Z1205" s="24">
        <v>60</v>
      </c>
      <c r="AA1205" s="24">
        <v>62</v>
      </c>
      <c r="AB1205" s="24">
        <v>64</v>
      </c>
      <c r="AC1205" s="26">
        <v>43</v>
      </c>
      <c r="AD1205" s="26">
        <v>41</v>
      </c>
      <c r="AE1205" s="26">
        <v>52</v>
      </c>
      <c r="AF1205" s="26">
        <v>40</v>
      </c>
      <c r="AG1205" s="26">
        <v>75</v>
      </c>
      <c r="AH1205" s="26">
        <v>54</v>
      </c>
      <c r="AI1205" s="26">
        <v>56</v>
      </c>
      <c r="AJ1205" s="26">
        <v>58</v>
      </c>
      <c r="AK1205" s="26">
        <v>60</v>
      </c>
      <c r="AL1205" s="26">
        <v>62</v>
      </c>
      <c r="AM1205" s="26">
        <v>64</v>
      </c>
    </row>
    <row r="1206" spans="2:39">
      <c r="B1206" s="32" t="str">
        <f t="shared" si="38"/>
        <v>Essential</v>
      </c>
      <c r="C1206" s="32" t="s">
        <v>1134</v>
      </c>
      <c r="D1206" s="384"/>
      <c r="F1206" t="s">
        <v>269</v>
      </c>
      <c r="G1206" s="22">
        <v>442.85872107953759</v>
      </c>
      <c r="H1206" s="22">
        <v>1549.8969031997867</v>
      </c>
      <c r="I1206" s="22">
        <v>531.31784908045961</v>
      </c>
      <c r="J1206" s="22">
        <v>171.35727509379041</v>
      </c>
      <c r="K1206" s="22">
        <v>225.65342091445851</v>
      </c>
      <c r="L1206" s="22">
        <v>541.41837232176977</v>
      </c>
      <c r="M1206" s="22">
        <v>1643.7300047419149</v>
      </c>
      <c r="N1206" s="22">
        <v>1703.0896256967458</v>
      </c>
      <c r="O1206" s="22">
        <v>1762.6689617817271</v>
      </c>
      <c r="P1206" s="22">
        <v>1822.5198538581237</v>
      </c>
      <c r="Q1206" s="22">
        <v>1887.3090649309538</v>
      </c>
      <c r="R1206" s="24">
        <v>189</v>
      </c>
      <c r="S1206" s="24">
        <v>479</v>
      </c>
      <c r="T1206" s="24">
        <v>193</v>
      </c>
      <c r="U1206" s="24">
        <v>175</v>
      </c>
      <c r="V1206" s="24">
        <v>234</v>
      </c>
      <c r="W1206" s="24">
        <v>282</v>
      </c>
      <c r="X1206" s="24">
        <v>292</v>
      </c>
      <c r="Y1206" s="24">
        <v>302</v>
      </c>
      <c r="Z1206" s="24">
        <v>312</v>
      </c>
      <c r="AA1206" s="24">
        <v>322</v>
      </c>
      <c r="AB1206" s="24">
        <v>333</v>
      </c>
      <c r="AC1206" s="26">
        <v>189</v>
      </c>
      <c r="AD1206" s="26">
        <v>479</v>
      </c>
      <c r="AE1206" s="26">
        <v>193</v>
      </c>
      <c r="AF1206" s="26">
        <v>175</v>
      </c>
      <c r="AG1206" s="26">
        <v>234</v>
      </c>
      <c r="AH1206" s="26">
        <v>282</v>
      </c>
      <c r="AI1206" s="26">
        <v>292</v>
      </c>
      <c r="AJ1206" s="26">
        <v>302</v>
      </c>
      <c r="AK1206" s="26">
        <v>312</v>
      </c>
      <c r="AL1206" s="26">
        <v>322</v>
      </c>
      <c r="AM1206" s="26">
        <v>333</v>
      </c>
    </row>
    <row r="1207" spans="2:39">
      <c r="B1207" s="32" t="str">
        <f t="shared" si="38"/>
        <v>Essential</v>
      </c>
      <c r="C1207" s="32" t="s">
        <v>1134</v>
      </c>
      <c r="D1207" s="384"/>
    </row>
    <row r="1208" spans="2:39" ht="75">
      <c r="B1208" s="32" t="str">
        <f t="shared" si="38"/>
        <v>Essential</v>
      </c>
      <c r="C1208" s="32" t="s">
        <v>659</v>
      </c>
      <c r="D1208" s="384"/>
      <c r="E1208" s="3" t="s">
        <v>548</v>
      </c>
      <c r="F1208" t="s">
        <v>272</v>
      </c>
      <c r="G1208" s="22">
        <v>3.358574017055021E-3</v>
      </c>
      <c r="H1208" s="22">
        <v>1.8894441640052471</v>
      </c>
      <c r="I1208" s="22">
        <v>9.0529542806270875</v>
      </c>
      <c r="J1208" s="22">
        <v>1.7903594537180507</v>
      </c>
      <c r="K1208" s="22">
        <v>0.69927526597356526</v>
      </c>
      <c r="L1208" s="22">
        <v>0.4931940092947264</v>
      </c>
      <c r="M1208" s="22">
        <v>5.0562442475998299</v>
      </c>
      <c r="N1208" s="22">
        <v>4.2318511861933237</v>
      </c>
      <c r="O1208" s="22">
        <v>2.7748529403210305</v>
      </c>
      <c r="P1208" s="22">
        <v>1.9928992464496638</v>
      </c>
      <c r="Q1208" s="22">
        <v>1.9059942911742083</v>
      </c>
      <c r="R1208" s="24">
        <v>4000</v>
      </c>
      <c r="S1208" s="24">
        <v>11000</v>
      </c>
      <c r="T1208" s="24">
        <v>9000</v>
      </c>
      <c r="U1208" s="24">
        <v>8000</v>
      </c>
      <c r="V1208" s="24">
        <v>9000</v>
      </c>
      <c r="W1208" s="24">
        <v>9000</v>
      </c>
      <c r="X1208" s="24">
        <v>15000</v>
      </c>
      <c r="Y1208" s="24">
        <v>15000</v>
      </c>
      <c r="Z1208" s="24">
        <v>15000</v>
      </c>
      <c r="AA1208" s="24">
        <v>15000</v>
      </c>
      <c r="AB1208" s="24">
        <v>15000</v>
      </c>
      <c r="AC1208" s="26">
        <v>1000</v>
      </c>
      <c r="AD1208" s="26">
        <v>1000</v>
      </c>
      <c r="AE1208" s="26">
        <v>0</v>
      </c>
      <c r="AF1208" s="26">
        <v>0</v>
      </c>
      <c r="AG1208" s="26">
        <v>0</v>
      </c>
      <c r="AH1208" s="26">
        <v>0</v>
      </c>
      <c r="AI1208" s="26">
        <v>0</v>
      </c>
      <c r="AJ1208" s="26">
        <v>0</v>
      </c>
      <c r="AK1208" s="26">
        <v>0</v>
      </c>
      <c r="AL1208" s="26">
        <v>0</v>
      </c>
      <c r="AM1208" s="26">
        <v>0</v>
      </c>
    </row>
    <row r="1209" spans="2:39">
      <c r="B1209" s="32" t="str">
        <f t="shared" si="38"/>
        <v>Essential</v>
      </c>
      <c r="C1209" s="32" t="s">
        <v>659</v>
      </c>
      <c r="D1209" s="384"/>
      <c r="F1209" t="s">
        <v>273</v>
      </c>
      <c r="G1209" s="22" t="s">
        <v>338</v>
      </c>
      <c r="H1209" s="22" t="s">
        <v>338</v>
      </c>
      <c r="I1209" s="22" t="s">
        <v>338</v>
      </c>
      <c r="J1209" s="22" t="s">
        <v>338</v>
      </c>
      <c r="K1209" s="22" t="s">
        <v>338</v>
      </c>
      <c r="L1209" s="22" t="s">
        <v>338</v>
      </c>
      <c r="M1209" s="22" t="s">
        <v>338</v>
      </c>
      <c r="N1209" s="22" t="s">
        <v>338</v>
      </c>
      <c r="O1209" s="22" t="s">
        <v>338</v>
      </c>
      <c r="P1209" s="22" t="s">
        <v>338</v>
      </c>
      <c r="Q1209" s="22" t="s">
        <v>338</v>
      </c>
      <c r="R1209" s="24">
        <v>0</v>
      </c>
      <c r="S1209" s="24">
        <v>0</v>
      </c>
      <c r="T1209" s="24">
        <v>0</v>
      </c>
      <c r="U1209" s="24">
        <v>0</v>
      </c>
      <c r="V1209" s="24">
        <v>0</v>
      </c>
      <c r="W1209" s="24">
        <v>0</v>
      </c>
      <c r="X1209" s="24">
        <v>0</v>
      </c>
      <c r="Y1209" s="24">
        <v>0</v>
      </c>
      <c r="Z1209" s="24">
        <v>0</v>
      </c>
      <c r="AA1209" s="24">
        <v>0</v>
      </c>
      <c r="AB1209" s="24">
        <v>0</v>
      </c>
      <c r="AC1209" s="26">
        <v>0</v>
      </c>
      <c r="AD1209" s="26">
        <v>0</v>
      </c>
      <c r="AE1209" s="26">
        <v>0</v>
      </c>
      <c r="AF1209" s="26">
        <v>0</v>
      </c>
      <c r="AG1209" s="26">
        <v>0</v>
      </c>
      <c r="AH1209" s="26">
        <v>0</v>
      </c>
      <c r="AI1209" s="26">
        <v>0</v>
      </c>
      <c r="AJ1209" s="26">
        <v>0</v>
      </c>
      <c r="AK1209" s="26">
        <v>0</v>
      </c>
      <c r="AL1209" s="26">
        <v>0</v>
      </c>
      <c r="AM1209" s="26">
        <v>0</v>
      </c>
    </row>
    <row r="1210" spans="2:39">
      <c r="B1210" s="32" t="str">
        <f t="shared" si="38"/>
        <v>Essential</v>
      </c>
      <c r="C1210" s="32" t="s">
        <v>659</v>
      </c>
      <c r="D1210" s="384"/>
      <c r="F1210" t="s">
        <v>274</v>
      </c>
      <c r="G1210" s="22">
        <v>0.31377414623245981</v>
      </c>
      <c r="H1210" s="22">
        <v>3228.3241875053022</v>
      </c>
      <c r="I1210" s="22">
        <v>5165.9565296281453</v>
      </c>
      <c r="J1210" s="22">
        <v>4035.2097927599457</v>
      </c>
      <c r="K1210" s="22">
        <v>2934.2289435516773</v>
      </c>
      <c r="L1210" s="22">
        <v>1931.3806199987685</v>
      </c>
      <c r="M1210" s="22">
        <v>7034.4492470307869</v>
      </c>
      <c r="N1210" s="22">
        <v>5599.8111883009369</v>
      </c>
      <c r="O1210" s="22">
        <v>6336.2656951054605</v>
      </c>
      <c r="P1210" s="22">
        <v>4664.7792661647281</v>
      </c>
      <c r="Q1210" s="22">
        <v>4723.8416645033731</v>
      </c>
      <c r="R1210" s="24">
        <v>3000</v>
      </c>
      <c r="S1210" s="24">
        <v>3000</v>
      </c>
      <c r="T1210" s="24">
        <v>8000</v>
      </c>
      <c r="U1210" s="24">
        <v>37000</v>
      </c>
      <c r="V1210" s="24">
        <v>20000</v>
      </c>
      <c r="W1210" s="24">
        <v>45000</v>
      </c>
      <c r="X1210" s="24">
        <v>56000</v>
      </c>
      <c r="Y1210" s="24">
        <v>44000</v>
      </c>
      <c r="Z1210" s="24">
        <v>90000</v>
      </c>
      <c r="AA1210" s="24">
        <v>43000</v>
      </c>
      <c r="AB1210" s="24">
        <v>55000</v>
      </c>
      <c r="AC1210" s="26">
        <v>5000</v>
      </c>
      <c r="AD1210" s="26">
        <v>19000</v>
      </c>
      <c r="AE1210" s="26">
        <v>13000</v>
      </c>
      <c r="AF1210" s="26">
        <v>21000</v>
      </c>
      <c r="AG1210" s="26">
        <v>11000</v>
      </c>
      <c r="AH1210" s="26">
        <v>21000</v>
      </c>
      <c r="AI1210" s="26">
        <v>17000</v>
      </c>
      <c r="AJ1210" s="26">
        <v>15000</v>
      </c>
      <c r="AK1210" s="26">
        <v>14000</v>
      </c>
      <c r="AL1210" s="26">
        <v>12000</v>
      </c>
      <c r="AM1210" s="26">
        <v>10000</v>
      </c>
    </row>
    <row r="1211" spans="2:39">
      <c r="B1211" s="32" t="str">
        <f t="shared" si="38"/>
        <v>Essential</v>
      </c>
      <c r="C1211" s="32" t="s">
        <v>659</v>
      </c>
      <c r="D1211" s="384"/>
      <c r="F1211" t="s">
        <v>275</v>
      </c>
      <c r="G1211" s="22" t="s">
        <v>338</v>
      </c>
      <c r="H1211" s="22" t="s">
        <v>338</v>
      </c>
      <c r="I1211" s="22" t="s">
        <v>338</v>
      </c>
      <c r="J1211" s="22" t="s">
        <v>338</v>
      </c>
      <c r="K1211" s="22" t="s">
        <v>338</v>
      </c>
      <c r="L1211" s="22" t="s">
        <v>338</v>
      </c>
      <c r="M1211" s="22" t="s">
        <v>338</v>
      </c>
      <c r="N1211" s="22" t="s">
        <v>338</v>
      </c>
      <c r="O1211" s="22" t="s">
        <v>338</v>
      </c>
      <c r="P1211" s="22" t="s">
        <v>338</v>
      </c>
      <c r="Q1211" s="22" t="s">
        <v>338</v>
      </c>
      <c r="R1211" s="24">
        <v>0</v>
      </c>
      <c r="S1211" s="24">
        <v>0</v>
      </c>
      <c r="T1211" s="24">
        <v>0</v>
      </c>
      <c r="U1211" s="24">
        <v>0</v>
      </c>
      <c r="V1211" s="24">
        <v>0</v>
      </c>
      <c r="W1211" s="24">
        <v>0</v>
      </c>
      <c r="X1211" s="24">
        <v>0</v>
      </c>
      <c r="Y1211" s="24">
        <v>0</v>
      </c>
      <c r="Z1211" s="24">
        <v>0</v>
      </c>
      <c r="AA1211" s="24">
        <v>0</v>
      </c>
      <c r="AB1211" s="24">
        <v>0</v>
      </c>
      <c r="AC1211" s="26">
        <v>0</v>
      </c>
      <c r="AD1211" s="26">
        <v>0</v>
      </c>
      <c r="AE1211" s="26">
        <v>0</v>
      </c>
      <c r="AF1211" s="26">
        <v>0</v>
      </c>
      <c r="AG1211" s="26">
        <v>0</v>
      </c>
      <c r="AH1211" s="26">
        <v>0</v>
      </c>
      <c r="AI1211" s="26">
        <v>0</v>
      </c>
      <c r="AJ1211" s="26">
        <v>0</v>
      </c>
      <c r="AK1211" s="26">
        <v>0</v>
      </c>
      <c r="AL1211" s="26">
        <v>0</v>
      </c>
      <c r="AM1211" s="26">
        <v>0</v>
      </c>
    </row>
    <row r="1212" spans="2:39">
      <c r="B1212" s="32" t="str">
        <f t="shared" si="38"/>
        <v>Essential</v>
      </c>
      <c r="C1212" s="32" t="s">
        <v>659</v>
      </c>
      <c r="D1212" s="384"/>
    </row>
    <row r="1213" spans="2:39" ht="30">
      <c r="B1213" s="32" t="str">
        <f t="shared" si="38"/>
        <v>Essential</v>
      </c>
      <c r="C1213" s="32" t="s">
        <v>720</v>
      </c>
      <c r="D1213" s="384"/>
      <c r="E1213" s="3" t="s">
        <v>567</v>
      </c>
      <c r="F1213" t="s">
        <v>1511</v>
      </c>
      <c r="G1213" s="22">
        <v>2374.8579152961538</v>
      </c>
      <c r="H1213" s="22">
        <v>7450.157236019636</v>
      </c>
      <c r="I1213" s="22">
        <v>3560.4872120835694</v>
      </c>
      <c r="J1213" s="22">
        <v>2307.2823046706735</v>
      </c>
      <c r="K1213" s="22">
        <v>5590.6205825889037</v>
      </c>
      <c r="L1213" s="22">
        <v>2265.1776486323752</v>
      </c>
      <c r="M1213" s="22">
        <v>0</v>
      </c>
      <c r="N1213" s="22">
        <v>0</v>
      </c>
      <c r="O1213" s="22">
        <v>0</v>
      </c>
      <c r="P1213" s="22">
        <v>0</v>
      </c>
      <c r="Q1213" s="22">
        <v>0</v>
      </c>
      <c r="R1213" s="24">
        <v>20518</v>
      </c>
      <c r="S1213" s="24">
        <v>64369</v>
      </c>
      <c r="T1213" s="24">
        <v>30762</v>
      </c>
      <c r="U1213" s="24">
        <v>19935</v>
      </c>
      <c r="V1213" s="24">
        <v>50865</v>
      </c>
      <c r="W1213" s="24">
        <v>20077</v>
      </c>
      <c r="X1213" s="24">
        <v>0</v>
      </c>
      <c r="Y1213" s="24">
        <v>0</v>
      </c>
      <c r="Z1213" s="24">
        <v>0</v>
      </c>
      <c r="AA1213" s="24">
        <v>0</v>
      </c>
      <c r="AB1213" s="24">
        <v>0</v>
      </c>
      <c r="AC1213" s="26">
        <v>4000</v>
      </c>
      <c r="AD1213" s="26">
        <v>4000</v>
      </c>
      <c r="AE1213" s="26">
        <v>4000</v>
      </c>
      <c r="AF1213" s="26">
        <v>4000</v>
      </c>
      <c r="AG1213" s="26">
        <v>4000</v>
      </c>
      <c r="AH1213" s="26">
        <v>4000</v>
      </c>
      <c r="AI1213" s="26">
        <v>0</v>
      </c>
      <c r="AJ1213" s="26">
        <v>0</v>
      </c>
      <c r="AK1213" s="26">
        <v>0</v>
      </c>
      <c r="AL1213" s="26">
        <v>0</v>
      </c>
      <c r="AM1213" s="26">
        <v>0</v>
      </c>
    </row>
    <row r="1214" spans="2:39">
      <c r="C1214" s="119"/>
      <c r="H1214" s="24"/>
      <c r="I1214" s="24"/>
      <c r="J1214" s="24"/>
      <c r="K1214" s="24"/>
      <c r="L1214" s="24"/>
      <c r="M1214" s="24"/>
      <c r="N1214" s="24"/>
      <c r="O1214" s="24"/>
      <c r="P1214" s="24"/>
      <c r="Q1214" s="24"/>
      <c r="R1214" s="26"/>
      <c r="S1214" s="26"/>
      <c r="T1214"/>
      <c r="U1214"/>
      <c r="V1214"/>
      <c r="W1214"/>
      <c r="X1214"/>
      <c r="Y1214"/>
      <c r="Z1214"/>
      <c r="AA1214"/>
      <c r="AB1214"/>
      <c r="AC1214"/>
      <c r="AD1214"/>
      <c r="AE1214"/>
      <c r="AF1214"/>
      <c r="AG1214"/>
      <c r="AH1214"/>
      <c r="AI1214"/>
      <c r="AJ1214"/>
      <c r="AK1214"/>
      <c r="AL1214"/>
      <c r="AM1214"/>
    </row>
    <row r="1215" spans="2:39">
      <c r="C1215" s="119"/>
    </row>
    <row r="1216" spans="2:39">
      <c r="C1216" s="119"/>
    </row>
    <row r="1217" spans="3:3">
      <c r="C1217" s="119"/>
    </row>
    <row r="1218" spans="3:3">
      <c r="C1218" s="119"/>
    </row>
    <row r="1219" spans="3:3">
      <c r="C1219" s="119"/>
    </row>
    <row r="1220" spans="3:3">
      <c r="C1220" s="119"/>
    </row>
  </sheetData>
  <autoFilter ref="A4:AM1213"/>
  <mergeCells count="11">
    <mergeCell ref="D1078:D1213"/>
    <mergeCell ref="D933:D1077"/>
    <mergeCell ref="D797:D932"/>
    <mergeCell ref="AC3:AM3"/>
    <mergeCell ref="D5:D159"/>
    <mergeCell ref="D160:D297"/>
    <mergeCell ref="D451:D637"/>
    <mergeCell ref="D638:D796"/>
    <mergeCell ref="D298:D450"/>
    <mergeCell ref="G3:Q3"/>
    <mergeCell ref="R3:AB3"/>
  </mergeCell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2A1E837E562164AABFA2BD95B4BFCA3" ma:contentTypeVersion="0" ma:contentTypeDescription="Create a new document." ma:contentTypeScope="" ma:versionID="14996546c3df5d90b867dc7e93fdf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37A059-EF76-4128-8FCA-48621E727EC1}">
  <ds:schemaRefs>
    <ds:schemaRef ds:uri="http://schemas.microsoft.com/office/2006/documentManagement/types"/>
    <ds:schemaRef ds:uri="http://schemas.microsoft.com/office/2006/metadata/properties"/>
    <ds:schemaRef ds:uri="http://purl.org/dc/elements/1.1/"/>
    <ds:schemaRef ds:uri="http://www.w3.org/XML/1998/namespace"/>
    <ds:schemaRef ds:uri="http://schemas.microsoft.com/office/infopath/2007/PartnerControls"/>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BE2D5470-3901-42E1-8DF0-03C0706220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0EC627BC-33C4-4252-8B2D-FFC3E52D4B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Data Issues</vt:lpstr>
      <vt:lpstr>Asset Comparison</vt:lpstr>
      <vt:lpstr>REPEX Comparison</vt:lpstr>
      <vt:lpstr>Maint Comparison</vt:lpstr>
      <vt:lpstr>Expenditure Comparison</vt:lpstr>
      <vt:lpstr>Forecast OPEX</vt:lpstr>
      <vt:lpstr>Graphs</vt:lpstr>
      <vt:lpstr>2.1 Expenditure</vt:lpstr>
      <vt:lpstr>2.2.1 REPEX</vt:lpstr>
      <vt:lpstr>2.2.2 REPEX</vt:lpstr>
      <vt:lpstr>2.8 Maintenance</vt:lpstr>
      <vt:lpstr>5.2 Age Profiles</vt:lpstr>
      <vt:lpstr>CPI Rates</vt:lpstr>
      <vt:lpstr>DirectCostInc</vt:lpstr>
      <vt:lpstr>'2.8 Maintenance'!Extract</vt:lpstr>
      <vt:lpstr>'2.8 Maintenance'!Print_Area</vt:lpstr>
      <vt:lpstr>'Asset Comparison'!Print_Area</vt:lpstr>
      <vt:lpstr>'Data Issues'!Print_Area</vt:lpstr>
      <vt:lpstr>'Expenditure Comparison'!Print_Area</vt:lpstr>
      <vt:lpstr>'Maint Comparison'!Print_Area</vt:lpstr>
      <vt:lpstr>'REPEX Comparison'!Print_Area</vt:lpstr>
    </vt:vector>
  </TitlesOfParts>
  <Company>Essential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Brian Glawson</dc:creator>
  <cp:lastModifiedBy>Greg Bell</cp:lastModifiedBy>
  <cp:lastPrinted>2015-01-15T02:14:28Z</cp:lastPrinted>
  <dcterms:created xsi:type="dcterms:W3CDTF">2014-10-04T03:29:07Z</dcterms:created>
  <dcterms:modified xsi:type="dcterms:W3CDTF">2015-01-18T22:12:31Z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0x01010022A1E837E562164AABFA2BD95B4BFCA3</vt:lpwstr>
  </property>
</Properties>
</file>